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Drives compartilhados\Pontte Crédito\0_HOME EQUITY\0_Analises\Agostinho Francisco de Souza\"/>
    </mc:Choice>
  </mc:AlternateContent>
  <xr:revisionPtr revIDLastSave="0" documentId="13_ncr:1_{BAE1ECBD-56ED-4A9C-BA39-5FD697DE65A9}" xr6:coauthVersionLast="47" xr6:coauthVersionMax="47" xr10:uidLastSave="{00000000-0000-0000-0000-000000000000}"/>
  <workbookProtection workbookAlgorithmName="SHA-512" workbookHashValue="VLx9FQxnF7ULTDP0GCfN4FJ8t6TrEsjeAPKZ2aOMy37KMgtO3jFvdW+IyBX6EVSE+whqu/PCvTCfd8Py7Fr5OQ==" workbookSaltValue="ZPj3kw4O2wRwNuqirsV/EQ==" workbookSpinCount="100000" lockStructure="1"/>
  <bookViews>
    <workbookView xWindow="-120" yWindow="-120" windowWidth="20730" windowHeight="11160" activeTab="3" xr2:uid="{BD90D96E-3C27-4DE4-B94E-DE48423E0E75}"/>
  </bookViews>
  <sheets>
    <sheet name="Contrato" sheetId="19" r:id="rId1"/>
    <sheet name="Inputs" sheetId="20" r:id="rId2"/>
    <sheet name="Renda" sheetId="21" r:id="rId3"/>
    <sheet name="Colateral" sheetId="22" r:id="rId4"/>
    <sheet name="Rating" sheetId="23" r:id="rId5"/>
    <sheet name=" Relatorio" sheetId="24" state="hidden" r:id="rId6"/>
    <sheet name="Simulador PDF" sheetId="17" r:id="rId7"/>
    <sheet name="Relatório Aprovação" sheetId="32" r:id="rId8"/>
    <sheet name="SAC_CORR" sheetId="25" r:id="rId9"/>
    <sheet name="PRICE_CORR" sheetId="26" r:id="rId10"/>
    <sheet name="SAC_PULA Ñ USAR" sheetId="30" r:id="rId11"/>
    <sheet name="SAC_IOF Ñ USAR" sheetId="29" r:id="rId12"/>
    <sheet name="PRICE_PULA_Ñ USAR" sheetId="28" r:id="rId13"/>
    <sheet name="PRICE_IOF Ñ USAR" sheetId="27" r:id="rId14"/>
    <sheet name="Registro" sheetId="31" r:id="rId15"/>
    <sheet name="Municípios" sheetId="33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_123Graph_A" localSheetId="3" hidden="1">[1]Assumptions!#REF!</definedName>
    <definedName name="__123Graph_A" localSheetId="15" hidden="1">[1]Assumptions!#REF!</definedName>
    <definedName name="__123Graph_A" localSheetId="9" hidden="1">[1]Assumptions!#REF!</definedName>
    <definedName name="__123Graph_A" localSheetId="13" hidden="1">[1]Assumptions!#REF!</definedName>
    <definedName name="__123Graph_A" localSheetId="12" hidden="1">[1]Assumptions!#REF!</definedName>
    <definedName name="__123Graph_A" localSheetId="8" hidden="1">[1]Assumptions!#REF!</definedName>
    <definedName name="__123Graph_A" localSheetId="11" hidden="1">[1]Assumptions!#REF!</definedName>
    <definedName name="__123Graph_A" localSheetId="10" hidden="1">[1]Assumptions!#REF!</definedName>
    <definedName name="__123Graph_A" localSheetId="6" hidden="1">[2]Assumptions!#REF!</definedName>
    <definedName name="__123Graph_A" hidden="1">[1]Assumptions!#REF!</definedName>
    <definedName name="_xlnm._FilterDatabase" localSheetId="15" hidden="1">Municípios!$A$2:$E$5572</definedName>
    <definedName name="_xlnm._FilterDatabase" localSheetId="9" hidden="1">PRICE_CORR!$B$2:$F$15</definedName>
    <definedName name="ABN" localSheetId="5" hidden="1">{#N/A,#N/A,FALSE,"Plan1";#N/A,#N/A,FALSE,"Plan2"}</definedName>
    <definedName name="ABN" localSheetId="3" hidden="1">{#N/A,#N/A,FALSE,"Plan1";#N/A,#N/A,FALSE,"Plan2"}</definedName>
    <definedName name="ABN" localSheetId="0" hidden="1">{#N/A,#N/A,FALSE,"Plan1";#N/A,#N/A,FALSE,"Plan2"}</definedName>
    <definedName name="ABN" localSheetId="1" hidden="1">{#N/A,#N/A,FALSE,"Plan1";#N/A,#N/A,FALSE,"Plan2"}</definedName>
    <definedName name="ABN" localSheetId="15" hidden="1">{#N/A,#N/A,FALSE,"Plan1";#N/A,#N/A,FALSE,"Plan2"}</definedName>
    <definedName name="ABN" localSheetId="9" hidden="1">{#N/A,#N/A,FALSE,"Plan1";#N/A,#N/A,FALSE,"Plan2"}</definedName>
    <definedName name="ABN" localSheetId="13" hidden="1">{#N/A,#N/A,FALSE,"Plan1";#N/A,#N/A,FALSE,"Plan2"}</definedName>
    <definedName name="ABN" localSheetId="12" hidden="1">{#N/A,#N/A,FALSE,"Plan1";#N/A,#N/A,FALSE,"Plan2"}</definedName>
    <definedName name="ABN" localSheetId="4" hidden="1">{#N/A,#N/A,FALSE,"Plan1";#N/A,#N/A,FALSE,"Plan2"}</definedName>
    <definedName name="ABN" localSheetId="7" hidden="1">{#N/A,#N/A,FALSE,"Plan1";#N/A,#N/A,FALSE,"Plan2"}</definedName>
    <definedName name="ABN" localSheetId="2" hidden="1">{#N/A,#N/A,FALSE,"Plan1";#N/A,#N/A,FALSE,"Plan2"}</definedName>
    <definedName name="ABN" localSheetId="8" hidden="1">{#N/A,#N/A,FALSE,"Plan1";#N/A,#N/A,FALSE,"Plan2"}</definedName>
    <definedName name="ABN" localSheetId="11" hidden="1">{#N/A,#N/A,FALSE,"Plan1";#N/A,#N/A,FALSE,"Plan2"}</definedName>
    <definedName name="ABN" localSheetId="10" hidden="1">{#N/A,#N/A,FALSE,"Plan1";#N/A,#N/A,FALSE,"Plan2"}</definedName>
    <definedName name="ABN" localSheetId="6" hidden="1">{#N/A,#N/A,FALSE,"Plan1";#N/A,#N/A,FALSE,"Plan2"}</definedName>
    <definedName name="ABN" hidden="1">{#N/A,#N/A,FALSE,"Plan1";#N/A,#N/A,FALSE,"Plan2"}</definedName>
    <definedName name="ACwvu.PLANILHA2." localSheetId="3" hidden="1">#REF!</definedName>
    <definedName name="ACwvu.PLANILHA2." localSheetId="15" hidden="1">#REF!</definedName>
    <definedName name="ACwvu.PLANILHA2." localSheetId="9" hidden="1">#REF!</definedName>
    <definedName name="ACwvu.PLANILHA2." localSheetId="13" hidden="1">#REF!</definedName>
    <definedName name="ACwvu.PLANILHA2." localSheetId="12" hidden="1">#REF!</definedName>
    <definedName name="ACwvu.PLANILHA2." localSheetId="8" hidden="1">#REF!</definedName>
    <definedName name="ACwvu.PLANILHA2." localSheetId="11" hidden="1">#REF!</definedName>
    <definedName name="ACwvu.PLANILHA2." localSheetId="10" hidden="1">#REF!</definedName>
    <definedName name="ACwvu.PLANILHA2." hidden="1">#REF!</definedName>
    <definedName name="AM_1" localSheetId="3">[3]FUNDO!#REF!</definedName>
    <definedName name="AM_1" localSheetId="15">[3]FUNDO!#REF!</definedName>
    <definedName name="AM_1" localSheetId="9">[3]FUNDO!#REF!</definedName>
    <definedName name="AM_1" localSheetId="13">[3]FUNDO!#REF!</definedName>
    <definedName name="AM_1" localSheetId="12">[3]FUNDO!#REF!</definedName>
    <definedName name="AM_1" localSheetId="7">[3]FUNDO!#REF!</definedName>
    <definedName name="AM_1" localSheetId="8">[3]FUNDO!#REF!</definedName>
    <definedName name="AM_1" localSheetId="11">[3]FUNDO!#REF!</definedName>
    <definedName name="AM_1" localSheetId="10">[3]FUNDO!#REF!</definedName>
    <definedName name="AM_1" localSheetId="6">[4]FUNDO!#REF!</definedName>
    <definedName name="AM_1">[3]FUNDO!#REF!</definedName>
    <definedName name="AM_2" localSheetId="3">[3]FUNDO!#REF!</definedName>
    <definedName name="AM_2" localSheetId="6">[4]FUNDO!#REF!</definedName>
    <definedName name="AM_2">[3]FUNDO!#REF!</definedName>
    <definedName name="AM_3" localSheetId="3">[3]FUNDO!#REF!</definedName>
    <definedName name="AM_3" localSheetId="6">[4]FUNDO!#REF!</definedName>
    <definedName name="AM_3">[3]FUNDO!#REF!</definedName>
    <definedName name="AMOR" localSheetId="3">[5]COMERCIAL!#REF!</definedName>
    <definedName name="AMOR" localSheetId="6">[6]COMERCIAL!#REF!</definedName>
    <definedName name="AMOR">[5]COMERCIAL!#REF!</definedName>
    <definedName name="ANDRE">TRUE</definedName>
    <definedName name="area" localSheetId="5" hidden="1">{#N/A,#N/A,FALSE,"Plan1";#N/A,#N/A,FALSE,"Plan2"}</definedName>
    <definedName name="area" localSheetId="3" hidden="1">{#N/A,#N/A,FALSE,"Plan1";#N/A,#N/A,FALSE,"Plan2"}</definedName>
    <definedName name="area" localSheetId="0" hidden="1">{#N/A,#N/A,FALSE,"Plan1";#N/A,#N/A,FALSE,"Plan2"}</definedName>
    <definedName name="area" localSheetId="1" hidden="1">{#N/A,#N/A,FALSE,"Plan1";#N/A,#N/A,FALSE,"Plan2"}</definedName>
    <definedName name="area" localSheetId="15" hidden="1">{#N/A,#N/A,FALSE,"Plan1";#N/A,#N/A,FALSE,"Plan2"}</definedName>
    <definedName name="area" localSheetId="9" hidden="1">{#N/A,#N/A,FALSE,"Plan1";#N/A,#N/A,FALSE,"Plan2"}</definedName>
    <definedName name="area" localSheetId="13" hidden="1">{#N/A,#N/A,FALSE,"Plan1";#N/A,#N/A,FALSE,"Plan2"}</definedName>
    <definedName name="area" localSheetId="12" hidden="1">{#N/A,#N/A,FALSE,"Plan1";#N/A,#N/A,FALSE,"Plan2"}</definedName>
    <definedName name="area" localSheetId="4" hidden="1">{#N/A,#N/A,FALSE,"Plan1";#N/A,#N/A,FALSE,"Plan2"}</definedName>
    <definedName name="area" localSheetId="7" hidden="1">{#N/A,#N/A,FALSE,"Plan1";#N/A,#N/A,FALSE,"Plan2"}</definedName>
    <definedName name="area" localSheetId="2" hidden="1">{#N/A,#N/A,FALSE,"Plan1";#N/A,#N/A,FALSE,"Plan2"}</definedName>
    <definedName name="area" localSheetId="8" hidden="1">{#N/A,#N/A,FALSE,"Plan1";#N/A,#N/A,FALSE,"Plan2"}</definedName>
    <definedName name="area" localSheetId="11" hidden="1">{#N/A,#N/A,FALSE,"Plan1";#N/A,#N/A,FALSE,"Plan2"}</definedName>
    <definedName name="area" localSheetId="10" hidden="1">{#N/A,#N/A,FALSE,"Plan1";#N/A,#N/A,FALSE,"Plan2"}</definedName>
    <definedName name="area" localSheetId="6" hidden="1">{#N/A,#N/A,FALSE,"Plan1";#N/A,#N/A,FALSE,"Plan2"}</definedName>
    <definedName name="area" hidden="1">{#N/A,#N/A,FALSE,"Plan1";#N/A,#N/A,FALSE,"Plan2"}</definedName>
    <definedName name="_xlnm.Extract" localSheetId="5">#REF!</definedName>
    <definedName name="_xlnm.Extract" localSheetId="3">#REF!</definedName>
    <definedName name="_xlnm.Extract" localSheetId="0">#REF!</definedName>
    <definedName name="_xlnm.Extract" localSheetId="1">#REF!</definedName>
    <definedName name="_xlnm.Extract" localSheetId="15">#REF!</definedName>
    <definedName name="_xlnm.Extract" localSheetId="9">#REF!</definedName>
    <definedName name="_xlnm.Extract" localSheetId="13">#REF!</definedName>
    <definedName name="_xlnm.Extract" localSheetId="12">#REF!</definedName>
    <definedName name="_xlnm.Extract" localSheetId="4">#REF!</definedName>
    <definedName name="_xlnm.Extract" localSheetId="2">#REF!</definedName>
    <definedName name="_xlnm.Extract" localSheetId="8">#REF!</definedName>
    <definedName name="_xlnm.Extract" localSheetId="11">#REF!</definedName>
    <definedName name="_xlnm.Extract" localSheetId="10">#REF!</definedName>
    <definedName name="_xlnm.Extract">#REF!</definedName>
    <definedName name="_xlnm.Print_Area" localSheetId="5">#REF!</definedName>
    <definedName name="_xlnm.Print_Area" localSheetId="3">#REF!</definedName>
    <definedName name="_xlnm.Print_Area" localSheetId="0">#REF!</definedName>
    <definedName name="_xlnm.Print_Area" localSheetId="1">#REF!</definedName>
    <definedName name="_xlnm.Print_Area" localSheetId="15">Municípios!$A$1:$E$5595</definedName>
    <definedName name="_xlnm.Print_Area" localSheetId="9">#REF!</definedName>
    <definedName name="_xlnm.Print_Area" localSheetId="13">#REF!</definedName>
    <definedName name="_xlnm.Print_Area" localSheetId="12">#REF!</definedName>
    <definedName name="_xlnm.Print_Area" localSheetId="4">#REF!</definedName>
    <definedName name="_xlnm.Print_Area" localSheetId="7">'Relatório Aprovação'!$E$1:$Q$441</definedName>
    <definedName name="_xlnm.Print_Area" localSheetId="2">#REF!</definedName>
    <definedName name="_xlnm.Print_Area" localSheetId="8">#REF!</definedName>
    <definedName name="_xlnm.Print_Area" localSheetId="11">#REF!</definedName>
    <definedName name="_xlnm.Print_Area" localSheetId="10">#REF!</definedName>
    <definedName name="_xlnm.Print_Area" localSheetId="6">'Simulador PDF'!$B$1:$K$314</definedName>
    <definedName name="_xlnm.Print_Area">#REF!</definedName>
    <definedName name="area1" localSheetId="5" hidden="1">{#N/A,#N/A,FALSE,"Plan1";#N/A,#N/A,FALSE,"Plan2"}</definedName>
    <definedName name="area1" localSheetId="3" hidden="1">{#N/A,#N/A,FALSE,"Plan1";#N/A,#N/A,FALSE,"Plan2"}</definedName>
    <definedName name="area1" localSheetId="0" hidden="1">{#N/A,#N/A,FALSE,"Plan1";#N/A,#N/A,FALSE,"Plan2"}</definedName>
    <definedName name="area1" localSheetId="1" hidden="1">{#N/A,#N/A,FALSE,"Plan1";#N/A,#N/A,FALSE,"Plan2"}</definedName>
    <definedName name="area1" localSheetId="15" hidden="1">{#N/A,#N/A,FALSE,"Plan1";#N/A,#N/A,FALSE,"Plan2"}</definedName>
    <definedName name="area1" localSheetId="9" hidden="1">{#N/A,#N/A,FALSE,"Plan1";#N/A,#N/A,FALSE,"Plan2"}</definedName>
    <definedName name="area1" localSheetId="13" hidden="1">{#N/A,#N/A,FALSE,"Plan1";#N/A,#N/A,FALSE,"Plan2"}</definedName>
    <definedName name="area1" localSheetId="12" hidden="1">{#N/A,#N/A,FALSE,"Plan1";#N/A,#N/A,FALSE,"Plan2"}</definedName>
    <definedName name="area1" localSheetId="4" hidden="1">{#N/A,#N/A,FALSE,"Plan1";#N/A,#N/A,FALSE,"Plan2"}</definedName>
    <definedName name="area1" localSheetId="7" hidden="1">{#N/A,#N/A,FALSE,"Plan1";#N/A,#N/A,FALSE,"Plan2"}</definedName>
    <definedName name="area1" localSheetId="2" hidden="1">{#N/A,#N/A,FALSE,"Plan1";#N/A,#N/A,FALSE,"Plan2"}</definedName>
    <definedName name="area1" localSheetId="8" hidden="1">{#N/A,#N/A,FALSE,"Plan1";#N/A,#N/A,FALSE,"Plan2"}</definedName>
    <definedName name="area1" localSheetId="11" hidden="1">{#N/A,#N/A,FALSE,"Plan1";#N/A,#N/A,FALSE,"Plan2"}</definedName>
    <definedName name="area1" localSheetId="10" hidden="1">{#N/A,#N/A,FALSE,"Plan1";#N/A,#N/A,FALSE,"Plan2"}</definedName>
    <definedName name="area1" localSheetId="6" hidden="1">{#N/A,#N/A,FALSE,"Plan1";#N/A,#N/A,FALSE,"Plan2"}</definedName>
    <definedName name="area1" hidden="1">{#N/A,#N/A,FALSE,"Plan1";#N/A,#N/A,FALSE,"Plan2"}</definedName>
    <definedName name="AreaB" localSheetId="5" hidden="1">{#N/A,#N/A,FALSE,"Plan1";#N/A,#N/A,FALSE,"Plan2"}</definedName>
    <definedName name="AreaB" localSheetId="3" hidden="1">{#N/A,#N/A,FALSE,"Plan1";#N/A,#N/A,FALSE,"Plan2"}</definedName>
    <definedName name="AreaB" localSheetId="0" hidden="1">{#N/A,#N/A,FALSE,"Plan1";#N/A,#N/A,FALSE,"Plan2"}</definedName>
    <definedName name="AreaB" localSheetId="1" hidden="1">{#N/A,#N/A,FALSE,"Plan1";#N/A,#N/A,FALSE,"Plan2"}</definedName>
    <definedName name="AreaB" localSheetId="15" hidden="1">{#N/A,#N/A,FALSE,"Plan1";#N/A,#N/A,FALSE,"Plan2"}</definedName>
    <definedName name="AreaB" localSheetId="9" hidden="1">{#N/A,#N/A,FALSE,"Plan1";#N/A,#N/A,FALSE,"Plan2"}</definedName>
    <definedName name="AreaB" localSheetId="13" hidden="1">{#N/A,#N/A,FALSE,"Plan1";#N/A,#N/A,FALSE,"Plan2"}</definedName>
    <definedName name="AreaB" localSheetId="12" hidden="1">{#N/A,#N/A,FALSE,"Plan1";#N/A,#N/A,FALSE,"Plan2"}</definedName>
    <definedName name="AreaB" localSheetId="4" hidden="1">{#N/A,#N/A,FALSE,"Plan1";#N/A,#N/A,FALSE,"Plan2"}</definedName>
    <definedName name="AreaB" localSheetId="7" hidden="1">{#N/A,#N/A,FALSE,"Plan1";#N/A,#N/A,FALSE,"Plan2"}</definedName>
    <definedName name="AreaB" localSheetId="2" hidden="1">{#N/A,#N/A,FALSE,"Plan1";#N/A,#N/A,FALSE,"Plan2"}</definedName>
    <definedName name="AreaB" localSheetId="8" hidden="1">{#N/A,#N/A,FALSE,"Plan1";#N/A,#N/A,FALSE,"Plan2"}</definedName>
    <definedName name="AreaB" localSheetId="11" hidden="1">{#N/A,#N/A,FALSE,"Plan1";#N/A,#N/A,FALSE,"Plan2"}</definedName>
    <definedName name="AreaB" localSheetId="10" hidden="1">{#N/A,#N/A,FALSE,"Plan1";#N/A,#N/A,FALSE,"Plan2"}</definedName>
    <definedName name="AreaB" localSheetId="6" hidden="1">{#N/A,#N/A,FALSE,"Plan1";#N/A,#N/A,FALSE,"Plan2"}</definedName>
    <definedName name="AreaB" hidden="1">{#N/A,#N/A,FALSE,"Plan1";#N/A,#N/A,FALSE,"Plan2"}</definedName>
    <definedName name="_xlnm.Database" localSheetId="5">#REF!</definedName>
    <definedName name="_xlnm.Database" localSheetId="3">#REF!</definedName>
    <definedName name="_xlnm.Database" localSheetId="0">#REF!</definedName>
    <definedName name="_xlnm.Database" localSheetId="1">#REF!</definedName>
    <definedName name="_xlnm.Database" localSheetId="15">#REF!</definedName>
    <definedName name="_xlnm.Database" localSheetId="9">#REF!</definedName>
    <definedName name="_xlnm.Database" localSheetId="13">#REF!</definedName>
    <definedName name="_xlnm.Database" localSheetId="12">#REF!</definedName>
    <definedName name="_xlnm.Database" localSheetId="4">#REF!</definedName>
    <definedName name="_xlnm.Database" localSheetId="2">#REF!</definedName>
    <definedName name="_xlnm.Database" localSheetId="8">#REF!</definedName>
    <definedName name="_xlnm.Database" localSheetId="11">#REF!</definedName>
    <definedName name="_xlnm.Database" localSheetId="10">#REF!</definedName>
    <definedName name="_xlnm.Database">#REF!</definedName>
    <definedName name="BuiltIn_AutoFilter___1" localSheetId="5">#REF!</definedName>
    <definedName name="BuiltIn_AutoFilter___1" localSheetId="3">#REF!</definedName>
    <definedName name="BuiltIn_AutoFilter___1" localSheetId="0">#REF!</definedName>
    <definedName name="BuiltIn_AutoFilter___1" localSheetId="1">#REF!</definedName>
    <definedName name="BuiltIn_AutoFilter___1" localSheetId="15">#REF!</definedName>
    <definedName name="BuiltIn_AutoFilter___1" localSheetId="9">#REF!</definedName>
    <definedName name="BuiltIn_AutoFilter___1" localSheetId="13">#REF!</definedName>
    <definedName name="BuiltIn_AutoFilter___1" localSheetId="12">#REF!</definedName>
    <definedName name="BuiltIn_AutoFilter___1" localSheetId="4">#REF!</definedName>
    <definedName name="BuiltIn_AutoFilter___1" localSheetId="2">#REF!</definedName>
    <definedName name="BuiltIn_AutoFilter___1" localSheetId="8">#REF!</definedName>
    <definedName name="BuiltIn_AutoFilter___1" localSheetId="11">#REF!</definedName>
    <definedName name="BuiltIn_AutoFilter___1" localSheetId="10">#REF!</definedName>
    <definedName name="BuiltIn_AutoFilter___1">#REF!</definedName>
    <definedName name="BuiltIn_AutoFilter___4" localSheetId="5">#REF!</definedName>
    <definedName name="BuiltIn_AutoFilter___4" localSheetId="3">#REF!</definedName>
    <definedName name="BuiltIn_AutoFilter___4" localSheetId="0">#REF!</definedName>
    <definedName name="BuiltIn_AutoFilter___4" localSheetId="1">#REF!</definedName>
    <definedName name="BuiltIn_AutoFilter___4" localSheetId="15">#REF!</definedName>
    <definedName name="BuiltIn_AutoFilter___4" localSheetId="9">#REF!</definedName>
    <definedName name="BuiltIn_AutoFilter___4" localSheetId="13">#REF!</definedName>
    <definedName name="BuiltIn_AutoFilter___4" localSheetId="12">#REF!</definedName>
    <definedName name="BuiltIn_AutoFilter___4" localSheetId="4">#REF!</definedName>
    <definedName name="BuiltIn_AutoFilter___4" localSheetId="2">#REF!</definedName>
    <definedName name="BuiltIn_AutoFilter___4" localSheetId="8">#REF!</definedName>
    <definedName name="BuiltIn_AutoFilter___4" localSheetId="11">#REF!</definedName>
    <definedName name="BuiltIn_AutoFilter___4" localSheetId="10">#REF!</definedName>
    <definedName name="BuiltIn_AutoFilter___4">#REF!</definedName>
    <definedName name="CELULA" localSheetId="5">#REF!</definedName>
    <definedName name="CELULA" localSheetId="3">#REF!</definedName>
    <definedName name="CELULA" localSheetId="0">#REF!</definedName>
    <definedName name="CELULA" localSheetId="1">#REF!</definedName>
    <definedName name="CELULA" localSheetId="15">#REF!</definedName>
    <definedName name="CELULA" localSheetId="9">#REF!</definedName>
    <definedName name="CELULA" localSheetId="13">#REF!</definedName>
    <definedName name="CELULA" localSheetId="12">#REF!</definedName>
    <definedName name="CELULA" localSheetId="4">#REF!</definedName>
    <definedName name="CELULA" localSheetId="2">#REF!</definedName>
    <definedName name="CELULA" localSheetId="8">#REF!</definedName>
    <definedName name="CELULA" localSheetId="11">#REF!</definedName>
    <definedName name="CELULA" localSheetId="10">#REF!</definedName>
    <definedName name="CELULA">#REF!</definedName>
    <definedName name="código" localSheetId="3">[7]PINI1!#REF!</definedName>
    <definedName name="código" localSheetId="15">[7]PINI1!#REF!</definedName>
    <definedName name="código" localSheetId="9">[7]PINI1!#REF!</definedName>
    <definedName name="código" localSheetId="13">[7]PINI1!#REF!</definedName>
    <definedName name="código" localSheetId="12">[7]PINI1!#REF!</definedName>
    <definedName name="código" localSheetId="7">[7]PINI1!#REF!</definedName>
    <definedName name="código" localSheetId="8">[7]PINI1!#REF!</definedName>
    <definedName name="código" localSheetId="11">[7]PINI1!#REF!</definedName>
    <definedName name="código" localSheetId="10">[7]PINI1!#REF!</definedName>
    <definedName name="código">[7]PINI1!#REF!</definedName>
    <definedName name="comentariosperfil" localSheetId="3">[8]Resumo!#REF!</definedName>
    <definedName name="comentariosperfil" localSheetId="15">[9]Resumo!#REF!</definedName>
    <definedName name="comentariosperfil" localSheetId="9">[10]Resumo!#REF!</definedName>
    <definedName name="comentariosperfil" localSheetId="13">[10]Resumo!#REF!</definedName>
    <definedName name="comentariosperfil" localSheetId="12">[10]Resumo!#REF!</definedName>
    <definedName name="comentariosperfil" localSheetId="4">#REF!</definedName>
    <definedName name="comentariosperfil" localSheetId="7">[11]Resumo!#REF!</definedName>
    <definedName name="comentariosperfil" localSheetId="2">[8]Resumo!#REF!</definedName>
    <definedName name="comentariosperfil" localSheetId="8">[10]Resumo!#REF!</definedName>
    <definedName name="comentariosperfil" localSheetId="11">[10]Resumo!#REF!</definedName>
    <definedName name="comentariosperfil" localSheetId="10">[10]Resumo!#REF!</definedName>
    <definedName name="comentariosperfil" localSheetId="6">[12]Resumo!#REF!</definedName>
    <definedName name="comentariosperfil">[10]Resumo!#REF!</definedName>
    <definedName name="dados" localSheetId="5">#REF!</definedName>
    <definedName name="dados" localSheetId="3">#REF!</definedName>
    <definedName name="dados" localSheetId="0">#REF!</definedName>
    <definedName name="dados" localSheetId="1">#REF!</definedName>
    <definedName name="dados" localSheetId="15">#REF!</definedName>
    <definedName name="dados" localSheetId="9">#REF!</definedName>
    <definedName name="dados" localSheetId="13">#REF!</definedName>
    <definedName name="dados" localSheetId="12">#REF!</definedName>
    <definedName name="dados" localSheetId="4">#REF!</definedName>
    <definedName name="dados" localSheetId="7">#REF!</definedName>
    <definedName name="dados" localSheetId="2">#REF!</definedName>
    <definedName name="dados" localSheetId="8">#REF!</definedName>
    <definedName name="dados" localSheetId="11">#REF!</definedName>
    <definedName name="dados" localSheetId="10">#REF!</definedName>
    <definedName name="dados">#REF!</definedName>
    <definedName name="DEST4A" localSheetId="3">[5]COMERCIAL!#REF!</definedName>
    <definedName name="DEST4A" localSheetId="15">[5]COMERCIAL!#REF!</definedName>
    <definedName name="DEST4A" localSheetId="9">[5]COMERCIAL!#REF!</definedName>
    <definedName name="DEST4A" localSheetId="13">[5]COMERCIAL!#REF!</definedName>
    <definedName name="DEST4A" localSheetId="12">[5]COMERCIAL!#REF!</definedName>
    <definedName name="DEST4A" localSheetId="7">[5]COMERCIAL!#REF!</definedName>
    <definedName name="DEST4A" localSheetId="8">[5]COMERCIAL!#REF!</definedName>
    <definedName name="DEST4A" localSheetId="11">[5]COMERCIAL!#REF!</definedName>
    <definedName name="DEST4A" localSheetId="10">[5]COMERCIAL!#REF!</definedName>
    <definedName name="DEST4A" localSheetId="6">[6]COMERCIAL!#REF!</definedName>
    <definedName name="DEST4A">[5]COMERCIAL!#REF!</definedName>
    <definedName name="Dívida" localSheetId="5">#REF!</definedName>
    <definedName name="Dívida" localSheetId="3">#REF!</definedName>
    <definedName name="Dívida" localSheetId="0">#REF!</definedName>
    <definedName name="Dívida" localSheetId="1">#REF!</definedName>
    <definedName name="Dívida" localSheetId="4">#REF!</definedName>
    <definedName name="Dívida" localSheetId="2">#REF!</definedName>
    <definedName name="Dívida">#REF!</definedName>
    <definedName name="Divida2" localSheetId="5">#REF!</definedName>
    <definedName name="Divida2" localSheetId="3">#REF!</definedName>
    <definedName name="Divida2" localSheetId="0">#REF!</definedName>
    <definedName name="Divida2" localSheetId="1">#REF!</definedName>
    <definedName name="Divida2" localSheetId="4">#REF!</definedName>
    <definedName name="Divida2" localSheetId="2">#REF!</definedName>
    <definedName name="Divida2">#REF!</definedName>
    <definedName name="E" localSheetId="3">#REF!</definedName>
    <definedName name="E" localSheetId="15">#REF!</definedName>
    <definedName name="E" localSheetId="9">#REF!</definedName>
    <definedName name="E" localSheetId="13">#REF!</definedName>
    <definedName name="E" localSheetId="12">#REF!</definedName>
    <definedName name="E" localSheetId="8">#REF!</definedName>
    <definedName name="E" localSheetId="11">#REF!</definedName>
    <definedName name="E" localSheetId="10">#REF!</definedName>
    <definedName name="E">#REF!</definedName>
    <definedName name="eee" localSheetId="5" hidden="1">{#N/A,#N/A,FALSE,"Plan1";#N/A,#N/A,FALSE,"Plan2"}</definedName>
    <definedName name="eee" localSheetId="3" hidden="1">{#N/A,#N/A,FALSE,"Plan1";#N/A,#N/A,FALSE,"Plan2"}</definedName>
    <definedName name="eee" localSheetId="0" hidden="1">{#N/A,#N/A,FALSE,"Plan1";#N/A,#N/A,FALSE,"Plan2"}</definedName>
    <definedName name="eee" localSheetId="1" hidden="1">{#N/A,#N/A,FALSE,"Plan1";#N/A,#N/A,FALSE,"Plan2"}</definedName>
    <definedName name="eee" localSheetId="15" hidden="1">{#N/A,#N/A,FALSE,"Plan1";#N/A,#N/A,FALSE,"Plan2"}</definedName>
    <definedName name="eee" localSheetId="9" hidden="1">{#N/A,#N/A,FALSE,"Plan1";#N/A,#N/A,FALSE,"Plan2"}</definedName>
    <definedName name="eee" localSheetId="13" hidden="1">{#N/A,#N/A,FALSE,"Plan1";#N/A,#N/A,FALSE,"Plan2"}</definedName>
    <definedName name="eee" localSheetId="12" hidden="1">{#N/A,#N/A,FALSE,"Plan1";#N/A,#N/A,FALSE,"Plan2"}</definedName>
    <definedName name="eee" localSheetId="4" hidden="1">{#N/A,#N/A,FALSE,"Plan1";#N/A,#N/A,FALSE,"Plan2"}</definedName>
    <definedName name="eee" localSheetId="7" hidden="1">{#N/A,#N/A,FALSE,"Plan1";#N/A,#N/A,FALSE,"Plan2"}</definedName>
    <definedName name="eee" localSheetId="2" hidden="1">{#N/A,#N/A,FALSE,"Plan1";#N/A,#N/A,FALSE,"Plan2"}</definedName>
    <definedName name="eee" localSheetId="8" hidden="1">{#N/A,#N/A,FALSE,"Plan1";#N/A,#N/A,FALSE,"Plan2"}</definedName>
    <definedName name="eee" localSheetId="11" hidden="1">{#N/A,#N/A,FALSE,"Plan1";#N/A,#N/A,FALSE,"Plan2"}</definedName>
    <definedName name="eee" localSheetId="10" hidden="1">{#N/A,#N/A,FALSE,"Plan1";#N/A,#N/A,FALSE,"Plan2"}</definedName>
    <definedName name="eee" localSheetId="6" hidden="1">{#N/A,#N/A,FALSE,"Plan1";#N/A,#N/A,FALSE,"Plan2"}</definedName>
    <definedName name="eee" hidden="1">{#N/A,#N/A,FALSE,"Plan1";#N/A,#N/A,FALSE,"Plan2"}</definedName>
    <definedName name="empresa" localSheetId="3">[8]Resumo!#REF!</definedName>
    <definedName name="empresa" localSheetId="15">[9]Resumo!#REF!</definedName>
    <definedName name="empresa" localSheetId="7">[11]Resumo!#REF!</definedName>
    <definedName name="empresa" localSheetId="2">[8]Resumo!#REF!</definedName>
    <definedName name="empresa" localSheetId="6">[12]Resumo!#REF!</definedName>
    <definedName name="empresa">[10]Resumo!#REF!</definedName>
    <definedName name="F" localSheetId="3">#REF!</definedName>
    <definedName name="F" localSheetId="15">#REF!</definedName>
    <definedName name="F" localSheetId="9">#REF!</definedName>
    <definedName name="F" localSheetId="13">#REF!</definedName>
    <definedName name="F" localSheetId="12">#REF!</definedName>
    <definedName name="F" localSheetId="8">#REF!</definedName>
    <definedName name="F" localSheetId="11">#REF!</definedName>
    <definedName name="F" localSheetId="10">#REF!</definedName>
    <definedName name="F">#REF!</definedName>
    <definedName name="Fator_Ch" localSheetId="3">#REF!</definedName>
    <definedName name="Fator_Ch" localSheetId="15">#REF!</definedName>
    <definedName name="Fator_Ch" localSheetId="9">#REF!</definedName>
    <definedName name="Fator_Ch" localSheetId="13">#REF!</definedName>
    <definedName name="Fator_Ch" localSheetId="12">#REF!</definedName>
    <definedName name="Fator_Ch" localSheetId="8">#REF!</definedName>
    <definedName name="Fator_Ch" localSheetId="11">#REF!</definedName>
    <definedName name="Fator_Ch" localSheetId="10">#REF!</definedName>
    <definedName name="Fator_Ch">#REF!</definedName>
    <definedName name="Fator_L" localSheetId="3">#REF!</definedName>
    <definedName name="Fator_L" localSheetId="15">#REF!</definedName>
    <definedName name="Fator_L" localSheetId="9">#REF!</definedName>
    <definedName name="Fator_L" localSheetId="13">#REF!</definedName>
    <definedName name="Fator_L" localSheetId="12">#REF!</definedName>
    <definedName name="Fator_L" localSheetId="8">#REF!</definedName>
    <definedName name="Fator_L" localSheetId="11">#REF!</definedName>
    <definedName name="Fator_L" localSheetId="10">#REF!</definedName>
    <definedName name="Fator_L">#REF!</definedName>
    <definedName name="Fator_MO" localSheetId="3">#REF!</definedName>
    <definedName name="Fator_MO" localSheetId="15">#REF!</definedName>
    <definedName name="Fator_MO" localSheetId="9">#REF!</definedName>
    <definedName name="Fator_MO" localSheetId="13">#REF!</definedName>
    <definedName name="Fator_MO" localSheetId="12">#REF!</definedName>
    <definedName name="Fator_MO" localSheetId="8">#REF!</definedName>
    <definedName name="Fator_MO" localSheetId="11">#REF!</definedName>
    <definedName name="Fator_MO" localSheetId="10">#REF!</definedName>
    <definedName name="Fator_MO">#REF!</definedName>
    <definedName name="Fundo" localSheetId="3">[3]FUNDO!#REF!</definedName>
    <definedName name="Fundo" localSheetId="15">[3]FUNDO!#REF!</definedName>
    <definedName name="Fundo" localSheetId="9">[3]FUNDO!#REF!</definedName>
    <definedName name="Fundo" localSheetId="13">[3]FUNDO!#REF!</definedName>
    <definedName name="Fundo" localSheetId="12">[3]FUNDO!#REF!</definedName>
    <definedName name="Fundo" localSheetId="8">[3]FUNDO!#REF!</definedName>
    <definedName name="Fundo" localSheetId="11">[3]FUNDO!#REF!</definedName>
    <definedName name="Fundo" localSheetId="10">[3]FUNDO!#REF!</definedName>
    <definedName name="Fundo" localSheetId="6">[4]FUNDO!#REF!</definedName>
    <definedName name="Fundo">[3]FUNDO!#REF!</definedName>
    <definedName name="G" localSheetId="5">#REF!</definedName>
    <definedName name="G" localSheetId="3">#REF!</definedName>
    <definedName name="G" localSheetId="0">#REF!</definedName>
    <definedName name="G" localSheetId="1">#REF!</definedName>
    <definedName name="G" localSheetId="15">#REF!</definedName>
    <definedName name="G" localSheetId="9">#REF!</definedName>
    <definedName name="G" localSheetId="13">#REF!</definedName>
    <definedName name="G" localSheetId="12">#REF!</definedName>
    <definedName name="G" localSheetId="4">#REF!</definedName>
    <definedName name="G" localSheetId="7">#REF!</definedName>
    <definedName name="G" localSheetId="2">#REF!</definedName>
    <definedName name="G" localSheetId="8">#REF!</definedName>
    <definedName name="G" localSheetId="11">#REF!</definedName>
    <definedName name="G" localSheetId="10">#REF!</definedName>
    <definedName name="G">#REF!</definedName>
    <definedName name="HONO" localSheetId="3">[5]COMERCIAL!#REF!</definedName>
    <definedName name="HONO" localSheetId="15">[5]COMERCIAL!#REF!</definedName>
    <definedName name="HONO" localSheetId="9">[5]COMERCIAL!#REF!</definedName>
    <definedName name="HONO" localSheetId="13">[5]COMERCIAL!#REF!</definedName>
    <definedName name="HONO" localSheetId="12">[5]COMERCIAL!#REF!</definedName>
    <definedName name="HONO" localSheetId="8">[5]COMERCIAL!#REF!</definedName>
    <definedName name="HONO" localSheetId="11">[5]COMERCIAL!#REF!</definedName>
    <definedName name="HONO" localSheetId="10">[5]COMERCIAL!#REF!</definedName>
    <definedName name="HONO" localSheetId="6">[6]COMERCIAL!#REF!</definedName>
    <definedName name="HONO">[5]COMERCIAL!#REF!</definedName>
    <definedName name="iii" localSheetId="5" hidden="1">{#N/A,#N/A,FALSE,"Plan1";#N/A,#N/A,FALSE,"Plan2"}</definedName>
    <definedName name="iii" localSheetId="3" hidden="1">{#N/A,#N/A,FALSE,"Plan1";#N/A,#N/A,FALSE,"Plan2"}</definedName>
    <definedName name="iii" localSheetId="0" hidden="1">{#N/A,#N/A,FALSE,"Plan1";#N/A,#N/A,FALSE,"Plan2"}</definedName>
    <definedName name="iii" localSheetId="1" hidden="1">{#N/A,#N/A,FALSE,"Plan1";#N/A,#N/A,FALSE,"Plan2"}</definedName>
    <definedName name="iii" localSheetId="15" hidden="1">{#N/A,#N/A,FALSE,"Plan1";#N/A,#N/A,FALSE,"Plan2"}</definedName>
    <definedName name="iii" localSheetId="9" hidden="1">{#N/A,#N/A,FALSE,"Plan1";#N/A,#N/A,FALSE,"Plan2"}</definedName>
    <definedName name="iii" localSheetId="13" hidden="1">{#N/A,#N/A,FALSE,"Plan1";#N/A,#N/A,FALSE,"Plan2"}</definedName>
    <definedName name="iii" localSheetId="12" hidden="1">{#N/A,#N/A,FALSE,"Plan1";#N/A,#N/A,FALSE,"Plan2"}</definedName>
    <definedName name="iii" localSheetId="4" hidden="1">{#N/A,#N/A,FALSE,"Plan1";#N/A,#N/A,FALSE,"Plan2"}</definedName>
    <definedName name="iii" localSheetId="7" hidden="1">{#N/A,#N/A,FALSE,"Plan1";#N/A,#N/A,FALSE,"Plan2"}</definedName>
    <definedName name="iii" localSheetId="2" hidden="1">{#N/A,#N/A,FALSE,"Plan1";#N/A,#N/A,FALSE,"Plan2"}</definedName>
    <definedName name="iii" localSheetId="8" hidden="1">{#N/A,#N/A,FALSE,"Plan1";#N/A,#N/A,FALSE,"Plan2"}</definedName>
    <definedName name="iii" localSheetId="11" hidden="1">{#N/A,#N/A,FALSE,"Plan1";#N/A,#N/A,FALSE,"Plan2"}</definedName>
    <definedName name="iii" localSheetId="10" hidden="1">{#N/A,#N/A,FALSE,"Plan1";#N/A,#N/A,FALSE,"Plan2"}</definedName>
    <definedName name="iii" localSheetId="6" hidden="1">{#N/A,#N/A,FALSE,"Plan1";#N/A,#N/A,FALSE,"Plan2"}</definedName>
    <definedName name="iii" hidden="1">{#N/A,#N/A,FALSE,"Plan1";#N/A,#N/A,FALSE,"Plan2"}</definedName>
    <definedName name="INDICADOR" localSheetId="3">[3]FUNDO!#REF!</definedName>
    <definedName name="INDICADOR" localSheetId="6">[4]FUNDO!#REF!</definedName>
    <definedName name="INDICADOR">[3]FUNDO!#REF!</definedName>
    <definedName name="loca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ugar" localSheetId="3">[8]Resumo!#REF!</definedName>
    <definedName name="lugar" localSheetId="15">[9]Resumo!#REF!</definedName>
    <definedName name="lugar" localSheetId="4">#REF!</definedName>
    <definedName name="lugar" localSheetId="7">[11]Resumo!#REF!</definedName>
    <definedName name="lugar" localSheetId="2">[8]Resumo!#REF!</definedName>
    <definedName name="lugar" localSheetId="6">[12]Resumo!#REF!</definedName>
    <definedName name="lugar">[10]Resumo!#REF!</definedName>
    <definedName name="MENU1" localSheetId="3">[5]COMERCIAL!#REF!</definedName>
    <definedName name="MENU1" localSheetId="6">[6]COMERCIAL!#REF!</definedName>
    <definedName name="MENU1">[5]COMERCIAL!#REF!</definedName>
    <definedName name="MENU2" localSheetId="3">[5]COMERCIAL!#REF!</definedName>
    <definedName name="MENU2" localSheetId="6">[6]COMERCIAL!#REF!</definedName>
    <definedName name="MENU2">[5]COMERCIAL!#REF!</definedName>
    <definedName name="MENU3" localSheetId="3">#REF!</definedName>
    <definedName name="MENU3" localSheetId="15">#REF!</definedName>
    <definedName name="MENU3" localSheetId="9">#REF!</definedName>
    <definedName name="MENU3" localSheetId="13">#REF!</definedName>
    <definedName name="MENU3" localSheetId="12">#REF!</definedName>
    <definedName name="MENU3" localSheetId="8">#REF!</definedName>
    <definedName name="MENU3" localSheetId="11">#REF!</definedName>
    <definedName name="MENU3" localSheetId="10">#REF!</definedName>
    <definedName name="MENU3">#REF!</definedName>
    <definedName name="MENU4" localSheetId="3">#REF!</definedName>
    <definedName name="MENU4" localSheetId="15">#REF!</definedName>
    <definedName name="MENU4" localSheetId="9">#REF!</definedName>
    <definedName name="MENU4" localSheetId="13">#REF!</definedName>
    <definedName name="MENU4" localSheetId="12">#REF!</definedName>
    <definedName name="MENU4" localSheetId="8">#REF!</definedName>
    <definedName name="MENU4" localSheetId="11">#REF!</definedName>
    <definedName name="MENU4" localSheetId="10">#REF!</definedName>
    <definedName name="MENU4">#REF!</definedName>
    <definedName name="nova" localSheetId="5" hidden="1">{#N/A,#N/A,FALSE,"Plan1";#N/A,#N/A,FALSE,"Plan2"}</definedName>
    <definedName name="nova" localSheetId="3" hidden="1">{#N/A,#N/A,FALSE,"Plan1";#N/A,#N/A,FALSE,"Plan2"}</definedName>
    <definedName name="nova" localSheetId="0" hidden="1">{#N/A,#N/A,FALSE,"Plan1";#N/A,#N/A,FALSE,"Plan2"}</definedName>
    <definedName name="nova" localSheetId="1" hidden="1">{#N/A,#N/A,FALSE,"Plan1";#N/A,#N/A,FALSE,"Plan2"}</definedName>
    <definedName name="nova" localSheetId="15" hidden="1">{#N/A,#N/A,FALSE,"Plan1";#N/A,#N/A,FALSE,"Plan2"}</definedName>
    <definedName name="nova" localSheetId="9" hidden="1">{#N/A,#N/A,FALSE,"Plan1";#N/A,#N/A,FALSE,"Plan2"}</definedName>
    <definedName name="nova" localSheetId="13" hidden="1">{#N/A,#N/A,FALSE,"Plan1";#N/A,#N/A,FALSE,"Plan2"}</definedName>
    <definedName name="nova" localSheetId="12" hidden="1">{#N/A,#N/A,FALSE,"Plan1";#N/A,#N/A,FALSE,"Plan2"}</definedName>
    <definedName name="nova" localSheetId="4" hidden="1">{#N/A,#N/A,FALSE,"Plan1";#N/A,#N/A,FALSE,"Plan2"}</definedName>
    <definedName name="nova" localSheetId="7" hidden="1">{#N/A,#N/A,FALSE,"Plan1";#N/A,#N/A,FALSE,"Plan2"}</definedName>
    <definedName name="nova" localSheetId="2" hidden="1">{#N/A,#N/A,FALSE,"Plan1";#N/A,#N/A,FALSE,"Plan2"}</definedName>
    <definedName name="nova" localSheetId="8" hidden="1">{#N/A,#N/A,FALSE,"Plan1";#N/A,#N/A,FALSE,"Plan2"}</definedName>
    <definedName name="nova" localSheetId="11" hidden="1">{#N/A,#N/A,FALSE,"Plan1";#N/A,#N/A,FALSE,"Plan2"}</definedName>
    <definedName name="nova" localSheetId="10" hidden="1">{#N/A,#N/A,FALSE,"Plan1";#N/A,#N/A,FALSE,"Plan2"}</definedName>
    <definedName name="nova" localSheetId="6" hidden="1">{#N/A,#N/A,FALSE,"Plan1";#N/A,#N/A,FALSE,"Plan2"}</definedName>
    <definedName name="nova" hidden="1">{#N/A,#N/A,FALSE,"Plan1";#N/A,#N/A,FALSE,"Plan2"}</definedName>
    <definedName name="nova1" localSheetId="5" hidden="1">{#N/A,#N/A,FALSE,"Plan1";#N/A,#N/A,FALSE,"Plan2"}</definedName>
    <definedName name="nova1" localSheetId="3" hidden="1">{#N/A,#N/A,FALSE,"Plan1";#N/A,#N/A,FALSE,"Plan2"}</definedName>
    <definedName name="nova1" localSheetId="0" hidden="1">{#N/A,#N/A,FALSE,"Plan1";#N/A,#N/A,FALSE,"Plan2"}</definedName>
    <definedName name="nova1" localSheetId="1" hidden="1">{#N/A,#N/A,FALSE,"Plan1";#N/A,#N/A,FALSE,"Plan2"}</definedName>
    <definedName name="nova1" localSheetId="15" hidden="1">{#N/A,#N/A,FALSE,"Plan1";#N/A,#N/A,FALSE,"Plan2"}</definedName>
    <definedName name="nova1" localSheetId="9" hidden="1">{#N/A,#N/A,FALSE,"Plan1";#N/A,#N/A,FALSE,"Plan2"}</definedName>
    <definedName name="nova1" localSheetId="13" hidden="1">{#N/A,#N/A,FALSE,"Plan1";#N/A,#N/A,FALSE,"Plan2"}</definedName>
    <definedName name="nova1" localSheetId="12" hidden="1">{#N/A,#N/A,FALSE,"Plan1";#N/A,#N/A,FALSE,"Plan2"}</definedName>
    <definedName name="nova1" localSheetId="4" hidden="1">{#N/A,#N/A,FALSE,"Plan1";#N/A,#N/A,FALSE,"Plan2"}</definedName>
    <definedName name="nova1" localSheetId="7" hidden="1">{#N/A,#N/A,FALSE,"Plan1";#N/A,#N/A,FALSE,"Plan2"}</definedName>
    <definedName name="nova1" localSheetId="2" hidden="1">{#N/A,#N/A,FALSE,"Plan1";#N/A,#N/A,FALSE,"Plan2"}</definedName>
    <definedName name="nova1" localSheetId="8" hidden="1">{#N/A,#N/A,FALSE,"Plan1";#N/A,#N/A,FALSE,"Plan2"}</definedName>
    <definedName name="nova1" localSheetId="11" hidden="1">{#N/A,#N/A,FALSE,"Plan1";#N/A,#N/A,FALSE,"Plan2"}</definedName>
    <definedName name="nova1" localSheetId="10" hidden="1">{#N/A,#N/A,FALSE,"Plan1";#N/A,#N/A,FALSE,"Plan2"}</definedName>
    <definedName name="nova1" localSheetId="6" hidden="1">{#N/A,#N/A,FALSE,"Plan1";#N/A,#N/A,FALSE,"Plan2"}</definedName>
    <definedName name="nova1" hidden="1">{#N/A,#N/A,FALSE,"Plan1";#N/A,#N/A,FALSE,"Plan2"}</definedName>
    <definedName name="num_mensal2" localSheetId="3">[13]CANT_LC!#REF!</definedName>
    <definedName name="num_mensal2" localSheetId="6">[14]CANT_LC!#REF!</definedName>
    <definedName name="num_mensal2">[13]CANT_LC!#REF!</definedName>
    <definedName name="ooo" localSheetId="5" hidden="1">{#N/A,#N/A,FALSE,"Plan1";#N/A,#N/A,FALSE,"Plan2"}</definedName>
    <definedName name="ooo" localSheetId="3" hidden="1">{#N/A,#N/A,FALSE,"Plan1";#N/A,#N/A,FALSE,"Plan2"}</definedName>
    <definedName name="ooo" localSheetId="0" hidden="1">{#N/A,#N/A,FALSE,"Plan1";#N/A,#N/A,FALSE,"Plan2"}</definedName>
    <definedName name="ooo" localSheetId="1" hidden="1">{#N/A,#N/A,FALSE,"Plan1";#N/A,#N/A,FALSE,"Plan2"}</definedName>
    <definedName name="ooo" localSheetId="15" hidden="1">{#N/A,#N/A,FALSE,"Plan1";#N/A,#N/A,FALSE,"Plan2"}</definedName>
    <definedName name="ooo" localSheetId="9" hidden="1">{#N/A,#N/A,FALSE,"Plan1";#N/A,#N/A,FALSE,"Plan2"}</definedName>
    <definedName name="ooo" localSheetId="13" hidden="1">{#N/A,#N/A,FALSE,"Plan1";#N/A,#N/A,FALSE,"Plan2"}</definedName>
    <definedName name="ooo" localSheetId="12" hidden="1">{#N/A,#N/A,FALSE,"Plan1";#N/A,#N/A,FALSE,"Plan2"}</definedName>
    <definedName name="ooo" localSheetId="4" hidden="1">{#N/A,#N/A,FALSE,"Plan1";#N/A,#N/A,FALSE,"Plan2"}</definedName>
    <definedName name="ooo" localSheetId="7" hidden="1">{#N/A,#N/A,FALSE,"Plan1";#N/A,#N/A,FALSE,"Plan2"}</definedName>
    <definedName name="ooo" localSheetId="2" hidden="1">{#N/A,#N/A,FALSE,"Plan1";#N/A,#N/A,FALSE,"Plan2"}</definedName>
    <definedName name="ooo" localSheetId="8" hidden="1">{#N/A,#N/A,FALSE,"Plan1";#N/A,#N/A,FALSE,"Plan2"}</definedName>
    <definedName name="ooo" localSheetId="11" hidden="1">{#N/A,#N/A,FALSE,"Plan1";#N/A,#N/A,FALSE,"Plan2"}</definedName>
    <definedName name="ooo" localSheetId="10" hidden="1">{#N/A,#N/A,FALSE,"Plan1";#N/A,#N/A,FALSE,"Plan2"}</definedName>
    <definedName name="ooo" localSheetId="6" hidden="1">{#N/A,#N/A,FALSE,"Plan1";#N/A,#N/A,FALSE,"Plan2"}</definedName>
    <definedName name="ooo" hidden="1">{#N/A,#N/A,FALSE,"Plan1";#N/A,#N/A,FALSE,"Plan2"}</definedName>
    <definedName name="plan2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ating" localSheetId="3">[8]Resumo!#REF!</definedName>
    <definedName name="Rating" localSheetId="15">[9]Resumo!#REF!</definedName>
    <definedName name="Rating" localSheetId="7">[11]Resumo!#REF!</definedName>
    <definedName name="Rating" localSheetId="2">[8]Resumo!#REF!</definedName>
    <definedName name="Rating" localSheetId="6">[12]Resumo!#REF!</definedName>
    <definedName name="Rating">[10]Resumo!#REF!</definedName>
    <definedName name="Ratinganalista" localSheetId="3">[8]Resumo!#REF!</definedName>
    <definedName name="Ratinganalista" localSheetId="15">[9]Resumo!#REF!</definedName>
    <definedName name="Ratinganalista" localSheetId="7">[11]Resumo!#REF!</definedName>
    <definedName name="Ratinganalista" localSheetId="2">[8]Resumo!#REF!</definedName>
    <definedName name="Ratinganalista" localSheetId="6">[12]Resumo!#REF!</definedName>
    <definedName name="Ratinganalista">[10]Resumo!#REF!</definedName>
    <definedName name="renda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n" localSheetId="5" hidden="1">{#N/A,#N/A,FALSE,"Plan1";#N/A,#N/A,FALSE,"Plan2"}</definedName>
    <definedName name="Rendan" localSheetId="3" hidden="1">{#N/A,#N/A,FALSE,"Plan1";#N/A,#N/A,FALSE,"Plan2"}</definedName>
    <definedName name="Rendan" localSheetId="0" hidden="1">{#N/A,#N/A,FALSE,"Plan1";#N/A,#N/A,FALSE,"Plan2"}</definedName>
    <definedName name="Rendan" localSheetId="1" hidden="1">{#N/A,#N/A,FALSE,"Plan1";#N/A,#N/A,FALSE,"Plan2"}</definedName>
    <definedName name="Rendan" localSheetId="15" hidden="1">{#N/A,#N/A,FALSE,"Plan1";#N/A,#N/A,FALSE,"Plan2"}</definedName>
    <definedName name="Rendan" localSheetId="9" hidden="1">{#N/A,#N/A,FALSE,"Plan1";#N/A,#N/A,FALSE,"Plan2"}</definedName>
    <definedName name="Rendan" localSheetId="13" hidden="1">{#N/A,#N/A,FALSE,"Plan1";#N/A,#N/A,FALSE,"Plan2"}</definedName>
    <definedName name="Rendan" localSheetId="12" hidden="1">{#N/A,#N/A,FALSE,"Plan1";#N/A,#N/A,FALSE,"Plan2"}</definedName>
    <definedName name="Rendan" localSheetId="4" hidden="1">{#N/A,#N/A,FALSE,"Plan1";#N/A,#N/A,FALSE,"Plan2"}</definedName>
    <definedName name="Rendan" localSheetId="7" hidden="1">{#N/A,#N/A,FALSE,"Plan1";#N/A,#N/A,FALSE,"Plan2"}</definedName>
    <definedName name="Rendan" localSheetId="2" hidden="1">{#N/A,#N/A,FALSE,"Plan1";#N/A,#N/A,FALSE,"Plan2"}</definedName>
    <definedName name="Rendan" localSheetId="8" hidden="1">{#N/A,#N/A,FALSE,"Plan1";#N/A,#N/A,FALSE,"Plan2"}</definedName>
    <definedName name="Rendan" localSheetId="11" hidden="1">{#N/A,#N/A,FALSE,"Plan1";#N/A,#N/A,FALSE,"Plan2"}</definedName>
    <definedName name="Rendan" localSheetId="10" hidden="1">{#N/A,#N/A,FALSE,"Plan1";#N/A,#N/A,FALSE,"Plan2"}</definedName>
    <definedName name="Rendan" localSheetId="6" hidden="1">{#N/A,#N/A,FALSE,"Plan1";#N/A,#N/A,FALSE,"Plan2"}</definedName>
    <definedName name="Rendan" hidden="1">{#N/A,#N/A,FALSE,"Plan1";#N/A,#N/A,FALSE,"Plan2"}</definedName>
    <definedName name="RendaProjeto" localSheetId="5" hidden="1">{#N/A,#N/A,FALSE,"Plan1";#N/A,#N/A,FALSE,"Plan2"}</definedName>
    <definedName name="RendaProjeto" localSheetId="3" hidden="1">{#N/A,#N/A,FALSE,"Plan1";#N/A,#N/A,FALSE,"Plan2"}</definedName>
    <definedName name="RendaProjeto" localSheetId="0" hidden="1">{#N/A,#N/A,FALSE,"Plan1";#N/A,#N/A,FALSE,"Plan2"}</definedName>
    <definedName name="RendaProjeto" localSheetId="1" hidden="1">{#N/A,#N/A,FALSE,"Plan1";#N/A,#N/A,FALSE,"Plan2"}</definedName>
    <definedName name="RendaProjeto" localSheetId="15" hidden="1">{#N/A,#N/A,FALSE,"Plan1";#N/A,#N/A,FALSE,"Plan2"}</definedName>
    <definedName name="RendaProjeto" localSheetId="9" hidden="1">{#N/A,#N/A,FALSE,"Plan1";#N/A,#N/A,FALSE,"Plan2"}</definedName>
    <definedName name="RendaProjeto" localSheetId="13" hidden="1">{#N/A,#N/A,FALSE,"Plan1";#N/A,#N/A,FALSE,"Plan2"}</definedName>
    <definedName name="RendaProjeto" localSheetId="12" hidden="1">{#N/A,#N/A,FALSE,"Plan1";#N/A,#N/A,FALSE,"Plan2"}</definedName>
    <definedName name="RendaProjeto" localSheetId="4" hidden="1">{#N/A,#N/A,FALSE,"Plan1";#N/A,#N/A,FALSE,"Plan2"}</definedName>
    <definedName name="RendaProjeto" localSheetId="7" hidden="1">{#N/A,#N/A,FALSE,"Plan1";#N/A,#N/A,FALSE,"Plan2"}</definedName>
    <definedName name="RendaProjeto" localSheetId="2" hidden="1">{#N/A,#N/A,FALSE,"Plan1";#N/A,#N/A,FALSE,"Plan2"}</definedName>
    <definedName name="RendaProjeto" localSheetId="8" hidden="1">{#N/A,#N/A,FALSE,"Plan1";#N/A,#N/A,FALSE,"Plan2"}</definedName>
    <definedName name="RendaProjeto" localSheetId="11" hidden="1">{#N/A,#N/A,FALSE,"Plan1";#N/A,#N/A,FALSE,"Plan2"}</definedName>
    <definedName name="RendaProjeto" localSheetId="10" hidden="1">{#N/A,#N/A,FALSE,"Plan1";#N/A,#N/A,FALSE,"Plan2"}</definedName>
    <definedName name="RendaProjeto" localSheetId="6" hidden="1">{#N/A,#N/A,FALSE,"Plan1";#N/A,#N/A,FALSE,"Plan2"}</definedName>
    <definedName name="RendaProjeto" hidden="1">{#N/A,#N/A,FALSE,"Plan1";#N/A,#N/A,FALSE,"Plan2"}</definedName>
    <definedName name="rua" localSheetId="3">[8]Resumo!#REF!</definedName>
    <definedName name="rua" localSheetId="15">[9]Resumo!#REF!</definedName>
    <definedName name="rua" localSheetId="4">#REF!</definedName>
    <definedName name="rua" localSheetId="7">[11]Resumo!#REF!</definedName>
    <definedName name="rua" localSheetId="2">[8]Resumo!#REF!</definedName>
    <definedName name="rua" localSheetId="6">[12]Resumo!#REF!</definedName>
    <definedName name="rua">[10]Resumo!#REF!</definedName>
    <definedName name="SALDO2" localSheetId="3">'[15]ESTUDO '!#REF!</definedName>
    <definedName name="SALDO2" localSheetId="6">'[16]ESTUDO '!#REF!</definedName>
    <definedName name="SALDO2">'[15]ESTUDO '!#REF!</definedName>
    <definedName name="SOMA2" localSheetId="3">[3]FUNDO!#REF!</definedName>
    <definedName name="SOMA2" localSheetId="6">[4]FUNDO!#REF!</definedName>
    <definedName name="SOMA2">[3]FUNDO!#REF!</definedName>
    <definedName name="Swvu.PLANILHA2." localSheetId="3" hidden="1">#REF!</definedName>
    <definedName name="Swvu.PLANILHA2." localSheetId="15" hidden="1">#REF!</definedName>
    <definedName name="Swvu.PLANILHA2." localSheetId="9" hidden="1">#REF!</definedName>
    <definedName name="Swvu.PLANILHA2." localSheetId="13" hidden="1">#REF!</definedName>
    <definedName name="Swvu.PLANILHA2." localSheetId="12" hidden="1">#REF!</definedName>
    <definedName name="Swvu.PLANILHA2." localSheetId="8" hidden="1">#REF!</definedName>
    <definedName name="Swvu.PLANILHA2." localSheetId="11" hidden="1">#REF!</definedName>
    <definedName name="Swvu.PLANILHA2." localSheetId="10" hidden="1">#REF!</definedName>
    <definedName name="Swvu.PLANILHA2." hidden="1">#REF!</definedName>
    <definedName name="tabela" localSheetId="3" hidden="1">[1]Assumptions!#REF!</definedName>
    <definedName name="tabela" localSheetId="15" hidden="1">[1]Assumptions!#REF!</definedName>
    <definedName name="tabela" localSheetId="7" hidden="1">[1]Assumptions!#REF!</definedName>
    <definedName name="tabela" localSheetId="6" hidden="1">[2]Assumptions!#REF!</definedName>
    <definedName name="tabela" hidden="1">[1]Assumptions!#REF!</definedName>
    <definedName name="tabelacliente" localSheetId="3">[8]Resumo!#REF!</definedName>
    <definedName name="tabelacliente" localSheetId="15">[9]Resumo!#REF!</definedName>
    <definedName name="tabelacliente" localSheetId="4">#REF!</definedName>
    <definedName name="tabelacliente" localSheetId="7">[11]Resumo!#REF!</definedName>
    <definedName name="tabelacliente" localSheetId="2">[8]Resumo!#REF!</definedName>
    <definedName name="tabelacliente" localSheetId="6">[12]Resumo!#REF!</definedName>
    <definedName name="tabelacliente">[10]Resumo!#REF!</definedName>
    <definedName name="Tabelacondiçaoo" localSheetId="3">[8]Resumo!#REF!</definedName>
    <definedName name="Tabelacondiçaoo" localSheetId="15">[9]Resumo!#REF!</definedName>
    <definedName name="Tabelacondiçaoo" localSheetId="7">[11]Resumo!#REF!</definedName>
    <definedName name="Tabelacondiçaoo" localSheetId="2">[8]Resumo!#REF!</definedName>
    <definedName name="Tabelacondiçaoo" localSheetId="6">[12]Resumo!#REF!</definedName>
    <definedName name="Tabelacondiçaoo">[10]Resumo!#REF!</definedName>
    <definedName name="tabeladeaprovados" localSheetId="5">#REF!</definedName>
    <definedName name="tabeladeaprovados" localSheetId="3">#REF!</definedName>
    <definedName name="tabeladeaprovados" localSheetId="0">#REF!</definedName>
    <definedName name="tabeladeaprovados" localSheetId="1">#REF!</definedName>
    <definedName name="tabeladeaprovados" localSheetId="4">#REF!</definedName>
    <definedName name="tabeladeaprovados" localSheetId="2">#REF!</definedName>
    <definedName name="tabeladeaprovados">#REF!</definedName>
    <definedName name="tabeladepossivels" localSheetId="3">[8]Resumo!#REF!</definedName>
    <definedName name="tabeladepossivels" localSheetId="15">[9]Resumo!#REF!</definedName>
    <definedName name="tabeladepossivels" localSheetId="9">[10]Resumo!#REF!</definedName>
    <definedName name="tabeladepossivels" localSheetId="13">[10]Resumo!#REF!</definedName>
    <definedName name="tabeladepossivels" localSheetId="12">[10]Resumo!#REF!</definedName>
    <definedName name="tabeladepossivels" localSheetId="4">#REF!</definedName>
    <definedName name="tabeladepossivels" localSheetId="7">[11]Resumo!#REF!</definedName>
    <definedName name="tabeladepossivels" localSheetId="2">[8]Resumo!#REF!</definedName>
    <definedName name="tabeladepossivels" localSheetId="8">[10]Resumo!#REF!</definedName>
    <definedName name="tabeladepossivels" localSheetId="11">[10]Resumo!#REF!</definedName>
    <definedName name="tabeladepossivels" localSheetId="10">[10]Resumo!#REF!</definedName>
    <definedName name="tabeladepossivels" localSheetId="6">[12]Resumo!#REF!</definedName>
    <definedName name="tabeladepossivels">[10]Resumo!#REF!</definedName>
    <definedName name="tabelafinal" localSheetId="3">[8]Resumo!#REF!</definedName>
    <definedName name="tabelafinal" localSheetId="15">[9]Resumo!#REF!</definedName>
    <definedName name="tabelafinal" localSheetId="9">[10]Resumo!#REF!</definedName>
    <definedName name="tabelafinal" localSheetId="13">[10]Resumo!#REF!</definedName>
    <definedName name="tabelafinal" localSheetId="12">[10]Resumo!#REF!</definedName>
    <definedName name="tabelafinal" localSheetId="4">#REF!</definedName>
    <definedName name="tabelafinal" localSheetId="7">[11]Resumo!#REF!</definedName>
    <definedName name="tabelafinal" localSheetId="2">[8]Resumo!#REF!</definedName>
    <definedName name="tabelafinal" localSheetId="8">[10]Resumo!#REF!</definedName>
    <definedName name="tabelafinal" localSheetId="11">[10]Resumo!#REF!</definedName>
    <definedName name="tabelafinal" localSheetId="10">[10]Resumo!#REF!</definedName>
    <definedName name="tabelafinal" localSheetId="6">[12]Resumo!#REF!</definedName>
    <definedName name="tabelafinal">[10]Resumo!#REF!</definedName>
    <definedName name="tabelafinalsac" localSheetId="3">[8]Resumo!#REF!</definedName>
    <definedName name="tabelafinalsac" localSheetId="15">[9]Resumo!#REF!</definedName>
    <definedName name="tabelafinalsac" localSheetId="4">#REF!</definedName>
    <definedName name="tabelafinalsac" localSheetId="7">[11]Resumo!#REF!</definedName>
    <definedName name="tabelafinalsac" localSheetId="2">[8]Resumo!#REF!</definedName>
    <definedName name="tabelafinalsac" localSheetId="6">[12]Resumo!#REF!</definedName>
    <definedName name="tabelafinalsac">[10]Resumo!#REF!</definedName>
    <definedName name="tabelarisco" localSheetId="3">[8]Resumo!#REF!</definedName>
    <definedName name="tabelarisco" localSheetId="15">[9]Resumo!#REF!</definedName>
    <definedName name="tabelarisco" localSheetId="4">#REF!</definedName>
    <definedName name="tabelarisco" localSheetId="7">[11]Resumo!#REF!</definedName>
    <definedName name="tabelarisco" localSheetId="2">[8]Resumo!#REF!</definedName>
    <definedName name="tabelarisco" localSheetId="6">[12]Resumo!#REF!</definedName>
    <definedName name="tabelarisco">[10]Resumo!#REF!</definedName>
    <definedName name="tabelavalor" localSheetId="3">[8]Resumo!#REF!</definedName>
    <definedName name="tabelavalor" localSheetId="15">[9]Resumo!#REF!</definedName>
    <definedName name="tabelavalor" localSheetId="7">[11]Resumo!#REF!</definedName>
    <definedName name="tabelavalor" localSheetId="2">[8]Resumo!#REF!</definedName>
    <definedName name="tabelavalor" localSheetId="6">[12]Resumo!#REF!</definedName>
    <definedName name="tabelavalor">[10]Resumo!#REF!</definedName>
    <definedName name="TERR" localSheetId="3">[5]COMERCIAL!#REF!</definedName>
    <definedName name="TERR" localSheetId="6">[6]COMERCIAL!#REF!</definedName>
    <definedName name="TERR">[5]COMERCIAL!#REF!</definedName>
    <definedName name="_xlnm.Print_Titles" localSheetId="15">Municípios!$2:$2</definedName>
    <definedName name="TOTAL2" localSheetId="3">'[15]ESTUDO '!#REF!</definedName>
    <definedName name="TOTAL2" localSheetId="15">'[15]ESTUDO '!#REF!</definedName>
    <definedName name="TOTAL2" localSheetId="6">'[16]ESTUDO '!#REF!</definedName>
    <definedName name="TOTAL2">'[15]ESTUDO '!#REF!</definedName>
    <definedName name="ttt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UDO2" localSheetId="3">'[15]ESTUDO '!#REF!</definedName>
    <definedName name="TUDO2" localSheetId="6">'[16]ESTUDO '!#REF!</definedName>
    <definedName name="TUDO2">'[15]ESTUDO '!#REF!</definedName>
    <definedName name="uuu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ALOR2" localSheetId="3">[13]CANT_LC!#REF!</definedName>
    <definedName name="VALOR2" localSheetId="6">[14]CANT_LC!#REF!</definedName>
    <definedName name="VALOR2">[13]CANT_LC!#REF!</definedName>
    <definedName name="veri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lr_mensal" localSheetId="3">[13]CANT_LC!#REF!</definedName>
    <definedName name="vlr_mensal" localSheetId="6">[14]CANT_LC!#REF!</definedName>
    <definedName name="vlr_mensal">[13]CANT_LC!#REF!</definedName>
    <definedName name="vveri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rn.IMPRESSO." localSheetId="5" hidden="1">{#N/A,#N/A,FALSE,"Plan1";#N/A,#N/A,FALSE,"Plan2"}</definedName>
    <definedName name="wrn.IMPRESSO." localSheetId="3" hidden="1">{#N/A,#N/A,FALSE,"Plan1";#N/A,#N/A,FALSE,"Plan2"}</definedName>
    <definedName name="wrn.IMPRESSO." localSheetId="0" hidden="1">{#N/A,#N/A,FALSE,"Plan1";#N/A,#N/A,FALSE,"Plan2"}</definedName>
    <definedName name="wrn.IMPRESSO." localSheetId="1" hidden="1">{#N/A,#N/A,FALSE,"Plan1";#N/A,#N/A,FALSE,"Plan2"}</definedName>
    <definedName name="wrn.IMPRESSO." localSheetId="15" hidden="1">{#N/A,#N/A,FALSE,"Plan1";#N/A,#N/A,FALSE,"Plan2"}</definedName>
    <definedName name="wrn.IMPRESSO." localSheetId="9" hidden="1">{#N/A,#N/A,FALSE,"Plan1";#N/A,#N/A,FALSE,"Plan2"}</definedName>
    <definedName name="wrn.IMPRESSO." localSheetId="13" hidden="1">{#N/A,#N/A,FALSE,"Plan1";#N/A,#N/A,FALSE,"Plan2"}</definedName>
    <definedName name="wrn.IMPRESSO." localSheetId="12" hidden="1">{#N/A,#N/A,FALSE,"Plan1";#N/A,#N/A,FALSE,"Plan2"}</definedName>
    <definedName name="wrn.IMPRESSO." localSheetId="4" hidden="1">{#N/A,#N/A,FALSE,"Plan1";#N/A,#N/A,FALSE,"Plan2"}</definedName>
    <definedName name="wrn.IMPRESSO." localSheetId="7" hidden="1">{#N/A,#N/A,FALSE,"Plan1";#N/A,#N/A,FALSE,"Plan2"}</definedName>
    <definedName name="wrn.IMPRESSO." localSheetId="2" hidden="1">{#N/A,#N/A,FALSE,"Plan1";#N/A,#N/A,FALSE,"Plan2"}</definedName>
    <definedName name="wrn.IMPRESSO." localSheetId="8" hidden="1">{#N/A,#N/A,FALSE,"Plan1";#N/A,#N/A,FALSE,"Plan2"}</definedName>
    <definedName name="wrn.IMPRESSO." localSheetId="11" hidden="1">{#N/A,#N/A,FALSE,"Plan1";#N/A,#N/A,FALSE,"Plan2"}</definedName>
    <definedName name="wrn.IMPRESSO." localSheetId="10" hidden="1">{#N/A,#N/A,FALSE,"Plan1";#N/A,#N/A,FALSE,"Plan2"}</definedName>
    <definedName name="wrn.IMPRESSO." localSheetId="6" hidden="1">{#N/A,#N/A,FALSE,"Plan1";#N/A,#N/A,FALSE,"Plan2"}</definedName>
    <definedName name="wrn.IMPRESSO." hidden="1">{#N/A,#N/A,FALSE,"Plan1";#N/A,#N/A,FALSE,"Plan2"}</definedName>
    <definedName name="wvu.PLANILHA2.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" localSheetId="5" hidden="1">{#N/A,#N/A,FALSE,"Plan1";#N/A,#N/A,FALSE,"Plan2"}</definedName>
    <definedName name="xxx" localSheetId="3" hidden="1">{#N/A,#N/A,FALSE,"Plan1";#N/A,#N/A,FALSE,"Plan2"}</definedName>
    <definedName name="xxx" localSheetId="0" hidden="1">{#N/A,#N/A,FALSE,"Plan1";#N/A,#N/A,FALSE,"Plan2"}</definedName>
    <definedName name="xxx" localSheetId="1" hidden="1">{#N/A,#N/A,FALSE,"Plan1";#N/A,#N/A,FALSE,"Plan2"}</definedName>
    <definedName name="xxx" localSheetId="15" hidden="1">{#N/A,#N/A,FALSE,"Plan1";#N/A,#N/A,FALSE,"Plan2"}</definedName>
    <definedName name="xxx" localSheetId="9" hidden="1">{#N/A,#N/A,FALSE,"Plan1";#N/A,#N/A,FALSE,"Plan2"}</definedName>
    <definedName name="xxx" localSheetId="13" hidden="1">{#N/A,#N/A,FALSE,"Plan1";#N/A,#N/A,FALSE,"Plan2"}</definedName>
    <definedName name="xxx" localSheetId="12" hidden="1">{#N/A,#N/A,FALSE,"Plan1";#N/A,#N/A,FALSE,"Plan2"}</definedName>
    <definedName name="xxx" localSheetId="4" hidden="1">{#N/A,#N/A,FALSE,"Plan1";#N/A,#N/A,FALSE,"Plan2"}</definedName>
    <definedName name="xxx" localSheetId="7" hidden="1">{#N/A,#N/A,FALSE,"Plan1";#N/A,#N/A,FALSE,"Plan2"}</definedName>
    <definedName name="xxx" localSheetId="2" hidden="1">{#N/A,#N/A,FALSE,"Plan1";#N/A,#N/A,FALSE,"Plan2"}</definedName>
    <definedName name="xxx" localSheetId="8" hidden="1">{#N/A,#N/A,FALSE,"Plan1";#N/A,#N/A,FALSE,"Plan2"}</definedName>
    <definedName name="xxx" localSheetId="11" hidden="1">{#N/A,#N/A,FALSE,"Plan1";#N/A,#N/A,FALSE,"Plan2"}</definedName>
    <definedName name="xxx" localSheetId="10" hidden="1">{#N/A,#N/A,FALSE,"Plan1";#N/A,#N/A,FALSE,"Plan2"}</definedName>
    <definedName name="xxx" localSheetId="6" hidden="1">{#N/A,#N/A,FALSE,"Plan1";#N/A,#N/A,FALSE,"Plan2"}</definedName>
    <definedName name="xxx" hidden="1">{#N/A,#N/A,FALSE,"Plan1";#N/A,#N/A,FALSE,"Plan2"}</definedName>
    <definedName name="xxxxx" localSheetId="5" hidden="1">{#N/A,#N/A,FALSE,"Plan1";#N/A,#N/A,FALSE,"Plan2"}</definedName>
    <definedName name="xxxxx" localSheetId="3" hidden="1">{#N/A,#N/A,FALSE,"Plan1";#N/A,#N/A,FALSE,"Plan2"}</definedName>
    <definedName name="xxxxx" localSheetId="0" hidden="1">{#N/A,#N/A,FALSE,"Plan1";#N/A,#N/A,FALSE,"Plan2"}</definedName>
    <definedName name="xxxxx" localSheetId="1" hidden="1">{#N/A,#N/A,FALSE,"Plan1";#N/A,#N/A,FALSE,"Plan2"}</definedName>
    <definedName name="xxxxx" localSheetId="15" hidden="1">{#N/A,#N/A,FALSE,"Plan1";#N/A,#N/A,FALSE,"Plan2"}</definedName>
    <definedName name="xxxxx" localSheetId="9" hidden="1">{#N/A,#N/A,FALSE,"Plan1";#N/A,#N/A,FALSE,"Plan2"}</definedName>
    <definedName name="xxxxx" localSheetId="13" hidden="1">{#N/A,#N/A,FALSE,"Plan1";#N/A,#N/A,FALSE,"Plan2"}</definedName>
    <definedName name="xxxxx" localSheetId="12" hidden="1">{#N/A,#N/A,FALSE,"Plan1";#N/A,#N/A,FALSE,"Plan2"}</definedName>
    <definedName name="xxxxx" localSheetId="4" hidden="1">{#N/A,#N/A,FALSE,"Plan1";#N/A,#N/A,FALSE,"Plan2"}</definedName>
    <definedName name="xxxxx" localSheetId="7" hidden="1">{#N/A,#N/A,FALSE,"Plan1";#N/A,#N/A,FALSE,"Plan2"}</definedName>
    <definedName name="xxxxx" localSheetId="2" hidden="1">{#N/A,#N/A,FALSE,"Plan1";#N/A,#N/A,FALSE,"Plan2"}</definedName>
    <definedName name="xxxxx" localSheetId="8" hidden="1">{#N/A,#N/A,FALSE,"Plan1";#N/A,#N/A,FALSE,"Plan2"}</definedName>
    <definedName name="xxxxx" localSheetId="11" hidden="1">{#N/A,#N/A,FALSE,"Plan1";#N/A,#N/A,FALSE,"Plan2"}</definedName>
    <definedName name="xxxxx" localSheetId="10" hidden="1">{#N/A,#N/A,FALSE,"Plan1";#N/A,#N/A,FALSE,"Plan2"}</definedName>
    <definedName name="xxxxx" localSheetId="6" hidden="1">{#N/A,#N/A,FALSE,"Plan1";#N/A,#N/A,FALSE,"Plan2"}</definedName>
    <definedName name="xxxxx" hidden="1">{#N/A,#N/A,FALSE,"Plan1";#N/A,#N/A,FALSE,"Plan2"}</definedName>
    <definedName name="yyy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45" i="20" l="1"/>
  <c r="AA48" i="20"/>
  <c r="AA100" i="20"/>
  <c r="AA101" i="20"/>
  <c r="AA102" i="20"/>
  <c r="AA103" i="20"/>
  <c r="AA104" i="20"/>
  <c r="AA105" i="20"/>
  <c r="AA99" i="20"/>
  <c r="AA89" i="20"/>
  <c r="AA90" i="20"/>
  <c r="AA91" i="20"/>
  <c r="AA92" i="20"/>
  <c r="AA93" i="20"/>
  <c r="AA94" i="20"/>
  <c r="AA88" i="20"/>
  <c r="AA78" i="20"/>
  <c r="AA79" i="20"/>
  <c r="AA80" i="20"/>
  <c r="AA81" i="20"/>
  <c r="AA82" i="20"/>
  <c r="AA83" i="20"/>
  <c r="AA77" i="20"/>
  <c r="AA67" i="20"/>
  <c r="AA68" i="20"/>
  <c r="AA69" i="20"/>
  <c r="AA70" i="20"/>
  <c r="AA71" i="20"/>
  <c r="AA72" i="20"/>
  <c r="AA66" i="20"/>
  <c r="AA56" i="20"/>
  <c r="AA57" i="20"/>
  <c r="AA58" i="20"/>
  <c r="AA59" i="20"/>
  <c r="AA60" i="20"/>
  <c r="AA61" i="20"/>
  <c r="AA55" i="20"/>
  <c r="AA46" i="20"/>
  <c r="AA47" i="20"/>
  <c r="AA49" i="20"/>
  <c r="AA50" i="20"/>
  <c r="AA44" i="20"/>
  <c r="S304" i="19"/>
  <c r="S303" i="19"/>
  <c r="S302" i="19"/>
  <c r="S301" i="19"/>
  <c r="S300" i="19"/>
  <c r="S299" i="19"/>
  <c r="S298" i="19"/>
  <c r="S297" i="19"/>
  <c r="S296" i="19"/>
  <c r="S295" i="19"/>
  <c r="S294" i="19"/>
  <c r="S293" i="19"/>
  <c r="S292" i="19"/>
  <c r="S291" i="19"/>
  <c r="S290" i="19"/>
  <c r="S289" i="19"/>
  <c r="S288" i="19"/>
  <c r="S287" i="19"/>
  <c r="S286" i="19"/>
  <c r="S285" i="19"/>
  <c r="S284" i="19"/>
  <c r="S283" i="19"/>
  <c r="S282" i="19"/>
  <c r="S281" i="19"/>
  <c r="S280" i="19"/>
  <c r="S279" i="19"/>
  <c r="S278" i="19"/>
  <c r="S277" i="19"/>
  <c r="S276" i="19"/>
  <c r="S275" i="19"/>
  <c r="S274" i="19"/>
  <c r="S273" i="19"/>
  <c r="S272" i="19"/>
  <c r="S271" i="19"/>
  <c r="S270" i="19"/>
  <c r="S269" i="19"/>
  <c r="S268" i="19"/>
  <c r="S267" i="19"/>
  <c r="S266" i="19"/>
  <c r="S265" i="19"/>
  <c r="S264" i="19"/>
  <c r="S263" i="19"/>
  <c r="S262" i="19"/>
  <c r="S261" i="19"/>
  <c r="S260" i="19"/>
  <c r="S259" i="19"/>
  <c r="S258" i="19"/>
  <c r="S257" i="19"/>
  <c r="S256" i="19"/>
  <c r="S255" i="19"/>
  <c r="S254" i="19"/>
  <c r="S253" i="19"/>
  <c r="S252" i="19"/>
  <c r="S251" i="19"/>
  <c r="S250" i="19"/>
  <c r="S249" i="19"/>
  <c r="S248" i="19"/>
  <c r="S247" i="19"/>
  <c r="S246" i="19"/>
  <c r="S245" i="19"/>
  <c r="S244" i="19"/>
  <c r="S243" i="19"/>
  <c r="S242" i="19"/>
  <c r="S241" i="19"/>
  <c r="S240" i="19"/>
  <c r="S239" i="19"/>
  <c r="S238" i="19"/>
  <c r="S237" i="19"/>
  <c r="S236" i="19"/>
  <c r="S235" i="19"/>
  <c r="S234" i="19"/>
  <c r="S233" i="19"/>
  <c r="S232" i="19"/>
  <c r="S231" i="19"/>
  <c r="S230" i="19"/>
  <c r="S229" i="19"/>
  <c r="S228" i="19"/>
  <c r="S227" i="19"/>
  <c r="S226" i="19"/>
  <c r="S225" i="19"/>
  <c r="S224" i="19"/>
  <c r="S223" i="19"/>
  <c r="S222" i="19"/>
  <c r="S221" i="19"/>
  <c r="S220" i="19"/>
  <c r="S219" i="19"/>
  <c r="S218" i="19"/>
  <c r="S217" i="19"/>
  <c r="S216" i="19"/>
  <c r="S215" i="19"/>
  <c r="S214" i="19"/>
  <c r="S213" i="19"/>
  <c r="S212" i="19"/>
  <c r="S211" i="19"/>
  <c r="S210" i="19"/>
  <c r="S209" i="19"/>
  <c r="S208" i="19"/>
  <c r="S207" i="19"/>
  <c r="S206" i="19"/>
  <c r="S205" i="19"/>
  <c r="S204" i="19"/>
  <c r="S203" i="19"/>
  <c r="S202" i="19"/>
  <c r="S201" i="19"/>
  <c r="S200" i="19"/>
  <c r="S199" i="19"/>
  <c r="S198" i="19"/>
  <c r="S197" i="19"/>
  <c r="S196" i="19"/>
  <c r="S195" i="19"/>
  <c r="S194" i="19"/>
  <c r="S193" i="19"/>
  <c r="S192" i="19"/>
  <c r="S191" i="19"/>
  <c r="S190" i="19"/>
  <c r="S189" i="19"/>
  <c r="S188" i="19"/>
  <c r="S187" i="19"/>
  <c r="S186" i="19"/>
  <c r="S185" i="19"/>
  <c r="S184" i="19"/>
  <c r="S183" i="19"/>
  <c r="S182" i="19"/>
  <c r="S181" i="19"/>
  <c r="S180" i="19"/>
  <c r="S179" i="19"/>
  <c r="S178" i="19"/>
  <c r="S177" i="19"/>
  <c r="S176" i="19"/>
  <c r="S175" i="19"/>
  <c r="S174" i="19"/>
  <c r="S173" i="19"/>
  <c r="S172" i="19"/>
  <c r="S171" i="19"/>
  <c r="S170" i="19"/>
  <c r="S169" i="19"/>
  <c r="S168" i="19"/>
  <c r="S167" i="19"/>
  <c r="S166" i="19"/>
  <c r="S165" i="19"/>
  <c r="S164" i="19"/>
  <c r="S163" i="19"/>
  <c r="S162" i="19"/>
  <c r="S161" i="19"/>
  <c r="S160" i="19"/>
  <c r="S159" i="19"/>
  <c r="S158" i="19"/>
  <c r="S157" i="19"/>
  <c r="S156" i="19"/>
  <c r="S155" i="19"/>
  <c r="S154" i="19"/>
  <c r="S153" i="19"/>
  <c r="S152" i="19"/>
  <c r="S151" i="19"/>
  <c r="S150" i="19"/>
  <c r="S149" i="19"/>
  <c r="S148" i="19"/>
  <c r="S147" i="19"/>
  <c r="S146" i="19"/>
  <c r="S145" i="19"/>
  <c r="S144" i="19"/>
  <c r="S143" i="19"/>
  <c r="S142" i="19"/>
  <c r="S141" i="19"/>
  <c r="S140" i="19"/>
  <c r="S139" i="19"/>
  <c r="S138" i="19"/>
  <c r="S137" i="19"/>
  <c r="S136" i="19"/>
  <c r="S135" i="19"/>
  <c r="S134" i="19"/>
  <c r="S133" i="19"/>
  <c r="S132" i="19"/>
  <c r="S131" i="19"/>
  <c r="S130" i="19"/>
  <c r="S129" i="19"/>
  <c r="S128" i="19"/>
  <c r="S127" i="19"/>
  <c r="S126" i="19"/>
  <c r="S125" i="19"/>
  <c r="S124" i="19"/>
  <c r="S123" i="19"/>
  <c r="S122" i="19"/>
  <c r="S121" i="19"/>
  <c r="S120" i="19"/>
  <c r="S119" i="19"/>
  <c r="S118" i="19"/>
  <c r="S117" i="19"/>
  <c r="S116" i="19"/>
  <c r="S115" i="19"/>
  <c r="S114" i="19"/>
  <c r="S113" i="19"/>
  <c r="S112" i="19"/>
  <c r="S111" i="19"/>
  <c r="S110" i="19"/>
  <c r="S109" i="19"/>
  <c r="S108" i="19"/>
  <c r="S107" i="19"/>
  <c r="S106" i="19"/>
  <c r="S105" i="19"/>
  <c r="S104" i="19"/>
  <c r="S103" i="19"/>
  <c r="S102" i="19"/>
  <c r="S101" i="19"/>
  <c r="S100" i="19"/>
  <c r="S99" i="19"/>
  <c r="S98" i="19"/>
  <c r="S97" i="19"/>
  <c r="S96" i="19"/>
  <c r="S95" i="19"/>
  <c r="S94" i="19"/>
  <c r="S93" i="19"/>
  <c r="S92" i="19"/>
  <c r="S91" i="19"/>
  <c r="S90" i="19"/>
  <c r="S89" i="19"/>
  <c r="S88" i="19"/>
  <c r="S87" i="19"/>
  <c r="S86" i="19"/>
  <c r="S85" i="19"/>
  <c r="S84" i="19"/>
  <c r="S83" i="19"/>
  <c r="S82" i="19"/>
  <c r="S81" i="19"/>
  <c r="S80" i="19"/>
  <c r="S79" i="19"/>
  <c r="S78" i="19"/>
  <c r="S77" i="19"/>
  <c r="S76" i="19"/>
  <c r="S75" i="19"/>
  <c r="S74" i="19"/>
  <c r="S73" i="19"/>
  <c r="S72" i="19"/>
  <c r="S71" i="19"/>
  <c r="S70" i="19"/>
  <c r="S69" i="19"/>
  <c r="S68" i="19"/>
  <c r="S67" i="19"/>
  <c r="S66" i="19"/>
  <c r="S65" i="19"/>
  <c r="S64" i="19"/>
  <c r="S63" i="19"/>
  <c r="S62" i="19"/>
  <c r="S61" i="19"/>
  <c r="S60" i="19"/>
  <c r="S59" i="19"/>
  <c r="S58" i="19"/>
  <c r="S57" i="19"/>
  <c r="S56" i="19"/>
  <c r="S55" i="19"/>
  <c r="S54" i="19"/>
  <c r="S53" i="19"/>
  <c r="S52" i="19"/>
  <c r="S51" i="19"/>
  <c r="S50" i="19"/>
  <c r="S49" i="19"/>
  <c r="S48" i="19"/>
  <c r="S47" i="19"/>
  <c r="S46" i="19"/>
  <c r="S45" i="19"/>
  <c r="S44" i="19"/>
  <c r="S43" i="19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X13" i="19"/>
  <c r="S13" i="19"/>
  <c r="X12" i="19"/>
  <c r="S12" i="19"/>
  <c r="X11" i="19"/>
  <c r="S11" i="19"/>
  <c r="X10" i="19"/>
  <c r="S10" i="19"/>
  <c r="X9" i="19"/>
  <c r="S9" i="19"/>
  <c r="X8" i="19"/>
  <c r="S8" i="19"/>
  <c r="AA51" i="20" l="1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D41" i="22"/>
  <c r="BQ38" i="22"/>
  <c r="BR38" i="22"/>
  <c r="BS38" i="22"/>
  <c r="BT38" i="22"/>
  <c r="BU38" i="22"/>
  <c r="BU57" i="22" s="1"/>
  <c r="K57" i="22" s="1"/>
  <c r="BV38" i="22"/>
  <c r="BV52" i="22" s="1"/>
  <c r="L52" i="22" s="1"/>
  <c r="BW38" i="22"/>
  <c r="BW55" i="22" s="1"/>
  <c r="O55" i="22" s="1"/>
  <c r="BX38" i="22"/>
  <c r="BX58" i="22" s="1"/>
  <c r="X58" i="22" s="1"/>
  <c r="BY38" i="22"/>
  <c r="BZ38" i="22"/>
  <c r="BZ56" i="22" s="1"/>
  <c r="W56" i="22" s="1"/>
  <c r="CA38" i="22"/>
  <c r="CA59" i="22" s="1"/>
  <c r="CB38" i="22"/>
  <c r="BP38" i="22"/>
  <c r="L57" i="19"/>
  <c r="L58" i="19"/>
  <c r="L59" i="19"/>
  <c r="L60" i="19"/>
  <c r="L61" i="19"/>
  <c r="L62" i="19"/>
  <c r="L63" i="19"/>
  <c r="L67" i="19"/>
  <c r="L68" i="19"/>
  <c r="L69" i="19"/>
  <c r="L70" i="19"/>
  <c r="L71" i="19"/>
  <c r="L72" i="19"/>
  <c r="L73" i="19"/>
  <c r="CB48" i="22" l="1"/>
  <c r="BQ58" i="22"/>
  <c r="G58" i="22" s="1"/>
  <c r="BY54" i="22"/>
  <c r="Y54" i="22" s="1"/>
  <c r="BV54" i="22"/>
  <c r="L54" i="22" s="1"/>
  <c r="BV46" i="22"/>
  <c r="L46" i="22" s="1"/>
  <c r="BX44" i="22"/>
  <c r="X44" i="22" s="1"/>
  <c r="BY60" i="22"/>
  <c r="Y60" i="22" s="1"/>
  <c r="BQ60" i="22"/>
  <c r="G60" i="22" s="1"/>
  <c r="CA58" i="22"/>
  <c r="BP52" i="22"/>
  <c r="E52" i="22" s="1"/>
  <c r="BQ52" i="22"/>
  <c r="G52" i="22" s="1"/>
  <c r="BX57" i="22"/>
  <c r="X57" i="22" s="1"/>
  <c r="BZ61" i="22"/>
  <c r="BU56" i="22"/>
  <c r="K56" i="22" s="1"/>
  <c r="BY52" i="22"/>
  <c r="Y52" i="22" s="1"/>
  <c r="BT61" i="22"/>
  <c r="BX55" i="22"/>
  <c r="X55" i="22" s="1"/>
  <c r="BW59" i="22"/>
  <c r="O59" i="22" s="1"/>
  <c r="CB58" i="22"/>
  <c r="BT58" i="22"/>
  <c r="J58" i="22" s="1"/>
  <c r="BY57" i="22"/>
  <c r="Y57" i="22" s="1"/>
  <c r="BQ57" i="22"/>
  <c r="G57" i="22" s="1"/>
  <c r="BV56" i="22"/>
  <c r="L56" i="22" s="1"/>
  <c r="BQ44" i="22"/>
  <c r="BT53" i="22"/>
  <c r="J53" i="22" s="1"/>
  <c r="BS53" i="22"/>
  <c r="I53" i="22" s="1"/>
  <c r="BT59" i="22"/>
  <c r="J59" i="22" s="1"/>
  <c r="BR58" i="22"/>
  <c r="H58" i="22" s="1"/>
  <c r="BW60" i="22"/>
  <c r="O60" i="22" s="1"/>
  <c r="BR61" i="22"/>
  <c r="CB59" i="22"/>
  <c r="CB45" i="22"/>
  <c r="BZ45" i="22"/>
  <c r="W45" i="22" s="1"/>
  <c r="BT56" i="22"/>
  <c r="J56" i="22" s="1"/>
  <c r="BZ58" i="22"/>
  <c r="W58" i="22" s="1"/>
  <c r="BR45" i="22"/>
  <c r="H45" i="22" s="1"/>
  <c r="BP44" i="22"/>
  <c r="BU61" i="22"/>
  <c r="BZ60" i="22"/>
  <c r="W60" i="22" s="1"/>
  <c r="BR60" i="22"/>
  <c r="H60" i="22" s="1"/>
  <c r="CA55" i="22"/>
  <c r="BS55" i="22"/>
  <c r="I55" i="22" s="1"/>
  <c r="BX54" i="22"/>
  <c r="X54" i="22" s="1"/>
  <c r="BP54" i="22"/>
  <c r="E54" i="22" s="1"/>
  <c r="BU53" i="22"/>
  <c r="K53" i="22" s="1"/>
  <c r="BZ52" i="22"/>
  <c r="W52" i="22" s="1"/>
  <c r="BR52" i="22"/>
  <c r="H52" i="22" s="1"/>
  <c r="BV51" i="22"/>
  <c r="L51" i="22" s="1"/>
  <c r="BX49" i="22"/>
  <c r="X49" i="22" s="1"/>
  <c r="BQ49" i="22"/>
  <c r="G49" i="22" s="1"/>
  <c r="BU48" i="22"/>
  <c r="K48" i="22" s="1"/>
  <c r="BZ47" i="22"/>
  <c r="W47" i="22" s="1"/>
  <c r="BS47" i="22"/>
  <c r="I47" i="22" s="1"/>
  <c r="BX46" i="22"/>
  <c r="X46" i="22" s="1"/>
  <c r="BP46" i="22"/>
  <c r="E46" i="22" s="1"/>
  <c r="BR44" i="22"/>
  <c r="BR53" i="22"/>
  <c r="H53" i="22" s="1"/>
  <c r="BS58" i="22"/>
  <c r="I58" i="22" s="1"/>
  <c r="BP57" i="22"/>
  <c r="E57" i="22" s="1"/>
  <c r="BR55" i="22"/>
  <c r="H55" i="22" s="1"/>
  <c r="BY55" i="22"/>
  <c r="Y55" i="22" s="1"/>
  <c r="BQ54" i="22"/>
  <c r="G54" i="22" s="1"/>
  <c r="BP58" i="22"/>
  <c r="E58" i="22" s="1"/>
  <c r="BQ53" i="22"/>
  <c r="G53" i="22" s="1"/>
  <c r="BR47" i="22"/>
  <c r="H47" i="22" s="1"/>
  <c r="BY58" i="22"/>
  <c r="Y58" i="22" s="1"/>
  <c r="BV57" i="22"/>
  <c r="L57" i="22" s="1"/>
  <c r="CA56" i="22"/>
  <c r="BS56" i="22"/>
  <c r="I56" i="22" s="1"/>
  <c r="BP55" i="22"/>
  <c r="E55" i="22" s="1"/>
  <c r="BU54" i="22"/>
  <c r="K54" i="22" s="1"/>
  <c r="BZ53" i="22"/>
  <c r="W53" i="22" s="1"/>
  <c r="BW52" i="22"/>
  <c r="O52" i="22" s="1"/>
  <c r="BV49" i="22"/>
  <c r="L49" i="22" s="1"/>
  <c r="BP47" i="22"/>
  <c r="E47" i="22" s="1"/>
  <c r="BW44" i="22"/>
  <c r="BS61" i="22"/>
  <c r="BU59" i="22"/>
  <c r="K59" i="22" s="1"/>
  <c r="BZ55" i="22"/>
  <c r="W55" i="22" s="1"/>
  <c r="BP49" i="22"/>
  <c r="E49" i="22" s="1"/>
  <c r="BX60" i="22"/>
  <c r="X60" i="22" s="1"/>
  <c r="BR57" i="22"/>
  <c r="H57" i="22" s="1"/>
  <c r="BU51" i="22"/>
  <c r="K51" i="22" s="1"/>
  <c r="BW56" i="22"/>
  <c r="O56" i="22" s="1"/>
  <c r="BV60" i="22"/>
  <c r="L60" i="22" s="1"/>
  <c r="BV48" i="22"/>
  <c r="L48" i="22" s="1"/>
  <c r="BX59" i="22"/>
  <c r="X59" i="22" s="1"/>
  <c r="BR56" i="22"/>
  <c r="H56" i="22" s="1"/>
  <c r="CA45" i="22"/>
  <c r="BT45" i="22"/>
  <c r="J45" i="22" s="1"/>
  <c r="CB42" i="22"/>
  <c r="CA61" i="22"/>
  <c r="BQ61" i="22"/>
  <c r="BS60" i="22"/>
  <c r="I60" i="22" s="1"/>
  <c r="BV59" i="22"/>
  <c r="L59" i="22" s="1"/>
  <c r="BZ57" i="22"/>
  <c r="W57" i="22" s="1"/>
  <c r="BT55" i="22"/>
  <c r="J55" i="22" s="1"/>
  <c r="BW54" i="22"/>
  <c r="O54" i="22" s="1"/>
  <c r="CA52" i="22"/>
  <c r="BR50" i="22"/>
  <c r="H50" i="22" s="1"/>
  <c r="CB47" i="22"/>
  <c r="BS45" i="22"/>
  <c r="I45" i="22" s="1"/>
  <c r="CB50" i="22"/>
  <c r="CA53" i="22"/>
  <c r="BT48" i="22"/>
  <c r="J48" i="22" s="1"/>
  <c r="BY50" i="22"/>
  <c r="Y50" i="22" s="1"/>
  <c r="BT43" i="22"/>
  <c r="J43" i="22" s="1"/>
  <c r="BY61" i="22"/>
  <c r="CA60" i="22"/>
  <c r="BU58" i="22"/>
  <c r="K58" i="22" s="1"/>
  <c r="CB55" i="22"/>
  <c r="BV53" i="22"/>
  <c r="L53" i="22" s="1"/>
  <c r="BX52" i="22"/>
  <c r="X52" i="22" s="1"/>
  <c r="BW49" i="22"/>
  <c r="O49" i="22" s="1"/>
  <c r="BY44" i="22"/>
  <c r="Y44" i="22" s="1"/>
  <c r="BX50" i="22"/>
  <c r="X50" i="22" s="1"/>
  <c r="CB46" i="22"/>
  <c r="BT50" i="22"/>
  <c r="J50" i="22" s="1"/>
  <c r="CB61" i="22"/>
  <c r="BY53" i="22"/>
  <c r="Y53" i="22" s="1"/>
  <c r="BQ50" i="22"/>
  <c r="G50" i="22" s="1"/>
  <c r="CA47" i="22"/>
  <c r="BT51" i="22"/>
  <c r="J51" i="22" s="1"/>
  <c r="CB43" i="22"/>
  <c r="CB41" i="22"/>
  <c r="BV61" i="22"/>
  <c r="BP60" i="22"/>
  <c r="E60" i="22" s="1"/>
  <c r="BS59" i="22"/>
  <c r="I59" i="22" s="1"/>
  <c r="BW57" i="22"/>
  <c r="O57" i="22" s="1"/>
  <c r="BQ55" i="22"/>
  <c r="G55" i="22" s="1"/>
  <c r="BT54" i="22"/>
  <c r="J54" i="22" s="1"/>
  <c r="BQ47" i="22"/>
  <c r="G47" i="22" s="1"/>
  <c r="BW61" i="22"/>
  <c r="BP61" i="22"/>
  <c r="BT60" i="22"/>
  <c r="J60" i="22" s="1"/>
  <c r="BY59" i="22"/>
  <c r="Y59" i="22" s="1"/>
  <c r="BQ59" i="22"/>
  <c r="G59" i="22" s="1"/>
  <c r="BV58" i="22"/>
  <c r="L58" i="22" s="1"/>
  <c r="CA57" i="22"/>
  <c r="BS57" i="22"/>
  <c r="I57" i="22" s="1"/>
  <c r="BX56" i="22"/>
  <c r="X56" i="22" s="1"/>
  <c r="BP56" i="22"/>
  <c r="E56" i="22" s="1"/>
  <c r="BU55" i="22"/>
  <c r="K55" i="22" s="1"/>
  <c r="BZ54" i="22"/>
  <c r="W54" i="22" s="1"/>
  <c r="BR54" i="22"/>
  <c r="H54" i="22" s="1"/>
  <c r="BW53" i="22"/>
  <c r="O53" i="22" s="1"/>
  <c r="BP53" i="22"/>
  <c r="E53" i="22" s="1"/>
  <c r="CB56" i="22"/>
  <c r="BP59" i="22"/>
  <c r="E59" i="22" s="1"/>
  <c r="BT46" i="22"/>
  <c r="J46" i="22" s="1"/>
  <c r="CB52" i="22"/>
  <c r="BS52" i="22"/>
  <c r="I52" i="22" s="1"/>
  <c r="BP51" i="22"/>
  <c r="E51" i="22" s="1"/>
  <c r="BU50" i="22"/>
  <c r="K50" i="22" s="1"/>
  <c r="BZ49" i="22"/>
  <c r="W49" i="22" s="1"/>
  <c r="BR49" i="22"/>
  <c r="H49" i="22" s="1"/>
  <c r="BW48" i="22"/>
  <c r="O48" i="22" s="1"/>
  <c r="BT47" i="22"/>
  <c r="J47" i="22" s="1"/>
  <c r="BQ46" i="22"/>
  <c r="G46" i="22" s="1"/>
  <c r="BV45" i="22"/>
  <c r="L45" i="22" s="1"/>
  <c r="CB44" i="22"/>
  <c r="BS44" i="22"/>
  <c r="BX43" i="22"/>
  <c r="X43" i="22" s="1"/>
  <c r="BP43" i="22"/>
  <c r="CB53" i="22"/>
  <c r="BS50" i="22"/>
  <c r="I50" i="22" s="1"/>
  <c r="CB60" i="22"/>
  <c r="CB51" i="22"/>
  <c r="CB54" i="22"/>
  <c r="CA44" i="22"/>
  <c r="BT42" i="22"/>
  <c r="J42" i="22" s="1"/>
  <c r="BT52" i="22"/>
  <c r="J52" i="22" s="1"/>
  <c r="BV50" i="22"/>
  <c r="L50" i="22" s="1"/>
  <c r="CA49" i="22"/>
  <c r="BS49" i="22"/>
  <c r="I49" i="22" s="1"/>
  <c r="BX48" i="22"/>
  <c r="X48" i="22" s="1"/>
  <c r="BP48" i="22"/>
  <c r="E48" i="22" s="1"/>
  <c r="BZ46" i="22"/>
  <c r="W46" i="22" s="1"/>
  <c r="BR46" i="22"/>
  <c r="H46" i="22" s="1"/>
  <c r="BW45" i="22"/>
  <c r="O45" i="22" s="1"/>
  <c r="BT44" i="22"/>
  <c r="J44" i="22" s="1"/>
  <c r="BZ44" i="22"/>
  <c r="W44" i="22" s="1"/>
  <c r="BP50" i="22"/>
  <c r="E50" i="22" s="1"/>
  <c r="BU49" i="22"/>
  <c r="K49" i="22" s="1"/>
  <c r="BW47" i="22"/>
  <c r="O47" i="22" s="1"/>
  <c r="BY45" i="22"/>
  <c r="Y45" i="22" s="1"/>
  <c r="BQ45" i="22"/>
  <c r="G45" i="22" s="1"/>
  <c r="BV44" i="22"/>
  <c r="BY43" i="22"/>
  <c r="Y43" i="22" s="1"/>
  <c r="BQ43" i="22"/>
  <c r="BU43" i="22"/>
  <c r="CA43" i="22"/>
  <c r="BS43" i="22"/>
  <c r="BW43" i="22"/>
  <c r="BU42" i="22"/>
  <c r="BY42" i="22"/>
  <c r="Y42" i="22" s="1"/>
  <c r="BS42" i="22"/>
  <c r="BP42" i="22"/>
  <c r="BV42" i="22"/>
  <c r="BQ42" i="22"/>
  <c r="BX42" i="22"/>
  <c r="X42" i="22" s="1"/>
  <c r="BZ42" i="22"/>
  <c r="BR42" i="22"/>
  <c r="BS41" i="22"/>
  <c r="BX41" i="22"/>
  <c r="X41" i="22" s="1"/>
  <c r="BU41" i="22"/>
  <c r="BZ41" i="22"/>
  <c r="BR41" i="22"/>
  <c r="BY41" i="22"/>
  <c r="Y41" i="22" s="1"/>
  <c r="BY51" i="22"/>
  <c r="Y51" i="22" s="1"/>
  <c r="BQ51" i="22"/>
  <c r="G51" i="22" s="1"/>
  <c r="CA51" i="22"/>
  <c r="BS51" i="22"/>
  <c r="I51" i="22" s="1"/>
  <c r="BW41" i="22"/>
  <c r="BV41" i="22"/>
  <c r="BP41" i="22"/>
  <c r="BT41" i="22"/>
  <c r="J41" i="22" s="1"/>
  <c r="CA41" i="22"/>
  <c r="BQ41" i="22"/>
  <c r="BW51" i="22"/>
  <c r="O51" i="22" s="1"/>
  <c r="BY46" i="22"/>
  <c r="Y46" i="22" s="1"/>
  <c r="CA50" i="22"/>
  <c r="BU45" i="22"/>
  <c r="K45" i="22" s="1"/>
  <c r="BZ50" i="22"/>
  <c r="W50" i="22" s="1"/>
  <c r="BX47" i="22"/>
  <c r="X47" i="22" s="1"/>
  <c r="BU46" i="22"/>
  <c r="K46" i="22" s="1"/>
  <c r="BZ48" i="22"/>
  <c r="W48" i="22" s="1"/>
  <c r="BR48" i="22"/>
  <c r="H48" i="22" s="1"/>
  <c r="BX51" i="22"/>
  <c r="X51" i="22" s="1"/>
  <c r="BY49" i="22"/>
  <c r="Y49" i="22" s="1"/>
  <c r="CA48" i="22"/>
  <c r="BS48" i="22"/>
  <c r="I48" i="22" s="1"/>
  <c r="BU47" i="22"/>
  <c r="K47" i="22" s="1"/>
  <c r="BY47" i="22"/>
  <c r="Y47" i="22" s="1"/>
  <c r="BW46" i="22"/>
  <c r="O46" i="22" s="1"/>
  <c r="BP45" i="22"/>
  <c r="E45" i="22" s="1"/>
  <c r="BV43" i="22"/>
  <c r="CA42" i="22"/>
  <c r="BX61" i="22"/>
  <c r="BU60" i="22"/>
  <c r="K60" i="22" s="1"/>
  <c r="BZ59" i="22"/>
  <c r="W59" i="22" s="1"/>
  <c r="BR59" i="22"/>
  <c r="H59" i="22" s="1"/>
  <c r="BW58" i="22"/>
  <c r="O58" i="22" s="1"/>
  <c r="CB57" i="22"/>
  <c r="BT57" i="22"/>
  <c r="J57" i="22" s="1"/>
  <c r="BY56" i="22"/>
  <c r="Y56" i="22" s="1"/>
  <c r="BQ56" i="22"/>
  <c r="G56" i="22" s="1"/>
  <c r="BV55" i="22"/>
  <c r="L55" i="22" s="1"/>
  <c r="CA54" i="22"/>
  <c r="BS54" i="22"/>
  <c r="I54" i="22" s="1"/>
  <c r="BX53" i="22"/>
  <c r="X53" i="22" s="1"/>
  <c r="BU52" i="22"/>
  <c r="K52" i="22" s="1"/>
  <c r="BZ51" i="22"/>
  <c r="W51" i="22" s="1"/>
  <c r="BR51" i="22"/>
  <c r="H51" i="22" s="1"/>
  <c r="BW50" i="22"/>
  <c r="O50" i="22" s="1"/>
  <c r="CB49" i="22"/>
  <c r="BT49" i="22"/>
  <c r="J49" i="22" s="1"/>
  <c r="BY48" i="22"/>
  <c r="Y48" i="22" s="1"/>
  <c r="BQ48" i="22"/>
  <c r="G48" i="22" s="1"/>
  <c r="BV47" i="22"/>
  <c r="L47" i="22" s="1"/>
  <c r="CA46" i="22"/>
  <c r="BS46" i="22"/>
  <c r="I46" i="22" s="1"/>
  <c r="BX45" i="22"/>
  <c r="X45" i="22" s="1"/>
  <c r="BU44" i="22"/>
  <c r="BZ43" i="22"/>
  <c r="W43" i="22" s="1"/>
  <c r="BR43" i="22"/>
  <c r="BW42" i="22"/>
  <c r="F2" i="26" l="1"/>
  <c r="AA31" i="20"/>
  <c r="E46" i="20" l="1"/>
  <c r="J17" i="23" s="1"/>
  <c r="B18" i="23" l="1"/>
  <c r="I374" i="32" s="1"/>
  <c r="Q25" i="20"/>
  <c r="O25" i="20"/>
  <c r="Q9" i="20"/>
  <c r="O9" i="20"/>
  <c r="L416" i="32"/>
  <c r="K416" i="32"/>
  <c r="J416" i="32"/>
  <c r="I416" i="32"/>
  <c r="L415" i="32"/>
  <c r="K415" i="32"/>
  <c r="J415" i="32"/>
  <c r="I415" i="32"/>
  <c r="L414" i="32"/>
  <c r="K414" i="32"/>
  <c r="J414" i="32"/>
  <c r="I414" i="32"/>
  <c r="L413" i="32"/>
  <c r="K413" i="32"/>
  <c r="J413" i="32"/>
  <c r="I413" i="32"/>
  <c r="L412" i="32"/>
  <c r="K412" i="32"/>
  <c r="J412" i="32"/>
  <c r="I412" i="32"/>
  <c r="L411" i="32"/>
  <c r="K411" i="32"/>
  <c r="J411" i="32"/>
  <c r="I411" i="32"/>
  <c r="L410" i="32"/>
  <c r="K410" i="32"/>
  <c r="J410" i="32"/>
  <c r="I410" i="32"/>
  <c r="AX69" i="21"/>
  <c r="AX67" i="21"/>
  <c r="AX66" i="21"/>
  <c r="AX64" i="21"/>
  <c r="AX63" i="21"/>
  <c r="AX62" i="21"/>
  <c r="AX61" i="21"/>
  <c r="AX59" i="21"/>
  <c r="AX56" i="21"/>
  <c r="AX55" i="21"/>
  <c r="AX53" i="21"/>
  <c r="AX52" i="21"/>
  <c r="AX51" i="21"/>
  <c r="AX49" i="21"/>
  <c r="AX48" i="21"/>
  <c r="AX47" i="21"/>
  <c r="AX45" i="21"/>
  <c r="AX44" i="21"/>
  <c r="AX43" i="21"/>
  <c r="G107" i="32"/>
  <c r="N79" i="32"/>
  <c r="B58" i="24"/>
  <c r="B57" i="24"/>
  <c r="B56" i="24"/>
  <c r="B55" i="24"/>
  <c r="B54" i="24"/>
  <c r="B53" i="24"/>
  <c r="B52" i="24"/>
  <c r="B51" i="24"/>
  <c r="B50" i="24"/>
  <c r="I378" i="32"/>
  <c r="I376" i="32"/>
  <c r="L343" i="32"/>
  <c r="L342" i="32"/>
  <c r="L341" i="32"/>
  <c r="L317" i="32"/>
  <c r="K317" i="32"/>
  <c r="J317" i="32"/>
  <c r="F317" i="32"/>
  <c r="L316" i="32"/>
  <c r="K316" i="32"/>
  <c r="J316" i="32"/>
  <c r="F316" i="32"/>
  <c r="L315" i="32"/>
  <c r="K315" i="32"/>
  <c r="J315" i="32"/>
  <c r="F315" i="32"/>
  <c r="L314" i="32"/>
  <c r="K314" i="32"/>
  <c r="J314" i="32"/>
  <c r="F314" i="32"/>
  <c r="L313" i="32"/>
  <c r="K313" i="32"/>
  <c r="J313" i="32"/>
  <c r="F313" i="32"/>
  <c r="L312" i="32"/>
  <c r="K312" i="32"/>
  <c r="J312" i="32"/>
  <c r="F312" i="32"/>
  <c r="L311" i="32"/>
  <c r="K311" i="32"/>
  <c r="J311" i="32"/>
  <c r="F311" i="32"/>
  <c r="L308" i="32"/>
  <c r="K308" i="32"/>
  <c r="J308" i="32"/>
  <c r="F308" i="32"/>
  <c r="L307" i="32"/>
  <c r="K307" i="32"/>
  <c r="J307" i="32"/>
  <c r="F307" i="32"/>
  <c r="L306" i="32"/>
  <c r="K306" i="32"/>
  <c r="J306" i="32"/>
  <c r="F306" i="32"/>
  <c r="L305" i="32"/>
  <c r="K305" i="32"/>
  <c r="J305" i="32"/>
  <c r="F305" i="32"/>
  <c r="L304" i="32"/>
  <c r="K304" i="32"/>
  <c r="J304" i="32"/>
  <c r="F304" i="32"/>
  <c r="L303" i="32"/>
  <c r="K303" i="32"/>
  <c r="J303" i="32"/>
  <c r="F303" i="32"/>
  <c r="L302" i="32"/>
  <c r="K302" i="32"/>
  <c r="J302" i="32"/>
  <c r="F302" i="32"/>
  <c r="L299" i="32"/>
  <c r="K299" i="32"/>
  <c r="J299" i="32"/>
  <c r="F299" i="32"/>
  <c r="L298" i="32"/>
  <c r="K298" i="32"/>
  <c r="J298" i="32"/>
  <c r="F298" i="32"/>
  <c r="L297" i="32"/>
  <c r="K297" i="32"/>
  <c r="J297" i="32"/>
  <c r="F297" i="32"/>
  <c r="L296" i="32"/>
  <c r="K296" i="32"/>
  <c r="J296" i="32"/>
  <c r="F296" i="32"/>
  <c r="L295" i="32"/>
  <c r="K295" i="32"/>
  <c r="J295" i="32"/>
  <c r="F295" i="32"/>
  <c r="L294" i="32"/>
  <c r="K294" i="32"/>
  <c r="J294" i="32"/>
  <c r="F294" i="32"/>
  <c r="L293" i="32"/>
  <c r="K293" i="32"/>
  <c r="J293" i="32"/>
  <c r="F293" i="32"/>
  <c r="F290" i="32"/>
  <c r="F289" i="32"/>
  <c r="F288" i="32"/>
  <c r="F287" i="32"/>
  <c r="F286" i="32"/>
  <c r="F285" i="32"/>
  <c r="L290" i="32"/>
  <c r="K290" i="32"/>
  <c r="J290" i="32"/>
  <c r="L289" i="32"/>
  <c r="K289" i="32"/>
  <c r="J289" i="32"/>
  <c r="L288" i="32"/>
  <c r="K288" i="32"/>
  <c r="J288" i="32"/>
  <c r="L287" i="32"/>
  <c r="K287" i="32"/>
  <c r="J287" i="32"/>
  <c r="L286" i="32"/>
  <c r="K286" i="32"/>
  <c r="J286" i="32"/>
  <c r="L285" i="32"/>
  <c r="K285" i="32"/>
  <c r="J285" i="32"/>
  <c r="J284" i="32"/>
  <c r="K284" i="32"/>
  <c r="L284" i="32"/>
  <c r="F284" i="32"/>
  <c r="L281" i="32"/>
  <c r="K281" i="32"/>
  <c r="J281" i="32"/>
  <c r="F281" i="32"/>
  <c r="L280" i="32"/>
  <c r="K280" i="32"/>
  <c r="J280" i="32"/>
  <c r="F280" i="32"/>
  <c r="L279" i="32"/>
  <c r="K279" i="32"/>
  <c r="J279" i="32"/>
  <c r="F279" i="32"/>
  <c r="L278" i="32"/>
  <c r="K278" i="32"/>
  <c r="J278" i="32"/>
  <c r="F278" i="32"/>
  <c r="L277" i="32"/>
  <c r="K277" i="32"/>
  <c r="J277" i="32"/>
  <c r="F277" i="32"/>
  <c r="L276" i="32"/>
  <c r="K276" i="32"/>
  <c r="J276" i="32"/>
  <c r="F276" i="32"/>
  <c r="L275" i="32"/>
  <c r="K275" i="32"/>
  <c r="J275" i="32"/>
  <c r="F275" i="32"/>
  <c r="L272" i="32"/>
  <c r="K272" i="32"/>
  <c r="J272" i="32"/>
  <c r="L271" i="32"/>
  <c r="K271" i="32"/>
  <c r="J271" i="32"/>
  <c r="L270" i="32"/>
  <c r="K270" i="32"/>
  <c r="J270" i="32"/>
  <c r="L269" i="32"/>
  <c r="K269" i="32"/>
  <c r="J269" i="32"/>
  <c r="L268" i="32"/>
  <c r="K268" i="32"/>
  <c r="J268" i="32"/>
  <c r="L267" i="32"/>
  <c r="K267" i="32"/>
  <c r="J267" i="32"/>
  <c r="L266" i="32"/>
  <c r="K266" i="32"/>
  <c r="J266" i="32"/>
  <c r="F266" i="32"/>
  <c r="F272" i="32"/>
  <c r="F271" i="32"/>
  <c r="F270" i="32"/>
  <c r="F269" i="32"/>
  <c r="F268" i="32"/>
  <c r="F267" i="32"/>
  <c r="F310" i="32"/>
  <c r="F246" i="32"/>
  <c r="M253" i="32"/>
  <c r="L253" i="32"/>
  <c r="K253" i="32"/>
  <c r="M252" i="32"/>
  <c r="L252" i="32"/>
  <c r="K252" i="32"/>
  <c r="M251" i="32"/>
  <c r="L251" i="32"/>
  <c r="K251" i="32"/>
  <c r="M250" i="32"/>
  <c r="L250" i="32"/>
  <c r="K250" i="32"/>
  <c r="M249" i="32"/>
  <c r="L249" i="32"/>
  <c r="K249" i="32"/>
  <c r="M248" i="32"/>
  <c r="L248" i="32"/>
  <c r="K248" i="32"/>
  <c r="M247" i="32"/>
  <c r="L247" i="32"/>
  <c r="K247" i="32"/>
  <c r="F253" i="32"/>
  <c r="F252" i="32"/>
  <c r="F251" i="32"/>
  <c r="F250" i="32"/>
  <c r="F249" i="32"/>
  <c r="F248" i="32"/>
  <c r="F247" i="32"/>
  <c r="M243" i="32"/>
  <c r="L243" i="32"/>
  <c r="K243" i="32"/>
  <c r="M242" i="32"/>
  <c r="L242" i="32"/>
  <c r="K242" i="32"/>
  <c r="M241" i="32"/>
  <c r="L241" i="32"/>
  <c r="K241" i="32"/>
  <c r="M240" i="32"/>
  <c r="L240" i="32"/>
  <c r="K240" i="32"/>
  <c r="M239" i="32"/>
  <c r="L239" i="32"/>
  <c r="K239" i="32"/>
  <c r="M238" i="32"/>
  <c r="L238" i="32"/>
  <c r="K238" i="32"/>
  <c r="M237" i="32"/>
  <c r="L237" i="32"/>
  <c r="K237" i="32"/>
  <c r="F243" i="32"/>
  <c r="F242" i="32"/>
  <c r="F241" i="32"/>
  <c r="F240" i="32"/>
  <c r="F239" i="32"/>
  <c r="F238" i="32"/>
  <c r="F237" i="32"/>
  <c r="M233" i="32"/>
  <c r="L233" i="32"/>
  <c r="K233" i="32"/>
  <c r="M232" i="32"/>
  <c r="L232" i="32"/>
  <c r="K232" i="32"/>
  <c r="M231" i="32"/>
  <c r="L231" i="32"/>
  <c r="K231" i="32"/>
  <c r="M230" i="32"/>
  <c r="L230" i="32"/>
  <c r="K230" i="32"/>
  <c r="M229" i="32"/>
  <c r="L229" i="32"/>
  <c r="K229" i="32"/>
  <c r="M228" i="32"/>
  <c r="L228" i="32"/>
  <c r="K228" i="32"/>
  <c r="M227" i="32"/>
  <c r="L227" i="32"/>
  <c r="K227" i="32"/>
  <c r="F233" i="32"/>
  <c r="F232" i="32"/>
  <c r="F231" i="32"/>
  <c r="F230" i="32"/>
  <c r="F229" i="32"/>
  <c r="F228" i="32"/>
  <c r="F227" i="32"/>
  <c r="M223" i="32"/>
  <c r="L223" i="32"/>
  <c r="K223" i="32"/>
  <c r="M222" i="32"/>
  <c r="L222" i="32"/>
  <c r="K222" i="32"/>
  <c r="M221" i="32"/>
  <c r="L221" i="32"/>
  <c r="K221" i="32"/>
  <c r="M220" i="32"/>
  <c r="L220" i="32"/>
  <c r="K220" i="32"/>
  <c r="M219" i="32"/>
  <c r="L219" i="32"/>
  <c r="K219" i="32"/>
  <c r="M218" i="32"/>
  <c r="L218" i="32"/>
  <c r="K218" i="32"/>
  <c r="M217" i="32"/>
  <c r="L217" i="32"/>
  <c r="K217" i="32"/>
  <c r="M213" i="32"/>
  <c r="L213" i="32"/>
  <c r="K213" i="32"/>
  <c r="M212" i="32"/>
  <c r="L212" i="32"/>
  <c r="K212" i="32"/>
  <c r="M211" i="32"/>
  <c r="L211" i="32"/>
  <c r="K211" i="32"/>
  <c r="M210" i="32"/>
  <c r="L210" i="32"/>
  <c r="K210" i="32"/>
  <c r="M209" i="32"/>
  <c r="L209" i="32"/>
  <c r="K209" i="32"/>
  <c r="M208" i="32"/>
  <c r="L208" i="32"/>
  <c r="K208" i="32"/>
  <c r="M207" i="32"/>
  <c r="L207" i="32"/>
  <c r="K207" i="32"/>
  <c r="M203" i="32"/>
  <c r="L203" i="32"/>
  <c r="K203" i="32"/>
  <c r="M202" i="32"/>
  <c r="L202" i="32"/>
  <c r="K202" i="32"/>
  <c r="M201" i="32"/>
  <c r="L201" i="32"/>
  <c r="K201" i="32"/>
  <c r="M200" i="32"/>
  <c r="L200" i="32"/>
  <c r="K200" i="32"/>
  <c r="M199" i="32"/>
  <c r="L199" i="32"/>
  <c r="K199" i="32"/>
  <c r="M198" i="32"/>
  <c r="L198" i="32"/>
  <c r="K198" i="32"/>
  <c r="M197" i="32"/>
  <c r="L197" i="32"/>
  <c r="K197" i="32"/>
  <c r="F223" i="32"/>
  <c r="F222" i="32"/>
  <c r="F221" i="32"/>
  <c r="F220" i="32"/>
  <c r="F219" i="32"/>
  <c r="F218" i="32"/>
  <c r="F217" i="32"/>
  <c r="F213" i="32"/>
  <c r="F212" i="32"/>
  <c r="F211" i="32"/>
  <c r="F210" i="32"/>
  <c r="F209" i="32"/>
  <c r="F208" i="32"/>
  <c r="F207" i="32"/>
  <c r="N184" i="32"/>
  <c r="BH46" i="21"/>
  <c r="BH50" i="21" s="1"/>
  <c r="BH54" i="21" s="1"/>
  <c r="BH57" i="21" s="1"/>
  <c r="N185" i="32" s="1"/>
  <c r="BG46" i="21"/>
  <c r="BG50" i="21" s="1"/>
  <c r="BG54" i="21" s="1"/>
  <c r="BG57" i="21" s="1"/>
  <c r="BF46" i="21"/>
  <c r="BF50" i="21" s="1"/>
  <c r="BF54" i="21" s="1"/>
  <c r="BF57" i="21" s="1"/>
  <c r="AW46" i="21"/>
  <c r="AW50" i="21" s="1"/>
  <c r="AW54" i="21" s="1"/>
  <c r="AW57" i="21" s="1"/>
  <c r="AV46" i="21"/>
  <c r="AV50" i="21" s="1"/>
  <c r="AV54" i="21" s="1"/>
  <c r="AV57" i="21" s="1"/>
  <c r="AU46" i="21"/>
  <c r="AU50" i="21" s="1"/>
  <c r="AU54" i="21" s="1"/>
  <c r="AU57" i="21" s="1"/>
  <c r="F197" i="32"/>
  <c r="H184" i="32"/>
  <c r="N183" i="32"/>
  <c r="H183" i="32"/>
  <c r="N173" i="32"/>
  <c r="N172" i="32"/>
  <c r="N171" i="32"/>
  <c r="N170" i="32"/>
  <c r="N169" i="32"/>
  <c r="N168" i="32"/>
  <c r="H173" i="32"/>
  <c r="H172" i="32"/>
  <c r="H171" i="32"/>
  <c r="H170" i="32"/>
  <c r="H169" i="32"/>
  <c r="H168" i="32"/>
  <c r="N159" i="32"/>
  <c r="N158" i="32"/>
  <c r="N157" i="32"/>
  <c r="N156" i="32"/>
  <c r="N155" i="32"/>
  <c r="N154" i="32"/>
  <c r="H159" i="32"/>
  <c r="H158" i="32"/>
  <c r="H157" i="32"/>
  <c r="H156" i="32"/>
  <c r="H155" i="32"/>
  <c r="H154" i="32"/>
  <c r="L178" i="32"/>
  <c r="J16" i="21"/>
  <c r="I16" i="21" s="1"/>
  <c r="H16" i="21" s="1"/>
  <c r="G16" i="21" s="1"/>
  <c r="F16" i="21" s="1"/>
  <c r="E16" i="21" s="1"/>
  <c r="D16" i="21" s="1"/>
  <c r="C16" i="21" s="1"/>
  <c r="F203" i="32"/>
  <c r="F202" i="32"/>
  <c r="F201" i="32"/>
  <c r="F200" i="32"/>
  <c r="F199" i="32"/>
  <c r="F198" i="32"/>
  <c r="G45" i="32"/>
  <c r="G11" i="32"/>
  <c r="H78" i="32"/>
  <c r="H77" i="32"/>
  <c r="H76" i="32"/>
  <c r="AX57" i="21" l="1"/>
  <c r="H185" i="32" s="1"/>
  <c r="L244" i="32"/>
  <c r="K224" i="32"/>
  <c r="K254" i="32"/>
  <c r="M244" i="32"/>
  <c r="L214" i="32"/>
  <c r="L224" i="32"/>
  <c r="L254" i="32"/>
  <c r="M254" i="32"/>
  <c r="AX50" i="21"/>
  <c r="AX54" i="21"/>
  <c r="AX46" i="21"/>
  <c r="L234" i="32"/>
  <c r="K214" i="32"/>
  <c r="M234" i="32"/>
  <c r="K244" i="32"/>
  <c r="M214" i="32"/>
  <c r="K204" i="32"/>
  <c r="L204" i="32"/>
  <c r="M204" i="32"/>
  <c r="M224" i="32"/>
  <c r="K234" i="32"/>
  <c r="J230" i="32"/>
  <c r="J209" i="32"/>
  <c r="J208" i="32"/>
  <c r="J242" i="32"/>
  <c r="J203" i="32"/>
  <c r="J252" i="32"/>
  <c r="J239" i="32"/>
  <c r="J201" i="32"/>
  <c r="J222" i="32"/>
  <c r="J211" i="32"/>
  <c r="J237" i="32"/>
  <c r="J243" i="32"/>
  <c r="J210" i="32"/>
  <c r="J217" i="32"/>
  <c r="J221" i="32"/>
  <c r="J223" i="32"/>
  <c r="J200" i="32"/>
  <c r="J238" i="32"/>
  <c r="J231" i="32"/>
  <c r="J233" i="32"/>
  <c r="J240" i="32"/>
  <c r="J247" i="32"/>
  <c r="J251" i="32"/>
  <c r="J253" i="32"/>
  <c r="J248" i="32"/>
  <c r="J212" i="32"/>
  <c r="J228" i="32"/>
  <c r="J219" i="32"/>
  <c r="J249" i="32"/>
  <c r="J198" i="32"/>
  <c r="J232" i="32"/>
  <c r="J241" i="32"/>
  <c r="J207" i="32"/>
  <c r="J213" i="32"/>
  <c r="J229" i="32"/>
  <c r="J202" i="32"/>
  <c r="J218" i="32"/>
  <c r="J220" i="32"/>
  <c r="J250" i="32"/>
  <c r="J227" i="32"/>
  <c r="J199" i="32"/>
  <c r="J197" i="32"/>
  <c r="BH60" i="21"/>
  <c r="BH65" i="21" s="1"/>
  <c r="BH58" i="21"/>
  <c r="BG60" i="21"/>
  <c r="BG65" i="21" s="1"/>
  <c r="BG58" i="21"/>
  <c r="BF60" i="21"/>
  <c r="BF65" i="21" s="1"/>
  <c r="BF58" i="21"/>
  <c r="AV60" i="21"/>
  <c r="AV65" i="21" s="1"/>
  <c r="AV58" i="21"/>
  <c r="AU60" i="21"/>
  <c r="AU58" i="21"/>
  <c r="AW58" i="21"/>
  <c r="AW60" i="21"/>
  <c r="AW65" i="21" s="1"/>
  <c r="I144" i="32"/>
  <c r="I143" i="32"/>
  <c r="I142" i="32"/>
  <c r="I141" i="32"/>
  <c r="I140" i="32"/>
  <c r="F144" i="32"/>
  <c r="F143" i="32"/>
  <c r="F142" i="32"/>
  <c r="F141" i="32"/>
  <c r="F140" i="32"/>
  <c r="P77" i="32"/>
  <c r="N75" i="32"/>
  <c r="N73" i="32"/>
  <c r="N72" i="32"/>
  <c r="N71" i="32"/>
  <c r="N70" i="32"/>
  <c r="H75" i="32"/>
  <c r="H74" i="32"/>
  <c r="H71" i="32"/>
  <c r="H70" i="32"/>
  <c r="AX58" i="21" l="1"/>
  <c r="AU65" i="21"/>
  <c r="AX65" i="21" s="1"/>
  <c r="AX60" i="21"/>
  <c r="J214" i="32"/>
  <c r="J254" i="32"/>
  <c r="J224" i="32"/>
  <c r="J234" i="32"/>
  <c r="J244" i="32"/>
  <c r="J204" i="32"/>
  <c r="F149" i="32"/>
  <c r="F265" i="32"/>
  <c r="F196" i="32"/>
  <c r="L149" i="32"/>
  <c r="F274" i="32"/>
  <c r="F206" i="32"/>
  <c r="F163" i="32"/>
  <c r="F283" i="32"/>
  <c r="F216" i="32"/>
  <c r="L163" i="32"/>
  <c r="F292" i="32"/>
  <c r="F226" i="32"/>
  <c r="F178" i="32"/>
  <c r="F236" i="32"/>
  <c r="F301" i="32"/>
  <c r="BG70" i="21"/>
  <c r="BG68" i="21"/>
  <c r="BH70" i="21"/>
  <c r="N186" i="32" s="1"/>
  <c r="BH68" i="21"/>
  <c r="BF70" i="21"/>
  <c r="BF68" i="21"/>
  <c r="AV70" i="21"/>
  <c r="AV68" i="21"/>
  <c r="AW68" i="21"/>
  <c r="AW70" i="21"/>
  <c r="AU70" i="21"/>
  <c r="AU68" i="21"/>
  <c r="M22" i="32"/>
  <c r="AX70" i="21" l="1"/>
  <c r="H186" i="32" s="1"/>
  <c r="AX68" i="21"/>
  <c r="I36" i="17"/>
  <c r="G2" i="17"/>
  <c r="G1" i="17"/>
  <c r="I36" i="19"/>
  <c r="I35" i="19"/>
  <c r="I34" i="19"/>
  <c r="I67" i="19"/>
  <c r="I68" i="19"/>
  <c r="I69" i="19"/>
  <c r="I70" i="19"/>
  <c r="I71" i="19"/>
  <c r="I72" i="19"/>
  <c r="I73" i="19"/>
  <c r="E67" i="19"/>
  <c r="E68" i="19"/>
  <c r="E69" i="19"/>
  <c r="E70" i="19"/>
  <c r="E71" i="19"/>
  <c r="E72" i="19"/>
  <c r="E73" i="19"/>
  <c r="I57" i="19"/>
  <c r="I58" i="19"/>
  <c r="I59" i="19"/>
  <c r="I60" i="19"/>
  <c r="I61" i="19"/>
  <c r="I62" i="19"/>
  <c r="I63" i="19"/>
  <c r="E57" i="19"/>
  <c r="E58" i="19"/>
  <c r="E59" i="19"/>
  <c r="E60" i="19"/>
  <c r="E61" i="19"/>
  <c r="E62" i="19"/>
  <c r="E63" i="19"/>
  <c r="F41" i="19"/>
  <c r="F40" i="19"/>
  <c r="F37" i="19"/>
  <c r="C42" i="19"/>
  <c r="C39" i="19"/>
  <c r="C38" i="19"/>
  <c r="C37" i="19"/>
  <c r="F50" i="19" s="1"/>
  <c r="C28" i="19"/>
  <c r="C25" i="19"/>
  <c r="C24" i="19"/>
  <c r="C23" i="19"/>
  <c r="C14" i="19"/>
  <c r="C11" i="19"/>
  <c r="C10" i="19"/>
  <c r="C9" i="19"/>
  <c r="M26" i="31" l="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4" i="31"/>
  <c r="AI106" i="20"/>
  <c r="AH106" i="20"/>
  <c r="AG106" i="20"/>
  <c r="AD106" i="20"/>
  <c r="AC106" i="20"/>
  <c r="AB106" i="20"/>
  <c r="AA106" i="20"/>
  <c r="Z106" i="20"/>
  <c r="Y106" i="20"/>
  <c r="AK105" i="20"/>
  <c r="W105" i="20"/>
  <c r="AK104" i="20"/>
  <c r="W104" i="20"/>
  <c r="AK103" i="20"/>
  <c r="W103" i="20"/>
  <c r="AK102" i="20"/>
  <c r="W102" i="20"/>
  <c r="AK101" i="20"/>
  <c r="W101" i="20"/>
  <c r="AK100" i="20"/>
  <c r="W100" i="20"/>
  <c r="AK99" i="20"/>
  <c r="W99" i="20"/>
  <c r="V98" i="20"/>
  <c r="L66" i="19" s="1"/>
  <c r="AI95" i="20"/>
  <c r="AH95" i="20"/>
  <c r="AG95" i="20"/>
  <c r="AD95" i="20"/>
  <c r="AC95" i="20"/>
  <c r="AB95" i="20"/>
  <c r="AA95" i="20"/>
  <c r="Z95" i="20"/>
  <c r="Y95" i="20"/>
  <c r="AK94" i="20"/>
  <c r="W94" i="20"/>
  <c r="AK93" i="20"/>
  <c r="W93" i="20"/>
  <c r="AK92" i="20"/>
  <c r="W92" i="20"/>
  <c r="AK91" i="20"/>
  <c r="W91" i="20"/>
  <c r="AK90" i="20"/>
  <c r="W90" i="20"/>
  <c r="AK89" i="20"/>
  <c r="W89" i="20"/>
  <c r="AK88" i="20"/>
  <c r="W88" i="20"/>
  <c r="V87" i="20"/>
  <c r="I66" i="19" s="1"/>
  <c r="AI84" i="20"/>
  <c r="AH84" i="20"/>
  <c r="AG84" i="20"/>
  <c r="AD84" i="20"/>
  <c r="AC84" i="20"/>
  <c r="AB84" i="20"/>
  <c r="AA84" i="20"/>
  <c r="Z84" i="20"/>
  <c r="Y84" i="20"/>
  <c r="AK83" i="20"/>
  <c r="W83" i="20"/>
  <c r="AK82" i="20"/>
  <c r="W82" i="20"/>
  <c r="AK81" i="20"/>
  <c r="W81" i="20"/>
  <c r="AK80" i="20"/>
  <c r="W80" i="20"/>
  <c r="AK79" i="20"/>
  <c r="W79" i="20"/>
  <c r="AK78" i="20"/>
  <c r="W78" i="20"/>
  <c r="AK77" i="20"/>
  <c r="W77" i="20"/>
  <c r="V76" i="20"/>
  <c r="E66" i="19" s="1"/>
  <c r="AI73" i="20"/>
  <c r="AH73" i="20"/>
  <c r="AG73" i="20"/>
  <c r="AD73" i="20"/>
  <c r="AC73" i="20"/>
  <c r="AB73" i="20"/>
  <c r="AA73" i="20"/>
  <c r="Z73" i="20"/>
  <c r="Y73" i="20"/>
  <c r="AK72" i="20"/>
  <c r="W72" i="20"/>
  <c r="AK71" i="20"/>
  <c r="W71" i="20"/>
  <c r="AK70" i="20"/>
  <c r="W70" i="20"/>
  <c r="AK69" i="20"/>
  <c r="W69" i="20"/>
  <c r="AK68" i="20"/>
  <c r="W68" i="20"/>
  <c r="AK67" i="20"/>
  <c r="W67" i="20"/>
  <c r="AK66" i="20"/>
  <c r="W66" i="20"/>
  <c r="V65" i="20"/>
  <c r="L56" i="19" s="1"/>
  <c r="AI62" i="20"/>
  <c r="AH62" i="20"/>
  <c r="AG62" i="20"/>
  <c r="AD62" i="20"/>
  <c r="AC62" i="20"/>
  <c r="AB62" i="20"/>
  <c r="AA62" i="20"/>
  <c r="Z62" i="20"/>
  <c r="Y62" i="20"/>
  <c r="AK61" i="20"/>
  <c r="W61" i="20"/>
  <c r="AK60" i="20"/>
  <c r="W60" i="20"/>
  <c r="AK59" i="20"/>
  <c r="W59" i="20"/>
  <c r="AK58" i="20"/>
  <c r="N210" i="32" s="1"/>
  <c r="W58" i="20"/>
  <c r="AK57" i="20"/>
  <c r="W57" i="20"/>
  <c r="AK56" i="20"/>
  <c r="W56" i="20"/>
  <c r="AK55" i="20"/>
  <c r="W55" i="20"/>
  <c r="V54" i="20"/>
  <c r="I56" i="19" s="1"/>
  <c r="AI51" i="20"/>
  <c r="AH51" i="20"/>
  <c r="AG51" i="20"/>
  <c r="AD51" i="20"/>
  <c r="AC51" i="20"/>
  <c r="AB51" i="20"/>
  <c r="Z51" i="20"/>
  <c r="Y51" i="20"/>
  <c r="AK50" i="20"/>
  <c r="W50" i="20"/>
  <c r="AK49" i="20"/>
  <c r="W49" i="20"/>
  <c r="AK48" i="20"/>
  <c r="W48" i="20"/>
  <c r="AK47" i="20"/>
  <c r="W47" i="20"/>
  <c r="AK46" i="20"/>
  <c r="N199" i="32" s="1"/>
  <c r="W46" i="20"/>
  <c r="AK45" i="20"/>
  <c r="N198" i="32" s="1"/>
  <c r="W45" i="20"/>
  <c r="AK44" i="20"/>
  <c r="N197" i="32" s="1"/>
  <c r="W44" i="20"/>
  <c r="V43" i="20"/>
  <c r="E56" i="19" s="1"/>
  <c r="W31" i="20"/>
  <c r="L347" i="32" s="1"/>
  <c r="W30" i="20"/>
  <c r="L346" i="32" s="1"/>
  <c r="I29" i="20"/>
  <c r="J29" i="20" s="1"/>
  <c r="F29" i="20" s="1"/>
  <c r="I27" i="20"/>
  <c r="I26" i="20"/>
  <c r="I25" i="20"/>
  <c r="I24" i="20"/>
  <c r="I23" i="20"/>
  <c r="I22" i="20"/>
  <c r="E17" i="20"/>
  <c r="C13" i="25" s="1"/>
  <c r="C13" i="29" s="1"/>
  <c r="AC30" i="26"/>
  <c r="B18" i="26"/>
  <c r="Y18" i="26" s="1"/>
  <c r="A18" i="26"/>
  <c r="X18" i="26" s="1"/>
  <c r="C12" i="26"/>
  <c r="I10" i="26"/>
  <c r="D9" i="26"/>
  <c r="C9" i="27" s="1"/>
  <c r="I8" i="26"/>
  <c r="I7" i="26"/>
  <c r="F5" i="26"/>
  <c r="F5" i="27" s="1"/>
  <c r="E19" i="17"/>
  <c r="B18" i="25"/>
  <c r="A18" i="25"/>
  <c r="C12" i="25"/>
  <c r="C12" i="29" s="1"/>
  <c r="J18" i="29" s="1"/>
  <c r="I10" i="25"/>
  <c r="D9" i="25"/>
  <c r="C9" i="29" s="1"/>
  <c r="I8" i="25"/>
  <c r="I7" i="25"/>
  <c r="F5" i="25"/>
  <c r="F5" i="30" s="1"/>
  <c r="F48" i="19"/>
  <c r="F46" i="19"/>
  <c r="I30" i="19"/>
  <c r="F30" i="19"/>
  <c r="I26" i="19"/>
  <c r="G77" i="22"/>
  <c r="H77" i="22" s="1"/>
  <c r="Y72" i="22"/>
  <c r="P68" i="22"/>
  <c r="G67" i="22"/>
  <c r="D67" i="22"/>
  <c r="P66" i="22"/>
  <c r="P65" i="22"/>
  <c r="BA60" i="22"/>
  <c r="AW60" i="22" s="1"/>
  <c r="AX60" i="22"/>
  <c r="AV60" i="22"/>
  <c r="AO60" i="22"/>
  <c r="AI60" i="22"/>
  <c r="Q60" i="22"/>
  <c r="U60" i="22" s="1"/>
  <c r="N60" i="22"/>
  <c r="P60" i="22" s="1"/>
  <c r="R60" i="22" s="1"/>
  <c r="V60" i="22" s="1"/>
  <c r="M60" i="22"/>
  <c r="C60" i="22"/>
  <c r="AN60" i="22" s="1"/>
  <c r="BA59" i="22"/>
  <c r="AW59" i="22" s="1"/>
  <c r="AX59" i="22"/>
  <c r="AU59" i="22" s="1"/>
  <c r="AV59" i="22"/>
  <c r="AO59" i="22"/>
  <c r="AI59" i="22"/>
  <c r="Q59" i="22"/>
  <c r="U59" i="22" s="1"/>
  <c r="N59" i="22"/>
  <c r="P59" i="22" s="1"/>
  <c r="R59" i="22" s="1"/>
  <c r="V59" i="22" s="1"/>
  <c r="M59" i="22"/>
  <c r="C59" i="22"/>
  <c r="AN59" i="22" s="1"/>
  <c r="BA58" i="22"/>
  <c r="AW58" i="22" s="1"/>
  <c r="AX58" i="22"/>
  <c r="AU58" i="22" s="1"/>
  <c r="AV58" i="22"/>
  <c r="AO58" i="22"/>
  <c r="AI58" i="22"/>
  <c r="Q58" i="22"/>
  <c r="U58" i="22" s="1"/>
  <c r="N58" i="22"/>
  <c r="P58" i="22" s="1"/>
  <c r="R58" i="22" s="1"/>
  <c r="V58" i="22" s="1"/>
  <c r="M58" i="22"/>
  <c r="C58" i="22"/>
  <c r="AN58" i="22" s="1"/>
  <c r="BA57" i="22"/>
  <c r="AW57" i="22" s="1"/>
  <c r="AX57" i="22"/>
  <c r="AU57" i="22" s="1"/>
  <c r="AV57" i="22"/>
  <c r="AO57" i="22"/>
  <c r="AI57" i="22"/>
  <c r="Q57" i="22"/>
  <c r="U57" i="22" s="1"/>
  <c r="N57" i="22"/>
  <c r="P57" i="22" s="1"/>
  <c r="R57" i="22" s="1"/>
  <c r="V57" i="22" s="1"/>
  <c r="M57" i="22"/>
  <c r="C57" i="22"/>
  <c r="AN57" i="22" s="1"/>
  <c r="BA56" i="22"/>
  <c r="AW56" i="22" s="1"/>
  <c r="AX56" i="22"/>
  <c r="AU56" i="22" s="1"/>
  <c r="AV56" i="22"/>
  <c r="AO56" i="22"/>
  <c r="AI56" i="22"/>
  <c r="Q56" i="22"/>
  <c r="U56" i="22" s="1"/>
  <c r="N56" i="22"/>
  <c r="P56" i="22" s="1"/>
  <c r="R56" i="22" s="1"/>
  <c r="V56" i="22" s="1"/>
  <c r="M56" i="22"/>
  <c r="C56" i="22"/>
  <c r="AN56" i="22" s="1"/>
  <c r="BA55" i="22"/>
  <c r="AW55" i="22" s="1"/>
  <c r="AX55" i="22"/>
  <c r="AU55" i="22" s="1"/>
  <c r="AV55" i="22"/>
  <c r="AO55" i="22"/>
  <c r="AI55" i="22"/>
  <c r="Q55" i="22"/>
  <c r="U55" i="22" s="1"/>
  <c r="N55" i="22"/>
  <c r="P55" i="22" s="1"/>
  <c r="R55" i="22" s="1"/>
  <c r="V55" i="22" s="1"/>
  <c r="M55" i="22"/>
  <c r="C55" i="22"/>
  <c r="AN55" i="22" s="1"/>
  <c r="BA54" i="22"/>
  <c r="AW54" i="22" s="1"/>
  <c r="AX54" i="22"/>
  <c r="AV54" i="22"/>
  <c r="AO54" i="22"/>
  <c r="AI54" i="22"/>
  <c r="Q54" i="22"/>
  <c r="U54" i="22" s="1"/>
  <c r="N54" i="22"/>
  <c r="P54" i="22" s="1"/>
  <c r="R54" i="22" s="1"/>
  <c r="V54" i="22" s="1"/>
  <c r="M54" i="22"/>
  <c r="C54" i="22"/>
  <c r="AN54" i="22" s="1"/>
  <c r="BA53" i="22"/>
  <c r="AW53" i="22" s="1"/>
  <c r="AX53" i="22"/>
  <c r="AU53" i="22" s="1"/>
  <c r="AV53" i="22"/>
  <c r="AO53" i="22"/>
  <c r="AI53" i="22"/>
  <c r="Q53" i="22"/>
  <c r="U53" i="22" s="1"/>
  <c r="N53" i="22"/>
  <c r="P53" i="22" s="1"/>
  <c r="R53" i="22" s="1"/>
  <c r="V53" i="22" s="1"/>
  <c r="M53" i="22"/>
  <c r="C53" i="22"/>
  <c r="AN53" i="22" s="1"/>
  <c r="BA52" i="22"/>
  <c r="AW52" i="22" s="1"/>
  <c r="AX52" i="22"/>
  <c r="AV52" i="22"/>
  <c r="AO52" i="22"/>
  <c r="AI52" i="22"/>
  <c r="Q52" i="22"/>
  <c r="U52" i="22" s="1"/>
  <c r="N52" i="22"/>
  <c r="P52" i="22" s="1"/>
  <c r="R52" i="22" s="1"/>
  <c r="V52" i="22" s="1"/>
  <c r="M52" i="22"/>
  <c r="C52" i="22"/>
  <c r="AN52" i="22" s="1"/>
  <c r="BA51" i="22"/>
  <c r="AW51" i="22" s="1"/>
  <c r="AX51" i="22"/>
  <c r="AU51" i="22" s="1"/>
  <c r="AV51" i="22"/>
  <c r="AO51" i="22"/>
  <c r="AI51" i="22"/>
  <c r="Q51" i="22"/>
  <c r="U51" i="22" s="1"/>
  <c r="N51" i="22"/>
  <c r="P51" i="22" s="1"/>
  <c r="R51" i="22" s="1"/>
  <c r="V51" i="22" s="1"/>
  <c r="M51" i="22"/>
  <c r="C51" i="22"/>
  <c r="AN51" i="22" s="1"/>
  <c r="BA50" i="22"/>
  <c r="AW50" i="22" s="1"/>
  <c r="AX50" i="22"/>
  <c r="AV50" i="22"/>
  <c r="AO50" i="22"/>
  <c r="AI50" i="22"/>
  <c r="Q50" i="22"/>
  <c r="U50" i="22" s="1"/>
  <c r="N50" i="22"/>
  <c r="P50" i="22" s="1"/>
  <c r="R50" i="22" s="1"/>
  <c r="V50" i="22" s="1"/>
  <c r="M50" i="22"/>
  <c r="C50" i="22"/>
  <c r="AN50" i="22" s="1"/>
  <c r="BA49" i="22"/>
  <c r="AW49" i="22" s="1"/>
  <c r="AX49" i="22"/>
  <c r="AU49" i="22" s="1"/>
  <c r="AV49" i="22"/>
  <c r="AO49" i="22"/>
  <c r="AI49" i="22"/>
  <c r="Q49" i="22"/>
  <c r="U49" i="22" s="1"/>
  <c r="N49" i="22"/>
  <c r="P49" i="22" s="1"/>
  <c r="R49" i="22" s="1"/>
  <c r="V49" i="22" s="1"/>
  <c r="M49" i="22"/>
  <c r="C49" i="22"/>
  <c r="AN49" i="22" s="1"/>
  <c r="BA48" i="22"/>
  <c r="AW48" i="22" s="1"/>
  <c r="AX48" i="22"/>
  <c r="AU48" i="22" s="1"/>
  <c r="AV48" i="22"/>
  <c r="AO48" i="22"/>
  <c r="AI48" i="22"/>
  <c r="Q48" i="22"/>
  <c r="U48" i="22" s="1"/>
  <c r="N48" i="22"/>
  <c r="P48" i="22" s="1"/>
  <c r="R48" i="22" s="1"/>
  <c r="V48" i="22" s="1"/>
  <c r="M48" i="22"/>
  <c r="C48" i="22"/>
  <c r="AN48" i="22" s="1"/>
  <c r="BA47" i="22"/>
  <c r="AW47" i="22" s="1"/>
  <c r="AX47" i="22"/>
  <c r="AU47" i="22" s="1"/>
  <c r="AV47" i="22"/>
  <c r="AO47" i="22"/>
  <c r="AI47" i="22"/>
  <c r="Q47" i="22"/>
  <c r="U47" i="22" s="1"/>
  <c r="N47" i="22"/>
  <c r="P47" i="22" s="1"/>
  <c r="R47" i="22" s="1"/>
  <c r="V47" i="22" s="1"/>
  <c r="M47" i="22"/>
  <c r="C47" i="22"/>
  <c r="AN47" i="22" s="1"/>
  <c r="BA46" i="22"/>
  <c r="AW46" i="22" s="1"/>
  <c r="AX46" i="22"/>
  <c r="AU46" i="22" s="1"/>
  <c r="AV46" i="22"/>
  <c r="AO46" i="22"/>
  <c r="AI46" i="22"/>
  <c r="Q46" i="22"/>
  <c r="U46" i="22" s="1"/>
  <c r="N46" i="22"/>
  <c r="P46" i="22" s="1"/>
  <c r="R46" i="22" s="1"/>
  <c r="V46" i="22" s="1"/>
  <c r="M46" i="22"/>
  <c r="C46" i="22"/>
  <c r="AN46" i="22" s="1"/>
  <c r="BA45" i="22"/>
  <c r="AW45" i="22" s="1"/>
  <c r="AX45" i="22"/>
  <c r="AU45" i="22" s="1"/>
  <c r="AV45" i="22"/>
  <c r="AO45" i="22"/>
  <c r="AI45" i="22"/>
  <c r="Q45" i="22"/>
  <c r="U45" i="22" s="1"/>
  <c r="N45" i="22"/>
  <c r="P45" i="22" s="1"/>
  <c r="R45" i="22" s="1"/>
  <c r="V45" i="22" s="1"/>
  <c r="M45" i="22"/>
  <c r="C45" i="22"/>
  <c r="AN45" i="22" s="1"/>
  <c r="AO44" i="22"/>
  <c r="AI44" i="22"/>
  <c r="Q44" i="22"/>
  <c r="U44" i="22" s="1"/>
  <c r="N44" i="22"/>
  <c r="P44" i="22" s="1"/>
  <c r="R44" i="22" s="1"/>
  <c r="V44" i="22" s="1"/>
  <c r="M44" i="22"/>
  <c r="AO43" i="22"/>
  <c r="AI43" i="22"/>
  <c r="Q43" i="22"/>
  <c r="U43" i="22" s="1"/>
  <c r="N43" i="22"/>
  <c r="P43" i="22" s="1"/>
  <c r="R43" i="22" s="1"/>
  <c r="V43" i="22" s="1"/>
  <c r="M43" i="22"/>
  <c r="AO42" i="22"/>
  <c r="AI42" i="22"/>
  <c r="Q42" i="22"/>
  <c r="U42" i="22" s="1"/>
  <c r="N42" i="22"/>
  <c r="P42" i="22" s="1"/>
  <c r="R42" i="22" s="1"/>
  <c r="V42" i="22" s="1"/>
  <c r="M42" i="22"/>
  <c r="AO41" i="22"/>
  <c r="AI41" i="22"/>
  <c r="Q41" i="22"/>
  <c r="U41" i="22" s="1"/>
  <c r="N41" i="22"/>
  <c r="P41" i="22" s="1"/>
  <c r="R41" i="22" s="1"/>
  <c r="V41" i="22" s="1"/>
  <c r="M41" i="22"/>
  <c r="C41" i="22"/>
  <c r="AN41" i="22" s="1"/>
  <c r="AN39" i="22"/>
  <c r="AF39" i="22"/>
  <c r="AQ51" i="22" s="1"/>
  <c r="AE39" i="22"/>
  <c r="AI39" i="22" s="1"/>
  <c r="AD39" i="22"/>
  <c r="AC39" i="22"/>
  <c r="Q37" i="22"/>
  <c r="O37" i="22"/>
  <c r="AO36" i="22"/>
  <c r="B36" i="22"/>
  <c r="F30" i="22"/>
  <c r="F26" i="22"/>
  <c r="AH57" i="22" s="1"/>
  <c r="F13" i="22"/>
  <c r="J39" i="22" s="1"/>
  <c r="F12" i="22"/>
  <c r="L39" i="22" s="1"/>
  <c r="AB76" i="22" s="1"/>
  <c r="AC76" i="22" s="1"/>
  <c r="AC77" i="22" s="1"/>
  <c r="F10" i="22"/>
  <c r="F9" i="22"/>
  <c r="F8" i="22"/>
  <c r="I39" i="22" s="1"/>
  <c r="F7" i="22"/>
  <c r="H39" i="22" s="1"/>
  <c r="F6" i="22"/>
  <c r="G39" i="22" s="1"/>
  <c r="F4" i="22"/>
  <c r="F3" i="22"/>
  <c r="E67" i="22" s="1"/>
  <c r="F87" i="23"/>
  <c r="B55" i="23"/>
  <c r="B56" i="23" s="1"/>
  <c r="B57" i="23" s="1"/>
  <c r="B58" i="23" s="1"/>
  <c r="M51" i="23"/>
  <c r="M50" i="23"/>
  <c r="M49" i="23"/>
  <c r="M48" i="23"/>
  <c r="M43" i="23"/>
  <c r="M42" i="23"/>
  <c r="M41" i="23"/>
  <c r="M40" i="23"/>
  <c r="M35" i="23"/>
  <c r="M34" i="23"/>
  <c r="M33" i="23"/>
  <c r="M32" i="23"/>
  <c r="C22" i="23"/>
  <c r="K378" i="32" s="1"/>
  <c r="J21" i="23"/>
  <c r="B21" i="23"/>
  <c r="C20" i="23"/>
  <c r="K376" i="32" s="1"/>
  <c r="J19" i="23"/>
  <c r="B19" i="23"/>
  <c r="J18" i="23"/>
  <c r="C18" i="23"/>
  <c r="K374" i="32" s="1"/>
  <c r="F17" i="23"/>
  <c r="C17" i="23"/>
  <c r="K373" i="32" s="1"/>
  <c r="B17" i="23"/>
  <c r="I373" i="32" s="1"/>
  <c r="J16" i="23"/>
  <c r="B16" i="23"/>
  <c r="J15" i="23"/>
  <c r="B7" i="23"/>
  <c r="W32" i="20" s="1"/>
  <c r="L348" i="32" s="1"/>
  <c r="E46" i="21"/>
  <c r="E50" i="21" s="1"/>
  <c r="E54" i="21" s="1"/>
  <c r="E57" i="21" s="1"/>
  <c r="D46" i="21"/>
  <c r="D50" i="21" s="1"/>
  <c r="D54" i="21" s="1"/>
  <c r="D57" i="21" s="1"/>
  <c r="C46" i="21"/>
  <c r="C50" i="21" s="1"/>
  <c r="C54" i="21" s="1"/>
  <c r="C57" i="21" s="1"/>
  <c r="BN36" i="21"/>
  <c r="N180" i="32" s="1"/>
  <c r="N179" i="32" s="1"/>
  <c r="BM36" i="21"/>
  <c r="BL36" i="21"/>
  <c r="BK36" i="21"/>
  <c r="BJ36" i="21"/>
  <c r="BI36" i="21"/>
  <c r="BH36" i="21"/>
  <c r="BG36" i="21"/>
  <c r="BF36" i="21"/>
  <c r="BC36" i="21"/>
  <c r="H180" i="32" s="1"/>
  <c r="BB36" i="21"/>
  <c r="BA36" i="21"/>
  <c r="AZ36" i="21"/>
  <c r="AY36" i="21"/>
  <c r="AX36" i="21"/>
  <c r="AW36" i="21"/>
  <c r="AV36" i="21"/>
  <c r="AU36" i="21"/>
  <c r="AR36" i="21"/>
  <c r="N165" i="32" s="1"/>
  <c r="AQ36" i="21"/>
  <c r="AP36" i="21"/>
  <c r="AO36" i="21"/>
  <c r="AN36" i="21"/>
  <c r="AM36" i="21"/>
  <c r="AL36" i="21"/>
  <c r="AK36" i="21"/>
  <c r="AJ36" i="21"/>
  <c r="AG36" i="21"/>
  <c r="H165" i="32" s="1"/>
  <c r="AF36" i="21"/>
  <c r="AE36" i="21"/>
  <c r="AD36" i="21"/>
  <c r="AC36" i="21"/>
  <c r="AB36" i="21"/>
  <c r="AA36" i="21"/>
  <c r="Z36" i="21"/>
  <c r="Y36" i="21"/>
  <c r="X36" i="21"/>
  <c r="V36" i="21"/>
  <c r="U36" i="21"/>
  <c r="T36" i="21"/>
  <c r="S36" i="21"/>
  <c r="R36" i="21"/>
  <c r="Q36" i="21"/>
  <c r="P36" i="21"/>
  <c r="O36" i="21"/>
  <c r="N36" i="21"/>
  <c r="K36" i="21"/>
  <c r="H151" i="32" s="1"/>
  <c r="J36" i="21"/>
  <c r="BM16" i="21"/>
  <c r="BL16" i="21" s="1"/>
  <c r="BK16" i="21" s="1"/>
  <c r="BJ16" i="21" s="1"/>
  <c r="BI16" i="21" s="1"/>
  <c r="BH16" i="21" s="1"/>
  <c r="BG16" i="21" s="1"/>
  <c r="BF16" i="21" s="1"/>
  <c r="BB16" i="21"/>
  <c r="BA16" i="21" s="1"/>
  <c r="AZ16" i="21" s="1"/>
  <c r="AY16" i="21" s="1"/>
  <c r="AX16" i="21" s="1"/>
  <c r="AW16" i="21" s="1"/>
  <c r="AV16" i="21" s="1"/>
  <c r="AU16" i="21" s="1"/>
  <c r="AQ16" i="21"/>
  <c r="AP16" i="21" s="1"/>
  <c r="AO16" i="21" s="1"/>
  <c r="AN16" i="21" s="1"/>
  <c r="AM16" i="21" s="1"/>
  <c r="AL16" i="21" s="1"/>
  <c r="AK16" i="21" s="1"/>
  <c r="AJ16" i="21" s="1"/>
  <c r="AF16" i="21"/>
  <c r="AE16" i="21" s="1"/>
  <c r="AD16" i="21" s="1"/>
  <c r="AC16" i="21" s="1"/>
  <c r="AB16" i="21" s="1"/>
  <c r="AA16" i="21" s="1"/>
  <c r="Z16" i="21" s="1"/>
  <c r="Y16" i="21" s="1"/>
  <c r="U16" i="21"/>
  <c r="T16" i="21" s="1"/>
  <c r="S16" i="21" s="1"/>
  <c r="R16" i="21" s="1"/>
  <c r="Q16" i="21" s="1"/>
  <c r="P16" i="21" s="1"/>
  <c r="O16" i="21" s="1"/>
  <c r="N16" i="21" s="1"/>
  <c r="BJ5" i="21"/>
  <c r="AY5" i="21"/>
  <c r="AN5" i="21"/>
  <c r="AC5" i="21"/>
  <c r="R5" i="21"/>
  <c r="G5" i="21"/>
  <c r="J6" i="24"/>
  <c r="P18" i="27"/>
  <c r="I13" i="27"/>
  <c r="M8" i="27"/>
  <c r="F3" i="27"/>
  <c r="F2" i="27"/>
  <c r="F5" i="28"/>
  <c r="C4" i="28"/>
  <c r="F4" i="28" s="1"/>
  <c r="F3" i="28"/>
  <c r="F2" i="28"/>
  <c r="B18" i="28" s="1"/>
  <c r="L18" i="28" s="1"/>
  <c r="K18" i="28" s="1"/>
  <c r="F3" i="29"/>
  <c r="F2" i="29"/>
  <c r="B18" i="29" s="1"/>
  <c r="L18" i="29" s="1"/>
  <c r="F3" i="30"/>
  <c r="F2" i="30"/>
  <c r="B18" i="30" s="1"/>
  <c r="L18" i="30" s="1"/>
  <c r="K18" i="30" s="1"/>
  <c r="B19" i="27" l="1"/>
  <c r="B19" i="26" s="1"/>
  <c r="AJ57" i="22"/>
  <c r="AK57" i="22" s="1"/>
  <c r="AH39" i="22"/>
  <c r="AH42" i="22"/>
  <c r="E22" i="17"/>
  <c r="D43" i="17"/>
  <c r="E24" i="17"/>
  <c r="C42" i="22"/>
  <c r="AJ42" i="22"/>
  <c r="AK42" i="22" s="1"/>
  <c r="R66" i="22"/>
  <c r="AK106" i="20"/>
  <c r="M74" i="19" s="1"/>
  <c r="W106" i="20"/>
  <c r="AK95" i="20"/>
  <c r="J74" i="19" s="1"/>
  <c r="W95" i="20"/>
  <c r="AK84" i="20"/>
  <c r="F74" i="19" s="1"/>
  <c r="N200" i="32"/>
  <c r="F60" i="19"/>
  <c r="B34" i="17"/>
  <c r="C34" i="17" s="1"/>
  <c r="N202" i="32"/>
  <c r="F62" i="19"/>
  <c r="B36" i="17"/>
  <c r="C36" i="17" s="1"/>
  <c r="B15" i="23"/>
  <c r="I371" i="32" s="1"/>
  <c r="P18" i="26"/>
  <c r="B19" i="30"/>
  <c r="L19" i="30" s="1"/>
  <c r="K19" i="30" s="1"/>
  <c r="F5" i="29"/>
  <c r="N151" i="32"/>
  <c r="N247" i="32"/>
  <c r="M67" i="19"/>
  <c r="N248" i="32"/>
  <c r="M68" i="19"/>
  <c r="N251" i="32"/>
  <c r="M71" i="19"/>
  <c r="N252" i="32"/>
  <c r="M72" i="19"/>
  <c r="N249" i="32"/>
  <c r="M69" i="19"/>
  <c r="N253" i="32"/>
  <c r="M73" i="19"/>
  <c r="N250" i="32"/>
  <c r="M70" i="19"/>
  <c r="N238" i="32"/>
  <c r="J68" i="19"/>
  <c r="N242" i="32"/>
  <c r="J72" i="19"/>
  <c r="N239" i="32"/>
  <c r="J69" i="19"/>
  <c r="N243" i="32"/>
  <c r="J73" i="19"/>
  <c r="N240" i="32"/>
  <c r="J70" i="19"/>
  <c r="N237" i="32"/>
  <c r="J67" i="19"/>
  <c r="N241" i="32"/>
  <c r="J71" i="19"/>
  <c r="N228" i="32"/>
  <c r="F68" i="19"/>
  <c r="H32" i="17"/>
  <c r="I32" i="17" s="1"/>
  <c r="N232" i="32"/>
  <c r="F72" i="19"/>
  <c r="N229" i="32"/>
  <c r="H33" i="17"/>
  <c r="I33" i="17" s="1"/>
  <c r="F69" i="19"/>
  <c r="N233" i="32"/>
  <c r="F73" i="19"/>
  <c r="H37" i="17"/>
  <c r="I37" i="17" s="1"/>
  <c r="N230" i="32"/>
  <c r="H34" i="17"/>
  <c r="I34" i="17" s="1"/>
  <c r="F70" i="19"/>
  <c r="W84" i="20"/>
  <c r="N231" i="32"/>
  <c r="F71" i="19"/>
  <c r="H35" i="17"/>
  <c r="I35" i="17" s="1"/>
  <c r="N218" i="32"/>
  <c r="M58" i="19"/>
  <c r="N222" i="32"/>
  <c r="M62" i="19"/>
  <c r="N219" i="32"/>
  <c r="M59" i="19"/>
  <c r="N223" i="32"/>
  <c r="M63" i="19"/>
  <c r="W73" i="20"/>
  <c r="M60" i="19"/>
  <c r="N220" i="32"/>
  <c r="N217" i="32"/>
  <c r="M57" i="19"/>
  <c r="N221" i="32"/>
  <c r="M61" i="19"/>
  <c r="N208" i="32"/>
  <c r="E32" i="17"/>
  <c r="F32" i="17" s="1"/>
  <c r="J58" i="19"/>
  <c r="N212" i="32"/>
  <c r="J62" i="19"/>
  <c r="E36" i="17"/>
  <c r="F36" i="17" s="1"/>
  <c r="N209" i="32"/>
  <c r="J59" i="19"/>
  <c r="N213" i="32"/>
  <c r="E37" i="17"/>
  <c r="F37" i="17" s="1"/>
  <c r="J63" i="19"/>
  <c r="N207" i="32"/>
  <c r="J57" i="19"/>
  <c r="E31" i="17"/>
  <c r="F31" i="17" s="1"/>
  <c r="AK62" i="20"/>
  <c r="J64" i="19" s="1"/>
  <c r="N211" i="32"/>
  <c r="N203" i="32"/>
  <c r="F63" i="19"/>
  <c r="B37" i="17"/>
  <c r="C37" i="17" s="1"/>
  <c r="N201" i="32"/>
  <c r="B35" i="17"/>
  <c r="C35" i="17" s="1"/>
  <c r="F61" i="19"/>
  <c r="G17" i="23"/>
  <c r="K364" i="32" s="1"/>
  <c r="I364" i="32"/>
  <c r="C21" i="23"/>
  <c r="K377" i="32" s="1"/>
  <c r="I377" i="32"/>
  <c r="K17" i="23"/>
  <c r="P72" i="32" s="1"/>
  <c r="I384" i="32"/>
  <c r="K15" i="23"/>
  <c r="P70" i="32" s="1"/>
  <c r="I382" i="32"/>
  <c r="K18" i="23"/>
  <c r="P73" i="32" s="1"/>
  <c r="I385" i="32"/>
  <c r="C16" i="23"/>
  <c r="K372" i="32" s="1"/>
  <c r="I372" i="32"/>
  <c r="C19" i="23"/>
  <c r="K375" i="32" s="1"/>
  <c r="I375" i="32"/>
  <c r="I99" i="23"/>
  <c r="J99" i="23" s="1"/>
  <c r="I388" i="32"/>
  <c r="K16" i="23"/>
  <c r="P71" i="32" s="1"/>
  <c r="I383" i="32"/>
  <c r="K19" i="23"/>
  <c r="P75" i="32" s="1"/>
  <c r="I386" i="32"/>
  <c r="I9" i="22"/>
  <c r="N152" i="32"/>
  <c r="H166" i="32"/>
  <c r="N166" i="32"/>
  <c r="BN38" i="21"/>
  <c r="N181" i="32"/>
  <c r="H181" i="32"/>
  <c r="N227" i="32"/>
  <c r="H31" i="17"/>
  <c r="I31" i="17" s="1"/>
  <c r="F67" i="19"/>
  <c r="AK51" i="20"/>
  <c r="F64" i="19" s="1"/>
  <c r="F58" i="19"/>
  <c r="B32" i="17"/>
  <c r="C32" i="17" s="1"/>
  <c r="J60" i="19"/>
  <c r="E34" i="17"/>
  <c r="F34" i="17" s="1"/>
  <c r="W62" i="20"/>
  <c r="J61" i="19"/>
  <c r="E35" i="17"/>
  <c r="F35" i="17" s="1"/>
  <c r="F57" i="19"/>
  <c r="W51" i="20"/>
  <c r="B33" i="17"/>
  <c r="C33" i="17" s="1"/>
  <c r="F59" i="19"/>
  <c r="R65" i="22"/>
  <c r="AQ58" i="22"/>
  <c r="K39" i="22"/>
  <c r="AS47" i="22" s="1"/>
  <c r="AQ41" i="22"/>
  <c r="AQ43" i="22"/>
  <c r="AQ46" i="22"/>
  <c r="AQ49" i="22"/>
  <c r="AQ52" i="22"/>
  <c r="AQ55" i="22"/>
  <c r="AQ59" i="22"/>
  <c r="T21" i="22"/>
  <c r="E39" i="22"/>
  <c r="AO39" i="22" s="1"/>
  <c r="AQ53" i="22"/>
  <c r="AQ56" i="22"/>
  <c r="V21" i="22"/>
  <c r="F39" i="22"/>
  <c r="AQ44" i="22"/>
  <c r="AQ47" i="22"/>
  <c r="AQ50" i="22"/>
  <c r="AQ60" i="22"/>
  <c r="J43" i="17"/>
  <c r="I89" i="23"/>
  <c r="J89" i="23" s="1"/>
  <c r="AQ42" i="22"/>
  <c r="AQ57" i="22"/>
  <c r="J8" i="24"/>
  <c r="AQ45" i="22"/>
  <c r="AQ48" i="22"/>
  <c r="AQ54" i="22"/>
  <c r="C9" i="25"/>
  <c r="C9" i="30" s="1"/>
  <c r="C9" i="26"/>
  <c r="W33" i="20"/>
  <c r="L349" i="32" s="1"/>
  <c r="B43" i="17"/>
  <c r="C13" i="26"/>
  <c r="C13" i="27" s="1"/>
  <c r="C13" i="17"/>
  <c r="BC38" i="21"/>
  <c r="V38" i="21"/>
  <c r="AG38" i="21"/>
  <c r="AR38" i="21"/>
  <c r="AK73" i="20"/>
  <c r="C60" i="21"/>
  <c r="C65" i="21" s="1"/>
  <c r="C58" i="21"/>
  <c r="D60" i="21"/>
  <c r="D65" i="21" s="1"/>
  <c r="D58" i="21"/>
  <c r="E60" i="21"/>
  <c r="E65" i="21" s="1"/>
  <c r="E58" i="21"/>
  <c r="N16" i="22"/>
  <c r="AS43" i="22"/>
  <c r="N19" i="22"/>
  <c r="N17" i="22"/>
  <c r="H78" i="22"/>
  <c r="N20" i="22"/>
  <c r="AJ39" i="22"/>
  <c r="AK39" i="22" s="1"/>
  <c r="AH52" i="22"/>
  <c r="AJ52" i="22" s="1"/>
  <c r="AK52" i="22" s="1"/>
  <c r="AH60" i="22"/>
  <c r="AJ60" i="22" s="1"/>
  <c r="AK60" i="22" s="1"/>
  <c r="AS45" i="22"/>
  <c r="F78" i="22"/>
  <c r="G78" i="22"/>
  <c r="AH45" i="22"/>
  <c r="AJ45" i="22" s="1"/>
  <c r="AK45" i="22" s="1"/>
  <c r="AU50" i="22"/>
  <c r="AU54" i="22"/>
  <c r="AH55" i="22"/>
  <c r="AJ55" i="22" s="1"/>
  <c r="AK55" i="22" s="1"/>
  <c r="AS55" i="22"/>
  <c r="AH58" i="22"/>
  <c r="AJ58" i="22" s="1"/>
  <c r="AK58" i="22" s="1"/>
  <c r="AH49" i="22"/>
  <c r="AJ49" i="22" s="1"/>
  <c r="AK49" i="22" s="1"/>
  <c r="AH51" i="22"/>
  <c r="AJ51" i="22" s="1"/>
  <c r="AK51" i="22" s="1"/>
  <c r="AU52" i="22"/>
  <c r="AH53" i="22"/>
  <c r="AJ53" i="22" s="1"/>
  <c r="AK53" i="22" s="1"/>
  <c r="AS58" i="22"/>
  <c r="AU60" i="22"/>
  <c r="AH44" i="22"/>
  <c r="AJ44" i="22" s="1"/>
  <c r="AK44" i="22" s="1"/>
  <c r="AH46" i="22"/>
  <c r="AJ46" i="22" s="1"/>
  <c r="AK46" i="22" s="1"/>
  <c r="AH56" i="22"/>
  <c r="AJ56" i="22" s="1"/>
  <c r="AK56" i="22" s="1"/>
  <c r="AS44" i="22"/>
  <c r="AH48" i="22"/>
  <c r="AJ48" i="22" s="1"/>
  <c r="AK48" i="22" s="1"/>
  <c r="AH59" i="22"/>
  <c r="AJ59" i="22" s="1"/>
  <c r="AK59" i="22" s="1"/>
  <c r="AH41" i="22"/>
  <c r="AJ41" i="22" s="1"/>
  <c r="AK41" i="22" s="1"/>
  <c r="AH50" i="22"/>
  <c r="AJ50" i="22" s="1"/>
  <c r="AK50" i="22" s="1"/>
  <c r="AH54" i="22"/>
  <c r="AJ54" i="22" s="1"/>
  <c r="AK54" i="22" s="1"/>
  <c r="AS41" i="22"/>
  <c r="AH43" i="22"/>
  <c r="AJ43" i="22" s="1"/>
  <c r="AK43" i="22" s="1"/>
  <c r="AH47" i="22"/>
  <c r="AJ47" i="22" s="1"/>
  <c r="AK47" i="22" s="1"/>
  <c r="R68" i="22"/>
  <c r="B18" i="27"/>
  <c r="L18" i="27" s="1"/>
  <c r="C12" i="28"/>
  <c r="J18" i="28" s="1"/>
  <c r="Q18" i="28" s="1"/>
  <c r="C12" i="27"/>
  <c r="J18" i="27" s="1"/>
  <c r="L18" i="25"/>
  <c r="K18" i="29"/>
  <c r="K18" i="25" s="1"/>
  <c r="J18" i="25"/>
  <c r="C12" i="30"/>
  <c r="J18" i="30" s="1"/>
  <c r="Q18" i="30" s="1"/>
  <c r="A19" i="29"/>
  <c r="B19" i="29"/>
  <c r="W29" i="20"/>
  <c r="L344" i="32" l="1"/>
  <c r="L19" i="27"/>
  <c r="L19" i="26" s="1"/>
  <c r="B19" i="28"/>
  <c r="N19" i="28" s="1"/>
  <c r="O19" i="28" s="1"/>
  <c r="AL60" i="22"/>
  <c r="AR60" i="22" s="1"/>
  <c r="BM38" i="21"/>
  <c r="H27" i="20" s="1"/>
  <c r="K27" i="20" s="1"/>
  <c r="AN42" i="22"/>
  <c r="C43" i="22"/>
  <c r="BB38" i="21"/>
  <c r="H26" i="20" s="1"/>
  <c r="K26" i="20" s="1"/>
  <c r="AF38" i="21"/>
  <c r="H24" i="20" s="1"/>
  <c r="K24" i="20" s="1"/>
  <c r="AQ38" i="21"/>
  <c r="H25" i="20" s="1"/>
  <c r="K25" i="20" s="1"/>
  <c r="AS46" i="22"/>
  <c r="AS51" i="22"/>
  <c r="AS48" i="22"/>
  <c r="AS42" i="22"/>
  <c r="AS49" i="22"/>
  <c r="AS56" i="22"/>
  <c r="AS52" i="22"/>
  <c r="AC66" i="22"/>
  <c r="AC78" i="22" s="1"/>
  <c r="AS50" i="22"/>
  <c r="AS53" i="22"/>
  <c r="AS60" i="22"/>
  <c r="AS57" i="22"/>
  <c r="AS59" i="22"/>
  <c r="M39" i="22"/>
  <c r="C9" i="28"/>
  <c r="E25" i="17"/>
  <c r="A79" i="23"/>
  <c r="B79" i="23" s="1"/>
  <c r="C15" i="23" s="1"/>
  <c r="K371" i="32" s="1"/>
  <c r="H19" i="30"/>
  <c r="N19" i="30"/>
  <c r="O19" i="30" s="1"/>
  <c r="N19" i="27"/>
  <c r="O19" i="27" s="1"/>
  <c r="U38" i="21"/>
  <c r="H23" i="20" s="1"/>
  <c r="K23" i="20" s="1"/>
  <c r="N254" i="32"/>
  <c r="N244" i="32"/>
  <c r="I38" i="17"/>
  <c r="N234" i="32"/>
  <c r="N224" i="32"/>
  <c r="AA23" i="20"/>
  <c r="F20" i="23" s="1"/>
  <c r="N214" i="32"/>
  <c r="N204" i="32"/>
  <c r="P74" i="32"/>
  <c r="F38" i="17"/>
  <c r="C38" i="17"/>
  <c r="AS54" i="22"/>
  <c r="N77" i="32"/>
  <c r="AL56" i="22"/>
  <c r="AR56" i="22" s="1"/>
  <c r="AL53" i="22"/>
  <c r="AR53" i="22" s="1"/>
  <c r="AL41" i="22"/>
  <c r="AR41" i="22" s="1"/>
  <c r="AT41" i="22" s="1"/>
  <c r="AL42" i="22"/>
  <c r="AR42" i="22" s="1"/>
  <c r="AL52" i="22"/>
  <c r="AR52" i="22" s="1"/>
  <c r="AL51" i="22"/>
  <c r="AR51" i="22" s="1"/>
  <c r="AL43" i="22"/>
  <c r="AR43" i="22" s="1"/>
  <c r="AT43" i="22" s="1"/>
  <c r="AL59" i="22"/>
  <c r="AR59" i="22" s="1"/>
  <c r="AL49" i="22"/>
  <c r="AR49" i="22" s="1"/>
  <c r="AL47" i="22"/>
  <c r="AR47" i="22" s="1"/>
  <c r="AT47" i="22" s="1"/>
  <c r="AL46" i="22"/>
  <c r="AR46" i="22" s="1"/>
  <c r="AL48" i="22"/>
  <c r="AR48" i="22" s="1"/>
  <c r="AL44" i="22"/>
  <c r="AR44" i="22" s="1"/>
  <c r="AT44" i="22" s="1"/>
  <c r="AL54" i="22"/>
  <c r="AR54" i="22" s="1"/>
  <c r="AL58" i="22"/>
  <c r="AR58" i="22" s="1"/>
  <c r="AT58" i="22" s="1"/>
  <c r="AL45" i="22"/>
  <c r="AR45" i="22" s="1"/>
  <c r="AT45" i="22" s="1"/>
  <c r="AL50" i="22"/>
  <c r="AR50" i="22" s="1"/>
  <c r="Q18" i="29"/>
  <c r="M64" i="19"/>
  <c r="AA24" i="20"/>
  <c r="E70" i="21"/>
  <c r="E68" i="21"/>
  <c r="D70" i="21"/>
  <c r="D68" i="21"/>
  <c r="C70" i="21"/>
  <c r="C68" i="21"/>
  <c r="AL57" i="22"/>
  <c r="AR57" i="22" s="1"/>
  <c r="AL55" i="22"/>
  <c r="AR55" i="22" s="1"/>
  <c r="AT55" i="22" s="1"/>
  <c r="N21" i="22"/>
  <c r="J18" i="26"/>
  <c r="H43" i="17" s="1"/>
  <c r="A19" i="27"/>
  <c r="L18" i="26"/>
  <c r="K18" i="27"/>
  <c r="K18" i="26" s="1"/>
  <c r="AD18" i="26" s="1"/>
  <c r="N19" i="26"/>
  <c r="O19" i="26" s="1"/>
  <c r="Y19" i="26"/>
  <c r="L19" i="29"/>
  <c r="N19" i="29"/>
  <c r="O19" i="29" s="1"/>
  <c r="B19" i="25"/>
  <c r="H19" i="29"/>
  <c r="A20" i="29"/>
  <c r="A19" i="30"/>
  <c r="A19" i="25"/>
  <c r="J19" i="29"/>
  <c r="Q18" i="25"/>
  <c r="C8" i="26"/>
  <c r="C8" i="25"/>
  <c r="K19" i="27" l="1"/>
  <c r="K19" i="26" s="1"/>
  <c r="H19" i="28"/>
  <c r="L19" i="28"/>
  <c r="K19" i="28" s="1"/>
  <c r="AT51" i="22"/>
  <c r="AT60" i="22"/>
  <c r="AT49" i="22"/>
  <c r="AN43" i="22"/>
  <c r="C44" i="22"/>
  <c r="AN44" i="22" s="1"/>
  <c r="AX41" i="22"/>
  <c r="AU41" i="22" s="1"/>
  <c r="AV41" i="22"/>
  <c r="AX44" i="22"/>
  <c r="AU44" i="22" s="1"/>
  <c r="AV44" i="22"/>
  <c r="AX43" i="22"/>
  <c r="AV43" i="22"/>
  <c r="AT52" i="22"/>
  <c r="AT42" i="22"/>
  <c r="AT48" i="22"/>
  <c r="AT50" i="22"/>
  <c r="AT46" i="22"/>
  <c r="AT57" i="22"/>
  <c r="AT56" i="22"/>
  <c r="AT53" i="22"/>
  <c r="AT59" i="22"/>
  <c r="E53" i="23"/>
  <c r="F53" i="23" s="1"/>
  <c r="G20" i="23" s="1"/>
  <c r="K367" i="32" s="1"/>
  <c r="I367" i="32"/>
  <c r="G43" i="17"/>
  <c r="O43" i="17" s="1"/>
  <c r="E43" i="17"/>
  <c r="C43" i="17" s="1"/>
  <c r="I43" i="17"/>
  <c r="H19" i="27"/>
  <c r="AT54" i="22"/>
  <c r="AA25" i="20"/>
  <c r="A19" i="26"/>
  <c r="J19" i="27"/>
  <c r="A20" i="27"/>
  <c r="A19" i="28"/>
  <c r="I14" i="27"/>
  <c r="AC18" i="26"/>
  <c r="Q18" i="26"/>
  <c r="R18" i="26" s="1"/>
  <c r="Q18" i="27"/>
  <c r="R18" i="27" s="1"/>
  <c r="J19" i="25"/>
  <c r="K19" i="29"/>
  <c r="K19" i="25" s="1"/>
  <c r="H19" i="25" s="1"/>
  <c r="L19" i="25"/>
  <c r="V19" i="25"/>
  <c r="J19" i="30"/>
  <c r="C19" i="30" s="1"/>
  <c r="A20" i="25"/>
  <c r="J20" i="29"/>
  <c r="A20" i="30"/>
  <c r="B20" i="29"/>
  <c r="B44" i="17"/>
  <c r="N19" i="25"/>
  <c r="O19" i="25" s="1"/>
  <c r="C8" i="27"/>
  <c r="C8" i="28"/>
  <c r="E21" i="17"/>
  <c r="F10" i="19" s="1"/>
  <c r="C8" i="29"/>
  <c r="C8" i="30"/>
  <c r="AX42" i="22" l="1"/>
  <c r="AU42" i="22" s="1"/>
  <c r="AV42" i="22"/>
  <c r="AC68" i="22" s="1"/>
  <c r="BE42" i="22"/>
  <c r="AU43" i="22"/>
  <c r="Q19" i="27"/>
  <c r="A21" i="27"/>
  <c r="A21" i="26" s="1"/>
  <c r="Q19" i="25"/>
  <c r="Q19" i="29"/>
  <c r="I29" i="19"/>
  <c r="AD19" i="26"/>
  <c r="H19" i="26"/>
  <c r="J19" i="28"/>
  <c r="Q19" i="28" s="1"/>
  <c r="I14" i="28"/>
  <c r="B20" i="27"/>
  <c r="A20" i="28"/>
  <c r="J20" i="27"/>
  <c r="A20" i="26"/>
  <c r="J19" i="26"/>
  <c r="I44" i="17" s="1"/>
  <c r="C19" i="27"/>
  <c r="P19" i="27" s="1"/>
  <c r="X19" i="26"/>
  <c r="V19" i="26"/>
  <c r="J20" i="30"/>
  <c r="B20" i="30"/>
  <c r="B20" i="25"/>
  <c r="N20" i="29"/>
  <c r="O20" i="29" s="1"/>
  <c r="H20" i="29"/>
  <c r="L20" i="29"/>
  <c r="J20" i="25"/>
  <c r="Q19" i="30"/>
  <c r="C19" i="29"/>
  <c r="I19" i="25"/>
  <c r="C19" i="25"/>
  <c r="E23" i="17"/>
  <c r="G10" i="17"/>
  <c r="A21" i="29"/>
  <c r="BG44" i="22" l="1"/>
  <c r="BE44" i="22"/>
  <c r="BE43" i="22"/>
  <c r="AZ43" i="22"/>
  <c r="AY43" i="22"/>
  <c r="BG41" i="22"/>
  <c r="BG48" i="22"/>
  <c r="BG42" i="22"/>
  <c r="BG47" i="22"/>
  <c r="AC64" i="22"/>
  <c r="AY52" i="22"/>
  <c r="AY48" i="22"/>
  <c r="AY55" i="22"/>
  <c r="AY41" i="22"/>
  <c r="AY54" i="22"/>
  <c r="AY59" i="22"/>
  <c r="AZ44" i="22"/>
  <c r="AY45" i="22"/>
  <c r="AZ52" i="22"/>
  <c r="AZ54" i="22"/>
  <c r="AY46" i="22"/>
  <c r="AZ58" i="22"/>
  <c r="AY56" i="22"/>
  <c r="AZ47" i="22"/>
  <c r="AZ41" i="22"/>
  <c r="AZ53" i="22"/>
  <c r="AZ55" i="22"/>
  <c r="AY60" i="22"/>
  <c r="AY58" i="22"/>
  <c r="AC70" i="22"/>
  <c r="AZ45" i="22"/>
  <c r="AY42" i="22"/>
  <c r="AZ51" i="22"/>
  <c r="AZ59" i="22"/>
  <c r="AZ42" i="22"/>
  <c r="AY50" i="22"/>
  <c r="AC69" i="22"/>
  <c r="AY53" i="22"/>
  <c r="AZ60" i="22"/>
  <c r="AY44" i="22"/>
  <c r="AZ46" i="22"/>
  <c r="AY57" i="22"/>
  <c r="AY51" i="22"/>
  <c r="AZ56" i="22"/>
  <c r="AZ57" i="22"/>
  <c r="AY49" i="22"/>
  <c r="AZ48" i="22"/>
  <c r="AY47" i="22"/>
  <c r="AZ49" i="22"/>
  <c r="AZ50" i="22"/>
  <c r="AC72" i="22"/>
  <c r="H44" i="17"/>
  <c r="E44" i="17"/>
  <c r="G44" i="17"/>
  <c r="R19" i="27"/>
  <c r="A21" i="28"/>
  <c r="J21" i="28" s="1"/>
  <c r="B21" i="27"/>
  <c r="A22" i="27"/>
  <c r="A22" i="26" s="1"/>
  <c r="J21" i="27"/>
  <c r="AC19" i="26"/>
  <c r="I19" i="26"/>
  <c r="J44" i="17" s="1"/>
  <c r="N44" i="17" s="1"/>
  <c r="C19" i="26"/>
  <c r="D44" i="17" s="1"/>
  <c r="C19" i="28"/>
  <c r="X20" i="26"/>
  <c r="J20" i="26"/>
  <c r="H45" i="17" s="1"/>
  <c r="J20" i="28"/>
  <c r="Q19" i="26"/>
  <c r="N20" i="27"/>
  <c r="O20" i="27" s="1"/>
  <c r="B20" i="28"/>
  <c r="L20" i="27"/>
  <c r="B20" i="26"/>
  <c r="B45" i="17" s="1"/>
  <c r="N20" i="25"/>
  <c r="O20" i="25" s="1"/>
  <c r="H20" i="30"/>
  <c r="N20" i="30"/>
  <c r="O20" i="30" s="1"/>
  <c r="L20" i="30"/>
  <c r="K20" i="30" s="1"/>
  <c r="Q20" i="30" s="1"/>
  <c r="L20" i="25"/>
  <c r="K20" i="29"/>
  <c r="A21" i="25"/>
  <c r="A22" i="29"/>
  <c r="B21" i="29"/>
  <c r="J21" i="29"/>
  <c r="A21" i="30"/>
  <c r="X21" i="26"/>
  <c r="F14" i="19"/>
  <c r="F15" i="19" s="1"/>
  <c r="G13" i="17"/>
  <c r="BE47" i="22" l="1"/>
  <c r="BF47" i="22" s="1"/>
  <c r="P71" i="22"/>
  <c r="AC73" i="22"/>
  <c r="AC74" i="22"/>
  <c r="BA61" i="22"/>
  <c r="BG43" i="22"/>
  <c r="BE50" i="22"/>
  <c r="BE51" i="22"/>
  <c r="BE48" i="22"/>
  <c r="BF48" i="22" s="1"/>
  <c r="BB60" i="22"/>
  <c r="BB45" i="22"/>
  <c r="BB50" i="22"/>
  <c r="BB55" i="22"/>
  <c r="BB42" i="22"/>
  <c r="BB48" i="22"/>
  <c r="BB46" i="22"/>
  <c r="BB54" i="22"/>
  <c r="BB57" i="22"/>
  <c r="BB51" i="22"/>
  <c r="BB56" i="22"/>
  <c r="BB49" i="22"/>
  <c r="BB52" i="22"/>
  <c r="BB53" i="22"/>
  <c r="BB47" i="22"/>
  <c r="BB59" i="22"/>
  <c r="BB58" i="22"/>
  <c r="BB41" i="22"/>
  <c r="BB44" i="22"/>
  <c r="BB43" i="22"/>
  <c r="C44" i="17"/>
  <c r="O44" i="17"/>
  <c r="E45" i="17"/>
  <c r="G45" i="17"/>
  <c r="O45" i="17" s="1"/>
  <c r="I45" i="17"/>
  <c r="J21" i="26"/>
  <c r="AC21" i="26" s="1"/>
  <c r="B21" i="26"/>
  <c r="Y21" i="26" s="1"/>
  <c r="B22" i="27"/>
  <c r="B21" i="28"/>
  <c r="L21" i="28" s="1"/>
  <c r="K21" i="28" s="1"/>
  <c r="Q21" i="28" s="1"/>
  <c r="N21" i="27"/>
  <c r="O21" i="27" s="1"/>
  <c r="L21" i="27"/>
  <c r="L21" i="26" s="1"/>
  <c r="A22" i="28"/>
  <c r="J22" i="27"/>
  <c r="A23" i="27"/>
  <c r="J23" i="27" s="1"/>
  <c r="K20" i="27"/>
  <c r="L20" i="26"/>
  <c r="H20" i="28"/>
  <c r="N20" i="28"/>
  <c r="O20" i="28" s="1"/>
  <c r="L20" i="28"/>
  <c r="K20" i="28" s="1"/>
  <c r="Q20" i="28" s="1"/>
  <c r="AC20" i="26"/>
  <c r="Z19" i="26"/>
  <c r="P19" i="26" s="1"/>
  <c r="R19" i="26" s="1"/>
  <c r="Y20" i="26"/>
  <c r="N20" i="26"/>
  <c r="O20" i="26" s="1"/>
  <c r="K20" i="25"/>
  <c r="Q20" i="29"/>
  <c r="C20" i="29"/>
  <c r="C20" i="30"/>
  <c r="T20" i="30"/>
  <c r="E10" i="17"/>
  <c r="J21" i="30"/>
  <c r="B21" i="30"/>
  <c r="J21" i="25"/>
  <c r="B21" i="25"/>
  <c r="L21" i="29"/>
  <c r="N21" i="29"/>
  <c r="O21" i="29" s="1"/>
  <c r="H21" i="29"/>
  <c r="A22" i="25"/>
  <c r="B22" i="29"/>
  <c r="J22" i="29"/>
  <c r="A23" i="29"/>
  <c r="A22" i="30"/>
  <c r="X22" i="26"/>
  <c r="BA44" i="22" l="1"/>
  <c r="AW44" i="22" s="1"/>
  <c r="BF50" i="22"/>
  <c r="BG51" i="22" s="1"/>
  <c r="BA41" i="22"/>
  <c r="AW41" i="22" s="1"/>
  <c r="AW61" i="22"/>
  <c r="BA43" i="22"/>
  <c r="AW43" i="22" s="1"/>
  <c r="BA42" i="22"/>
  <c r="AW42" i="22" s="1"/>
  <c r="H48" i="20"/>
  <c r="H73" i="32" s="1"/>
  <c r="W12" i="20"/>
  <c r="AA13" i="20" s="1"/>
  <c r="P73" i="22"/>
  <c r="R73" i="22" s="1"/>
  <c r="P72" i="22"/>
  <c r="R72" i="22" s="1"/>
  <c r="R71" i="22"/>
  <c r="N21" i="26"/>
  <c r="O21" i="26" s="1"/>
  <c r="B22" i="26"/>
  <c r="N22" i="26" s="1"/>
  <c r="H20" i="27"/>
  <c r="J22" i="26"/>
  <c r="AC22" i="26" s="1"/>
  <c r="H21" i="28"/>
  <c r="N21" i="28"/>
  <c r="O21" i="28" s="1"/>
  <c r="J22" i="28"/>
  <c r="K21" i="27"/>
  <c r="B22" i="28"/>
  <c r="H22" i="28" s="1"/>
  <c r="L22" i="27"/>
  <c r="L22" i="26" s="1"/>
  <c r="N22" i="27"/>
  <c r="O22" i="27" s="1"/>
  <c r="A23" i="28"/>
  <c r="J23" i="28" s="1"/>
  <c r="B23" i="27"/>
  <c r="A24" i="27"/>
  <c r="A24" i="26" s="1"/>
  <c r="A23" i="26"/>
  <c r="X23" i="26" s="1"/>
  <c r="T20" i="28"/>
  <c r="C20" i="28"/>
  <c r="K20" i="26"/>
  <c r="Q20" i="27"/>
  <c r="C20" i="27"/>
  <c r="P20" i="27" s="1"/>
  <c r="Q20" i="25"/>
  <c r="C20" i="25"/>
  <c r="U20" i="25"/>
  <c r="H20" i="25"/>
  <c r="I20" i="25"/>
  <c r="T21" i="28"/>
  <c r="C21" i="28"/>
  <c r="B46" i="17"/>
  <c r="N21" i="25"/>
  <c r="O21" i="25" s="1"/>
  <c r="J22" i="25"/>
  <c r="A23" i="25"/>
  <c r="J23" i="29"/>
  <c r="A24" i="29"/>
  <c r="B23" i="29"/>
  <c r="A23" i="30"/>
  <c r="J23" i="26"/>
  <c r="J22" i="30"/>
  <c r="B22" i="30"/>
  <c r="L21" i="25"/>
  <c r="K21" i="29"/>
  <c r="H46" i="17"/>
  <c r="G46" i="17"/>
  <c r="I46" i="17"/>
  <c r="E46" i="17"/>
  <c r="N21" i="30"/>
  <c r="O21" i="30" s="1"/>
  <c r="L21" i="30"/>
  <c r="H21" i="30"/>
  <c r="B22" i="25"/>
  <c r="L22" i="29"/>
  <c r="N22" i="29"/>
  <c r="O22" i="29" s="1"/>
  <c r="H22" i="29"/>
  <c r="C11" i="25" l="1"/>
  <c r="C11" i="26"/>
  <c r="G20" i="26" s="1"/>
  <c r="W22" i="20"/>
  <c r="F19" i="23"/>
  <c r="AA12" i="20"/>
  <c r="J7" i="24"/>
  <c r="J9" i="24" s="1"/>
  <c r="F18" i="23"/>
  <c r="Y22" i="26"/>
  <c r="L23" i="27"/>
  <c r="L23" i="26" s="1"/>
  <c r="H21" i="27"/>
  <c r="K22" i="27"/>
  <c r="K21" i="26"/>
  <c r="C21" i="26" s="1"/>
  <c r="Q21" i="27"/>
  <c r="L22" i="28"/>
  <c r="K22" i="28" s="1"/>
  <c r="N22" i="28"/>
  <c r="O22" i="28" s="1"/>
  <c r="C21" i="27"/>
  <c r="P21" i="27" s="1"/>
  <c r="A24" i="28"/>
  <c r="J24" i="27"/>
  <c r="B24" i="27"/>
  <c r="A25" i="27"/>
  <c r="A25" i="26" s="1"/>
  <c r="B23" i="26"/>
  <c r="Y23" i="26" s="1"/>
  <c r="N23" i="27"/>
  <c r="O23" i="27" s="1"/>
  <c r="B23" i="28"/>
  <c r="O22" i="26"/>
  <c r="AD20" i="26"/>
  <c r="H20" i="26"/>
  <c r="U20" i="26"/>
  <c r="I20" i="26"/>
  <c r="V20" i="26" s="1"/>
  <c r="C20" i="26"/>
  <c r="D45" i="17" s="1"/>
  <c r="C45" i="17" s="1"/>
  <c r="Q20" i="26"/>
  <c r="R20" i="27"/>
  <c r="V20" i="25"/>
  <c r="O46" i="17"/>
  <c r="B23" i="25"/>
  <c r="L23" i="29"/>
  <c r="N23" i="29"/>
  <c r="O23" i="29" s="1"/>
  <c r="H23" i="29"/>
  <c r="A24" i="25"/>
  <c r="J24" i="29"/>
  <c r="A25" i="29"/>
  <c r="B24" i="29"/>
  <c r="A24" i="30"/>
  <c r="J23" i="25"/>
  <c r="L22" i="25"/>
  <c r="K22" i="29"/>
  <c r="K21" i="25"/>
  <c r="Q21" i="29"/>
  <c r="C21" i="29"/>
  <c r="B47" i="17"/>
  <c r="N22" i="25"/>
  <c r="O22" i="25" s="1"/>
  <c r="K21" i="30"/>
  <c r="AC23" i="26"/>
  <c r="N22" i="30"/>
  <c r="O22" i="30" s="1"/>
  <c r="L22" i="30"/>
  <c r="K22" i="30" s="1"/>
  <c r="H22" i="30"/>
  <c r="B23" i="30"/>
  <c r="J23" i="30"/>
  <c r="X24" i="26"/>
  <c r="C6" i="26" l="1"/>
  <c r="C6" i="25"/>
  <c r="J25" i="17"/>
  <c r="F42" i="19" s="1"/>
  <c r="C11" i="28"/>
  <c r="C11" i="27"/>
  <c r="G19" i="26"/>
  <c r="G23" i="28"/>
  <c r="C11" i="29"/>
  <c r="C11" i="30"/>
  <c r="G23" i="30" s="1"/>
  <c r="G19" i="25"/>
  <c r="G20" i="25"/>
  <c r="K23" i="27"/>
  <c r="K23" i="26" s="1"/>
  <c r="I365" i="32"/>
  <c r="E78" i="23"/>
  <c r="F78" i="23" s="1"/>
  <c r="G18" i="23" s="1"/>
  <c r="K365" i="32" s="1"/>
  <c r="I366" i="32"/>
  <c r="E85" i="23"/>
  <c r="F85" i="23" s="1"/>
  <c r="G19" i="23" s="1"/>
  <c r="K366" i="32" s="1"/>
  <c r="L340" i="32"/>
  <c r="M10" i="24"/>
  <c r="N24" i="27"/>
  <c r="O24" i="27" s="1"/>
  <c r="J24" i="26"/>
  <c r="AC24" i="26" s="1"/>
  <c r="Q22" i="27"/>
  <c r="H22" i="27"/>
  <c r="J45" i="17"/>
  <c r="N45" i="17" s="1"/>
  <c r="G21" i="26"/>
  <c r="AD21" i="26"/>
  <c r="Z21" i="26" s="1"/>
  <c r="P21" i="26" s="1"/>
  <c r="Q21" i="26"/>
  <c r="K22" i="26"/>
  <c r="H22" i="26" s="1"/>
  <c r="H21" i="26"/>
  <c r="I21" i="26"/>
  <c r="V21" i="26" s="1"/>
  <c r="U21" i="26"/>
  <c r="R21" i="27"/>
  <c r="A25" i="28"/>
  <c r="J25" i="28" s="1"/>
  <c r="B25" i="27"/>
  <c r="Q22" i="28"/>
  <c r="B24" i="26"/>
  <c r="Y24" i="26" s="1"/>
  <c r="A26" i="27"/>
  <c r="J26" i="27" s="1"/>
  <c r="J25" i="27"/>
  <c r="B24" i="28"/>
  <c r="L24" i="28" s="1"/>
  <c r="K24" i="28" s="1"/>
  <c r="L24" i="27"/>
  <c r="L24" i="26" s="1"/>
  <c r="N23" i="26"/>
  <c r="O23" i="26" s="1"/>
  <c r="H23" i="28"/>
  <c r="N23" i="28"/>
  <c r="O23" i="28" s="1"/>
  <c r="L23" i="28"/>
  <c r="K23" i="28" s="1"/>
  <c r="J24" i="28"/>
  <c r="Z20" i="26"/>
  <c r="P20" i="26" s="1"/>
  <c r="R20" i="26" s="1"/>
  <c r="Q22" i="30"/>
  <c r="N23" i="30"/>
  <c r="O23" i="30" s="1"/>
  <c r="L23" i="30"/>
  <c r="K23" i="30" s="1"/>
  <c r="H23" i="30"/>
  <c r="B48" i="17"/>
  <c r="N23" i="25"/>
  <c r="O23" i="25" s="1"/>
  <c r="X25" i="26"/>
  <c r="B24" i="30"/>
  <c r="J24" i="30"/>
  <c r="Q21" i="25"/>
  <c r="C21" i="25"/>
  <c r="D46" i="17" s="1"/>
  <c r="C46" i="17" s="1"/>
  <c r="G21" i="25"/>
  <c r="U21" i="25"/>
  <c r="H21" i="25"/>
  <c r="I21" i="25"/>
  <c r="B24" i="25"/>
  <c r="L24" i="29"/>
  <c r="H24" i="29"/>
  <c r="N24" i="29"/>
  <c r="O24" i="29" s="1"/>
  <c r="K22" i="25"/>
  <c r="Q22" i="29"/>
  <c r="A25" i="25"/>
  <c r="A26" i="29"/>
  <c r="B25" i="29"/>
  <c r="J25" i="29"/>
  <c r="A25" i="30"/>
  <c r="J24" i="25"/>
  <c r="L23" i="25"/>
  <c r="K23" i="29"/>
  <c r="Q21" i="30"/>
  <c r="T21" i="30"/>
  <c r="C21" i="30"/>
  <c r="G23" i="27" l="1"/>
  <c r="G22" i="27"/>
  <c r="H23" i="27"/>
  <c r="G19" i="29"/>
  <c r="G20" i="29"/>
  <c r="G21" i="29"/>
  <c r="G22" i="29"/>
  <c r="G23" i="29"/>
  <c r="G19" i="27"/>
  <c r="G20" i="27"/>
  <c r="G21" i="27"/>
  <c r="G19" i="28"/>
  <c r="G20" i="28"/>
  <c r="G21" i="28"/>
  <c r="G22" i="28"/>
  <c r="G24" i="29"/>
  <c r="C6" i="30"/>
  <c r="C6" i="29"/>
  <c r="G19" i="30"/>
  <c r="G20" i="30"/>
  <c r="G21" i="30"/>
  <c r="G22" i="30"/>
  <c r="C6" i="27"/>
  <c r="C6" i="28"/>
  <c r="J22" i="17"/>
  <c r="F19" i="19" s="1"/>
  <c r="Q23" i="27"/>
  <c r="N25" i="27"/>
  <c r="O25" i="27" s="1"/>
  <c r="J25" i="26"/>
  <c r="AC25" i="26" s="1"/>
  <c r="G22" i="26"/>
  <c r="R21" i="26"/>
  <c r="Q22" i="26"/>
  <c r="AD22" i="26"/>
  <c r="B25" i="28"/>
  <c r="G25" i="28" s="1"/>
  <c r="L25" i="27"/>
  <c r="L25" i="26" s="1"/>
  <c r="G24" i="28"/>
  <c r="N24" i="28"/>
  <c r="O24" i="28" s="1"/>
  <c r="Q24" i="28" s="1"/>
  <c r="H24" i="28"/>
  <c r="A26" i="28"/>
  <c r="N24" i="26"/>
  <c r="O24" i="26" s="1"/>
  <c r="A26" i="26"/>
  <c r="X26" i="26" s="1"/>
  <c r="B25" i="26"/>
  <c r="Y25" i="26" s="1"/>
  <c r="B26" i="27"/>
  <c r="A27" i="27"/>
  <c r="A27" i="28" s="1"/>
  <c r="K24" i="27"/>
  <c r="Q23" i="28"/>
  <c r="Q23" i="30"/>
  <c r="K23" i="25"/>
  <c r="Q23" i="29"/>
  <c r="J25" i="25"/>
  <c r="L24" i="25"/>
  <c r="K24" i="29"/>
  <c r="N24" i="30"/>
  <c r="O24" i="30" s="1"/>
  <c r="L24" i="30"/>
  <c r="G24" i="30"/>
  <c r="H24" i="30"/>
  <c r="AD23" i="26"/>
  <c r="G23" i="26"/>
  <c r="Q23" i="26"/>
  <c r="H23" i="26"/>
  <c r="A26" i="25"/>
  <c r="B26" i="29"/>
  <c r="J26" i="29"/>
  <c r="A27" i="29"/>
  <c r="A26" i="30"/>
  <c r="J26" i="26"/>
  <c r="Q22" i="25"/>
  <c r="H22" i="25"/>
  <c r="I47" i="17" s="1"/>
  <c r="G22" i="25"/>
  <c r="B49" i="17"/>
  <c r="N24" i="25"/>
  <c r="O24" i="25" s="1"/>
  <c r="B25" i="25"/>
  <c r="G25" i="29"/>
  <c r="L25" i="29"/>
  <c r="N25" i="29"/>
  <c r="O25" i="29" s="1"/>
  <c r="H25" i="29"/>
  <c r="J46" i="17"/>
  <c r="V21" i="25"/>
  <c r="B25" i="30"/>
  <c r="J25" i="30"/>
  <c r="H47" i="17" l="1"/>
  <c r="Q24" i="27"/>
  <c r="G24" i="27"/>
  <c r="H24" i="27"/>
  <c r="B26" i="28"/>
  <c r="L26" i="28" s="1"/>
  <c r="K26" i="28" s="1"/>
  <c r="L25" i="28"/>
  <c r="K25" i="28" s="1"/>
  <c r="N25" i="26"/>
  <c r="O25" i="26" s="1"/>
  <c r="J26" i="28"/>
  <c r="H25" i="28"/>
  <c r="K25" i="27"/>
  <c r="K24" i="26"/>
  <c r="H24" i="26" s="1"/>
  <c r="N25" i="28"/>
  <c r="O25" i="28" s="1"/>
  <c r="L26" i="27"/>
  <c r="K26" i="27" s="1"/>
  <c r="N26" i="27"/>
  <c r="O26" i="27" s="1"/>
  <c r="B27" i="27"/>
  <c r="B26" i="26"/>
  <c r="Y26" i="26" s="1"/>
  <c r="J27" i="27"/>
  <c r="A28" i="27"/>
  <c r="B28" i="27" s="1"/>
  <c r="A27" i="26"/>
  <c r="X27" i="26" s="1"/>
  <c r="N46" i="17"/>
  <c r="A27" i="25"/>
  <c r="J27" i="29"/>
  <c r="A28" i="29"/>
  <c r="B27" i="29"/>
  <c r="A27" i="30"/>
  <c r="J26" i="25"/>
  <c r="B26" i="25"/>
  <c r="G26" i="29"/>
  <c r="L26" i="29"/>
  <c r="N26" i="29"/>
  <c r="O26" i="29" s="1"/>
  <c r="H26" i="29"/>
  <c r="L25" i="25"/>
  <c r="K25" i="29"/>
  <c r="AC26" i="26"/>
  <c r="N25" i="30"/>
  <c r="O25" i="30" s="1"/>
  <c r="L25" i="30"/>
  <c r="K25" i="30" s="1"/>
  <c r="H25" i="30"/>
  <c r="G25" i="30"/>
  <c r="K24" i="30"/>
  <c r="Q23" i="25"/>
  <c r="G23" i="25"/>
  <c r="H48" i="17" s="1"/>
  <c r="H23" i="25"/>
  <c r="I48" i="17" s="1"/>
  <c r="B50" i="17"/>
  <c r="N25" i="25"/>
  <c r="O25" i="25" s="1"/>
  <c r="B26" i="30"/>
  <c r="J26" i="30"/>
  <c r="J27" i="28"/>
  <c r="K24" i="25"/>
  <c r="Q24" i="29"/>
  <c r="G26" i="27" l="1"/>
  <c r="H26" i="28"/>
  <c r="N26" i="28"/>
  <c r="O26" i="28" s="1"/>
  <c r="Q26" i="28" s="1"/>
  <c r="G26" i="28"/>
  <c r="G25" i="27"/>
  <c r="H25" i="27"/>
  <c r="J27" i="26"/>
  <c r="AC27" i="26" s="1"/>
  <c r="B27" i="26"/>
  <c r="Y27" i="26" s="1"/>
  <c r="H26" i="27"/>
  <c r="Q25" i="28"/>
  <c r="A29" i="27"/>
  <c r="J29" i="27" s="1"/>
  <c r="A28" i="26"/>
  <c r="X28" i="26" s="1"/>
  <c r="Q24" i="26"/>
  <c r="AD24" i="26"/>
  <c r="J28" i="27"/>
  <c r="G24" i="26"/>
  <c r="A28" i="28"/>
  <c r="J28" i="28" s="1"/>
  <c r="Q25" i="27"/>
  <c r="L27" i="27"/>
  <c r="K27" i="27" s="1"/>
  <c r="G27" i="27" s="1"/>
  <c r="L26" i="26"/>
  <c r="K25" i="26"/>
  <c r="AD25" i="26" s="1"/>
  <c r="N27" i="27"/>
  <c r="O27" i="27" s="1"/>
  <c r="B27" i="28"/>
  <c r="L27" i="28" s="1"/>
  <c r="K27" i="28" s="1"/>
  <c r="N26" i="26"/>
  <c r="O26" i="26" s="1"/>
  <c r="Q25" i="30"/>
  <c r="N26" i="30"/>
  <c r="O26" i="30" s="1"/>
  <c r="L26" i="30"/>
  <c r="H26" i="30"/>
  <c r="G26" i="30"/>
  <c r="K25" i="25"/>
  <c r="Q25" i="29"/>
  <c r="H24" i="25"/>
  <c r="I49" i="17" s="1"/>
  <c r="G24" i="25"/>
  <c r="Q24" i="25"/>
  <c r="Q24" i="30"/>
  <c r="B27" i="30"/>
  <c r="J27" i="30"/>
  <c r="K26" i="26"/>
  <c r="Q26" i="27"/>
  <c r="B51" i="17"/>
  <c r="N26" i="25"/>
  <c r="O26" i="25" s="1"/>
  <c r="B27" i="25"/>
  <c r="G27" i="29"/>
  <c r="L27" i="29"/>
  <c r="N27" i="29"/>
  <c r="O27" i="29" s="1"/>
  <c r="H27" i="29"/>
  <c r="A28" i="25"/>
  <c r="J28" i="29"/>
  <c r="A29" i="29"/>
  <c r="B28" i="29"/>
  <c r="A28" i="30"/>
  <c r="B28" i="26"/>
  <c r="N28" i="27"/>
  <c r="L28" i="27"/>
  <c r="B28" i="28"/>
  <c r="J27" i="25"/>
  <c r="L26" i="25"/>
  <c r="K26" i="29"/>
  <c r="N27" i="26" l="1"/>
  <c r="O27" i="26" s="1"/>
  <c r="H49" i="17"/>
  <c r="H27" i="27"/>
  <c r="J28" i="26"/>
  <c r="AC28" i="26" s="1"/>
  <c r="A29" i="26"/>
  <c r="X29" i="26" s="1"/>
  <c r="A30" i="27"/>
  <c r="A31" i="27" s="1"/>
  <c r="A29" i="28"/>
  <c r="B29" i="27"/>
  <c r="G25" i="26"/>
  <c r="Q25" i="26"/>
  <c r="H25" i="26"/>
  <c r="L27" i="26"/>
  <c r="N27" i="28"/>
  <c r="O27" i="28" s="1"/>
  <c r="Q27" i="28" s="1"/>
  <c r="G27" i="28"/>
  <c r="H27" i="28"/>
  <c r="O28" i="27"/>
  <c r="Y28" i="26"/>
  <c r="N28" i="26"/>
  <c r="J29" i="26"/>
  <c r="K26" i="30"/>
  <c r="AD26" i="26"/>
  <c r="Q26" i="26"/>
  <c r="G26" i="26"/>
  <c r="H26" i="26"/>
  <c r="G28" i="28"/>
  <c r="N28" i="28"/>
  <c r="L28" i="28"/>
  <c r="K28" i="28" s="1"/>
  <c r="H28" i="28"/>
  <c r="L28" i="26"/>
  <c r="K28" i="27"/>
  <c r="J28" i="30"/>
  <c r="B28" i="30"/>
  <c r="L27" i="25"/>
  <c r="K27" i="29"/>
  <c r="B28" i="25"/>
  <c r="G28" i="29"/>
  <c r="L28" i="29"/>
  <c r="H28" i="29"/>
  <c r="N28" i="29"/>
  <c r="O28" i="29" s="1"/>
  <c r="Q25" i="25"/>
  <c r="G25" i="25"/>
  <c r="H25" i="25"/>
  <c r="A29" i="25"/>
  <c r="A30" i="29"/>
  <c r="B29" i="29"/>
  <c r="J29" i="29"/>
  <c r="A29" i="30"/>
  <c r="J28" i="25"/>
  <c r="B52" i="17"/>
  <c r="N27" i="25"/>
  <c r="O27" i="25" s="1"/>
  <c r="H27" i="30"/>
  <c r="G27" i="30"/>
  <c r="N27" i="30"/>
  <c r="O27" i="30" s="1"/>
  <c r="L27" i="30"/>
  <c r="K27" i="30" s="1"/>
  <c r="K27" i="26"/>
  <c r="Q27" i="27"/>
  <c r="K26" i="25"/>
  <c r="Q26" i="29"/>
  <c r="I50" i="17" l="1"/>
  <c r="G28" i="27"/>
  <c r="H28" i="27"/>
  <c r="N29" i="27"/>
  <c r="O29" i="27" s="1"/>
  <c r="H50" i="17"/>
  <c r="L29" i="27"/>
  <c r="L29" i="26" s="1"/>
  <c r="A30" i="26"/>
  <c r="X30" i="26" s="1"/>
  <c r="J29" i="28"/>
  <c r="A30" i="28"/>
  <c r="B30" i="27"/>
  <c r="J30" i="27"/>
  <c r="B29" i="28"/>
  <c r="N29" i="28" s="1"/>
  <c r="B29" i="26"/>
  <c r="Y29" i="26" s="1"/>
  <c r="O28" i="28"/>
  <c r="Q28" i="28" s="1"/>
  <c r="O28" i="26"/>
  <c r="Q27" i="30"/>
  <c r="J29" i="25"/>
  <c r="B29" i="25"/>
  <c r="G29" i="29"/>
  <c r="L29" i="29"/>
  <c r="N29" i="29"/>
  <c r="O29" i="29" s="1"/>
  <c r="H29" i="29"/>
  <c r="AD27" i="26"/>
  <c r="H27" i="26"/>
  <c r="Q27" i="26"/>
  <c r="G27" i="26"/>
  <c r="A30" i="25"/>
  <c r="B30" i="29"/>
  <c r="J30" i="29"/>
  <c r="A31" i="29"/>
  <c r="A30" i="30"/>
  <c r="L28" i="25"/>
  <c r="K28" i="29"/>
  <c r="K28" i="26"/>
  <c r="Q28" i="27"/>
  <c r="AC29" i="26"/>
  <c r="K27" i="25"/>
  <c r="Q27" i="29"/>
  <c r="B53" i="17"/>
  <c r="N28" i="25"/>
  <c r="O28" i="25" s="1"/>
  <c r="H28" i="30"/>
  <c r="G28" i="30"/>
  <c r="L28" i="30"/>
  <c r="K28" i="30" s="1"/>
  <c r="N28" i="30"/>
  <c r="O28" i="30" s="1"/>
  <c r="Q26" i="25"/>
  <c r="H26" i="25"/>
  <c r="I51" i="17" s="1"/>
  <c r="G26" i="25"/>
  <c r="H51" i="17" s="1"/>
  <c r="B29" i="30"/>
  <c r="J29" i="30"/>
  <c r="A31" i="26"/>
  <c r="A32" i="27"/>
  <c r="J31" i="27"/>
  <c r="B31" i="27"/>
  <c r="A31" i="28"/>
  <c r="Q26" i="30"/>
  <c r="L30" i="27" l="1"/>
  <c r="K30" i="27" s="1"/>
  <c r="G29" i="28"/>
  <c r="K29" i="27"/>
  <c r="N30" i="27"/>
  <c r="O30" i="27" s="1"/>
  <c r="H29" i="28"/>
  <c r="L29" i="28"/>
  <c r="K29" i="28" s="1"/>
  <c r="J30" i="28"/>
  <c r="B30" i="26"/>
  <c r="N30" i="26" s="1"/>
  <c r="B30" i="28"/>
  <c r="H30" i="28" s="1"/>
  <c r="N29" i="26"/>
  <c r="O29" i="26" s="1"/>
  <c r="O29" i="28"/>
  <c r="Q28" i="30"/>
  <c r="B31" i="26"/>
  <c r="N31" i="27"/>
  <c r="L31" i="27"/>
  <c r="B31" i="28"/>
  <c r="L30" i="26"/>
  <c r="AD28" i="26"/>
  <c r="H28" i="26"/>
  <c r="Q28" i="26"/>
  <c r="G28" i="26"/>
  <c r="B30" i="25"/>
  <c r="G30" i="29"/>
  <c r="L30" i="29"/>
  <c r="N30" i="29"/>
  <c r="O30" i="29" s="1"/>
  <c r="H30" i="29"/>
  <c r="B54" i="17"/>
  <c r="N29" i="25"/>
  <c r="O29" i="25" s="1"/>
  <c r="G29" i="30"/>
  <c r="N29" i="30"/>
  <c r="O29" i="30" s="1"/>
  <c r="L29" i="30"/>
  <c r="K29" i="30" s="1"/>
  <c r="H29" i="30"/>
  <c r="J31" i="26"/>
  <c r="K28" i="25"/>
  <c r="Q28" i="29"/>
  <c r="A32" i="26"/>
  <c r="A33" i="27"/>
  <c r="J32" i="27"/>
  <c r="B32" i="27"/>
  <c r="A32" i="28"/>
  <c r="X31" i="26"/>
  <c r="J30" i="30"/>
  <c r="B30" i="30"/>
  <c r="Q27" i="25"/>
  <c r="G27" i="25"/>
  <c r="H52" i="17" s="1"/>
  <c r="H27" i="25"/>
  <c r="I52" i="17" s="1"/>
  <c r="A31" i="25"/>
  <c r="J31" i="29"/>
  <c r="A32" i="29"/>
  <c r="B31" i="29"/>
  <c r="A31" i="30"/>
  <c r="L29" i="25"/>
  <c r="K29" i="29"/>
  <c r="J31" i="28"/>
  <c r="J30" i="25"/>
  <c r="H30" i="27" l="1"/>
  <c r="G30" i="27"/>
  <c r="H29" i="27"/>
  <c r="G29" i="27"/>
  <c r="Q29" i="27"/>
  <c r="Y30" i="26"/>
  <c r="K29" i="26"/>
  <c r="AD29" i="26" s="1"/>
  <c r="L30" i="28"/>
  <c r="K30" i="28" s="1"/>
  <c r="N30" i="28"/>
  <c r="O30" i="28" s="1"/>
  <c r="Q29" i="28"/>
  <c r="G30" i="28"/>
  <c r="O31" i="27"/>
  <c r="O30" i="26"/>
  <c r="B32" i="26"/>
  <c r="N32" i="27"/>
  <c r="L32" i="27"/>
  <c r="B32" i="28"/>
  <c r="K30" i="26"/>
  <c r="Q30" i="27"/>
  <c r="B31" i="30"/>
  <c r="J31" i="30"/>
  <c r="B31" i="25"/>
  <c r="G31" i="29"/>
  <c r="L31" i="29"/>
  <c r="N31" i="29"/>
  <c r="O31" i="29" s="1"/>
  <c r="H31" i="29"/>
  <c r="Y31" i="26"/>
  <c r="N31" i="26"/>
  <c r="K29" i="25"/>
  <c r="Q29" i="29"/>
  <c r="A32" i="25"/>
  <c r="J32" i="29"/>
  <c r="A33" i="29"/>
  <c r="B32" i="29"/>
  <c r="A32" i="30"/>
  <c r="B55" i="17"/>
  <c r="N30" i="25"/>
  <c r="O30" i="25" s="1"/>
  <c r="N31" i="28"/>
  <c r="L31" i="28"/>
  <c r="K31" i="28" s="1"/>
  <c r="H31" i="28"/>
  <c r="G31" i="28"/>
  <c r="J31" i="25"/>
  <c r="G30" i="30"/>
  <c r="N30" i="30"/>
  <c r="O30" i="30" s="1"/>
  <c r="L30" i="30"/>
  <c r="K30" i="30" s="1"/>
  <c r="H30" i="30"/>
  <c r="J32" i="26"/>
  <c r="L31" i="26"/>
  <c r="K31" i="27"/>
  <c r="Q29" i="30"/>
  <c r="A33" i="26"/>
  <c r="A34" i="27"/>
  <c r="J33" i="27"/>
  <c r="B33" i="27"/>
  <c r="A33" i="28"/>
  <c r="Q28" i="25"/>
  <c r="H28" i="25"/>
  <c r="I53" i="17" s="1"/>
  <c r="G28" i="25"/>
  <c r="H53" i="17" s="1"/>
  <c r="X32" i="26"/>
  <c r="J32" i="28"/>
  <c r="AC31" i="26"/>
  <c r="L30" i="25"/>
  <c r="K30" i="29"/>
  <c r="G31" i="27" l="1"/>
  <c r="H31" i="27"/>
  <c r="G29" i="26"/>
  <c r="H29" i="26"/>
  <c r="Q29" i="26"/>
  <c r="Q30" i="28"/>
  <c r="O32" i="27"/>
  <c r="O31" i="28"/>
  <c r="Q31" i="28" s="1"/>
  <c r="O31" i="26"/>
  <c r="Q30" i="30"/>
  <c r="X33" i="26"/>
  <c r="AD30" i="26"/>
  <c r="Q30" i="26"/>
  <c r="H30" i="26"/>
  <c r="G30" i="26"/>
  <c r="B32" i="30"/>
  <c r="J32" i="30"/>
  <c r="L31" i="25"/>
  <c r="K31" i="29"/>
  <c r="Y32" i="26"/>
  <c r="N32" i="26"/>
  <c r="B32" i="25"/>
  <c r="G32" i="29"/>
  <c r="L32" i="29"/>
  <c r="H32" i="29"/>
  <c r="N32" i="29"/>
  <c r="O32" i="29" s="1"/>
  <c r="L32" i="28"/>
  <c r="K32" i="28" s="1"/>
  <c r="H32" i="28"/>
  <c r="G32" i="28"/>
  <c r="N32" i="28"/>
  <c r="B33" i="26"/>
  <c r="N33" i="27"/>
  <c r="L33" i="27"/>
  <c r="B33" i="28"/>
  <c r="AC32" i="26"/>
  <c r="A33" i="25"/>
  <c r="A34" i="29"/>
  <c r="B33" i="29"/>
  <c r="J33" i="29"/>
  <c r="A33" i="30"/>
  <c r="L32" i="26"/>
  <c r="K32" i="27"/>
  <c r="J32" i="25"/>
  <c r="B56" i="17"/>
  <c r="N31" i="25"/>
  <c r="O31" i="25" s="1"/>
  <c r="J33" i="28"/>
  <c r="K30" i="25"/>
  <c r="Q30" i="29"/>
  <c r="J33" i="26"/>
  <c r="Q29" i="25"/>
  <c r="G29" i="25"/>
  <c r="H29" i="25"/>
  <c r="A34" i="26"/>
  <c r="A35" i="27"/>
  <c r="J34" i="27"/>
  <c r="B34" i="27"/>
  <c r="A34" i="28"/>
  <c r="K31" i="26"/>
  <c r="Q31" i="27"/>
  <c r="N31" i="30"/>
  <c r="O31" i="30" s="1"/>
  <c r="L31" i="30"/>
  <c r="K31" i="30" s="1"/>
  <c r="H31" i="30"/>
  <c r="G31" i="30"/>
  <c r="I54" i="17" l="1"/>
  <c r="H54" i="17"/>
  <c r="G32" i="27"/>
  <c r="H32" i="27"/>
  <c r="O33" i="27"/>
  <c r="O32" i="28"/>
  <c r="Q32" i="28" s="1"/>
  <c r="O32" i="26"/>
  <c r="Q31" i="30"/>
  <c r="J34" i="26"/>
  <c r="G30" i="25"/>
  <c r="H55" i="17" s="1"/>
  <c r="Q30" i="25"/>
  <c r="H30" i="25"/>
  <c r="I55" i="17" s="1"/>
  <c r="B33" i="25"/>
  <c r="G33" i="29"/>
  <c r="L33" i="29"/>
  <c r="N33" i="29"/>
  <c r="O33" i="29" s="1"/>
  <c r="H33" i="29"/>
  <c r="L32" i="25"/>
  <c r="K32" i="29"/>
  <c r="K32" i="26"/>
  <c r="Q32" i="27"/>
  <c r="A34" i="25"/>
  <c r="B34" i="29"/>
  <c r="J34" i="29"/>
  <c r="A35" i="29"/>
  <c r="A34" i="30"/>
  <c r="Y33" i="26"/>
  <c r="N33" i="26"/>
  <c r="H33" i="28"/>
  <c r="G33" i="28"/>
  <c r="N33" i="28"/>
  <c r="L33" i="28"/>
  <c r="K33" i="28" s="1"/>
  <c r="K31" i="25"/>
  <c r="Q31" i="29"/>
  <c r="A35" i="26"/>
  <c r="A36" i="27"/>
  <c r="J35" i="27"/>
  <c r="B35" i="27"/>
  <c r="A35" i="28"/>
  <c r="X34" i="26"/>
  <c r="AD31" i="26"/>
  <c r="Q31" i="26"/>
  <c r="H31" i="26"/>
  <c r="G31" i="26"/>
  <c r="AC33" i="26"/>
  <c r="L33" i="26"/>
  <c r="K33" i="27"/>
  <c r="B57" i="17"/>
  <c r="N32" i="25"/>
  <c r="O32" i="25" s="1"/>
  <c r="J34" i="28"/>
  <c r="B34" i="26"/>
  <c r="N34" i="27"/>
  <c r="L34" i="27"/>
  <c r="B34" i="28"/>
  <c r="B33" i="30"/>
  <c r="J33" i="30"/>
  <c r="J33" i="25"/>
  <c r="G32" i="30"/>
  <c r="N32" i="30"/>
  <c r="O32" i="30" s="1"/>
  <c r="L32" i="30"/>
  <c r="K32" i="30" s="1"/>
  <c r="H32" i="30"/>
  <c r="G33" i="27" l="1"/>
  <c r="H33" i="27"/>
  <c r="O34" i="27"/>
  <c r="O33" i="28"/>
  <c r="Q33" i="28" s="1"/>
  <c r="O33" i="26"/>
  <c r="Q32" i="30"/>
  <c r="N33" i="30"/>
  <c r="O33" i="30" s="1"/>
  <c r="L33" i="30"/>
  <c r="K33" i="30" s="1"/>
  <c r="H33" i="30"/>
  <c r="G33" i="30"/>
  <c r="H34" i="28"/>
  <c r="G34" i="28"/>
  <c r="N34" i="28"/>
  <c r="L34" i="28"/>
  <c r="K34" i="28" s="1"/>
  <c r="Q31" i="25"/>
  <c r="H31" i="25"/>
  <c r="I56" i="17" s="1"/>
  <c r="G31" i="25"/>
  <c r="H56" i="17" s="1"/>
  <c r="A35" i="25"/>
  <c r="J35" i="29"/>
  <c r="A36" i="29"/>
  <c r="B35" i="29"/>
  <c r="A35" i="30"/>
  <c r="J35" i="26"/>
  <c r="J34" i="25"/>
  <c r="A36" i="26"/>
  <c r="A37" i="27"/>
  <c r="J36" i="27"/>
  <c r="B36" i="27"/>
  <c r="A36" i="28"/>
  <c r="B34" i="25"/>
  <c r="G34" i="29"/>
  <c r="L34" i="29"/>
  <c r="N34" i="29"/>
  <c r="O34" i="29" s="1"/>
  <c r="H34" i="29"/>
  <c r="AC34" i="26"/>
  <c r="X35" i="26"/>
  <c r="L33" i="25"/>
  <c r="K33" i="29"/>
  <c r="Y34" i="26"/>
  <c r="N34" i="26"/>
  <c r="J35" i="28"/>
  <c r="AD32" i="26"/>
  <c r="Q32" i="26"/>
  <c r="H32" i="26"/>
  <c r="G32" i="26"/>
  <c r="B35" i="26"/>
  <c r="N35" i="27"/>
  <c r="L35" i="27"/>
  <c r="B35" i="28"/>
  <c r="K32" i="25"/>
  <c r="Q32" i="29"/>
  <c r="B58" i="17"/>
  <c r="N33" i="25"/>
  <c r="O33" i="25" s="1"/>
  <c r="L34" i="26"/>
  <c r="K34" i="27"/>
  <c r="K33" i="26"/>
  <c r="Q33" i="27"/>
  <c r="B34" i="30"/>
  <c r="J34" i="30"/>
  <c r="G34" i="27" l="1"/>
  <c r="H34" i="27"/>
  <c r="O35" i="27"/>
  <c r="O34" i="28"/>
  <c r="Q34" i="28" s="1"/>
  <c r="O34" i="26"/>
  <c r="Q33" i="30"/>
  <c r="AD33" i="26"/>
  <c r="Q33" i="26"/>
  <c r="H33" i="26"/>
  <c r="G33" i="26"/>
  <c r="B59" i="17"/>
  <c r="N34" i="25"/>
  <c r="O34" i="25" s="1"/>
  <c r="X36" i="26"/>
  <c r="L34" i="30"/>
  <c r="K34" i="30" s="1"/>
  <c r="H34" i="30"/>
  <c r="G34" i="30"/>
  <c r="N34" i="30"/>
  <c r="O34" i="30" s="1"/>
  <c r="K34" i="26"/>
  <c r="Q34" i="27"/>
  <c r="Q32" i="25"/>
  <c r="H32" i="25"/>
  <c r="I57" i="17" s="1"/>
  <c r="G32" i="25"/>
  <c r="H57" i="17" s="1"/>
  <c r="Y35" i="26"/>
  <c r="N35" i="26"/>
  <c r="J36" i="28"/>
  <c r="H35" i="28"/>
  <c r="G35" i="28"/>
  <c r="N35" i="28"/>
  <c r="L35" i="28"/>
  <c r="K35" i="28" s="1"/>
  <c r="B36" i="26"/>
  <c r="N36" i="27"/>
  <c r="L36" i="27"/>
  <c r="B36" i="28"/>
  <c r="B35" i="30"/>
  <c r="J35" i="30"/>
  <c r="L35" i="26"/>
  <c r="K35" i="27"/>
  <c r="B35" i="25"/>
  <c r="G35" i="29"/>
  <c r="L35" i="29"/>
  <c r="N35" i="29"/>
  <c r="O35" i="29" s="1"/>
  <c r="H35" i="29"/>
  <c r="L34" i="25"/>
  <c r="K34" i="29"/>
  <c r="A36" i="25"/>
  <c r="J36" i="29"/>
  <c r="A37" i="29"/>
  <c r="B36" i="29"/>
  <c r="A36" i="30"/>
  <c r="J36" i="26"/>
  <c r="J35" i="25"/>
  <c r="K33" i="25"/>
  <c r="Q33" i="29"/>
  <c r="A37" i="26"/>
  <c r="A38" i="27"/>
  <c r="J37" i="27"/>
  <c r="B37" i="27"/>
  <c r="A37" i="28"/>
  <c r="AC35" i="26"/>
  <c r="G35" i="27" l="1"/>
  <c r="H35" i="27"/>
  <c r="O35" i="28"/>
  <c r="Q35" i="28" s="1"/>
  <c r="O36" i="27"/>
  <c r="O35" i="26"/>
  <c r="Q34" i="30"/>
  <c r="J37" i="28"/>
  <c r="A38" i="26"/>
  <c r="A39" i="27"/>
  <c r="J38" i="27"/>
  <c r="B38" i="27"/>
  <c r="A38" i="28"/>
  <c r="AC36" i="26"/>
  <c r="X37" i="26"/>
  <c r="J36" i="30"/>
  <c r="B36" i="30"/>
  <c r="B60" i="17"/>
  <c r="N35" i="25"/>
  <c r="O35" i="25" s="1"/>
  <c r="B36" i="25"/>
  <c r="G36" i="29"/>
  <c r="L36" i="29"/>
  <c r="H36" i="29"/>
  <c r="N36" i="29"/>
  <c r="O36" i="29" s="1"/>
  <c r="A37" i="25"/>
  <c r="A38" i="29"/>
  <c r="B37" i="29"/>
  <c r="J37" i="29"/>
  <c r="A37" i="30"/>
  <c r="J36" i="25"/>
  <c r="H35" i="30"/>
  <c r="G35" i="30"/>
  <c r="N35" i="30"/>
  <c r="O35" i="30" s="1"/>
  <c r="L35" i="30"/>
  <c r="K35" i="30" s="1"/>
  <c r="Y36" i="26"/>
  <c r="N36" i="26"/>
  <c r="B37" i="26"/>
  <c r="N37" i="27"/>
  <c r="L37" i="27"/>
  <c r="B37" i="28"/>
  <c r="K35" i="26"/>
  <c r="Q35" i="27"/>
  <c r="G36" i="28"/>
  <c r="N36" i="28"/>
  <c r="L36" i="28"/>
  <c r="K36" i="28" s="1"/>
  <c r="H36" i="28"/>
  <c r="L35" i="25"/>
  <c r="K35" i="29"/>
  <c r="L36" i="26"/>
  <c r="K36" i="27"/>
  <c r="AD34" i="26"/>
  <c r="Q34" i="26"/>
  <c r="H34" i="26"/>
  <c r="G34" i="26"/>
  <c r="Q33" i="25"/>
  <c r="G33" i="25"/>
  <c r="H58" i="17" s="1"/>
  <c r="H33" i="25"/>
  <c r="I58" i="17" s="1"/>
  <c r="J37" i="26"/>
  <c r="K34" i="25"/>
  <c r="Q34" i="29"/>
  <c r="G36" i="27" l="1"/>
  <c r="H36" i="27"/>
  <c r="O36" i="28"/>
  <c r="Q36" i="28" s="1"/>
  <c r="O37" i="27"/>
  <c r="O36" i="26"/>
  <c r="Q35" i="30"/>
  <c r="Y37" i="26"/>
  <c r="N37" i="26"/>
  <c r="AC37" i="26"/>
  <c r="N37" i="28"/>
  <c r="L37" i="28"/>
  <c r="K37" i="28" s="1"/>
  <c r="H37" i="28"/>
  <c r="G37" i="28"/>
  <c r="J37" i="30"/>
  <c r="B37" i="30"/>
  <c r="K36" i="26"/>
  <c r="Q36" i="27"/>
  <c r="L37" i="26"/>
  <c r="K37" i="27"/>
  <c r="J37" i="25"/>
  <c r="H36" i="30"/>
  <c r="G36" i="30"/>
  <c r="N36" i="30"/>
  <c r="O36" i="30" s="1"/>
  <c r="L36" i="30"/>
  <c r="K36" i="30" s="1"/>
  <c r="J38" i="26"/>
  <c r="K35" i="25"/>
  <c r="Q35" i="29"/>
  <c r="B37" i="25"/>
  <c r="G37" i="29"/>
  <c r="L37" i="29"/>
  <c r="N37" i="29"/>
  <c r="O37" i="29" s="1"/>
  <c r="H37" i="29"/>
  <c r="L36" i="25"/>
  <c r="K36" i="29"/>
  <c r="A39" i="26"/>
  <c r="A40" i="27"/>
  <c r="J39" i="27"/>
  <c r="B39" i="27"/>
  <c r="A39" i="28"/>
  <c r="A38" i="25"/>
  <c r="B38" i="29"/>
  <c r="J38" i="29"/>
  <c r="A39" i="29"/>
  <c r="A38" i="30"/>
  <c r="X38" i="26"/>
  <c r="B61" i="17"/>
  <c r="N36" i="25"/>
  <c r="O36" i="25" s="1"/>
  <c r="J38" i="28"/>
  <c r="Q34" i="25"/>
  <c r="G34" i="25"/>
  <c r="H59" i="17" s="1"/>
  <c r="H34" i="25"/>
  <c r="I59" i="17" s="1"/>
  <c r="AD35" i="26"/>
  <c r="Q35" i="26"/>
  <c r="H35" i="26"/>
  <c r="G35" i="26"/>
  <c r="B38" i="26"/>
  <c r="N38" i="27"/>
  <c r="L38" i="27"/>
  <c r="B38" i="28"/>
  <c r="G37" i="27" l="1"/>
  <c r="H37" i="27"/>
  <c r="O37" i="28"/>
  <c r="Q37" i="28" s="1"/>
  <c r="O38" i="27"/>
  <c r="O37" i="26"/>
  <c r="Q36" i="30"/>
  <c r="J38" i="25"/>
  <c r="Y38" i="26"/>
  <c r="N38" i="26"/>
  <c r="B38" i="25"/>
  <c r="G38" i="29"/>
  <c r="L38" i="29"/>
  <c r="N38" i="29"/>
  <c r="O38" i="29" s="1"/>
  <c r="H38" i="29"/>
  <c r="A39" i="25"/>
  <c r="J39" i="29"/>
  <c r="A40" i="29"/>
  <c r="B39" i="29"/>
  <c r="A39" i="30"/>
  <c r="L37" i="25"/>
  <c r="K37" i="29"/>
  <c r="L38" i="26"/>
  <c r="K38" i="27"/>
  <c r="A40" i="26"/>
  <c r="A41" i="27"/>
  <c r="J40" i="27"/>
  <c r="B40" i="27"/>
  <c r="A40" i="28"/>
  <c r="G35" i="25"/>
  <c r="H60" i="17" s="1"/>
  <c r="H35" i="25"/>
  <c r="I60" i="17" s="1"/>
  <c r="Q35" i="25"/>
  <c r="AD36" i="26"/>
  <c r="H36" i="26"/>
  <c r="G36" i="26"/>
  <c r="Q36" i="26"/>
  <c r="K37" i="26"/>
  <c r="Q37" i="27"/>
  <c r="X39" i="26"/>
  <c r="B39" i="26"/>
  <c r="N39" i="27"/>
  <c r="L39" i="27"/>
  <c r="B39" i="28"/>
  <c r="N38" i="28"/>
  <c r="L38" i="28"/>
  <c r="K38" i="28" s="1"/>
  <c r="H38" i="28"/>
  <c r="G38" i="28"/>
  <c r="J39" i="26"/>
  <c r="K36" i="25"/>
  <c r="Q36" i="29"/>
  <c r="B62" i="17"/>
  <c r="N37" i="25"/>
  <c r="O37" i="25" s="1"/>
  <c r="J38" i="30"/>
  <c r="B38" i="30"/>
  <c r="J39" i="28"/>
  <c r="AC38" i="26"/>
  <c r="H37" i="30"/>
  <c r="G37" i="30"/>
  <c r="N37" i="30"/>
  <c r="O37" i="30" s="1"/>
  <c r="L37" i="30"/>
  <c r="K37" i="30" s="1"/>
  <c r="G38" i="27" l="1"/>
  <c r="H38" i="27"/>
  <c r="O38" i="28"/>
  <c r="Q38" i="28" s="1"/>
  <c r="O39" i="27"/>
  <c r="O38" i="26"/>
  <c r="Q37" i="30"/>
  <c r="Y39" i="26"/>
  <c r="N39" i="26"/>
  <c r="N39" i="28"/>
  <c r="L39" i="28"/>
  <c r="K39" i="28" s="1"/>
  <c r="H39" i="28"/>
  <c r="G39" i="28"/>
  <c r="B40" i="26"/>
  <c r="N40" i="27"/>
  <c r="L40" i="27"/>
  <c r="B40" i="28"/>
  <c r="AC39" i="26"/>
  <c r="L39" i="26"/>
  <c r="K39" i="27"/>
  <c r="K37" i="25"/>
  <c r="Q37" i="29"/>
  <c r="L38" i="25"/>
  <c r="K38" i="29"/>
  <c r="B39" i="25"/>
  <c r="G39" i="29"/>
  <c r="L39" i="29"/>
  <c r="N39" i="29"/>
  <c r="O39" i="29" s="1"/>
  <c r="H39" i="29"/>
  <c r="G38" i="30"/>
  <c r="N38" i="30"/>
  <c r="O38" i="30" s="1"/>
  <c r="L38" i="30"/>
  <c r="K38" i="30" s="1"/>
  <c r="H38" i="30"/>
  <c r="AD37" i="26"/>
  <c r="H37" i="26"/>
  <c r="Q37" i="26"/>
  <c r="G37" i="26"/>
  <c r="X40" i="26"/>
  <c r="A40" i="25"/>
  <c r="J40" i="29"/>
  <c r="A41" i="29"/>
  <c r="B40" i="29"/>
  <c r="A40" i="30"/>
  <c r="A41" i="26"/>
  <c r="A42" i="27"/>
  <c r="J41" i="27"/>
  <c r="B41" i="27"/>
  <c r="A41" i="28"/>
  <c r="Q36" i="25"/>
  <c r="H36" i="25"/>
  <c r="I61" i="17" s="1"/>
  <c r="G36" i="25"/>
  <c r="H61" i="17" s="1"/>
  <c r="J39" i="25"/>
  <c r="B63" i="17"/>
  <c r="N38" i="25"/>
  <c r="O38" i="25" s="1"/>
  <c r="J40" i="26"/>
  <c r="B39" i="30"/>
  <c r="J39" i="30"/>
  <c r="J40" i="28"/>
  <c r="K38" i="26"/>
  <c r="Q38" i="27"/>
  <c r="G39" i="27" l="1"/>
  <c r="H39" i="27"/>
  <c r="O39" i="28"/>
  <c r="Q39" i="28" s="1"/>
  <c r="O40" i="27"/>
  <c r="O39" i="26"/>
  <c r="J41" i="26"/>
  <c r="AC40" i="26"/>
  <c r="A42" i="26"/>
  <c r="A43" i="27"/>
  <c r="J42" i="27"/>
  <c r="B42" i="27"/>
  <c r="A42" i="28"/>
  <c r="B40" i="30"/>
  <c r="J40" i="30"/>
  <c r="Q38" i="30"/>
  <c r="L39" i="25"/>
  <c r="K39" i="29"/>
  <c r="X41" i="26"/>
  <c r="B40" i="25"/>
  <c r="G40" i="29"/>
  <c r="L40" i="29"/>
  <c r="H40" i="29"/>
  <c r="N40" i="29"/>
  <c r="O40" i="29" s="1"/>
  <c r="J41" i="28"/>
  <c r="B41" i="26"/>
  <c r="N41" i="27"/>
  <c r="L41" i="27"/>
  <c r="B41" i="28"/>
  <c r="Y40" i="26"/>
  <c r="N40" i="26"/>
  <c r="A41" i="25"/>
  <c r="A42" i="29"/>
  <c r="B41" i="29"/>
  <c r="J41" i="29"/>
  <c r="A41" i="30"/>
  <c r="AD38" i="26"/>
  <c r="Q38" i="26"/>
  <c r="H38" i="26"/>
  <c r="G38" i="26"/>
  <c r="J40" i="25"/>
  <c r="B64" i="17"/>
  <c r="N39" i="25"/>
  <c r="O39" i="25" s="1"/>
  <c r="H39" i="30"/>
  <c r="N39" i="30"/>
  <c r="O39" i="30" s="1"/>
  <c r="L39" i="30"/>
  <c r="K39" i="30" s="1"/>
  <c r="G39" i="30"/>
  <c r="K38" i="25"/>
  <c r="Q38" i="29"/>
  <c r="Q37" i="25"/>
  <c r="H37" i="25"/>
  <c r="I62" i="17" s="1"/>
  <c r="G37" i="25"/>
  <c r="H62" i="17" s="1"/>
  <c r="L40" i="28"/>
  <c r="K40" i="28" s="1"/>
  <c r="H40" i="28"/>
  <c r="G40" i="28"/>
  <c r="N40" i="28"/>
  <c r="K39" i="26"/>
  <c r="Q39" i="27"/>
  <c r="L40" i="26"/>
  <c r="K40" i="27"/>
  <c r="G40" i="27" l="1"/>
  <c r="H40" i="27"/>
  <c r="O40" i="28"/>
  <c r="Q40" i="28" s="1"/>
  <c r="O41" i="27"/>
  <c r="O40" i="26"/>
  <c r="Q39" i="30"/>
  <c r="B41" i="25"/>
  <c r="G41" i="29"/>
  <c r="L41" i="29"/>
  <c r="N41" i="29"/>
  <c r="O41" i="29" s="1"/>
  <c r="H41" i="29"/>
  <c r="B42" i="26"/>
  <c r="N42" i="27"/>
  <c r="L42" i="27"/>
  <c r="B42" i="28"/>
  <c r="A42" i="25"/>
  <c r="B42" i="29"/>
  <c r="J42" i="29"/>
  <c r="A43" i="29"/>
  <c r="A42" i="30"/>
  <c r="Q38" i="25"/>
  <c r="H38" i="25"/>
  <c r="I63" i="17" s="1"/>
  <c r="G38" i="25"/>
  <c r="H63" i="17" s="1"/>
  <c r="J42" i="26"/>
  <c r="Y41" i="26"/>
  <c r="N41" i="26"/>
  <c r="N40" i="30"/>
  <c r="O40" i="30" s="1"/>
  <c r="L40" i="30"/>
  <c r="K40" i="30" s="1"/>
  <c r="H40" i="30"/>
  <c r="G40" i="30"/>
  <c r="X42" i="26"/>
  <c r="AC41" i="26"/>
  <c r="L40" i="25"/>
  <c r="K40" i="29"/>
  <c r="K40" i="26"/>
  <c r="Q40" i="27"/>
  <c r="AD39" i="26"/>
  <c r="Q39" i="26"/>
  <c r="G39" i="26"/>
  <c r="H39" i="26"/>
  <c r="B41" i="30"/>
  <c r="J41" i="30"/>
  <c r="H41" i="28"/>
  <c r="G41" i="28"/>
  <c r="N41" i="28"/>
  <c r="L41" i="28"/>
  <c r="K41" i="28" s="1"/>
  <c r="B65" i="17"/>
  <c r="N40" i="25"/>
  <c r="O40" i="25" s="1"/>
  <c r="K39" i="25"/>
  <c r="Q39" i="29"/>
  <c r="A43" i="26"/>
  <c r="A44" i="27"/>
  <c r="J43" i="27"/>
  <c r="B43" i="27"/>
  <c r="A43" i="28"/>
  <c r="J41" i="25"/>
  <c r="L41" i="26"/>
  <c r="K41" i="27"/>
  <c r="J42" i="28"/>
  <c r="G41" i="27" l="1"/>
  <c r="H41" i="27"/>
  <c r="O41" i="28"/>
  <c r="Q41" i="28" s="1"/>
  <c r="O42" i="27"/>
  <c r="O41" i="26"/>
  <c r="Q40" i="30"/>
  <c r="B42" i="30"/>
  <c r="J42" i="30"/>
  <c r="B43" i="26"/>
  <c r="N43" i="27"/>
  <c r="L43" i="27"/>
  <c r="B43" i="28"/>
  <c r="A44" i="26"/>
  <c r="A45" i="27"/>
  <c r="J44" i="27"/>
  <c r="B44" i="27"/>
  <c r="A44" i="28"/>
  <c r="J42" i="25"/>
  <c r="H42" i="28"/>
  <c r="G42" i="28"/>
  <c r="N42" i="28"/>
  <c r="L42" i="28"/>
  <c r="K42" i="28" s="1"/>
  <c r="K41" i="26"/>
  <c r="Q41" i="27"/>
  <c r="B66" i="17"/>
  <c r="N41" i="25"/>
  <c r="O41" i="25" s="1"/>
  <c r="B42" i="25"/>
  <c r="G42" i="29"/>
  <c r="L42" i="29"/>
  <c r="N42" i="29"/>
  <c r="O42" i="29" s="1"/>
  <c r="H42" i="29"/>
  <c r="L42" i="26"/>
  <c r="K42" i="27"/>
  <c r="L41" i="25"/>
  <c r="K41" i="29"/>
  <c r="A43" i="25"/>
  <c r="J43" i="29"/>
  <c r="A44" i="29"/>
  <c r="B43" i="29"/>
  <c r="A43" i="30"/>
  <c r="H39" i="25"/>
  <c r="I64" i="17" s="1"/>
  <c r="Q39" i="25"/>
  <c r="G39" i="25"/>
  <c r="H64" i="17" s="1"/>
  <c r="K40" i="25"/>
  <c r="Q40" i="29"/>
  <c r="AD40" i="26"/>
  <c r="G40" i="26"/>
  <c r="Q40" i="26"/>
  <c r="H40" i="26"/>
  <c r="AC42" i="26"/>
  <c r="J43" i="26"/>
  <c r="Y42" i="26"/>
  <c r="N42" i="26"/>
  <c r="X43" i="26"/>
  <c r="N41" i="30"/>
  <c r="O41" i="30" s="1"/>
  <c r="L41" i="30"/>
  <c r="K41" i="30" s="1"/>
  <c r="H41" i="30"/>
  <c r="G41" i="30"/>
  <c r="J43" i="28"/>
  <c r="G42" i="27" l="1"/>
  <c r="H42" i="27"/>
  <c r="O42" i="28"/>
  <c r="Q42" i="28" s="1"/>
  <c r="O43" i="27"/>
  <c r="O42" i="26"/>
  <c r="K41" i="25"/>
  <c r="Q41" i="29"/>
  <c r="J44" i="26"/>
  <c r="N42" i="30"/>
  <c r="O42" i="30" s="1"/>
  <c r="L42" i="30"/>
  <c r="K42" i="30" s="1"/>
  <c r="H42" i="30"/>
  <c r="G42" i="30"/>
  <c r="Q40" i="25"/>
  <c r="G40" i="25"/>
  <c r="H65" i="17" s="1"/>
  <c r="H40" i="25"/>
  <c r="I65" i="17" s="1"/>
  <c r="B43" i="30"/>
  <c r="J43" i="30"/>
  <c r="A45" i="26"/>
  <c r="A46" i="27"/>
  <c r="J45" i="27"/>
  <c r="B45" i="27"/>
  <c r="A45" i="28"/>
  <c r="B43" i="25"/>
  <c r="G43" i="29"/>
  <c r="L43" i="29"/>
  <c r="N43" i="29"/>
  <c r="O43" i="29" s="1"/>
  <c r="H43" i="29"/>
  <c r="X44" i="26"/>
  <c r="Y43" i="26"/>
  <c r="N43" i="26"/>
  <c r="K42" i="26"/>
  <c r="Q42" i="27"/>
  <c r="AD41" i="26"/>
  <c r="Q41" i="26"/>
  <c r="H41" i="26"/>
  <c r="G41" i="26"/>
  <c r="Q41" i="30"/>
  <c r="A44" i="25"/>
  <c r="J44" i="29"/>
  <c r="A45" i="29"/>
  <c r="B44" i="29"/>
  <c r="A44" i="30"/>
  <c r="H43" i="28"/>
  <c r="G43" i="28"/>
  <c r="N43" i="28"/>
  <c r="L43" i="28"/>
  <c r="K43" i="28" s="1"/>
  <c r="B67" i="17"/>
  <c r="N42" i="25"/>
  <c r="O42" i="25" s="1"/>
  <c r="J43" i="25"/>
  <c r="L42" i="25"/>
  <c r="K42" i="29"/>
  <c r="J44" i="28"/>
  <c r="L43" i="26"/>
  <c r="K43" i="27"/>
  <c r="AC43" i="26"/>
  <c r="B44" i="26"/>
  <c r="N44" i="27"/>
  <c r="L44" i="27"/>
  <c r="B44" i="28"/>
  <c r="G43" i="27" l="1"/>
  <c r="H43" i="27"/>
  <c r="O43" i="28"/>
  <c r="Q43" i="28" s="1"/>
  <c r="O44" i="27"/>
  <c r="O43" i="26"/>
  <c r="Q42" i="30"/>
  <c r="Q41" i="25"/>
  <c r="H41" i="25"/>
  <c r="I66" i="17" s="1"/>
  <c r="G41" i="25"/>
  <c r="H66" i="17" s="1"/>
  <c r="B45" i="26"/>
  <c r="N45" i="27"/>
  <c r="L45" i="27"/>
  <c r="B45" i="28"/>
  <c r="K43" i="26"/>
  <c r="Q43" i="27"/>
  <c r="L43" i="25"/>
  <c r="K43" i="29"/>
  <c r="AC44" i="26"/>
  <c r="H43" i="30"/>
  <c r="G43" i="30"/>
  <c r="N43" i="30"/>
  <c r="O43" i="30" s="1"/>
  <c r="L43" i="30"/>
  <c r="K43" i="30" s="1"/>
  <c r="J44" i="30"/>
  <c r="B44" i="30"/>
  <c r="Y44" i="26"/>
  <c r="N44" i="26"/>
  <c r="G44" i="28"/>
  <c r="N44" i="28"/>
  <c r="L44" i="28"/>
  <c r="K44" i="28" s="1"/>
  <c r="H44" i="28"/>
  <c r="A45" i="25"/>
  <c r="A46" i="29"/>
  <c r="B45" i="29"/>
  <c r="J45" i="29"/>
  <c r="A45" i="30"/>
  <c r="AD42" i="26"/>
  <c r="G42" i="26"/>
  <c r="Q42" i="26"/>
  <c r="H42" i="26"/>
  <c r="B68" i="17"/>
  <c r="N43" i="25"/>
  <c r="O43" i="25" s="1"/>
  <c r="A46" i="26"/>
  <c r="A47" i="27"/>
  <c r="J46" i="27"/>
  <c r="B46" i="27"/>
  <c r="A46" i="28"/>
  <c r="L44" i="26"/>
  <c r="K44" i="27"/>
  <c r="J44" i="25"/>
  <c r="X45" i="26"/>
  <c r="J45" i="28"/>
  <c r="B44" i="25"/>
  <c r="G44" i="29"/>
  <c r="L44" i="29"/>
  <c r="H44" i="29"/>
  <c r="N44" i="29"/>
  <c r="O44" i="29" s="1"/>
  <c r="J45" i="26"/>
  <c r="K42" i="25"/>
  <c r="Q42" i="29"/>
  <c r="G44" i="27" l="1"/>
  <c r="H44" i="27"/>
  <c r="O44" i="28"/>
  <c r="Q44" i="28" s="1"/>
  <c r="O45" i="27"/>
  <c r="O44" i="26"/>
  <c r="Q43" i="30"/>
  <c r="AD43" i="26"/>
  <c r="Q43" i="26"/>
  <c r="G43" i="26"/>
  <c r="H43" i="26"/>
  <c r="Y45" i="26"/>
  <c r="N45" i="26"/>
  <c r="AC45" i="26"/>
  <c r="N45" i="28"/>
  <c r="L45" i="28"/>
  <c r="K45" i="28" s="1"/>
  <c r="H45" i="28"/>
  <c r="G45" i="28"/>
  <c r="J46" i="28"/>
  <c r="J46" i="26"/>
  <c r="B45" i="30"/>
  <c r="J45" i="30"/>
  <c r="H44" i="30"/>
  <c r="G44" i="30"/>
  <c r="L44" i="30"/>
  <c r="K44" i="30" s="1"/>
  <c r="N44" i="30"/>
  <c r="O44" i="30" s="1"/>
  <c r="A47" i="26"/>
  <c r="A48" i="27"/>
  <c r="J47" i="27"/>
  <c r="B47" i="27"/>
  <c r="A47" i="28"/>
  <c r="J45" i="25"/>
  <c r="B46" i="26"/>
  <c r="N46" i="27"/>
  <c r="L46" i="27"/>
  <c r="B46" i="28"/>
  <c r="L44" i="25"/>
  <c r="K44" i="29"/>
  <c r="X46" i="26"/>
  <c r="B45" i="25"/>
  <c r="G45" i="29"/>
  <c r="L45" i="29"/>
  <c r="N45" i="29"/>
  <c r="O45" i="29" s="1"/>
  <c r="H45" i="29"/>
  <c r="B69" i="17"/>
  <c r="N44" i="25"/>
  <c r="O44" i="25" s="1"/>
  <c r="K44" i="26"/>
  <c r="Q44" i="27"/>
  <c r="L45" i="26"/>
  <c r="K45" i="27"/>
  <c r="Q42" i="25"/>
  <c r="H42" i="25"/>
  <c r="I67" i="17" s="1"/>
  <c r="G42" i="25"/>
  <c r="H67" i="17" s="1"/>
  <c r="A46" i="25"/>
  <c r="B46" i="29"/>
  <c r="J46" i="29"/>
  <c r="A47" i="29"/>
  <c r="A46" i="30"/>
  <c r="K43" i="25"/>
  <c r="Q43" i="29"/>
  <c r="G45" i="27" l="1"/>
  <c r="H45" i="27"/>
  <c r="O45" i="28"/>
  <c r="Q45" i="28" s="1"/>
  <c r="O46" i="27"/>
  <c r="O45" i="26"/>
  <c r="X47" i="26"/>
  <c r="Q43" i="25"/>
  <c r="H43" i="25"/>
  <c r="I68" i="17" s="1"/>
  <c r="G43" i="25"/>
  <c r="H68" i="17" s="1"/>
  <c r="L46" i="26"/>
  <c r="K46" i="27"/>
  <c r="L45" i="25"/>
  <c r="K45" i="29"/>
  <c r="A48" i="26"/>
  <c r="A49" i="27"/>
  <c r="J48" i="27"/>
  <c r="B48" i="27"/>
  <c r="A48" i="28"/>
  <c r="A47" i="25"/>
  <c r="J47" i="29"/>
  <c r="A48" i="29"/>
  <c r="B47" i="29"/>
  <c r="A47" i="30"/>
  <c r="K45" i="26"/>
  <c r="Q45" i="27"/>
  <c r="J46" i="25"/>
  <c r="AD44" i="26"/>
  <c r="Q44" i="26"/>
  <c r="H44" i="26"/>
  <c r="G44" i="26"/>
  <c r="AC46" i="26"/>
  <c r="Q44" i="30"/>
  <c r="Y46" i="26"/>
  <c r="N46" i="26"/>
  <c r="N46" i="28"/>
  <c r="L46" i="28"/>
  <c r="K46" i="28" s="1"/>
  <c r="H46" i="28"/>
  <c r="G46" i="28"/>
  <c r="J47" i="26"/>
  <c r="H45" i="30"/>
  <c r="G45" i="30"/>
  <c r="N45" i="30"/>
  <c r="O45" i="30" s="1"/>
  <c r="L45" i="30"/>
  <c r="K45" i="30" s="1"/>
  <c r="J46" i="30"/>
  <c r="B46" i="30"/>
  <c r="B46" i="25"/>
  <c r="G46" i="29"/>
  <c r="L46" i="29"/>
  <c r="N46" i="29"/>
  <c r="O46" i="29" s="1"/>
  <c r="H46" i="29"/>
  <c r="J47" i="28"/>
  <c r="B70" i="17"/>
  <c r="N45" i="25"/>
  <c r="O45" i="25" s="1"/>
  <c r="K44" i="25"/>
  <c r="Q44" i="29"/>
  <c r="B47" i="26"/>
  <c r="N47" i="27"/>
  <c r="L47" i="27"/>
  <c r="B47" i="28"/>
  <c r="G46" i="27" l="1"/>
  <c r="H46" i="27"/>
  <c r="O46" i="28"/>
  <c r="Q46" i="28" s="1"/>
  <c r="O47" i="27"/>
  <c r="O46" i="26"/>
  <c r="L47" i="26"/>
  <c r="K47" i="27"/>
  <c r="J48" i="28"/>
  <c r="B47" i="30"/>
  <c r="J47" i="30"/>
  <c r="G46" i="30"/>
  <c r="N46" i="30"/>
  <c r="O46" i="30" s="1"/>
  <c r="L46" i="30"/>
  <c r="K46" i="30" s="1"/>
  <c r="H46" i="30"/>
  <c r="B48" i="26"/>
  <c r="N48" i="27"/>
  <c r="L48" i="27"/>
  <c r="B48" i="28"/>
  <c r="Q44" i="25"/>
  <c r="H44" i="25"/>
  <c r="I69" i="17" s="1"/>
  <c r="G44" i="25"/>
  <c r="H69" i="17" s="1"/>
  <c r="L46" i="25"/>
  <c r="K46" i="29"/>
  <c r="B47" i="25"/>
  <c r="G47" i="29"/>
  <c r="L47" i="29"/>
  <c r="N47" i="29"/>
  <c r="O47" i="29" s="1"/>
  <c r="H47" i="29"/>
  <c r="J48" i="26"/>
  <c r="K45" i="25"/>
  <c r="Q45" i="29"/>
  <c r="K46" i="26"/>
  <c r="Q46" i="27"/>
  <c r="A48" i="25"/>
  <c r="J48" i="29"/>
  <c r="A49" i="29"/>
  <c r="B48" i="29"/>
  <c r="A48" i="30"/>
  <c r="A49" i="26"/>
  <c r="A50" i="27"/>
  <c r="J49" i="27"/>
  <c r="B49" i="27"/>
  <c r="A49" i="28"/>
  <c r="N47" i="28"/>
  <c r="L47" i="28"/>
  <c r="K47" i="28" s="1"/>
  <c r="H47" i="28"/>
  <c r="G47" i="28"/>
  <c r="Y47" i="26"/>
  <c r="N47" i="26"/>
  <c r="B71" i="17"/>
  <c r="N46" i="25"/>
  <c r="O46" i="25" s="1"/>
  <c r="Q45" i="30"/>
  <c r="AC47" i="26"/>
  <c r="AD45" i="26"/>
  <c r="Q45" i="26"/>
  <c r="G45" i="26"/>
  <c r="H45" i="26"/>
  <c r="J47" i="25"/>
  <c r="X48" i="26"/>
  <c r="G47" i="27" l="1"/>
  <c r="H47" i="27"/>
  <c r="O47" i="28"/>
  <c r="Q47" i="28" s="1"/>
  <c r="O48" i="27"/>
  <c r="O47" i="26"/>
  <c r="Q46" i="30"/>
  <c r="X49" i="26"/>
  <c r="J49" i="28"/>
  <c r="G45" i="25"/>
  <c r="H70" i="17" s="1"/>
  <c r="Q45" i="25"/>
  <c r="H45" i="25"/>
  <c r="I70" i="17" s="1"/>
  <c r="B72" i="17"/>
  <c r="N47" i="25"/>
  <c r="O47" i="25" s="1"/>
  <c r="AC48" i="26"/>
  <c r="B48" i="25"/>
  <c r="G48" i="29"/>
  <c r="L48" i="29"/>
  <c r="H48" i="29"/>
  <c r="N48" i="29"/>
  <c r="O48" i="29" s="1"/>
  <c r="K46" i="25"/>
  <c r="Q46" i="29"/>
  <c r="L48" i="28"/>
  <c r="K48" i="28" s="1"/>
  <c r="H48" i="28"/>
  <c r="G48" i="28"/>
  <c r="N48" i="28"/>
  <c r="L47" i="25"/>
  <c r="K47" i="29"/>
  <c r="B49" i="26"/>
  <c r="N49" i="27"/>
  <c r="L49" i="27"/>
  <c r="B49" i="28"/>
  <c r="B48" i="30"/>
  <c r="J48" i="30"/>
  <c r="Y48" i="26"/>
  <c r="N48" i="26"/>
  <c r="J49" i="26"/>
  <c r="A49" i="25"/>
  <c r="A50" i="29"/>
  <c r="B49" i="29"/>
  <c r="J49" i="29"/>
  <c r="A49" i="30"/>
  <c r="AD46" i="26"/>
  <c r="Q46" i="26"/>
  <c r="H46" i="26"/>
  <c r="G46" i="26"/>
  <c r="L48" i="26"/>
  <c r="K48" i="27"/>
  <c r="K47" i="26"/>
  <c r="Q47" i="27"/>
  <c r="N47" i="30"/>
  <c r="O47" i="30" s="1"/>
  <c r="L47" i="30"/>
  <c r="K47" i="30" s="1"/>
  <c r="H47" i="30"/>
  <c r="G47" i="30"/>
  <c r="A50" i="26"/>
  <c r="A51" i="27"/>
  <c r="J50" i="27"/>
  <c r="B50" i="27"/>
  <c r="A50" i="28"/>
  <c r="J48" i="25"/>
  <c r="G48" i="27" l="1"/>
  <c r="H48" i="27"/>
  <c r="O48" i="28"/>
  <c r="Q48" i="28" s="1"/>
  <c r="O49" i="27"/>
  <c r="O48" i="26"/>
  <c r="Q47" i="30"/>
  <c r="J50" i="28"/>
  <c r="B50" i="26"/>
  <c r="N50" i="27"/>
  <c r="L50" i="27"/>
  <c r="B50" i="28"/>
  <c r="K48" i="26"/>
  <c r="Q48" i="27"/>
  <c r="B49" i="30"/>
  <c r="J49" i="30"/>
  <c r="L49" i="26"/>
  <c r="K49" i="27"/>
  <c r="J49" i="25"/>
  <c r="AC49" i="26"/>
  <c r="L48" i="25"/>
  <c r="K48" i="29"/>
  <c r="K47" i="25"/>
  <c r="Q47" i="29"/>
  <c r="A51" i="26"/>
  <c r="A52" i="27"/>
  <c r="J51" i="27"/>
  <c r="B51" i="27"/>
  <c r="A51" i="28"/>
  <c r="Q46" i="25"/>
  <c r="G46" i="25"/>
  <c r="H71" i="17" s="1"/>
  <c r="H46" i="25"/>
  <c r="I71" i="17" s="1"/>
  <c r="B73" i="17"/>
  <c r="N48" i="25"/>
  <c r="O48" i="25" s="1"/>
  <c r="B49" i="25"/>
  <c r="G49" i="29"/>
  <c r="L49" i="29"/>
  <c r="N49" i="29"/>
  <c r="O49" i="29" s="1"/>
  <c r="H49" i="29"/>
  <c r="A50" i="25"/>
  <c r="B50" i="29"/>
  <c r="J50" i="29"/>
  <c r="A51" i="29"/>
  <c r="A50" i="30"/>
  <c r="AD47" i="26"/>
  <c r="Q47" i="26"/>
  <c r="H47" i="26"/>
  <c r="G47" i="26"/>
  <c r="H49" i="28"/>
  <c r="G49" i="28"/>
  <c r="N49" i="28"/>
  <c r="L49" i="28"/>
  <c r="K49" i="28" s="1"/>
  <c r="J50" i="26"/>
  <c r="X50" i="26"/>
  <c r="N48" i="30"/>
  <c r="O48" i="30" s="1"/>
  <c r="L48" i="30"/>
  <c r="K48" i="30" s="1"/>
  <c r="G48" i="30"/>
  <c r="H48" i="30"/>
  <c r="Y49" i="26"/>
  <c r="N49" i="26"/>
  <c r="G49" i="27" l="1"/>
  <c r="H49" i="27"/>
  <c r="O49" i="28"/>
  <c r="Q49" i="28" s="1"/>
  <c r="O50" i="27"/>
  <c r="O49" i="26"/>
  <c r="Q48" i="30"/>
  <c r="L49" i="25"/>
  <c r="K49" i="29"/>
  <c r="B74" i="17"/>
  <c r="N49" i="25"/>
  <c r="O49" i="25" s="1"/>
  <c r="X51" i="26"/>
  <c r="K48" i="25"/>
  <c r="Q48" i="29"/>
  <c r="H50" i="28"/>
  <c r="G50" i="28"/>
  <c r="N50" i="28"/>
  <c r="L50" i="28"/>
  <c r="K50" i="28" s="1"/>
  <c r="A52" i="26"/>
  <c r="A53" i="27"/>
  <c r="J52" i="27"/>
  <c r="B52" i="27"/>
  <c r="A52" i="28"/>
  <c r="AC50" i="26"/>
  <c r="B50" i="30"/>
  <c r="J50" i="30"/>
  <c r="L50" i="26"/>
  <c r="K50" i="27"/>
  <c r="Y50" i="26"/>
  <c r="N50" i="26"/>
  <c r="A51" i="25"/>
  <c r="J51" i="29"/>
  <c r="A52" i="29"/>
  <c r="B51" i="29"/>
  <c r="A51" i="30"/>
  <c r="J51" i="28"/>
  <c r="J51" i="26"/>
  <c r="K49" i="26"/>
  <c r="Q49" i="27"/>
  <c r="J50" i="25"/>
  <c r="B51" i="26"/>
  <c r="N51" i="27"/>
  <c r="L51" i="27"/>
  <c r="B51" i="28"/>
  <c r="Q47" i="25"/>
  <c r="G47" i="25"/>
  <c r="H72" i="17" s="1"/>
  <c r="H47" i="25"/>
  <c r="I72" i="17" s="1"/>
  <c r="N49" i="30"/>
  <c r="O49" i="30" s="1"/>
  <c r="L49" i="30"/>
  <c r="K49" i="30" s="1"/>
  <c r="H49" i="30"/>
  <c r="G49" i="30"/>
  <c r="AD48" i="26"/>
  <c r="G48" i="26"/>
  <c r="Q48" i="26"/>
  <c r="H48" i="26"/>
  <c r="B50" i="25"/>
  <c r="G50" i="29"/>
  <c r="L50" i="29"/>
  <c r="N50" i="29"/>
  <c r="O50" i="29" s="1"/>
  <c r="H50" i="29"/>
  <c r="G50" i="27" l="1"/>
  <c r="H50" i="27"/>
  <c r="O50" i="28"/>
  <c r="Q50" i="28" s="1"/>
  <c r="O51" i="27"/>
  <c r="O50" i="26"/>
  <c r="K50" i="26"/>
  <c r="Q50" i="27"/>
  <c r="L50" i="25"/>
  <c r="K50" i="29"/>
  <c r="B51" i="30"/>
  <c r="J51" i="30"/>
  <c r="A52" i="25"/>
  <c r="J52" i="29"/>
  <c r="A53" i="29"/>
  <c r="B52" i="29"/>
  <c r="A52" i="30"/>
  <c r="A53" i="26"/>
  <c r="A54" i="27"/>
  <c r="J53" i="27"/>
  <c r="B53" i="27"/>
  <c r="A53" i="28"/>
  <c r="J52" i="26"/>
  <c r="Y51" i="26"/>
  <c r="N51" i="26"/>
  <c r="J51" i="25"/>
  <c r="X52" i="26"/>
  <c r="K49" i="25"/>
  <c r="Q49" i="29"/>
  <c r="H51" i="28"/>
  <c r="G51" i="28"/>
  <c r="N51" i="28"/>
  <c r="L51" i="28"/>
  <c r="K51" i="28" s="1"/>
  <c r="Q49" i="30"/>
  <c r="AC51" i="26"/>
  <c r="L51" i="26"/>
  <c r="K51" i="27"/>
  <c r="J52" i="28"/>
  <c r="B51" i="25"/>
  <c r="G51" i="29"/>
  <c r="L51" i="29"/>
  <c r="N51" i="29"/>
  <c r="O51" i="29" s="1"/>
  <c r="H51" i="29"/>
  <c r="B75" i="17"/>
  <c r="N50" i="25"/>
  <c r="O50" i="25" s="1"/>
  <c r="AD49" i="26"/>
  <c r="Q49" i="26"/>
  <c r="H49" i="26"/>
  <c r="G49" i="26"/>
  <c r="L50" i="30"/>
  <c r="K50" i="30" s="1"/>
  <c r="H50" i="30"/>
  <c r="G50" i="30"/>
  <c r="N50" i="30"/>
  <c r="O50" i="30" s="1"/>
  <c r="B52" i="26"/>
  <c r="N52" i="27"/>
  <c r="L52" i="27"/>
  <c r="B52" i="28"/>
  <c r="G48" i="25"/>
  <c r="H73" i="17" s="1"/>
  <c r="Q48" i="25"/>
  <c r="H48" i="25"/>
  <c r="I73" i="17" s="1"/>
  <c r="G51" i="27" l="1"/>
  <c r="H51" i="27"/>
  <c r="O51" i="28"/>
  <c r="Q51" i="28" s="1"/>
  <c r="O52" i="27"/>
  <c r="O51" i="26"/>
  <c r="Q50" i="30"/>
  <c r="L51" i="25"/>
  <c r="K51" i="29"/>
  <c r="K51" i="26"/>
  <c r="Q51" i="27"/>
  <c r="X53" i="26"/>
  <c r="J53" i="28"/>
  <c r="K50" i="25"/>
  <c r="Q50" i="29"/>
  <c r="A54" i="26"/>
  <c r="A55" i="27"/>
  <c r="J54" i="27"/>
  <c r="B54" i="27"/>
  <c r="A54" i="28"/>
  <c r="J52" i="25"/>
  <c r="Y52" i="26"/>
  <c r="N52" i="26"/>
  <c r="B53" i="26"/>
  <c r="N53" i="27"/>
  <c r="L53" i="27"/>
  <c r="B53" i="28"/>
  <c r="AD50" i="26"/>
  <c r="Q50" i="26"/>
  <c r="H50" i="26"/>
  <c r="G50" i="26"/>
  <c r="L52" i="26"/>
  <c r="K52" i="27"/>
  <c r="B76" i="17"/>
  <c r="N51" i="25"/>
  <c r="O51" i="25" s="1"/>
  <c r="H51" i="30"/>
  <c r="G51" i="30"/>
  <c r="N51" i="30"/>
  <c r="O51" i="30" s="1"/>
  <c r="L51" i="30"/>
  <c r="K51" i="30" s="1"/>
  <c r="G52" i="28"/>
  <c r="N52" i="28"/>
  <c r="L52" i="28"/>
  <c r="K52" i="28" s="1"/>
  <c r="H52" i="28"/>
  <c r="Q49" i="25"/>
  <c r="G49" i="25"/>
  <c r="H74" i="17" s="1"/>
  <c r="H49" i="25"/>
  <c r="I74" i="17" s="1"/>
  <c r="B52" i="30"/>
  <c r="J52" i="30"/>
  <c r="A53" i="25"/>
  <c r="A54" i="29"/>
  <c r="B53" i="29"/>
  <c r="J53" i="29"/>
  <c r="A53" i="30"/>
  <c r="AC52" i="26"/>
  <c r="J53" i="26"/>
  <c r="B52" i="25"/>
  <c r="G52" i="29"/>
  <c r="L52" i="29"/>
  <c r="H52" i="29"/>
  <c r="N52" i="29"/>
  <c r="O52" i="29" s="1"/>
  <c r="G52" i="27" l="1"/>
  <c r="H52" i="27"/>
  <c r="O52" i="28"/>
  <c r="Q52" i="28" s="1"/>
  <c r="O52" i="26"/>
  <c r="O53" i="27"/>
  <c r="Q51" i="30"/>
  <c r="J54" i="28"/>
  <c r="B53" i="30"/>
  <c r="J53" i="30"/>
  <c r="N53" i="28"/>
  <c r="L53" i="28"/>
  <c r="K53" i="28" s="1"/>
  <c r="H53" i="28"/>
  <c r="G53" i="28"/>
  <c r="A55" i="26"/>
  <c r="A56" i="27"/>
  <c r="J55" i="27"/>
  <c r="B55" i="27"/>
  <c r="A55" i="28"/>
  <c r="B77" i="17"/>
  <c r="N52" i="25"/>
  <c r="O52" i="25" s="1"/>
  <c r="B53" i="25"/>
  <c r="G53" i="29"/>
  <c r="L53" i="29"/>
  <c r="N53" i="29"/>
  <c r="O53" i="29" s="1"/>
  <c r="H53" i="29"/>
  <c r="L53" i="26"/>
  <c r="K53" i="27"/>
  <c r="A54" i="25"/>
  <c r="B54" i="29"/>
  <c r="J54" i="29"/>
  <c r="A55" i="29"/>
  <c r="A54" i="30"/>
  <c r="B54" i="26"/>
  <c r="N54" i="27"/>
  <c r="L54" i="27"/>
  <c r="B54" i="28"/>
  <c r="AC53" i="26"/>
  <c r="K52" i="26"/>
  <c r="Q52" i="27"/>
  <c r="L52" i="25"/>
  <c r="K52" i="29"/>
  <c r="Y53" i="26"/>
  <c r="N53" i="26"/>
  <c r="J54" i="26"/>
  <c r="H50" i="25"/>
  <c r="I75" i="17" s="1"/>
  <c r="G50" i="25"/>
  <c r="H75" i="17" s="1"/>
  <c r="Q50" i="25"/>
  <c r="AD51" i="26"/>
  <c r="Q51" i="26"/>
  <c r="H51" i="26"/>
  <c r="G51" i="26"/>
  <c r="H52" i="30"/>
  <c r="G52" i="30"/>
  <c r="L52" i="30"/>
  <c r="K52" i="30" s="1"/>
  <c r="N52" i="30"/>
  <c r="O52" i="30" s="1"/>
  <c r="J53" i="25"/>
  <c r="X54" i="26"/>
  <c r="K51" i="25"/>
  <c r="Q51" i="29"/>
  <c r="G53" i="27" l="1"/>
  <c r="H53" i="27"/>
  <c r="O53" i="28"/>
  <c r="Q53" i="28" s="1"/>
  <c r="O54" i="27"/>
  <c r="O53" i="26"/>
  <c r="Q52" i="30"/>
  <c r="B55" i="26"/>
  <c r="N55" i="27"/>
  <c r="L55" i="27"/>
  <c r="B55" i="28"/>
  <c r="N54" i="28"/>
  <c r="L54" i="28"/>
  <c r="K54" i="28" s="1"/>
  <c r="H54" i="28"/>
  <c r="G54" i="28"/>
  <c r="J55" i="28"/>
  <c r="AC54" i="26"/>
  <c r="K52" i="25"/>
  <c r="Q52" i="29"/>
  <c r="B54" i="30"/>
  <c r="J54" i="30"/>
  <c r="L53" i="25"/>
  <c r="K53" i="29"/>
  <c r="J55" i="26"/>
  <c r="A55" i="25"/>
  <c r="J55" i="29"/>
  <c r="A56" i="29"/>
  <c r="B55" i="29"/>
  <c r="A55" i="30"/>
  <c r="A56" i="26"/>
  <c r="A57" i="27"/>
  <c r="J56" i="27"/>
  <c r="B56" i="27"/>
  <c r="A56" i="28"/>
  <c r="Y54" i="26"/>
  <c r="N54" i="26"/>
  <c r="L54" i="26"/>
  <c r="K54" i="27"/>
  <c r="K53" i="26"/>
  <c r="Q53" i="27"/>
  <c r="Q51" i="25"/>
  <c r="H51" i="25"/>
  <c r="I76" i="17" s="1"/>
  <c r="G51" i="25"/>
  <c r="H76" i="17" s="1"/>
  <c r="J54" i="25"/>
  <c r="X55" i="26"/>
  <c r="AD52" i="26"/>
  <c r="Q52" i="26"/>
  <c r="H52" i="26"/>
  <c r="G52" i="26"/>
  <c r="B54" i="25"/>
  <c r="G54" i="29"/>
  <c r="L54" i="29"/>
  <c r="N54" i="29"/>
  <c r="O54" i="29" s="1"/>
  <c r="H54" i="29"/>
  <c r="B78" i="17"/>
  <c r="N53" i="25"/>
  <c r="O53" i="25" s="1"/>
  <c r="H53" i="30"/>
  <c r="G53" i="30"/>
  <c r="N53" i="30"/>
  <c r="O53" i="30" s="1"/>
  <c r="L53" i="30"/>
  <c r="K53" i="30" s="1"/>
  <c r="G54" i="27" l="1"/>
  <c r="H54" i="27"/>
  <c r="O54" i="28"/>
  <c r="Q54" i="28" s="1"/>
  <c r="O55" i="27"/>
  <c r="O54" i="26"/>
  <c r="A57" i="26"/>
  <c r="A58" i="27"/>
  <c r="J57" i="27"/>
  <c r="B57" i="27"/>
  <c r="A57" i="28"/>
  <c r="K54" i="26"/>
  <c r="Q54" i="27"/>
  <c r="J56" i="28"/>
  <c r="B55" i="25"/>
  <c r="G55" i="29"/>
  <c r="L55" i="29"/>
  <c r="N55" i="29"/>
  <c r="O55" i="29" s="1"/>
  <c r="H55" i="29"/>
  <c r="K53" i="25"/>
  <c r="Q53" i="29"/>
  <c r="AC55" i="26"/>
  <c r="B56" i="26"/>
  <c r="N56" i="27"/>
  <c r="L56" i="27"/>
  <c r="B56" i="28"/>
  <c r="A56" i="25"/>
  <c r="J56" i="29"/>
  <c r="A57" i="29"/>
  <c r="B56" i="29"/>
  <c r="A56" i="30"/>
  <c r="AD53" i="26"/>
  <c r="G53" i="26"/>
  <c r="Q53" i="26"/>
  <c r="H53" i="26"/>
  <c r="B55" i="30"/>
  <c r="J55" i="30"/>
  <c r="L54" i="25"/>
  <c r="K54" i="29"/>
  <c r="Q53" i="30"/>
  <c r="J55" i="25"/>
  <c r="Q52" i="25"/>
  <c r="H52" i="25"/>
  <c r="I77" i="17" s="1"/>
  <c r="G52" i="25"/>
  <c r="H77" i="17" s="1"/>
  <c r="Y55" i="26"/>
  <c r="N55" i="26"/>
  <c r="X56" i="26"/>
  <c r="H54" i="30"/>
  <c r="G54" i="30"/>
  <c r="N54" i="30"/>
  <c r="O54" i="30" s="1"/>
  <c r="L54" i="30"/>
  <c r="K54" i="30" s="1"/>
  <c r="N55" i="28"/>
  <c r="L55" i="28"/>
  <c r="K55" i="28" s="1"/>
  <c r="H55" i="28"/>
  <c r="G55" i="28"/>
  <c r="B79" i="17"/>
  <c r="N54" i="25"/>
  <c r="O54" i="25" s="1"/>
  <c r="J56" i="26"/>
  <c r="L55" i="26"/>
  <c r="K55" i="27"/>
  <c r="G55" i="27" l="1"/>
  <c r="H55" i="27"/>
  <c r="O55" i="28"/>
  <c r="Q55" i="28" s="1"/>
  <c r="O55" i="26"/>
  <c r="O56" i="27"/>
  <c r="Q54" i="30"/>
  <c r="AD54" i="26"/>
  <c r="Q54" i="26"/>
  <c r="G54" i="26"/>
  <c r="H54" i="26"/>
  <c r="L55" i="25"/>
  <c r="K55" i="29"/>
  <c r="K54" i="25"/>
  <c r="Q54" i="29"/>
  <c r="B56" i="30"/>
  <c r="J56" i="30"/>
  <c r="L56" i="26"/>
  <c r="K56" i="27"/>
  <c r="X57" i="26"/>
  <c r="AC56" i="26"/>
  <c r="B56" i="25"/>
  <c r="G56" i="29"/>
  <c r="L56" i="29"/>
  <c r="H56" i="29"/>
  <c r="N56" i="29"/>
  <c r="O56" i="29" s="1"/>
  <c r="Y56" i="26"/>
  <c r="N56" i="26"/>
  <c r="L56" i="28"/>
  <c r="K56" i="28" s="1"/>
  <c r="H56" i="28"/>
  <c r="G56" i="28"/>
  <c r="N56" i="28"/>
  <c r="A58" i="26"/>
  <c r="A59" i="27"/>
  <c r="J58" i="27"/>
  <c r="B58" i="27"/>
  <c r="A58" i="28"/>
  <c r="K55" i="26"/>
  <c r="Q55" i="27"/>
  <c r="A57" i="25"/>
  <c r="A58" i="29"/>
  <c r="B57" i="29"/>
  <c r="J57" i="29"/>
  <c r="A57" i="30"/>
  <c r="B80" i="17"/>
  <c r="N55" i="25"/>
  <c r="O55" i="25" s="1"/>
  <c r="J57" i="28"/>
  <c r="J57" i="26"/>
  <c r="J56" i="25"/>
  <c r="Q53" i="25"/>
  <c r="G53" i="25"/>
  <c r="H78" i="17" s="1"/>
  <c r="H53" i="25"/>
  <c r="I78" i="17" s="1"/>
  <c r="B57" i="26"/>
  <c r="N57" i="27"/>
  <c r="L57" i="27"/>
  <c r="B57" i="28"/>
  <c r="N55" i="30"/>
  <c r="O55" i="30" s="1"/>
  <c r="L55" i="30"/>
  <c r="K55" i="30" s="1"/>
  <c r="H55" i="30"/>
  <c r="G55" i="30"/>
  <c r="G56" i="27" l="1"/>
  <c r="H56" i="27"/>
  <c r="O56" i="28"/>
  <c r="Q56" i="28" s="1"/>
  <c r="O56" i="26"/>
  <c r="O57" i="27"/>
  <c r="Q55" i="30"/>
  <c r="Q54" i="25"/>
  <c r="H54" i="25"/>
  <c r="I79" i="17" s="1"/>
  <c r="G54" i="25"/>
  <c r="H79" i="17" s="1"/>
  <c r="J57" i="25"/>
  <c r="X58" i="26"/>
  <c r="B57" i="25"/>
  <c r="G57" i="29"/>
  <c r="L57" i="29"/>
  <c r="N57" i="29"/>
  <c r="O57" i="29" s="1"/>
  <c r="H57" i="29"/>
  <c r="B58" i="26"/>
  <c r="N58" i="27"/>
  <c r="L58" i="27"/>
  <c r="B58" i="28"/>
  <c r="K55" i="25"/>
  <c r="Q55" i="29"/>
  <c r="Y57" i="26"/>
  <c r="N57" i="26"/>
  <c r="AC57" i="26"/>
  <c r="J58" i="28"/>
  <c r="L57" i="26"/>
  <c r="K57" i="27"/>
  <c r="L56" i="25"/>
  <c r="K56" i="29"/>
  <c r="N56" i="30"/>
  <c r="O56" i="30" s="1"/>
  <c r="L56" i="30"/>
  <c r="K56" i="30" s="1"/>
  <c r="H56" i="30"/>
  <c r="G56" i="30"/>
  <c r="AD55" i="26"/>
  <c r="Q55" i="26"/>
  <c r="H55" i="26"/>
  <c r="G55" i="26"/>
  <c r="H57" i="28"/>
  <c r="G57" i="28"/>
  <c r="N57" i="28"/>
  <c r="L57" i="28"/>
  <c r="K57" i="28" s="1"/>
  <c r="A58" i="25"/>
  <c r="B58" i="29"/>
  <c r="J58" i="29"/>
  <c r="A59" i="29"/>
  <c r="A58" i="30"/>
  <c r="J58" i="26"/>
  <c r="B57" i="30"/>
  <c r="J57" i="30"/>
  <c r="A59" i="26"/>
  <c r="A60" i="27"/>
  <c r="J59" i="27"/>
  <c r="B59" i="27"/>
  <c r="A59" i="28"/>
  <c r="B81" i="17"/>
  <c r="N56" i="25"/>
  <c r="O56" i="25" s="1"/>
  <c r="K56" i="26"/>
  <c r="Q56" i="27"/>
  <c r="G57" i="27" l="1"/>
  <c r="H57" i="27"/>
  <c r="O57" i="28"/>
  <c r="Q57" i="28" s="1"/>
  <c r="O57" i="26"/>
  <c r="O58" i="27"/>
  <c r="A60" i="26"/>
  <c r="A61" i="27"/>
  <c r="J60" i="27"/>
  <c r="B60" i="27"/>
  <c r="A60" i="28"/>
  <c r="J58" i="25"/>
  <c r="L58" i="26"/>
  <c r="K58" i="27"/>
  <c r="B82" i="17"/>
  <c r="N57" i="25"/>
  <c r="O57" i="25" s="1"/>
  <c r="X59" i="26"/>
  <c r="B58" i="25"/>
  <c r="G58" i="29"/>
  <c r="L58" i="29"/>
  <c r="N58" i="29"/>
  <c r="O58" i="29" s="1"/>
  <c r="H58" i="29"/>
  <c r="K57" i="26"/>
  <c r="Q57" i="27"/>
  <c r="AD56" i="26"/>
  <c r="Q56" i="26"/>
  <c r="H56" i="26"/>
  <c r="G56" i="26"/>
  <c r="Q56" i="30"/>
  <c r="L57" i="25"/>
  <c r="K57" i="29"/>
  <c r="J59" i="28"/>
  <c r="B58" i="30"/>
  <c r="J58" i="30"/>
  <c r="K56" i="25"/>
  <c r="Q56" i="29"/>
  <c r="H55" i="25"/>
  <c r="I80" i="17" s="1"/>
  <c r="G55" i="25"/>
  <c r="H80" i="17" s="1"/>
  <c r="Q55" i="25"/>
  <c r="Y58" i="26"/>
  <c r="N58" i="26"/>
  <c r="N57" i="30"/>
  <c r="O57" i="30" s="1"/>
  <c r="L57" i="30"/>
  <c r="K57" i="30" s="1"/>
  <c r="H57" i="30"/>
  <c r="G57" i="30"/>
  <c r="J59" i="26"/>
  <c r="B59" i="26"/>
  <c r="N59" i="27"/>
  <c r="L59" i="27"/>
  <c r="B59" i="28"/>
  <c r="AC58" i="26"/>
  <c r="A59" i="25"/>
  <c r="J59" i="29"/>
  <c r="A60" i="29"/>
  <c r="B59" i="29"/>
  <c r="A59" i="30"/>
  <c r="H58" i="28"/>
  <c r="G58" i="28"/>
  <c r="N58" i="28"/>
  <c r="L58" i="28"/>
  <c r="K58" i="28" s="1"/>
  <c r="G58" i="27" l="1"/>
  <c r="H58" i="27"/>
  <c r="O58" i="28"/>
  <c r="Q58" i="28" s="1"/>
  <c r="O58" i="26"/>
  <c r="O59" i="27"/>
  <c r="Q57" i="30"/>
  <c r="A60" i="25"/>
  <c r="J60" i="29"/>
  <c r="A61" i="29"/>
  <c r="B60" i="29"/>
  <c r="A60" i="30"/>
  <c r="J59" i="25"/>
  <c r="Y59" i="26"/>
  <c r="N59" i="26"/>
  <c r="K57" i="25"/>
  <c r="Q57" i="29"/>
  <c r="B83" i="17"/>
  <c r="N58" i="25"/>
  <c r="O58" i="25" s="1"/>
  <c r="J60" i="26"/>
  <c r="L59" i="26"/>
  <c r="K59" i="27"/>
  <c r="K58" i="26"/>
  <c r="Q58" i="27"/>
  <c r="A61" i="26"/>
  <c r="A62" i="27"/>
  <c r="J61" i="27"/>
  <c r="B61" i="27"/>
  <c r="A61" i="28"/>
  <c r="N58" i="30"/>
  <c r="O58" i="30" s="1"/>
  <c r="L58" i="30"/>
  <c r="K58" i="30" s="1"/>
  <c r="H58" i="30"/>
  <c r="G58" i="30"/>
  <c r="X60" i="26"/>
  <c r="AD57" i="26"/>
  <c r="G57" i="26"/>
  <c r="Q57" i="26"/>
  <c r="H57" i="26"/>
  <c r="AC59" i="26"/>
  <c r="H59" i="28"/>
  <c r="G59" i="28"/>
  <c r="N59" i="28"/>
  <c r="L59" i="28"/>
  <c r="K59" i="28" s="1"/>
  <c r="B59" i="30"/>
  <c r="J59" i="30"/>
  <c r="L58" i="25"/>
  <c r="K58" i="29"/>
  <c r="J60" i="28"/>
  <c r="B59" i="25"/>
  <c r="G59" i="29"/>
  <c r="L59" i="29"/>
  <c r="N59" i="29"/>
  <c r="O59" i="29" s="1"/>
  <c r="H59" i="29"/>
  <c r="Q56" i="25"/>
  <c r="G56" i="25"/>
  <c r="H81" i="17" s="1"/>
  <c r="H56" i="25"/>
  <c r="I81" i="17" s="1"/>
  <c r="B60" i="26"/>
  <c r="N60" i="27"/>
  <c r="L60" i="27"/>
  <c r="B60" i="28"/>
  <c r="O59" i="28" l="1"/>
  <c r="Q59" i="28" s="1"/>
  <c r="G59" i="27"/>
  <c r="H59" i="27"/>
  <c r="O59" i="26"/>
  <c r="O60" i="27"/>
  <c r="Q58" i="30"/>
  <c r="B60" i="30"/>
  <c r="J60" i="30"/>
  <c r="J61" i="26"/>
  <c r="A62" i="26"/>
  <c r="A63" i="27"/>
  <c r="J62" i="27"/>
  <c r="B62" i="27"/>
  <c r="A62" i="28"/>
  <c r="K59" i="26"/>
  <c r="Q59" i="27"/>
  <c r="A61" i="25"/>
  <c r="A62" i="29"/>
  <c r="B61" i="29"/>
  <c r="J61" i="29"/>
  <c r="A61" i="30"/>
  <c r="B60" i="25"/>
  <c r="G60" i="29"/>
  <c r="L60" i="29"/>
  <c r="H60" i="29"/>
  <c r="N60" i="29"/>
  <c r="O60" i="29" s="1"/>
  <c r="N59" i="30"/>
  <c r="O59" i="30" s="1"/>
  <c r="H59" i="30"/>
  <c r="G59" i="30"/>
  <c r="L59" i="30"/>
  <c r="K59" i="30" s="1"/>
  <c r="X61" i="26"/>
  <c r="J60" i="25"/>
  <c r="L59" i="25"/>
  <c r="K59" i="29"/>
  <c r="K58" i="25"/>
  <c r="Q58" i="29"/>
  <c r="AD58" i="26"/>
  <c r="G58" i="26"/>
  <c r="Q58" i="26"/>
  <c r="H58" i="26"/>
  <c r="J61" i="28"/>
  <c r="Y60" i="26"/>
  <c r="N60" i="26"/>
  <c r="B61" i="26"/>
  <c r="N61" i="27"/>
  <c r="L61" i="27"/>
  <c r="B61" i="28"/>
  <c r="Q57" i="25"/>
  <c r="G57" i="25"/>
  <c r="H82" i="17" s="1"/>
  <c r="H57" i="25"/>
  <c r="I82" i="17" s="1"/>
  <c r="G60" i="28"/>
  <c r="N60" i="28"/>
  <c r="L60" i="28"/>
  <c r="K60" i="28" s="1"/>
  <c r="H60" i="28"/>
  <c r="L60" i="26"/>
  <c r="K60" i="27"/>
  <c r="B84" i="17"/>
  <c r="N59" i="25"/>
  <c r="O59" i="25" s="1"/>
  <c r="AC60" i="26"/>
  <c r="O60" i="28" l="1"/>
  <c r="Q60" i="28" s="1"/>
  <c r="G60" i="27"/>
  <c r="H60" i="27"/>
  <c r="O60" i="26"/>
  <c r="O61" i="27"/>
  <c r="Q59" i="30"/>
  <c r="A62" i="25"/>
  <c r="B62" i="29"/>
  <c r="J62" i="29"/>
  <c r="A63" i="29"/>
  <c r="A62" i="30"/>
  <c r="L60" i="25"/>
  <c r="K60" i="29"/>
  <c r="J62" i="26"/>
  <c r="AC61" i="26"/>
  <c r="L61" i="26"/>
  <c r="K61" i="27"/>
  <c r="Q58" i="25"/>
  <c r="G58" i="25"/>
  <c r="H83" i="17" s="1"/>
  <c r="H58" i="25"/>
  <c r="I83" i="17" s="1"/>
  <c r="A63" i="26"/>
  <c r="A64" i="27"/>
  <c r="J63" i="27"/>
  <c r="B63" i="27"/>
  <c r="A63" i="28"/>
  <c r="K59" i="25"/>
  <c r="Q59" i="29"/>
  <c r="X62" i="26"/>
  <c r="B85" i="17"/>
  <c r="N60" i="25"/>
  <c r="O60" i="25" s="1"/>
  <c r="AD59" i="26"/>
  <c r="Q59" i="26"/>
  <c r="G59" i="26"/>
  <c r="H59" i="26"/>
  <c r="B61" i="30"/>
  <c r="J61" i="30"/>
  <c r="J62" i="28"/>
  <c r="H60" i="30"/>
  <c r="G60" i="30"/>
  <c r="L60" i="30"/>
  <c r="K60" i="30" s="1"/>
  <c r="N60" i="30"/>
  <c r="O60" i="30" s="1"/>
  <c r="K60" i="26"/>
  <c r="Q60" i="27"/>
  <c r="Y61" i="26"/>
  <c r="N61" i="26"/>
  <c r="J61" i="25"/>
  <c r="B62" i="26"/>
  <c r="N62" i="27"/>
  <c r="L62" i="27"/>
  <c r="B62" i="28"/>
  <c r="N61" i="28"/>
  <c r="L61" i="28"/>
  <c r="K61" i="28" s="1"/>
  <c r="H61" i="28"/>
  <c r="G61" i="28"/>
  <c r="B61" i="25"/>
  <c r="G61" i="29"/>
  <c r="L61" i="29"/>
  <c r="N61" i="29"/>
  <c r="O61" i="29" s="1"/>
  <c r="H61" i="29"/>
  <c r="O61" i="28" l="1"/>
  <c r="Q61" i="28" s="1"/>
  <c r="G61" i="27"/>
  <c r="H61" i="27"/>
  <c r="O61" i="26"/>
  <c r="O62" i="27"/>
  <c r="Q60" i="30"/>
  <c r="J62" i="25"/>
  <c r="J63" i="28"/>
  <c r="B62" i="25"/>
  <c r="G62" i="29"/>
  <c r="L62" i="29"/>
  <c r="N62" i="29"/>
  <c r="O62" i="29" s="1"/>
  <c r="H62" i="29"/>
  <c r="B63" i="26"/>
  <c r="N63" i="27"/>
  <c r="L63" i="27"/>
  <c r="B63" i="28"/>
  <c r="K61" i="26"/>
  <c r="Q61" i="27"/>
  <c r="AC62" i="26"/>
  <c r="B86" i="17"/>
  <c r="N61" i="25"/>
  <c r="O61" i="25" s="1"/>
  <c r="H61" i="30"/>
  <c r="G61" i="30"/>
  <c r="N61" i="30"/>
  <c r="O61" i="30" s="1"/>
  <c r="L61" i="30"/>
  <c r="K61" i="30" s="1"/>
  <c r="K60" i="25"/>
  <c r="Q60" i="29"/>
  <c r="Q59" i="25"/>
  <c r="G59" i="25"/>
  <c r="H84" i="17" s="1"/>
  <c r="H59" i="25"/>
  <c r="I84" i="17" s="1"/>
  <c r="J63" i="26"/>
  <c r="A64" i="26"/>
  <c r="A65" i="27"/>
  <c r="J64" i="27"/>
  <c r="B64" i="27"/>
  <c r="A64" i="28"/>
  <c r="B62" i="30"/>
  <c r="J62" i="30"/>
  <c r="L61" i="25"/>
  <c r="K61" i="29"/>
  <c r="Y62" i="26"/>
  <c r="N62" i="26"/>
  <c r="N62" i="28"/>
  <c r="L62" i="28"/>
  <c r="K62" i="28" s="1"/>
  <c r="H62" i="28"/>
  <c r="G62" i="28"/>
  <c r="L62" i="26"/>
  <c r="K62" i="27"/>
  <c r="AD60" i="26"/>
  <c r="Q60" i="26"/>
  <c r="H60" i="26"/>
  <c r="G60" i="26"/>
  <c r="X63" i="26"/>
  <c r="A63" i="25"/>
  <c r="J63" i="29"/>
  <c r="A64" i="29"/>
  <c r="B63" i="29"/>
  <c r="A63" i="30"/>
  <c r="O62" i="28" l="1"/>
  <c r="Q62" i="28" s="1"/>
  <c r="G62" i="27"/>
  <c r="H62" i="27"/>
  <c r="O62" i="26"/>
  <c r="O63" i="27"/>
  <c r="Q61" i="30"/>
  <c r="B63" i="25"/>
  <c r="G63" i="29"/>
  <c r="L63" i="29"/>
  <c r="N63" i="29"/>
  <c r="O63" i="29" s="1"/>
  <c r="H63" i="29"/>
  <c r="A65" i="26"/>
  <c r="A66" i="27"/>
  <c r="J65" i="27"/>
  <c r="B65" i="27"/>
  <c r="A65" i="28"/>
  <c r="L63" i="26"/>
  <c r="K63" i="27"/>
  <c r="B63" i="30"/>
  <c r="J63" i="30"/>
  <c r="A64" i="25"/>
  <c r="J64" i="29"/>
  <c r="A65" i="29"/>
  <c r="B64" i="29"/>
  <c r="A64" i="30"/>
  <c r="X64" i="26"/>
  <c r="AC63" i="26"/>
  <c r="L62" i="25"/>
  <c r="K62" i="29"/>
  <c r="K61" i="25"/>
  <c r="Q61" i="29"/>
  <c r="J64" i="28"/>
  <c r="Q60" i="25"/>
  <c r="G60" i="25"/>
  <c r="H85" i="17" s="1"/>
  <c r="H60" i="25"/>
  <c r="I85" i="17" s="1"/>
  <c r="B64" i="26"/>
  <c r="N64" i="27"/>
  <c r="L64" i="27"/>
  <c r="B64" i="28"/>
  <c r="K62" i="26"/>
  <c r="Q62" i="27"/>
  <c r="B87" i="17"/>
  <c r="N62" i="25"/>
  <c r="O62" i="25" s="1"/>
  <c r="J63" i="25"/>
  <c r="G62" i="30"/>
  <c r="N62" i="30"/>
  <c r="O62" i="30" s="1"/>
  <c r="L62" i="30"/>
  <c r="K62" i="30" s="1"/>
  <c r="H62" i="30"/>
  <c r="AD61" i="26"/>
  <c r="Q61" i="26"/>
  <c r="H61" i="26"/>
  <c r="G61" i="26"/>
  <c r="Y63" i="26"/>
  <c r="N63" i="26"/>
  <c r="J64" i="26"/>
  <c r="N63" i="28"/>
  <c r="L63" i="28"/>
  <c r="K63" i="28" s="1"/>
  <c r="H63" i="28"/>
  <c r="G63" i="28"/>
  <c r="O63" i="28" l="1"/>
  <c r="Q63" i="28" s="1"/>
  <c r="G63" i="27"/>
  <c r="H63" i="27"/>
  <c r="O63" i="26"/>
  <c r="O64" i="27"/>
  <c r="B64" i="30"/>
  <c r="J64" i="30"/>
  <c r="G63" i="30"/>
  <c r="N63" i="30"/>
  <c r="O63" i="30" s="1"/>
  <c r="L63" i="30"/>
  <c r="K63" i="30" s="1"/>
  <c r="H63" i="30"/>
  <c r="L63" i="25"/>
  <c r="K63" i="29"/>
  <c r="Y64" i="26"/>
  <c r="N64" i="26"/>
  <c r="L64" i="28"/>
  <c r="K64" i="28" s="1"/>
  <c r="H64" i="28"/>
  <c r="G64" i="28"/>
  <c r="N64" i="28"/>
  <c r="A65" i="25"/>
  <c r="A66" i="29"/>
  <c r="B65" i="29"/>
  <c r="J65" i="29"/>
  <c r="A65" i="30"/>
  <c r="J65" i="26"/>
  <c r="B64" i="25"/>
  <c r="G64" i="29"/>
  <c r="L64" i="29"/>
  <c r="H64" i="29"/>
  <c r="N64" i="29"/>
  <c r="O64" i="29" s="1"/>
  <c r="L64" i="26"/>
  <c r="K64" i="27"/>
  <c r="J64" i="25"/>
  <c r="K63" i="26"/>
  <c r="Q63" i="27"/>
  <c r="A66" i="26"/>
  <c r="A67" i="27"/>
  <c r="J66" i="27"/>
  <c r="B66" i="27"/>
  <c r="A66" i="28"/>
  <c r="B88" i="17"/>
  <c r="N63" i="25"/>
  <c r="O63" i="25" s="1"/>
  <c r="Q62" i="30"/>
  <c r="H61" i="25"/>
  <c r="I86" i="17" s="1"/>
  <c r="G61" i="25"/>
  <c r="H86" i="17" s="1"/>
  <c r="Q61" i="25"/>
  <c r="X65" i="26"/>
  <c r="AD62" i="26"/>
  <c r="Q62" i="26"/>
  <c r="H62" i="26"/>
  <c r="G62" i="26"/>
  <c r="K62" i="25"/>
  <c r="Q62" i="29"/>
  <c r="J65" i="28"/>
  <c r="AC64" i="26"/>
  <c r="B65" i="26"/>
  <c r="N65" i="27"/>
  <c r="L65" i="27"/>
  <c r="B65" i="28"/>
  <c r="O64" i="28" l="1"/>
  <c r="Q64" i="28" s="1"/>
  <c r="G64" i="27"/>
  <c r="H64" i="27"/>
  <c r="O64" i="26"/>
  <c r="O65" i="27"/>
  <c r="Q63" i="30"/>
  <c r="B66" i="26"/>
  <c r="N66" i="27"/>
  <c r="L66" i="27"/>
  <c r="B66" i="28"/>
  <c r="B65" i="30"/>
  <c r="J65" i="30"/>
  <c r="K64" i="26"/>
  <c r="Q64" i="27"/>
  <c r="B89" i="17"/>
  <c r="N64" i="25"/>
  <c r="O64" i="25" s="1"/>
  <c r="J65" i="25"/>
  <c r="N64" i="30"/>
  <c r="O64" i="30" s="1"/>
  <c r="L64" i="30"/>
  <c r="K64" i="30" s="1"/>
  <c r="G64" i="30"/>
  <c r="H64" i="30"/>
  <c r="B65" i="25"/>
  <c r="G65" i="29"/>
  <c r="L65" i="29"/>
  <c r="N65" i="29"/>
  <c r="O65" i="29" s="1"/>
  <c r="H65" i="29"/>
  <c r="J66" i="26"/>
  <c r="A66" i="25"/>
  <c r="B66" i="29"/>
  <c r="J66" i="29"/>
  <c r="A67" i="29"/>
  <c r="A66" i="30"/>
  <c r="L65" i="26"/>
  <c r="K65" i="27"/>
  <c r="A67" i="26"/>
  <c r="A68" i="27"/>
  <c r="J67" i="27"/>
  <c r="B67" i="27"/>
  <c r="A67" i="28"/>
  <c r="H65" i="28"/>
  <c r="G65" i="28"/>
  <c r="N65" i="28"/>
  <c r="L65" i="28"/>
  <c r="K65" i="28" s="1"/>
  <c r="X66" i="26"/>
  <c r="AD63" i="26"/>
  <c r="Q63" i="26"/>
  <c r="G63" i="26"/>
  <c r="H63" i="26"/>
  <c r="L64" i="25"/>
  <c r="K64" i="29"/>
  <c r="K63" i="25"/>
  <c r="Q63" i="29"/>
  <c r="Y65" i="26"/>
  <c r="N65" i="26"/>
  <c r="Q62" i="25"/>
  <c r="H62" i="25"/>
  <c r="I87" i="17" s="1"/>
  <c r="G62" i="25"/>
  <c r="H87" i="17" s="1"/>
  <c r="J66" i="28"/>
  <c r="AC65" i="26"/>
  <c r="O65" i="28" l="1"/>
  <c r="G65" i="27"/>
  <c r="H65" i="27"/>
  <c r="O65" i="26"/>
  <c r="O66" i="27"/>
  <c r="Q65" i="28"/>
  <c r="Q64" i="30"/>
  <c r="X67" i="26"/>
  <c r="H66" i="28"/>
  <c r="G66" i="28"/>
  <c r="N66" i="28"/>
  <c r="O66" i="28" s="1"/>
  <c r="L66" i="28"/>
  <c r="K66" i="28" s="1"/>
  <c r="B66" i="30"/>
  <c r="J66" i="30"/>
  <c r="L65" i="25"/>
  <c r="K65" i="29"/>
  <c r="L66" i="26"/>
  <c r="K66" i="27"/>
  <c r="Q63" i="25"/>
  <c r="H63" i="25"/>
  <c r="I88" i="17" s="1"/>
  <c r="G63" i="25"/>
  <c r="H88" i="17" s="1"/>
  <c r="J67" i="28"/>
  <c r="K65" i="26"/>
  <c r="Q65" i="27"/>
  <c r="A67" i="25"/>
  <c r="J67" i="29"/>
  <c r="A68" i="29"/>
  <c r="B67" i="29"/>
  <c r="A67" i="30"/>
  <c r="B67" i="26"/>
  <c r="N67" i="27"/>
  <c r="L67" i="27"/>
  <c r="B67" i="28"/>
  <c r="J66" i="25"/>
  <c r="AC66" i="26"/>
  <c r="B66" i="25"/>
  <c r="G66" i="29"/>
  <c r="L66" i="29"/>
  <c r="N66" i="29"/>
  <c r="O66" i="29" s="1"/>
  <c r="H66" i="29"/>
  <c r="B90" i="17"/>
  <c r="N65" i="25"/>
  <c r="O65" i="25" s="1"/>
  <c r="K64" i="25"/>
  <c r="Q64" i="29"/>
  <c r="J67" i="26"/>
  <c r="AD64" i="26"/>
  <c r="Q64" i="26"/>
  <c r="H64" i="26"/>
  <c r="G64" i="26"/>
  <c r="N65" i="30"/>
  <c r="O65" i="30" s="1"/>
  <c r="L65" i="30"/>
  <c r="K65" i="30" s="1"/>
  <c r="H65" i="30"/>
  <c r="G65" i="30"/>
  <c r="A68" i="26"/>
  <c r="A69" i="27"/>
  <c r="J68" i="27"/>
  <c r="B68" i="27"/>
  <c r="A68" i="28"/>
  <c r="Y66" i="26"/>
  <c r="N66" i="26"/>
  <c r="G66" i="27" l="1"/>
  <c r="H66" i="27"/>
  <c r="O66" i="26"/>
  <c r="O67" i="27"/>
  <c r="B68" i="26"/>
  <c r="N68" i="27"/>
  <c r="L68" i="27"/>
  <c r="B68" i="28"/>
  <c r="Q64" i="25"/>
  <c r="H64" i="25"/>
  <c r="I89" i="17" s="1"/>
  <c r="G64" i="25"/>
  <c r="H89" i="17" s="1"/>
  <c r="H67" i="28"/>
  <c r="G67" i="28"/>
  <c r="N67" i="28"/>
  <c r="O67" i="28" s="1"/>
  <c r="L67" i="28"/>
  <c r="K67" i="28" s="1"/>
  <c r="AD65" i="26"/>
  <c r="Q65" i="26"/>
  <c r="H65" i="26"/>
  <c r="G65" i="26"/>
  <c r="L67" i="26"/>
  <c r="K67" i="27"/>
  <c r="K66" i="26"/>
  <c r="Q66" i="27"/>
  <c r="N66" i="30"/>
  <c r="O66" i="30" s="1"/>
  <c r="L66" i="30"/>
  <c r="K66" i="30" s="1"/>
  <c r="H66" i="30"/>
  <c r="G66" i="30"/>
  <c r="J68" i="28"/>
  <c r="AC67" i="26"/>
  <c r="B67" i="30"/>
  <c r="J67" i="30"/>
  <c r="L66" i="25"/>
  <c r="K66" i="29"/>
  <c r="B67" i="25"/>
  <c r="G67" i="29"/>
  <c r="L67" i="29"/>
  <c r="N67" i="29"/>
  <c r="O67" i="29" s="1"/>
  <c r="H67" i="29"/>
  <c r="A69" i="26"/>
  <c r="A70" i="27"/>
  <c r="J69" i="27"/>
  <c r="B69" i="27"/>
  <c r="A69" i="28"/>
  <c r="A68" i="25"/>
  <c r="J68" i="29"/>
  <c r="A69" i="29"/>
  <c r="B68" i="29"/>
  <c r="A68" i="30"/>
  <c r="K65" i="25"/>
  <c r="Q65" i="29"/>
  <c r="Q66" i="28"/>
  <c r="X68" i="26"/>
  <c r="J67" i="25"/>
  <c r="J68" i="26"/>
  <c r="B91" i="17"/>
  <c r="N66" i="25"/>
  <c r="O66" i="25" s="1"/>
  <c r="Q65" i="30"/>
  <c r="Y67" i="26"/>
  <c r="N67" i="26"/>
  <c r="O67" i="26" s="1"/>
  <c r="G67" i="27" l="1"/>
  <c r="H67" i="27"/>
  <c r="O68" i="27"/>
  <c r="Q67" i="28"/>
  <c r="Q66" i="30"/>
  <c r="B68" i="30"/>
  <c r="J68" i="30"/>
  <c r="J69" i="28"/>
  <c r="B68" i="25"/>
  <c r="G68" i="29"/>
  <c r="L68" i="29"/>
  <c r="H68" i="29"/>
  <c r="N68" i="29"/>
  <c r="O68" i="29" s="1"/>
  <c r="B69" i="26"/>
  <c r="N69" i="27"/>
  <c r="L69" i="27"/>
  <c r="B69" i="28"/>
  <c r="A69" i="25"/>
  <c r="A70" i="29"/>
  <c r="B69" i="29"/>
  <c r="J69" i="29"/>
  <c r="A69" i="30"/>
  <c r="L67" i="25"/>
  <c r="K67" i="29"/>
  <c r="J68" i="25"/>
  <c r="N67" i="30"/>
  <c r="O67" i="30" s="1"/>
  <c r="L67" i="30"/>
  <c r="K67" i="30" s="1"/>
  <c r="H67" i="30"/>
  <c r="G67" i="30"/>
  <c r="K67" i="26"/>
  <c r="Q67" i="27"/>
  <c r="Y68" i="26"/>
  <c r="N68" i="26"/>
  <c r="O68" i="26" s="1"/>
  <c r="J69" i="26"/>
  <c r="G68" i="28"/>
  <c r="N68" i="28"/>
  <c r="O68" i="28" s="1"/>
  <c r="L68" i="28"/>
  <c r="K68" i="28" s="1"/>
  <c r="H68" i="28"/>
  <c r="AC68" i="26"/>
  <c r="Q65" i="25"/>
  <c r="G65" i="25"/>
  <c r="H90" i="17" s="1"/>
  <c r="H65" i="25"/>
  <c r="I90" i="17" s="1"/>
  <c r="A70" i="26"/>
  <c r="A71" i="27"/>
  <c r="J70" i="27"/>
  <c r="B70" i="27"/>
  <c r="A70" i="28"/>
  <c r="B92" i="17"/>
  <c r="N67" i="25"/>
  <c r="O67" i="25" s="1"/>
  <c r="L68" i="26"/>
  <c r="K68" i="27"/>
  <c r="X69" i="26"/>
  <c r="K66" i="25"/>
  <c r="Q66" i="29"/>
  <c r="AD66" i="26"/>
  <c r="Q66" i="26"/>
  <c r="H66" i="26"/>
  <c r="G66" i="26"/>
  <c r="G68" i="27" l="1"/>
  <c r="H68" i="27"/>
  <c r="O69" i="27"/>
  <c r="Q67" i="30"/>
  <c r="B69" i="25"/>
  <c r="G69" i="29"/>
  <c r="L69" i="29"/>
  <c r="N69" i="29"/>
  <c r="O69" i="29" s="1"/>
  <c r="H69" i="29"/>
  <c r="J70" i="26"/>
  <c r="K67" i="25"/>
  <c r="Q67" i="29"/>
  <c r="A70" i="25"/>
  <c r="B70" i="29"/>
  <c r="J70" i="29"/>
  <c r="A71" i="29"/>
  <c r="A70" i="30"/>
  <c r="B93" i="17"/>
  <c r="N68" i="25"/>
  <c r="O68" i="25" s="1"/>
  <c r="Q66" i="25"/>
  <c r="G66" i="25"/>
  <c r="H91" i="17" s="1"/>
  <c r="H66" i="25"/>
  <c r="I91" i="17" s="1"/>
  <c r="X70" i="26"/>
  <c r="Y69" i="26"/>
  <c r="N69" i="26"/>
  <c r="O69" i="26" s="1"/>
  <c r="L68" i="30"/>
  <c r="K68" i="30" s="1"/>
  <c r="H68" i="30"/>
  <c r="G68" i="30"/>
  <c r="N68" i="30"/>
  <c r="O68" i="30" s="1"/>
  <c r="AD67" i="26"/>
  <c r="H67" i="26"/>
  <c r="G67" i="26"/>
  <c r="Q67" i="26"/>
  <c r="N69" i="28"/>
  <c r="O69" i="28" s="1"/>
  <c r="L69" i="28"/>
  <c r="K69" i="28" s="1"/>
  <c r="H69" i="28"/>
  <c r="G69" i="28"/>
  <c r="K68" i="26"/>
  <c r="Q68" i="27"/>
  <c r="A71" i="26"/>
  <c r="B71" i="27"/>
  <c r="A72" i="27"/>
  <c r="J71" i="27"/>
  <c r="A71" i="28"/>
  <c r="J70" i="28"/>
  <c r="AC69" i="26"/>
  <c r="L69" i="26"/>
  <c r="K69" i="27"/>
  <c r="B70" i="26"/>
  <c r="N70" i="27"/>
  <c r="L70" i="27"/>
  <c r="B70" i="28"/>
  <c r="Q68" i="28"/>
  <c r="J69" i="30"/>
  <c r="B69" i="30"/>
  <c r="J69" i="25"/>
  <c r="L68" i="25"/>
  <c r="K68" i="29"/>
  <c r="O70" i="27" l="1"/>
  <c r="G69" i="27"/>
  <c r="H69" i="27"/>
  <c r="Q69" i="28"/>
  <c r="B71" i="26"/>
  <c r="N71" i="27"/>
  <c r="L71" i="27"/>
  <c r="B71" i="28"/>
  <c r="A71" i="25"/>
  <c r="J71" i="29"/>
  <c r="A72" i="29"/>
  <c r="B71" i="29"/>
  <c r="A71" i="30"/>
  <c r="AC70" i="26"/>
  <c r="J71" i="28"/>
  <c r="J70" i="25"/>
  <c r="AD68" i="26"/>
  <c r="Q68" i="26"/>
  <c r="H68" i="26"/>
  <c r="G68" i="26"/>
  <c r="B70" i="25"/>
  <c r="G70" i="29"/>
  <c r="L70" i="29"/>
  <c r="N70" i="29"/>
  <c r="O70" i="29" s="1"/>
  <c r="H70" i="29"/>
  <c r="G67" i="25"/>
  <c r="H92" i="17" s="1"/>
  <c r="Q67" i="25"/>
  <c r="H67" i="25"/>
  <c r="I92" i="17" s="1"/>
  <c r="B94" i="17"/>
  <c r="N69" i="25"/>
  <c r="O69" i="25" s="1"/>
  <c r="Y70" i="26"/>
  <c r="N70" i="26"/>
  <c r="O70" i="26" s="1"/>
  <c r="H69" i="30"/>
  <c r="G69" i="30"/>
  <c r="N69" i="30"/>
  <c r="O69" i="30" s="1"/>
  <c r="L69" i="30"/>
  <c r="K69" i="30" s="1"/>
  <c r="X71" i="26"/>
  <c r="L70" i="26"/>
  <c r="K70" i="27"/>
  <c r="K68" i="25"/>
  <c r="Q68" i="29"/>
  <c r="N70" i="28"/>
  <c r="O70" i="28" s="1"/>
  <c r="L70" i="28"/>
  <c r="K70" i="28" s="1"/>
  <c r="H70" i="28"/>
  <c r="G70" i="28"/>
  <c r="J71" i="26"/>
  <c r="Q68" i="30"/>
  <c r="J70" i="30"/>
  <c r="B70" i="30"/>
  <c r="L69" i="25"/>
  <c r="K69" i="29"/>
  <c r="K69" i="26"/>
  <c r="Q69" i="27"/>
  <c r="A72" i="26"/>
  <c r="B72" i="27"/>
  <c r="A73" i="27"/>
  <c r="J72" i="27"/>
  <c r="A72" i="28"/>
  <c r="O71" i="27" l="1"/>
  <c r="G70" i="27"/>
  <c r="H70" i="27"/>
  <c r="Q70" i="28"/>
  <c r="J72" i="26"/>
  <c r="L70" i="25"/>
  <c r="K70" i="29"/>
  <c r="L71" i="26"/>
  <c r="K71" i="27"/>
  <c r="B71" i="30"/>
  <c r="J71" i="30"/>
  <c r="B71" i="25"/>
  <c r="G71" i="29"/>
  <c r="L71" i="29"/>
  <c r="N71" i="29"/>
  <c r="O71" i="29" s="1"/>
  <c r="H71" i="29"/>
  <c r="Q68" i="25"/>
  <c r="H68" i="25"/>
  <c r="I93" i="17" s="1"/>
  <c r="G68" i="25"/>
  <c r="H93" i="17" s="1"/>
  <c r="X72" i="26"/>
  <c r="B95" i="17"/>
  <c r="N70" i="25"/>
  <c r="O70" i="25" s="1"/>
  <c r="A72" i="25"/>
  <c r="J72" i="29"/>
  <c r="A73" i="29"/>
  <c r="B72" i="29"/>
  <c r="A72" i="30"/>
  <c r="Y71" i="26"/>
  <c r="N71" i="26"/>
  <c r="O71" i="26" s="1"/>
  <c r="K70" i="26"/>
  <c r="Q70" i="27"/>
  <c r="K69" i="25"/>
  <c r="Q69" i="29"/>
  <c r="J71" i="25"/>
  <c r="N71" i="28"/>
  <c r="O71" i="28" s="1"/>
  <c r="L71" i="28"/>
  <c r="K71" i="28" s="1"/>
  <c r="H71" i="28"/>
  <c r="G71" i="28"/>
  <c r="A73" i="26"/>
  <c r="B73" i="27"/>
  <c r="A74" i="27"/>
  <c r="J73" i="27"/>
  <c r="A73" i="28"/>
  <c r="J72" i="28"/>
  <c r="B72" i="26"/>
  <c r="N72" i="27"/>
  <c r="L72" i="27"/>
  <c r="B72" i="28"/>
  <c r="AC71" i="26"/>
  <c r="AD69" i="26"/>
  <c r="Q69" i="26"/>
  <c r="H69" i="26"/>
  <c r="G69" i="26"/>
  <c r="H70" i="30"/>
  <c r="G70" i="30"/>
  <c r="N70" i="30"/>
  <c r="O70" i="30" s="1"/>
  <c r="L70" i="30"/>
  <c r="K70" i="30" s="1"/>
  <c r="Q69" i="30"/>
  <c r="O72" i="27" l="1"/>
  <c r="G71" i="27"/>
  <c r="H71" i="27"/>
  <c r="Q70" i="30"/>
  <c r="AC72" i="26"/>
  <c r="N72" i="26"/>
  <c r="O72" i="26" s="1"/>
  <c r="Y72" i="26"/>
  <c r="J73" i="26"/>
  <c r="B72" i="30"/>
  <c r="J72" i="30"/>
  <c r="L71" i="25"/>
  <c r="K71" i="29"/>
  <c r="L72" i="28"/>
  <c r="K72" i="28" s="1"/>
  <c r="H72" i="28"/>
  <c r="G72" i="28"/>
  <c r="N72" i="28"/>
  <c r="O72" i="28" s="1"/>
  <c r="A74" i="26"/>
  <c r="B74" i="27"/>
  <c r="A75" i="27"/>
  <c r="J74" i="27"/>
  <c r="A74" i="28"/>
  <c r="Q69" i="25"/>
  <c r="H69" i="25"/>
  <c r="I94" i="17" s="1"/>
  <c r="G69" i="25"/>
  <c r="H94" i="17" s="1"/>
  <c r="AD70" i="26"/>
  <c r="H70" i="26"/>
  <c r="G70" i="26"/>
  <c r="Q70" i="26"/>
  <c r="B72" i="25"/>
  <c r="G72" i="29"/>
  <c r="L72" i="29"/>
  <c r="H72" i="29"/>
  <c r="N72" i="29"/>
  <c r="O72" i="29" s="1"/>
  <c r="B73" i="26"/>
  <c r="N73" i="27"/>
  <c r="L73" i="27"/>
  <c r="B73" i="28"/>
  <c r="A73" i="25"/>
  <c r="A74" i="29"/>
  <c r="B73" i="29"/>
  <c r="J73" i="29"/>
  <c r="A73" i="30"/>
  <c r="H71" i="30"/>
  <c r="G71" i="30"/>
  <c r="N71" i="30"/>
  <c r="O71" i="30" s="1"/>
  <c r="L71" i="30"/>
  <c r="K71" i="30" s="1"/>
  <c r="K70" i="25"/>
  <c r="Q70" i="29"/>
  <c r="X73" i="26"/>
  <c r="J72" i="25"/>
  <c r="B96" i="17"/>
  <c r="N71" i="25"/>
  <c r="O71" i="25" s="1"/>
  <c r="Q71" i="28"/>
  <c r="L72" i="26"/>
  <c r="K72" i="27"/>
  <c r="J73" i="28"/>
  <c r="K71" i="26"/>
  <c r="Q71" i="27"/>
  <c r="O73" i="27" l="1"/>
  <c r="G72" i="27"/>
  <c r="H72" i="27"/>
  <c r="Q72" i="28"/>
  <c r="A74" i="25"/>
  <c r="B74" i="29"/>
  <c r="J74" i="29"/>
  <c r="A75" i="29"/>
  <c r="A74" i="30"/>
  <c r="L73" i="26"/>
  <c r="K73" i="27"/>
  <c r="J74" i="28"/>
  <c r="L72" i="25"/>
  <c r="K72" i="29"/>
  <c r="K71" i="25"/>
  <c r="Q71" i="29"/>
  <c r="Q70" i="25"/>
  <c r="H70" i="25"/>
  <c r="I95" i="17" s="1"/>
  <c r="G70" i="25"/>
  <c r="H95" i="17" s="1"/>
  <c r="Y73" i="26"/>
  <c r="N73" i="26"/>
  <c r="O73" i="26" s="1"/>
  <c r="K72" i="26"/>
  <c r="Q72" i="27"/>
  <c r="Q71" i="30"/>
  <c r="H73" i="28"/>
  <c r="G73" i="28"/>
  <c r="N73" i="28"/>
  <c r="O73" i="28" s="1"/>
  <c r="L73" i="28"/>
  <c r="K73" i="28" s="1"/>
  <c r="J74" i="26"/>
  <c r="B73" i="30"/>
  <c r="J73" i="30"/>
  <c r="B97" i="17"/>
  <c r="N72" i="25"/>
  <c r="O72" i="25" s="1"/>
  <c r="A75" i="26"/>
  <c r="B75" i="27"/>
  <c r="A76" i="27"/>
  <c r="J75" i="27"/>
  <c r="A75" i="28"/>
  <c r="AC73" i="26"/>
  <c r="J73" i="25"/>
  <c r="B74" i="26"/>
  <c r="N74" i="27"/>
  <c r="L74" i="27"/>
  <c r="B74" i="28"/>
  <c r="G72" i="30"/>
  <c r="N72" i="30"/>
  <c r="O72" i="30" s="1"/>
  <c r="L72" i="30"/>
  <c r="K72" i="30" s="1"/>
  <c r="H72" i="30"/>
  <c r="AD71" i="26"/>
  <c r="H71" i="26"/>
  <c r="G71" i="26"/>
  <c r="Q71" i="26"/>
  <c r="B73" i="25"/>
  <c r="G73" i="29"/>
  <c r="L73" i="29"/>
  <c r="N73" i="29"/>
  <c r="O73" i="29" s="1"/>
  <c r="H73" i="29"/>
  <c r="X74" i="26"/>
  <c r="O74" i="27" l="1"/>
  <c r="G73" i="27"/>
  <c r="H73" i="27"/>
  <c r="Q72" i="30"/>
  <c r="A76" i="26"/>
  <c r="B76" i="27"/>
  <c r="A77" i="27"/>
  <c r="J76" i="27"/>
  <c r="A76" i="28"/>
  <c r="Q71" i="25"/>
  <c r="H71" i="25"/>
  <c r="I96" i="17" s="1"/>
  <c r="G71" i="25"/>
  <c r="H96" i="17" s="1"/>
  <c r="J74" i="25"/>
  <c r="AC74" i="26"/>
  <c r="AD72" i="26"/>
  <c r="Q72" i="26"/>
  <c r="H72" i="26"/>
  <c r="G72" i="26"/>
  <c r="B74" i="25"/>
  <c r="G74" i="29"/>
  <c r="L74" i="29"/>
  <c r="N74" i="29"/>
  <c r="O74" i="29" s="1"/>
  <c r="H74" i="29"/>
  <c r="X75" i="26"/>
  <c r="K72" i="25"/>
  <c r="Q72" i="29"/>
  <c r="L74" i="26"/>
  <c r="K74" i="27"/>
  <c r="Q73" i="28"/>
  <c r="K73" i="26"/>
  <c r="Q73" i="27"/>
  <c r="B75" i="26"/>
  <c r="N75" i="27"/>
  <c r="O75" i="27" s="1"/>
  <c r="L75" i="27"/>
  <c r="B75" i="28"/>
  <c r="B98" i="17"/>
  <c r="N73" i="25"/>
  <c r="O73" i="25" s="1"/>
  <c r="J75" i="28"/>
  <c r="N73" i="30"/>
  <c r="O73" i="30" s="1"/>
  <c r="L73" i="30"/>
  <c r="K73" i="30" s="1"/>
  <c r="H73" i="30"/>
  <c r="G73" i="30"/>
  <c r="B74" i="30"/>
  <c r="J74" i="30"/>
  <c r="Y74" i="26"/>
  <c r="N74" i="26"/>
  <c r="O74" i="26" s="1"/>
  <c r="L73" i="25"/>
  <c r="K73" i="29"/>
  <c r="H74" i="28"/>
  <c r="G74" i="28"/>
  <c r="N74" i="28"/>
  <c r="O74" i="28" s="1"/>
  <c r="L74" i="28"/>
  <c r="K74" i="28" s="1"/>
  <c r="J75" i="26"/>
  <c r="A75" i="25"/>
  <c r="J75" i="29"/>
  <c r="A76" i="29"/>
  <c r="B75" i="29"/>
  <c r="A75" i="30"/>
  <c r="G74" i="27" l="1"/>
  <c r="H74" i="27"/>
  <c r="Q73" i="30"/>
  <c r="Q74" i="28"/>
  <c r="L75" i="26"/>
  <c r="K75" i="27"/>
  <c r="K74" i="26"/>
  <c r="Q74" i="27"/>
  <c r="Q72" i="25"/>
  <c r="H72" i="25"/>
  <c r="I97" i="17" s="1"/>
  <c r="G72" i="25"/>
  <c r="H97" i="17" s="1"/>
  <c r="J76" i="26"/>
  <c r="B75" i="30"/>
  <c r="J75" i="30"/>
  <c r="L74" i="25"/>
  <c r="K74" i="29"/>
  <c r="A77" i="26"/>
  <c r="B77" i="27"/>
  <c r="A78" i="27"/>
  <c r="J77" i="27"/>
  <c r="A77" i="28"/>
  <c r="B75" i="25"/>
  <c r="G75" i="29"/>
  <c r="L75" i="29"/>
  <c r="N75" i="29"/>
  <c r="O75" i="29" s="1"/>
  <c r="H75" i="29"/>
  <c r="B76" i="26"/>
  <c r="N76" i="27"/>
  <c r="O76" i="27" s="1"/>
  <c r="L76" i="27"/>
  <c r="B76" i="28"/>
  <c r="N74" i="30"/>
  <c r="O74" i="30" s="1"/>
  <c r="L74" i="30"/>
  <c r="K74" i="30" s="1"/>
  <c r="H74" i="30"/>
  <c r="G74" i="30"/>
  <c r="Y75" i="26"/>
  <c r="N75" i="26"/>
  <c r="O75" i="26" s="1"/>
  <c r="X76" i="26"/>
  <c r="AC75" i="26"/>
  <c r="J75" i="25"/>
  <c r="K73" i="25"/>
  <c r="Q73" i="29"/>
  <c r="H75" i="28"/>
  <c r="G75" i="28"/>
  <c r="N75" i="28"/>
  <c r="O75" i="28" s="1"/>
  <c r="L75" i="28"/>
  <c r="K75" i="28" s="1"/>
  <c r="AD73" i="26"/>
  <c r="Q73" i="26"/>
  <c r="G73" i="26"/>
  <c r="H73" i="26"/>
  <c r="B99" i="17"/>
  <c r="N74" i="25"/>
  <c r="O74" i="25" s="1"/>
  <c r="A76" i="25"/>
  <c r="J76" i="29"/>
  <c r="A77" i="29"/>
  <c r="B76" i="29"/>
  <c r="A76" i="30"/>
  <c r="J76" i="28"/>
  <c r="G75" i="27" l="1"/>
  <c r="H75" i="27"/>
  <c r="Q75" i="28"/>
  <c r="Q74" i="30"/>
  <c r="X77" i="26"/>
  <c r="B100" i="17"/>
  <c r="N75" i="25"/>
  <c r="O75" i="25" s="1"/>
  <c r="AD74" i="26"/>
  <c r="Q74" i="26"/>
  <c r="G74" i="26"/>
  <c r="H74" i="26"/>
  <c r="Y76" i="26"/>
  <c r="N76" i="26"/>
  <c r="O76" i="26" s="1"/>
  <c r="J77" i="28"/>
  <c r="K75" i="26"/>
  <c r="Q75" i="27"/>
  <c r="B76" i="30"/>
  <c r="J76" i="30"/>
  <c r="G76" i="28"/>
  <c r="N76" i="28"/>
  <c r="O76" i="28" s="1"/>
  <c r="L76" i="28"/>
  <c r="K76" i="28" s="1"/>
  <c r="H76" i="28"/>
  <c r="K74" i="25"/>
  <c r="Q74" i="29"/>
  <c r="N75" i="30"/>
  <c r="O75" i="30" s="1"/>
  <c r="L75" i="30"/>
  <c r="K75" i="30" s="1"/>
  <c r="H75" i="30"/>
  <c r="G75" i="30"/>
  <c r="A77" i="25"/>
  <c r="A78" i="29"/>
  <c r="B77" i="29"/>
  <c r="J77" i="29"/>
  <c r="A77" i="30"/>
  <c r="Q73" i="25"/>
  <c r="G73" i="25"/>
  <c r="H98" i="17" s="1"/>
  <c r="H73" i="25"/>
  <c r="I98" i="17" s="1"/>
  <c r="J77" i="26"/>
  <c r="B76" i="25"/>
  <c r="G76" i="29"/>
  <c r="L76" i="29"/>
  <c r="H76" i="29"/>
  <c r="N76" i="29"/>
  <c r="O76" i="29" s="1"/>
  <c r="J76" i="25"/>
  <c r="L75" i="25"/>
  <c r="K75" i="29"/>
  <c r="A78" i="26"/>
  <c r="B78" i="27"/>
  <c r="A79" i="27"/>
  <c r="J78" i="27"/>
  <c r="A78" i="28"/>
  <c r="L76" i="26"/>
  <c r="K76" i="27"/>
  <c r="B77" i="26"/>
  <c r="N77" i="27"/>
  <c r="O77" i="27" s="1"/>
  <c r="L77" i="27"/>
  <c r="B77" i="28"/>
  <c r="AC76" i="26"/>
  <c r="G76" i="27" l="1"/>
  <c r="H76" i="27"/>
  <c r="Q75" i="30"/>
  <c r="Q76" i="28"/>
  <c r="K76" i="26"/>
  <c r="Q76" i="27"/>
  <c r="B78" i="26"/>
  <c r="N78" i="27"/>
  <c r="O78" i="27" s="1"/>
  <c r="L78" i="27"/>
  <c r="B78" i="28"/>
  <c r="AC77" i="26"/>
  <c r="J78" i="26"/>
  <c r="X78" i="26"/>
  <c r="Q74" i="25"/>
  <c r="G74" i="25"/>
  <c r="H99" i="17" s="1"/>
  <c r="H74" i="25"/>
  <c r="I99" i="17" s="1"/>
  <c r="L77" i="26"/>
  <c r="K77" i="27"/>
  <c r="K75" i="25"/>
  <c r="Q75" i="29"/>
  <c r="L76" i="25"/>
  <c r="K76" i="29"/>
  <c r="J78" i="28"/>
  <c r="B77" i="30"/>
  <c r="J77" i="30"/>
  <c r="L76" i="30"/>
  <c r="K76" i="30" s="1"/>
  <c r="H76" i="30"/>
  <c r="G76" i="30"/>
  <c r="N76" i="30"/>
  <c r="O76" i="30" s="1"/>
  <c r="Y77" i="26"/>
  <c r="N77" i="26"/>
  <c r="O77" i="26" s="1"/>
  <c r="B101" i="17"/>
  <c r="N76" i="25"/>
  <c r="O76" i="25" s="1"/>
  <c r="J77" i="25"/>
  <c r="G77" i="28"/>
  <c r="N77" i="28"/>
  <c r="O77" i="28" s="1"/>
  <c r="L77" i="28"/>
  <c r="K77" i="28" s="1"/>
  <c r="H77" i="28"/>
  <c r="B77" i="25"/>
  <c r="G77" i="29"/>
  <c r="L77" i="29"/>
  <c r="N77" i="29"/>
  <c r="O77" i="29" s="1"/>
  <c r="H77" i="29"/>
  <c r="A79" i="26"/>
  <c r="B79" i="27"/>
  <c r="A80" i="27"/>
  <c r="J79" i="27"/>
  <c r="A79" i="28"/>
  <c r="A78" i="25"/>
  <c r="B78" i="29"/>
  <c r="J78" i="29"/>
  <c r="A79" i="29"/>
  <c r="A78" i="30"/>
  <c r="AD75" i="26"/>
  <c r="Q75" i="26"/>
  <c r="H75" i="26"/>
  <c r="G75" i="26"/>
  <c r="G77" i="27" l="1"/>
  <c r="H77" i="27"/>
  <c r="Q76" i="30"/>
  <c r="Q77" i="28"/>
  <c r="B79" i="26"/>
  <c r="N79" i="27"/>
  <c r="O79" i="27" s="1"/>
  <c r="L79" i="27"/>
  <c r="B79" i="28"/>
  <c r="L77" i="25"/>
  <c r="K77" i="29"/>
  <c r="H77" i="30"/>
  <c r="G77" i="30"/>
  <c r="N77" i="30"/>
  <c r="O77" i="30" s="1"/>
  <c r="L77" i="30"/>
  <c r="K77" i="30" s="1"/>
  <c r="L78" i="26"/>
  <c r="K78" i="27"/>
  <c r="J79" i="28"/>
  <c r="B102" i="17"/>
  <c r="N77" i="25"/>
  <c r="O77" i="25" s="1"/>
  <c r="H75" i="25"/>
  <c r="I100" i="17" s="1"/>
  <c r="Q75" i="25"/>
  <c r="G75" i="25"/>
  <c r="H100" i="17" s="1"/>
  <c r="AC78" i="26"/>
  <c r="K77" i="26"/>
  <c r="Q77" i="27"/>
  <c r="X79" i="26"/>
  <c r="J78" i="30"/>
  <c r="B78" i="30"/>
  <c r="A79" i="25"/>
  <c r="J79" i="29"/>
  <c r="A80" i="29"/>
  <c r="B79" i="29"/>
  <c r="A79" i="30"/>
  <c r="K76" i="25"/>
  <c r="Q76" i="29"/>
  <c r="Y78" i="26"/>
  <c r="N78" i="26"/>
  <c r="O78" i="26" s="1"/>
  <c r="AD76" i="26"/>
  <c r="Q76" i="26"/>
  <c r="H76" i="26"/>
  <c r="G76" i="26"/>
  <c r="J78" i="25"/>
  <c r="J79" i="26"/>
  <c r="N78" i="28"/>
  <c r="O78" i="28" s="1"/>
  <c r="H78" i="28"/>
  <c r="G78" i="28"/>
  <c r="L78" i="28"/>
  <c r="K78" i="28" s="1"/>
  <c r="B78" i="25"/>
  <c r="G78" i="29"/>
  <c r="L78" i="29"/>
  <c r="N78" i="29"/>
  <c r="O78" i="29" s="1"/>
  <c r="H78" i="29"/>
  <c r="A80" i="26"/>
  <c r="B80" i="27"/>
  <c r="A81" i="27"/>
  <c r="J80" i="27"/>
  <c r="A80" i="28"/>
  <c r="G78" i="27" l="1"/>
  <c r="H78" i="27"/>
  <c r="Q78" i="28"/>
  <c r="Q77" i="30"/>
  <c r="X80" i="26"/>
  <c r="B79" i="25"/>
  <c r="G79" i="29"/>
  <c r="L79" i="29"/>
  <c r="N79" i="29"/>
  <c r="O79" i="29" s="1"/>
  <c r="H79" i="29"/>
  <c r="L79" i="26"/>
  <c r="K79" i="27"/>
  <c r="A80" i="25"/>
  <c r="J80" i="29"/>
  <c r="A81" i="29"/>
  <c r="B80" i="29"/>
  <c r="A80" i="30"/>
  <c r="J80" i="26"/>
  <c r="A81" i="26"/>
  <c r="B81" i="27"/>
  <c r="A82" i="27"/>
  <c r="J81" i="27"/>
  <c r="A81" i="28"/>
  <c r="J79" i="25"/>
  <c r="AD77" i="26"/>
  <c r="Q77" i="26"/>
  <c r="H77" i="26"/>
  <c r="G77" i="26"/>
  <c r="K78" i="26"/>
  <c r="Q78" i="27"/>
  <c r="K77" i="25"/>
  <c r="Q77" i="29"/>
  <c r="L78" i="25"/>
  <c r="K78" i="29"/>
  <c r="J80" i="28"/>
  <c r="Y79" i="26"/>
  <c r="N79" i="26"/>
  <c r="O79" i="26" s="1"/>
  <c r="AC79" i="26"/>
  <c r="N79" i="28"/>
  <c r="O79" i="28" s="1"/>
  <c r="L79" i="28"/>
  <c r="K79" i="28" s="1"/>
  <c r="H79" i="28"/>
  <c r="G79" i="28"/>
  <c r="Q76" i="25"/>
  <c r="H76" i="25"/>
  <c r="I101" i="17" s="1"/>
  <c r="G76" i="25"/>
  <c r="H101" i="17" s="1"/>
  <c r="H78" i="30"/>
  <c r="G78" i="30"/>
  <c r="N78" i="30"/>
  <c r="O78" i="30" s="1"/>
  <c r="L78" i="30"/>
  <c r="K78" i="30" s="1"/>
  <c r="B80" i="26"/>
  <c r="N80" i="27"/>
  <c r="O80" i="27" s="1"/>
  <c r="L80" i="27"/>
  <c r="B80" i="28"/>
  <c r="B103" i="17"/>
  <c r="N78" i="25"/>
  <c r="O78" i="25" s="1"/>
  <c r="B79" i="30"/>
  <c r="J79" i="30"/>
  <c r="G79" i="27" l="1"/>
  <c r="H79" i="27"/>
  <c r="Q78" i="30"/>
  <c r="Q79" i="28"/>
  <c r="Q77" i="25"/>
  <c r="H77" i="25"/>
  <c r="I102" i="17" s="1"/>
  <c r="G77" i="25"/>
  <c r="H102" i="17" s="1"/>
  <c r="AD78" i="26"/>
  <c r="H78" i="26"/>
  <c r="G78" i="26"/>
  <c r="Q78" i="26"/>
  <c r="A81" i="25"/>
  <c r="A82" i="29"/>
  <c r="B81" i="29"/>
  <c r="J81" i="29"/>
  <c r="A81" i="30"/>
  <c r="K79" i="26"/>
  <c r="Q79" i="27"/>
  <c r="B104" i="17"/>
  <c r="N79" i="25"/>
  <c r="O79" i="25" s="1"/>
  <c r="L80" i="26"/>
  <c r="K80" i="27"/>
  <c r="J81" i="26"/>
  <c r="J80" i="25"/>
  <c r="K78" i="25"/>
  <c r="Q78" i="29"/>
  <c r="A82" i="26"/>
  <c r="B82" i="27"/>
  <c r="A83" i="27"/>
  <c r="J82" i="27"/>
  <c r="A82" i="28"/>
  <c r="H79" i="30"/>
  <c r="G79" i="30"/>
  <c r="N79" i="30"/>
  <c r="O79" i="30" s="1"/>
  <c r="L79" i="30"/>
  <c r="K79" i="30" s="1"/>
  <c r="B81" i="26"/>
  <c r="N81" i="27"/>
  <c r="O81" i="27" s="1"/>
  <c r="L81" i="27"/>
  <c r="B81" i="28"/>
  <c r="Y80" i="26"/>
  <c r="N80" i="26"/>
  <c r="O80" i="26" s="1"/>
  <c r="X81" i="26"/>
  <c r="L79" i="25"/>
  <c r="K79" i="29"/>
  <c r="J81" i="28"/>
  <c r="B80" i="30"/>
  <c r="J80" i="30"/>
  <c r="L80" i="28"/>
  <c r="K80" i="28" s="1"/>
  <c r="H80" i="28"/>
  <c r="G80" i="28"/>
  <c r="N80" i="28"/>
  <c r="O80" i="28" s="1"/>
  <c r="AC80" i="26"/>
  <c r="B80" i="25"/>
  <c r="G80" i="29"/>
  <c r="L80" i="29"/>
  <c r="H80" i="29"/>
  <c r="N80" i="29"/>
  <c r="O80" i="29" s="1"/>
  <c r="G80" i="27" l="1"/>
  <c r="H80" i="27"/>
  <c r="G80" i="30"/>
  <c r="N80" i="30"/>
  <c r="O80" i="30" s="1"/>
  <c r="L80" i="30"/>
  <c r="K80" i="30" s="1"/>
  <c r="H80" i="30"/>
  <c r="Q80" i="28"/>
  <c r="J82" i="26"/>
  <c r="AD79" i="26"/>
  <c r="H79" i="26"/>
  <c r="G79" i="26"/>
  <c r="Q79" i="26"/>
  <c r="K79" i="25"/>
  <c r="Q79" i="29"/>
  <c r="A83" i="26"/>
  <c r="B83" i="27"/>
  <c r="A84" i="27"/>
  <c r="J83" i="27"/>
  <c r="A83" i="28"/>
  <c r="K80" i="26"/>
  <c r="Q80" i="27"/>
  <c r="B82" i="26"/>
  <c r="N82" i="27"/>
  <c r="O82" i="27" s="1"/>
  <c r="L82" i="27"/>
  <c r="B82" i="28"/>
  <c r="Q78" i="25"/>
  <c r="H78" i="25"/>
  <c r="I103" i="17" s="1"/>
  <c r="G78" i="25"/>
  <c r="H103" i="17" s="1"/>
  <c r="Y81" i="26"/>
  <c r="N81" i="26"/>
  <c r="O81" i="26" s="1"/>
  <c r="N81" i="28"/>
  <c r="O81" i="28" s="1"/>
  <c r="L81" i="28"/>
  <c r="K81" i="28" s="1"/>
  <c r="H81" i="28"/>
  <c r="G81" i="28"/>
  <c r="X82" i="26"/>
  <c r="B81" i="30"/>
  <c r="J81" i="30"/>
  <c r="J81" i="25"/>
  <c r="J82" i="28"/>
  <c r="AC81" i="26"/>
  <c r="B81" i="25"/>
  <c r="G81" i="29"/>
  <c r="L81" i="29"/>
  <c r="N81" i="29"/>
  <c r="O81" i="29" s="1"/>
  <c r="H81" i="29"/>
  <c r="L80" i="25"/>
  <c r="K80" i="29"/>
  <c r="Q79" i="30"/>
  <c r="A82" i="25"/>
  <c r="B82" i="29"/>
  <c r="J82" i="29"/>
  <c r="A83" i="29"/>
  <c r="A82" i="30"/>
  <c r="B105" i="17"/>
  <c r="N80" i="25"/>
  <c r="O80" i="25" s="1"/>
  <c r="L81" i="26"/>
  <c r="K81" i="27"/>
  <c r="G81" i="27" l="1"/>
  <c r="H81" i="27"/>
  <c r="Q80" i="30"/>
  <c r="Q81" i="28"/>
  <c r="K81" i="26"/>
  <c r="Q81" i="27"/>
  <c r="H82" i="28"/>
  <c r="N82" i="28"/>
  <c r="O82" i="28" s="1"/>
  <c r="L82" i="28"/>
  <c r="K82" i="28" s="1"/>
  <c r="G82" i="28"/>
  <c r="J83" i="26"/>
  <c r="Q79" i="25"/>
  <c r="H79" i="25"/>
  <c r="I104" i="17" s="1"/>
  <c r="G79" i="25"/>
  <c r="H104" i="17" s="1"/>
  <c r="A84" i="26"/>
  <c r="B84" i="27"/>
  <c r="J84" i="27"/>
  <c r="A85" i="27"/>
  <c r="A84" i="28"/>
  <c r="B83" i="26"/>
  <c r="N83" i="27"/>
  <c r="O83" i="27" s="1"/>
  <c r="L83" i="27"/>
  <c r="B83" i="28"/>
  <c r="J82" i="25"/>
  <c r="B82" i="30"/>
  <c r="J82" i="30"/>
  <c r="L81" i="25"/>
  <c r="K81" i="29"/>
  <c r="AD80" i="26"/>
  <c r="Q80" i="26"/>
  <c r="H80" i="26"/>
  <c r="G80" i="26"/>
  <c r="X83" i="26"/>
  <c r="A83" i="25"/>
  <c r="J83" i="29"/>
  <c r="A84" i="29"/>
  <c r="B83" i="29"/>
  <c r="A83" i="30"/>
  <c r="L82" i="26"/>
  <c r="K82" i="27"/>
  <c r="N81" i="30"/>
  <c r="O81" i="30" s="1"/>
  <c r="L81" i="30"/>
  <c r="K81" i="30" s="1"/>
  <c r="H81" i="30"/>
  <c r="G81" i="30"/>
  <c r="J83" i="28"/>
  <c r="AC82" i="26"/>
  <c r="B82" i="25"/>
  <c r="G82" i="29"/>
  <c r="L82" i="29"/>
  <c r="N82" i="29"/>
  <c r="O82" i="29" s="1"/>
  <c r="H82" i="29"/>
  <c r="K80" i="25"/>
  <c r="Q80" i="29"/>
  <c r="B106" i="17"/>
  <c r="N81" i="25"/>
  <c r="O81" i="25" s="1"/>
  <c r="Y82" i="26"/>
  <c r="N82" i="26"/>
  <c r="O82" i="26" s="1"/>
  <c r="G82" i="27" l="1"/>
  <c r="H82" i="27"/>
  <c r="Q82" i="28"/>
  <c r="J83" i="25"/>
  <c r="J84" i="26"/>
  <c r="K81" i="25"/>
  <c r="Q81" i="29"/>
  <c r="B84" i="26"/>
  <c r="N84" i="27"/>
  <c r="O84" i="27" s="1"/>
  <c r="L84" i="27"/>
  <c r="B84" i="28"/>
  <c r="AD81" i="26"/>
  <c r="Q81" i="26"/>
  <c r="H81" i="26"/>
  <c r="G81" i="26"/>
  <c r="L82" i="25"/>
  <c r="K82" i="29"/>
  <c r="Y83" i="26"/>
  <c r="N83" i="26"/>
  <c r="O83" i="26" s="1"/>
  <c r="H83" i="28"/>
  <c r="G83" i="28"/>
  <c r="L83" i="28"/>
  <c r="K83" i="28" s="1"/>
  <c r="N83" i="28"/>
  <c r="O83" i="28" s="1"/>
  <c r="AC83" i="26"/>
  <c r="X84" i="26"/>
  <c r="B107" i="17"/>
  <c r="N82" i="25"/>
  <c r="O82" i="25" s="1"/>
  <c r="K82" i="26"/>
  <c r="Q82" i="27"/>
  <c r="B83" i="30"/>
  <c r="J83" i="30"/>
  <c r="Q81" i="30"/>
  <c r="B83" i="25"/>
  <c r="G83" i="29"/>
  <c r="L83" i="29"/>
  <c r="N83" i="29"/>
  <c r="O83" i="29" s="1"/>
  <c r="H83" i="29"/>
  <c r="N82" i="30"/>
  <c r="O82" i="30" s="1"/>
  <c r="L82" i="30"/>
  <c r="K82" i="30" s="1"/>
  <c r="H82" i="30"/>
  <c r="G82" i="30"/>
  <c r="J84" i="28"/>
  <c r="Q80" i="25"/>
  <c r="H80" i="25"/>
  <c r="I105" i="17" s="1"/>
  <c r="G80" i="25"/>
  <c r="H105" i="17" s="1"/>
  <c r="A84" i="25"/>
  <c r="J84" i="29"/>
  <c r="A85" i="29"/>
  <c r="B84" i="29"/>
  <c r="A84" i="30"/>
  <c r="L83" i="26"/>
  <c r="K83" i="27"/>
  <c r="A85" i="26"/>
  <c r="J85" i="27"/>
  <c r="A86" i="27"/>
  <c r="B85" i="27"/>
  <c r="A85" i="28"/>
  <c r="G83" i="27" l="1"/>
  <c r="H83" i="27"/>
  <c r="Q83" i="28"/>
  <c r="Q82" i="30"/>
  <c r="A86" i="26"/>
  <c r="B86" i="27"/>
  <c r="J86" i="27"/>
  <c r="A87" i="27"/>
  <c r="A86" i="28"/>
  <c r="B84" i="30"/>
  <c r="J84" i="30"/>
  <c r="G84" i="28"/>
  <c r="N84" i="28"/>
  <c r="O84" i="28" s="1"/>
  <c r="L84" i="28"/>
  <c r="K84" i="28" s="1"/>
  <c r="H84" i="28"/>
  <c r="J85" i="26"/>
  <c r="B108" i="17"/>
  <c r="N83" i="25"/>
  <c r="O83" i="25" s="1"/>
  <c r="X85" i="26"/>
  <c r="J84" i="25"/>
  <c r="N83" i="30"/>
  <c r="O83" i="30" s="1"/>
  <c r="L83" i="30"/>
  <c r="K83" i="30" s="1"/>
  <c r="H83" i="30"/>
  <c r="G83" i="30"/>
  <c r="AD82" i="26"/>
  <c r="Q82" i="26"/>
  <c r="H82" i="26"/>
  <c r="G82" i="26"/>
  <c r="B84" i="25"/>
  <c r="G84" i="29"/>
  <c r="L84" i="29"/>
  <c r="H84" i="29"/>
  <c r="N84" i="29"/>
  <c r="O84" i="29" s="1"/>
  <c r="J85" i="28"/>
  <c r="L84" i="26"/>
  <c r="K84" i="27"/>
  <c r="Y84" i="26"/>
  <c r="N84" i="26"/>
  <c r="O84" i="26" s="1"/>
  <c r="A85" i="25"/>
  <c r="A86" i="29"/>
  <c r="B85" i="29"/>
  <c r="J85" i="29"/>
  <c r="A85" i="30"/>
  <c r="K83" i="26"/>
  <c r="Q83" i="27"/>
  <c r="B85" i="26"/>
  <c r="N85" i="27"/>
  <c r="O85" i="27" s="1"/>
  <c r="L85" i="27"/>
  <c r="B85" i="28"/>
  <c r="K82" i="25"/>
  <c r="Q82" i="29"/>
  <c r="Q81" i="25"/>
  <c r="H81" i="25"/>
  <c r="I106" i="17" s="1"/>
  <c r="G81" i="25"/>
  <c r="H106" i="17" s="1"/>
  <c r="L83" i="25"/>
  <c r="K83" i="29"/>
  <c r="AC84" i="26"/>
  <c r="G84" i="27" l="1"/>
  <c r="H84" i="27"/>
  <c r="Q84" i="28"/>
  <c r="L84" i="25"/>
  <c r="K84" i="29"/>
  <c r="Q82" i="25"/>
  <c r="H82" i="25"/>
  <c r="I107" i="17" s="1"/>
  <c r="G82" i="25"/>
  <c r="H107" i="17" s="1"/>
  <c r="X86" i="26"/>
  <c r="AD83" i="26"/>
  <c r="Q83" i="26"/>
  <c r="G83" i="26"/>
  <c r="H83" i="26"/>
  <c r="J86" i="26"/>
  <c r="L85" i="26"/>
  <c r="K85" i="27"/>
  <c r="B86" i="26"/>
  <c r="N86" i="27"/>
  <c r="O86" i="27" s="1"/>
  <c r="L86" i="27"/>
  <c r="B86" i="28"/>
  <c r="K83" i="25"/>
  <c r="Q83" i="29"/>
  <c r="K84" i="26"/>
  <c r="Q84" i="27"/>
  <c r="B85" i="30"/>
  <c r="J85" i="30"/>
  <c r="B109" i="17"/>
  <c r="N84" i="25"/>
  <c r="O84" i="25" s="1"/>
  <c r="Q83" i="30"/>
  <c r="L84" i="30"/>
  <c r="K84" i="30" s="1"/>
  <c r="H84" i="30"/>
  <c r="G84" i="30"/>
  <c r="N84" i="30"/>
  <c r="O84" i="30" s="1"/>
  <c r="A86" i="25"/>
  <c r="B86" i="29"/>
  <c r="J86" i="29"/>
  <c r="A87" i="29"/>
  <c r="A86" i="30"/>
  <c r="AC85" i="26"/>
  <c r="J86" i="28"/>
  <c r="H85" i="28"/>
  <c r="G85" i="28"/>
  <c r="N85" i="28"/>
  <c r="O85" i="28" s="1"/>
  <c r="L85" i="28"/>
  <c r="K85" i="28" s="1"/>
  <c r="J85" i="25"/>
  <c r="Y85" i="26"/>
  <c r="N85" i="26"/>
  <c r="O85" i="26" s="1"/>
  <c r="B85" i="25"/>
  <c r="G85" i="29"/>
  <c r="L85" i="29"/>
  <c r="N85" i="29"/>
  <c r="O85" i="29" s="1"/>
  <c r="H85" i="29"/>
  <c r="A87" i="26"/>
  <c r="J87" i="27"/>
  <c r="A88" i="27"/>
  <c r="B87" i="27"/>
  <c r="A87" i="28"/>
  <c r="G85" i="27" l="1"/>
  <c r="H85" i="27"/>
  <c r="Q85" i="28"/>
  <c r="J86" i="30"/>
  <c r="B86" i="30"/>
  <c r="H85" i="30"/>
  <c r="G85" i="30"/>
  <c r="N85" i="30"/>
  <c r="O85" i="30" s="1"/>
  <c r="L85" i="30"/>
  <c r="K85" i="30" s="1"/>
  <c r="Q83" i="25"/>
  <c r="H83" i="25"/>
  <c r="I108" i="17" s="1"/>
  <c r="G83" i="25"/>
  <c r="H108" i="17" s="1"/>
  <c r="Y86" i="26"/>
  <c r="N86" i="26"/>
  <c r="O86" i="26" s="1"/>
  <c r="J87" i="28"/>
  <c r="A87" i="25"/>
  <c r="A87" i="30"/>
  <c r="J87" i="29"/>
  <c r="A88" i="29"/>
  <c r="B87" i="29"/>
  <c r="B87" i="26"/>
  <c r="N87" i="27"/>
  <c r="O87" i="27" s="1"/>
  <c r="L87" i="27"/>
  <c r="B87" i="28"/>
  <c r="J86" i="25"/>
  <c r="L85" i="25"/>
  <c r="K85" i="29"/>
  <c r="B86" i="25"/>
  <c r="G86" i="29"/>
  <c r="L86" i="29"/>
  <c r="N86" i="29"/>
  <c r="O86" i="29" s="1"/>
  <c r="H86" i="29"/>
  <c r="AD84" i="26"/>
  <c r="Q84" i="26"/>
  <c r="G84" i="26"/>
  <c r="H84" i="26"/>
  <c r="K85" i="26"/>
  <c r="Q85" i="27"/>
  <c r="B110" i="17"/>
  <c r="N85" i="25"/>
  <c r="O85" i="25" s="1"/>
  <c r="Q84" i="30"/>
  <c r="L86" i="26"/>
  <c r="K86" i="27"/>
  <c r="N86" i="28"/>
  <c r="O86" i="28" s="1"/>
  <c r="L86" i="28"/>
  <c r="K86" i="28" s="1"/>
  <c r="H86" i="28"/>
  <c r="G86" i="28"/>
  <c r="A88" i="26"/>
  <c r="B88" i="27"/>
  <c r="J88" i="27"/>
  <c r="A89" i="27"/>
  <c r="A88" i="28"/>
  <c r="J87" i="26"/>
  <c r="AC86" i="26"/>
  <c r="K84" i="25"/>
  <c r="Q84" i="29"/>
  <c r="X87" i="26"/>
  <c r="G86" i="27" l="1"/>
  <c r="H86" i="27"/>
  <c r="Q85" i="30"/>
  <c r="AD85" i="26"/>
  <c r="G85" i="26"/>
  <c r="Q85" i="26"/>
  <c r="H85" i="26"/>
  <c r="G84" i="25"/>
  <c r="H109" i="17" s="1"/>
  <c r="Q84" i="25"/>
  <c r="H84" i="25"/>
  <c r="I109" i="17" s="1"/>
  <c r="X88" i="26"/>
  <c r="B87" i="30"/>
  <c r="J87" i="30"/>
  <c r="A88" i="25"/>
  <c r="J88" i="29"/>
  <c r="A88" i="30"/>
  <c r="A89" i="29"/>
  <c r="B88" i="29"/>
  <c r="B111" i="17"/>
  <c r="N86" i="25"/>
  <c r="O86" i="25" s="1"/>
  <c r="K86" i="26"/>
  <c r="Q86" i="27"/>
  <c r="J87" i="25"/>
  <c r="J88" i="28"/>
  <c r="K85" i="25"/>
  <c r="Q85" i="29"/>
  <c r="H86" i="30"/>
  <c r="G86" i="30"/>
  <c r="N86" i="30"/>
  <c r="O86" i="30" s="1"/>
  <c r="L86" i="30"/>
  <c r="K86" i="30" s="1"/>
  <c r="AC87" i="26"/>
  <c r="A89" i="26"/>
  <c r="J89" i="27"/>
  <c r="A90" i="27"/>
  <c r="B89" i="27"/>
  <c r="A89" i="28"/>
  <c r="Y87" i="26"/>
  <c r="N87" i="26"/>
  <c r="O87" i="26" s="1"/>
  <c r="L86" i="25"/>
  <c r="K86" i="29"/>
  <c r="J88" i="26"/>
  <c r="N87" i="28"/>
  <c r="O87" i="28" s="1"/>
  <c r="L87" i="28"/>
  <c r="K87" i="28" s="1"/>
  <c r="G87" i="28"/>
  <c r="H87" i="28"/>
  <c r="Q86" i="28"/>
  <c r="B88" i="26"/>
  <c r="N88" i="27"/>
  <c r="O88" i="27" s="1"/>
  <c r="L88" i="27"/>
  <c r="B88" i="28"/>
  <c r="L87" i="26"/>
  <c r="K87" i="27"/>
  <c r="B87" i="25"/>
  <c r="G87" i="29"/>
  <c r="L87" i="29"/>
  <c r="N87" i="29"/>
  <c r="O87" i="29" s="1"/>
  <c r="H87" i="29"/>
  <c r="G87" i="27" l="1"/>
  <c r="H87" i="27"/>
  <c r="Q87" i="28"/>
  <c r="Y88" i="26"/>
  <c r="N88" i="26"/>
  <c r="O88" i="26" s="1"/>
  <c r="X89" i="26"/>
  <c r="L88" i="28"/>
  <c r="K88" i="28" s="1"/>
  <c r="N88" i="28"/>
  <c r="O88" i="28" s="1"/>
  <c r="H88" i="28"/>
  <c r="G88" i="28"/>
  <c r="B88" i="25"/>
  <c r="G88" i="29"/>
  <c r="L88" i="29"/>
  <c r="H88" i="29"/>
  <c r="N88" i="29"/>
  <c r="O88" i="29" s="1"/>
  <c r="J89" i="28"/>
  <c r="AD86" i="26"/>
  <c r="Q86" i="26"/>
  <c r="H86" i="26"/>
  <c r="G86" i="26"/>
  <c r="B89" i="26"/>
  <c r="N89" i="27"/>
  <c r="O89" i="27" s="1"/>
  <c r="L89" i="27"/>
  <c r="B89" i="28"/>
  <c r="J88" i="30"/>
  <c r="B88" i="30"/>
  <c r="N87" i="30"/>
  <c r="O87" i="30" s="1"/>
  <c r="L87" i="30"/>
  <c r="K87" i="30" s="1"/>
  <c r="H87" i="30"/>
  <c r="G87" i="30"/>
  <c r="J89" i="26"/>
  <c r="K87" i="26"/>
  <c r="Q87" i="27"/>
  <c r="AC88" i="26"/>
  <c r="L88" i="26"/>
  <c r="K88" i="27"/>
  <c r="K86" i="25"/>
  <c r="Q86" i="29"/>
  <c r="J88" i="25"/>
  <c r="Q86" i="30"/>
  <c r="B112" i="17"/>
  <c r="N87" i="25"/>
  <c r="O87" i="25" s="1"/>
  <c r="G85" i="25"/>
  <c r="H110" i="17" s="1"/>
  <c r="H85" i="25"/>
  <c r="I110" i="17" s="1"/>
  <c r="Q85" i="25"/>
  <c r="A89" i="25"/>
  <c r="A90" i="29"/>
  <c r="B89" i="29"/>
  <c r="J89" i="29"/>
  <c r="A89" i="30"/>
  <c r="L87" i="25"/>
  <c r="K87" i="29"/>
  <c r="A90" i="26"/>
  <c r="B90" i="27"/>
  <c r="J90" i="27"/>
  <c r="A91" i="27"/>
  <c r="A90" i="28"/>
  <c r="G88" i="27" l="1"/>
  <c r="H88" i="27"/>
  <c r="Q87" i="30"/>
  <c r="Q88" i="28"/>
  <c r="B90" i="26"/>
  <c r="N90" i="27"/>
  <c r="O90" i="27" s="1"/>
  <c r="L90" i="27"/>
  <c r="B90" i="28"/>
  <c r="A90" i="25"/>
  <c r="B90" i="29"/>
  <c r="J90" i="29"/>
  <c r="A90" i="30"/>
  <c r="A91" i="29"/>
  <c r="L89" i="26"/>
  <c r="K89" i="27"/>
  <c r="AC89" i="26"/>
  <c r="Q86" i="25"/>
  <c r="G86" i="25"/>
  <c r="H111" i="17" s="1"/>
  <c r="H86" i="25"/>
  <c r="I111" i="17" s="1"/>
  <c r="X90" i="26"/>
  <c r="K87" i="25"/>
  <c r="Q87" i="29"/>
  <c r="H88" i="30"/>
  <c r="N88" i="30"/>
  <c r="O88" i="30" s="1"/>
  <c r="L88" i="30"/>
  <c r="K88" i="30" s="1"/>
  <c r="G88" i="30"/>
  <c r="L88" i="25"/>
  <c r="K88" i="29"/>
  <c r="J90" i="28"/>
  <c r="B89" i="30"/>
  <c r="J89" i="30"/>
  <c r="A91" i="26"/>
  <c r="J91" i="27"/>
  <c r="A92" i="27"/>
  <c r="B91" i="27"/>
  <c r="A91" i="28"/>
  <c r="J89" i="25"/>
  <c r="K88" i="26"/>
  <c r="Q88" i="27"/>
  <c r="Y89" i="26"/>
  <c r="N89" i="26"/>
  <c r="O89" i="26" s="1"/>
  <c r="B113" i="17"/>
  <c r="N88" i="25"/>
  <c r="O88" i="25" s="1"/>
  <c r="AD87" i="26"/>
  <c r="Q87" i="26"/>
  <c r="H87" i="26"/>
  <c r="G87" i="26"/>
  <c r="J90" i="26"/>
  <c r="B89" i="25"/>
  <c r="G89" i="29"/>
  <c r="L89" i="29"/>
  <c r="N89" i="29"/>
  <c r="O89" i="29" s="1"/>
  <c r="H89" i="29"/>
  <c r="N89" i="28"/>
  <c r="O89" i="28" s="1"/>
  <c r="L89" i="28"/>
  <c r="K89" i="28" s="1"/>
  <c r="H89" i="28"/>
  <c r="G89" i="28"/>
  <c r="G89" i="27" l="1"/>
  <c r="H89" i="27"/>
  <c r="Q89" i="28"/>
  <c r="J91" i="28"/>
  <c r="B91" i="26"/>
  <c r="N91" i="27"/>
  <c r="O91" i="27" s="1"/>
  <c r="L91" i="27"/>
  <c r="B91" i="28"/>
  <c r="H89" i="30"/>
  <c r="G89" i="30"/>
  <c r="N89" i="30"/>
  <c r="O89" i="30" s="1"/>
  <c r="L89" i="30"/>
  <c r="K89" i="30" s="1"/>
  <c r="B90" i="25"/>
  <c r="G90" i="29"/>
  <c r="L90" i="29"/>
  <c r="N90" i="29"/>
  <c r="O90" i="29" s="1"/>
  <c r="H90" i="29"/>
  <c r="Q88" i="30"/>
  <c r="Q87" i="25"/>
  <c r="H87" i="25"/>
  <c r="I112" i="17" s="1"/>
  <c r="G87" i="25"/>
  <c r="H112" i="17" s="1"/>
  <c r="K89" i="26"/>
  <c r="Q89" i="27"/>
  <c r="AD88" i="26"/>
  <c r="Q88" i="26"/>
  <c r="G88" i="26"/>
  <c r="H88" i="26"/>
  <c r="A92" i="26"/>
  <c r="B92" i="27"/>
  <c r="J92" i="27"/>
  <c r="A93" i="27"/>
  <c r="A92" i="28"/>
  <c r="Y90" i="26"/>
  <c r="N90" i="26"/>
  <c r="O90" i="26" s="1"/>
  <c r="B114" i="17"/>
  <c r="N89" i="25"/>
  <c r="O89" i="25" s="1"/>
  <c r="J91" i="26"/>
  <c r="H90" i="28"/>
  <c r="G90" i="28"/>
  <c r="N90" i="28"/>
  <c r="O90" i="28" s="1"/>
  <c r="L90" i="28"/>
  <c r="K90" i="28" s="1"/>
  <c r="L89" i="25"/>
  <c r="K89" i="29"/>
  <c r="A91" i="25"/>
  <c r="J91" i="29"/>
  <c r="A92" i="29"/>
  <c r="A91" i="30"/>
  <c r="B91" i="29"/>
  <c r="X91" i="26"/>
  <c r="B90" i="30"/>
  <c r="J90" i="30"/>
  <c r="AC90" i="26"/>
  <c r="K88" i="25"/>
  <c r="Q88" i="29"/>
  <c r="J90" i="25"/>
  <c r="L90" i="26"/>
  <c r="K90" i="27"/>
  <c r="G90" i="27" l="1"/>
  <c r="H90" i="27"/>
  <c r="Q90" i="28"/>
  <c r="Q89" i="30"/>
  <c r="J91" i="25"/>
  <c r="L91" i="26"/>
  <c r="K91" i="27"/>
  <c r="A92" i="25"/>
  <c r="J92" i="29"/>
  <c r="A93" i="29"/>
  <c r="B92" i="29"/>
  <c r="A92" i="30"/>
  <c r="H91" i="28"/>
  <c r="G91" i="28"/>
  <c r="N91" i="28"/>
  <c r="O91" i="28" s="1"/>
  <c r="L91" i="28"/>
  <c r="K91" i="28" s="1"/>
  <c r="A93" i="26"/>
  <c r="J93" i="27"/>
  <c r="A94" i="27"/>
  <c r="B93" i="27"/>
  <c r="A93" i="28"/>
  <c r="AD89" i="26"/>
  <c r="Q89" i="26"/>
  <c r="H89" i="26"/>
  <c r="G89" i="26"/>
  <c r="K89" i="25"/>
  <c r="Q89" i="29"/>
  <c r="J92" i="26"/>
  <c r="J92" i="28"/>
  <c r="B92" i="26"/>
  <c r="N92" i="27"/>
  <c r="O92" i="27" s="1"/>
  <c r="L92" i="27"/>
  <c r="B92" i="28"/>
  <c r="L90" i="25"/>
  <c r="K90" i="29"/>
  <c r="K90" i="26"/>
  <c r="Q90" i="27"/>
  <c r="G88" i="25"/>
  <c r="H113" i="17" s="1"/>
  <c r="Q88" i="25"/>
  <c r="H88" i="25"/>
  <c r="I113" i="17" s="1"/>
  <c r="G90" i="30"/>
  <c r="L90" i="30"/>
  <c r="K90" i="30" s="1"/>
  <c r="H90" i="30"/>
  <c r="N90" i="30"/>
  <c r="O90" i="30" s="1"/>
  <c r="B91" i="25"/>
  <c r="G91" i="29"/>
  <c r="L91" i="29"/>
  <c r="N91" i="29"/>
  <c r="O91" i="29" s="1"/>
  <c r="H91" i="29"/>
  <c r="AC91" i="26"/>
  <c r="B91" i="30"/>
  <c r="J91" i="30"/>
  <c r="X92" i="26"/>
  <c r="B115" i="17"/>
  <c r="N90" i="25"/>
  <c r="O90" i="25" s="1"/>
  <c r="Y91" i="26"/>
  <c r="N91" i="26"/>
  <c r="O91" i="26" s="1"/>
  <c r="G91" i="27" l="1"/>
  <c r="H91" i="27"/>
  <c r="Q91" i="28"/>
  <c r="Q90" i="30"/>
  <c r="J92" i="25"/>
  <c r="Y92" i="26"/>
  <c r="N92" i="26"/>
  <c r="O92" i="26" s="1"/>
  <c r="J93" i="26"/>
  <c r="H91" i="30"/>
  <c r="G91" i="30"/>
  <c r="L91" i="30"/>
  <c r="K91" i="30" s="1"/>
  <c r="N91" i="30"/>
  <c r="O91" i="30" s="1"/>
  <c r="B116" i="17"/>
  <c r="N91" i="25"/>
  <c r="O91" i="25" s="1"/>
  <c r="G92" i="28"/>
  <c r="H92" i="28"/>
  <c r="N92" i="28"/>
  <c r="O92" i="28" s="1"/>
  <c r="L92" i="28"/>
  <c r="K92" i="28" s="1"/>
  <c r="X93" i="26"/>
  <c r="AC92" i="26"/>
  <c r="J93" i="28"/>
  <c r="AD90" i="26"/>
  <c r="Q90" i="26"/>
  <c r="H90" i="26"/>
  <c r="G90" i="26"/>
  <c r="L92" i="26"/>
  <c r="K92" i="27"/>
  <c r="H89" i="25"/>
  <c r="I114" i="17" s="1"/>
  <c r="Q89" i="25"/>
  <c r="G89" i="25"/>
  <c r="H114" i="17" s="1"/>
  <c r="B93" i="26"/>
  <c r="N93" i="27"/>
  <c r="O93" i="27" s="1"/>
  <c r="L93" i="27"/>
  <c r="B93" i="28"/>
  <c r="J92" i="30"/>
  <c r="B92" i="30"/>
  <c r="B92" i="25"/>
  <c r="G92" i="29"/>
  <c r="L92" i="29"/>
  <c r="H92" i="29"/>
  <c r="N92" i="29"/>
  <c r="O92" i="29" s="1"/>
  <c r="L91" i="25"/>
  <c r="K91" i="29"/>
  <c r="K90" i="25"/>
  <c r="Q90" i="29"/>
  <c r="A94" i="26"/>
  <c r="B94" i="27"/>
  <c r="J94" i="27"/>
  <c r="A95" i="27"/>
  <c r="A94" i="28"/>
  <c r="A93" i="25"/>
  <c r="A94" i="29"/>
  <c r="B93" i="29"/>
  <c r="J93" i="29"/>
  <c r="A93" i="30"/>
  <c r="K91" i="26"/>
  <c r="Q91" i="27"/>
  <c r="G92" i="27" l="1"/>
  <c r="H92" i="27"/>
  <c r="Q92" i="28"/>
  <c r="B93" i="25"/>
  <c r="G93" i="29"/>
  <c r="L93" i="29"/>
  <c r="N93" i="29"/>
  <c r="O93" i="29" s="1"/>
  <c r="H93" i="29"/>
  <c r="B94" i="26"/>
  <c r="N94" i="27"/>
  <c r="O94" i="27" s="1"/>
  <c r="L94" i="27"/>
  <c r="B94" i="28"/>
  <c r="N92" i="30"/>
  <c r="O92" i="30" s="1"/>
  <c r="H92" i="30"/>
  <c r="G92" i="30"/>
  <c r="L92" i="30"/>
  <c r="K92" i="30" s="1"/>
  <c r="AC93" i="26"/>
  <c r="J93" i="25"/>
  <c r="Q91" i="30"/>
  <c r="L92" i="25"/>
  <c r="K92" i="29"/>
  <c r="H90" i="25"/>
  <c r="I115" i="17" s="1"/>
  <c r="G90" i="25"/>
  <c r="H115" i="17" s="1"/>
  <c r="Q90" i="25"/>
  <c r="Y93" i="26"/>
  <c r="N93" i="26"/>
  <c r="O93" i="26" s="1"/>
  <c r="K91" i="25"/>
  <c r="Q91" i="29"/>
  <c r="L93" i="28"/>
  <c r="K93" i="28" s="1"/>
  <c r="H93" i="28"/>
  <c r="G93" i="28"/>
  <c r="N93" i="28"/>
  <c r="O93" i="28" s="1"/>
  <c r="J94" i="28"/>
  <c r="B117" i="17"/>
  <c r="N92" i="25"/>
  <c r="O92" i="25" s="1"/>
  <c r="L93" i="26"/>
  <c r="K93" i="27"/>
  <c r="K92" i="26"/>
  <c r="Q92" i="27"/>
  <c r="J94" i="26"/>
  <c r="A94" i="25"/>
  <c r="B94" i="29"/>
  <c r="J94" i="29"/>
  <c r="A95" i="29"/>
  <c r="A94" i="30"/>
  <c r="AD91" i="26"/>
  <c r="Q91" i="26"/>
  <c r="H91" i="26"/>
  <c r="G91" i="26"/>
  <c r="X94" i="26"/>
  <c r="J93" i="30"/>
  <c r="B93" i="30"/>
  <c r="A95" i="26"/>
  <c r="J95" i="27"/>
  <c r="A96" i="27"/>
  <c r="B95" i="27"/>
  <c r="A95" i="28"/>
  <c r="G93" i="27" l="1"/>
  <c r="H93" i="27"/>
  <c r="Q92" i="30"/>
  <c r="Q93" i="28"/>
  <c r="N93" i="30"/>
  <c r="O93" i="30" s="1"/>
  <c r="L93" i="30"/>
  <c r="K93" i="30" s="1"/>
  <c r="H93" i="30"/>
  <c r="G93" i="30"/>
  <c r="J95" i="28"/>
  <c r="A95" i="25"/>
  <c r="A95" i="30"/>
  <c r="J95" i="29"/>
  <c r="A96" i="29"/>
  <c r="B95" i="29"/>
  <c r="AC94" i="26"/>
  <c r="B118" i="17"/>
  <c r="N93" i="25"/>
  <c r="O93" i="25" s="1"/>
  <c r="B94" i="30"/>
  <c r="J94" i="30"/>
  <c r="B95" i="26"/>
  <c r="N95" i="27"/>
  <c r="O95" i="27" s="1"/>
  <c r="L95" i="27"/>
  <c r="B95" i="28"/>
  <c r="J94" i="25"/>
  <c r="Y94" i="26"/>
  <c r="N94" i="26"/>
  <c r="O94" i="26" s="1"/>
  <c r="B94" i="25"/>
  <c r="G94" i="29"/>
  <c r="L94" i="29"/>
  <c r="N94" i="29"/>
  <c r="O94" i="29" s="1"/>
  <c r="H94" i="29"/>
  <c r="Q91" i="25"/>
  <c r="H91" i="25"/>
  <c r="I116" i="17" s="1"/>
  <c r="G91" i="25"/>
  <c r="H116" i="17" s="1"/>
  <c r="N94" i="28"/>
  <c r="O94" i="28" s="1"/>
  <c r="L94" i="28"/>
  <c r="K94" i="28" s="1"/>
  <c r="H94" i="28"/>
  <c r="G94" i="28"/>
  <c r="A96" i="26"/>
  <c r="B96" i="27"/>
  <c r="J96" i="27"/>
  <c r="A97" i="27"/>
  <c r="A96" i="28"/>
  <c r="J95" i="26"/>
  <c r="AD92" i="26"/>
  <c r="Q92" i="26"/>
  <c r="H92" i="26"/>
  <c r="G92" i="26"/>
  <c r="K92" i="25"/>
  <c r="Q92" i="29"/>
  <c r="K93" i="26"/>
  <c r="Q93" i="27"/>
  <c r="L94" i="26"/>
  <c r="K94" i="27"/>
  <c r="L93" i="25"/>
  <c r="K93" i="29"/>
  <c r="X95" i="26"/>
  <c r="G94" i="27" l="1"/>
  <c r="H94" i="27"/>
  <c r="Q93" i="30"/>
  <c r="B96" i="26"/>
  <c r="N96" i="27"/>
  <c r="O96" i="27" s="1"/>
  <c r="L96" i="27"/>
  <c r="B96" i="28"/>
  <c r="Y95" i="26"/>
  <c r="N95" i="26"/>
  <c r="O95" i="26" s="1"/>
  <c r="B95" i="30"/>
  <c r="J95" i="30"/>
  <c r="N95" i="28"/>
  <c r="O95" i="28" s="1"/>
  <c r="L95" i="28"/>
  <c r="K95" i="28" s="1"/>
  <c r="H95" i="28"/>
  <c r="G95" i="28"/>
  <c r="B119" i="17"/>
  <c r="N94" i="25"/>
  <c r="O94" i="25" s="1"/>
  <c r="L95" i="26"/>
  <c r="K95" i="27"/>
  <c r="X96" i="26"/>
  <c r="AC95" i="26"/>
  <c r="L94" i="30"/>
  <c r="K94" i="30" s="1"/>
  <c r="G94" i="30"/>
  <c r="N94" i="30"/>
  <c r="O94" i="30" s="1"/>
  <c r="H94" i="30"/>
  <c r="K94" i="26"/>
  <c r="Q94" i="27"/>
  <c r="J96" i="28"/>
  <c r="B95" i="25"/>
  <c r="G95" i="29"/>
  <c r="L95" i="29"/>
  <c r="N95" i="29"/>
  <c r="O95" i="29" s="1"/>
  <c r="H95" i="29"/>
  <c r="K93" i="25"/>
  <c r="Q93" i="29"/>
  <c r="A97" i="26"/>
  <c r="J97" i="27"/>
  <c r="A98" i="27"/>
  <c r="B97" i="27"/>
  <c r="A97" i="28"/>
  <c r="Q94" i="28"/>
  <c r="A96" i="25"/>
  <c r="J96" i="29"/>
  <c r="A96" i="30"/>
  <c r="A97" i="29"/>
  <c r="B96" i="29"/>
  <c r="AD93" i="26"/>
  <c r="Q93" i="26"/>
  <c r="H93" i="26"/>
  <c r="G93" i="26"/>
  <c r="Q92" i="25"/>
  <c r="H92" i="25"/>
  <c r="I117" i="17" s="1"/>
  <c r="G92" i="25"/>
  <c r="H117" i="17" s="1"/>
  <c r="J96" i="26"/>
  <c r="L94" i="25"/>
  <c r="K94" i="29"/>
  <c r="J95" i="25"/>
  <c r="G95" i="27" l="1"/>
  <c r="H95" i="27"/>
  <c r="Q94" i="30"/>
  <c r="L95" i="25"/>
  <c r="K95" i="29"/>
  <c r="AD94" i="26"/>
  <c r="Q94" i="26"/>
  <c r="G94" i="26"/>
  <c r="H94" i="26"/>
  <c r="A98" i="26"/>
  <c r="B98" i="27"/>
  <c r="J98" i="27"/>
  <c r="A99" i="27"/>
  <c r="A98" i="28"/>
  <c r="J97" i="26"/>
  <c r="Q93" i="25"/>
  <c r="H93" i="25"/>
  <c r="I118" i="17" s="1"/>
  <c r="G93" i="25"/>
  <c r="H118" i="17" s="1"/>
  <c r="B120" i="17"/>
  <c r="N95" i="25"/>
  <c r="O95" i="25" s="1"/>
  <c r="Y96" i="26"/>
  <c r="N96" i="26"/>
  <c r="O96" i="26" s="1"/>
  <c r="L96" i="26"/>
  <c r="K96" i="27"/>
  <c r="AC96" i="26"/>
  <c r="B96" i="25"/>
  <c r="G96" i="29"/>
  <c r="L96" i="29"/>
  <c r="H96" i="29"/>
  <c r="N96" i="29"/>
  <c r="O96" i="29" s="1"/>
  <c r="X97" i="26"/>
  <c r="L96" i="28"/>
  <c r="K96" i="28" s="1"/>
  <c r="N96" i="28"/>
  <c r="O96" i="28" s="1"/>
  <c r="H96" i="28"/>
  <c r="G96" i="28"/>
  <c r="Q95" i="28"/>
  <c r="J96" i="25"/>
  <c r="K95" i="26"/>
  <c r="Q95" i="27"/>
  <c r="N95" i="30"/>
  <c r="O95" i="30" s="1"/>
  <c r="L95" i="30"/>
  <c r="K95" i="30" s="1"/>
  <c r="G95" i="30"/>
  <c r="H95" i="30"/>
  <c r="B97" i="26"/>
  <c r="N97" i="27"/>
  <c r="O97" i="27" s="1"/>
  <c r="L97" i="27"/>
  <c r="B97" i="28"/>
  <c r="K94" i="25"/>
  <c r="Q94" i="29"/>
  <c r="A97" i="25"/>
  <c r="A98" i="29"/>
  <c r="B97" i="29"/>
  <c r="J97" i="29"/>
  <c r="A97" i="30"/>
  <c r="J96" i="30"/>
  <c r="B96" i="30"/>
  <c r="J97" i="28"/>
  <c r="G96" i="27" l="1"/>
  <c r="H96" i="27"/>
  <c r="G97" i="28"/>
  <c r="N97" i="28"/>
  <c r="O97" i="28" s="1"/>
  <c r="L97" i="28"/>
  <c r="K97" i="28" s="1"/>
  <c r="H97" i="28"/>
  <c r="AD95" i="26"/>
  <c r="G95" i="26"/>
  <c r="Q95" i="26"/>
  <c r="H95" i="26"/>
  <c r="L97" i="26"/>
  <c r="K97" i="27"/>
  <c r="J98" i="28"/>
  <c r="Q96" i="28"/>
  <c r="X98" i="26"/>
  <c r="Q95" i="30"/>
  <c r="L96" i="25"/>
  <c r="K96" i="29"/>
  <c r="AC97" i="26"/>
  <c r="A99" i="26"/>
  <c r="J99" i="27"/>
  <c r="A100" i="27"/>
  <c r="B99" i="27"/>
  <c r="A99" i="28"/>
  <c r="B97" i="30"/>
  <c r="J97" i="30"/>
  <c r="J98" i="26"/>
  <c r="B98" i="26"/>
  <c r="N98" i="27"/>
  <c r="O98" i="27" s="1"/>
  <c r="L98" i="27"/>
  <c r="B98" i="28"/>
  <c r="J97" i="25"/>
  <c r="B97" i="25"/>
  <c r="G97" i="29"/>
  <c r="L97" i="29"/>
  <c r="N97" i="29"/>
  <c r="O97" i="29" s="1"/>
  <c r="H97" i="29"/>
  <c r="B121" i="17"/>
  <c r="N96" i="25"/>
  <c r="O96" i="25" s="1"/>
  <c r="K96" i="26"/>
  <c r="Q96" i="27"/>
  <c r="Y97" i="26"/>
  <c r="N97" i="26"/>
  <c r="O97" i="26" s="1"/>
  <c r="K95" i="25"/>
  <c r="Q95" i="29"/>
  <c r="H96" i="30"/>
  <c r="N96" i="30"/>
  <c r="O96" i="30" s="1"/>
  <c r="L96" i="30"/>
  <c r="K96" i="30" s="1"/>
  <c r="G96" i="30"/>
  <c r="A98" i="25"/>
  <c r="B98" i="29"/>
  <c r="J98" i="29"/>
  <c r="A98" i="30"/>
  <c r="A99" i="29"/>
  <c r="Q94" i="25"/>
  <c r="H94" i="25"/>
  <c r="I119" i="17" s="1"/>
  <c r="G94" i="25"/>
  <c r="H119" i="17" s="1"/>
  <c r="G97" i="27" l="1"/>
  <c r="H97" i="27"/>
  <c r="Q97" i="28"/>
  <c r="J99" i="26"/>
  <c r="B122" i="17"/>
  <c r="N97" i="25"/>
  <c r="O97" i="25" s="1"/>
  <c r="L98" i="26"/>
  <c r="K98" i="27"/>
  <c r="AC98" i="26"/>
  <c r="X99" i="26"/>
  <c r="K96" i="25"/>
  <c r="Q96" i="29"/>
  <c r="A99" i="25"/>
  <c r="J99" i="29"/>
  <c r="A100" i="29"/>
  <c r="A99" i="30"/>
  <c r="B99" i="29"/>
  <c r="Q96" i="30"/>
  <c r="B98" i="30"/>
  <c r="J98" i="30"/>
  <c r="Q95" i="25"/>
  <c r="H95" i="25"/>
  <c r="I120" i="17" s="1"/>
  <c r="G95" i="25"/>
  <c r="H120" i="17" s="1"/>
  <c r="AD96" i="26"/>
  <c r="H96" i="26"/>
  <c r="Q96" i="26"/>
  <c r="G96" i="26"/>
  <c r="J99" i="28"/>
  <c r="K97" i="26"/>
  <c r="Q97" i="27"/>
  <c r="J98" i="25"/>
  <c r="B99" i="26"/>
  <c r="N99" i="27"/>
  <c r="O99" i="27" s="1"/>
  <c r="L99" i="27"/>
  <c r="B99" i="28"/>
  <c r="B98" i="25"/>
  <c r="G98" i="29"/>
  <c r="L98" i="29"/>
  <c r="N98" i="29"/>
  <c r="O98" i="29" s="1"/>
  <c r="H98" i="29"/>
  <c r="Y98" i="26"/>
  <c r="N98" i="26"/>
  <c r="O98" i="26" s="1"/>
  <c r="L97" i="25"/>
  <c r="K97" i="29"/>
  <c r="H98" i="28"/>
  <c r="N98" i="28"/>
  <c r="O98" i="28" s="1"/>
  <c r="L98" i="28"/>
  <c r="K98" i="28" s="1"/>
  <c r="G98" i="28"/>
  <c r="H97" i="30"/>
  <c r="G97" i="30"/>
  <c r="N97" i="30"/>
  <c r="O97" i="30" s="1"/>
  <c r="L97" i="30"/>
  <c r="K97" i="30" s="1"/>
  <c r="A100" i="26"/>
  <c r="B100" i="27"/>
  <c r="J100" i="27"/>
  <c r="A101" i="27"/>
  <c r="A100" i="28"/>
  <c r="G98" i="27" l="1"/>
  <c r="H98" i="27"/>
  <c r="L98" i="25"/>
  <c r="K98" i="29"/>
  <c r="AD97" i="26"/>
  <c r="Q97" i="26"/>
  <c r="H97" i="26"/>
  <c r="G97" i="26"/>
  <c r="G98" i="30"/>
  <c r="L98" i="30"/>
  <c r="K98" i="30" s="1"/>
  <c r="H98" i="30"/>
  <c r="N98" i="30"/>
  <c r="O98" i="30" s="1"/>
  <c r="A100" i="25"/>
  <c r="J100" i="29"/>
  <c r="A101" i="29"/>
  <c r="B100" i="29"/>
  <c r="A100" i="30"/>
  <c r="J99" i="25"/>
  <c r="J100" i="28"/>
  <c r="A101" i="26"/>
  <c r="J101" i="27"/>
  <c r="A102" i="27"/>
  <c r="B101" i="27"/>
  <c r="A101" i="28"/>
  <c r="B123" i="17"/>
  <c r="N98" i="25"/>
  <c r="O98" i="25" s="1"/>
  <c r="AC99" i="26"/>
  <c r="J100" i="26"/>
  <c r="Q97" i="30"/>
  <c r="B100" i="26"/>
  <c r="N100" i="27"/>
  <c r="O100" i="27" s="1"/>
  <c r="L100" i="27"/>
  <c r="B100" i="28"/>
  <c r="H99" i="28"/>
  <c r="G99" i="28"/>
  <c r="N99" i="28"/>
  <c r="O99" i="28" s="1"/>
  <c r="L99" i="28"/>
  <c r="K99" i="28" s="1"/>
  <c r="B99" i="25"/>
  <c r="G99" i="29"/>
  <c r="L99" i="29"/>
  <c r="N99" i="29"/>
  <c r="O99" i="29" s="1"/>
  <c r="H99" i="29"/>
  <c r="H96" i="25"/>
  <c r="I121" i="17" s="1"/>
  <c r="G96" i="25"/>
  <c r="H121" i="17" s="1"/>
  <c r="Q96" i="25"/>
  <c r="Q98" i="28"/>
  <c r="K97" i="25"/>
  <c r="Q97" i="29"/>
  <c r="Y99" i="26"/>
  <c r="N99" i="26"/>
  <c r="O99" i="26" s="1"/>
  <c r="X100" i="26"/>
  <c r="L99" i="26"/>
  <c r="K99" i="27"/>
  <c r="B99" i="30"/>
  <c r="J99" i="30"/>
  <c r="K98" i="26"/>
  <c r="Q98" i="27"/>
  <c r="G99" i="27" l="1"/>
  <c r="H99" i="27"/>
  <c r="Q98" i="30"/>
  <c r="B124" i="17"/>
  <c r="N99" i="25"/>
  <c r="O99" i="25" s="1"/>
  <c r="Y100" i="26"/>
  <c r="N100" i="26"/>
  <c r="O100" i="26" s="1"/>
  <c r="A102" i="26"/>
  <c r="B102" i="27"/>
  <c r="J102" i="27"/>
  <c r="A103" i="27"/>
  <c r="A102" i="28"/>
  <c r="G100" i="28"/>
  <c r="H100" i="28"/>
  <c r="N100" i="28"/>
  <c r="O100" i="28" s="1"/>
  <c r="L100" i="28"/>
  <c r="K100" i="28" s="1"/>
  <c r="J101" i="26"/>
  <c r="Q99" i="28"/>
  <c r="X101" i="26"/>
  <c r="J100" i="30"/>
  <c r="B100" i="30"/>
  <c r="K98" i="25"/>
  <c r="Q98" i="29"/>
  <c r="AD98" i="26"/>
  <c r="Q98" i="26"/>
  <c r="H98" i="26"/>
  <c r="G98" i="26"/>
  <c r="K99" i="26"/>
  <c r="Q99" i="27"/>
  <c r="L100" i="26"/>
  <c r="K100" i="27"/>
  <c r="B100" i="25"/>
  <c r="G100" i="29"/>
  <c r="L100" i="29"/>
  <c r="H100" i="29"/>
  <c r="N100" i="29"/>
  <c r="O100" i="29" s="1"/>
  <c r="H99" i="30"/>
  <c r="G99" i="30"/>
  <c r="N99" i="30"/>
  <c r="O99" i="30" s="1"/>
  <c r="L99" i="30"/>
  <c r="K99" i="30" s="1"/>
  <c r="L99" i="25"/>
  <c r="K99" i="29"/>
  <c r="J101" i="28"/>
  <c r="A101" i="25"/>
  <c r="A102" i="29"/>
  <c r="B101" i="29"/>
  <c r="J101" i="29"/>
  <c r="A101" i="30"/>
  <c r="G97" i="25"/>
  <c r="H122" i="17" s="1"/>
  <c r="H97" i="25"/>
  <c r="I122" i="17" s="1"/>
  <c r="Q97" i="25"/>
  <c r="AC100" i="26"/>
  <c r="B101" i="26"/>
  <c r="N101" i="27"/>
  <c r="O101" i="27" s="1"/>
  <c r="L101" i="27"/>
  <c r="B101" i="28"/>
  <c r="J100" i="25"/>
  <c r="G100" i="27" l="1"/>
  <c r="H100" i="27"/>
  <c r="Q100" i="28"/>
  <c r="AC101" i="26"/>
  <c r="J102" i="28"/>
  <c r="Q99" i="30"/>
  <c r="L100" i="25"/>
  <c r="K100" i="29"/>
  <c r="K100" i="26"/>
  <c r="Q100" i="27"/>
  <c r="A103" i="26"/>
  <c r="J103" i="27"/>
  <c r="A104" i="27"/>
  <c r="B103" i="27"/>
  <c r="A103" i="28"/>
  <c r="AD99" i="26"/>
  <c r="Q99" i="26"/>
  <c r="H99" i="26"/>
  <c r="G99" i="26"/>
  <c r="J102" i="26"/>
  <c r="J101" i="30"/>
  <c r="B101" i="30"/>
  <c r="B102" i="26"/>
  <c r="N102" i="27"/>
  <c r="O102" i="27" s="1"/>
  <c r="L102" i="27"/>
  <c r="B102" i="28"/>
  <c r="N101" i="28"/>
  <c r="O101" i="28" s="1"/>
  <c r="L101" i="28"/>
  <c r="K101" i="28" s="1"/>
  <c r="H101" i="28"/>
  <c r="G101" i="28"/>
  <c r="J101" i="25"/>
  <c r="B125" i="17"/>
  <c r="N100" i="25"/>
  <c r="O100" i="25" s="1"/>
  <c r="Q98" i="25"/>
  <c r="H98" i="25"/>
  <c r="I123" i="17" s="1"/>
  <c r="G98" i="25"/>
  <c r="H123" i="17" s="1"/>
  <c r="L101" i="26"/>
  <c r="K101" i="27"/>
  <c r="B101" i="25"/>
  <c r="G101" i="29"/>
  <c r="L101" i="29"/>
  <c r="N101" i="29"/>
  <c r="O101" i="29" s="1"/>
  <c r="H101" i="29"/>
  <c r="K99" i="25"/>
  <c r="Q99" i="29"/>
  <c r="N100" i="30"/>
  <c r="O100" i="30" s="1"/>
  <c r="H100" i="30"/>
  <c r="G100" i="30"/>
  <c r="L100" i="30"/>
  <c r="K100" i="30" s="1"/>
  <c r="Y101" i="26"/>
  <c r="N101" i="26"/>
  <c r="O101" i="26" s="1"/>
  <c r="A102" i="25"/>
  <c r="B102" i="29"/>
  <c r="J102" i="29"/>
  <c r="A103" i="29"/>
  <c r="A102" i="30"/>
  <c r="X102" i="26"/>
  <c r="G101" i="27" l="1"/>
  <c r="H101" i="27"/>
  <c r="Q101" i="28"/>
  <c r="Q100" i="30"/>
  <c r="L101" i="25"/>
  <c r="K101" i="29"/>
  <c r="A103" i="25"/>
  <c r="A103" i="30"/>
  <c r="J103" i="29"/>
  <c r="A104" i="29"/>
  <c r="B103" i="29"/>
  <c r="Y102" i="26"/>
  <c r="N102" i="26"/>
  <c r="O102" i="26" s="1"/>
  <c r="X103" i="26"/>
  <c r="J102" i="25"/>
  <c r="B102" i="25"/>
  <c r="G102" i="29"/>
  <c r="L102" i="29"/>
  <c r="N102" i="29"/>
  <c r="O102" i="29" s="1"/>
  <c r="H102" i="29"/>
  <c r="N102" i="28"/>
  <c r="O102" i="28" s="1"/>
  <c r="H102" i="28"/>
  <c r="G102" i="28"/>
  <c r="L102" i="28"/>
  <c r="K102" i="28" s="1"/>
  <c r="AD100" i="26"/>
  <c r="Q100" i="26"/>
  <c r="H100" i="26"/>
  <c r="G100" i="26"/>
  <c r="B126" i="17"/>
  <c r="N101" i="25"/>
  <c r="O101" i="25" s="1"/>
  <c r="J103" i="28"/>
  <c r="K100" i="25"/>
  <c r="Q100" i="29"/>
  <c r="K101" i="26"/>
  <c r="Q101" i="27"/>
  <c r="B103" i="26"/>
  <c r="N103" i="27"/>
  <c r="O103" i="27" s="1"/>
  <c r="L103" i="27"/>
  <c r="B103" i="28"/>
  <c r="L102" i="26"/>
  <c r="K102" i="27"/>
  <c r="AC102" i="26"/>
  <c r="Q99" i="25"/>
  <c r="H99" i="25"/>
  <c r="I124" i="17" s="1"/>
  <c r="G99" i="25"/>
  <c r="H124" i="17" s="1"/>
  <c r="N101" i="30"/>
  <c r="O101" i="30" s="1"/>
  <c r="L101" i="30"/>
  <c r="K101" i="30" s="1"/>
  <c r="H101" i="30"/>
  <c r="G101" i="30"/>
  <c r="A104" i="26"/>
  <c r="B104" i="27"/>
  <c r="J104" i="27"/>
  <c r="A105" i="27"/>
  <c r="A104" i="28"/>
  <c r="B102" i="30"/>
  <c r="J102" i="30"/>
  <c r="J103" i="26"/>
  <c r="G102" i="27" l="1"/>
  <c r="H102" i="27"/>
  <c r="Q101" i="30"/>
  <c r="Q102" i="28"/>
  <c r="AC103" i="26"/>
  <c r="B127" i="17"/>
  <c r="N102" i="25"/>
  <c r="O102" i="25" s="1"/>
  <c r="B103" i="25"/>
  <c r="G103" i="29"/>
  <c r="L103" i="29"/>
  <c r="N103" i="29"/>
  <c r="O103" i="29" s="1"/>
  <c r="H103" i="29"/>
  <c r="L102" i="30"/>
  <c r="K102" i="30" s="1"/>
  <c r="G102" i="30"/>
  <c r="N102" i="30"/>
  <c r="O102" i="30" s="1"/>
  <c r="H102" i="30"/>
  <c r="X104" i="26"/>
  <c r="H100" i="25"/>
  <c r="I125" i="17" s="1"/>
  <c r="G100" i="25"/>
  <c r="H125" i="17" s="1"/>
  <c r="Q100" i="25"/>
  <c r="A104" i="25"/>
  <c r="J104" i="29"/>
  <c r="A104" i="30"/>
  <c r="A105" i="29"/>
  <c r="B104" i="29"/>
  <c r="A105" i="26"/>
  <c r="J105" i="27"/>
  <c r="A106" i="27"/>
  <c r="B105" i="27"/>
  <c r="A105" i="28"/>
  <c r="K102" i="26"/>
  <c r="Q102" i="27"/>
  <c r="J103" i="25"/>
  <c r="J104" i="28"/>
  <c r="B103" i="30"/>
  <c r="J103" i="30"/>
  <c r="K101" i="25"/>
  <c r="Q101" i="29"/>
  <c r="Y103" i="26"/>
  <c r="N103" i="26"/>
  <c r="O103" i="26" s="1"/>
  <c r="AD101" i="26"/>
  <c r="Q101" i="26"/>
  <c r="G101" i="26"/>
  <c r="H101" i="26"/>
  <c r="J104" i="26"/>
  <c r="N103" i="28"/>
  <c r="O103" i="28" s="1"/>
  <c r="L103" i="28"/>
  <c r="K103" i="28" s="1"/>
  <c r="H103" i="28"/>
  <c r="G103" i="28"/>
  <c r="L102" i="25"/>
  <c r="K102" i="29"/>
  <c r="B104" i="26"/>
  <c r="N104" i="27"/>
  <c r="O104" i="27" s="1"/>
  <c r="L104" i="27"/>
  <c r="B104" i="28"/>
  <c r="L103" i="26"/>
  <c r="K103" i="27"/>
  <c r="G103" i="27" l="1"/>
  <c r="H103" i="27"/>
  <c r="Q102" i="30"/>
  <c r="Q103" i="28"/>
  <c r="J105" i="28"/>
  <c r="B105" i="26"/>
  <c r="N105" i="27"/>
  <c r="O105" i="27" s="1"/>
  <c r="L105" i="27"/>
  <c r="B105" i="28"/>
  <c r="AD102" i="26"/>
  <c r="Q102" i="26"/>
  <c r="H102" i="26"/>
  <c r="G102" i="26"/>
  <c r="L104" i="26"/>
  <c r="K104" i="27"/>
  <c r="L103" i="25"/>
  <c r="K103" i="29"/>
  <c r="L104" i="28"/>
  <c r="K104" i="28" s="1"/>
  <c r="N104" i="28"/>
  <c r="O104" i="28" s="1"/>
  <c r="H104" i="28"/>
  <c r="G104" i="28"/>
  <c r="Q101" i="25"/>
  <c r="H101" i="25"/>
  <c r="I126" i="17" s="1"/>
  <c r="G101" i="25"/>
  <c r="H126" i="17" s="1"/>
  <c r="N103" i="30"/>
  <c r="O103" i="30" s="1"/>
  <c r="L103" i="30"/>
  <c r="K103" i="30" s="1"/>
  <c r="H103" i="30"/>
  <c r="G103" i="30"/>
  <c r="A106" i="26"/>
  <c r="B106" i="27"/>
  <c r="J106" i="27"/>
  <c r="A107" i="27"/>
  <c r="A106" i="28"/>
  <c r="B104" i="25"/>
  <c r="G104" i="29"/>
  <c r="L104" i="29"/>
  <c r="H104" i="29"/>
  <c r="N104" i="29"/>
  <c r="O104" i="29" s="1"/>
  <c r="J105" i="26"/>
  <c r="A105" i="25"/>
  <c r="A106" i="29"/>
  <c r="B105" i="29"/>
  <c r="J105" i="29"/>
  <c r="A105" i="30"/>
  <c r="K103" i="26"/>
  <c r="Q103" i="27"/>
  <c r="K102" i="25"/>
  <c r="Q102" i="29"/>
  <c r="J104" i="30"/>
  <c r="B104" i="30"/>
  <c r="B128" i="17"/>
  <c r="N103" i="25"/>
  <c r="O103" i="25" s="1"/>
  <c r="N104" i="26"/>
  <c r="O104" i="26" s="1"/>
  <c r="Y104" i="26"/>
  <c r="AC104" i="26"/>
  <c r="X105" i="26"/>
  <c r="J104" i="25"/>
  <c r="G104" i="27" l="1"/>
  <c r="H104" i="27"/>
  <c r="Q103" i="30"/>
  <c r="Q104" i="28"/>
  <c r="Y105" i="26"/>
  <c r="N105" i="26"/>
  <c r="O105" i="26" s="1"/>
  <c r="X106" i="26"/>
  <c r="K103" i="25"/>
  <c r="Q103" i="29"/>
  <c r="L105" i="28"/>
  <c r="K105" i="28" s="1"/>
  <c r="H105" i="28"/>
  <c r="G105" i="28"/>
  <c r="N105" i="28"/>
  <c r="O105" i="28" s="1"/>
  <c r="B105" i="30"/>
  <c r="J105" i="30"/>
  <c r="B129" i="17"/>
  <c r="N104" i="25"/>
  <c r="O104" i="25" s="1"/>
  <c r="L105" i="26"/>
  <c r="K105" i="27"/>
  <c r="J105" i="25"/>
  <c r="AC105" i="26"/>
  <c r="J106" i="28"/>
  <c r="K104" i="26"/>
  <c r="Q104" i="27"/>
  <c r="Q102" i="25"/>
  <c r="H102" i="25"/>
  <c r="I127" i="17" s="1"/>
  <c r="G102" i="25"/>
  <c r="H127" i="17" s="1"/>
  <c r="AD103" i="26"/>
  <c r="H103" i="26"/>
  <c r="G103" i="26"/>
  <c r="Q103" i="26"/>
  <c r="B105" i="25"/>
  <c r="G105" i="29"/>
  <c r="L105" i="29"/>
  <c r="N105" i="29"/>
  <c r="O105" i="29" s="1"/>
  <c r="H105" i="29"/>
  <c r="A107" i="26"/>
  <c r="J107" i="27"/>
  <c r="A108" i="27"/>
  <c r="B107" i="27"/>
  <c r="A107" i="28"/>
  <c r="H104" i="30"/>
  <c r="N104" i="30"/>
  <c r="O104" i="30" s="1"/>
  <c r="L104" i="30"/>
  <c r="K104" i="30" s="1"/>
  <c r="G104" i="30"/>
  <c r="A106" i="25"/>
  <c r="B106" i="29"/>
  <c r="J106" i="29"/>
  <c r="A106" i="30"/>
  <c r="A107" i="29"/>
  <c r="J106" i="26"/>
  <c r="B106" i="26"/>
  <c r="N106" i="27"/>
  <c r="O106" i="27" s="1"/>
  <c r="L106" i="27"/>
  <c r="B106" i="28"/>
  <c r="L104" i="25"/>
  <c r="K104" i="29"/>
  <c r="G105" i="27" l="1"/>
  <c r="H105" i="27"/>
  <c r="Q105" i="28"/>
  <c r="Q104" i="30"/>
  <c r="A107" i="25"/>
  <c r="J107" i="29"/>
  <c r="A107" i="30"/>
  <c r="B107" i="29"/>
  <c r="A108" i="29"/>
  <c r="B106" i="30"/>
  <c r="J106" i="30"/>
  <c r="J107" i="28"/>
  <c r="Q103" i="25"/>
  <c r="H103" i="25"/>
  <c r="I128" i="17" s="1"/>
  <c r="G103" i="25"/>
  <c r="H128" i="17" s="1"/>
  <c r="Y106" i="26"/>
  <c r="N106" i="26"/>
  <c r="O106" i="26" s="1"/>
  <c r="J106" i="25"/>
  <c r="B107" i="26"/>
  <c r="N107" i="27"/>
  <c r="O107" i="27" s="1"/>
  <c r="L107" i="27"/>
  <c r="B107" i="28"/>
  <c r="K105" i="26"/>
  <c r="Q105" i="27"/>
  <c r="H106" i="28"/>
  <c r="N106" i="28"/>
  <c r="O106" i="28" s="1"/>
  <c r="L106" i="28"/>
  <c r="K106" i="28" s="1"/>
  <c r="G106" i="28"/>
  <c r="B106" i="25"/>
  <c r="G106" i="29"/>
  <c r="L106" i="29"/>
  <c r="N106" i="29"/>
  <c r="O106" i="29" s="1"/>
  <c r="H106" i="29"/>
  <c r="L105" i="25"/>
  <c r="K105" i="29"/>
  <c r="K104" i="25"/>
  <c r="Q104" i="29"/>
  <c r="AC106" i="26"/>
  <c r="A108" i="26"/>
  <c r="B108" i="27"/>
  <c r="J108" i="27"/>
  <c r="A109" i="27"/>
  <c r="A108" i="28"/>
  <c r="AD104" i="26"/>
  <c r="Q104" i="26"/>
  <c r="G104" i="26"/>
  <c r="H104" i="26"/>
  <c r="J107" i="26"/>
  <c r="H105" i="30"/>
  <c r="G105" i="30"/>
  <c r="N105" i="30"/>
  <c r="O105" i="30" s="1"/>
  <c r="L105" i="30"/>
  <c r="K105" i="30" s="1"/>
  <c r="L106" i="26"/>
  <c r="K106" i="27"/>
  <c r="B130" i="17"/>
  <c r="N105" i="25"/>
  <c r="O105" i="25" s="1"/>
  <c r="X107" i="26"/>
  <c r="G106" i="27" l="1"/>
  <c r="H106" i="27"/>
  <c r="Q106" i="28"/>
  <c r="Q105" i="30"/>
  <c r="X108" i="26"/>
  <c r="B107" i="30"/>
  <c r="J107" i="30"/>
  <c r="J107" i="25"/>
  <c r="AC107" i="26"/>
  <c r="K106" i="26"/>
  <c r="Q106" i="27"/>
  <c r="J108" i="28"/>
  <c r="A109" i="26"/>
  <c r="J109" i="27"/>
  <c r="A110" i="27"/>
  <c r="B109" i="27"/>
  <c r="A109" i="28"/>
  <c r="Q104" i="25"/>
  <c r="G104" i="25"/>
  <c r="H129" i="17" s="1"/>
  <c r="H104" i="25"/>
  <c r="I129" i="17" s="1"/>
  <c r="J108" i="26"/>
  <c r="L106" i="25"/>
  <c r="K106" i="29"/>
  <c r="AD105" i="26"/>
  <c r="Q105" i="26"/>
  <c r="H105" i="26"/>
  <c r="G105" i="26"/>
  <c r="G106" i="30"/>
  <c r="L106" i="30"/>
  <c r="K106" i="30" s="1"/>
  <c r="H106" i="30"/>
  <c r="N106" i="30"/>
  <c r="O106" i="30" s="1"/>
  <c r="B108" i="26"/>
  <c r="N108" i="27"/>
  <c r="O108" i="27" s="1"/>
  <c r="L108" i="27"/>
  <c r="B108" i="28"/>
  <c r="Y107" i="26"/>
  <c r="N107" i="26"/>
  <c r="O107" i="26" s="1"/>
  <c r="H107" i="28"/>
  <c r="G107" i="28"/>
  <c r="N107" i="28"/>
  <c r="O107" i="28" s="1"/>
  <c r="L107" i="28"/>
  <c r="K107" i="28" s="1"/>
  <c r="A108" i="25"/>
  <c r="J108" i="29"/>
  <c r="A108" i="30"/>
  <c r="B108" i="29"/>
  <c r="A109" i="29"/>
  <c r="K105" i="25"/>
  <c r="Q105" i="29"/>
  <c r="B131" i="17"/>
  <c r="N106" i="25"/>
  <c r="O106" i="25" s="1"/>
  <c r="L107" i="26"/>
  <c r="K107" i="27"/>
  <c r="B107" i="25"/>
  <c r="H107" i="29"/>
  <c r="G107" i="29"/>
  <c r="L107" i="29"/>
  <c r="N107" i="29"/>
  <c r="O107" i="29" s="1"/>
  <c r="G107" i="27" l="1"/>
  <c r="H107" i="27"/>
  <c r="Q106" i="30"/>
  <c r="Q107" i="28"/>
  <c r="Y108" i="26"/>
  <c r="N108" i="26"/>
  <c r="O108" i="26" s="1"/>
  <c r="AD106" i="26"/>
  <c r="H106" i="26"/>
  <c r="Q106" i="26"/>
  <c r="G106" i="26"/>
  <c r="A109" i="25"/>
  <c r="A110" i="29"/>
  <c r="J109" i="29"/>
  <c r="B109" i="29"/>
  <c r="A109" i="30"/>
  <c r="G108" i="28"/>
  <c r="N108" i="28"/>
  <c r="O108" i="28" s="1"/>
  <c r="L108" i="28"/>
  <c r="K108" i="28" s="1"/>
  <c r="H108" i="28"/>
  <c r="J109" i="28"/>
  <c r="B108" i="25"/>
  <c r="H108" i="29"/>
  <c r="G108" i="29"/>
  <c r="L108" i="29"/>
  <c r="N108" i="29"/>
  <c r="O108" i="29" s="1"/>
  <c r="B109" i="26"/>
  <c r="N109" i="27"/>
  <c r="O109" i="27" s="1"/>
  <c r="L109" i="27"/>
  <c r="B109" i="28"/>
  <c r="L107" i="25"/>
  <c r="K107" i="29"/>
  <c r="J108" i="30"/>
  <c r="B108" i="30"/>
  <c r="AC108" i="26"/>
  <c r="B132" i="17"/>
  <c r="N107" i="25"/>
  <c r="O107" i="25" s="1"/>
  <c r="K107" i="26"/>
  <c r="Q107" i="27"/>
  <c r="J108" i="25"/>
  <c r="L108" i="26"/>
  <c r="K108" i="27"/>
  <c r="A110" i="26"/>
  <c r="B110" i="27"/>
  <c r="J110" i="27"/>
  <c r="A111" i="27"/>
  <c r="A110" i="28"/>
  <c r="J109" i="26"/>
  <c r="H107" i="30"/>
  <c r="G107" i="30"/>
  <c r="N107" i="30"/>
  <c r="O107" i="30" s="1"/>
  <c r="L107" i="30"/>
  <c r="K107" i="30" s="1"/>
  <c r="Q105" i="25"/>
  <c r="G105" i="25"/>
  <c r="H130" i="17" s="1"/>
  <c r="H105" i="25"/>
  <c r="I130" i="17" s="1"/>
  <c r="K106" i="25"/>
  <c r="Q106" i="29"/>
  <c r="X109" i="26"/>
  <c r="G108" i="27" l="1"/>
  <c r="H108" i="27"/>
  <c r="Q108" i="28"/>
  <c r="Q107" i="30"/>
  <c r="A111" i="26"/>
  <c r="J111" i="27"/>
  <c r="A112" i="27"/>
  <c r="B111" i="27"/>
  <c r="A111" i="28"/>
  <c r="J110" i="26"/>
  <c r="Y109" i="26"/>
  <c r="N109" i="26"/>
  <c r="O109" i="26" s="1"/>
  <c r="B109" i="25"/>
  <c r="H109" i="29"/>
  <c r="G109" i="29"/>
  <c r="N109" i="29"/>
  <c r="O109" i="29" s="1"/>
  <c r="L109" i="29"/>
  <c r="J109" i="30"/>
  <c r="B109" i="30"/>
  <c r="B110" i="26"/>
  <c r="N110" i="27"/>
  <c r="O110" i="27" s="1"/>
  <c r="L110" i="27"/>
  <c r="B110" i="28"/>
  <c r="AD107" i="26"/>
  <c r="H107" i="26"/>
  <c r="G107" i="26"/>
  <c r="Q107" i="26"/>
  <c r="G109" i="28"/>
  <c r="N109" i="28"/>
  <c r="O109" i="28" s="1"/>
  <c r="L109" i="28"/>
  <c r="K109" i="28" s="1"/>
  <c r="H109" i="28"/>
  <c r="J109" i="25"/>
  <c r="J110" i="28"/>
  <c r="Q106" i="25"/>
  <c r="H106" i="25"/>
  <c r="I131" i="17" s="1"/>
  <c r="G106" i="25"/>
  <c r="H131" i="17" s="1"/>
  <c r="AC109" i="26"/>
  <c r="N108" i="30"/>
  <c r="O108" i="30" s="1"/>
  <c r="H108" i="30"/>
  <c r="G108" i="30"/>
  <c r="L108" i="30"/>
  <c r="K108" i="30" s="1"/>
  <c r="B133" i="17"/>
  <c r="N108" i="25"/>
  <c r="O108" i="25" s="1"/>
  <c r="L109" i="26"/>
  <c r="K109" i="27"/>
  <c r="A110" i="25"/>
  <c r="A111" i="29"/>
  <c r="J110" i="29"/>
  <c r="B110" i="29"/>
  <c r="A110" i="30"/>
  <c r="L108" i="25"/>
  <c r="K108" i="29"/>
  <c r="X110" i="26"/>
  <c r="K107" i="25"/>
  <c r="Q107" i="29"/>
  <c r="K108" i="26"/>
  <c r="Q108" i="27"/>
  <c r="G109" i="27" l="1"/>
  <c r="H109" i="27"/>
  <c r="Q109" i="28"/>
  <c r="Q108" i="30"/>
  <c r="B110" i="30"/>
  <c r="J110" i="30"/>
  <c r="K109" i="26"/>
  <c r="Q109" i="27"/>
  <c r="B134" i="17"/>
  <c r="N109" i="25"/>
  <c r="O109" i="25" s="1"/>
  <c r="B111" i="26"/>
  <c r="N111" i="27"/>
  <c r="O111" i="27" s="1"/>
  <c r="L111" i="27"/>
  <c r="B111" i="28"/>
  <c r="B110" i="25"/>
  <c r="H110" i="29"/>
  <c r="G110" i="29"/>
  <c r="N110" i="29"/>
  <c r="O110" i="29" s="1"/>
  <c r="L110" i="29"/>
  <c r="J111" i="28"/>
  <c r="J110" i="25"/>
  <c r="Y110" i="26"/>
  <c r="N110" i="26"/>
  <c r="O110" i="26" s="1"/>
  <c r="A112" i="26"/>
  <c r="B112" i="27"/>
  <c r="J112" i="27"/>
  <c r="A113" i="27"/>
  <c r="A112" i="28"/>
  <c r="K108" i="25"/>
  <c r="Q108" i="29"/>
  <c r="A111" i="25"/>
  <c r="B111" i="29"/>
  <c r="A111" i="30"/>
  <c r="A112" i="29"/>
  <c r="J111" i="29"/>
  <c r="N110" i="28"/>
  <c r="O110" i="28" s="1"/>
  <c r="H110" i="28"/>
  <c r="G110" i="28"/>
  <c r="L110" i="28"/>
  <c r="K110" i="28" s="1"/>
  <c r="L109" i="25"/>
  <c r="K109" i="29"/>
  <c r="J111" i="26"/>
  <c r="N109" i="30"/>
  <c r="O109" i="30" s="1"/>
  <c r="L109" i="30"/>
  <c r="K109" i="30" s="1"/>
  <c r="H109" i="30"/>
  <c r="G109" i="30"/>
  <c r="AD108" i="26"/>
  <c r="Q108" i="26"/>
  <c r="G108" i="26"/>
  <c r="H108" i="26"/>
  <c r="Q107" i="25"/>
  <c r="G107" i="25"/>
  <c r="H132" i="17" s="1"/>
  <c r="H107" i="25"/>
  <c r="I132" i="17" s="1"/>
  <c r="AC110" i="26"/>
  <c r="X111" i="26"/>
  <c r="L110" i="26"/>
  <c r="K110" i="27"/>
  <c r="G110" i="27" l="1"/>
  <c r="H110" i="27"/>
  <c r="K110" i="26"/>
  <c r="Q110" i="27"/>
  <c r="J112" i="28"/>
  <c r="J111" i="25"/>
  <c r="A113" i="26"/>
  <c r="J113" i="27"/>
  <c r="A114" i="27"/>
  <c r="B113" i="27"/>
  <c r="A113" i="28"/>
  <c r="B135" i="17"/>
  <c r="N110" i="25"/>
  <c r="O110" i="25" s="1"/>
  <c r="Y111" i="26"/>
  <c r="N111" i="26"/>
  <c r="O111" i="26" s="1"/>
  <c r="AD109" i="26"/>
  <c r="H109" i="26"/>
  <c r="Q109" i="26"/>
  <c r="G109" i="26"/>
  <c r="AC111" i="26"/>
  <c r="A112" i="25"/>
  <c r="A112" i="30"/>
  <c r="J112" i="29"/>
  <c r="B112" i="29"/>
  <c r="A113" i="29"/>
  <c r="J112" i="26"/>
  <c r="N111" i="28"/>
  <c r="O111" i="28" s="1"/>
  <c r="L111" i="28"/>
  <c r="K111" i="28" s="1"/>
  <c r="H111" i="28"/>
  <c r="G111" i="28"/>
  <c r="K109" i="25"/>
  <c r="Q109" i="29"/>
  <c r="B111" i="30"/>
  <c r="J111" i="30"/>
  <c r="B112" i="26"/>
  <c r="N112" i="27"/>
  <c r="O112" i="27" s="1"/>
  <c r="L112" i="27"/>
  <c r="B112" i="28"/>
  <c r="L110" i="25"/>
  <c r="K110" i="29"/>
  <c r="L111" i="26"/>
  <c r="K111" i="27"/>
  <c r="Q109" i="30"/>
  <c r="B111" i="25"/>
  <c r="H111" i="29"/>
  <c r="G111" i="29"/>
  <c r="N111" i="29"/>
  <c r="O111" i="29" s="1"/>
  <c r="L111" i="29"/>
  <c r="Q108" i="25"/>
  <c r="H108" i="25"/>
  <c r="I133" i="17" s="1"/>
  <c r="G108" i="25"/>
  <c r="H133" i="17" s="1"/>
  <c r="L110" i="30"/>
  <c r="K110" i="30" s="1"/>
  <c r="G110" i="30"/>
  <c r="N110" i="30"/>
  <c r="O110" i="30" s="1"/>
  <c r="H110" i="30"/>
  <c r="X112" i="26"/>
  <c r="Q110" i="28"/>
  <c r="G111" i="27" l="1"/>
  <c r="H111" i="27"/>
  <c r="Q110" i="30"/>
  <c r="Q111" i="28"/>
  <c r="K111" i="26"/>
  <c r="Q111" i="27"/>
  <c r="B136" i="17"/>
  <c r="N111" i="25"/>
  <c r="O111" i="25" s="1"/>
  <c r="L112" i="28"/>
  <c r="K112" i="28" s="1"/>
  <c r="H112" i="28"/>
  <c r="G112" i="28"/>
  <c r="N112" i="28"/>
  <c r="O112" i="28" s="1"/>
  <c r="J112" i="30"/>
  <c r="B112" i="30"/>
  <c r="Q109" i="25"/>
  <c r="H109" i="25"/>
  <c r="I134" i="17" s="1"/>
  <c r="G109" i="25"/>
  <c r="H134" i="17" s="1"/>
  <c r="J113" i="28"/>
  <c r="L111" i="25"/>
  <c r="K111" i="29"/>
  <c r="AC112" i="26"/>
  <c r="B113" i="26"/>
  <c r="N113" i="27"/>
  <c r="O113" i="27" s="1"/>
  <c r="L113" i="27"/>
  <c r="B113" i="28"/>
  <c r="L112" i="26"/>
  <c r="K112" i="27"/>
  <c r="N111" i="30"/>
  <c r="O111" i="30" s="1"/>
  <c r="L111" i="30"/>
  <c r="K111" i="30" s="1"/>
  <c r="H111" i="30"/>
  <c r="G111" i="30"/>
  <c r="A114" i="26"/>
  <c r="B114" i="27"/>
  <c r="J114" i="27"/>
  <c r="A115" i="27"/>
  <c r="A114" i="28"/>
  <c r="A113" i="25"/>
  <c r="A114" i="29"/>
  <c r="J113" i="29"/>
  <c r="B113" i="29"/>
  <c r="A113" i="30"/>
  <c r="J113" i="26"/>
  <c r="K110" i="25"/>
  <c r="Q110" i="29"/>
  <c r="B112" i="25"/>
  <c r="H112" i="29"/>
  <c r="G112" i="29"/>
  <c r="N112" i="29"/>
  <c r="O112" i="29" s="1"/>
  <c r="L112" i="29"/>
  <c r="AD110" i="26"/>
  <c r="Q110" i="26"/>
  <c r="H110" i="26"/>
  <c r="G110" i="26"/>
  <c r="Y112" i="26"/>
  <c r="N112" i="26"/>
  <c r="O112" i="26" s="1"/>
  <c r="J112" i="25"/>
  <c r="X113" i="26"/>
  <c r="G112" i="27" l="1"/>
  <c r="H112" i="27"/>
  <c r="Q112" i="28"/>
  <c r="Q111" i="30"/>
  <c r="Y113" i="26"/>
  <c r="N113" i="26"/>
  <c r="O113" i="26" s="1"/>
  <c r="B137" i="17"/>
  <c r="N112" i="25"/>
  <c r="O112" i="25" s="1"/>
  <c r="A114" i="25"/>
  <c r="A115" i="29"/>
  <c r="J114" i="29"/>
  <c r="A114" i="30"/>
  <c r="B114" i="29"/>
  <c r="X114" i="26"/>
  <c r="N113" i="28"/>
  <c r="O113" i="28" s="1"/>
  <c r="L113" i="28"/>
  <c r="K113" i="28" s="1"/>
  <c r="H113" i="28"/>
  <c r="G113" i="28"/>
  <c r="AD111" i="26"/>
  <c r="Q111" i="26"/>
  <c r="H111" i="26"/>
  <c r="G111" i="26"/>
  <c r="AC113" i="26"/>
  <c r="L113" i="26"/>
  <c r="K113" i="27"/>
  <c r="L112" i="25"/>
  <c r="K112" i="29"/>
  <c r="J114" i="28"/>
  <c r="H112" i="30"/>
  <c r="N112" i="30"/>
  <c r="O112" i="30" s="1"/>
  <c r="L112" i="30"/>
  <c r="K112" i="30" s="1"/>
  <c r="G112" i="30"/>
  <c r="J113" i="25"/>
  <c r="A115" i="26"/>
  <c r="J115" i="27"/>
  <c r="A116" i="27"/>
  <c r="B115" i="27"/>
  <c r="A115" i="28"/>
  <c r="J114" i="26"/>
  <c r="B113" i="30"/>
  <c r="J113" i="30"/>
  <c r="B114" i="26"/>
  <c r="N114" i="27"/>
  <c r="O114" i="27" s="1"/>
  <c r="L114" i="27"/>
  <c r="B114" i="28"/>
  <c r="K111" i="25"/>
  <c r="Q111" i="29"/>
  <c r="Q110" i="25"/>
  <c r="H110" i="25"/>
  <c r="I135" i="17" s="1"/>
  <c r="G110" i="25"/>
  <c r="H135" i="17" s="1"/>
  <c r="B113" i="25"/>
  <c r="H113" i="29"/>
  <c r="G113" i="29"/>
  <c r="N113" i="29"/>
  <c r="O113" i="29" s="1"/>
  <c r="L113" i="29"/>
  <c r="K112" i="26"/>
  <c r="Q112" i="27"/>
  <c r="G113" i="27" l="1"/>
  <c r="H113" i="27"/>
  <c r="Q113" i="28"/>
  <c r="B115" i="26"/>
  <c r="N115" i="27"/>
  <c r="O115" i="27" s="1"/>
  <c r="L115" i="27"/>
  <c r="B115" i="28"/>
  <c r="A115" i="25"/>
  <c r="B115" i="29"/>
  <c r="A116" i="29"/>
  <c r="A115" i="30"/>
  <c r="J115" i="29"/>
  <c r="AD112" i="26"/>
  <c r="Q112" i="26"/>
  <c r="G112" i="26"/>
  <c r="H112" i="26"/>
  <c r="B138" i="17"/>
  <c r="N113" i="25"/>
  <c r="O113" i="25" s="1"/>
  <c r="AC114" i="26"/>
  <c r="A116" i="26"/>
  <c r="B116" i="27"/>
  <c r="J116" i="27"/>
  <c r="A117" i="27"/>
  <c r="A116" i="28"/>
  <c r="L113" i="25"/>
  <c r="K113" i="29"/>
  <c r="Q111" i="25"/>
  <c r="H111" i="25"/>
  <c r="I136" i="17" s="1"/>
  <c r="G111" i="25"/>
  <c r="H136" i="17" s="1"/>
  <c r="Y114" i="26"/>
  <c r="N114" i="26"/>
  <c r="O114" i="26" s="1"/>
  <c r="J115" i="26"/>
  <c r="H114" i="28"/>
  <c r="N114" i="28"/>
  <c r="O114" i="28" s="1"/>
  <c r="L114" i="28"/>
  <c r="K114" i="28" s="1"/>
  <c r="G114" i="28"/>
  <c r="B114" i="25"/>
  <c r="H114" i="29"/>
  <c r="G114" i="29"/>
  <c r="N114" i="29"/>
  <c r="O114" i="29" s="1"/>
  <c r="L114" i="29"/>
  <c r="K112" i="25"/>
  <c r="Q112" i="29"/>
  <c r="K113" i="26"/>
  <c r="Q113" i="27"/>
  <c r="B114" i="30"/>
  <c r="J114" i="30"/>
  <c r="X115" i="26"/>
  <c r="H113" i="30"/>
  <c r="G113" i="30"/>
  <c r="N113" i="30"/>
  <c r="O113" i="30" s="1"/>
  <c r="L113" i="30"/>
  <c r="K113" i="30" s="1"/>
  <c r="L114" i="26"/>
  <c r="K114" i="27"/>
  <c r="J115" i="28"/>
  <c r="Q112" i="30"/>
  <c r="J114" i="25"/>
  <c r="G114" i="27" l="1"/>
  <c r="H114" i="27"/>
  <c r="Q114" i="28"/>
  <c r="G114" i="30"/>
  <c r="L114" i="30"/>
  <c r="K114" i="30" s="1"/>
  <c r="H114" i="30"/>
  <c r="N114" i="30"/>
  <c r="O114" i="30" s="1"/>
  <c r="X116" i="26"/>
  <c r="A116" i="25"/>
  <c r="J116" i="29"/>
  <c r="B116" i="29"/>
  <c r="A116" i="30"/>
  <c r="A117" i="29"/>
  <c r="AD113" i="26"/>
  <c r="Q113" i="26"/>
  <c r="H113" i="26"/>
  <c r="G113" i="26"/>
  <c r="Q113" i="30"/>
  <c r="B115" i="25"/>
  <c r="H115" i="29"/>
  <c r="G115" i="29"/>
  <c r="N115" i="29"/>
  <c r="O115" i="29" s="1"/>
  <c r="L115" i="29"/>
  <c r="K114" i="26"/>
  <c r="Q114" i="27"/>
  <c r="Q112" i="25"/>
  <c r="G112" i="25"/>
  <c r="H137" i="17" s="1"/>
  <c r="H112" i="25"/>
  <c r="I137" i="17" s="1"/>
  <c r="B139" i="17"/>
  <c r="N114" i="25"/>
  <c r="O114" i="25" s="1"/>
  <c r="J116" i="28"/>
  <c r="A117" i="26"/>
  <c r="J117" i="27"/>
  <c r="A118" i="27"/>
  <c r="B117" i="27"/>
  <c r="A117" i="28"/>
  <c r="J116" i="26"/>
  <c r="Y115" i="26"/>
  <c r="N115" i="26"/>
  <c r="O115" i="26" s="1"/>
  <c r="B116" i="26"/>
  <c r="N116" i="27"/>
  <c r="O116" i="27" s="1"/>
  <c r="L116" i="27"/>
  <c r="B116" i="28"/>
  <c r="H115" i="28"/>
  <c r="G115" i="28"/>
  <c r="L115" i="28"/>
  <c r="K115" i="28" s="1"/>
  <c r="N115" i="28"/>
  <c r="O115" i="28" s="1"/>
  <c r="L114" i="25"/>
  <c r="K114" i="29"/>
  <c r="J115" i="25"/>
  <c r="L115" i="26"/>
  <c r="K115" i="27"/>
  <c r="AC115" i="26"/>
  <c r="K113" i="25"/>
  <c r="Q113" i="29"/>
  <c r="B115" i="30"/>
  <c r="J115" i="30"/>
  <c r="G115" i="27" l="1"/>
  <c r="H115" i="27"/>
  <c r="Q114" i="30"/>
  <c r="Q115" i="28"/>
  <c r="L116" i="26"/>
  <c r="K116" i="27"/>
  <c r="L115" i="25"/>
  <c r="K115" i="29"/>
  <c r="A117" i="25"/>
  <c r="A118" i="29"/>
  <c r="J117" i="29"/>
  <c r="B117" i="29"/>
  <c r="A117" i="30"/>
  <c r="J117" i="28"/>
  <c r="J116" i="30"/>
  <c r="B116" i="30"/>
  <c r="B117" i="26"/>
  <c r="N117" i="27"/>
  <c r="O117" i="27" s="1"/>
  <c r="L117" i="27"/>
  <c r="B117" i="28"/>
  <c r="B116" i="25"/>
  <c r="H116" i="29"/>
  <c r="G116" i="29"/>
  <c r="N116" i="29"/>
  <c r="O116" i="29" s="1"/>
  <c r="L116" i="29"/>
  <c r="J116" i="25"/>
  <c r="Y116" i="26"/>
  <c r="N116" i="26"/>
  <c r="O116" i="26" s="1"/>
  <c r="A118" i="26"/>
  <c r="B118" i="27"/>
  <c r="J118" i="27"/>
  <c r="A119" i="27"/>
  <c r="A118" i="28"/>
  <c r="AD114" i="26"/>
  <c r="Q114" i="26"/>
  <c r="H114" i="26"/>
  <c r="G114" i="26"/>
  <c r="G113" i="25"/>
  <c r="H138" i="17" s="1"/>
  <c r="H113" i="25"/>
  <c r="I138" i="17" s="1"/>
  <c r="Q113" i="25"/>
  <c r="K114" i="25"/>
  <c r="Q114" i="29"/>
  <c r="G116" i="28"/>
  <c r="N116" i="28"/>
  <c r="O116" i="28" s="1"/>
  <c r="L116" i="28"/>
  <c r="K116" i="28" s="1"/>
  <c r="H116" i="28"/>
  <c r="J117" i="26"/>
  <c r="K115" i="26"/>
  <c r="Q115" i="27"/>
  <c r="AC116" i="26"/>
  <c r="B140" i="17"/>
  <c r="N115" i="25"/>
  <c r="O115" i="25" s="1"/>
  <c r="H115" i="30"/>
  <c r="G115" i="30"/>
  <c r="N115" i="30"/>
  <c r="O115" i="30" s="1"/>
  <c r="L115" i="30"/>
  <c r="K115" i="30" s="1"/>
  <c r="X117" i="26"/>
  <c r="G116" i="27" l="1"/>
  <c r="H116" i="27"/>
  <c r="Q115" i="30"/>
  <c r="Q116" i="28"/>
  <c r="L116" i="25"/>
  <c r="K116" i="29"/>
  <c r="L117" i="26"/>
  <c r="K117" i="27"/>
  <c r="J117" i="25"/>
  <c r="A118" i="25"/>
  <c r="A119" i="29"/>
  <c r="J118" i="29"/>
  <c r="B118" i="29"/>
  <c r="A118" i="30"/>
  <c r="X118" i="26"/>
  <c r="N116" i="30"/>
  <c r="O116" i="30" s="1"/>
  <c r="H116" i="30"/>
  <c r="G116" i="30"/>
  <c r="L116" i="30"/>
  <c r="K116" i="30" s="1"/>
  <c r="AC117" i="26"/>
  <c r="K116" i="26"/>
  <c r="Q116" i="27"/>
  <c r="J118" i="28"/>
  <c r="AD115" i="26"/>
  <c r="Q115" i="26"/>
  <c r="H115" i="26"/>
  <c r="G115" i="26"/>
  <c r="K115" i="25"/>
  <c r="Q115" i="29"/>
  <c r="A119" i="26"/>
  <c r="J119" i="27"/>
  <c r="A120" i="27"/>
  <c r="B119" i="27"/>
  <c r="A119" i="28"/>
  <c r="H114" i="25"/>
  <c r="I139" i="17" s="1"/>
  <c r="G114" i="25"/>
  <c r="H139" i="17" s="1"/>
  <c r="Q114" i="25"/>
  <c r="J118" i="26"/>
  <c r="B141" i="17"/>
  <c r="N116" i="25"/>
  <c r="O116" i="25" s="1"/>
  <c r="Y117" i="26"/>
  <c r="N117" i="26"/>
  <c r="O117" i="26" s="1"/>
  <c r="J117" i="30"/>
  <c r="B117" i="30"/>
  <c r="B118" i="26"/>
  <c r="N118" i="27"/>
  <c r="O118" i="27" s="1"/>
  <c r="L118" i="27"/>
  <c r="B118" i="28"/>
  <c r="H117" i="28"/>
  <c r="G117" i="28"/>
  <c r="N117" i="28"/>
  <c r="O117" i="28" s="1"/>
  <c r="L117" i="28"/>
  <c r="K117" i="28" s="1"/>
  <c r="B117" i="25"/>
  <c r="H117" i="29"/>
  <c r="G117" i="29"/>
  <c r="N117" i="29"/>
  <c r="O117" i="29" s="1"/>
  <c r="L117" i="29"/>
  <c r="G117" i="27" l="1"/>
  <c r="H117" i="27"/>
  <c r="Q117" i="28"/>
  <c r="Q116" i="30"/>
  <c r="AD116" i="26"/>
  <c r="Q116" i="26"/>
  <c r="H116" i="26"/>
  <c r="G116" i="26"/>
  <c r="B118" i="25"/>
  <c r="H118" i="29"/>
  <c r="G118" i="29"/>
  <c r="N118" i="29"/>
  <c r="O118" i="29" s="1"/>
  <c r="L118" i="29"/>
  <c r="K117" i="26"/>
  <c r="Q117" i="27"/>
  <c r="N117" i="30"/>
  <c r="O117" i="30" s="1"/>
  <c r="L117" i="30"/>
  <c r="K117" i="30" s="1"/>
  <c r="H117" i="30"/>
  <c r="G117" i="30"/>
  <c r="B119" i="26"/>
  <c r="N119" i="27"/>
  <c r="O119" i="27" s="1"/>
  <c r="L119" i="27"/>
  <c r="B119" i="28"/>
  <c r="J118" i="25"/>
  <c r="J119" i="28"/>
  <c r="B142" i="17"/>
  <c r="N117" i="25"/>
  <c r="O117" i="25" s="1"/>
  <c r="A119" i="25"/>
  <c r="A120" i="29"/>
  <c r="B119" i="29"/>
  <c r="A119" i="30"/>
  <c r="J119" i="29"/>
  <c r="K116" i="25"/>
  <c r="Q116" i="29"/>
  <c r="Q115" i="25"/>
  <c r="G115" i="25"/>
  <c r="H140" i="17" s="1"/>
  <c r="H115" i="25"/>
  <c r="I140" i="17" s="1"/>
  <c r="Y118" i="26"/>
  <c r="N118" i="26"/>
  <c r="O118" i="26" s="1"/>
  <c r="A120" i="26"/>
  <c r="B120" i="27"/>
  <c r="J120" i="27"/>
  <c r="A121" i="27"/>
  <c r="A120" i="28"/>
  <c r="L117" i="25"/>
  <c r="K117" i="29"/>
  <c r="N118" i="28"/>
  <c r="O118" i="28" s="1"/>
  <c r="L118" i="28"/>
  <c r="K118" i="28" s="1"/>
  <c r="H118" i="28"/>
  <c r="G118" i="28"/>
  <c r="AC118" i="26"/>
  <c r="J119" i="26"/>
  <c r="X119" i="26"/>
  <c r="L118" i="26"/>
  <c r="K118" i="27"/>
  <c r="B118" i="30"/>
  <c r="J118" i="30"/>
  <c r="G118" i="27" l="1"/>
  <c r="H118" i="27"/>
  <c r="Q117" i="30"/>
  <c r="A121" i="26"/>
  <c r="J121" i="27"/>
  <c r="A122" i="27"/>
  <c r="B121" i="27"/>
  <c r="A121" i="28"/>
  <c r="Q118" i="28"/>
  <c r="J120" i="26"/>
  <c r="J119" i="25"/>
  <c r="AD117" i="26"/>
  <c r="Q117" i="26"/>
  <c r="H117" i="26"/>
  <c r="G117" i="26"/>
  <c r="B120" i="26"/>
  <c r="N120" i="27"/>
  <c r="O120" i="27" s="1"/>
  <c r="L120" i="27"/>
  <c r="B120" i="28"/>
  <c r="B119" i="30"/>
  <c r="J119" i="30"/>
  <c r="L118" i="25"/>
  <c r="K118" i="29"/>
  <c r="K118" i="26"/>
  <c r="Q118" i="27"/>
  <c r="B119" i="25"/>
  <c r="H119" i="29"/>
  <c r="G119" i="29"/>
  <c r="N119" i="29"/>
  <c r="O119" i="29" s="1"/>
  <c r="L119" i="29"/>
  <c r="Y119" i="26"/>
  <c r="N119" i="26"/>
  <c r="O119" i="26" s="1"/>
  <c r="N119" i="28"/>
  <c r="O119" i="28" s="1"/>
  <c r="L119" i="28"/>
  <c r="K119" i="28" s="1"/>
  <c r="G119" i="28"/>
  <c r="H119" i="28"/>
  <c r="AC119" i="26"/>
  <c r="K117" i="25"/>
  <c r="Q117" i="29"/>
  <c r="X120" i="26"/>
  <c r="Q116" i="25"/>
  <c r="H116" i="25"/>
  <c r="I141" i="17" s="1"/>
  <c r="G116" i="25"/>
  <c r="H141" i="17" s="1"/>
  <c r="L119" i="26"/>
  <c r="K119" i="27"/>
  <c r="L118" i="30"/>
  <c r="K118" i="30" s="1"/>
  <c r="G118" i="30"/>
  <c r="N118" i="30"/>
  <c r="O118" i="30" s="1"/>
  <c r="H118" i="30"/>
  <c r="A120" i="25"/>
  <c r="A121" i="29"/>
  <c r="J120" i="29"/>
  <c r="A120" i="30"/>
  <c r="B120" i="29"/>
  <c r="J120" i="28"/>
  <c r="B143" i="17"/>
  <c r="N118" i="25"/>
  <c r="O118" i="25" s="1"/>
  <c r="G119" i="27" l="1"/>
  <c r="H119" i="27"/>
  <c r="Q118" i="30"/>
  <c r="Q119" i="28"/>
  <c r="K119" i="26"/>
  <c r="Q119" i="27"/>
  <c r="J121" i="28"/>
  <c r="K118" i="25"/>
  <c r="Q118" i="29"/>
  <c r="B121" i="26"/>
  <c r="N121" i="27"/>
  <c r="O121" i="27" s="1"/>
  <c r="L121" i="27"/>
  <c r="B121" i="28"/>
  <c r="L120" i="26"/>
  <c r="K120" i="27"/>
  <c r="Q117" i="25"/>
  <c r="H117" i="25"/>
  <c r="I142" i="17" s="1"/>
  <c r="G117" i="25"/>
  <c r="H142" i="17" s="1"/>
  <c r="A122" i="26"/>
  <c r="B122" i="27"/>
  <c r="J122" i="27"/>
  <c r="A123" i="27"/>
  <c r="A122" i="28"/>
  <c r="J120" i="30"/>
  <c r="B120" i="30"/>
  <c r="B144" i="17"/>
  <c r="N119" i="25"/>
  <c r="O119" i="25" s="1"/>
  <c r="J121" i="26"/>
  <c r="J120" i="25"/>
  <c r="B120" i="25"/>
  <c r="H120" i="29"/>
  <c r="G120" i="29"/>
  <c r="N120" i="29"/>
  <c r="O120" i="29" s="1"/>
  <c r="L120" i="29"/>
  <c r="A121" i="25"/>
  <c r="A122" i="29"/>
  <c r="J121" i="29"/>
  <c r="B121" i="29"/>
  <c r="A121" i="30"/>
  <c r="L119" i="25"/>
  <c r="K119" i="29"/>
  <c r="AD118" i="26"/>
  <c r="Q118" i="26"/>
  <c r="H118" i="26"/>
  <c r="G118" i="26"/>
  <c r="N119" i="30"/>
  <c r="O119" i="30" s="1"/>
  <c r="L119" i="30"/>
  <c r="K119" i="30" s="1"/>
  <c r="H119" i="30"/>
  <c r="G119" i="30"/>
  <c r="Y120" i="26"/>
  <c r="N120" i="26"/>
  <c r="O120" i="26" s="1"/>
  <c r="AC120" i="26"/>
  <c r="X121" i="26"/>
  <c r="L120" i="28"/>
  <c r="K120" i="28" s="1"/>
  <c r="N120" i="28"/>
  <c r="O120" i="28" s="1"/>
  <c r="H120" i="28"/>
  <c r="G120" i="28"/>
  <c r="G120" i="27" l="1"/>
  <c r="H120" i="27"/>
  <c r="Q119" i="30"/>
  <c r="A122" i="25"/>
  <c r="A123" i="29"/>
  <c r="J122" i="29"/>
  <c r="B122" i="29"/>
  <c r="A122" i="30"/>
  <c r="B145" i="17"/>
  <c r="N120" i="25"/>
  <c r="O120" i="25" s="1"/>
  <c r="Q120" i="28"/>
  <c r="L121" i="26"/>
  <c r="K121" i="27"/>
  <c r="J122" i="28"/>
  <c r="L120" i="25"/>
  <c r="K120" i="29"/>
  <c r="AC121" i="26"/>
  <c r="A123" i="26"/>
  <c r="J123" i="27"/>
  <c r="A124" i="27"/>
  <c r="B123" i="27"/>
  <c r="A123" i="28"/>
  <c r="B121" i="30"/>
  <c r="J121" i="30"/>
  <c r="J122" i="26"/>
  <c r="Q118" i="25"/>
  <c r="G118" i="25"/>
  <c r="H143" i="17" s="1"/>
  <c r="H118" i="25"/>
  <c r="I143" i="17" s="1"/>
  <c r="B121" i="25"/>
  <c r="H121" i="29"/>
  <c r="G121" i="29"/>
  <c r="N121" i="29"/>
  <c r="O121" i="29" s="1"/>
  <c r="L121" i="29"/>
  <c r="B122" i="26"/>
  <c r="N122" i="27"/>
  <c r="O122" i="27" s="1"/>
  <c r="L122" i="27"/>
  <c r="B122" i="28"/>
  <c r="K120" i="26"/>
  <c r="Q120" i="27"/>
  <c r="AD119" i="26"/>
  <c r="Q119" i="26"/>
  <c r="H119" i="26"/>
  <c r="G119" i="26"/>
  <c r="K119" i="25"/>
  <c r="Q119" i="29"/>
  <c r="H120" i="30"/>
  <c r="N120" i="30"/>
  <c r="O120" i="30" s="1"/>
  <c r="L120" i="30"/>
  <c r="K120" i="30" s="1"/>
  <c r="G120" i="30"/>
  <c r="Y121" i="26"/>
  <c r="N121" i="26"/>
  <c r="O121" i="26" s="1"/>
  <c r="J121" i="25"/>
  <c r="X122" i="26"/>
  <c r="N121" i="28"/>
  <c r="O121" i="28" s="1"/>
  <c r="L121" i="28"/>
  <c r="K121" i="28" s="1"/>
  <c r="H121" i="28"/>
  <c r="G121" i="28"/>
  <c r="G121" i="27" l="1"/>
  <c r="H121" i="27"/>
  <c r="Q121" i="28"/>
  <c r="H122" i="28"/>
  <c r="G122" i="28"/>
  <c r="N122" i="28"/>
  <c r="O122" i="28" s="1"/>
  <c r="L122" i="28"/>
  <c r="K122" i="28" s="1"/>
  <c r="L121" i="25"/>
  <c r="K121" i="29"/>
  <c r="J123" i="28"/>
  <c r="B122" i="25"/>
  <c r="H122" i="29"/>
  <c r="G122" i="29"/>
  <c r="N122" i="29"/>
  <c r="O122" i="29" s="1"/>
  <c r="L122" i="29"/>
  <c r="B123" i="26"/>
  <c r="N123" i="27"/>
  <c r="O123" i="27" s="1"/>
  <c r="L123" i="27"/>
  <c r="B123" i="28"/>
  <c r="Q120" i="30"/>
  <c r="Q119" i="25"/>
  <c r="H119" i="25"/>
  <c r="I144" i="17" s="1"/>
  <c r="G119" i="25"/>
  <c r="H144" i="17" s="1"/>
  <c r="K121" i="26"/>
  <c r="Q121" i="27"/>
  <c r="L122" i="26"/>
  <c r="K122" i="27"/>
  <c r="H121" i="30"/>
  <c r="G121" i="30"/>
  <c r="N121" i="30"/>
  <c r="O121" i="30" s="1"/>
  <c r="L121" i="30"/>
  <c r="K121" i="30" s="1"/>
  <c r="A124" i="26"/>
  <c r="B124" i="27"/>
  <c r="J124" i="27"/>
  <c r="A125" i="27"/>
  <c r="A124" i="28"/>
  <c r="J122" i="25"/>
  <c r="J123" i="26"/>
  <c r="A123" i="25"/>
  <c r="A124" i="29"/>
  <c r="J123" i="29"/>
  <c r="A123" i="30"/>
  <c r="B123" i="29"/>
  <c r="K120" i="25"/>
  <c r="Q120" i="29"/>
  <c r="B146" i="17"/>
  <c r="N121" i="25"/>
  <c r="O121" i="25" s="1"/>
  <c r="X123" i="26"/>
  <c r="AD120" i="26"/>
  <c r="Q120" i="26"/>
  <c r="H120" i="26"/>
  <c r="G120" i="26"/>
  <c r="Y122" i="26"/>
  <c r="N122" i="26"/>
  <c r="O122" i="26" s="1"/>
  <c r="AC122" i="26"/>
  <c r="B122" i="30"/>
  <c r="J122" i="30"/>
  <c r="G122" i="27" l="1"/>
  <c r="H122" i="27"/>
  <c r="Q122" i="28"/>
  <c r="Q121" i="30"/>
  <c r="Q120" i="25"/>
  <c r="H120" i="25"/>
  <c r="I145" i="17" s="1"/>
  <c r="G120" i="25"/>
  <c r="H145" i="17" s="1"/>
  <c r="A124" i="25"/>
  <c r="A125" i="29"/>
  <c r="J124" i="29"/>
  <c r="B124" i="29"/>
  <c r="A124" i="30"/>
  <c r="J124" i="26"/>
  <c r="AD121" i="26"/>
  <c r="Q121" i="26"/>
  <c r="H121" i="26"/>
  <c r="G121" i="26"/>
  <c r="H123" i="28"/>
  <c r="G123" i="28"/>
  <c r="N123" i="28"/>
  <c r="O123" i="28" s="1"/>
  <c r="L123" i="28"/>
  <c r="K123" i="28" s="1"/>
  <c r="L122" i="25"/>
  <c r="K122" i="29"/>
  <c r="B124" i="26"/>
  <c r="N124" i="27"/>
  <c r="O124" i="27" s="1"/>
  <c r="L124" i="27"/>
  <c r="B124" i="28"/>
  <c r="L123" i="26"/>
  <c r="K123" i="27"/>
  <c r="G122" i="30"/>
  <c r="L122" i="30"/>
  <c r="K122" i="30" s="1"/>
  <c r="H122" i="30"/>
  <c r="N122" i="30"/>
  <c r="O122" i="30" s="1"/>
  <c r="B123" i="25"/>
  <c r="H123" i="29"/>
  <c r="G123" i="29"/>
  <c r="N123" i="29"/>
  <c r="O123" i="29" s="1"/>
  <c r="L123" i="29"/>
  <c r="B123" i="30"/>
  <c r="J123" i="30"/>
  <c r="X124" i="26"/>
  <c r="K122" i="26"/>
  <c r="Q122" i="27"/>
  <c r="K121" i="25"/>
  <c r="Q121" i="29"/>
  <c r="J124" i="28"/>
  <c r="B147" i="17"/>
  <c r="N122" i="25"/>
  <c r="O122" i="25" s="1"/>
  <c r="J123" i="25"/>
  <c r="AC123" i="26"/>
  <c r="A125" i="26"/>
  <c r="J125" i="27"/>
  <c r="A126" i="27"/>
  <c r="B125" i="27"/>
  <c r="A125" i="28"/>
  <c r="Y123" i="26"/>
  <c r="N123" i="26"/>
  <c r="O123" i="26" s="1"/>
  <c r="G123" i="27" l="1"/>
  <c r="H123" i="27"/>
  <c r="Q122" i="30"/>
  <c r="Q123" i="28"/>
  <c r="J125" i="28"/>
  <c r="AD122" i="26"/>
  <c r="Q122" i="26"/>
  <c r="G122" i="26"/>
  <c r="H122" i="26"/>
  <c r="B148" i="17"/>
  <c r="N123" i="25"/>
  <c r="O123" i="25" s="1"/>
  <c r="J124" i="25"/>
  <c r="L123" i="25"/>
  <c r="K123" i="29"/>
  <c r="L124" i="26"/>
  <c r="K124" i="27"/>
  <c r="K122" i="25"/>
  <c r="Q122" i="29"/>
  <c r="A125" i="25"/>
  <c r="A126" i="29"/>
  <c r="J125" i="29"/>
  <c r="B125" i="29"/>
  <c r="A125" i="30"/>
  <c r="A126" i="26"/>
  <c r="B126" i="27"/>
  <c r="J126" i="27"/>
  <c r="A127" i="27"/>
  <c r="A126" i="28"/>
  <c r="K123" i="26"/>
  <c r="Q123" i="27"/>
  <c r="J124" i="30"/>
  <c r="B124" i="30"/>
  <c r="B124" i="25"/>
  <c r="H124" i="29"/>
  <c r="G124" i="29"/>
  <c r="N124" i="29"/>
  <c r="O124" i="29" s="1"/>
  <c r="L124" i="29"/>
  <c r="J125" i="26"/>
  <c r="X125" i="26"/>
  <c r="H123" i="30"/>
  <c r="G123" i="30"/>
  <c r="L123" i="30"/>
  <c r="K123" i="30" s="1"/>
  <c r="N123" i="30"/>
  <c r="O123" i="30" s="1"/>
  <c r="Y124" i="26"/>
  <c r="N124" i="26"/>
  <c r="O124" i="26" s="1"/>
  <c r="B125" i="26"/>
  <c r="N125" i="27"/>
  <c r="O125" i="27" s="1"/>
  <c r="L125" i="27"/>
  <c r="B125" i="28"/>
  <c r="G121" i="25"/>
  <c r="H146" i="17" s="1"/>
  <c r="H121" i="25"/>
  <c r="I146" i="17" s="1"/>
  <c r="Q121" i="25"/>
  <c r="G124" i="28"/>
  <c r="H124" i="28"/>
  <c r="N124" i="28"/>
  <c r="O124" i="28" s="1"/>
  <c r="L124" i="28"/>
  <c r="K124" i="28" s="1"/>
  <c r="AC124" i="26"/>
  <c r="G124" i="27" l="1"/>
  <c r="H124" i="27"/>
  <c r="A126" i="25"/>
  <c r="A127" i="29"/>
  <c r="J126" i="29"/>
  <c r="B126" i="29"/>
  <c r="A126" i="30"/>
  <c r="X126" i="26"/>
  <c r="Q122" i="25"/>
  <c r="H122" i="25"/>
  <c r="I147" i="17" s="1"/>
  <c r="G122" i="25"/>
  <c r="H147" i="17" s="1"/>
  <c r="AC125" i="26"/>
  <c r="Y125" i="26"/>
  <c r="N125" i="26"/>
  <c r="O125" i="26" s="1"/>
  <c r="B149" i="17"/>
  <c r="N124" i="25"/>
  <c r="O124" i="25" s="1"/>
  <c r="AD123" i="26"/>
  <c r="Q123" i="26"/>
  <c r="H123" i="26"/>
  <c r="G123" i="26"/>
  <c r="K124" i="26"/>
  <c r="Q124" i="27"/>
  <c r="J126" i="28"/>
  <c r="J125" i="30"/>
  <c r="B125" i="30"/>
  <c r="L125" i="28"/>
  <c r="K125" i="28" s="1"/>
  <c r="H125" i="28"/>
  <c r="G125" i="28"/>
  <c r="N125" i="28"/>
  <c r="O125" i="28" s="1"/>
  <c r="L125" i="26"/>
  <c r="K125" i="27"/>
  <c r="Q123" i="30"/>
  <c r="L124" i="25"/>
  <c r="K124" i="29"/>
  <c r="N124" i="30"/>
  <c r="O124" i="30" s="1"/>
  <c r="H124" i="30"/>
  <c r="G124" i="30"/>
  <c r="L124" i="30"/>
  <c r="K124" i="30" s="1"/>
  <c r="A127" i="26"/>
  <c r="J127" i="27"/>
  <c r="A128" i="27"/>
  <c r="B127" i="27"/>
  <c r="A127" i="28"/>
  <c r="B125" i="25"/>
  <c r="H125" i="29"/>
  <c r="G125" i="29"/>
  <c r="N125" i="29"/>
  <c r="O125" i="29" s="1"/>
  <c r="L125" i="29"/>
  <c r="K123" i="25"/>
  <c r="Q123" i="29"/>
  <c r="J126" i="26"/>
  <c r="B126" i="26"/>
  <c r="N126" i="27"/>
  <c r="O126" i="27" s="1"/>
  <c r="L126" i="27"/>
  <c r="B126" i="28"/>
  <c r="Q124" i="28"/>
  <c r="J125" i="25"/>
  <c r="G125" i="27" l="1"/>
  <c r="H125" i="27"/>
  <c r="Q125" i="28"/>
  <c r="K124" i="25"/>
  <c r="Q124" i="29"/>
  <c r="N125" i="30"/>
  <c r="O125" i="30" s="1"/>
  <c r="L125" i="30"/>
  <c r="K125" i="30" s="1"/>
  <c r="H125" i="30"/>
  <c r="G125" i="30"/>
  <c r="AD124" i="26"/>
  <c r="Q124" i="26"/>
  <c r="H124" i="26"/>
  <c r="G124" i="26"/>
  <c r="B126" i="30"/>
  <c r="J126" i="30"/>
  <c r="Y126" i="26"/>
  <c r="N126" i="26"/>
  <c r="O126" i="26" s="1"/>
  <c r="B150" i="17"/>
  <c r="N125" i="25"/>
  <c r="O125" i="25" s="1"/>
  <c r="X127" i="26"/>
  <c r="B126" i="25"/>
  <c r="H126" i="29"/>
  <c r="G126" i="29"/>
  <c r="N126" i="29"/>
  <c r="O126" i="29" s="1"/>
  <c r="L126" i="29"/>
  <c r="Q123" i="25"/>
  <c r="H123" i="25"/>
  <c r="I148" i="17" s="1"/>
  <c r="G123" i="25"/>
  <c r="H148" i="17" s="1"/>
  <c r="Q124" i="30"/>
  <c r="B127" i="26"/>
  <c r="N127" i="27"/>
  <c r="O127" i="27" s="1"/>
  <c r="L127" i="27"/>
  <c r="B127" i="28"/>
  <c r="K125" i="26"/>
  <c r="Q125" i="27"/>
  <c r="J126" i="25"/>
  <c r="J127" i="26"/>
  <c r="N126" i="28"/>
  <c r="O126" i="28" s="1"/>
  <c r="L126" i="28"/>
  <c r="K126" i="28" s="1"/>
  <c r="H126" i="28"/>
  <c r="G126" i="28"/>
  <c r="L125" i="25"/>
  <c r="K125" i="29"/>
  <c r="J127" i="28"/>
  <c r="AC126" i="26"/>
  <c r="A127" i="25"/>
  <c r="A128" i="29"/>
  <c r="J127" i="29"/>
  <c r="A127" i="30"/>
  <c r="B127" i="29"/>
  <c r="L126" i="26"/>
  <c r="K126" i="27"/>
  <c r="A128" i="26"/>
  <c r="B128" i="27"/>
  <c r="J128" i="27"/>
  <c r="A129" i="27"/>
  <c r="A128" i="28"/>
  <c r="G126" i="27" l="1"/>
  <c r="H126" i="27"/>
  <c r="Q126" i="28"/>
  <c r="Q125" i="30"/>
  <c r="J128" i="26"/>
  <c r="AC127" i="26"/>
  <c r="L127" i="26"/>
  <c r="K127" i="27"/>
  <c r="L126" i="25"/>
  <c r="K126" i="29"/>
  <c r="L126" i="30"/>
  <c r="K126" i="30" s="1"/>
  <c r="G126" i="30"/>
  <c r="N126" i="30"/>
  <c r="O126" i="30" s="1"/>
  <c r="H126" i="30"/>
  <c r="J127" i="25"/>
  <c r="A128" i="25"/>
  <c r="A129" i="29"/>
  <c r="J128" i="29"/>
  <c r="A128" i="30"/>
  <c r="B128" i="29"/>
  <c r="B128" i="26"/>
  <c r="N128" i="27"/>
  <c r="O128" i="27" s="1"/>
  <c r="L128" i="27"/>
  <c r="B128" i="28"/>
  <c r="X128" i="26"/>
  <c r="Q124" i="25"/>
  <c r="G124" i="25"/>
  <c r="H149" i="17" s="1"/>
  <c r="H124" i="25"/>
  <c r="I149" i="17" s="1"/>
  <c r="B127" i="25"/>
  <c r="H127" i="29"/>
  <c r="G127" i="29"/>
  <c r="N127" i="29"/>
  <c r="O127" i="29" s="1"/>
  <c r="L127" i="29"/>
  <c r="J128" i="28"/>
  <c r="K125" i="25"/>
  <c r="Q125" i="29"/>
  <c r="AD125" i="26"/>
  <c r="H125" i="26"/>
  <c r="G125" i="26"/>
  <c r="Q125" i="26"/>
  <c r="Y127" i="26"/>
  <c r="N127" i="26"/>
  <c r="O127" i="26" s="1"/>
  <c r="B151" i="17"/>
  <c r="N126" i="25"/>
  <c r="O126" i="25" s="1"/>
  <c r="B127" i="30"/>
  <c r="J127" i="30"/>
  <c r="A129" i="26"/>
  <c r="J129" i="27"/>
  <c r="A130" i="27"/>
  <c r="B129" i="27"/>
  <c r="A129" i="28"/>
  <c r="K126" i="26"/>
  <c r="Q126" i="27"/>
  <c r="N127" i="28"/>
  <c r="O127" i="28" s="1"/>
  <c r="L127" i="28"/>
  <c r="K127" i="28" s="1"/>
  <c r="H127" i="28"/>
  <c r="G127" i="28"/>
  <c r="G127" i="27" l="1"/>
  <c r="H127" i="27"/>
  <c r="Q127" i="28"/>
  <c r="B129" i="26"/>
  <c r="N129" i="27"/>
  <c r="O129" i="27" s="1"/>
  <c r="L129" i="27"/>
  <c r="B129" i="28"/>
  <c r="H127" i="30"/>
  <c r="N127" i="30"/>
  <c r="O127" i="30" s="1"/>
  <c r="L127" i="30"/>
  <c r="K127" i="30" s="1"/>
  <c r="G127" i="30"/>
  <c r="B152" i="17"/>
  <c r="N127" i="25"/>
  <c r="O127" i="25" s="1"/>
  <c r="J128" i="25"/>
  <c r="K127" i="26"/>
  <c r="Q127" i="27"/>
  <c r="A130" i="26"/>
  <c r="B130" i="27"/>
  <c r="J130" i="27"/>
  <c r="A131" i="27"/>
  <c r="A130" i="28"/>
  <c r="A129" i="25"/>
  <c r="A130" i="29"/>
  <c r="J129" i="29"/>
  <c r="B129" i="29"/>
  <c r="A129" i="30"/>
  <c r="J129" i="26"/>
  <c r="L127" i="25"/>
  <c r="K127" i="29"/>
  <c r="Y128" i="26"/>
  <c r="N128" i="26"/>
  <c r="O128" i="26" s="1"/>
  <c r="L128" i="28"/>
  <c r="K128" i="28" s="1"/>
  <c r="N128" i="28"/>
  <c r="O128" i="28" s="1"/>
  <c r="H128" i="28"/>
  <c r="G128" i="28"/>
  <c r="AC128" i="26"/>
  <c r="B128" i="25"/>
  <c r="H128" i="29"/>
  <c r="G128" i="29"/>
  <c r="N128" i="29"/>
  <c r="O128" i="29" s="1"/>
  <c r="L128" i="29"/>
  <c r="AD126" i="26"/>
  <c r="Q126" i="26"/>
  <c r="H126" i="26"/>
  <c r="G126" i="26"/>
  <c r="J128" i="30"/>
  <c r="B128" i="30"/>
  <c r="Q126" i="30"/>
  <c r="X129" i="26"/>
  <c r="J129" i="28"/>
  <c r="Q125" i="25"/>
  <c r="H125" i="25"/>
  <c r="I150" i="17" s="1"/>
  <c r="G125" i="25"/>
  <c r="H150" i="17" s="1"/>
  <c r="L128" i="26"/>
  <c r="K128" i="27"/>
  <c r="K126" i="25"/>
  <c r="Q126" i="29"/>
  <c r="G128" i="27" l="1"/>
  <c r="H128" i="27"/>
  <c r="Q127" i="30"/>
  <c r="Q126" i="25"/>
  <c r="H126" i="25"/>
  <c r="I151" i="17" s="1"/>
  <c r="G126" i="25"/>
  <c r="H151" i="17" s="1"/>
  <c r="Q128" i="28"/>
  <c r="J129" i="25"/>
  <c r="A131" i="26"/>
  <c r="J131" i="27"/>
  <c r="A132" i="27"/>
  <c r="B131" i="27"/>
  <c r="A131" i="28"/>
  <c r="AD127" i="26"/>
  <c r="H127" i="26"/>
  <c r="G127" i="26"/>
  <c r="Q127" i="26"/>
  <c r="L129" i="26"/>
  <c r="K129" i="27"/>
  <c r="A130" i="25"/>
  <c r="A131" i="29"/>
  <c r="J130" i="29"/>
  <c r="B130" i="29"/>
  <c r="A130" i="30"/>
  <c r="J130" i="26"/>
  <c r="K127" i="25"/>
  <c r="Q127" i="29"/>
  <c r="B130" i="26"/>
  <c r="N130" i="27"/>
  <c r="O130" i="27" s="1"/>
  <c r="L130" i="27"/>
  <c r="B130" i="28"/>
  <c r="B153" i="17"/>
  <c r="N128" i="25"/>
  <c r="O128" i="25" s="1"/>
  <c r="B129" i="30"/>
  <c r="J129" i="30"/>
  <c r="B129" i="25"/>
  <c r="H129" i="29"/>
  <c r="G129" i="29"/>
  <c r="N129" i="29"/>
  <c r="O129" i="29" s="1"/>
  <c r="L129" i="29"/>
  <c r="X130" i="26"/>
  <c r="H128" i="30"/>
  <c r="G128" i="30"/>
  <c r="N128" i="30"/>
  <c r="O128" i="30" s="1"/>
  <c r="L128" i="30"/>
  <c r="K128" i="30" s="1"/>
  <c r="L128" i="25"/>
  <c r="K128" i="29"/>
  <c r="AC129" i="26"/>
  <c r="Y129" i="26"/>
  <c r="N129" i="26"/>
  <c r="O129" i="26" s="1"/>
  <c r="K128" i="26"/>
  <c r="Q128" i="27"/>
  <c r="J130" i="28"/>
  <c r="G129" i="28"/>
  <c r="N129" i="28"/>
  <c r="O129" i="28" s="1"/>
  <c r="L129" i="28"/>
  <c r="K129" i="28" s="1"/>
  <c r="H129" i="28"/>
  <c r="G129" i="27" l="1"/>
  <c r="H129" i="27"/>
  <c r="Q129" i="28"/>
  <c r="L129" i="25"/>
  <c r="K129" i="29"/>
  <c r="B130" i="30"/>
  <c r="J130" i="30"/>
  <c r="J131" i="26"/>
  <c r="Q127" i="25"/>
  <c r="H127" i="25"/>
  <c r="I152" i="17" s="1"/>
  <c r="G127" i="25"/>
  <c r="H152" i="17" s="1"/>
  <c r="B130" i="25"/>
  <c r="H130" i="29"/>
  <c r="G130" i="29"/>
  <c r="N130" i="29"/>
  <c r="O130" i="29" s="1"/>
  <c r="L130" i="29"/>
  <c r="Q128" i="30"/>
  <c r="AD128" i="26"/>
  <c r="Q128" i="26"/>
  <c r="H128" i="26"/>
  <c r="G128" i="26"/>
  <c r="Y130" i="26"/>
  <c r="N130" i="26"/>
  <c r="O130" i="26" s="1"/>
  <c r="X131" i="26"/>
  <c r="H130" i="28"/>
  <c r="N130" i="28"/>
  <c r="O130" i="28" s="1"/>
  <c r="L130" i="28"/>
  <c r="K130" i="28" s="1"/>
  <c r="G130" i="28"/>
  <c r="K128" i="25"/>
  <c r="Q128" i="29"/>
  <c r="H129" i="30"/>
  <c r="G129" i="30"/>
  <c r="N129" i="30"/>
  <c r="O129" i="30" s="1"/>
  <c r="L129" i="30"/>
  <c r="K129" i="30" s="1"/>
  <c r="AC130" i="26"/>
  <c r="J130" i="25"/>
  <c r="J131" i="28"/>
  <c r="A131" i="25"/>
  <c r="A132" i="29"/>
  <c r="J131" i="29"/>
  <c r="A131" i="30"/>
  <c r="B131" i="29"/>
  <c r="B131" i="26"/>
  <c r="N131" i="27"/>
  <c r="O131" i="27" s="1"/>
  <c r="L131" i="27"/>
  <c r="B131" i="28"/>
  <c r="B154" i="17"/>
  <c r="N129" i="25"/>
  <c r="O129" i="25" s="1"/>
  <c r="L130" i="26"/>
  <c r="K130" i="27"/>
  <c r="K129" i="26"/>
  <c r="Q129" i="27"/>
  <c r="A132" i="26"/>
  <c r="B132" i="27"/>
  <c r="J132" i="27"/>
  <c r="A133" i="27"/>
  <c r="A132" i="28"/>
  <c r="G130" i="27" l="1"/>
  <c r="H130" i="27"/>
  <c r="Q129" i="30"/>
  <c r="Q130" i="28"/>
  <c r="A133" i="26"/>
  <c r="J133" i="27"/>
  <c r="A134" i="27"/>
  <c r="B133" i="27"/>
  <c r="A133" i="28"/>
  <c r="B131" i="30"/>
  <c r="J131" i="30"/>
  <c r="K129" i="25"/>
  <c r="Q129" i="29"/>
  <c r="J132" i="26"/>
  <c r="X132" i="26"/>
  <c r="AC131" i="26"/>
  <c r="J131" i="25"/>
  <c r="B132" i="26"/>
  <c r="N132" i="27"/>
  <c r="O132" i="27" s="1"/>
  <c r="L132" i="27"/>
  <c r="B132" i="28"/>
  <c r="K130" i="26"/>
  <c r="Q130" i="27"/>
  <c r="Y131" i="26"/>
  <c r="N131" i="26"/>
  <c r="O131" i="26" s="1"/>
  <c r="A132" i="25"/>
  <c r="A133" i="29"/>
  <c r="J132" i="29"/>
  <c r="B132" i="29"/>
  <c r="A132" i="30"/>
  <c r="Q128" i="25"/>
  <c r="H128" i="25"/>
  <c r="I153" i="17" s="1"/>
  <c r="G128" i="25"/>
  <c r="H153" i="17" s="1"/>
  <c r="B155" i="17"/>
  <c r="N130" i="25"/>
  <c r="O130" i="25" s="1"/>
  <c r="G130" i="30"/>
  <c r="L130" i="30"/>
  <c r="K130" i="30" s="1"/>
  <c r="H130" i="30"/>
  <c r="N130" i="30"/>
  <c r="O130" i="30" s="1"/>
  <c r="H131" i="28"/>
  <c r="G131" i="28"/>
  <c r="N131" i="28"/>
  <c r="O131" i="28" s="1"/>
  <c r="L131" i="28"/>
  <c r="K131" i="28" s="1"/>
  <c r="AD129" i="26"/>
  <c r="Q129" i="26"/>
  <c r="H129" i="26"/>
  <c r="G129" i="26"/>
  <c r="L131" i="26"/>
  <c r="K131" i="27"/>
  <c r="L130" i="25"/>
  <c r="K130" i="29"/>
  <c r="J132" i="28"/>
  <c r="B131" i="25"/>
  <c r="H131" i="29"/>
  <c r="G131" i="29"/>
  <c r="N131" i="29"/>
  <c r="O131" i="29" s="1"/>
  <c r="L131" i="29"/>
  <c r="G131" i="27" l="1"/>
  <c r="H131" i="27"/>
  <c r="Q130" i="30"/>
  <c r="K131" i="26"/>
  <c r="Q131" i="27"/>
  <c r="Q131" i="28"/>
  <c r="B132" i="25"/>
  <c r="H132" i="29"/>
  <c r="G132" i="29"/>
  <c r="N132" i="29"/>
  <c r="O132" i="29" s="1"/>
  <c r="L132" i="29"/>
  <c r="J133" i="28"/>
  <c r="L132" i="26"/>
  <c r="K132" i="27"/>
  <c r="B133" i="26"/>
  <c r="N133" i="27"/>
  <c r="O133" i="27" s="1"/>
  <c r="L133" i="27"/>
  <c r="B133" i="28"/>
  <c r="L131" i="25"/>
  <c r="K131" i="29"/>
  <c r="J132" i="25"/>
  <c r="AD130" i="26"/>
  <c r="Q130" i="26"/>
  <c r="H130" i="26"/>
  <c r="G130" i="26"/>
  <c r="Q129" i="25"/>
  <c r="H129" i="25"/>
  <c r="I154" i="17" s="1"/>
  <c r="G129" i="25"/>
  <c r="H154" i="17" s="1"/>
  <c r="A134" i="26"/>
  <c r="B134" i="27"/>
  <c r="J134" i="27"/>
  <c r="A135" i="27"/>
  <c r="A134" i="28"/>
  <c r="A133" i="25"/>
  <c r="A134" i="29"/>
  <c r="J133" i="29"/>
  <c r="B133" i="29"/>
  <c r="A133" i="30"/>
  <c r="J133" i="26"/>
  <c r="K130" i="25"/>
  <c r="Q130" i="29"/>
  <c r="Y132" i="26"/>
  <c r="N132" i="26"/>
  <c r="O132" i="26" s="1"/>
  <c r="G132" i="28"/>
  <c r="H132" i="28"/>
  <c r="N132" i="28"/>
  <c r="O132" i="28" s="1"/>
  <c r="L132" i="28"/>
  <c r="K132" i="28" s="1"/>
  <c r="AC132" i="26"/>
  <c r="N131" i="30"/>
  <c r="O131" i="30" s="1"/>
  <c r="H131" i="30"/>
  <c r="G131" i="30"/>
  <c r="L131" i="30"/>
  <c r="K131" i="30" s="1"/>
  <c r="X133" i="26"/>
  <c r="B156" i="17"/>
  <c r="N131" i="25"/>
  <c r="O131" i="25" s="1"/>
  <c r="J132" i="30"/>
  <c r="B132" i="30"/>
  <c r="G132" i="27" l="1"/>
  <c r="H132" i="27"/>
  <c r="Q131" i="30"/>
  <c r="Q130" i="25"/>
  <c r="H130" i="25"/>
  <c r="I155" i="17" s="1"/>
  <c r="G130" i="25"/>
  <c r="H155" i="17" s="1"/>
  <c r="B134" i="26"/>
  <c r="N134" i="27"/>
  <c r="O134" i="27" s="1"/>
  <c r="L134" i="27"/>
  <c r="B134" i="28"/>
  <c r="B157" i="17"/>
  <c r="N132" i="25"/>
  <c r="O132" i="25" s="1"/>
  <c r="K131" i="25"/>
  <c r="Q131" i="29"/>
  <c r="J133" i="25"/>
  <c r="Y133" i="26"/>
  <c r="N133" i="26"/>
  <c r="O133" i="26" s="1"/>
  <c r="L132" i="25"/>
  <c r="K132" i="29"/>
  <c r="AD131" i="26"/>
  <c r="Q131" i="26"/>
  <c r="H131" i="26"/>
  <c r="G131" i="26"/>
  <c r="N132" i="30"/>
  <c r="O132" i="30" s="1"/>
  <c r="L132" i="30"/>
  <c r="K132" i="30" s="1"/>
  <c r="H132" i="30"/>
  <c r="G132" i="30"/>
  <c r="AC133" i="26"/>
  <c r="A134" i="25"/>
  <c r="A135" i="29"/>
  <c r="J134" i="29"/>
  <c r="B134" i="29"/>
  <c r="A134" i="30"/>
  <c r="X134" i="26"/>
  <c r="N133" i="28"/>
  <c r="O133" i="28" s="1"/>
  <c r="L133" i="28"/>
  <c r="K133" i="28" s="1"/>
  <c r="H133" i="28"/>
  <c r="G133" i="28"/>
  <c r="K132" i="26"/>
  <c r="Q132" i="27"/>
  <c r="L133" i="26"/>
  <c r="K133" i="27"/>
  <c r="J134" i="28"/>
  <c r="Q132" i="28"/>
  <c r="B133" i="30"/>
  <c r="J133" i="30"/>
  <c r="A135" i="26"/>
  <c r="J135" i="27"/>
  <c r="A136" i="27"/>
  <c r="B135" i="27"/>
  <c r="A135" i="28"/>
  <c r="B133" i="25"/>
  <c r="H133" i="29"/>
  <c r="G133" i="29"/>
  <c r="N133" i="29"/>
  <c r="O133" i="29" s="1"/>
  <c r="L133" i="29"/>
  <c r="J134" i="26"/>
  <c r="G133" i="27" l="1"/>
  <c r="H133" i="27"/>
  <c r="Q132" i="30"/>
  <c r="L133" i="25"/>
  <c r="K133" i="29"/>
  <c r="K132" i="25"/>
  <c r="Q132" i="29"/>
  <c r="Q131" i="25"/>
  <c r="G131" i="25"/>
  <c r="H156" i="17" s="1"/>
  <c r="H131" i="25"/>
  <c r="I156" i="17" s="1"/>
  <c r="J135" i="28"/>
  <c r="B135" i="26"/>
  <c r="N135" i="27"/>
  <c r="O135" i="27" s="1"/>
  <c r="L135" i="27"/>
  <c r="B135" i="28"/>
  <c r="B134" i="30"/>
  <c r="J134" i="30"/>
  <c r="Y134" i="26"/>
  <c r="N134" i="26"/>
  <c r="O134" i="26" s="1"/>
  <c r="N133" i="30"/>
  <c r="O133" i="30" s="1"/>
  <c r="L133" i="30"/>
  <c r="K133" i="30" s="1"/>
  <c r="H133" i="30"/>
  <c r="G133" i="30"/>
  <c r="B134" i="25"/>
  <c r="H134" i="29"/>
  <c r="G134" i="29"/>
  <c r="N134" i="29"/>
  <c r="O134" i="29" s="1"/>
  <c r="L134" i="29"/>
  <c r="N134" i="28"/>
  <c r="O134" i="28" s="1"/>
  <c r="H134" i="28"/>
  <c r="G134" i="28"/>
  <c r="L134" i="28"/>
  <c r="K134" i="28" s="1"/>
  <c r="K133" i="26"/>
  <c r="Q133" i="27"/>
  <c r="A136" i="26"/>
  <c r="B136" i="27"/>
  <c r="J136" i="27"/>
  <c r="A137" i="27"/>
  <c r="A136" i="28"/>
  <c r="Q133" i="28"/>
  <c r="J135" i="26"/>
  <c r="AD132" i="26"/>
  <c r="Q132" i="26"/>
  <c r="H132" i="26"/>
  <c r="G132" i="26"/>
  <c r="AC134" i="26"/>
  <c r="B158" i="17"/>
  <c r="N133" i="25"/>
  <c r="O133" i="25" s="1"/>
  <c r="J134" i="25"/>
  <c r="L134" i="26"/>
  <c r="K134" i="27"/>
  <c r="X135" i="26"/>
  <c r="A135" i="25"/>
  <c r="A136" i="29"/>
  <c r="J135" i="29"/>
  <c r="A135" i="30"/>
  <c r="B135" i="29"/>
  <c r="G134" i="27" l="1"/>
  <c r="H134" i="27"/>
  <c r="Q133" i="30"/>
  <c r="Q134" i="28"/>
  <c r="B135" i="25"/>
  <c r="H135" i="29"/>
  <c r="G135" i="29"/>
  <c r="N135" i="29"/>
  <c r="O135" i="29" s="1"/>
  <c r="L135" i="29"/>
  <c r="B135" i="30"/>
  <c r="J135" i="30"/>
  <c r="J135" i="25"/>
  <c r="A136" i="25"/>
  <c r="A137" i="29"/>
  <c r="J136" i="29"/>
  <c r="A136" i="30"/>
  <c r="B136" i="29"/>
  <c r="K134" i="26"/>
  <c r="Q134" i="27"/>
  <c r="AC135" i="26"/>
  <c r="J136" i="28"/>
  <c r="A137" i="26"/>
  <c r="J137" i="27"/>
  <c r="A138" i="27"/>
  <c r="B137" i="27"/>
  <c r="A137" i="28"/>
  <c r="J136" i="26"/>
  <c r="B136" i="26"/>
  <c r="N136" i="27"/>
  <c r="O136" i="27" s="1"/>
  <c r="L136" i="27"/>
  <c r="B136" i="28"/>
  <c r="X136" i="26"/>
  <c r="AD133" i="26"/>
  <c r="Q133" i="26"/>
  <c r="H133" i="26"/>
  <c r="G133" i="26"/>
  <c r="L134" i="25"/>
  <c r="K134" i="29"/>
  <c r="B159" i="17"/>
  <c r="N134" i="25"/>
  <c r="O134" i="25" s="1"/>
  <c r="L134" i="30"/>
  <c r="K134" i="30" s="1"/>
  <c r="G134" i="30"/>
  <c r="N134" i="30"/>
  <c r="O134" i="30" s="1"/>
  <c r="H134" i="30"/>
  <c r="N135" i="28"/>
  <c r="O135" i="28" s="1"/>
  <c r="L135" i="28"/>
  <c r="K135" i="28" s="1"/>
  <c r="H135" i="28"/>
  <c r="G135" i="28"/>
  <c r="L135" i="26"/>
  <c r="K135" i="27"/>
  <c r="Y135" i="26"/>
  <c r="N135" i="26"/>
  <c r="O135" i="26" s="1"/>
  <c r="Q132" i="25"/>
  <c r="G132" i="25"/>
  <c r="H157" i="17" s="1"/>
  <c r="H132" i="25"/>
  <c r="I157" i="17" s="1"/>
  <c r="K133" i="25"/>
  <c r="Q133" i="29"/>
  <c r="G135" i="27" l="1"/>
  <c r="H135" i="27"/>
  <c r="Q135" i="28"/>
  <c r="Q134" i="30"/>
  <c r="Q133" i="25"/>
  <c r="H133" i="25"/>
  <c r="I158" i="17" s="1"/>
  <c r="G133" i="25"/>
  <c r="H158" i="17" s="1"/>
  <c r="K134" i="25"/>
  <c r="Q134" i="29"/>
  <c r="AD134" i="26"/>
  <c r="Q134" i="26"/>
  <c r="H134" i="26"/>
  <c r="G134" i="26"/>
  <c r="K135" i="26"/>
  <c r="Q135" i="27"/>
  <c r="L136" i="28"/>
  <c r="K136" i="28" s="1"/>
  <c r="N136" i="28"/>
  <c r="O136" i="28" s="1"/>
  <c r="H136" i="28"/>
  <c r="G136" i="28"/>
  <c r="L136" i="26"/>
  <c r="K136" i="27"/>
  <c r="Y136" i="26"/>
  <c r="N136" i="26"/>
  <c r="O136" i="26" s="1"/>
  <c r="AC136" i="26"/>
  <c r="J137" i="28"/>
  <c r="B137" i="26"/>
  <c r="N137" i="27"/>
  <c r="O137" i="27" s="1"/>
  <c r="L137" i="27"/>
  <c r="B137" i="28"/>
  <c r="A138" i="26"/>
  <c r="B138" i="27"/>
  <c r="J138" i="27"/>
  <c r="A139" i="27"/>
  <c r="A138" i="28"/>
  <c r="J137" i="26"/>
  <c r="X137" i="26"/>
  <c r="B136" i="25"/>
  <c r="H136" i="29"/>
  <c r="G136" i="29"/>
  <c r="N136" i="29"/>
  <c r="O136" i="29" s="1"/>
  <c r="L136" i="29"/>
  <c r="J136" i="30"/>
  <c r="B136" i="30"/>
  <c r="J136" i="25"/>
  <c r="A137" i="25"/>
  <c r="A138" i="29"/>
  <c r="J137" i="29"/>
  <c r="B137" i="29"/>
  <c r="A137" i="30"/>
  <c r="H135" i="30"/>
  <c r="N135" i="30"/>
  <c r="O135" i="30" s="1"/>
  <c r="L135" i="30"/>
  <c r="K135" i="30" s="1"/>
  <c r="G135" i="30"/>
  <c r="L135" i="25"/>
  <c r="K135" i="29"/>
  <c r="B160" i="17"/>
  <c r="N135" i="25"/>
  <c r="O135" i="25" s="1"/>
  <c r="G136" i="27" l="1"/>
  <c r="H136" i="27"/>
  <c r="Q136" i="28"/>
  <c r="H134" i="25"/>
  <c r="I159" i="17" s="1"/>
  <c r="Q134" i="25"/>
  <c r="G134" i="25"/>
  <c r="H159" i="17" s="1"/>
  <c r="Q135" i="30"/>
  <c r="K136" i="26"/>
  <c r="Q136" i="27"/>
  <c r="K135" i="25"/>
  <c r="Q135" i="29"/>
  <c r="AD135" i="26"/>
  <c r="Q135" i="26"/>
  <c r="H135" i="26"/>
  <c r="G135" i="26"/>
  <c r="B137" i="30"/>
  <c r="J137" i="30"/>
  <c r="B137" i="25"/>
  <c r="H137" i="29"/>
  <c r="G137" i="29"/>
  <c r="N137" i="29"/>
  <c r="O137" i="29" s="1"/>
  <c r="L137" i="29"/>
  <c r="J137" i="25"/>
  <c r="A138" i="25"/>
  <c r="A139" i="29"/>
  <c r="J138" i="29"/>
  <c r="B138" i="29"/>
  <c r="A138" i="30"/>
  <c r="H136" i="30"/>
  <c r="G136" i="30"/>
  <c r="N136" i="30"/>
  <c r="O136" i="30" s="1"/>
  <c r="L136" i="30"/>
  <c r="K136" i="30" s="1"/>
  <c r="L136" i="25"/>
  <c r="K136" i="29"/>
  <c r="B161" i="17"/>
  <c r="N136" i="25"/>
  <c r="O136" i="25" s="1"/>
  <c r="AC137" i="26"/>
  <c r="J138" i="28"/>
  <c r="A139" i="26"/>
  <c r="J139" i="27"/>
  <c r="A140" i="27"/>
  <c r="B139" i="27"/>
  <c r="A139" i="28"/>
  <c r="J138" i="26"/>
  <c r="B138" i="26"/>
  <c r="N138" i="27"/>
  <c r="O138" i="27" s="1"/>
  <c r="L138" i="27"/>
  <c r="B138" i="28"/>
  <c r="X138" i="26"/>
  <c r="L137" i="28"/>
  <c r="K137" i="28" s="1"/>
  <c r="H137" i="28"/>
  <c r="G137" i="28"/>
  <c r="N137" i="28"/>
  <c r="O137" i="28" s="1"/>
  <c r="L137" i="26"/>
  <c r="K137" i="27"/>
  <c r="Y137" i="26"/>
  <c r="N137" i="26"/>
  <c r="O137" i="26" s="1"/>
  <c r="G137" i="27" l="1"/>
  <c r="H137" i="27"/>
  <c r="Q137" i="28"/>
  <c r="Q136" i="30"/>
  <c r="K137" i="26"/>
  <c r="Q137" i="27"/>
  <c r="Q135" i="25"/>
  <c r="G135" i="25"/>
  <c r="H160" i="17" s="1"/>
  <c r="H135" i="25"/>
  <c r="I160" i="17" s="1"/>
  <c r="K136" i="25"/>
  <c r="Q136" i="29"/>
  <c r="AD136" i="26"/>
  <c r="Q136" i="26"/>
  <c r="G136" i="26"/>
  <c r="H136" i="26"/>
  <c r="H138" i="28"/>
  <c r="N138" i="28"/>
  <c r="O138" i="28" s="1"/>
  <c r="L138" i="28"/>
  <c r="K138" i="28" s="1"/>
  <c r="G138" i="28"/>
  <c r="L138" i="26"/>
  <c r="K138" i="27"/>
  <c r="Y138" i="26"/>
  <c r="N138" i="26"/>
  <c r="O138" i="26" s="1"/>
  <c r="AC138" i="26"/>
  <c r="J139" i="28"/>
  <c r="B139" i="26"/>
  <c r="N139" i="27"/>
  <c r="O139" i="27" s="1"/>
  <c r="L139" i="27"/>
  <c r="B139" i="28"/>
  <c r="A140" i="26"/>
  <c r="B140" i="27"/>
  <c r="J140" i="27"/>
  <c r="A141" i="27"/>
  <c r="A140" i="28"/>
  <c r="J139" i="26"/>
  <c r="X139" i="26"/>
  <c r="B138" i="30"/>
  <c r="J138" i="30"/>
  <c r="B138" i="25"/>
  <c r="H138" i="29"/>
  <c r="G138" i="29"/>
  <c r="N138" i="29"/>
  <c r="O138" i="29" s="1"/>
  <c r="L138" i="29"/>
  <c r="J138" i="25"/>
  <c r="A139" i="25"/>
  <c r="A140" i="29"/>
  <c r="J139" i="29"/>
  <c r="A139" i="30"/>
  <c r="B139" i="29"/>
  <c r="L137" i="25"/>
  <c r="K137" i="29"/>
  <c r="B162" i="17"/>
  <c r="N137" i="25"/>
  <c r="O137" i="25" s="1"/>
  <c r="H137" i="30"/>
  <c r="G137" i="30"/>
  <c r="N137" i="30"/>
  <c r="O137" i="30" s="1"/>
  <c r="L137" i="30"/>
  <c r="K137" i="30" s="1"/>
  <c r="G138" i="27" l="1"/>
  <c r="H138" i="27"/>
  <c r="Q137" i="30"/>
  <c r="AD137" i="26"/>
  <c r="Q137" i="26"/>
  <c r="H137" i="26"/>
  <c r="G137" i="26"/>
  <c r="K138" i="26"/>
  <c r="Q138" i="27"/>
  <c r="Q136" i="25"/>
  <c r="H136" i="25"/>
  <c r="I161" i="17" s="1"/>
  <c r="G136" i="25"/>
  <c r="H161" i="17" s="1"/>
  <c r="Q138" i="28"/>
  <c r="K137" i="25"/>
  <c r="Q137" i="29"/>
  <c r="B139" i="25"/>
  <c r="H139" i="29"/>
  <c r="G139" i="29"/>
  <c r="N139" i="29"/>
  <c r="O139" i="29" s="1"/>
  <c r="L139" i="29"/>
  <c r="B139" i="30"/>
  <c r="J139" i="30"/>
  <c r="J139" i="25"/>
  <c r="A140" i="25"/>
  <c r="A141" i="29"/>
  <c r="J140" i="29"/>
  <c r="B140" i="29"/>
  <c r="A140" i="30"/>
  <c r="L138" i="25"/>
  <c r="K138" i="29"/>
  <c r="B163" i="17"/>
  <c r="N138" i="25"/>
  <c r="O138" i="25" s="1"/>
  <c r="G138" i="30"/>
  <c r="L138" i="30"/>
  <c r="K138" i="30" s="1"/>
  <c r="H138" i="30"/>
  <c r="N138" i="30"/>
  <c r="O138" i="30" s="1"/>
  <c r="AC139" i="26"/>
  <c r="J140" i="28"/>
  <c r="A141" i="26"/>
  <c r="J141" i="27"/>
  <c r="A142" i="27"/>
  <c r="B141" i="27"/>
  <c r="A141" i="28"/>
  <c r="J140" i="26"/>
  <c r="B140" i="26"/>
  <c r="N140" i="27"/>
  <c r="O140" i="27" s="1"/>
  <c r="L140" i="27"/>
  <c r="B140" i="28"/>
  <c r="X140" i="26"/>
  <c r="H139" i="28"/>
  <c r="G139" i="28"/>
  <c r="N139" i="28"/>
  <c r="O139" i="28" s="1"/>
  <c r="L139" i="28"/>
  <c r="K139" i="28" s="1"/>
  <c r="L139" i="26"/>
  <c r="K139" i="27"/>
  <c r="Y139" i="26"/>
  <c r="N139" i="26"/>
  <c r="O139" i="26" s="1"/>
  <c r="G139" i="27" l="1"/>
  <c r="H139" i="27"/>
  <c r="Q138" i="30"/>
  <c r="AD138" i="26"/>
  <c r="Q138" i="26"/>
  <c r="H138" i="26"/>
  <c r="G138" i="26"/>
  <c r="K138" i="25"/>
  <c r="Q138" i="29"/>
  <c r="K139" i="26"/>
  <c r="Q139" i="27"/>
  <c r="Q139" i="28"/>
  <c r="Q137" i="25"/>
  <c r="H137" i="25"/>
  <c r="I162" i="17" s="1"/>
  <c r="G137" i="25"/>
  <c r="H162" i="17" s="1"/>
  <c r="G140" i="28"/>
  <c r="N140" i="28"/>
  <c r="O140" i="28" s="1"/>
  <c r="L140" i="28"/>
  <c r="K140" i="28" s="1"/>
  <c r="H140" i="28"/>
  <c r="L140" i="26"/>
  <c r="K140" i="27"/>
  <c r="Y140" i="26"/>
  <c r="N140" i="26"/>
  <c r="O140" i="26" s="1"/>
  <c r="AC140" i="26"/>
  <c r="J141" i="28"/>
  <c r="B141" i="26"/>
  <c r="N141" i="27"/>
  <c r="O141" i="27" s="1"/>
  <c r="L141" i="27"/>
  <c r="B141" i="28"/>
  <c r="A142" i="26"/>
  <c r="B142" i="27"/>
  <c r="J142" i="27"/>
  <c r="A143" i="27"/>
  <c r="A142" i="28"/>
  <c r="J141" i="26"/>
  <c r="X141" i="26"/>
  <c r="J140" i="30"/>
  <c r="B140" i="30"/>
  <c r="B140" i="25"/>
  <c r="H140" i="29"/>
  <c r="G140" i="29"/>
  <c r="N140" i="29"/>
  <c r="O140" i="29" s="1"/>
  <c r="L140" i="29"/>
  <c r="J140" i="25"/>
  <c r="A141" i="25"/>
  <c r="A142" i="29"/>
  <c r="J141" i="29"/>
  <c r="B141" i="29"/>
  <c r="A141" i="30"/>
  <c r="N139" i="30"/>
  <c r="O139" i="30" s="1"/>
  <c r="H139" i="30"/>
  <c r="G139" i="30"/>
  <c r="L139" i="30"/>
  <c r="K139" i="30" s="1"/>
  <c r="L139" i="25"/>
  <c r="K139" i="29"/>
  <c r="B164" i="17"/>
  <c r="N139" i="25"/>
  <c r="O139" i="25" s="1"/>
  <c r="G140" i="27" l="1"/>
  <c r="H140" i="27"/>
  <c r="Q140" i="28"/>
  <c r="K140" i="26"/>
  <c r="Q140" i="27"/>
  <c r="Q138" i="25"/>
  <c r="H138" i="25"/>
  <c r="I163" i="17" s="1"/>
  <c r="G138" i="25"/>
  <c r="H163" i="17" s="1"/>
  <c r="K139" i="25"/>
  <c r="Q139" i="29"/>
  <c r="AD139" i="26"/>
  <c r="H139" i="26"/>
  <c r="G139" i="26"/>
  <c r="Q139" i="26"/>
  <c r="Q139" i="30"/>
  <c r="B141" i="30"/>
  <c r="J141" i="30"/>
  <c r="B141" i="25"/>
  <c r="H141" i="29"/>
  <c r="G141" i="29"/>
  <c r="N141" i="29"/>
  <c r="O141" i="29" s="1"/>
  <c r="L141" i="29"/>
  <c r="J141" i="25"/>
  <c r="A142" i="25"/>
  <c r="A143" i="29"/>
  <c r="J142" i="29"/>
  <c r="B142" i="29"/>
  <c r="A142" i="30"/>
  <c r="L140" i="25"/>
  <c r="K140" i="29"/>
  <c r="B165" i="17"/>
  <c r="N140" i="25"/>
  <c r="O140" i="25" s="1"/>
  <c r="N140" i="30"/>
  <c r="O140" i="30" s="1"/>
  <c r="L140" i="30"/>
  <c r="K140" i="30" s="1"/>
  <c r="H140" i="30"/>
  <c r="G140" i="30"/>
  <c r="AC141" i="26"/>
  <c r="J142" i="28"/>
  <c r="A143" i="26"/>
  <c r="J143" i="27"/>
  <c r="A144" i="27"/>
  <c r="B143" i="27"/>
  <c r="A143" i="28"/>
  <c r="J142" i="26"/>
  <c r="B142" i="26"/>
  <c r="N142" i="27"/>
  <c r="O142" i="27" s="1"/>
  <c r="L142" i="27"/>
  <c r="B142" i="28"/>
  <c r="X142" i="26"/>
  <c r="G141" i="28"/>
  <c r="N141" i="28"/>
  <c r="O141" i="28" s="1"/>
  <c r="L141" i="28"/>
  <c r="K141" i="28" s="1"/>
  <c r="H141" i="28"/>
  <c r="L141" i="26"/>
  <c r="K141" i="27"/>
  <c r="Y141" i="26"/>
  <c r="N141" i="26"/>
  <c r="O141" i="26" s="1"/>
  <c r="G141" i="27" l="1"/>
  <c r="H141" i="27"/>
  <c r="Q140" i="30"/>
  <c r="Q141" i="28"/>
  <c r="K140" i="25"/>
  <c r="Q140" i="29"/>
  <c r="K141" i="26"/>
  <c r="Q141" i="27"/>
  <c r="AD140" i="26"/>
  <c r="G140" i="26"/>
  <c r="Q140" i="26"/>
  <c r="H140" i="26"/>
  <c r="Q139" i="25"/>
  <c r="G139" i="25"/>
  <c r="H164" i="17" s="1"/>
  <c r="H139" i="25"/>
  <c r="I164" i="17" s="1"/>
  <c r="N142" i="28"/>
  <c r="O142" i="28" s="1"/>
  <c r="H142" i="28"/>
  <c r="G142" i="28"/>
  <c r="L142" i="28"/>
  <c r="K142" i="28" s="1"/>
  <c r="L142" i="26"/>
  <c r="K142" i="27"/>
  <c r="Y142" i="26"/>
  <c r="N142" i="26"/>
  <c r="O142" i="26" s="1"/>
  <c r="AC142" i="26"/>
  <c r="J143" i="28"/>
  <c r="B143" i="26"/>
  <c r="N143" i="27"/>
  <c r="O143" i="27" s="1"/>
  <c r="L143" i="27"/>
  <c r="B143" i="28"/>
  <c r="A144" i="26"/>
  <c r="B144" i="27"/>
  <c r="J144" i="27"/>
  <c r="A145" i="27"/>
  <c r="A144" i="28"/>
  <c r="J143" i="26"/>
  <c r="X143" i="26"/>
  <c r="B142" i="30"/>
  <c r="J142" i="30"/>
  <c r="B142" i="25"/>
  <c r="H142" i="29"/>
  <c r="G142" i="29"/>
  <c r="N142" i="29"/>
  <c r="O142" i="29" s="1"/>
  <c r="L142" i="29"/>
  <c r="J142" i="25"/>
  <c r="A143" i="25"/>
  <c r="A144" i="29"/>
  <c r="J143" i="29"/>
  <c r="A143" i="30"/>
  <c r="B143" i="29"/>
  <c r="L141" i="25"/>
  <c r="K141" i="29"/>
  <c r="B166" i="17"/>
  <c r="N141" i="25"/>
  <c r="O141" i="25" s="1"/>
  <c r="N141" i="30"/>
  <c r="O141" i="30" s="1"/>
  <c r="L141" i="30"/>
  <c r="K141" i="30" s="1"/>
  <c r="H141" i="30"/>
  <c r="G141" i="30"/>
  <c r="G142" i="27" l="1"/>
  <c r="H142" i="27"/>
  <c r="Q141" i="30"/>
  <c r="Q140" i="25"/>
  <c r="H140" i="25"/>
  <c r="I165" i="17" s="1"/>
  <c r="G140" i="25"/>
  <c r="H165" i="17" s="1"/>
  <c r="K142" i="26"/>
  <c r="Q142" i="27"/>
  <c r="AD141" i="26"/>
  <c r="Q141" i="26"/>
  <c r="H141" i="26"/>
  <c r="G141" i="26"/>
  <c r="K141" i="25"/>
  <c r="Q141" i="29"/>
  <c r="Q142" i="28"/>
  <c r="B143" i="25"/>
  <c r="H143" i="29"/>
  <c r="G143" i="29"/>
  <c r="N143" i="29"/>
  <c r="O143" i="29" s="1"/>
  <c r="L143" i="29"/>
  <c r="B143" i="30"/>
  <c r="J143" i="30"/>
  <c r="J143" i="25"/>
  <c r="A144" i="25"/>
  <c r="A145" i="29"/>
  <c r="J144" i="29"/>
  <c r="A144" i="30"/>
  <c r="B144" i="29"/>
  <c r="L142" i="25"/>
  <c r="K142" i="29"/>
  <c r="B167" i="17"/>
  <c r="N142" i="25"/>
  <c r="O142" i="25" s="1"/>
  <c r="L142" i="30"/>
  <c r="K142" i="30" s="1"/>
  <c r="G142" i="30"/>
  <c r="N142" i="30"/>
  <c r="O142" i="30" s="1"/>
  <c r="H142" i="30"/>
  <c r="AC143" i="26"/>
  <c r="J144" i="28"/>
  <c r="A145" i="26"/>
  <c r="J145" i="27"/>
  <c r="A146" i="27"/>
  <c r="B145" i="27"/>
  <c r="A145" i="28"/>
  <c r="J144" i="26"/>
  <c r="B144" i="26"/>
  <c r="N144" i="27"/>
  <c r="O144" i="27" s="1"/>
  <c r="L144" i="27"/>
  <c r="B144" i="28"/>
  <c r="X144" i="26"/>
  <c r="N143" i="28"/>
  <c r="O143" i="28" s="1"/>
  <c r="L143" i="28"/>
  <c r="K143" i="28" s="1"/>
  <c r="H143" i="28"/>
  <c r="G143" i="28"/>
  <c r="L143" i="26"/>
  <c r="K143" i="27"/>
  <c r="Y143" i="26"/>
  <c r="N143" i="26"/>
  <c r="O143" i="26" s="1"/>
  <c r="G143" i="27" l="1"/>
  <c r="H143" i="27"/>
  <c r="Q143" i="28"/>
  <c r="Q142" i="30"/>
  <c r="K142" i="25"/>
  <c r="Q142" i="29"/>
  <c r="K143" i="26"/>
  <c r="Q143" i="27"/>
  <c r="AD142" i="26"/>
  <c r="Q142" i="26"/>
  <c r="H142" i="26"/>
  <c r="G142" i="26"/>
  <c r="Q141" i="25"/>
  <c r="G141" i="25"/>
  <c r="H166" i="17" s="1"/>
  <c r="H141" i="25"/>
  <c r="I166" i="17" s="1"/>
  <c r="L144" i="28"/>
  <c r="K144" i="28" s="1"/>
  <c r="H144" i="28"/>
  <c r="G144" i="28"/>
  <c r="N144" i="28"/>
  <c r="O144" i="28" s="1"/>
  <c r="L144" i="26"/>
  <c r="K144" i="27"/>
  <c r="Y144" i="26"/>
  <c r="N144" i="26"/>
  <c r="O144" i="26" s="1"/>
  <c r="AC144" i="26"/>
  <c r="J145" i="28"/>
  <c r="B145" i="26"/>
  <c r="N145" i="27"/>
  <c r="O145" i="27" s="1"/>
  <c r="L145" i="27"/>
  <c r="B145" i="28"/>
  <c r="A146" i="26"/>
  <c r="B146" i="27"/>
  <c r="J146" i="27"/>
  <c r="A147" i="27"/>
  <c r="A146" i="28"/>
  <c r="J145" i="26"/>
  <c r="X145" i="26"/>
  <c r="B144" i="25"/>
  <c r="H144" i="29"/>
  <c r="G144" i="29"/>
  <c r="N144" i="29"/>
  <c r="O144" i="29" s="1"/>
  <c r="L144" i="29"/>
  <c r="J144" i="30"/>
  <c r="B144" i="30"/>
  <c r="J144" i="25"/>
  <c r="A145" i="25"/>
  <c r="A146" i="29"/>
  <c r="J145" i="29"/>
  <c r="B145" i="29"/>
  <c r="A145" i="30"/>
  <c r="H143" i="30"/>
  <c r="G143" i="30"/>
  <c r="N143" i="30"/>
  <c r="O143" i="30" s="1"/>
  <c r="L143" i="30"/>
  <c r="K143" i="30" s="1"/>
  <c r="L143" i="25"/>
  <c r="K143" i="29"/>
  <c r="B168" i="17"/>
  <c r="N143" i="25"/>
  <c r="O143" i="25" s="1"/>
  <c r="G144" i="27" l="1"/>
  <c r="H144" i="27"/>
  <c r="Q144" i="28"/>
  <c r="AD143" i="26"/>
  <c r="Q143" i="26"/>
  <c r="H143" i="26"/>
  <c r="G143" i="26"/>
  <c r="K144" i="26"/>
  <c r="Q144" i="27"/>
  <c r="K143" i="25"/>
  <c r="Q143" i="29"/>
  <c r="Q143" i="30"/>
  <c r="Q142" i="25"/>
  <c r="H142" i="25"/>
  <c r="I167" i="17" s="1"/>
  <c r="G142" i="25"/>
  <c r="H167" i="17" s="1"/>
  <c r="B145" i="30"/>
  <c r="J145" i="30"/>
  <c r="B145" i="25"/>
  <c r="H145" i="29"/>
  <c r="G145" i="29"/>
  <c r="N145" i="29"/>
  <c r="O145" i="29" s="1"/>
  <c r="L145" i="29"/>
  <c r="J145" i="25"/>
  <c r="A146" i="25"/>
  <c r="A147" i="29"/>
  <c r="J146" i="29"/>
  <c r="B146" i="29"/>
  <c r="A146" i="30"/>
  <c r="H144" i="30"/>
  <c r="G144" i="30"/>
  <c r="N144" i="30"/>
  <c r="O144" i="30" s="1"/>
  <c r="L144" i="30"/>
  <c r="K144" i="30" s="1"/>
  <c r="L144" i="25"/>
  <c r="K144" i="29"/>
  <c r="B169" i="17"/>
  <c r="N144" i="25"/>
  <c r="O144" i="25" s="1"/>
  <c r="AC145" i="26"/>
  <c r="J146" i="28"/>
  <c r="A147" i="26"/>
  <c r="J147" i="27"/>
  <c r="A148" i="27"/>
  <c r="B147" i="27"/>
  <c r="A147" i="28"/>
  <c r="J146" i="26"/>
  <c r="B146" i="26"/>
  <c r="N146" i="27"/>
  <c r="O146" i="27" s="1"/>
  <c r="L146" i="27"/>
  <c r="B146" i="28"/>
  <c r="X146" i="26"/>
  <c r="N145" i="28"/>
  <c r="O145" i="28" s="1"/>
  <c r="L145" i="28"/>
  <c r="K145" i="28" s="1"/>
  <c r="H145" i="28"/>
  <c r="G145" i="28"/>
  <c r="L145" i="26"/>
  <c r="K145" i="27"/>
  <c r="Y145" i="26"/>
  <c r="N145" i="26"/>
  <c r="O145" i="26" s="1"/>
  <c r="G145" i="27" l="1"/>
  <c r="H145" i="27"/>
  <c r="Q144" i="30"/>
  <c r="Q145" i="28"/>
  <c r="K144" i="25"/>
  <c r="Q144" i="29"/>
  <c r="K145" i="26"/>
  <c r="Q145" i="27"/>
  <c r="Q143" i="25"/>
  <c r="G143" i="25"/>
  <c r="H168" i="17" s="1"/>
  <c r="H143" i="25"/>
  <c r="I168" i="17" s="1"/>
  <c r="AD144" i="26"/>
  <c r="Q144" i="26"/>
  <c r="G144" i="26"/>
  <c r="H144" i="26"/>
  <c r="H146" i="28"/>
  <c r="N146" i="28"/>
  <c r="O146" i="28" s="1"/>
  <c r="L146" i="28"/>
  <c r="K146" i="28" s="1"/>
  <c r="G146" i="28"/>
  <c r="L146" i="26"/>
  <c r="K146" i="27"/>
  <c r="Y146" i="26"/>
  <c r="N146" i="26"/>
  <c r="O146" i="26" s="1"/>
  <c r="AC146" i="26"/>
  <c r="J147" i="28"/>
  <c r="B147" i="26"/>
  <c r="N147" i="27"/>
  <c r="O147" i="27" s="1"/>
  <c r="L147" i="27"/>
  <c r="B147" i="28"/>
  <c r="A148" i="26"/>
  <c r="B148" i="27"/>
  <c r="J148" i="27"/>
  <c r="A149" i="27"/>
  <c r="A148" i="28"/>
  <c r="J147" i="26"/>
  <c r="X147" i="26"/>
  <c r="B146" i="30"/>
  <c r="J146" i="30"/>
  <c r="B146" i="25"/>
  <c r="H146" i="29"/>
  <c r="G146" i="29"/>
  <c r="N146" i="29"/>
  <c r="O146" i="29" s="1"/>
  <c r="L146" i="29"/>
  <c r="J146" i="25"/>
  <c r="A147" i="25"/>
  <c r="A148" i="29"/>
  <c r="J147" i="29"/>
  <c r="A147" i="30"/>
  <c r="B147" i="29"/>
  <c r="L145" i="25"/>
  <c r="K145" i="29"/>
  <c r="B170" i="17"/>
  <c r="N145" i="25"/>
  <c r="O145" i="25" s="1"/>
  <c r="H145" i="30"/>
  <c r="G145" i="30"/>
  <c r="N145" i="30"/>
  <c r="O145" i="30" s="1"/>
  <c r="L145" i="30"/>
  <c r="K145" i="30" s="1"/>
  <c r="G146" i="27" l="1"/>
  <c r="H146" i="27"/>
  <c r="Q144" i="25"/>
  <c r="H144" i="25"/>
  <c r="I169" i="17" s="1"/>
  <c r="G144" i="25"/>
  <c r="H169" i="17" s="1"/>
  <c r="K146" i="26"/>
  <c r="Q146" i="27"/>
  <c r="K145" i="25"/>
  <c r="Q145" i="29"/>
  <c r="Q146" i="28"/>
  <c r="Q145" i="30"/>
  <c r="AD145" i="26"/>
  <c r="Q145" i="26"/>
  <c r="H145" i="26"/>
  <c r="G145" i="26"/>
  <c r="B147" i="25"/>
  <c r="H147" i="29"/>
  <c r="G147" i="29"/>
  <c r="N147" i="29"/>
  <c r="O147" i="29" s="1"/>
  <c r="L147" i="29"/>
  <c r="B147" i="30"/>
  <c r="J147" i="30"/>
  <c r="J147" i="25"/>
  <c r="A148" i="25"/>
  <c r="A149" i="29"/>
  <c r="J148" i="29"/>
  <c r="B148" i="29"/>
  <c r="A148" i="30"/>
  <c r="L146" i="25"/>
  <c r="K146" i="29"/>
  <c r="B171" i="17"/>
  <c r="N146" i="25"/>
  <c r="O146" i="25" s="1"/>
  <c r="G146" i="30"/>
  <c r="N146" i="30"/>
  <c r="O146" i="30" s="1"/>
  <c r="L146" i="30"/>
  <c r="K146" i="30" s="1"/>
  <c r="H146" i="30"/>
  <c r="AC147" i="26"/>
  <c r="J148" i="28"/>
  <c r="A149" i="26"/>
  <c r="J149" i="27"/>
  <c r="A150" i="27"/>
  <c r="B149" i="27"/>
  <c r="A149" i="28"/>
  <c r="J148" i="26"/>
  <c r="B148" i="26"/>
  <c r="N148" i="27"/>
  <c r="O148" i="27" s="1"/>
  <c r="L148" i="27"/>
  <c r="B148" i="28"/>
  <c r="X148" i="26"/>
  <c r="H147" i="28"/>
  <c r="G147" i="28"/>
  <c r="L147" i="28"/>
  <c r="K147" i="28" s="1"/>
  <c r="N147" i="28"/>
  <c r="O147" i="28" s="1"/>
  <c r="L147" i="26"/>
  <c r="K147" i="27"/>
  <c r="Y147" i="26"/>
  <c r="N147" i="26"/>
  <c r="O147" i="26" s="1"/>
  <c r="G147" i="27" l="1"/>
  <c r="H147" i="27"/>
  <c r="Q146" i="30"/>
  <c r="AD146" i="26"/>
  <c r="Q146" i="26"/>
  <c r="G146" i="26"/>
  <c r="H146" i="26"/>
  <c r="K146" i="25"/>
  <c r="Q146" i="29"/>
  <c r="Q147" i="28"/>
  <c r="K147" i="26"/>
  <c r="Q147" i="27"/>
  <c r="Q145" i="25"/>
  <c r="H145" i="25"/>
  <c r="I170" i="17" s="1"/>
  <c r="G145" i="25"/>
  <c r="H170" i="17" s="1"/>
  <c r="G148" i="28"/>
  <c r="N148" i="28"/>
  <c r="O148" i="28" s="1"/>
  <c r="L148" i="28"/>
  <c r="K148" i="28" s="1"/>
  <c r="H148" i="28"/>
  <c r="L148" i="26"/>
  <c r="K148" i="27"/>
  <c r="Y148" i="26"/>
  <c r="N148" i="26"/>
  <c r="O148" i="26" s="1"/>
  <c r="AC148" i="26"/>
  <c r="J149" i="28"/>
  <c r="B149" i="26"/>
  <c r="N149" i="27"/>
  <c r="O149" i="27" s="1"/>
  <c r="L149" i="27"/>
  <c r="B149" i="28"/>
  <c r="A150" i="26"/>
  <c r="B150" i="27"/>
  <c r="J150" i="27"/>
  <c r="A151" i="27"/>
  <c r="A150" i="28"/>
  <c r="J149" i="26"/>
  <c r="X149" i="26"/>
  <c r="B148" i="30"/>
  <c r="J148" i="30"/>
  <c r="B148" i="25"/>
  <c r="H148" i="29"/>
  <c r="G148" i="29"/>
  <c r="N148" i="29"/>
  <c r="O148" i="29" s="1"/>
  <c r="L148" i="29"/>
  <c r="J148" i="25"/>
  <c r="A149" i="25"/>
  <c r="A150" i="29"/>
  <c r="J149" i="29"/>
  <c r="B149" i="29"/>
  <c r="A149" i="30"/>
  <c r="N147" i="30"/>
  <c r="O147" i="30" s="1"/>
  <c r="L147" i="30"/>
  <c r="K147" i="30" s="1"/>
  <c r="H147" i="30"/>
  <c r="G147" i="30"/>
  <c r="L147" i="25"/>
  <c r="K147" i="29"/>
  <c r="B172" i="17"/>
  <c r="N147" i="25"/>
  <c r="O147" i="25" s="1"/>
  <c r="G148" i="27" l="1"/>
  <c r="H148" i="27"/>
  <c r="Q148" i="28"/>
  <c r="K147" i="25"/>
  <c r="Q147" i="29"/>
  <c r="AD147" i="26"/>
  <c r="Q147" i="26"/>
  <c r="H147" i="26"/>
  <c r="G147" i="26"/>
  <c r="Q147" i="30"/>
  <c r="K148" i="26"/>
  <c r="Q148" i="27"/>
  <c r="Q146" i="25"/>
  <c r="G146" i="25"/>
  <c r="H171" i="17" s="1"/>
  <c r="H146" i="25"/>
  <c r="I171" i="17" s="1"/>
  <c r="B149" i="30"/>
  <c r="J149" i="30"/>
  <c r="B149" i="25"/>
  <c r="H149" i="29"/>
  <c r="G149" i="29"/>
  <c r="N149" i="29"/>
  <c r="O149" i="29" s="1"/>
  <c r="L149" i="29"/>
  <c r="J149" i="25"/>
  <c r="A150" i="25"/>
  <c r="A151" i="29"/>
  <c r="J150" i="29"/>
  <c r="B150" i="29"/>
  <c r="A150" i="30"/>
  <c r="L148" i="25"/>
  <c r="K148" i="29"/>
  <c r="B173" i="17"/>
  <c r="N148" i="25"/>
  <c r="O148" i="25" s="1"/>
  <c r="N148" i="30"/>
  <c r="O148" i="30" s="1"/>
  <c r="L148" i="30"/>
  <c r="K148" i="30" s="1"/>
  <c r="H148" i="30"/>
  <c r="G148" i="30"/>
  <c r="AC149" i="26"/>
  <c r="J150" i="28"/>
  <c r="A151" i="26"/>
  <c r="J151" i="27"/>
  <c r="A152" i="27"/>
  <c r="B151" i="27"/>
  <c r="A151" i="28"/>
  <c r="J150" i="26"/>
  <c r="B150" i="26"/>
  <c r="N150" i="27"/>
  <c r="O150" i="27" s="1"/>
  <c r="L150" i="27"/>
  <c r="B150" i="28"/>
  <c r="X150" i="26"/>
  <c r="H149" i="28"/>
  <c r="G149" i="28"/>
  <c r="N149" i="28"/>
  <c r="O149" i="28" s="1"/>
  <c r="L149" i="28"/>
  <c r="K149" i="28" s="1"/>
  <c r="L149" i="26"/>
  <c r="K149" i="27"/>
  <c r="Y149" i="26"/>
  <c r="N149" i="26"/>
  <c r="O149" i="26" s="1"/>
  <c r="G149" i="27" l="1"/>
  <c r="H149" i="27"/>
  <c r="Q148" i="30"/>
  <c r="Q149" i="28"/>
  <c r="K149" i="26"/>
  <c r="Q149" i="27"/>
  <c r="Q147" i="25"/>
  <c r="H147" i="25"/>
  <c r="I172" i="17" s="1"/>
  <c r="G147" i="25"/>
  <c r="H172" i="17" s="1"/>
  <c r="AD148" i="26"/>
  <c r="G148" i="26"/>
  <c r="Q148" i="26"/>
  <c r="H148" i="26"/>
  <c r="K148" i="25"/>
  <c r="Q148" i="29"/>
  <c r="N150" i="28"/>
  <c r="O150" i="28" s="1"/>
  <c r="L150" i="28"/>
  <c r="K150" i="28" s="1"/>
  <c r="H150" i="28"/>
  <c r="G150" i="28"/>
  <c r="L150" i="26"/>
  <c r="K150" i="27"/>
  <c r="Y150" i="26"/>
  <c r="N150" i="26"/>
  <c r="O150" i="26" s="1"/>
  <c r="AC150" i="26"/>
  <c r="J151" i="28"/>
  <c r="B151" i="26"/>
  <c r="N151" i="27"/>
  <c r="O151" i="27" s="1"/>
  <c r="L151" i="27"/>
  <c r="B151" i="28"/>
  <c r="A152" i="26"/>
  <c r="B152" i="27"/>
  <c r="J152" i="27"/>
  <c r="A153" i="27"/>
  <c r="A152" i="28"/>
  <c r="J151" i="26"/>
  <c r="X151" i="26"/>
  <c r="B150" i="30"/>
  <c r="J150" i="30"/>
  <c r="B150" i="25"/>
  <c r="H150" i="29"/>
  <c r="G150" i="29"/>
  <c r="N150" i="29"/>
  <c r="O150" i="29" s="1"/>
  <c r="L150" i="29"/>
  <c r="J150" i="25"/>
  <c r="A151" i="25"/>
  <c r="A152" i="29"/>
  <c r="J151" i="29"/>
  <c r="A151" i="30"/>
  <c r="B151" i="29"/>
  <c r="L149" i="25"/>
  <c r="K149" i="29"/>
  <c r="B174" i="17"/>
  <c r="N149" i="25"/>
  <c r="O149" i="25" s="1"/>
  <c r="N149" i="30"/>
  <c r="O149" i="30" s="1"/>
  <c r="L149" i="30"/>
  <c r="K149" i="30" s="1"/>
  <c r="H149" i="30"/>
  <c r="G149" i="30"/>
  <c r="G150" i="27" l="1"/>
  <c r="H150" i="27"/>
  <c r="Q150" i="28"/>
  <c r="K150" i="26"/>
  <c r="Q150" i="27"/>
  <c r="Q149" i="30"/>
  <c r="K149" i="25"/>
  <c r="Q149" i="29"/>
  <c r="Q148" i="25"/>
  <c r="H148" i="25"/>
  <c r="I173" i="17" s="1"/>
  <c r="G148" i="25"/>
  <c r="H173" i="17" s="1"/>
  <c r="AD149" i="26"/>
  <c r="Q149" i="26"/>
  <c r="H149" i="26"/>
  <c r="G149" i="26"/>
  <c r="B151" i="25"/>
  <c r="H151" i="29"/>
  <c r="G151" i="29"/>
  <c r="N151" i="29"/>
  <c r="O151" i="29" s="1"/>
  <c r="L151" i="29"/>
  <c r="B151" i="30"/>
  <c r="J151" i="30"/>
  <c r="J151" i="25"/>
  <c r="A152" i="25"/>
  <c r="J152" i="29"/>
  <c r="A153" i="29"/>
  <c r="A152" i="30"/>
  <c r="B152" i="29"/>
  <c r="L150" i="25"/>
  <c r="K150" i="29"/>
  <c r="B175" i="17"/>
  <c r="N150" i="25"/>
  <c r="O150" i="25" s="1"/>
  <c r="L150" i="30"/>
  <c r="K150" i="30" s="1"/>
  <c r="H150" i="30"/>
  <c r="G150" i="30"/>
  <c r="N150" i="30"/>
  <c r="O150" i="30" s="1"/>
  <c r="AC151" i="26"/>
  <c r="J152" i="28"/>
  <c r="A153" i="26"/>
  <c r="J153" i="27"/>
  <c r="A154" i="27"/>
  <c r="B153" i="27"/>
  <c r="A153" i="28"/>
  <c r="J152" i="26"/>
  <c r="B152" i="26"/>
  <c r="N152" i="27"/>
  <c r="O152" i="27" s="1"/>
  <c r="L152" i="27"/>
  <c r="B152" i="28"/>
  <c r="X152" i="26"/>
  <c r="N151" i="28"/>
  <c r="O151" i="28" s="1"/>
  <c r="L151" i="28"/>
  <c r="K151" i="28" s="1"/>
  <c r="G151" i="28"/>
  <c r="H151" i="28"/>
  <c r="L151" i="26"/>
  <c r="K151" i="27"/>
  <c r="Y151" i="26"/>
  <c r="N151" i="26"/>
  <c r="O151" i="26" s="1"/>
  <c r="G151" i="27" l="1"/>
  <c r="H151" i="27"/>
  <c r="Q150" i="30"/>
  <c r="AD150" i="26"/>
  <c r="Q150" i="26"/>
  <c r="H150" i="26"/>
  <c r="G150" i="26"/>
  <c r="K151" i="26"/>
  <c r="Q151" i="27"/>
  <c r="G149" i="25"/>
  <c r="H174" i="17" s="1"/>
  <c r="Q149" i="25"/>
  <c r="H149" i="25"/>
  <c r="I174" i="17" s="1"/>
  <c r="Q151" i="28"/>
  <c r="K150" i="25"/>
  <c r="Q150" i="29"/>
  <c r="L152" i="28"/>
  <c r="K152" i="28" s="1"/>
  <c r="N152" i="28"/>
  <c r="O152" i="28" s="1"/>
  <c r="H152" i="28"/>
  <c r="G152" i="28"/>
  <c r="L152" i="26"/>
  <c r="K152" i="27"/>
  <c r="Y152" i="26"/>
  <c r="N152" i="26"/>
  <c r="O152" i="26" s="1"/>
  <c r="AC152" i="26"/>
  <c r="J153" i="28"/>
  <c r="B153" i="26"/>
  <c r="N153" i="27"/>
  <c r="O153" i="27" s="1"/>
  <c r="L153" i="27"/>
  <c r="B153" i="28"/>
  <c r="A154" i="26"/>
  <c r="B154" i="27"/>
  <c r="J154" i="27"/>
  <c r="A155" i="27"/>
  <c r="A154" i="28"/>
  <c r="J153" i="26"/>
  <c r="X153" i="26"/>
  <c r="B152" i="25"/>
  <c r="H152" i="29"/>
  <c r="G152" i="29"/>
  <c r="N152" i="29"/>
  <c r="O152" i="29" s="1"/>
  <c r="L152" i="29"/>
  <c r="J152" i="30"/>
  <c r="B152" i="30"/>
  <c r="A153" i="25"/>
  <c r="B153" i="29"/>
  <c r="J153" i="29"/>
  <c r="A154" i="29"/>
  <c r="A153" i="30"/>
  <c r="J152" i="25"/>
  <c r="H151" i="30"/>
  <c r="G151" i="30"/>
  <c r="N151" i="30"/>
  <c r="O151" i="30" s="1"/>
  <c r="L151" i="30"/>
  <c r="K151" i="30" s="1"/>
  <c r="L151" i="25"/>
  <c r="K151" i="29"/>
  <c r="B176" i="17"/>
  <c r="N151" i="25"/>
  <c r="O151" i="25" s="1"/>
  <c r="G152" i="27" l="1"/>
  <c r="H152" i="27"/>
  <c r="Q151" i="30"/>
  <c r="AD151" i="26"/>
  <c r="Q151" i="26"/>
  <c r="H151" i="26"/>
  <c r="G151" i="26"/>
  <c r="Q150" i="25"/>
  <c r="G150" i="25"/>
  <c r="H175" i="17" s="1"/>
  <c r="H150" i="25"/>
  <c r="I175" i="17" s="1"/>
  <c r="Q152" i="28"/>
  <c r="K152" i="26"/>
  <c r="Q152" i="27"/>
  <c r="K151" i="25"/>
  <c r="Q151" i="29"/>
  <c r="B153" i="30"/>
  <c r="J153" i="30"/>
  <c r="A154" i="25"/>
  <c r="B154" i="29"/>
  <c r="J154" i="29"/>
  <c r="A155" i="29"/>
  <c r="A154" i="30"/>
  <c r="J153" i="25"/>
  <c r="B153" i="25"/>
  <c r="H153" i="29"/>
  <c r="N153" i="29"/>
  <c r="O153" i="29" s="1"/>
  <c r="L153" i="29"/>
  <c r="G153" i="29"/>
  <c r="H152" i="30"/>
  <c r="G152" i="30"/>
  <c r="N152" i="30"/>
  <c r="O152" i="30" s="1"/>
  <c r="L152" i="30"/>
  <c r="K152" i="30" s="1"/>
  <c r="L152" i="25"/>
  <c r="K152" i="29"/>
  <c r="B177" i="17"/>
  <c r="N152" i="25"/>
  <c r="O152" i="25" s="1"/>
  <c r="AC153" i="26"/>
  <c r="J154" i="28"/>
  <c r="A155" i="26"/>
  <c r="J155" i="27"/>
  <c r="A156" i="27"/>
  <c r="B155" i="27"/>
  <c r="A155" i="28"/>
  <c r="J154" i="26"/>
  <c r="B154" i="26"/>
  <c r="N154" i="27"/>
  <c r="O154" i="27" s="1"/>
  <c r="L154" i="27"/>
  <c r="B154" i="28"/>
  <c r="X154" i="26"/>
  <c r="N153" i="28"/>
  <c r="O153" i="28" s="1"/>
  <c r="L153" i="28"/>
  <c r="K153" i="28" s="1"/>
  <c r="H153" i="28"/>
  <c r="G153" i="28"/>
  <c r="L153" i="26"/>
  <c r="K153" i="27"/>
  <c r="Y153" i="26"/>
  <c r="N153" i="26"/>
  <c r="O153" i="26" s="1"/>
  <c r="G153" i="27" l="1"/>
  <c r="H153" i="27"/>
  <c r="Q153" i="28"/>
  <c r="K152" i="25"/>
  <c r="Q152" i="29"/>
  <c r="Q151" i="25"/>
  <c r="G151" i="25"/>
  <c r="H176" i="17" s="1"/>
  <c r="H151" i="25"/>
  <c r="I176" i="17" s="1"/>
  <c r="AD152" i="26"/>
  <c r="Q152" i="26"/>
  <c r="H152" i="26"/>
  <c r="G152" i="26"/>
  <c r="Q152" i="30"/>
  <c r="K153" i="26"/>
  <c r="Q153" i="27"/>
  <c r="H154" i="28"/>
  <c r="G154" i="28"/>
  <c r="N154" i="28"/>
  <c r="O154" i="28" s="1"/>
  <c r="L154" i="28"/>
  <c r="K154" i="28" s="1"/>
  <c r="L154" i="26"/>
  <c r="K154" i="27"/>
  <c r="N154" i="26"/>
  <c r="O154" i="26" s="1"/>
  <c r="Y154" i="26"/>
  <c r="AC154" i="26"/>
  <c r="J155" i="28"/>
  <c r="B155" i="26"/>
  <c r="N155" i="27"/>
  <c r="O155" i="27" s="1"/>
  <c r="L155" i="27"/>
  <c r="B155" i="28"/>
  <c r="A156" i="26"/>
  <c r="B156" i="27"/>
  <c r="J156" i="27"/>
  <c r="A157" i="27"/>
  <c r="A156" i="28"/>
  <c r="J155" i="26"/>
  <c r="X155" i="26"/>
  <c r="L153" i="25"/>
  <c r="K153" i="29"/>
  <c r="B178" i="17"/>
  <c r="N153" i="25"/>
  <c r="O153" i="25" s="1"/>
  <c r="B154" i="30"/>
  <c r="J154" i="30"/>
  <c r="A155" i="25"/>
  <c r="A156" i="29"/>
  <c r="B155" i="29"/>
  <c r="A155" i="30"/>
  <c r="J155" i="29"/>
  <c r="J154" i="25"/>
  <c r="B154" i="25"/>
  <c r="H154" i="29"/>
  <c r="N154" i="29"/>
  <c r="O154" i="29" s="1"/>
  <c r="L154" i="29"/>
  <c r="G154" i="29"/>
  <c r="H153" i="30"/>
  <c r="G153" i="30"/>
  <c r="N153" i="30"/>
  <c r="O153" i="30" s="1"/>
  <c r="L153" i="30"/>
  <c r="K153" i="30" s="1"/>
  <c r="G154" i="27" l="1"/>
  <c r="H154" i="27"/>
  <c r="K154" i="26"/>
  <c r="Q154" i="27"/>
  <c r="Q152" i="25"/>
  <c r="G152" i="25"/>
  <c r="H177" i="17" s="1"/>
  <c r="H152" i="25"/>
  <c r="I177" i="17" s="1"/>
  <c r="Q154" i="28"/>
  <c r="K153" i="25"/>
  <c r="Q153" i="29"/>
  <c r="Q153" i="30"/>
  <c r="AD153" i="26"/>
  <c r="Q153" i="26"/>
  <c r="H153" i="26"/>
  <c r="G153" i="26"/>
  <c r="L154" i="25"/>
  <c r="K154" i="29"/>
  <c r="B179" i="17"/>
  <c r="N154" i="25"/>
  <c r="O154" i="25" s="1"/>
  <c r="J155" i="25"/>
  <c r="B155" i="30"/>
  <c r="J155" i="30"/>
  <c r="B155" i="25"/>
  <c r="H155" i="29"/>
  <c r="G155" i="29"/>
  <c r="N155" i="29"/>
  <c r="O155" i="29" s="1"/>
  <c r="L155" i="29"/>
  <c r="A156" i="25"/>
  <c r="J156" i="29"/>
  <c r="A157" i="29"/>
  <c r="A156" i="30"/>
  <c r="B156" i="29"/>
  <c r="G154" i="30"/>
  <c r="N154" i="30"/>
  <c r="O154" i="30" s="1"/>
  <c r="L154" i="30"/>
  <c r="K154" i="30" s="1"/>
  <c r="H154" i="30"/>
  <c r="AC155" i="26"/>
  <c r="J156" i="28"/>
  <c r="A157" i="26"/>
  <c r="J157" i="27"/>
  <c r="A158" i="27"/>
  <c r="B157" i="27"/>
  <c r="A157" i="28"/>
  <c r="J156" i="26"/>
  <c r="B156" i="26"/>
  <c r="N156" i="27"/>
  <c r="O156" i="27" s="1"/>
  <c r="L156" i="27"/>
  <c r="B156" i="28"/>
  <c r="X156" i="26"/>
  <c r="H155" i="28"/>
  <c r="G155" i="28"/>
  <c r="N155" i="28"/>
  <c r="O155" i="28" s="1"/>
  <c r="L155" i="28"/>
  <c r="K155" i="28" s="1"/>
  <c r="L155" i="26"/>
  <c r="K155" i="27"/>
  <c r="Y155" i="26"/>
  <c r="N155" i="26"/>
  <c r="O155" i="26" s="1"/>
  <c r="G155" i="27" l="1"/>
  <c r="H155" i="27"/>
  <c r="Q155" i="28"/>
  <c r="Q154" i="30"/>
  <c r="K155" i="26"/>
  <c r="Q155" i="27"/>
  <c r="K154" i="25"/>
  <c r="Q154" i="29"/>
  <c r="AD154" i="26"/>
  <c r="Q154" i="26"/>
  <c r="G154" i="26"/>
  <c r="H154" i="26"/>
  <c r="H153" i="25"/>
  <c r="I178" i="17" s="1"/>
  <c r="Q153" i="25"/>
  <c r="G153" i="25"/>
  <c r="H178" i="17" s="1"/>
  <c r="G156" i="28"/>
  <c r="H156" i="28"/>
  <c r="N156" i="28"/>
  <c r="O156" i="28" s="1"/>
  <c r="L156" i="28"/>
  <c r="K156" i="28" s="1"/>
  <c r="L156" i="26"/>
  <c r="K156" i="27"/>
  <c r="Y156" i="26"/>
  <c r="N156" i="26"/>
  <c r="O156" i="26" s="1"/>
  <c r="AC156" i="26"/>
  <c r="J157" i="28"/>
  <c r="B157" i="26"/>
  <c r="N157" i="27"/>
  <c r="O157" i="27" s="1"/>
  <c r="L157" i="27"/>
  <c r="B157" i="28"/>
  <c r="A158" i="26"/>
  <c r="B158" i="27"/>
  <c r="J158" i="27"/>
  <c r="A159" i="27"/>
  <c r="A158" i="28"/>
  <c r="J157" i="26"/>
  <c r="X157" i="26"/>
  <c r="B156" i="25"/>
  <c r="H156" i="29"/>
  <c r="G156" i="29"/>
  <c r="N156" i="29"/>
  <c r="O156" i="29" s="1"/>
  <c r="L156" i="29"/>
  <c r="B156" i="30"/>
  <c r="J156" i="30"/>
  <c r="A157" i="25"/>
  <c r="B157" i="29"/>
  <c r="J157" i="29"/>
  <c r="A158" i="29"/>
  <c r="A157" i="30"/>
  <c r="J156" i="25"/>
  <c r="L155" i="25"/>
  <c r="K155" i="29"/>
  <c r="B180" i="17"/>
  <c r="N155" i="25"/>
  <c r="O155" i="25" s="1"/>
  <c r="N155" i="30"/>
  <c r="O155" i="30" s="1"/>
  <c r="L155" i="30"/>
  <c r="K155" i="30" s="1"/>
  <c r="H155" i="30"/>
  <c r="G155" i="30"/>
  <c r="G156" i="27" l="1"/>
  <c r="H156" i="27"/>
  <c r="Q155" i="30"/>
  <c r="Q156" i="28"/>
  <c r="AD155" i="26"/>
  <c r="Q155" i="26"/>
  <c r="H155" i="26"/>
  <c r="G155" i="26"/>
  <c r="K155" i="25"/>
  <c r="Q155" i="29"/>
  <c r="K156" i="26"/>
  <c r="Q156" i="27"/>
  <c r="Q154" i="25"/>
  <c r="H154" i="25"/>
  <c r="I179" i="17" s="1"/>
  <c r="G154" i="25"/>
  <c r="H179" i="17" s="1"/>
  <c r="B157" i="30"/>
  <c r="J157" i="30"/>
  <c r="A158" i="25"/>
  <c r="B158" i="29"/>
  <c r="J158" i="29"/>
  <c r="A159" i="29"/>
  <c r="A158" i="30"/>
  <c r="J157" i="25"/>
  <c r="B157" i="25"/>
  <c r="H157" i="29"/>
  <c r="N157" i="29"/>
  <c r="O157" i="29" s="1"/>
  <c r="L157" i="29"/>
  <c r="G157" i="29"/>
  <c r="N156" i="30"/>
  <c r="O156" i="30" s="1"/>
  <c r="L156" i="30"/>
  <c r="K156" i="30" s="1"/>
  <c r="H156" i="30"/>
  <c r="G156" i="30"/>
  <c r="L156" i="25"/>
  <c r="K156" i="29"/>
  <c r="B181" i="17"/>
  <c r="N156" i="25"/>
  <c r="O156" i="25" s="1"/>
  <c r="AC157" i="26"/>
  <c r="J158" i="28"/>
  <c r="A159" i="26"/>
  <c r="J159" i="27"/>
  <c r="A160" i="27"/>
  <c r="B159" i="27"/>
  <c r="A159" i="28"/>
  <c r="J158" i="26"/>
  <c r="B158" i="26"/>
  <c r="N158" i="27"/>
  <c r="O158" i="27" s="1"/>
  <c r="L158" i="27"/>
  <c r="B158" i="28"/>
  <c r="X158" i="26"/>
  <c r="L157" i="28"/>
  <c r="K157" i="28" s="1"/>
  <c r="H157" i="28"/>
  <c r="G157" i="28"/>
  <c r="N157" i="28"/>
  <c r="O157" i="28" s="1"/>
  <c r="L157" i="26"/>
  <c r="K157" i="27"/>
  <c r="Y157" i="26"/>
  <c r="N157" i="26"/>
  <c r="O157" i="26" s="1"/>
  <c r="G157" i="27" l="1"/>
  <c r="H157" i="27"/>
  <c r="Q156" i="30"/>
  <c r="Q157" i="28"/>
  <c r="K156" i="25"/>
  <c r="Q156" i="29"/>
  <c r="AD156" i="26"/>
  <c r="Q156" i="26"/>
  <c r="G156" i="26"/>
  <c r="H156" i="26"/>
  <c r="Q155" i="25"/>
  <c r="H155" i="25"/>
  <c r="I180" i="17" s="1"/>
  <c r="G155" i="25"/>
  <c r="H180" i="17" s="1"/>
  <c r="K157" i="26"/>
  <c r="Q157" i="27"/>
  <c r="N158" i="28"/>
  <c r="O158" i="28" s="1"/>
  <c r="L158" i="28"/>
  <c r="K158" i="28" s="1"/>
  <c r="H158" i="28"/>
  <c r="G158" i="28"/>
  <c r="L158" i="26"/>
  <c r="K158" i="27"/>
  <c r="Y158" i="26"/>
  <c r="N158" i="26"/>
  <c r="O158" i="26" s="1"/>
  <c r="AC158" i="26"/>
  <c r="J159" i="28"/>
  <c r="B159" i="26"/>
  <c r="N159" i="27"/>
  <c r="O159" i="27" s="1"/>
  <c r="L159" i="27"/>
  <c r="B159" i="28"/>
  <c r="A160" i="26"/>
  <c r="B160" i="27"/>
  <c r="J160" i="27"/>
  <c r="A161" i="27"/>
  <c r="A160" i="28"/>
  <c r="J159" i="26"/>
  <c r="X159" i="26"/>
  <c r="L157" i="25"/>
  <c r="K157" i="29"/>
  <c r="B182" i="17"/>
  <c r="N157" i="25"/>
  <c r="O157" i="25" s="1"/>
  <c r="B158" i="30"/>
  <c r="J158" i="30"/>
  <c r="A159" i="25"/>
  <c r="A160" i="29"/>
  <c r="B159" i="29"/>
  <c r="A159" i="30"/>
  <c r="J159" i="29"/>
  <c r="J158" i="25"/>
  <c r="B158" i="25"/>
  <c r="H158" i="29"/>
  <c r="N158" i="29"/>
  <c r="O158" i="29" s="1"/>
  <c r="L158" i="29"/>
  <c r="G158" i="29"/>
  <c r="N157" i="30"/>
  <c r="O157" i="30" s="1"/>
  <c r="L157" i="30"/>
  <c r="K157" i="30" s="1"/>
  <c r="H157" i="30"/>
  <c r="G157" i="30"/>
  <c r="G158" i="27" l="1"/>
  <c r="H158" i="27"/>
  <c r="Q157" i="30"/>
  <c r="K158" i="26"/>
  <c r="Q158" i="27"/>
  <c r="AD157" i="26"/>
  <c r="G157" i="26"/>
  <c r="Q157" i="26"/>
  <c r="H157" i="26"/>
  <c r="Q156" i="25"/>
  <c r="H156" i="25"/>
  <c r="I181" i="17" s="1"/>
  <c r="G156" i="25"/>
  <c r="H181" i="17" s="1"/>
  <c r="K157" i="25"/>
  <c r="Q157" i="29"/>
  <c r="Q158" i="28"/>
  <c r="L158" i="25"/>
  <c r="K158" i="29"/>
  <c r="B183" i="17"/>
  <c r="N158" i="25"/>
  <c r="O158" i="25" s="1"/>
  <c r="J159" i="25"/>
  <c r="B159" i="30"/>
  <c r="J159" i="30"/>
  <c r="B159" i="25"/>
  <c r="H159" i="29"/>
  <c r="G159" i="29"/>
  <c r="N159" i="29"/>
  <c r="O159" i="29" s="1"/>
  <c r="L159" i="29"/>
  <c r="A160" i="25"/>
  <c r="J160" i="29"/>
  <c r="A161" i="29"/>
  <c r="A160" i="30"/>
  <c r="B160" i="29"/>
  <c r="L158" i="30"/>
  <c r="K158" i="30" s="1"/>
  <c r="H158" i="30"/>
  <c r="G158" i="30"/>
  <c r="N158" i="30"/>
  <c r="O158" i="30" s="1"/>
  <c r="AC159" i="26"/>
  <c r="J160" i="28"/>
  <c r="A161" i="26"/>
  <c r="J161" i="27"/>
  <c r="A162" i="27"/>
  <c r="B161" i="27"/>
  <c r="A161" i="28"/>
  <c r="J160" i="26"/>
  <c r="B160" i="26"/>
  <c r="N160" i="27"/>
  <c r="O160" i="27" s="1"/>
  <c r="L160" i="27"/>
  <c r="B160" i="28"/>
  <c r="X160" i="26"/>
  <c r="N159" i="28"/>
  <c r="O159" i="28" s="1"/>
  <c r="L159" i="28"/>
  <c r="K159" i="28" s="1"/>
  <c r="H159" i="28"/>
  <c r="G159" i="28"/>
  <c r="L159" i="26"/>
  <c r="K159" i="27"/>
  <c r="Y159" i="26"/>
  <c r="N159" i="26"/>
  <c r="O159" i="26" s="1"/>
  <c r="G159" i="27" l="1"/>
  <c r="H159" i="27"/>
  <c r="Q157" i="25"/>
  <c r="H157" i="25"/>
  <c r="I182" i="17" s="1"/>
  <c r="G157" i="25"/>
  <c r="H182" i="17" s="1"/>
  <c r="AD158" i="26"/>
  <c r="Q158" i="26"/>
  <c r="H158" i="26"/>
  <c r="G158" i="26"/>
  <c r="Q158" i="30"/>
  <c r="Q159" i="28"/>
  <c r="K159" i="26"/>
  <c r="Q159" i="27"/>
  <c r="K158" i="25"/>
  <c r="Q158" i="29"/>
  <c r="L160" i="28"/>
  <c r="K160" i="28" s="1"/>
  <c r="N160" i="28"/>
  <c r="O160" i="28" s="1"/>
  <c r="H160" i="28"/>
  <c r="G160" i="28"/>
  <c r="L160" i="26"/>
  <c r="K160" i="27"/>
  <c r="Y160" i="26"/>
  <c r="N160" i="26"/>
  <c r="O160" i="26" s="1"/>
  <c r="AC160" i="26"/>
  <c r="J161" i="28"/>
  <c r="B161" i="26"/>
  <c r="N161" i="27"/>
  <c r="O161" i="27" s="1"/>
  <c r="L161" i="27"/>
  <c r="B161" i="28"/>
  <c r="A162" i="26"/>
  <c r="B162" i="27"/>
  <c r="J162" i="27"/>
  <c r="A163" i="27"/>
  <c r="A162" i="28"/>
  <c r="J161" i="26"/>
  <c r="X161" i="26"/>
  <c r="B160" i="25"/>
  <c r="H160" i="29"/>
  <c r="G160" i="29"/>
  <c r="N160" i="29"/>
  <c r="O160" i="29" s="1"/>
  <c r="L160" i="29"/>
  <c r="J160" i="30"/>
  <c r="B160" i="30"/>
  <c r="A161" i="25"/>
  <c r="B161" i="29"/>
  <c r="J161" i="29"/>
  <c r="A162" i="29"/>
  <c r="A161" i="30"/>
  <c r="J160" i="25"/>
  <c r="L159" i="25"/>
  <c r="K159" i="29"/>
  <c r="B184" i="17"/>
  <c r="N159" i="25"/>
  <c r="O159" i="25" s="1"/>
  <c r="H159" i="30"/>
  <c r="G159" i="30"/>
  <c r="N159" i="30"/>
  <c r="O159" i="30" s="1"/>
  <c r="L159" i="30"/>
  <c r="K159" i="30" s="1"/>
  <c r="G160" i="27" l="1"/>
  <c r="H160" i="27"/>
  <c r="Q160" i="28"/>
  <c r="K160" i="26"/>
  <c r="Q160" i="27"/>
  <c r="Q159" i="30"/>
  <c r="K159" i="25"/>
  <c r="Q159" i="29"/>
  <c r="Q158" i="25"/>
  <c r="G158" i="25"/>
  <c r="H183" i="17" s="1"/>
  <c r="H158" i="25"/>
  <c r="I183" i="17" s="1"/>
  <c r="AD159" i="26"/>
  <c r="Q159" i="26"/>
  <c r="H159" i="26"/>
  <c r="G159" i="26"/>
  <c r="B161" i="30"/>
  <c r="J161" i="30"/>
  <c r="A162" i="25"/>
  <c r="B162" i="29"/>
  <c r="J162" i="29"/>
  <c r="A163" i="29"/>
  <c r="A162" i="30"/>
  <c r="J161" i="25"/>
  <c r="B161" i="25"/>
  <c r="H161" i="29"/>
  <c r="N161" i="29"/>
  <c r="O161" i="29" s="1"/>
  <c r="L161" i="29"/>
  <c r="G161" i="29"/>
  <c r="H160" i="30"/>
  <c r="G160" i="30"/>
  <c r="N160" i="30"/>
  <c r="O160" i="30" s="1"/>
  <c r="L160" i="30"/>
  <c r="K160" i="30" s="1"/>
  <c r="L160" i="25"/>
  <c r="K160" i="29"/>
  <c r="B185" i="17"/>
  <c r="N160" i="25"/>
  <c r="O160" i="25" s="1"/>
  <c r="AC161" i="26"/>
  <c r="J162" i="28"/>
  <c r="A163" i="26"/>
  <c r="J163" i="27"/>
  <c r="A164" i="27"/>
  <c r="B163" i="27"/>
  <c r="A163" i="28"/>
  <c r="J162" i="26"/>
  <c r="B162" i="26"/>
  <c r="N162" i="27"/>
  <c r="O162" i="27" s="1"/>
  <c r="L162" i="27"/>
  <c r="B162" i="28"/>
  <c r="X162" i="26"/>
  <c r="G161" i="28"/>
  <c r="N161" i="28"/>
  <c r="O161" i="28" s="1"/>
  <c r="L161" i="28"/>
  <c r="K161" i="28" s="1"/>
  <c r="H161" i="28"/>
  <c r="L161" i="26"/>
  <c r="K161" i="27"/>
  <c r="Y161" i="26"/>
  <c r="N161" i="26"/>
  <c r="O161" i="26" s="1"/>
  <c r="G161" i="27" l="1"/>
  <c r="H161" i="27"/>
  <c r="Q160" i="30"/>
  <c r="Q161" i="28"/>
  <c r="K160" i="25"/>
  <c r="Q160" i="29"/>
  <c r="Q159" i="25"/>
  <c r="H159" i="25"/>
  <c r="I184" i="17" s="1"/>
  <c r="G159" i="25"/>
  <c r="H184" i="17" s="1"/>
  <c r="AD160" i="26"/>
  <c r="G160" i="26"/>
  <c r="Q160" i="26"/>
  <c r="H160" i="26"/>
  <c r="K161" i="26"/>
  <c r="Q161" i="27"/>
  <c r="H162" i="28"/>
  <c r="N162" i="28"/>
  <c r="O162" i="28" s="1"/>
  <c r="L162" i="28"/>
  <c r="K162" i="28" s="1"/>
  <c r="G162" i="28"/>
  <c r="L162" i="26"/>
  <c r="K162" i="27"/>
  <c r="Y162" i="26"/>
  <c r="N162" i="26"/>
  <c r="O162" i="26" s="1"/>
  <c r="AC162" i="26"/>
  <c r="J163" i="28"/>
  <c r="B163" i="26"/>
  <c r="N163" i="27"/>
  <c r="O163" i="27" s="1"/>
  <c r="L163" i="27"/>
  <c r="B163" i="28"/>
  <c r="A164" i="26"/>
  <c r="B164" i="27"/>
  <c r="J164" i="27"/>
  <c r="A165" i="27"/>
  <c r="A164" i="28"/>
  <c r="J163" i="26"/>
  <c r="X163" i="26"/>
  <c r="L161" i="25"/>
  <c r="K161" i="29"/>
  <c r="B186" i="17"/>
  <c r="N161" i="25"/>
  <c r="O161" i="25" s="1"/>
  <c r="B162" i="30"/>
  <c r="J162" i="30"/>
  <c r="A163" i="25"/>
  <c r="A164" i="29"/>
  <c r="B163" i="29"/>
  <c r="J163" i="29"/>
  <c r="A163" i="30"/>
  <c r="J162" i="25"/>
  <c r="B162" i="25"/>
  <c r="H162" i="29"/>
  <c r="N162" i="29"/>
  <c r="O162" i="29" s="1"/>
  <c r="L162" i="29"/>
  <c r="G162" i="29"/>
  <c r="H161" i="30"/>
  <c r="G161" i="30"/>
  <c r="N161" i="30"/>
  <c r="O161" i="30" s="1"/>
  <c r="L161" i="30"/>
  <c r="K161" i="30" s="1"/>
  <c r="G162" i="27" l="1"/>
  <c r="H162" i="27"/>
  <c r="Q161" i="30"/>
  <c r="Q162" i="28"/>
  <c r="K162" i="26"/>
  <c r="Q162" i="27"/>
  <c r="Q160" i="25"/>
  <c r="G160" i="25"/>
  <c r="H185" i="17" s="1"/>
  <c r="H160" i="25"/>
  <c r="I185" i="17" s="1"/>
  <c r="K161" i="25"/>
  <c r="Q161" i="29"/>
  <c r="AD161" i="26"/>
  <c r="Q161" i="26"/>
  <c r="H161" i="26"/>
  <c r="G161" i="26"/>
  <c r="L162" i="25"/>
  <c r="K162" i="29"/>
  <c r="B187" i="17"/>
  <c r="N162" i="25"/>
  <c r="O162" i="25" s="1"/>
  <c r="B163" i="30"/>
  <c r="J163" i="30"/>
  <c r="J163" i="25"/>
  <c r="B163" i="25"/>
  <c r="H163" i="29"/>
  <c r="G163" i="29"/>
  <c r="N163" i="29"/>
  <c r="O163" i="29" s="1"/>
  <c r="L163" i="29"/>
  <c r="A164" i="25"/>
  <c r="J164" i="29"/>
  <c r="A165" i="29"/>
  <c r="A164" i="30"/>
  <c r="B164" i="29"/>
  <c r="G162" i="30"/>
  <c r="N162" i="30"/>
  <c r="O162" i="30" s="1"/>
  <c r="L162" i="30"/>
  <c r="K162" i="30" s="1"/>
  <c r="H162" i="30"/>
  <c r="AC163" i="26"/>
  <c r="J164" i="28"/>
  <c r="A165" i="26"/>
  <c r="J165" i="27"/>
  <c r="A166" i="27"/>
  <c r="B165" i="27"/>
  <c r="A165" i="28"/>
  <c r="J164" i="26"/>
  <c r="B164" i="26"/>
  <c r="N164" i="27"/>
  <c r="O164" i="27" s="1"/>
  <c r="L164" i="27"/>
  <c r="B164" i="28"/>
  <c r="X164" i="26"/>
  <c r="H163" i="28"/>
  <c r="G163" i="28"/>
  <c r="N163" i="28"/>
  <c r="O163" i="28" s="1"/>
  <c r="L163" i="28"/>
  <c r="K163" i="28" s="1"/>
  <c r="L163" i="26"/>
  <c r="K163" i="27"/>
  <c r="Y163" i="26"/>
  <c r="N163" i="26"/>
  <c r="O163" i="26" s="1"/>
  <c r="G163" i="27" l="1"/>
  <c r="H163" i="27"/>
  <c r="Q163" i="28"/>
  <c r="Q162" i="30"/>
  <c r="G161" i="25"/>
  <c r="H186" i="17" s="1"/>
  <c r="H161" i="25"/>
  <c r="I186" i="17" s="1"/>
  <c r="Q161" i="25"/>
  <c r="AD162" i="26"/>
  <c r="H162" i="26"/>
  <c r="G162" i="26"/>
  <c r="Q162" i="26"/>
  <c r="K163" i="26"/>
  <c r="Q163" i="27"/>
  <c r="K162" i="25"/>
  <c r="Q162" i="29"/>
  <c r="G164" i="28"/>
  <c r="H164" i="28"/>
  <c r="N164" i="28"/>
  <c r="O164" i="28" s="1"/>
  <c r="L164" i="28"/>
  <c r="K164" i="28" s="1"/>
  <c r="L164" i="26"/>
  <c r="K164" i="27"/>
  <c r="Y164" i="26"/>
  <c r="N164" i="26"/>
  <c r="O164" i="26" s="1"/>
  <c r="AC164" i="26"/>
  <c r="J165" i="28"/>
  <c r="B165" i="26"/>
  <c r="N165" i="27"/>
  <c r="O165" i="27" s="1"/>
  <c r="L165" i="27"/>
  <c r="B165" i="28"/>
  <c r="A166" i="26"/>
  <c r="B166" i="27"/>
  <c r="J166" i="27"/>
  <c r="A167" i="27"/>
  <c r="A166" i="28"/>
  <c r="J165" i="26"/>
  <c r="X165" i="26"/>
  <c r="B164" i="25"/>
  <c r="H164" i="29"/>
  <c r="G164" i="29"/>
  <c r="N164" i="29"/>
  <c r="O164" i="29" s="1"/>
  <c r="L164" i="29"/>
  <c r="B164" i="30"/>
  <c r="J164" i="30"/>
  <c r="A165" i="25"/>
  <c r="B165" i="29"/>
  <c r="J165" i="29"/>
  <c r="A166" i="29"/>
  <c r="A165" i="30"/>
  <c r="J164" i="25"/>
  <c r="L163" i="25"/>
  <c r="K163" i="29"/>
  <c r="B188" i="17"/>
  <c r="N163" i="25"/>
  <c r="O163" i="25" s="1"/>
  <c r="N163" i="30"/>
  <c r="O163" i="30" s="1"/>
  <c r="L163" i="30"/>
  <c r="K163" i="30" s="1"/>
  <c r="H163" i="30"/>
  <c r="G163" i="30"/>
  <c r="G164" i="27" l="1"/>
  <c r="H164" i="27"/>
  <c r="Q164" i="28"/>
  <c r="AD163" i="26"/>
  <c r="G163" i="26"/>
  <c r="Q163" i="26"/>
  <c r="H163" i="26"/>
  <c r="K163" i="25"/>
  <c r="Q163" i="29"/>
  <c r="Q162" i="25"/>
  <c r="G162" i="25"/>
  <c r="H187" i="17" s="1"/>
  <c r="H162" i="25"/>
  <c r="I187" i="17" s="1"/>
  <c r="Q163" i="30"/>
  <c r="K164" i="26"/>
  <c r="Q164" i="27"/>
  <c r="B165" i="30"/>
  <c r="J165" i="30"/>
  <c r="A166" i="25"/>
  <c r="B166" i="29"/>
  <c r="J166" i="29"/>
  <c r="A167" i="29"/>
  <c r="A166" i="30"/>
  <c r="J165" i="25"/>
  <c r="B165" i="25"/>
  <c r="H165" i="29"/>
  <c r="N165" i="29"/>
  <c r="O165" i="29" s="1"/>
  <c r="L165" i="29"/>
  <c r="G165" i="29"/>
  <c r="N164" i="30"/>
  <c r="O164" i="30" s="1"/>
  <c r="L164" i="30"/>
  <c r="K164" i="30" s="1"/>
  <c r="H164" i="30"/>
  <c r="G164" i="30"/>
  <c r="L164" i="25"/>
  <c r="K164" i="29"/>
  <c r="B189" i="17"/>
  <c r="N164" i="25"/>
  <c r="O164" i="25" s="1"/>
  <c r="AC165" i="26"/>
  <c r="J166" i="28"/>
  <c r="A167" i="26"/>
  <c r="J167" i="27"/>
  <c r="A168" i="27"/>
  <c r="B167" i="27"/>
  <c r="A167" i="28"/>
  <c r="J166" i="26"/>
  <c r="B166" i="26"/>
  <c r="N166" i="27"/>
  <c r="O166" i="27" s="1"/>
  <c r="L166" i="27"/>
  <c r="B166" i="28"/>
  <c r="X166" i="26"/>
  <c r="N165" i="28"/>
  <c r="O165" i="28" s="1"/>
  <c r="L165" i="28"/>
  <c r="K165" i="28" s="1"/>
  <c r="H165" i="28"/>
  <c r="G165" i="28"/>
  <c r="L165" i="26"/>
  <c r="K165" i="27"/>
  <c r="Y165" i="26"/>
  <c r="N165" i="26"/>
  <c r="O165" i="26" s="1"/>
  <c r="G165" i="27" l="1"/>
  <c r="H165" i="27"/>
  <c r="Q165" i="28"/>
  <c r="K165" i="26"/>
  <c r="Q165" i="27"/>
  <c r="Q164" i="30"/>
  <c r="Q163" i="25"/>
  <c r="H163" i="25"/>
  <c r="I188" i="17" s="1"/>
  <c r="G163" i="25"/>
  <c r="H188" i="17" s="1"/>
  <c r="K164" i="25"/>
  <c r="Q164" i="29"/>
  <c r="AD164" i="26"/>
  <c r="Q164" i="26"/>
  <c r="G164" i="26"/>
  <c r="H164" i="26"/>
  <c r="N166" i="28"/>
  <c r="O166" i="28" s="1"/>
  <c r="H166" i="28"/>
  <c r="G166" i="28"/>
  <c r="L166" i="28"/>
  <c r="K166" i="28" s="1"/>
  <c r="L166" i="26"/>
  <c r="K166" i="27"/>
  <c r="Y166" i="26"/>
  <c r="N166" i="26"/>
  <c r="O166" i="26" s="1"/>
  <c r="AC166" i="26"/>
  <c r="J167" i="28"/>
  <c r="B167" i="26"/>
  <c r="N167" i="27"/>
  <c r="O167" i="27" s="1"/>
  <c r="L167" i="27"/>
  <c r="B167" i="28"/>
  <c r="A168" i="26"/>
  <c r="B168" i="27"/>
  <c r="J168" i="27"/>
  <c r="A169" i="27"/>
  <c r="A168" i="28"/>
  <c r="J167" i="26"/>
  <c r="X167" i="26"/>
  <c r="L165" i="25"/>
  <c r="K165" i="29"/>
  <c r="B190" i="17"/>
  <c r="N165" i="25"/>
  <c r="O165" i="25" s="1"/>
  <c r="B166" i="30"/>
  <c r="J166" i="30"/>
  <c r="A167" i="25"/>
  <c r="A168" i="29"/>
  <c r="B167" i="29"/>
  <c r="J167" i="29"/>
  <c r="A167" i="30"/>
  <c r="J166" i="25"/>
  <c r="B166" i="25"/>
  <c r="H166" i="29"/>
  <c r="N166" i="29"/>
  <c r="O166" i="29" s="1"/>
  <c r="L166" i="29"/>
  <c r="G166" i="29"/>
  <c r="N165" i="30"/>
  <c r="O165" i="30" s="1"/>
  <c r="L165" i="30"/>
  <c r="K165" i="30" s="1"/>
  <c r="H165" i="30"/>
  <c r="G165" i="30"/>
  <c r="G166" i="27" l="1"/>
  <c r="H166" i="27"/>
  <c r="Q166" i="28"/>
  <c r="K165" i="25"/>
  <c r="Q165" i="29"/>
  <c r="Q165" i="30"/>
  <c r="K166" i="26"/>
  <c r="Q166" i="27"/>
  <c r="Q164" i="25"/>
  <c r="H164" i="25"/>
  <c r="I189" i="17" s="1"/>
  <c r="G164" i="25"/>
  <c r="H189" i="17" s="1"/>
  <c r="AD165" i="26"/>
  <c r="H165" i="26"/>
  <c r="Q165" i="26"/>
  <c r="G165" i="26"/>
  <c r="L166" i="25"/>
  <c r="K166" i="29"/>
  <c r="B191" i="17"/>
  <c r="N166" i="25"/>
  <c r="O166" i="25" s="1"/>
  <c r="B167" i="30"/>
  <c r="J167" i="30"/>
  <c r="J167" i="25"/>
  <c r="B167" i="25"/>
  <c r="H167" i="29"/>
  <c r="G167" i="29"/>
  <c r="N167" i="29"/>
  <c r="O167" i="29" s="1"/>
  <c r="L167" i="29"/>
  <c r="A168" i="25"/>
  <c r="J168" i="29"/>
  <c r="A169" i="29"/>
  <c r="B168" i="29"/>
  <c r="A168" i="30"/>
  <c r="L166" i="30"/>
  <c r="K166" i="30" s="1"/>
  <c r="H166" i="30"/>
  <c r="G166" i="30"/>
  <c r="N166" i="30"/>
  <c r="O166" i="30" s="1"/>
  <c r="AC167" i="26"/>
  <c r="J168" i="28"/>
  <c r="A169" i="26"/>
  <c r="J169" i="27"/>
  <c r="A170" i="27"/>
  <c r="B169" i="27"/>
  <c r="A169" i="28"/>
  <c r="J168" i="26"/>
  <c r="B168" i="26"/>
  <c r="N168" i="27"/>
  <c r="O168" i="27" s="1"/>
  <c r="L168" i="27"/>
  <c r="B168" i="28"/>
  <c r="X168" i="26"/>
  <c r="N167" i="28"/>
  <c r="O167" i="28" s="1"/>
  <c r="L167" i="28"/>
  <c r="K167" i="28" s="1"/>
  <c r="H167" i="28"/>
  <c r="G167" i="28"/>
  <c r="L167" i="26"/>
  <c r="K167" i="27"/>
  <c r="Y167" i="26"/>
  <c r="N167" i="26"/>
  <c r="O167" i="26" s="1"/>
  <c r="G167" i="27" l="1"/>
  <c r="H167" i="27"/>
  <c r="Q166" i="30"/>
  <c r="H165" i="25"/>
  <c r="I190" i="17" s="1"/>
  <c r="G165" i="25"/>
  <c r="H190" i="17" s="1"/>
  <c r="Q165" i="25"/>
  <c r="Q167" i="28"/>
  <c r="AD166" i="26"/>
  <c r="H166" i="26"/>
  <c r="G166" i="26"/>
  <c r="Q166" i="26"/>
  <c r="K167" i="26"/>
  <c r="Q167" i="27"/>
  <c r="K166" i="25"/>
  <c r="Q166" i="29"/>
  <c r="L168" i="28"/>
  <c r="K168" i="28" s="1"/>
  <c r="N168" i="28"/>
  <c r="O168" i="28" s="1"/>
  <c r="H168" i="28"/>
  <c r="G168" i="28"/>
  <c r="L168" i="26"/>
  <c r="K168" i="27"/>
  <c r="Y168" i="26"/>
  <c r="N168" i="26"/>
  <c r="O168" i="26" s="1"/>
  <c r="AC168" i="26"/>
  <c r="J169" i="28"/>
  <c r="B169" i="26"/>
  <c r="N169" i="27"/>
  <c r="O169" i="27" s="1"/>
  <c r="L169" i="27"/>
  <c r="B169" i="28"/>
  <c r="A170" i="26"/>
  <c r="B170" i="27"/>
  <c r="J170" i="27"/>
  <c r="A171" i="27"/>
  <c r="A170" i="28"/>
  <c r="J169" i="26"/>
  <c r="X169" i="26"/>
  <c r="J168" i="30"/>
  <c r="B168" i="30"/>
  <c r="B168" i="25"/>
  <c r="H168" i="29"/>
  <c r="G168" i="29"/>
  <c r="N168" i="29"/>
  <c r="O168" i="29" s="1"/>
  <c r="L168" i="29"/>
  <c r="A169" i="25"/>
  <c r="B169" i="29"/>
  <c r="J169" i="29"/>
  <c r="A170" i="29"/>
  <c r="A169" i="30"/>
  <c r="J168" i="25"/>
  <c r="L167" i="25"/>
  <c r="K167" i="29"/>
  <c r="B192" i="17"/>
  <c r="N167" i="25"/>
  <c r="O167" i="25" s="1"/>
  <c r="H167" i="30"/>
  <c r="G167" i="30"/>
  <c r="N167" i="30"/>
  <c r="O167" i="30" s="1"/>
  <c r="L167" i="30"/>
  <c r="K167" i="30" s="1"/>
  <c r="G168" i="27" l="1"/>
  <c r="H168" i="27"/>
  <c r="Q168" i="28"/>
  <c r="K168" i="26"/>
  <c r="Q168" i="27"/>
  <c r="K167" i="25"/>
  <c r="Q167" i="29"/>
  <c r="Q166" i="25"/>
  <c r="G166" i="25"/>
  <c r="H191" i="17" s="1"/>
  <c r="H166" i="25"/>
  <c r="I191" i="17" s="1"/>
  <c r="AD167" i="26"/>
  <c r="H167" i="26"/>
  <c r="Q167" i="26"/>
  <c r="G167" i="26"/>
  <c r="Q167" i="30"/>
  <c r="B169" i="30"/>
  <c r="J169" i="30"/>
  <c r="A170" i="25"/>
  <c r="A171" i="29"/>
  <c r="B170" i="29"/>
  <c r="J170" i="29"/>
  <c r="A170" i="30"/>
  <c r="J169" i="25"/>
  <c r="B169" i="25"/>
  <c r="H169" i="29"/>
  <c r="N169" i="29"/>
  <c r="O169" i="29" s="1"/>
  <c r="L169" i="29"/>
  <c r="G169" i="29"/>
  <c r="L168" i="25"/>
  <c r="K168" i="29"/>
  <c r="B193" i="17"/>
  <c r="N168" i="25"/>
  <c r="O168" i="25" s="1"/>
  <c r="H168" i="30"/>
  <c r="G168" i="30"/>
  <c r="N168" i="30"/>
  <c r="O168" i="30" s="1"/>
  <c r="L168" i="30"/>
  <c r="K168" i="30" s="1"/>
  <c r="AC169" i="26"/>
  <c r="J170" i="28"/>
  <c r="A171" i="26"/>
  <c r="J171" i="27"/>
  <c r="A172" i="27"/>
  <c r="B171" i="27"/>
  <c r="A171" i="28"/>
  <c r="J170" i="26"/>
  <c r="B170" i="26"/>
  <c r="N170" i="27"/>
  <c r="O170" i="27" s="1"/>
  <c r="L170" i="27"/>
  <c r="B170" i="28"/>
  <c r="X170" i="26"/>
  <c r="L169" i="28"/>
  <c r="K169" i="28" s="1"/>
  <c r="H169" i="28"/>
  <c r="G169" i="28"/>
  <c r="N169" i="28"/>
  <c r="O169" i="28" s="1"/>
  <c r="L169" i="26"/>
  <c r="K169" i="27"/>
  <c r="Y169" i="26"/>
  <c r="N169" i="26"/>
  <c r="O169" i="26" s="1"/>
  <c r="G169" i="27" l="1"/>
  <c r="H169" i="27"/>
  <c r="Q169" i="28"/>
  <c r="AD168" i="26"/>
  <c r="H168" i="26"/>
  <c r="Q168" i="26"/>
  <c r="G168" i="26"/>
  <c r="Q167" i="25"/>
  <c r="H167" i="25"/>
  <c r="I192" i="17" s="1"/>
  <c r="G167" i="25"/>
  <c r="H192" i="17" s="1"/>
  <c r="K169" i="26"/>
  <c r="Q169" i="27"/>
  <c r="K168" i="25"/>
  <c r="Q168" i="29"/>
  <c r="Q168" i="30"/>
  <c r="H170" i="28"/>
  <c r="N170" i="28"/>
  <c r="O170" i="28" s="1"/>
  <c r="L170" i="28"/>
  <c r="K170" i="28" s="1"/>
  <c r="G170" i="28"/>
  <c r="L170" i="26"/>
  <c r="K170" i="27"/>
  <c r="Y170" i="26"/>
  <c r="N170" i="26"/>
  <c r="O170" i="26" s="1"/>
  <c r="AC170" i="26"/>
  <c r="J171" i="28"/>
  <c r="B171" i="26"/>
  <c r="N171" i="27"/>
  <c r="O171" i="27" s="1"/>
  <c r="L171" i="27"/>
  <c r="B171" i="28"/>
  <c r="A172" i="26"/>
  <c r="B172" i="27"/>
  <c r="J172" i="27"/>
  <c r="A173" i="27"/>
  <c r="A172" i="28"/>
  <c r="J171" i="26"/>
  <c r="X171" i="26"/>
  <c r="L169" i="25"/>
  <c r="K169" i="29"/>
  <c r="B194" i="17"/>
  <c r="N169" i="25"/>
  <c r="O169" i="25" s="1"/>
  <c r="B170" i="30"/>
  <c r="J170" i="30"/>
  <c r="J170" i="25"/>
  <c r="B170" i="25"/>
  <c r="H170" i="29"/>
  <c r="G170" i="29"/>
  <c r="N170" i="29"/>
  <c r="O170" i="29" s="1"/>
  <c r="L170" i="29"/>
  <c r="A171" i="25"/>
  <c r="J171" i="29"/>
  <c r="A172" i="29"/>
  <c r="B171" i="29"/>
  <c r="A171" i="30"/>
  <c r="H169" i="30"/>
  <c r="G169" i="30"/>
  <c r="N169" i="30"/>
  <c r="O169" i="30" s="1"/>
  <c r="L169" i="30"/>
  <c r="K169" i="30" s="1"/>
  <c r="G170" i="27" l="1"/>
  <c r="H170" i="27"/>
  <c r="Q169" i="30"/>
  <c r="Q170" i="28"/>
  <c r="K169" i="25"/>
  <c r="Q169" i="29"/>
  <c r="AD169" i="26"/>
  <c r="G169" i="26"/>
  <c r="Q169" i="26"/>
  <c r="H169" i="26"/>
  <c r="Q168" i="25"/>
  <c r="G168" i="25"/>
  <c r="H193" i="17" s="1"/>
  <c r="H168" i="25"/>
  <c r="I193" i="17" s="1"/>
  <c r="K170" i="26"/>
  <c r="Q170" i="27"/>
  <c r="B171" i="30"/>
  <c r="J171" i="30"/>
  <c r="B171" i="25"/>
  <c r="H171" i="29"/>
  <c r="G171" i="29"/>
  <c r="L171" i="29"/>
  <c r="N171" i="29"/>
  <c r="O171" i="29" s="1"/>
  <c r="A172" i="25"/>
  <c r="A173" i="29"/>
  <c r="B172" i="29"/>
  <c r="J172" i="29"/>
  <c r="A172" i="30"/>
  <c r="J171" i="25"/>
  <c r="L170" i="25"/>
  <c r="K170" i="29"/>
  <c r="B195" i="17"/>
  <c r="N170" i="25"/>
  <c r="O170" i="25" s="1"/>
  <c r="G170" i="30"/>
  <c r="N170" i="30"/>
  <c r="O170" i="30" s="1"/>
  <c r="L170" i="30"/>
  <c r="K170" i="30" s="1"/>
  <c r="H170" i="30"/>
  <c r="AC171" i="26"/>
  <c r="J172" i="28"/>
  <c r="A173" i="26"/>
  <c r="J173" i="27"/>
  <c r="A174" i="27"/>
  <c r="B173" i="27"/>
  <c r="A173" i="28"/>
  <c r="J172" i="26"/>
  <c r="B172" i="26"/>
  <c r="N172" i="27"/>
  <c r="O172" i="27" s="1"/>
  <c r="L172" i="27"/>
  <c r="B172" i="28"/>
  <c r="X172" i="26"/>
  <c r="H171" i="28"/>
  <c r="G171" i="28"/>
  <c r="N171" i="28"/>
  <c r="O171" i="28" s="1"/>
  <c r="L171" i="28"/>
  <c r="K171" i="28" s="1"/>
  <c r="L171" i="26"/>
  <c r="K171" i="27"/>
  <c r="Y171" i="26"/>
  <c r="N171" i="26"/>
  <c r="O171" i="26" s="1"/>
  <c r="G171" i="27" l="1"/>
  <c r="H171" i="27"/>
  <c r="Q170" i="30"/>
  <c r="Q171" i="28"/>
  <c r="K170" i="25"/>
  <c r="Q170" i="29"/>
  <c r="K171" i="26"/>
  <c r="Q171" i="27"/>
  <c r="AD170" i="26"/>
  <c r="G170" i="26"/>
  <c r="H170" i="26"/>
  <c r="Q170" i="26"/>
  <c r="G169" i="25"/>
  <c r="H194" i="17" s="1"/>
  <c r="Q169" i="25"/>
  <c r="H169" i="25"/>
  <c r="I194" i="17" s="1"/>
  <c r="G172" i="28"/>
  <c r="N172" i="28"/>
  <c r="O172" i="28" s="1"/>
  <c r="L172" i="28"/>
  <c r="K172" i="28" s="1"/>
  <c r="H172" i="28"/>
  <c r="L172" i="26"/>
  <c r="K172" i="27"/>
  <c r="Y172" i="26"/>
  <c r="N172" i="26"/>
  <c r="O172" i="26" s="1"/>
  <c r="AC172" i="26"/>
  <c r="J173" i="28"/>
  <c r="B173" i="26"/>
  <c r="N173" i="27"/>
  <c r="O173" i="27" s="1"/>
  <c r="L173" i="27"/>
  <c r="B173" i="28"/>
  <c r="A174" i="26"/>
  <c r="B174" i="27"/>
  <c r="J174" i="27"/>
  <c r="A175" i="27"/>
  <c r="A174" i="28"/>
  <c r="J173" i="26"/>
  <c r="X173" i="26"/>
  <c r="B172" i="30"/>
  <c r="J172" i="30"/>
  <c r="J172" i="25"/>
  <c r="B172" i="25"/>
  <c r="H172" i="29"/>
  <c r="G172" i="29"/>
  <c r="N172" i="29"/>
  <c r="O172" i="29" s="1"/>
  <c r="L172" i="29"/>
  <c r="A173" i="25"/>
  <c r="J173" i="29"/>
  <c r="A174" i="29"/>
  <c r="B173" i="29"/>
  <c r="A173" i="30"/>
  <c r="L171" i="25"/>
  <c r="K171" i="29"/>
  <c r="B196" i="17"/>
  <c r="N171" i="25"/>
  <c r="O171" i="25" s="1"/>
  <c r="N171" i="30"/>
  <c r="O171" i="30" s="1"/>
  <c r="L171" i="30"/>
  <c r="K171" i="30" s="1"/>
  <c r="H171" i="30"/>
  <c r="G171" i="30"/>
  <c r="G172" i="27" l="1"/>
  <c r="H172" i="27"/>
  <c r="Q171" i="30"/>
  <c r="Q172" i="28"/>
  <c r="Q170" i="25"/>
  <c r="G170" i="25"/>
  <c r="H195" i="17" s="1"/>
  <c r="H170" i="25"/>
  <c r="I195" i="17" s="1"/>
  <c r="K171" i="25"/>
  <c r="Q171" i="29"/>
  <c r="AD171" i="26"/>
  <c r="H171" i="26"/>
  <c r="Q171" i="26"/>
  <c r="G171" i="26"/>
  <c r="K172" i="26"/>
  <c r="Q172" i="27"/>
  <c r="B173" i="30"/>
  <c r="J173" i="30"/>
  <c r="B173" i="25"/>
  <c r="H173" i="29"/>
  <c r="G173" i="29"/>
  <c r="L173" i="29"/>
  <c r="N173" i="29"/>
  <c r="O173" i="29" s="1"/>
  <c r="A174" i="25"/>
  <c r="A175" i="29"/>
  <c r="B174" i="29"/>
  <c r="J174" i="29"/>
  <c r="A174" i="30"/>
  <c r="J173" i="25"/>
  <c r="L172" i="25"/>
  <c r="K172" i="29"/>
  <c r="B197" i="17"/>
  <c r="N172" i="25"/>
  <c r="O172" i="25" s="1"/>
  <c r="N172" i="30"/>
  <c r="O172" i="30" s="1"/>
  <c r="L172" i="30"/>
  <c r="K172" i="30" s="1"/>
  <c r="H172" i="30"/>
  <c r="G172" i="30"/>
  <c r="AC173" i="26"/>
  <c r="J174" i="28"/>
  <c r="A175" i="26"/>
  <c r="J175" i="27"/>
  <c r="A176" i="27"/>
  <c r="B175" i="27"/>
  <c r="A175" i="28"/>
  <c r="J174" i="26"/>
  <c r="B174" i="26"/>
  <c r="N174" i="27"/>
  <c r="O174" i="27" s="1"/>
  <c r="L174" i="27"/>
  <c r="B174" i="28"/>
  <c r="X174" i="26"/>
  <c r="G173" i="28"/>
  <c r="N173" i="28"/>
  <c r="O173" i="28" s="1"/>
  <c r="L173" i="28"/>
  <c r="K173" i="28" s="1"/>
  <c r="H173" i="28"/>
  <c r="L173" i="26"/>
  <c r="K173" i="27"/>
  <c r="Y173" i="26"/>
  <c r="N173" i="26"/>
  <c r="O173" i="26" s="1"/>
  <c r="G173" i="27" l="1"/>
  <c r="H173" i="27"/>
  <c r="Q172" i="30"/>
  <c r="Q173" i="28"/>
  <c r="K172" i="25"/>
  <c r="Q172" i="29"/>
  <c r="Q171" i="25"/>
  <c r="H171" i="25"/>
  <c r="I196" i="17" s="1"/>
  <c r="G171" i="25"/>
  <c r="H196" i="17" s="1"/>
  <c r="AD172" i="26"/>
  <c r="Q172" i="26"/>
  <c r="G172" i="26"/>
  <c r="H172" i="26"/>
  <c r="K173" i="26"/>
  <c r="Q173" i="27"/>
  <c r="N174" i="28"/>
  <c r="O174" i="28" s="1"/>
  <c r="H174" i="28"/>
  <c r="G174" i="28"/>
  <c r="L174" i="28"/>
  <c r="K174" i="28" s="1"/>
  <c r="L174" i="26"/>
  <c r="K174" i="27"/>
  <c r="Y174" i="26"/>
  <c r="N174" i="26"/>
  <c r="O174" i="26" s="1"/>
  <c r="AC174" i="26"/>
  <c r="J175" i="28"/>
  <c r="B175" i="26"/>
  <c r="N175" i="27"/>
  <c r="O175" i="27" s="1"/>
  <c r="L175" i="27"/>
  <c r="B175" i="28"/>
  <c r="A176" i="26"/>
  <c r="B176" i="27"/>
  <c r="J176" i="27"/>
  <c r="A177" i="27"/>
  <c r="A176" i="28"/>
  <c r="J175" i="26"/>
  <c r="X175" i="26"/>
  <c r="B174" i="30"/>
  <c r="J174" i="30"/>
  <c r="J174" i="25"/>
  <c r="B174" i="25"/>
  <c r="H174" i="29"/>
  <c r="G174" i="29"/>
  <c r="N174" i="29"/>
  <c r="O174" i="29" s="1"/>
  <c r="L174" i="29"/>
  <c r="A175" i="25"/>
  <c r="J175" i="29"/>
  <c r="A176" i="29"/>
  <c r="A175" i="30"/>
  <c r="B175" i="29"/>
  <c r="L173" i="25"/>
  <c r="K173" i="29"/>
  <c r="B198" i="17"/>
  <c r="N173" i="25"/>
  <c r="O173" i="25" s="1"/>
  <c r="N173" i="30"/>
  <c r="O173" i="30" s="1"/>
  <c r="L173" i="30"/>
  <c r="K173" i="30" s="1"/>
  <c r="H173" i="30"/>
  <c r="G173" i="30"/>
  <c r="G174" i="27" l="1"/>
  <c r="H174" i="27"/>
  <c r="AD173" i="26"/>
  <c r="Q173" i="26"/>
  <c r="H173" i="26"/>
  <c r="G173" i="26"/>
  <c r="K174" i="26"/>
  <c r="Q174" i="27"/>
  <c r="Q174" i="28"/>
  <c r="Q173" i="30"/>
  <c r="Q172" i="25"/>
  <c r="H172" i="25"/>
  <c r="I197" i="17" s="1"/>
  <c r="G172" i="25"/>
  <c r="H197" i="17" s="1"/>
  <c r="K173" i="25"/>
  <c r="Q173" i="29"/>
  <c r="B175" i="25"/>
  <c r="H175" i="29"/>
  <c r="G175" i="29"/>
  <c r="L175" i="29"/>
  <c r="N175" i="29"/>
  <c r="O175" i="29" s="1"/>
  <c r="B175" i="30"/>
  <c r="J175" i="30"/>
  <c r="A176" i="25"/>
  <c r="A177" i="29"/>
  <c r="B176" i="29"/>
  <c r="J176" i="29"/>
  <c r="A176" i="30"/>
  <c r="J175" i="25"/>
  <c r="L174" i="25"/>
  <c r="K174" i="29"/>
  <c r="B199" i="17"/>
  <c r="N174" i="25"/>
  <c r="O174" i="25" s="1"/>
  <c r="L174" i="30"/>
  <c r="K174" i="30" s="1"/>
  <c r="H174" i="30"/>
  <c r="G174" i="30"/>
  <c r="N174" i="30"/>
  <c r="O174" i="30" s="1"/>
  <c r="AC175" i="26"/>
  <c r="J176" i="28"/>
  <c r="A177" i="26"/>
  <c r="J177" i="27"/>
  <c r="A178" i="27"/>
  <c r="B177" i="27"/>
  <c r="A177" i="28"/>
  <c r="J176" i="26"/>
  <c r="B176" i="26"/>
  <c r="N176" i="27"/>
  <c r="O176" i="27" s="1"/>
  <c r="L176" i="27"/>
  <c r="B176" i="28"/>
  <c r="X176" i="26"/>
  <c r="N175" i="28"/>
  <c r="O175" i="28" s="1"/>
  <c r="L175" i="28"/>
  <c r="K175" i="28" s="1"/>
  <c r="H175" i="28"/>
  <c r="G175" i="28"/>
  <c r="L175" i="26"/>
  <c r="K175" i="27"/>
  <c r="Y175" i="26"/>
  <c r="N175" i="26"/>
  <c r="O175" i="26" s="1"/>
  <c r="G175" i="27" l="1"/>
  <c r="H175" i="27"/>
  <c r="Q174" i="30"/>
  <c r="Q175" i="28"/>
  <c r="Q173" i="25"/>
  <c r="H173" i="25"/>
  <c r="I198" i="17" s="1"/>
  <c r="G173" i="25"/>
  <c r="H198" i="17" s="1"/>
  <c r="K175" i="26"/>
  <c r="Q175" i="27"/>
  <c r="K174" i="25"/>
  <c r="Q174" i="29"/>
  <c r="AD174" i="26"/>
  <c r="H174" i="26"/>
  <c r="Q174" i="26"/>
  <c r="G174" i="26"/>
  <c r="L176" i="28"/>
  <c r="K176" i="28" s="1"/>
  <c r="H176" i="28"/>
  <c r="G176" i="28"/>
  <c r="N176" i="28"/>
  <c r="O176" i="28" s="1"/>
  <c r="L176" i="26"/>
  <c r="K176" i="27"/>
  <c r="Y176" i="26"/>
  <c r="N176" i="26"/>
  <c r="O176" i="26" s="1"/>
  <c r="AC176" i="26"/>
  <c r="J177" i="28"/>
  <c r="B177" i="26"/>
  <c r="N177" i="27"/>
  <c r="O177" i="27" s="1"/>
  <c r="L177" i="27"/>
  <c r="B177" i="28"/>
  <c r="A178" i="26"/>
  <c r="B178" i="27"/>
  <c r="J178" i="27"/>
  <c r="A179" i="27"/>
  <c r="A178" i="28"/>
  <c r="J177" i="26"/>
  <c r="X177" i="26"/>
  <c r="J176" i="30"/>
  <c r="B176" i="30"/>
  <c r="J176" i="25"/>
  <c r="B176" i="25"/>
  <c r="H176" i="29"/>
  <c r="G176" i="29"/>
  <c r="N176" i="29"/>
  <c r="O176" i="29" s="1"/>
  <c r="L176" i="29"/>
  <c r="A177" i="25"/>
  <c r="J177" i="29"/>
  <c r="A178" i="29"/>
  <c r="B177" i="29"/>
  <c r="A177" i="30"/>
  <c r="H175" i="30"/>
  <c r="G175" i="30"/>
  <c r="N175" i="30"/>
  <c r="O175" i="30" s="1"/>
  <c r="L175" i="30"/>
  <c r="K175" i="30" s="1"/>
  <c r="L175" i="25"/>
  <c r="K175" i="29"/>
  <c r="B200" i="17"/>
  <c r="N175" i="25"/>
  <c r="O175" i="25" s="1"/>
  <c r="G176" i="27" l="1"/>
  <c r="H176" i="27"/>
  <c r="Q175" i="30"/>
  <c r="Q176" i="28"/>
  <c r="AD175" i="26"/>
  <c r="Q175" i="26"/>
  <c r="G175" i="26"/>
  <c r="H175" i="26"/>
  <c r="K175" i="25"/>
  <c r="Q175" i="29"/>
  <c r="Q174" i="25"/>
  <c r="H174" i="25"/>
  <c r="I199" i="17" s="1"/>
  <c r="G174" i="25"/>
  <c r="H199" i="17" s="1"/>
  <c r="K176" i="26"/>
  <c r="Q176" i="27"/>
  <c r="B177" i="30"/>
  <c r="J177" i="30"/>
  <c r="B177" i="25"/>
  <c r="H177" i="29"/>
  <c r="G177" i="29"/>
  <c r="L177" i="29"/>
  <c r="N177" i="29"/>
  <c r="O177" i="29" s="1"/>
  <c r="A178" i="25"/>
  <c r="A179" i="29"/>
  <c r="B178" i="29"/>
  <c r="J178" i="29"/>
  <c r="A178" i="30"/>
  <c r="J177" i="25"/>
  <c r="L176" i="25"/>
  <c r="K176" i="29"/>
  <c r="B201" i="17"/>
  <c r="N176" i="25"/>
  <c r="O176" i="25" s="1"/>
  <c r="H176" i="30"/>
  <c r="G176" i="30"/>
  <c r="N176" i="30"/>
  <c r="O176" i="30" s="1"/>
  <c r="L176" i="30"/>
  <c r="K176" i="30" s="1"/>
  <c r="AC177" i="26"/>
  <c r="J178" i="28"/>
  <c r="A179" i="26"/>
  <c r="J179" i="27"/>
  <c r="A180" i="27"/>
  <c r="B179" i="27"/>
  <c r="A179" i="28"/>
  <c r="J178" i="26"/>
  <c r="B178" i="26"/>
  <c r="N178" i="27"/>
  <c r="O178" i="27" s="1"/>
  <c r="L178" i="27"/>
  <c r="B178" i="28"/>
  <c r="X178" i="26"/>
  <c r="N177" i="28"/>
  <c r="O177" i="28" s="1"/>
  <c r="L177" i="28"/>
  <c r="K177" i="28" s="1"/>
  <c r="H177" i="28"/>
  <c r="G177" i="28"/>
  <c r="L177" i="26"/>
  <c r="K177" i="27"/>
  <c r="Y177" i="26"/>
  <c r="N177" i="26"/>
  <c r="O177" i="26" s="1"/>
  <c r="G177" i="27" l="1"/>
  <c r="H177" i="27"/>
  <c r="Q176" i="30"/>
  <c r="Q177" i="28"/>
  <c r="K177" i="26"/>
  <c r="Q177" i="27"/>
  <c r="AD176" i="26"/>
  <c r="H176" i="26"/>
  <c r="Q176" i="26"/>
  <c r="G176" i="26"/>
  <c r="H175" i="25"/>
  <c r="I200" i="17" s="1"/>
  <c r="G175" i="25"/>
  <c r="H200" i="17" s="1"/>
  <c r="Q175" i="25"/>
  <c r="K176" i="25"/>
  <c r="Q176" i="29"/>
  <c r="H178" i="28"/>
  <c r="N178" i="28"/>
  <c r="O178" i="28" s="1"/>
  <c r="L178" i="28"/>
  <c r="K178" i="28" s="1"/>
  <c r="G178" i="28"/>
  <c r="L178" i="26"/>
  <c r="K178" i="27"/>
  <c r="Y178" i="26"/>
  <c r="N178" i="26"/>
  <c r="O178" i="26" s="1"/>
  <c r="AC178" i="26"/>
  <c r="J179" i="28"/>
  <c r="B179" i="26"/>
  <c r="N179" i="27"/>
  <c r="O179" i="27" s="1"/>
  <c r="L179" i="27"/>
  <c r="B179" i="28"/>
  <c r="A180" i="26"/>
  <c r="B180" i="27"/>
  <c r="J180" i="27"/>
  <c r="A181" i="27"/>
  <c r="A180" i="28"/>
  <c r="J179" i="26"/>
  <c r="X179" i="26"/>
  <c r="B178" i="30"/>
  <c r="J178" i="30"/>
  <c r="J178" i="25"/>
  <c r="B178" i="25"/>
  <c r="H178" i="29"/>
  <c r="G178" i="29"/>
  <c r="N178" i="29"/>
  <c r="O178" i="29" s="1"/>
  <c r="L178" i="29"/>
  <c r="A179" i="25"/>
  <c r="J179" i="29"/>
  <c r="A180" i="29"/>
  <c r="A179" i="30"/>
  <c r="B179" i="29"/>
  <c r="L177" i="25"/>
  <c r="K177" i="29"/>
  <c r="B202" i="17"/>
  <c r="N177" i="25"/>
  <c r="O177" i="25" s="1"/>
  <c r="H177" i="30"/>
  <c r="G177" i="30"/>
  <c r="N177" i="30"/>
  <c r="O177" i="30" s="1"/>
  <c r="L177" i="30"/>
  <c r="K177" i="30" s="1"/>
  <c r="G178" i="27" l="1"/>
  <c r="H178" i="27"/>
  <c r="Q177" i="30"/>
  <c r="Q176" i="25"/>
  <c r="H176" i="25"/>
  <c r="I201" i="17" s="1"/>
  <c r="G176" i="25"/>
  <c r="H201" i="17" s="1"/>
  <c r="K177" i="25"/>
  <c r="Q177" i="29"/>
  <c r="Q178" i="28"/>
  <c r="K178" i="26"/>
  <c r="Q178" i="27"/>
  <c r="AD177" i="26"/>
  <c r="Q177" i="26"/>
  <c r="H177" i="26"/>
  <c r="G177" i="26"/>
  <c r="B179" i="25"/>
  <c r="H179" i="29"/>
  <c r="G179" i="29"/>
  <c r="L179" i="29"/>
  <c r="N179" i="29"/>
  <c r="O179" i="29" s="1"/>
  <c r="B179" i="30"/>
  <c r="J179" i="30"/>
  <c r="A180" i="25"/>
  <c r="A181" i="29"/>
  <c r="B180" i="29"/>
  <c r="J180" i="29"/>
  <c r="A180" i="30"/>
  <c r="J179" i="25"/>
  <c r="L178" i="25"/>
  <c r="K178" i="29"/>
  <c r="B203" i="17"/>
  <c r="N178" i="25"/>
  <c r="O178" i="25" s="1"/>
  <c r="G178" i="30"/>
  <c r="N178" i="30"/>
  <c r="O178" i="30" s="1"/>
  <c r="L178" i="30"/>
  <c r="K178" i="30" s="1"/>
  <c r="H178" i="30"/>
  <c r="AC179" i="26"/>
  <c r="J180" i="28"/>
  <c r="A181" i="26"/>
  <c r="J181" i="27"/>
  <c r="A182" i="27"/>
  <c r="B181" i="27"/>
  <c r="A181" i="28"/>
  <c r="J180" i="26"/>
  <c r="B180" i="26"/>
  <c r="N180" i="27"/>
  <c r="O180" i="27" s="1"/>
  <c r="L180" i="27"/>
  <c r="B180" i="28"/>
  <c r="X180" i="26"/>
  <c r="H179" i="28"/>
  <c r="G179" i="28"/>
  <c r="N179" i="28"/>
  <c r="O179" i="28" s="1"/>
  <c r="L179" i="28"/>
  <c r="K179" i="28" s="1"/>
  <c r="L179" i="26"/>
  <c r="K179" i="27"/>
  <c r="Y179" i="26"/>
  <c r="N179" i="26"/>
  <c r="O179" i="26" s="1"/>
  <c r="G179" i="27" l="1"/>
  <c r="H179" i="27"/>
  <c r="Q179" i="28"/>
  <c r="AD178" i="26"/>
  <c r="Q178" i="26"/>
  <c r="H178" i="26"/>
  <c r="G178" i="26"/>
  <c r="Q178" i="30"/>
  <c r="K178" i="25"/>
  <c r="Q178" i="29"/>
  <c r="K179" i="26"/>
  <c r="Q179" i="27"/>
  <c r="Q177" i="25"/>
  <c r="H177" i="25"/>
  <c r="I202" i="17" s="1"/>
  <c r="G177" i="25"/>
  <c r="H202" i="17" s="1"/>
  <c r="N180" i="28"/>
  <c r="O180" i="28" s="1"/>
  <c r="H180" i="28"/>
  <c r="G180" i="28"/>
  <c r="L180" i="28"/>
  <c r="K180" i="28" s="1"/>
  <c r="L180" i="26"/>
  <c r="K180" i="27"/>
  <c r="Y180" i="26"/>
  <c r="N180" i="26"/>
  <c r="O180" i="26" s="1"/>
  <c r="AC180" i="26"/>
  <c r="J181" i="28"/>
  <c r="B181" i="26"/>
  <c r="N181" i="27"/>
  <c r="O181" i="27" s="1"/>
  <c r="L181" i="27"/>
  <c r="B181" i="28"/>
  <c r="A182" i="26"/>
  <c r="A183" i="27"/>
  <c r="B182" i="27"/>
  <c r="J182" i="27"/>
  <c r="A182" i="28"/>
  <c r="J181" i="26"/>
  <c r="X181" i="26"/>
  <c r="B180" i="30"/>
  <c r="J180" i="30"/>
  <c r="J180" i="25"/>
  <c r="B180" i="25"/>
  <c r="H180" i="29"/>
  <c r="G180" i="29"/>
  <c r="N180" i="29"/>
  <c r="O180" i="29" s="1"/>
  <c r="L180" i="29"/>
  <c r="A181" i="25"/>
  <c r="J181" i="29"/>
  <c r="A182" i="29"/>
  <c r="A181" i="30"/>
  <c r="B181" i="29"/>
  <c r="N179" i="30"/>
  <c r="O179" i="30" s="1"/>
  <c r="L179" i="30"/>
  <c r="K179" i="30" s="1"/>
  <c r="H179" i="30"/>
  <c r="G179" i="30"/>
  <c r="L179" i="25"/>
  <c r="K179" i="29"/>
  <c r="B204" i="17"/>
  <c r="N179" i="25"/>
  <c r="O179" i="25" s="1"/>
  <c r="G180" i="27" l="1"/>
  <c r="H180" i="27"/>
  <c r="Q179" i="30"/>
  <c r="Q180" i="28"/>
  <c r="K179" i="25"/>
  <c r="Q179" i="29"/>
  <c r="AD179" i="26"/>
  <c r="Q179" i="26"/>
  <c r="H179" i="26"/>
  <c r="G179" i="26"/>
  <c r="H178" i="25"/>
  <c r="I203" i="17" s="1"/>
  <c r="Q178" i="25"/>
  <c r="G178" i="25"/>
  <c r="H203" i="17" s="1"/>
  <c r="K180" i="26"/>
  <c r="Q180" i="27"/>
  <c r="B181" i="25"/>
  <c r="H181" i="29"/>
  <c r="G181" i="29"/>
  <c r="L181" i="29"/>
  <c r="N181" i="29"/>
  <c r="O181" i="29" s="1"/>
  <c r="B181" i="30"/>
  <c r="J181" i="30"/>
  <c r="A182" i="25"/>
  <c r="A183" i="29"/>
  <c r="B182" i="29"/>
  <c r="J182" i="29"/>
  <c r="A182" i="30"/>
  <c r="J181" i="25"/>
  <c r="L180" i="25"/>
  <c r="K180" i="29"/>
  <c r="B205" i="17"/>
  <c r="N180" i="25"/>
  <c r="O180" i="25" s="1"/>
  <c r="N180" i="30"/>
  <c r="O180" i="30" s="1"/>
  <c r="L180" i="30"/>
  <c r="K180" i="30" s="1"/>
  <c r="H180" i="30"/>
  <c r="G180" i="30"/>
  <c r="AC181" i="26"/>
  <c r="J182" i="28"/>
  <c r="J182" i="26"/>
  <c r="B182" i="26"/>
  <c r="N182" i="27"/>
  <c r="O182" i="27" s="1"/>
  <c r="L182" i="27"/>
  <c r="B182" i="28"/>
  <c r="A183" i="26"/>
  <c r="J183" i="27"/>
  <c r="A184" i="27"/>
  <c r="B183" i="27"/>
  <c r="A183" i="28"/>
  <c r="X182" i="26"/>
  <c r="L181" i="28"/>
  <c r="K181" i="28" s="1"/>
  <c r="G181" i="28"/>
  <c r="N181" i="28"/>
  <c r="O181" i="28" s="1"/>
  <c r="H181" i="28"/>
  <c r="L181" i="26"/>
  <c r="K181" i="27"/>
  <c r="Y181" i="26"/>
  <c r="N181" i="26"/>
  <c r="O181" i="26" s="1"/>
  <c r="G181" i="27" l="1"/>
  <c r="H181" i="27"/>
  <c r="K180" i="25"/>
  <c r="Q180" i="29"/>
  <c r="Q181" i="28"/>
  <c r="Q180" i="30"/>
  <c r="K181" i="26"/>
  <c r="Q181" i="27"/>
  <c r="AD180" i="26"/>
  <c r="H180" i="26"/>
  <c r="Q180" i="26"/>
  <c r="G180" i="26"/>
  <c r="Q179" i="25"/>
  <c r="H179" i="25"/>
  <c r="I204" i="17" s="1"/>
  <c r="G179" i="25"/>
  <c r="H204" i="17" s="1"/>
  <c r="J183" i="28"/>
  <c r="B183" i="26"/>
  <c r="N183" i="27"/>
  <c r="O183" i="27" s="1"/>
  <c r="L183" i="27"/>
  <c r="B183" i="28"/>
  <c r="A184" i="26"/>
  <c r="J184" i="27"/>
  <c r="A185" i="27"/>
  <c r="B184" i="27"/>
  <c r="A184" i="28"/>
  <c r="J183" i="26"/>
  <c r="X183" i="26"/>
  <c r="N182" i="28"/>
  <c r="O182" i="28" s="1"/>
  <c r="L182" i="28"/>
  <c r="K182" i="28" s="1"/>
  <c r="H182" i="28"/>
  <c r="G182" i="28"/>
  <c r="L182" i="26"/>
  <c r="K182" i="27"/>
  <c r="Y182" i="26"/>
  <c r="N182" i="26"/>
  <c r="O182" i="26" s="1"/>
  <c r="AC182" i="26"/>
  <c r="B182" i="30"/>
  <c r="J182" i="30"/>
  <c r="J182" i="25"/>
  <c r="B182" i="25"/>
  <c r="H182" i="29"/>
  <c r="G182" i="29"/>
  <c r="N182" i="29"/>
  <c r="O182" i="29" s="1"/>
  <c r="L182" i="29"/>
  <c r="A183" i="25"/>
  <c r="J183" i="29"/>
  <c r="A184" i="29"/>
  <c r="B183" i="29"/>
  <c r="A183" i="30"/>
  <c r="N181" i="30"/>
  <c r="O181" i="30" s="1"/>
  <c r="L181" i="30"/>
  <c r="K181" i="30" s="1"/>
  <c r="H181" i="30"/>
  <c r="G181" i="30"/>
  <c r="L181" i="25"/>
  <c r="K181" i="29"/>
  <c r="B206" i="17"/>
  <c r="N181" i="25"/>
  <c r="O181" i="25" s="1"/>
  <c r="G182" i="27" l="1"/>
  <c r="H182" i="27"/>
  <c r="Q181" i="30"/>
  <c r="K182" i="26"/>
  <c r="Q182" i="27"/>
  <c r="K181" i="25"/>
  <c r="Q181" i="29"/>
  <c r="Q182" i="28"/>
  <c r="Q180" i="25"/>
  <c r="H180" i="25"/>
  <c r="I205" i="17" s="1"/>
  <c r="G180" i="25"/>
  <c r="H205" i="17" s="1"/>
  <c r="AD181" i="26"/>
  <c r="Q181" i="26"/>
  <c r="H181" i="26"/>
  <c r="G181" i="26"/>
  <c r="B183" i="30"/>
  <c r="J183" i="30"/>
  <c r="B183" i="25"/>
  <c r="H183" i="29"/>
  <c r="G183" i="29"/>
  <c r="L183" i="29"/>
  <c r="N183" i="29"/>
  <c r="O183" i="29" s="1"/>
  <c r="A184" i="25"/>
  <c r="A185" i="29"/>
  <c r="B184" i="29"/>
  <c r="J184" i="29"/>
  <c r="A184" i="30"/>
  <c r="J183" i="25"/>
  <c r="L182" i="25"/>
  <c r="K182" i="29"/>
  <c r="B207" i="17"/>
  <c r="N182" i="25"/>
  <c r="O182" i="25" s="1"/>
  <c r="L182" i="30"/>
  <c r="K182" i="30" s="1"/>
  <c r="H182" i="30"/>
  <c r="G182" i="30"/>
  <c r="N182" i="30"/>
  <c r="O182" i="30" s="1"/>
  <c r="AC183" i="26"/>
  <c r="J184" i="28"/>
  <c r="B184" i="26"/>
  <c r="N184" i="27"/>
  <c r="O184" i="27" s="1"/>
  <c r="L184" i="27"/>
  <c r="B184" i="28"/>
  <c r="A185" i="26"/>
  <c r="A186" i="27"/>
  <c r="B185" i="27"/>
  <c r="J185" i="27"/>
  <c r="A185" i="28"/>
  <c r="J184" i="26"/>
  <c r="X184" i="26"/>
  <c r="N183" i="28"/>
  <c r="O183" i="28" s="1"/>
  <c r="L183" i="28"/>
  <c r="K183" i="28" s="1"/>
  <c r="H183" i="28"/>
  <c r="G183" i="28"/>
  <c r="L183" i="26"/>
  <c r="K183" i="27"/>
  <c r="Y183" i="26"/>
  <c r="N183" i="26"/>
  <c r="O183" i="26" s="1"/>
  <c r="G183" i="27" l="1"/>
  <c r="H183" i="27"/>
  <c r="Q183" i="28"/>
  <c r="Q181" i="25"/>
  <c r="H181" i="25"/>
  <c r="I206" i="17" s="1"/>
  <c r="G181" i="25"/>
  <c r="H206" i="17" s="1"/>
  <c r="Q182" i="30"/>
  <c r="AD182" i="26"/>
  <c r="Q182" i="26"/>
  <c r="G182" i="26"/>
  <c r="H182" i="26"/>
  <c r="K183" i="26"/>
  <c r="Q183" i="27"/>
  <c r="K182" i="25"/>
  <c r="Q182" i="29"/>
  <c r="AC184" i="26"/>
  <c r="J185" i="28"/>
  <c r="J185" i="26"/>
  <c r="B185" i="26"/>
  <c r="N185" i="27"/>
  <c r="O185" i="27" s="1"/>
  <c r="L185" i="27"/>
  <c r="B185" i="28"/>
  <c r="A186" i="26"/>
  <c r="A187" i="27"/>
  <c r="B186" i="27"/>
  <c r="J186" i="27"/>
  <c r="A186" i="28"/>
  <c r="X185" i="26"/>
  <c r="H184" i="28"/>
  <c r="N184" i="28"/>
  <c r="O184" i="28" s="1"/>
  <c r="L184" i="28"/>
  <c r="K184" i="28" s="1"/>
  <c r="G184" i="28"/>
  <c r="L184" i="26"/>
  <c r="K184" i="27"/>
  <c r="Y184" i="26"/>
  <c r="N184" i="26"/>
  <c r="O184" i="26" s="1"/>
  <c r="J184" i="30"/>
  <c r="B184" i="30"/>
  <c r="J184" i="25"/>
  <c r="B184" i="25"/>
  <c r="H184" i="29"/>
  <c r="G184" i="29"/>
  <c r="N184" i="29"/>
  <c r="O184" i="29" s="1"/>
  <c r="L184" i="29"/>
  <c r="A185" i="25"/>
  <c r="J185" i="29"/>
  <c r="A186" i="29"/>
  <c r="B185" i="29"/>
  <c r="A185" i="30"/>
  <c r="L183" i="25"/>
  <c r="K183" i="29"/>
  <c r="B208" i="17"/>
  <c r="N183" i="25"/>
  <c r="O183" i="25" s="1"/>
  <c r="H183" i="30"/>
  <c r="G183" i="30"/>
  <c r="N183" i="30"/>
  <c r="O183" i="30" s="1"/>
  <c r="L183" i="30"/>
  <c r="K183" i="30" s="1"/>
  <c r="G184" i="27" l="1"/>
  <c r="H184" i="27"/>
  <c r="Q183" i="30"/>
  <c r="K184" i="26"/>
  <c r="Q184" i="27"/>
  <c r="K183" i="25"/>
  <c r="Q183" i="29"/>
  <c r="Q184" i="28"/>
  <c r="AD183" i="26"/>
  <c r="Q183" i="26"/>
  <c r="H183" i="26"/>
  <c r="G183" i="26"/>
  <c r="Q182" i="25"/>
  <c r="G182" i="25"/>
  <c r="H207" i="17" s="1"/>
  <c r="H182" i="25"/>
  <c r="I207" i="17" s="1"/>
  <c r="B185" i="30"/>
  <c r="J185" i="30"/>
  <c r="B185" i="25"/>
  <c r="H185" i="29"/>
  <c r="G185" i="29"/>
  <c r="L185" i="29"/>
  <c r="N185" i="29"/>
  <c r="O185" i="29" s="1"/>
  <c r="A186" i="25"/>
  <c r="A187" i="29"/>
  <c r="B186" i="29"/>
  <c r="J186" i="29"/>
  <c r="A186" i="30"/>
  <c r="J185" i="25"/>
  <c r="L184" i="25"/>
  <c r="K184" i="29"/>
  <c r="B209" i="17"/>
  <c r="N184" i="25"/>
  <c r="O184" i="25" s="1"/>
  <c r="H184" i="30"/>
  <c r="G184" i="30"/>
  <c r="N184" i="30"/>
  <c r="O184" i="30" s="1"/>
  <c r="L184" i="30"/>
  <c r="K184" i="30" s="1"/>
  <c r="J186" i="28"/>
  <c r="J186" i="26"/>
  <c r="B186" i="26"/>
  <c r="N186" i="27"/>
  <c r="O186" i="27" s="1"/>
  <c r="L186" i="27"/>
  <c r="B186" i="28"/>
  <c r="A187" i="26"/>
  <c r="J187" i="27"/>
  <c r="A188" i="27"/>
  <c r="B187" i="27"/>
  <c r="A187" i="28"/>
  <c r="X186" i="26"/>
  <c r="G185" i="28"/>
  <c r="L185" i="28"/>
  <c r="K185" i="28" s="1"/>
  <c r="H185" i="28"/>
  <c r="N185" i="28"/>
  <c r="O185" i="28" s="1"/>
  <c r="L185" i="26"/>
  <c r="K185" i="27"/>
  <c r="Y185" i="26"/>
  <c r="N185" i="26"/>
  <c r="O185" i="26" s="1"/>
  <c r="AC185" i="26"/>
  <c r="G185" i="27" l="1"/>
  <c r="H185" i="27"/>
  <c r="Q184" i="30"/>
  <c r="Q185" i="28"/>
  <c r="AD184" i="26"/>
  <c r="Q184" i="26"/>
  <c r="H184" i="26"/>
  <c r="G184" i="26"/>
  <c r="H183" i="25"/>
  <c r="I208" i="17" s="1"/>
  <c r="G183" i="25"/>
  <c r="H208" i="17" s="1"/>
  <c r="Q183" i="25"/>
  <c r="K185" i="26"/>
  <c r="Q185" i="27"/>
  <c r="K184" i="25"/>
  <c r="Q184" i="29"/>
  <c r="J187" i="28"/>
  <c r="B187" i="26"/>
  <c r="N187" i="27"/>
  <c r="O187" i="27" s="1"/>
  <c r="L187" i="27"/>
  <c r="B187" i="28"/>
  <c r="A188" i="26"/>
  <c r="J188" i="27"/>
  <c r="A189" i="27"/>
  <c r="B188" i="27"/>
  <c r="A188" i="28"/>
  <c r="J187" i="26"/>
  <c r="X187" i="26"/>
  <c r="H186" i="28"/>
  <c r="G186" i="28"/>
  <c r="N186" i="28"/>
  <c r="O186" i="28" s="1"/>
  <c r="L186" i="28"/>
  <c r="K186" i="28" s="1"/>
  <c r="L186" i="26"/>
  <c r="K186" i="27"/>
  <c r="Y186" i="26"/>
  <c r="N186" i="26"/>
  <c r="O186" i="26" s="1"/>
  <c r="AC186" i="26"/>
  <c r="B186" i="30"/>
  <c r="J186" i="30"/>
  <c r="J186" i="25"/>
  <c r="B186" i="25"/>
  <c r="H186" i="29"/>
  <c r="G186" i="29"/>
  <c r="N186" i="29"/>
  <c r="O186" i="29" s="1"/>
  <c r="L186" i="29"/>
  <c r="A187" i="25"/>
  <c r="J187" i="29"/>
  <c r="A188" i="29"/>
  <c r="B187" i="29"/>
  <c r="A187" i="30"/>
  <c r="L185" i="25"/>
  <c r="K185" i="29"/>
  <c r="B210" i="17"/>
  <c r="N185" i="25"/>
  <c r="O185" i="25" s="1"/>
  <c r="H185" i="30"/>
  <c r="G185" i="30"/>
  <c r="N185" i="30"/>
  <c r="O185" i="30" s="1"/>
  <c r="L185" i="30"/>
  <c r="K185" i="30" s="1"/>
  <c r="G186" i="27" l="1"/>
  <c r="H186" i="27"/>
  <c r="Q186" i="28"/>
  <c r="Q185" i="30"/>
  <c r="K185" i="25"/>
  <c r="Q185" i="29"/>
  <c r="G184" i="25"/>
  <c r="H209" i="17" s="1"/>
  <c r="H184" i="25"/>
  <c r="I209" i="17" s="1"/>
  <c r="Q184" i="25"/>
  <c r="K186" i="26"/>
  <c r="Q186" i="27"/>
  <c r="AD185" i="26"/>
  <c r="Q185" i="26"/>
  <c r="H185" i="26"/>
  <c r="G185" i="26"/>
  <c r="B187" i="30"/>
  <c r="J187" i="30"/>
  <c r="B187" i="25"/>
  <c r="H187" i="29"/>
  <c r="G187" i="29"/>
  <c r="L187" i="29"/>
  <c r="N187" i="29"/>
  <c r="O187" i="29" s="1"/>
  <c r="A188" i="25"/>
  <c r="A189" i="29"/>
  <c r="B188" i="29"/>
  <c r="J188" i="29"/>
  <c r="A188" i="30"/>
  <c r="J187" i="25"/>
  <c r="L186" i="25"/>
  <c r="K186" i="29"/>
  <c r="B211" i="17"/>
  <c r="N186" i="25"/>
  <c r="O186" i="25" s="1"/>
  <c r="G186" i="30"/>
  <c r="N186" i="30"/>
  <c r="O186" i="30" s="1"/>
  <c r="L186" i="30"/>
  <c r="K186" i="30" s="1"/>
  <c r="H186" i="30"/>
  <c r="AC187" i="26"/>
  <c r="J188" i="28"/>
  <c r="B188" i="26"/>
  <c r="N188" i="27"/>
  <c r="O188" i="27" s="1"/>
  <c r="L188" i="27"/>
  <c r="B188" i="28"/>
  <c r="A189" i="26"/>
  <c r="A190" i="27"/>
  <c r="B189" i="27"/>
  <c r="J189" i="27"/>
  <c r="A189" i="28"/>
  <c r="J188" i="26"/>
  <c r="X188" i="26"/>
  <c r="H187" i="28"/>
  <c r="G187" i="28"/>
  <c r="N187" i="28"/>
  <c r="O187" i="28" s="1"/>
  <c r="L187" i="28"/>
  <c r="K187" i="28" s="1"/>
  <c r="L187" i="26"/>
  <c r="K187" i="27"/>
  <c r="Y187" i="26"/>
  <c r="N187" i="26"/>
  <c r="O187" i="26" s="1"/>
  <c r="G187" i="27" l="1"/>
  <c r="H187" i="27"/>
  <c r="Q187" i="28"/>
  <c r="Q185" i="25"/>
  <c r="H185" i="25"/>
  <c r="I210" i="17" s="1"/>
  <c r="G185" i="25"/>
  <c r="H210" i="17" s="1"/>
  <c r="K186" i="25"/>
  <c r="Q186" i="29"/>
  <c r="AD186" i="26"/>
  <c r="Q186" i="26"/>
  <c r="H186" i="26"/>
  <c r="G186" i="26"/>
  <c r="K187" i="26"/>
  <c r="Q187" i="27"/>
  <c r="Q186" i="30"/>
  <c r="AC188" i="26"/>
  <c r="J189" i="28"/>
  <c r="J189" i="26"/>
  <c r="B189" i="26"/>
  <c r="N189" i="27"/>
  <c r="O189" i="27" s="1"/>
  <c r="L189" i="27"/>
  <c r="B189" i="28"/>
  <c r="A190" i="26"/>
  <c r="A191" i="27"/>
  <c r="B190" i="27"/>
  <c r="J190" i="27"/>
  <c r="A190" i="28"/>
  <c r="X189" i="26"/>
  <c r="N188" i="28"/>
  <c r="O188" i="28" s="1"/>
  <c r="H188" i="28"/>
  <c r="G188" i="28"/>
  <c r="L188" i="28"/>
  <c r="K188" i="28" s="1"/>
  <c r="L188" i="26"/>
  <c r="K188" i="27"/>
  <c r="Y188" i="26"/>
  <c r="N188" i="26"/>
  <c r="O188" i="26" s="1"/>
  <c r="B188" i="30"/>
  <c r="J188" i="30"/>
  <c r="J188" i="25"/>
  <c r="B188" i="25"/>
  <c r="H188" i="29"/>
  <c r="G188" i="29"/>
  <c r="N188" i="29"/>
  <c r="O188" i="29" s="1"/>
  <c r="L188" i="29"/>
  <c r="A189" i="25"/>
  <c r="J189" i="29"/>
  <c r="A190" i="29"/>
  <c r="B189" i="29"/>
  <c r="A189" i="30"/>
  <c r="L187" i="25"/>
  <c r="K187" i="29"/>
  <c r="B212" i="17"/>
  <c r="N187" i="25"/>
  <c r="O187" i="25" s="1"/>
  <c r="N187" i="30"/>
  <c r="O187" i="30" s="1"/>
  <c r="L187" i="30"/>
  <c r="K187" i="30" s="1"/>
  <c r="H187" i="30"/>
  <c r="G187" i="30"/>
  <c r="G188" i="27" l="1"/>
  <c r="H188" i="27"/>
  <c r="Q187" i="30"/>
  <c r="Q188" i="28"/>
  <c r="K187" i="25"/>
  <c r="Q187" i="29"/>
  <c r="K188" i="26"/>
  <c r="Q188" i="27"/>
  <c r="AD187" i="26"/>
  <c r="Q187" i="26"/>
  <c r="G187" i="26"/>
  <c r="H187" i="26"/>
  <c r="Q186" i="25"/>
  <c r="H186" i="25"/>
  <c r="I211" i="17" s="1"/>
  <c r="G186" i="25"/>
  <c r="H211" i="17" s="1"/>
  <c r="B189" i="30"/>
  <c r="J189" i="30"/>
  <c r="B189" i="25"/>
  <c r="H189" i="29"/>
  <c r="G189" i="29"/>
  <c r="L189" i="29"/>
  <c r="N189" i="29"/>
  <c r="O189" i="29" s="1"/>
  <c r="A190" i="25"/>
  <c r="A191" i="29"/>
  <c r="B190" i="29"/>
  <c r="J190" i="29"/>
  <c r="A190" i="30"/>
  <c r="J189" i="25"/>
  <c r="L188" i="25"/>
  <c r="K188" i="29"/>
  <c r="B213" i="17"/>
  <c r="N188" i="25"/>
  <c r="O188" i="25" s="1"/>
  <c r="N188" i="30"/>
  <c r="O188" i="30" s="1"/>
  <c r="L188" i="30"/>
  <c r="K188" i="30" s="1"/>
  <c r="H188" i="30"/>
  <c r="G188" i="30"/>
  <c r="J190" i="28"/>
  <c r="J190" i="26"/>
  <c r="B190" i="26"/>
  <c r="N190" i="27"/>
  <c r="O190" i="27" s="1"/>
  <c r="L190" i="27"/>
  <c r="B190" i="28"/>
  <c r="A191" i="26"/>
  <c r="J191" i="27"/>
  <c r="A192" i="27"/>
  <c r="B191" i="27"/>
  <c r="A191" i="28"/>
  <c r="X190" i="26"/>
  <c r="L189" i="28"/>
  <c r="K189" i="28" s="1"/>
  <c r="G189" i="28"/>
  <c r="N189" i="28"/>
  <c r="O189" i="28" s="1"/>
  <c r="H189" i="28"/>
  <c r="L189" i="26"/>
  <c r="K189" i="27"/>
  <c r="Y189" i="26"/>
  <c r="N189" i="26"/>
  <c r="O189" i="26" s="1"/>
  <c r="AC189" i="26"/>
  <c r="G189" i="27" l="1"/>
  <c r="H189" i="27"/>
  <c r="Q189" i="28"/>
  <c r="Q188" i="30"/>
  <c r="Q187" i="25"/>
  <c r="G187" i="25"/>
  <c r="H212" i="17" s="1"/>
  <c r="H187" i="25"/>
  <c r="I212" i="17" s="1"/>
  <c r="K189" i="26"/>
  <c r="Q189" i="27"/>
  <c r="K188" i="25"/>
  <c r="Q188" i="29"/>
  <c r="AD188" i="26"/>
  <c r="G188" i="26"/>
  <c r="Q188" i="26"/>
  <c r="H188" i="26"/>
  <c r="J191" i="28"/>
  <c r="B191" i="26"/>
  <c r="N191" i="27"/>
  <c r="O191" i="27" s="1"/>
  <c r="L191" i="27"/>
  <c r="B191" i="28"/>
  <c r="A192" i="26"/>
  <c r="J192" i="27"/>
  <c r="A193" i="27"/>
  <c r="B192" i="27"/>
  <c r="A192" i="28"/>
  <c r="J191" i="26"/>
  <c r="X191" i="26"/>
  <c r="N190" i="28"/>
  <c r="O190" i="28" s="1"/>
  <c r="L190" i="28"/>
  <c r="K190" i="28" s="1"/>
  <c r="H190" i="28"/>
  <c r="G190" i="28"/>
  <c r="L190" i="26"/>
  <c r="K190" i="27"/>
  <c r="Y190" i="26"/>
  <c r="N190" i="26"/>
  <c r="O190" i="26" s="1"/>
  <c r="AC190" i="26"/>
  <c r="B190" i="30"/>
  <c r="J190" i="30"/>
  <c r="J190" i="25"/>
  <c r="B190" i="25"/>
  <c r="H190" i="29"/>
  <c r="G190" i="29"/>
  <c r="N190" i="29"/>
  <c r="O190" i="29" s="1"/>
  <c r="L190" i="29"/>
  <c r="A191" i="25"/>
  <c r="J191" i="29"/>
  <c r="A192" i="29"/>
  <c r="A191" i="30"/>
  <c r="B191" i="29"/>
  <c r="L189" i="25"/>
  <c r="K189" i="29"/>
  <c r="B214" i="17"/>
  <c r="N189" i="25"/>
  <c r="O189" i="25" s="1"/>
  <c r="N189" i="30"/>
  <c r="O189" i="30" s="1"/>
  <c r="L189" i="30"/>
  <c r="K189" i="30" s="1"/>
  <c r="H189" i="30"/>
  <c r="G189" i="30"/>
  <c r="G190" i="27" l="1"/>
  <c r="H190" i="27"/>
  <c r="Q190" i="28"/>
  <c r="K189" i="25"/>
  <c r="Q189" i="29"/>
  <c r="Q188" i="25"/>
  <c r="G188" i="25"/>
  <c r="H213" i="17" s="1"/>
  <c r="H188" i="25"/>
  <c r="I213" i="17" s="1"/>
  <c r="K190" i="26"/>
  <c r="Q190" i="27"/>
  <c r="AD189" i="26"/>
  <c r="Q189" i="26"/>
  <c r="H189" i="26"/>
  <c r="G189" i="26"/>
  <c r="Q189" i="30"/>
  <c r="B191" i="25"/>
  <c r="H191" i="29"/>
  <c r="G191" i="29"/>
  <c r="L191" i="29"/>
  <c r="N191" i="29"/>
  <c r="O191" i="29" s="1"/>
  <c r="B191" i="30"/>
  <c r="J191" i="30"/>
  <c r="A192" i="25"/>
  <c r="A193" i="29"/>
  <c r="B192" i="29"/>
  <c r="J192" i="29"/>
  <c r="A192" i="30"/>
  <c r="J191" i="25"/>
  <c r="L190" i="25"/>
  <c r="K190" i="29"/>
  <c r="B215" i="17"/>
  <c r="N190" i="25"/>
  <c r="O190" i="25" s="1"/>
  <c r="L190" i="30"/>
  <c r="K190" i="30" s="1"/>
  <c r="H190" i="30"/>
  <c r="G190" i="30"/>
  <c r="N190" i="30"/>
  <c r="O190" i="30" s="1"/>
  <c r="AC191" i="26"/>
  <c r="J192" i="28"/>
  <c r="B192" i="26"/>
  <c r="N192" i="27"/>
  <c r="O192" i="27" s="1"/>
  <c r="L192" i="27"/>
  <c r="B192" i="28"/>
  <c r="A193" i="26"/>
  <c r="A194" i="27"/>
  <c r="B193" i="27"/>
  <c r="J193" i="27"/>
  <c r="A193" i="28"/>
  <c r="J192" i="26"/>
  <c r="X192" i="26"/>
  <c r="N191" i="28"/>
  <c r="O191" i="28" s="1"/>
  <c r="L191" i="28"/>
  <c r="K191" i="28" s="1"/>
  <c r="H191" i="28"/>
  <c r="G191" i="28"/>
  <c r="L191" i="26"/>
  <c r="K191" i="27"/>
  <c r="Y191" i="26"/>
  <c r="N191" i="26"/>
  <c r="O191" i="26" s="1"/>
  <c r="G191" i="27" l="1"/>
  <c r="H191" i="27"/>
  <c r="K190" i="25"/>
  <c r="Q190" i="29"/>
  <c r="K191" i="26"/>
  <c r="Q191" i="27"/>
  <c r="Q189" i="25"/>
  <c r="G189" i="25"/>
  <c r="H214" i="17" s="1"/>
  <c r="H189" i="25"/>
  <c r="I214" i="17" s="1"/>
  <c r="Q191" i="28"/>
  <c r="Q190" i="30"/>
  <c r="AD190" i="26"/>
  <c r="Q190" i="26"/>
  <c r="H190" i="26"/>
  <c r="G190" i="26"/>
  <c r="AC192" i="26"/>
  <c r="J193" i="28"/>
  <c r="J193" i="26"/>
  <c r="B193" i="26"/>
  <c r="N193" i="27"/>
  <c r="O193" i="27" s="1"/>
  <c r="L193" i="27"/>
  <c r="B193" i="28"/>
  <c r="A194" i="26"/>
  <c r="A195" i="27"/>
  <c r="B194" i="27"/>
  <c r="J194" i="27"/>
  <c r="A194" i="28"/>
  <c r="X193" i="26"/>
  <c r="H192" i="28"/>
  <c r="N192" i="28"/>
  <c r="O192" i="28" s="1"/>
  <c r="L192" i="28"/>
  <c r="K192" i="28" s="1"/>
  <c r="G192" i="28"/>
  <c r="L192" i="26"/>
  <c r="K192" i="27"/>
  <c r="Y192" i="26"/>
  <c r="N192" i="26"/>
  <c r="O192" i="26" s="1"/>
  <c r="J192" i="30"/>
  <c r="B192" i="30"/>
  <c r="J192" i="25"/>
  <c r="B192" i="25"/>
  <c r="H192" i="29"/>
  <c r="G192" i="29"/>
  <c r="N192" i="29"/>
  <c r="O192" i="29" s="1"/>
  <c r="L192" i="29"/>
  <c r="A193" i="25"/>
  <c r="J193" i="29"/>
  <c r="A194" i="29"/>
  <c r="B193" i="29"/>
  <c r="A193" i="30"/>
  <c r="H191" i="30"/>
  <c r="G191" i="30"/>
  <c r="N191" i="30"/>
  <c r="O191" i="30" s="1"/>
  <c r="L191" i="30"/>
  <c r="K191" i="30" s="1"/>
  <c r="L191" i="25"/>
  <c r="K191" i="29"/>
  <c r="B216" i="17"/>
  <c r="N191" i="25"/>
  <c r="O191" i="25" s="1"/>
  <c r="G192" i="27" l="1"/>
  <c r="H192" i="27"/>
  <c r="Q191" i="30"/>
  <c r="K192" i="26"/>
  <c r="Q192" i="27"/>
  <c r="K191" i="25"/>
  <c r="Q191" i="29"/>
  <c r="Q192" i="28"/>
  <c r="Q190" i="25"/>
  <c r="G190" i="25"/>
  <c r="H215" i="17" s="1"/>
  <c r="H190" i="25"/>
  <c r="I215" i="17" s="1"/>
  <c r="AD191" i="26"/>
  <c r="Q191" i="26"/>
  <c r="G191" i="26"/>
  <c r="H191" i="26"/>
  <c r="B193" i="30"/>
  <c r="J193" i="30"/>
  <c r="B193" i="25"/>
  <c r="H193" i="29"/>
  <c r="G193" i="29"/>
  <c r="L193" i="29"/>
  <c r="N193" i="29"/>
  <c r="O193" i="29" s="1"/>
  <c r="A194" i="25"/>
  <c r="A195" i="29"/>
  <c r="B194" i="29"/>
  <c r="J194" i="29"/>
  <c r="A194" i="30"/>
  <c r="J193" i="25"/>
  <c r="L192" i="25"/>
  <c r="K192" i="29"/>
  <c r="B217" i="17"/>
  <c r="N192" i="25"/>
  <c r="O192" i="25" s="1"/>
  <c r="H192" i="30"/>
  <c r="G192" i="30"/>
  <c r="N192" i="30"/>
  <c r="O192" i="30" s="1"/>
  <c r="L192" i="30"/>
  <c r="K192" i="30" s="1"/>
  <c r="J194" i="28"/>
  <c r="J194" i="26"/>
  <c r="B194" i="26"/>
  <c r="N194" i="27"/>
  <c r="O194" i="27" s="1"/>
  <c r="L194" i="27"/>
  <c r="B194" i="28"/>
  <c r="A195" i="26"/>
  <c r="J195" i="27"/>
  <c r="A196" i="27"/>
  <c r="B195" i="27"/>
  <c r="A195" i="28"/>
  <c r="X194" i="26"/>
  <c r="G193" i="28"/>
  <c r="L193" i="28"/>
  <c r="K193" i="28" s="1"/>
  <c r="N193" i="28"/>
  <c r="O193" i="28" s="1"/>
  <c r="H193" i="28"/>
  <c r="L193" i="26"/>
  <c r="K193" i="27"/>
  <c r="Y193" i="26"/>
  <c r="N193" i="26"/>
  <c r="O193" i="26" s="1"/>
  <c r="AC193" i="26"/>
  <c r="G193" i="27" l="1"/>
  <c r="H193" i="27"/>
  <c r="Q192" i="30"/>
  <c r="Q193" i="28"/>
  <c r="Q191" i="25"/>
  <c r="H191" i="25"/>
  <c r="I216" i="17" s="1"/>
  <c r="G191" i="25"/>
  <c r="H216" i="17" s="1"/>
  <c r="K192" i="25"/>
  <c r="Q192" i="29"/>
  <c r="AD192" i="26"/>
  <c r="Q192" i="26"/>
  <c r="G192" i="26"/>
  <c r="H192" i="26"/>
  <c r="K193" i="26"/>
  <c r="Q193" i="27"/>
  <c r="J195" i="28"/>
  <c r="B195" i="26"/>
  <c r="N195" i="27"/>
  <c r="O195" i="27" s="1"/>
  <c r="L195" i="27"/>
  <c r="B195" i="28"/>
  <c r="A196" i="26"/>
  <c r="J196" i="27"/>
  <c r="A197" i="27"/>
  <c r="B196" i="27"/>
  <c r="A196" i="28"/>
  <c r="J195" i="26"/>
  <c r="X195" i="26"/>
  <c r="H194" i="28"/>
  <c r="N194" i="28"/>
  <c r="O194" i="28" s="1"/>
  <c r="L194" i="28"/>
  <c r="K194" i="28" s="1"/>
  <c r="G194" i="28"/>
  <c r="L194" i="26"/>
  <c r="K194" i="27"/>
  <c r="Y194" i="26"/>
  <c r="N194" i="26"/>
  <c r="O194" i="26" s="1"/>
  <c r="AC194" i="26"/>
  <c r="B194" i="30"/>
  <c r="J194" i="30"/>
  <c r="J194" i="25"/>
  <c r="B194" i="25"/>
  <c r="H194" i="29"/>
  <c r="G194" i="29"/>
  <c r="N194" i="29"/>
  <c r="O194" i="29" s="1"/>
  <c r="L194" i="29"/>
  <c r="A195" i="25"/>
  <c r="J195" i="29"/>
  <c r="A196" i="29"/>
  <c r="A195" i="30"/>
  <c r="B195" i="29"/>
  <c r="L193" i="25"/>
  <c r="K193" i="29"/>
  <c r="B218" i="17"/>
  <c r="N193" i="25"/>
  <c r="O193" i="25" s="1"/>
  <c r="H193" i="30"/>
  <c r="G193" i="30"/>
  <c r="N193" i="30"/>
  <c r="O193" i="30" s="1"/>
  <c r="L193" i="30"/>
  <c r="K193" i="30" s="1"/>
  <c r="G194" i="27" l="1"/>
  <c r="H194" i="27"/>
  <c r="Q194" i="28"/>
  <c r="K194" i="26"/>
  <c r="Q194" i="27"/>
  <c r="Q192" i="25"/>
  <c r="G192" i="25"/>
  <c r="H217" i="17" s="1"/>
  <c r="H192" i="25"/>
  <c r="I217" i="17" s="1"/>
  <c r="Q193" i="30"/>
  <c r="AD193" i="26"/>
  <c r="Q193" i="26"/>
  <c r="H193" i="26"/>
  <c r="G193" i="26"/>
  <c r="K193" i="25"/>
  <c r="Q193" i="29"/>
  <c r="B195" i="25"/>
  <c r="H195" i="29"/>
  <c r="G195" i="29"/>
  <c r="L195" i="29"/>
  <c r="N195" i="29"/>
  <c r="O195" i="29" s="1"/>
  <c r="B195" i="30"/>
  <c r="J195" i="30"/>
  <c r="A196" i="25"/>
  <c r="A197" i="29"/>
  <c r="B196" i="29"/>
  <c r="J196" i="29"/>
  <c r="A196" i="30"/>
  <c r="J195" i="25"/>
  <c r="L194" i="25"/>
  <c r="K194" i="29"/>
  <c r="B219" i="17"/>
  <c r="N194" i="25"/>
  <c r="O194" i="25" s="1"/>
  <c r="G194" i="30"/>
  <c r="N194" i="30"/>
  <c r="O194" i="30" s="1"/>
  <c r="L194" i="30"/>
  <c r="K194" i="30" s="1"/>
  <c r="H194" i="30"/>
  <c r="AC195" i="26"/>
  <c r="J196" i="28"/>
  <c r="B196" i="26"/>
  <c r="N196" i="27"/>
  <c r="O196" i="27" s="1"/>
  <c r="L196" i="27"/>
  <c r="B196" i="28"/>
  <c r="A197" i="26"/>
  <c r="A198" i="27"/>
  <c r="B197" i="27"/>
  <c r="J197" i="27"/>
  <c r="A197" i="28"/>
  <c r="J196" i="26"/>
  <c r="X196" i="26"/>
  <c r="H195" i="28"/>
  <c r="G195" i="28"/>
  <c r="N195" i="28"/>
  <c r="O195" i="28" s="1"/>
  <c r="L195" i="28"/>
  <c r="K195" i="28" s="1"/>
  <c r="L195" i="26"/>
  <c r="K195" i="27"/>
  <c r="Y195" i="26"/>
  <c r="N195" i="26"/>
  <c r="O195" i="26" s="1"/>
  <c r="G195" i="27" l="1"/>
  <c r="H195" i="27"/>
  <c r="AD194" i="26"/>
  <c r="Q194" i="26"/>
  <c r="H194" i="26"/>
  <c r="G194" i="26"/>
  <c r="K195" i="26"/>
  <c r="Q195" i="27"/>
  <c r="K194" i="25"/>
  <c r="Q194" i="29"/>
  <c r="Q193" i="25"/>
  <c r="H193" i="25"/>
  <c r="I218" i="17" s="1"/>
  <c r="G193" i="25"/>
  <c r="H218" i="17" s="1"/>
  <c r="Q195" i="28"/>
  <c r="Q194" i="30"/>
  <c r="AC196" i="26"/>
  <c r="J197" i="28"/>
  <c r="J197" i="26"/>
  <c r="B197" i="26"/>
  <c r="N197" i="27"/>
  <c r="O197" i="27" s="1"/>
  <c r="L197" i="27"/>
  <c r="B197" i="28"/>
  <c r="A198" i="26"/>
  <c r="A199" i="27"/>
  <c r="B198" i="27"/>
  <c r="J198" i="27"/>
  <c r="A198" i="28"/>
  <c r="X197" i="26"/>
  <c r="N196" i="28"/>
  <c r="O196" i="28" s="1"/>
  <c r="H196" i="28"/>
  <c r="G196" i="28"/>
  <c r="L196" i="28"/>
  <c r="K196" i="28" s="1"/>
  <c r="L196" i="26"/>
  <c r="K196" i="27"/>
  <c r="Y196" i="26"/>
  <c r="N196" i="26"/>
  <c r="O196" i="26" s="1"/>
  <c r="B196" i="30"/>
  <c r="J196" i="30"/>
  <c r="J196" i="25"/>
  <c r="B196" i="25"/>
  <c r="H196" i="29"/>
  <c r="G196" i="29"/>
  <c r="N196" i="29"/>
  <c r="O196" i="29" s="1"/>
  <c r="L196" i="29"/>
  <c r="A197" i="25"/>
  <c r="J197" i="29"/>
  <c r="A198" i="29"/>
  <c r="A197" i="30"/>
  <c r="B197" i="29"/>
  <c r="N195" i="30"/>
  <c r="O195" i="30" s="1"/>
  <c r="L195" i="30"/>
  <c r="K195" i="30" s="1"/>
  <c r="H195" i="30"/>
  <c r="G195" i="30"/>
  <c r="L195" i="25"/>
  <c r="K195" i="29"/>
  <c r="B220" i="17"/>
  <c r="N195" i="25"/>
  <c r="O195" i="25" s="1"/>
  <c r="G196" i="27" l="1"/>
  <c r="H196" i="27"/>
  <c r="Q196" i="28"/>
  <c r="Q195" i="30"/>
  <c r="K196" i="26"/>
  <c r="Q196" i="27"/>
  <c r="Q194" i="25"/>
  <c r="H194" i="25"/>
  <c r="I219" i="17" s="1"/>
  <c r="G194" i="25"/>
  <c r="H219" i="17" s="1"/>
  <c r="AD195" i="26"/>
  <c r="Q195" i="26"/>
  <c r="G195" i="26"/>
  <c r="H195" i="26"/>
  <c r="K195" i="25"/>
  <c r="Q195" i="29"/>
  <c r="B197" i="25"/>
  <c r="H197" i="29"/>
  <c r="G197" i="29"/>
  <c r="L197" i="29"/>
  <c r="N197" i="29"/>
  <c r="O197" i="29" s="1"/>
  <c r="B197" i="30"/>
  <c r="J197" i="30"/>
  <c r="A198" i="25"/>
  <c r="A199" i="29"/>
  <c r="B198" i="29"/>
  <c r="J198" i="29"/>
  <c r="A198" i="30"/>
  <c r="J197" i="25"/>
  <c r="L196" i="25"/>
  <c r="K196" i="29"/>
  <c r="B221" i="17"/>
  <c r="N196" i="25"/>
  <c r="O196" i="25" s="1"/>
  <c r="N196" i="30"/>
  <c r="O196" i="30" s="1"/>
  <c r="L196" i="30"/>
  <c r="K196" i="30" s="1"/>
  <c r="H196" i="30"/>
  <c r="G196" i="30"/>
  <c r="J198" i="28"/>
  <c r="J198" i="26"/>
  <c r="B198" i="26"/>
  <c r="N198" i="27"/>
  <c r="O198" i="27" s="1"/>
  <c r="L198" i="27"/>
  <c r="B198" i="28"/>
  <c r="A199" i="26"/>
  <c r="J199" i="27"/>
  <c r="A200" i="27"/>
  <c r="B199" i="27"/>
  <c r="A199" i="28"/>
  <c r="X198" i="26"/>
  <c r="L197" i="28"/>
  <c r="K197" i="28" s="1"/>
  <c r="G197" i="28"/>
  <c r="N197" i="28"/>
  <c r="O197" i="28" s="1"/>
  <c r="H197" i="28"/>
  <c r="L197" i="26"/>
  <c r="K197" i="27"/>
  <c r="Y197" i="26"/>
  <c r="N197" i="26"/>
  <c r="O197" i="26" s="1"/>
  <c r="AC197" i="26"/>
  <c r="G197" i="27" l="1"/>
  <c r="H197" i="27"/>
  <c r="Q197" i="28"/>
  <c r="K197" i="26"/>
  <c r="Q197" i="27"/>
  <c r="Q195" i="25"/>
  <c r="H195" i="25"/>
  <c r="I220" i="17" s="1"/>
  <c r="G195" i="25"/>
  <c r="H220" i="17" s="1"/>
  <c r="K196" i="25"/>
  <c r="Q196" i="29"/>
  <c r="AD196" i="26"/>
  <c r="Q196" i="26"/>
  <c r="H196" i="26"/>
  <c r="G196" i="26"/>
  <c r="Q196" i="30"/>
  <c r="J199" i="28"/>
  <c r="B199" i="26"/>
  <c r="N199" i="27"/>
  <c r="O199" i="27" s="1"/>
  <c r="L199" i="27"/>
  <c r="B199" i="28"/>
  <c r="A200" i="26"/>
  <c r="J200" i="27"/>
  <c r="A201" i="27"/>
  <c r="B200" i="27"/>
  <c r="A200" i="28"/>
  <c r="J199" i="26"/>
  <c r="X199" i="26"/>
  <c r="N198" i="28"/>
  <c r="O198" i="28" s="1"/>
  <c r="L198" i="28"/>
  <c r="K198" i="28" s="1"/>
  <c r="H198" i="28"/>
  <c r="G198" i="28"/>
  <c r="L198" i="26"/>
  <c r="K198" i="27"/>
  <c r="Y198" i="26"/>
  <c r="N198" i="26"/>
  <c r="O198" i="26" s="1"/>
  <c r="AC198" i="26"/>
  <c r="B198" i="30"/>
  <c r="J198" i="30"/>
  <c r="J198" i="25"/>
  <c r="B198" i="25"/>
  <c r="H198" i="29"/>
  <c r="G198" i="29"/>
  <c r="N198" i="29"/>
  <c r="O198" i="29" s="1"/>
  <c r="L198" i="29"/>
  <c r="A199" i="25"/>
  <c r="J199" i="29"/>
  <c r="A200" i="29"/>
  <c r="B199" i="29"/>
  <c r="A199" i="30"/>
  <c r="N197" i="30"/>
  <c r="O197" i="30" s="1"/>
  <c r="L197" i="30"/>
  <c r="K197" i="30" s="1"/>
  <c r="H197" i="30"/>
  <c r="G197" i="30"/>
  <c r="L197" i="25"/>
  <c r="K197" i="29"/>
  <c r="B222" i="17"/>
  <c r="N197" i="25"/>
  <c r="O197" i="25" s="1"/>
  <c r="G198" i="27" l="1"/>
  <c r="H198" i="27"/>
  <c r="Q198" i="28"/>
  <c r="Q196" i="25"/>
  <c r="H196" i="25"/>
  <c r="I221" i="17" s="1"/>
  <c r="G196" i="25"/>
  <c r="H221" i="17" s="1"/>
  <c r="K197" i="25"/>
  <c r="Q197" i="29"/>
  <c r="Q197" i="30"/>
  <c r="AD197" i="26"/>
  <c r="Q197" i="26"/>
  <c r="H197" i="26"/>
  <c r="G197" i="26"/>
  <c r="K198" i="26"/>
  <c r="Q198" i="27"/>
  <c r="B199" i="30"/>
  <c r="J199" i="30"/>
  <c r="B199" i="25"/>
  <c r="H199" i="29"/>
  <c r="G199" i="29"/>
  <c r="L199" i="29"/>
  <c r="N199" i="29"/>
  <c r="O199" i="29" s="1"/>
  <c r="A200" i="25"/>
  <c r="A201" i="29"/>
  <c r="B200" i="29"/>
  <c r="J200" i="29"/>
  <c r="A200" i="30"/>
  <c r="J199" i="25"/>
  <c r="L198" i="25"/>
  <c r="K198" i="29"/>
  <c r="B223" i="17"/>
  <c r="N198" i="25"/>
  <c r="O198" i="25" s="1"/>
  <c r="L198" i="30"/>
  <c r="K198" i="30" s="1"/>
  <c r="H198" i="30"/>
  <c r="G198" i="30"/>
  <c r="N198" i="30"/>
  <c r="O198" i="30" s="1"/>
  <c r="AC199" i="26"/>
  <c r="J200" i="28"/>
  <c r="B200" i="26"/>
  <c r="N200" i="27"/>
  <c r="O200" i="27" s="1"/>
  <c r="L200" i="27"/>
  <c r="B200" i="28"/>
  <c r="A201" i="26"/>
  <c r="A202" i="27"/>
  <c r="B201" i="27"/>
  <c r="J201" i="27"/>
  <c r="A201" i="28"/>
  <c r="J200" i="26"/>
  <c r="X200" i="26"/>
  <c r="H199" i="28"/>
  <c r="N199" i="28"/>
  <c r="O199" i="28" s="1"/>
  <c r="L199" i="28"/>
  <c r="K199" i="28" s="1"/>
  <c r="G199" i="28"/>
  <c r="L199" i="26"/>
  <c r="K199" i="27"/>
  <c r="Y199" i="26"/>
  <c r="N199" i="26"/>
  <c r="O199" i="26" s="1"/>
  <c r="G199" i="27" l="1"/>
  <c r="H199" i="27"/>
  <c r="Q199" i="28"/>
  <c r="K199" i="26"/>
  <c r="Q199" i="27"/>
  <c r="K198" i="25"/>
  <c r="Q198" i="29"/>
  <c r="AD198" i="26"/>
  <c r="Q198" i="26"/>
  <c r="H198" i="26"/>
  <c r="G198" i="26"/>
  <c r="Q198" i="30"/>
  <c r="Q197" i="25"/>
  <c r="G197" i="25"/>
  <c r="H222" i="17" s="1"/>
  <c r="H197" i="25"/>
  <c r="I222" i="17" s="1"/>
  <c r="AC200" i="26"/>
  <c r="J201" i="28"/>
  <c r="J201" i="26"/>
  <c r="B201" i="26"/>
  <c r="N201" i="27"/>
  <c r="O201" i="27" s="1"/>
  <c r="L201" i="27"/>
  <c r="B201" i="28"/>
  <c r="A202" i="26"/>
  <c r="A203" i="27"/>
  <c r="B202" i="27"/>
  <c r="J202" i="27"/>
  <c r="A202" i="28"/>
  <c r="X201" i="26"/>
  <c r="H200" i="28"/>
  <c r="G200" i="28"/>
  <c r="N200" i="28"/>
  <c r="O200" i="28" s="1"/>
  <c r="L200" i="28"/>
  <c r="K200" i="28" s="1"/>
  <c r="L200" i="26"/>
  <c r="K200" i="27"/>
  <c r="Y200" i="26"/>
  <c r="N200" i="26"/>
  <c r="O200" i="26" s="1"/>
  <c r="J200" i="30"/>
  <c r="B200" i="30"/>
  <c r="J200" i="25"/>
  <c r="B200" i="25"/>
  <c r="H200" i="29"/>
  <c r="G200" i="29"/>
  <c r="N200" i="29"/>
  <c r="O200" i="29" s="1"/>
  <c r="L200" i="29"/>
  <c r="A201" i="25"/>
  <c r="J201" i="29"/>
  <c r="A202" i="29"/>
  <c r="B201" i="29"/>
  <c r="A201" i="30"/>
  <c r="L199" i="25"/>
  <c r="K199" i="29"/>
  <c r="B224" i="17"/>
  <c r="N199" i="25"/>
  <c r="O199" i="25" s="1"/>
  <c r="H199" i="30"/>
  <c r="G199" i="30"/>
  <c r="N199" i="30"/>
  <c r="O199" i="30" s="1"/>
  <c r="L199" i="30"/>
  <c r="K199" i="30" s="1"/>
  <c r="Q199" i="30" l="1"/>
  <c r="Q200" i="28"/>
  <c r="G200" i="27"/>
  <c r="H200" i="27"/>
  <c r="G199" i="26"/>
  <c r="H199" i="26"/>
  <c r="AD199" i="26"/>
  <c r="Q199" i="26"/>
  <c r="K200" i="26"/>
  <c r="Q200" i="27"/>
  <c r="Q198" i="25"/>
  <c r="H198" i="25"/>
  <c r="I223" i="17" s="1"/>
  <c r="G198" i="25"/>
  <c r="H223" i="17" s="1"/>
  <c r="K199" i="25"/>
  <c r="Q199" i="29"/>
  <c r="B201" i="30"/>
  <c r="J201" i="30"/>
  <c r="B201" i="25"/>
  <c r="H201" i="29"/>
  <c r="G201" i="29"/>
  <c r="L201" i="29"/>
  <c r="N201" i="29"/>
  <c r="O201" i="29" s="1"/>
  <c r="A202" i="25"/>
  <c r="A203" i="29"/>
  <c r="B202" i="29"/>
  <c r="J202" i="29"/>
  <c r="A202" i="30"/>
  <c r="J201" i="25"/>
  <c r="L200" i="25"/>
  <c r="K200" i="29"/>
  <c r="B225" i="17"/>
  <c r="N200" i="25"/>
  <c r="O200" i="25" s="1"/>
  <c r="H200" i="30"/>
  <c r="G200" i="30"/>
  <c r="N200" i="30"/>
  <c r="O200" i="30" s="1"/>
  <c r="L200" i="30"/>
  <c r="K200" i="30" s="1"/>
  <c r="J202" i="28"/>
  <c r="J202" i="26"/>
  <c r="B202" i="26"/>
  <c r="N202" i="27"/>
  <c r="O202" i="27" s="1"/>
  <c r="L202" i="27"/>
  <c r="B202" i="28"/>
  <c r="A203" i="26"/>
  <c r="J203" i="27"/>
  <c r="A204" i="27"/>
  <c r="B203" i="27"/>
  <c r="A203" i="28"/>
  <c r="X202" i="26"/>
  <c r="H201" i="28"/>
  <c r="G201" i="28"/>
  <c r="N201" i="28"/>
  <c r="O201" i="28" s="1"/>
  <c r="L201" i="28"/>
  <c r="K201" i="28" s="1"/>
  <c r="L201" i="26"/>
  <c r="K201" i="27"/>
  <c r="Y201" i="26"/>
  <c r="N201" i="26"/>
  <c r="O201" i="26" s="1"/>
  <c r="AC201" i="26"/>
  <c r="G199" i="25" l="1"/>
  <c r="H224" i="17" s="1"/>
  <c r="H199" i="25"/>
  <c r="I224" i="17" s="1"/>
  <c r="Q201" i="28"/>
  <c r="H201" i="27"/>
  <c r="G201" i="27"/>
  <c r="H200" i="26"/>
  <c r="G200" i="26"/>
  <c r="AD200" i="26"/>
  <c r="Q200" i="26"/>
  <c r="Q199" i="25"/>
  <c r="K201" i="26"/>
  <c r="Q201" i="27"/>
  <c r="Q200" i="30"/>
  <c r="K200" i="25"/>
  <c r="Q200" i="29"/>
  <c r="J203" i="28"/>
  <c r="B203" i="26"/>
  <c r="N203" i="27"/>
  <c r="O203" i="27" s="1"/>
  <c r="L203" i="27"/>
  <c r="B203" i="28"/>
  <c r="A204" i="26"/>
  <c r="J204" i="27"/>
  <c r="A205" i="27"/>
  <c r="B204" i="27"/>
  <c r="A204" i="28"/>
  <c r="J203" i="26"/>
  <c r="X203" i="26"/>
  <c r="G202" i="28"/>
  <c r="L202" i="28"/>
  <c r="K202" i="28" s="1"/>
  <c r="H202" i="28"/>
  <c r="N202" i="28"/>
  <c r="O202" i="28" s="1"/>
  <c r="L202" i="26"/>
  <c r="K202" i="27"/>
  <c r="Y202" i="26"/>
  <c r="N202" i="26"/>
  <c r="O202" i="26" s="1"/>
  <c r="AC202" i="26"/>
  <c r="B202" i="30"/>
  <c r="J202" i="30"/>
  <c r="J202" i="25"/>
  <c r="B202" i="25"/>
  <c r="H202" i="29"/>
  <c r="G202" i="29"/>
  <c r="N202" i="29"/>
  <c r="O202" i="29" s="1"/>
  <c r="L202" i="29"/>
  <c r="A203" i="25"/>
  <c r="J203" i="29"/>
  <c r="A204" i="29"/>
  <c r="B203" i="29"/>
  <c r="A203" i="30"/>
  <c r="L201" i="25"/>
  <c r="K201" i="29"/>
  <c r="B226" i="17"/>
  <c r="N201" i="25"/>
  <c r="O201" i="25" s="1"/>
  <c r="H201" i="30"/>
  <c r="G201" i="30"/>
  <c r="N201" i="30"/>
  <c r="O201" i="30" s="1"/>
  <c r="L201" i="30"/>
  <c r="K201" i="30" s="1"/>
  <c r="H200" i="25" l="1"/>
  <c r="I225" i="17" s="1"/>
  <c r="G200" i="25"/>
  <c r="H225" i="17" s="1"/>
  <c r="Q202" i="28"/>
  <c r="G201" i="26"/>
  <c r="H201" i="26"/>
  <c r="H202" i="27"/>
  <c r="G202" i="27"/>
  <c r="K202" i="26"/>
  <c r="Q202" i="27"/>
  <c r="Q200" i="25"/>
  <c r="AD201" i="26"/>
  <c r="Q201" i="26"/>
  <c r="Q201" i="30"/>
  <c r="K201" i="25"/>
  <c r="Q201" i="29"/>
  <c r="B203" i="30"/>
  <c r="J203" i="30"/>
  <c r="B203" i="25"/>
  <c r="H203" i="29"/>
  <c r="G203" i="29"/>
  <c r="L203" i="29"/>
  <c r="N203" i="29"/>
  <c r="O203" i="29" s="1"/>
  <c r="A204" i="25"/>
  <c r="A205" i="29"/>
  <c r="B204" i="29"/>
  <c r="J204" i="29"/>
  <c r="A204" i="30"/>
  <c r="J203" i="25"/>
  <c r="L202" i="25"/>
  <c r="K202" i="29"/>
  <c r="B227" i="17"/>
  <c r="N202" i="25"/>
  <c r="O202" i="25" s="1"/>
  <c r="G202" i="30"/>
  <c r="N202" i="30"/>
  <c r="O202" i="30" s="1"/>
  <c r="L202" i="30"/>
  <c r="K202" i="30" s="1"/>
  <c r="H202" i="30"/>
  <c r="AC203" i="26"/>
  <c r="J204" i="28"/>
  <c r="B204" i="26"/>
  <c r="N204" i="27"/>
  <c r="O204" i="27" s="1"/>
  <c r="L204" i="27"/>
  <c r="B204" i="28"/>
  <c r="A205" i="26"/>
  <c r="A206" i="27"/>
  <c r="B205" i="27"/>
  <c r="J205" i="27"/>
  <c r="A205" i="28"/>
  <c r="J204" i="26"/>
  <c r="X204" i="26"/>
  <c r="N203" i="28"/>
  <c r="O203" i="28" s="1"/>
  <c r="H203" i="28"/>
  <c r="G203" i="28"/>
  <c r="L203" i="28"/>
  <c r="K203" i="28" s="1"/>
  <c r="L203" i="26"/>
  <c r="K203" i="27"/>
  <c r="Y203" i="26"/>
  <c r="N203" i="26"/>
  <c r="O203" i="26" s="1"/>
  <c r="G201" i="25" l="1"/>
  <c r="H226" i="17" s="1"/>
  <c r="H201" i="25"/>
  <c r="I226" i="17" s="1"/>
  <c r="H202" i="26"/>
  <c r="G202" i="26"/>
  <c r="G203" i="27"/>
  <c r="H203" i="27"/>
  <c r="Q203" i="28"/>
  <c r="Q201" i="25"/>
  <c r="AD202" i="26"/>
  <c r="Q202" i="26"/>
  <c r="K202" i="25"/>
  <c r="Q202" i="29"/>
  <c r="Q202" i="30"/>
  <c r="K203" i="26"/>
  <c r="Q203" i="27"/>
  <c r="AC204" i="26"/>
  <c r="J205" i="28"/>
  <c r="J205" i="26"/>
  <c r="B205" i="26"/>
  <c r="N205" i="27"/>
  <c r="O205" i="27" s="1"/>
  <c r="L205" i="27"/>
  <c r="B205" i="28"/>
  <c r="A206" i="26"/>
  <c r="A207" i="27"/>
  <c r="B206" i="27"/>
  <c r="J206" i="27"/>
  <c r="A206" i="28"/>
  <c r="X205" i="26"/>
  <c r="N204" i="28"/>
  <c r="O204" i="28" s="1"/>
  <c r="L204" i="28"/>
  <c r="K204" i="28" s="1"/>
  <c r="H204" i="28"/>
  <c r="G204" i="28"/>
  <c r="L204" i="26"/>
  <c r="K204" i="27"/>
  <c r="Y204" i="26"/>
  <c r="N204" i="26"/>
  <c r="O204" i="26" s="1"/>
  <c r="B204" i="30"/>
  <c r="J204" i="30"/>
  <c r="J204" i="25"/>
  <c r="B204" i="25"/>
  <c r="H204" i="29"/>
  <c r="G204" i="29"/>
  <c r="N204" i="29"/>
  <c r="O204" i="29" s="1"/>
  <c r="L204" i="29"/>
  <c r="A205" i="25"/>
  <c r="J205" i="29"/>
  <c r="A206" i="29"/>
  <c r="B205" i="29"/>
  <c r="A205" i="30"/>
  <c r="L203" i="25"/>
  <c r="K203" i="29"/>
  <c r="B228" i="17"/>
  <c r="N203" i="25"/>
  <c r="O203" i="25" s="1"/>
  <c r="N203" i="30"/>
  <c r="O203" i="30" s="1"/>
  <c r="L203" i="30"/>
  <c r="K203" i="30" s="1"/>
  <c r="Q203" i="30" s="1"/>
  <c r="H203" i="30"/>
  <c r="G203" i="30"/>
  <c r="H202" i="25" l="1"/>
  <c r="I227" i="17" s="1"/>
  <c r="G202" i="25"/>
  <c r="H227" i="17" s="1"/>
  <c r="Q204" i="28"/>
  <c r="G203" i="26"/>
  <c r="H203" i="26"/>
  <c r="G204" i="27"/>
  <c r="H204" i="27"/>
  <c r="K203" i="25"/>
  <c r="Q203" i="29"/>
  <c r="AD203" i="26"/>
  <c r="Q203" i="26"/>
  <c r="Q202" i="25"/>
  <c r="K204" i="26"/>
  <c r="Q204" i="27"/>
  <c r="B205" i="30"/>
  <c r="J205" i="30"/>
  <c r="B205" i="25"/>
  <c r="H205" i="29"/>
  <c r="G205" i="29"/>
  <c r="L205" i="29"/>
  <c r="N205" i="29"/>
  <c r="O205" i="29" s="1"/>
  <c r="A206" i="25"/>
  <c r="A207" i="29"/>
  <c r="B206" i="29"/>
  <c r="J206" i="29"/>
  <c r="A206" i="30"/>
  <c r="J205" i="25"/>
  <c r="L204" i="25"/>
  <c r="K204" i="29"/>
  <c r="B229" i="17"/>
  <c r="N204" i="25"/>
  <c r="O204" i="25" s="1"/>
  <c r="N204" i="30"/>
  <c r="O204" i="30" s="1"/>
  <c r="L204" i="30"/>
  <c r="K204" i="30" s="1"/>
  <c r="H204" i="30"/>
  <c r="G204" i="30"/>
  <c r="J206" i="28"/>
  <c r="J206" i="26"/>
  <c r="B206" i="26"/>
  <c r="N206" i="27"/>
  <c r="O206" i="27" s="1"/>
  <c r="L206" i="27"/>
  <c r="B206" i="28"/>
  <c r="A207" i="26"/>
  <c r="J207" i="27"/>
  <c r="A208" i="27"/>
  <c r="B207" i="27"/>
  <c r="A207" i="28"/>
  <c r="X206" i="26"/>
  <c r="N205" i="28"/>
  <c r="O205" i="28" s="1"/>
  <c r="L205" i="28"/>
  <c r="K205" i="28" s="1"/>
  <c r="H205" i="28"/>
  <c r="G205" i="28"/>
  <c r="L205" i="26"/>
  <c r="K205" i="27"/>
  <c r="Y205" i="26"/>
  <c r="N205" i="26"/>
  <c r="O205" i="26" s="1"/>
  <c r="AC205" i="26"/>
  <c r="G203" i="25" l="1"/>
  <c r="H228" i="17" s="1"/>
  <c r="H203" i="25"/>
  <c r="I228" i="17" s="1"/>
  <c r="Q204" i="30"/>
  <c r="Q205" i="28"/>
  <c r="H204" i="26"/>
  <c r="G204" i="26"/>
  <c r="G205" i="27"/>
  <c r="H205" i="27"/>
  <c r="Q203" i="25"/>
  <c r="AD204" i="26"/>
  <c r="Q204" i="26"/>
  <c r="K205" i="26"/>
  <c r="Q205" i="27"/>
  <c r="K204" i="25"/>
  <c r="Q204" i="29"/>
  <c r="J207" i="28"/>
  <c r="B207" i="26"/>
  <c r="N207" i="27"/>
  <c r="O207" i="27" s="1"/>
  <c r="L207" i="27"/>
  <c r="B207" i="28"/>
  <c r="A208" i="26"/>
  <c r="J208" i="27"/>
  <c r="A209" i="27"/>
  <c r="B208" i="27"/>
  <c r="A208" i="28"/>
  <c r="J207" i="26"/>
  <c r="X207" i="26"/>
  <c r="L206" i="28"/>
  <c r="K206" i="28" s="1"/>
  <c r="G206" i="28"/>
  <c r="N206" i="28"/>
  <c r="O206" i="28" s="1"/>
  <c r="H206" i="28"/>
  <c r="L206" i="26"/>
  <c r="K206" i="27"/>
  <c r="Y206" i="26"/>
  <c r="N206" i="26"/>
  <c r="O206" i="26" s="1"/>
  <c r="AC206" i="26"/>
  <c r="B206" i="30"/>
  <c r="J206" i="30"/>
  <c r="J206" i="25"/>
  <c r="B206" i="25"/>
  <c r="H206" i="29"/>
  <c r="G206" i="29"/>
  <c r="N206" i="29"/>
  <c r="O206" i="29" s="1"/>
  <c r="L206" i="29"/>
  <c r="A207" i="25"/>
  <c r="J207" i="29"/>
  <c r="A208" i="29"/>
  <c r="A207" i="30"/>
  <c r="B207" i="29"/>
  <c r="L205" i="25"/>
  <c r="K205" i="29"/>
  <c r="B230" i="17"/>
  <c r="N205" i="25"/>
  <c r="O205" i="25" s="1"/>
  <c r="N205" i="30"/>
  <c r="O205" i="30" s="1"/>
  <c r="L205" i="30"/>
  <c r="K205" i="30" s="1"/>
  <c r="H205" i="30"/>
  <c r="G205" i="30"/>
  <c r="H204" i="25" l="1"/>
  <c r="I229" i="17" s="1"/>
  <c r="G204" i="25"/>
  <c r="H229" i="17" s="1"/>
  <c r="Q205" i="30"/>
  <c r="Q206" i="28"/>
  <c r="H205" i="26"/>
  <c r="G205" i="26"/>
  <c r="G206" i="27"/>
  <c r="H206" i="27"/>
  <c r="AD205" i="26"/>
  <c r="Q205" i="26"/>
  <c r="K205" i="25"/>
  <c r="Q205" i="29"/>
  <c r="K206" i="26"/>
  <c r="Q206" i="27"/>
  <c r="Q204" i="25"/>
  <c r="B207" i="25"/>
  <c r="H207" i="29"/>
  <c r="G207" i="29"/>
  <c r="L207" i="29"/>
  <c r="N207" i="29"/>
  <c r="O207" i="29" s="1"/>
  <c r="B207" i="30"/>
  <c r="J207" i="30"/>
  <c r="A208" i="25"/>
  <c r="A209" i="29"/>
  <c r="B208" i="29"/>
  <c r="J208" i="29"/>
  <c r="A208" i="30"/>
  <c r="J207" i="25"/>
  <c r="L206" i="25"/>
  <c r="K206" i="29"/>
  <c r="B231" i="17"/>
  <c r="N206" i="25"/>
  <c r="O206" i="25" s="1"/>
  <c r="L206" i="30"/>
  <c r="K206" i="30" s="1"/>
  <c r="H206" i="30"/>
  <c r="G206" i="30"/>
  <c r="N206" i="30"/>
  <c r="O206" i="30" s="1"/>
  <c r="AC207" i="26"/>
  <c r="J208" i="28"/>
  <c r="B208" i="26"/>
  <c r="N208" i="27"/>
  <c r="O208" i="27" s="1"/>
  <c r="L208" i="27"/>
  <c r="B208" i="28"/>
  <c r="A209" i="26"/>
  <c r="A210" i="27"/>
  <c r="B209" i="27"/>
  <c r="J209" i="27"/>
  <c r="A209" i="28"/>
  <c r="J208" i="26"/>
  <c r="X208" i="26"/>
  <c r="H207" i="28"/>
  <c r="N207" i="28"/>
  <c r="O207" i="28" s="1"/>
  <c r="L207" i="28"/>
  <c r="K207" i="28" s="1"/>
  <c r="G207" i="28"/>
  <c r="L207" i="26"/>
  <c r="K207" i="27"/>
  <c r="Y207" i="26"/>
  <c r="N207" i="26"/>
  <c r="O207" i="26" s="1"/>
  <c r="Q206" i="30" l="1"/>
  <c r="G205" i="25"/>
  <c r="H230" i="17" s="1"/>
  <c r="H205" i="25"/>
  <c r="I230" i="17" s="1"/>
  <c r="H206" i="26"/>
  <c r="G206" i="26"/>
  <c r="G207" i="27"/>
  <c r="H207" i="27"/>
  <c r="AD206" i="26"/>
  <c r="Q206" i="26"/>
  <c r="K206" i="25"/>
  <c r="Q206" i="29"/>
  <c r="K207" i="26"/>
  <c r="Q207" i="27"/>
  <c r="Q207" i="28"/>
  <c r="Q205" i="25"/>
  <c r="AC208" i="26"/>
  <c r="J209" i="28"/>
  <c r="J209" i="26"/>
  <c r="B209" i="26"/>
  <c r="N209" i="27"/>
  <c r="O209" i="27" s="1"/>
  <c r="L209" i="27"/>
  <c r="B209" i="28"/>
  <c r="A210" i="26"/>
  <c r="A211" i="27"/>
  <c r="B210" i="27"/>
  <c r="J210" i="27"/>
  <c r="A210" i="28"/>
  <c r="X209" i="26"/>
  <c r="H208" i="28"/>
  <c r="G208" i="28"/>
  <c r="N208" i="28"/>
  <c r="O208" i="28" s="1"/>
  <c r="L208" i="28"/>
  <c r="K208" i="28" s="1"/>
  <c r="L208" i="26"/>
  <c r="K208" i="27"/>
  <c r="Y208" i="26"/>
  <c r="N208" i="26"/>
  <c r="O208" i="26" s="1"/>
  <c r="J208" i="30"/>
  <c r="B208" i="30"/>
  <c r="J208" i="25"/>
  <c r="B208" i="25"/>
  <c r="H208" i="29"/>
  <c r="G208" i="29"/>
  <c r="N208" i="29"/>
  <c r="O208" i="29" s="1"/>
  <c r="L208" i="29"/>
  <c r="A209" i="25"/>
  <c r="J209" i="29"/>
  <c r="A210" i="29"/>
  <c r="B209" i="29"/>
  <c r="A209" i="30"/>
  <c r="H207" i="30"/>
  <c r="G207" i="30"/>
  <c r="N207" i="30"/>
  <c r="O207" i="30" s="1"/>
  <c r="L207" i="30"/>
  <c r="K207" i="30" s="1"/>
  <c r="L207" i="25"/>
  <c r="K207" i="29"/>
  <c r="B232" i="17"/>
  <c r="N207" i="25"/>
  <c r="O207" i="25" s="1"/>
  <c r="G206" i="25" l="1"/>
  <c r="H231" i="17" s="1"/>
  <c r="H206" i="25"/>
  <c r="I231" i="17" s="1"/>
  <c r="Q207" i="30"/>
  <c r="Q208" i="28"/>
  <c r="H207" i="26"/>
  <c r="G207" i="26"/>
  <c r="G208" i="27"/>
  <c r="H208" i="27"/>
  <c r="Q206" i="25"/>
  <c r="K208" i="26"/>
  <c r="Q208" i="27"/>
  <c r="K207" i="25"/>
  <c r="Q207" i="29"/>
  <c r="AD207" i="26"/>
  <c r="Q207" i="26"/>
  <c r="B209" i="30"/>
  <c r="J209" i="30"/>
  <c r="B209" i="25"/>
  <c r="H209" i="29"/>
  <c r="G209" i="29"/>
  <c r="L209" i="29"/>
  <c r="N209" i="29"/>
  <c r="O209" i="29" s="1"/>
  <c r="A210" i="25"/>
  <c r="A211" i="29"/>
  <c r="B210" i="29"/>
  <c r="J210" i="29"/>
  <c r="A210" i="30"/>
  <c r="J209" i="25"/>
  <c r="L208" i="25"/>
  <c r="K208" i="29"/>
  <c r="B233" i="17"/>
  <c r="N208" i="25"/>
  <c r="O208" i="25" s="1"/>
  <c r="H208" i="30"/>
  <c r="G208" i="30"/>
  <c r="N208" i="30"/>
  <c r="O208" i="30" s="1"/>
  <c r="L208" i="30"/>
  <c r="K208" i="30" s="1"/>
  <c r="J210" i="28"/>
  <c r="J210" i="26"/>
  <c r="B210" i="26"/>
  <c r="N210" i="27"/>
  <c r="O210" i="27" s="1"/>
  <c r="L210" i="27"/>
  <c r="B210" i="28"/>
  <c r="A211" i="26"/>
  <c r="J211" i="27"/>
  <c r="A212" i="27"/>
  <c r="B211" i="27"/>
  <c r="A211" i="28"/>
  <c r="X210" i="26"/>
  <c r="H209" i="28"/>
  <c r="G209" i="28"/>
  <c r="N209" i="28"/>
  <c r="O209" i="28" s="1"/>
  <c r="L209" i="28"/>
  <c r="K209" i="28" s="1"/>
  <c r="L209" i="26"/>
  <c r="K209" i="27"/>
  <c r="Y209" i="26"/>
  <c r="N209" i="26"/>
  <c r="O209" i="26" s="1"/>
  <c r="AC209" i="26"/>
  <c r="H207" i="25" l="1"/>
  <c r="I232" i="17" s="1"/>
  <c r="G207" i="25"/>
  <c r="H232" i="17" s="1"/>
  <c r="Q208" i="30"/>
  <c r="Q209" i="28"/>
  <c r="H208" i="26"/>
  <c r="G208" i="26"/>
  <c r="G209" i="27"/>
  <c r="H209" i="27"/>
  <c r="Q207" i="25"/>
  <c r="K208" i="25"/>
  <c r="Q208" i="29"/>
  <c r="K209" i="26"/>
  <c r="Q209" i="27"/>
  <c r="AD208" i="26"/>
  <c r="Q208" i="26"/>
  <c r="J211" i="28"/>
  <c r="B211" i="26"/>
  <c r="N211" i="27"/>
  <c r="O211" i="27" s="1"/>
  <c r="L211" i="27"/>
  <c r="B211" i="28"/>
  <c r="A212" i="26"/>
  <c r="J212" i="27"/>
  <c r="A213" i="27"/>
  <c r="B212" i="27"/>
  <c r="A212" i="28"/>
  <c r="J211" i="26"/>
  <c r="X211" i="26"/>
  <c r="G210" i="28"/>
  <c r="N210" i="28"/>
  <c r="O210" i="28" s="1"/>
  <c r="L210" i="28"/>
  <c r="K210" i="28" s="1"/>
  <c r="H210" i="28"/>
  <c r="L210" i="26"/>
  <c r="K210" i="27"/>
  <c r="Y210" i="26"/>
  <c r="N210" i="26"/>
  <c r="O210" i="26" s="1"/>
  <c r="AC210" i="26"/>
  <c r="B210" i="30"/>
  <c r="J210" i="30"/>
  <c r="J210" i="25"/>
  <c r="B210" i="25"/>
  <c r="H210" i="29"/>
  <c r="G210" i="29"/>
  <c r="N210" i="29"/>
  <c r="O210" i="29" s="1"/>
  <c r="L210" i="29"/>
  <c r="A211" i="25"/>
  <c r="J211" i="29"/>
  <c r="A212" i="29"/>
  <c r="A211" i="30"/>
  <c r="B211" i="29"/>
  <c r="L209" i="25"/>
  <c r="K209" i="29"/>
  <c r="B234" i="17"/>
  <c r="N209" i="25"/>
  <c r="O209" i="25" s="1"/>
  <c r="H209" i="30"/>
  <c r="G209" i="30"/>
  <c r="N209" i="30"/>
  <c r="O209" i="30" s="1"/>
  <c r="L209" i="30"/>
  <c r="K209" i="30" s="1"/>
  <c r="G208" i="25" l="1"/>
  <c r="H233" i="17" s="1"/>
  <c r="H208" i="25"/>
  <c r="I233" i="17" s="1"/>
  <c r="Q209" i="30"/>
  <c r="Q210" i="28"/>
  <c r="G209" i="26"/>
  <c r="H209" i="26"/>
  <c r="G210" i="27"/>
  <c r="H210" i="27"/>
  <c r="Q208" i="25"/>
  <c r="K210" i="26"/>
  <c r="Q210" i="27"/>
  <c r="AD209" i="26"/>
  <c r="Q209" i="26"/>
  <c r="K209" i="25"/>
  <c r="Q209" i="29"/>
  <c r="B211" i="25"/>
  <c r="H211" i="29"/>
  <c r="G211" i="29"/>
  <c r="L211" i="29"/>
  <c r="N211" i="29"/>
  <c r="O211" i="29" s="1"/>
  <c r="B211" i="30"/>
  <c r="J211" i="30"/>
  <c r="A212" i="25"/>
  <c r="A213" i="29"/>
  <c r="B212" i="29"/>
  <c r="J212" i="29"/>
  <c r="A212" i="30"/>
  <c r="J211" i="25"/>
  <c r="L210" i="25"/>
  <c r="K210" i="29"/>
  <c r="B235" i="17"/>
  <c r="N210" i="25"/>
  <c r="O210" i="25" s="1"/>
  <c r="G210" i="30"/>
  <c r="N210" i="30"/>
  <c r="O210" i="30" s="1"/>
  <c r="L210" i="30"/>
  <c r="K210" i="30" s="1"/>
  <c r="H210" i="30"/>
  <c r="AC211" i="26"/>
  <c r="J212" i="28"/>
  <c r="B212" i="26"/>
  <c r="N212" i="27"/>
  <c r="O212" i="27" s="1"/>
  <c r="L212" i="27"/>
  <c r="B212" i="28"/>
  <c r="A213" i="26"/>
  <c r="A214" i="27"/>
  <c r="B213" i="27"/>
  <c r="J213" i="27"/>
  <c r="A213" i="28"/>
  <c r="J212" i="26"/>
  <c r="X212" i="26"/>
  <c r="N211" i="28"/>
  <c r="O211" i="28" s="1"/>
  <c r="L211" i="28"/>
  <c r="K211" i="28" s="1"/>
  <c r="H211" i="28"/>
  <c r="G211" i="28"/>
  <c r="L211" i="26"/>
  <c r="K211" i="27"/>
  <c r="Y211" i="26"/>
  <c r="N211" i="26"/>
  <c r="O211" i="26" s="1"/>
  <c r="G209" i="25" l="1"/>
  <c r="H234" i="17" s="1"/>
  <c r="H209" i="25"/>
  <c r="I234" i="17" s="1"/>
  <c r="Q211" i="28"/>
  <c r="H210" i="26"/>
  <c r="G210" i="26"/>
  <c r="G211" i="27"/>
  <c r="H211" i="27"/>
  <c r="AD210" i="26"/>
  <c r="Q210" i="26"/>
  <c r="Q209" i="25"/>
  <c r="Q210" i="30"/>
  <c r="K211" i="26"/>
  <c r="Q211" i="27"/>
  <c r="K210" i="25"/>
  <c r="Q210" i="29"/>
  <c r="AC212" i="26"/>
  <c r="J213" i="28"/>
  <c r="J213" i="26"/>
  <c r="B213" i="26"/>
  <c r="N213" i="27"/>
  <c r="O213" i="27" s="1"/>
  <c r="L213" i="27"/>
  <c r="B213" i="28"/>
  <c r="A214" i="26"/>
  <c r="A215" i="27"/>
  <c r="B214" i="27"/>
  <c r="J214" i="27"/>
  <c r="A214" i="28"/>
  <c r="X213" i="26"/>
  <c r="N212" i="28"/>
  <c r="O212" i="28" s="1"/>
  <c r="L212" i="28"/>
  <c r="K212" i="28" s="1"/>
  <c r="H212" i="28"/>
  <c r="G212" i="28"/>
  <c r="L212" i="26"/>
  <c r="K212" i="27"/>
  <c r="Y212" i="26"/>
  <c r="N212" i="26"/>
  <c r="O212" i="26" s="1"/>
  <c r="B212" i="30"/>
  <c r="J212" i="30"/>
  <c r="J212" i="25"/>
  <c r="B212" i="25"/>
  <c r="H212" i="29"/>
  <c r="G212" i="29"/>
  <c r="N212" i="29"/>
  <c r="O212" i="29" s="1"/>
  <c r="L212" i="29"/>
  <c r="A213" i="25"/>
  <c r="J213" i="29"/>
  <c r="A214" i="29"/>
  <c r="A213" i="30"/>
  <c r="B213" i="29"/>
  <c r="N211" i="30"/>
  <c r="O211" i="30" s="1"/>
  <c r="L211" i="30"/>
  <c r="K211" i="30" s="1"/>
  <c r="H211" i="30"/>
  <c r="G211" i="30"/>
  <c r="L211" i="25"/>
  <c r="K211" i="29"/>
  <c r="B236" i="17"/>
  <c r="N211" i="25"/>
  <c r="O211" i="25" s="1"/>
  <c r="Q211" i="30" l="1"/>
  <c r="G210" i="25"/>
  <c r="H235" i="17" s="1"/>
  <c r="H210" i="25"/>
  <c r="I235" i="17" s="1"/>
  <c r="Q212" i="28"/>
  <c r="H211" i="26"/>
  <c r="G211" i="26"/>
  <c r="G212" i="27"/>
  <c r="H212" i="27"/>
  <c r="AD211" i="26"/>
  <c r="Q211" i="26"/>
  <c r="K212" i="26"/>
  <c r="Q212" i="27"/>
  <c r="Q210" i="25"/>
  <c r="K211" i="25"/>
  <c r="Q211" i="29"/>
  <c r="B213" i="25"/>
  <c r="H213" i="29"/>
  <c r="G213" i="29"/>
  <c r="L213" i="29"/>
  <c r="N213" i="29"/>
  <c r="O213" i="29" s="1"/>
  <c r="B213" i="30"/>
  <c r="J213" i="30"/>
  <c r="A214" i="25"/>
  <c r="A215" i="29"/>
  <c r="B214" i="29"/>
  <c r="J214" i="29"/>
  <c r="A214" i="30"/>
  <c r="J213" i="25"/>
  <c r="L212" i="25"/>
  <c r="K212" i="29"/>
  <c r="B237" i="17"/>
  <c r="N212" i="25"/>
  <c r="O212" i="25" s="1"/>
  <c r="N212" i="30"/>
  <c r="O212" i="30" s="1"/>
  <c r="L212" i="30"/>
  <c r="K212" i="30" s="1"/>
  <c r="H212" i="30"/>
  <c r="G212" i="30"/>
  <c r="J214" i="28"/>
  <c r="J214" i="26"/>
  <c r="B214" i="26"/>
  <c r="N214" i="27"/>
  <c r="O214" i="27" s="1"/>
  <c r="L214" i="27"/>
  <c r="B214" i="28"/>
  <c r="A215" i="26"/>
  <c r="J215" i="27"/>
  <c r="A216" i="27"/>
  <c r="B215" i="27"/>
  <c r="A215" i="28"/>
  <c r="X214" i="26"/>
  <c r="N213" i="28"/>
  <c r="O213" i="28" s="1"/>
  <c r="L213" i="28"/>
  <c r="K213" i="28" s="1"/>
  <c r="H213" i="28"/>
  <c r="G213" i="28"/>
  <c r="L213" i="26"/>
  <c r="K213" i="27"/>
  <c r="Y213" i="26"/>
  <c r="N213" i="26"/>
  <c r="O213" i="26" s="1"/>
  <c r="AC213" i="26"/>
  <c r="Q212" i="30" l="1"/>
  <c r="H211" i="25"/>
  <c r="I236" i="17" s="1"/>
  <c r="G211" i="25"/>
  <c r="H236" i="17" s="1"/>
  <c r="Q213" i="28"/>
  <c r="G213" i="27"/>
  <c r="H213" i="27"/>
  <c r="G212" i="26"/>
  <c r="H212" i="26"/>
  <c r="AD212" i="26"/>
  <c r="Q212" i="26"/>
  <c r="Q211" i="25"/>
  <c r="K213" i="26"/>
  <c r="Q213" i="27"/>
  <c r="K212" i="25"/>
  <c r="Q212" i="29"/>
  <c r="J215" i="28"/>
  <c r="B215" i="26"/>
  <c r="N215" i="27"/>
  <c r="O215" i="27" s="1"/>
  <c r="L215" i="27"/>
  <c r="B215" i="28"/>
  <c r="A216" i="26"/>
  <c r="J216" i="27"/>
  <c r="A217" i="27"/>
  <c r="B216" i="27"/>
  <c r="A216" i="28"/>
  <c r="J215" i="26"/>
  <c r="X215" i="26"/>
  <c r="L214" i="28"/>
  <c r="K214" i="28" s="1"/>
  <c r="H214" i="28"/>
  <c r="G214" i="28"/>
  <c r="N214" i="28"/>
  <c r="O214" i="28" s="1"/>
  <c r="L214" i="26"/>
  <c r="K214" i="27"/>
  <c r="Y214" i="26"/>
  <c r="N214" i="26"/>
  <c r="O214" i="26" s="1"/>
  <c r="AC214" i="26"/>
  <c r="B214" i="30"/>
  <c r="J214" i="30"/>
  <c r="J214" i="25"/>
  <c r="B214" i="25"/>
  <c r="H214" i="29"/>
  <c r="G214" i="29"/>
  <c r="N214" i="29"/>
  <c r="O214" i="29" s="1"/>
  <c r="L214" i="29"/>
  <c r="A215" i="25"/>
  <c r="J215" i="29"/>
  <c r="A216" i="29"/>
  <c r="B215" i="29"/>
  <c r="A215" i="30"/>
  <c r="N213" i="30"/>
  <c r="O213" i="30" s="1"/>
  <c r="L213" i="30"/>
  <c r="K213" i="30" s="1"/>
  <c r="H213" i="30"/>
  <c r="G213" i="30"/>
  <c r="L213" i="25"/>
  <c r="K213" i="29"/>
  <c r="B238" i="17"/>
  <c r="N213" i="25"/>
  <c r="O213" i="25" s="1"/>
  <c r="H212" i="25" l="1"/>
  <c r="I237" i="17" s="1"/>
  <c r="G212" i="25"/>
  <c r="H237" i="17" s="1"/>
  <c r="Q213" i="30"/>
  <c r="Q214" i="28"/>
  <c r="G213" i="26"/>
  <c r="H213" i="26"/>
  <c r="G214" i="27"/>
  <c r="H214" i="27"/>
  <c r="K213" i="25"/>
  <c r="Q213" i="29"/>
  <c r="K214" i="26"/>
  <c r="Q214" i="27"/>
  <c r="Q212" i="25"/>
  <c r="AD213" i="26"/>
  <c r="Q213" i="26"/>
  <c r="B215" i="30"/>
  <c r="J215" i="30"/>
  <c r="B215" i="25"/>
  <c r="H215" i="29"/>
  <c r="G215" i="29"/>
  <c r="L215" i="29"/>
  <c r="N215" i="29"/>
  <c r="O215" i="29" s="1"/>
  <c r="A216" i="25"/>
  <c r="A217" i="29"/>
  <c r="B216" i="29"/>
  <c r="J216" i="29"/>
  <c r="A216" i="30"/>
  <c r="J215" i="25"/>
  <c r="L214" i="25"/>
  <c r="K214" i="29"/>
  <c r="B239" i="17"/>
  <c r="N214" i="25"/>
  <c r="O214" i="25" s="1"/>
  <c r="L214" i="30"/>
  <c r="K214" i="30" s="1"/>
  <c r="H214" i="30"/>
  <c r="G214" i="30"/>
  <c r="N214" i="30"/>
  <c r="O214" i="30" s="1"/>
  <c r="AC215" i="26"/>
  <c r="J216" i="28"/>
  <c r="B216" i="26"/>
  <c r="N216" i="27"/>
  <c r="O216" i="27" s="1"/>
  <c r="L216" i="27"/>
  <c r="B216" i="28"/>
  <c r="A217" i="26"/>
  <c r="A218" i="27"/>
  <c r="B217" i="27"/>
  <c r="J217" i="27"/>
  <c r="A217" i="28"/>
  <c r="J216" i="26"/>
  <c r="X216" i="26"/>
  <c r="H215" i="28"/>
  <c r="G215" i="28"/>
  <c r="N215" i="28"/>
  <c r="O215" i="28" s="1"/>
  <c r="L215" i="28"/>
  <c r="K215" i="28" s="1"/>
  <c r="L215" i="26"/>
  <c r="K215" i="27"/>
  <c r="Y215" i="26"/>
  <c r="N215" i="26"/>
  <c r="O215" i="26" s="1"/>
  <c r="Q215" i="28" l="1"/>
  <c r="Q214" i="30"/>
  <c r="H213" i="25"/>
  <c r="I238" i="17" s="1"/>
  <c r="G213" i="25"/>
  <c r="H238" i="17" s="1"/>
  <c r="G215" i="27"/>
  <c r="H215" i="27"/>
  <c r="H214" i="26"/>
  <c r="G214" i="26"/>
  <c r="AD214" i="26"/>
  <c r="Q214" i="26"/>
  <c r="Q213" i="25"/>
  <c r="K215" i="26"/>
  <c r="Q215" i="27"/>
  <c r="K214" i="25"/>
  <c r="Q214" i="29"/>
  <c r="AC216" i="26"/>
  <c r="J217" i="28"/>
  <c r="J217" i="26"/>
  <c r="B217" i="26"/>
  <c r="N217" i="27"/>
  <c r="O217" i="27" s="1"/>
  <c r="L217" i="27"/>
  <c r="B217" i="28"/>
  <c r="A218" i="26"/>
  <c r="A219" i="27"/>
  <c r="B218" i="27"/>
  <c r="J218" i="27"/>
  <c r="A218" i="28"/>
  <c r="X217" i="26"/>
  <c r="H216" i="28"/>
  <c r="G216" i="28"/>
  <c r="N216" i="28"/>
  <c r="O216" i="28" s="1"/>
  <c r="L216" i="28"/>
  <c r="K216" i="28" s="1"/>
  <c r="L216" i="26"/>
  <c r="K216" i="27"/>
  <c r="Y216" i="26"/>
  <c r="N216" i="26"/>
  <c r="O216" i="26" s="1"/>
  <c r="J216" i="30"/>
  <c r="B216" i="30"/>
  <c r="J216" i="25"/>
  <c r="B216" i="25"/>
  <c r="H216" i="29"/>
  <c r="G216" i="29"/>
  <c r="N216" i="29"/>
  <c r="O216" i="29" s="1"/>
  <c r="L216" i="29"/>
  <c r="A217" i="25"/>
  <c r="J217" i="29"/>
  <c r="A218" i="29"/>
  <c r="B217" i="29"/>
  <c r="A217" i="30"/>
  <c r="L215" i="25"/>
  <c r="K215" i="29"/>
  <c r="B240" i="17"/>
  <c r="N215" i="25"/>
  <c r="O215" i="25" s="1"/>
  <c r="H215" i="30"/>
  <c r="G215" i="30"/>
  <c r="N215" i="30"/>
  <c r="O215" i="30" s="1"/>
  <c r="L215" i="30"/>
  <c r="K215" i="30" s="1"/>
  <c r="Q215" i="30" l="1"/>
  <c r="G214" i="25"/>
  <c r="H239" i="17" s="1"/>
  <c r="H214" i="25"/>
  <c r="I239" i="17" s="1"/>
  <c r="G215" i="26"/>
  <c r="H215" i="26"/>
  <c r="G216" i="27"/>
  <c r="H216" i="27"/>
  <c r="Q216" i="28"/>
  <c r="AD215" i="26"/>
  <c r="Q215" i="26"/>
  <c r="K216" i="26"/>
  <c r="Q216" i="27"/>
  <c r="K215" i="25"/>
  <c r="Q215" i="29"/>
  <c r="Q214" i="25"/>
  <c r="B217" i="30"/>
  <c r="J217" i="30"/>
  <c r="B217" i="25"/>
  <c r="H217" i="29"/>
  <c r="G217" i="29"/>
  <c r="L217" i="29"/>
  <c r="N217" i="29"/>
  <c r="O217" i="29" s="1"/>
  <c r="A218" i="25"/>
  <c r="A219" i="29"/>
  <c r="B218" i="29"/>
  <c r="J218" i="29"/>
  <c r="A218" i="30"/>
  <c r="J217" i="25"/>
  <c r="L216" i="25"/>
  <c r="K216" i="29"/>
  <c r="B241" i="17"/>
  <c r="N216" i="25"/>
  <c r="O216" i="25" s="1"/>
  <c r="H216" i="30"/>
  <c r="G216" i="30"/>
  <c r="N216" i="30"/>
  <c r="O216" i="30" s="1"/>
  <c r="L216" i="30"/>
  <c r="K216" i="30" s="1"/>
  <c r="J218" i="28"/>
  <c r="J218" i="26"/>
  <c r="B218" i="26"/>
  <c r="N218" i="27"/>
  <c r="O218" i="27" s="1"/>
  <c r="L218" i="27"/>
  <c r="B218" i="28"/>
  <c r="A219" i="26"/>
  <c r="J219" i="27"/>
  <c r="A220" i="27"/>
  <c r="B219" i="27"/>
  <c r="A219" i="28"/>
  <c r="X218" i="26"/>
  <c r="H217" i="28"/>
  <c r="G217" i="28"/>
  <c r="N217" i="28"/>
  <c r="O217" i="28" s="1"/>
  <c r="L217" i="28"/>
  <c r="K217" i="28" s="1"/>
  <c r="L217" i="26"/>
  <c r="K217" i="27"/>
  <c r="Y217" i="26"/>
  <c r="N217" i="26"/>
  <c r="O217" i="26" s="1"/>
  <c r="AC217" i="26"/>
  <c r="G215" i="25" l="1"/>
  <c r="H240" i="17" s="1"/>
  <c r="H215" i="25"/>
  <c r="I240" i="17" s="1"/>
  <c r="Q216" i="30"/>
  <c r="H216" i="26"/>
  <c r="G216" i="26"/>
  <c r="G217" i="27"/>
  <c r="H217" i="27"/>
  <c r="Q217" i="28"/>
  <c r="AD216" i="26"/>
  <c r="Q216" i="26"/>
  <c r="K217" i="26"/>
  <c r="Q217" i="27"/>
  <c r="Q215" i="25"/>
  <c r="K216" i="25"/>
  <c r="Q216" i="29"/>
  <c r="J219" i="28"/>
  <c r="B219" i="26"/>
  <c r="N219" i="27"/>
  <c r="O219" i="27" s="1"/>
  <c r="L219" i="27"/>
  <c r="B219" i="28"/>
  <c r="A220" i="26"/>
  <c r="J220" i="27"/>
  <c r="A221" i="27"/>
  <c r="B220" i="27"/>
  <c r="A220" i="28"/>
  <c r="J219" i="26"/>
  <c r="X219" i="26"/>
  <c r="G218" i="28"/>
  <c r="N218" i="28"/>
  <c r="O218" i="28" s="1"/>
  <c r="L218" i="28"/>
  <c r="K218" i="28" s="1"/>
  <c r="H218" i="28"/>
  <c r="L218" i="26"/>
  <c r="K218" i="27"/>
  <c r="Y218" i="26"/>
  <c r="N218" i="26"/>
  <c r="O218" i="26" s="1"/>
  <c r="AC218" i="26"/>
  <c r="B218" i="30"/>
  <c r="J218" i="30"/>
  <c r="J218" i="25"/>
  <c r="B218" i="25"/>
  <c r="H218" i="29"/>
  <c r="G218" i="29"/>
  <c r="N218" i="29"/>
  <c r="O218" i="29" s="1"/>
  <c r="L218" i="29"/>
  <c r="A219" i="25"/>
  <c r="J219" i="29"/>
  <c r="A220" i="29"/>
  <c r="B219" i="29"/>
  <c r="A219" i="30"/>
  <c r="L217" i="25"/>
  <c r="K217" i="29"/>
  <c r="B242" i="17"/>
  <c r="N217" i="25"/>
  <c r="O217" i="25" s="1"/>
  <c r="H217" i="30"/>
  <c r="G217" i="30"/>
  <c r="N217" i="30"/>
  <c r="O217" i="30" s="1"/>
  <c r="L217" i="30"/>
  <c r="K217" i="30" s="1"/>
  <c r="Q217" i="30" l="1"/>
  <c r="H216" i="25"/>
  <c r="I241" i="17" s="1"/>
  <c r="G216" i="25"/>
  <c r="H241" i="17" s="1"/>
  <c r="Q218" i="28"/>
  <c r="G218" i="27"/>
  <c r="H218" i="27"/>
  <c r="H217" i="26"/>
  <c r="G217" i="26"/>
  <c r="K218" i="26"/>
  <c r="Q218" i="27"/>
  <c r="AD217" i="26"/>
  <c r="Q217" i="26"/>
  <c r="K217" i="25"/>
  <c r="Q217" i="29"/>
  <c r="Q216" i="25"/>
  <c r="B219" i="30"/>
  <c r="J219" i="30"/>
  <c r="B219" i="25"/>
  <c r="H219" i="29"/>
  <c r="G219" i="29"/>
  <c r="L219" i="29"/>
  <c r="N219" i="29"/>
  <c r="O219" i="29" s="1"/>
  <c r="A220" i="25"/>
  <c r="A221" i="29"/>
  <c r="B220" i="29"/>
  <c r="J220" i="29"/>
  <c r="A220" i="30"/>
  <c r="J219" i="25"/>
  <c r="L218" i="25"/>
  <c r="K218" i="29"/>
  <c r="B243" i="17"/>
  <c r="N218" i="25"/>
  <c r="O218" i="25" s="1"/>
  <c r="G218" i="30"/>
  <c r="N218" i="30"/>
  <c r="O218" i="30" s="1"/>
  <c r="L218" i="30"/>
  <c r="K218" i="30" s="1"/>
  <c r="H218" i="30"/>
  <c r="AC219" i="26"/>
  <c r="J220" i="28"/>
  <c r="B220" i="26"/>
  <c r="N220" i="27"/>
  <c r="O220" i="27" s="1"/>
  <c r="L220" i="27"/>
  <c r="B220" i="28"/>
  <c r="A221" i="26"/>
  <c r="A222" i="27"/>
  <c r="B221" i="27"/>
  <c r="J221" i="27"/>
  <c r="A221" i="28"/>
  <c r="J220" i="26"/>
  <c r="X220" i="26"/>
  <c r="N219" i="28"/>
  <c r="O219" i="28" s="1"/>
  <c r="L219" i="28"/>
  <c r="K219" i="28" s="1"/>
  <c r="H219" i="28"/>
  <c r="G219" i="28"/>
  <c r="L219" i="26"/>
  <c r="K219" i="27"/>
  <c r="Y219" i="26"/>
  <c r="N219" i="26"/>
  <c r="O219" i="26" s="1"/>
  <c r="Q218" i="30" l="1"/>
  <c r="H217" i="25"/>
  <c r="I242" i="17" s="1"/>
  <c r="G217" i="25"/>
  <c r="H242" i="17" s="1"/>
  <c r="Q219" i="28"/>
  <c r="G218" i="26"/>
  <c r="H218" i="26"/>
  <c r="G219" i="27"/>
  <c r="H219" i="27"/>
  <c r="Q217" i="25"/>
  <c r="AD218" i="26"/>
  <c r="Q218" i="26"/>
  <c r="K219" i="26"/>
  <c r="Q219" i="27"/>
  <c r="K218" i="25"/>
  <c r="Q218" i="29"/>
  <c r="AC220" i="26"/>
  <c r="J221" i="28"/>
  <c r="J221" i="26"/>
  <c r="B221" i="26"/>
  <c r="N221" i="27"/>
  <c r="O221" i="27" s="1"/>
  <c r="L221" i="27"/>
  <c r="B221" i="28"/>
  <c r="A222" i="26"/>
  <c r="A223" i="27"/>
  <c r="B222" i="27"/>
  <c r="J222" i="27"/>
  <c r="A222" i="28"/>
  <c r="X221" i="26"/>
  <c r="N220" i="28"/>
  <c r="O220" i="28" s="1"/>
  <c r="L220" i="28"/>
  <c r="K220" i="28" s="1"/>
  <c r="H220" i="28"/>
  <c r="G220" i="28"/>
  <c r="L220" i="26"/>
  <c r="K220" i="27"/>
  <c r="Y220" i="26"/>
  <c r="N220" i="26"/>
  <c r="O220" i="26" s="1"/>
  <c r="B220" i="30"/>
  <c r="J220" i="30"/>
  <c r="J220" i="25"/>
  <c r="B220" i="25"/>
  <c r="H220" i="29"/>
  <c r="G220" i="29"/>
  <c r="N220" i="29"/>
  <c r="O220" i="29" s="1"/>
  <c r="L220" i="29"/>
  <c r="A221" i="25"/>
  <c r="J221" i="29"/>
  <c r="A222" i="29"/>
  <c r="B221" i="29"/>
  <c r="A221" i="30"/>
  <c r="L219" i="25"/>
  <c r="K219" i="29"/>
  <c r="B244" i="17"/>
  <c r="N219" i="25"/>
  <c r="O219" i="25" s="1"/>
  <c r="N219" i="30"/>
  <c r="O219" i="30" s="1"/>
  <c r="L219" i="30"/>
  <c r="K219" i="30" s="1"/>
  <c r="H219" i="30"/>
  <c r="G219" i="30"/>
  <c r="Q219" i="30" l="1"/>
  <c r="G218" i="25"/>
  <c r="H243" i="17" s="1"/>
  <c r="H218" i="25"/>
  <c r="I243" i="17" s="1"/>
  <c r="G220" i="27"/>
  <c r="H220" i="27"/>
  <c r="H219" i="26"/>
  <c r="G219" i="26"/>
  <c r="Q220" i="28"/>
  <c r="K220" i="26"/>
  <c r="Q220" i="27"/>
  <c r="K219" i="25"/>
  <c r="Q219" i="29"/>
  <c r="AD219" i="26"/>
  <c r="Q219" i="26"/>
  <c r="Q218" i="25"/>
  <c r="B221" i="30"/>
  <c r="J221" i="30"/>
  <c r="B221" i="25"/>
  <c r="H221" i="29"/>
  <c r="G221" i="29"/>
  <c r="L221" i="29"/>
  <c r="N221" i="29"/>
  <c r="O221" i="29" s="1"/>
  <c r="A222" i="25"/>
  <c r="A223" i="29"/>
  <c r="B222" i="29"/>
  <c r="J222" i="29"/>
  <c r="A222" i="30"/>
  <c r="J221" i="25"/>
  <c r="L220" i="25"/>
  <c r="K220" i="29"/>
  <c r="B245" i="17"/>
  <c r="N220" i="25"/>
  <c r="O220" i="25" s="1"/>
  <c r="N220" i="30"/>
  <c r="O220" i="30" s="1"/>
  <c r="L220" i="30"/>
  <c r="K220" i="30" s="1"/>
  <c r="H220" i="30"/>
  <c r="G220" i="30"/>
  <c r="J222" i="28"/>
  <c r="J222" i="26"/>
  <c r="B222" i="26"/>
  <c r="N222" i="27"/>
  <c r="O222" i="27" s="1"/>
  <c r="L222" i="27"/>
  <c r="B222" i="28"/>
  <c r="A223" i="26"/>
  <c r="J223" i="27"/>
  <c r="A224" i="27"/>
  <c r="B223" i="27"/>
  <c r="A223" i="28"/>
  <c r="X222" i="26"/>
  <c r="N221" i="28"/>
  <c r="O221" i="28" s="1"/>
  <c r="L221" i="28"/>
  <c r="K221" i="28" s="1"/>
  <c r="H221" i="28"/>
  <c r="G221" i="28"/>
  <c r="L221" i="26"/>
  <c r="K221" i="27"/>
  <c r="Y221" i="26"/>
  <c r="N221" i="26"/>
  <c r="O221" i="26" s="1"/>
  <c r="AC221" i="26"/>
  <c r="Q220" i="30" l="1"/>
  <c r="G219" i="25"/>
  <c r="H244" i="17" s="1"/>
  <c r="H219" i="25"/>
  <c r="I244" i="17" s="1"/>
  <c r="Q221" i="28"/>
  <c r="H220" i="26"/>
  <c r="G220" i="26"/>
  <c r="G221" i="27"/>
  <c r="H221" i="27"/>
  <c r="K221" i="26"/>
  <c r="Q221" i="27"/>
  <c r="K220" i="25"/>
  <c r="Q220" i="29"/>
  <c r="Q219" i="25"/>
  <c r="AD220" i="26"/>
  <c r="Q220" i="26"/>
  <c r="J223" i="28"/>
  <c r="B223" i="26"/>
  <c r="N223" i="27"/>
  <c r="O223" i="27" s="1"/>
  <c r="L223" i="27"/>
  <c r="B223" i="28"/>
  <c r="A224" i="26"/>
  <c r="J224" i="27"/>
  <c r="A225" i="27"/>
  <c r="B224" i="27"/>
  <c r="A224" i="28"/>
  <c r="J223" i="26"/>
  <c r="X223" i="26"/>
  <c r="L222" i="28"/>
  <c r="K222" i="28" s="1"/>
  <c r="H222" i="28"/>
  <c r="G222" i="28"/>
  <c r="N222" i="28"/>
  <c r="O222" i="28" s="1"/>
  <c r="L222" i="26"/>
  <c r="K222" i="27"/>
  <c r="Y222" i="26"/>
  <c r="N222" i="26"/>
  <c r="O222" i="26" s="1"/>
  <c r="AC222" i="26"/>
  <c r="B222" i="30"/>
  <c r="J222" i="30"/>
  <c r="J222" i="25"/>
  <c r="B222" i="25"/>
  <c r="H222" i="29"/>
  <c r="G222" i="29"/>
  <c r="N222" i="29"/>
  <c r="O222" i="29" s="1"/>
  <c r="L222" i="29"/>
  <c r="A223" i="25"/>
  <c r="J223" i="29"/>
  <c r="A224" i="29"/>
  <c r="A223" i="30"/>
  <c r="B223" i="29"/>
  <c r="L221" i="25"/>
  <c r="K221" i="29"/>
  <c r="B246" i="17"/>
  <c r="N221" i="25"/>
  <c r="O221" i="25" s="1"/>
  <c r="N221" i="30"/>
  <c r="O221" i="30" s="1"/>
  <c r="L221" i="30"/>
  <c r="K221" i="30" s="1"/>
  <c r="H221" i="30"/>
  <c r="G221" i="30"/>
  <c r="Q221" i="30" l="1"/>
  <c r="H220" i="25"/>
  <c r="I245" i="17" s="1"/>
  <c r="G220" i="25"/>
  <c r="H245" i="17" s="1"/>
  <c r="H221" i="26"/>
  <c r="G221" i="26"/>
  <c r="G222" i="27"/>
  <c r="H222" i="27"/>
  <c r="Q222" i="28"/>
  <c r="K221" i="25"/>
  <c r="Q221" i="29"/>
  <c r="AD221" i="26"/>
  <c r="Q221" i="26"/>
  <c r="K222" i="26"/>
  <c r="Q222" i="27"/>
  <c r="Q220" i="25"/>
  <c r="B223" i="25"/>
  <c r="H223" i="29"/>
  <c r="G223" i="29"/>
  <c r="L223" i="29"/>
  <c r="N223" i="29"/>
  <c r="O223" i="29" s="1"/>
  <c r="B223" i="30"/>
  <c r="J223" i="30"/>
  <c r="A224" i="25"/>
  <c r="A225" i="29"/>
  <c r="B224" i="29"/>
  <c r="J224" i="29"/>
  <c r="A224" i="30"/>
  <c r="J223" i="25"/>
  <c r="L222" i="25"/>
  <c r="K222" i="29"/>
  <c r="B247" i="17"/>
  <c r="N222" i="25"/>
  <c r="O222" i="25" s="1"/>
  <c r="L222" i="30"/>
  <c r="K222" i="30" s="1"/>
  <c r="H222" i="30"/>
  <c r="G222" i="30"/>
  <c r="N222" i="30"/>
  <c r="O222" i="30" s="1"/>
  <c r="AC223" i="26"/>
  <c r="J224" i="28"/>
  <c r="B224" i="26"/>
  <c r="N224" i="27"/>
  <c r="O224" i="27" s="1"/>
  <c r="L224" i="27"/>
  <c r="B224" i="28"/>
  <c r="A225" i="26"/>
  <c r="A226" i="27"/>
  <c r="B225" i="27"/>
  <c r="J225" i="27"/>
  <c r="A225" i="28"/>
  <c r="J224" i="26"/>
  <c r="X224" i="26"/>
  <c r="H223" i="28"/>
  <c r="G223" i="28"/>
  <c r="N223" i="28"/>
  <c r="O223" i="28" s="1"/>
  <c r="L223" i="28"/>
  <c r="K223" i="28" s="1"/>
  <c r="L223" i="26"/>
  <c r="K223" i="27"/>
  <c r="Y223" i="26"/>
  <c r="N223" i="26"/>
  <c r="O223" i="26" s="1"/>
  <c r="Q222" i="30" l="1"/>
  <c r="G221" i="25"/>
  <c r="H246" i="17" s="1"/>
  <c r="H221" i="25"/>
  <c r="I246" i="17" s="1"/>
  <c r="H222" i="26"/>
  <c r="G222" i="26"/>
  <c r="G223" i="27"/>
  <c r="H223" i="27"/>
  <c r="Q223" i="28"/>
  <c r="AD222" i="26"/>
  <c r="Q222" i="26"/>
  <c r="K223" i="26"/>
  <c r="Q223" i="27"/>
  <c r="K222" i="25"/>
  <c r="Q222" i="29"/>
  <c r="Q221" i="25"/>
  <c r="AC224" i="26"/>
  <c r="J225" i="28"/>
  <c r="J225" i="26"/>
  <c r="B225" i="26"/>
  <c r="N225" i="27"/>
  <c r="O225" i="27" s="1"/>
  <c r="L225" i="27"/>
  <c r="B225" i="28"/>
  <c r="A226" i="26"/>
  <c r="A227" i="27"/>
  <c r="B226" i="27"/>
  <c r="J226" i="27"/>
  <c r="A226" i="28"/>
  <c r="X225" i="26"/>
  <c r="H224" i="28"/>
  <c r="G224" i="28"/>
  <c r="N224" i="28"/>
  <c r="O224" i="28" s="1"/>
  <c r="L224" i="28"/>
  <c r="K224" i="28" s="1"/>
  <c r="L224" i="26"/>
  <c r="K224" i="27"/>
  <c r="Y224" i="26"/>
  <c r="N224" i="26"/>
  <c r="O224" i="26" s="1"/>
  <c r="J224" i="30"/>
  <c r="B224" i="30"/>
  <c r="J224" i="25"/>
  <c r="B224" i="25"/>
  <c r="H224" i="29"/>
  <c r="G224" i="29"/>
  <c r="N224" i="29"/>
  <c r="O224" i="29" s="1"/>
  <c r="L224" i="29"/>
  <c r="A225" i="25"/>
  <c r="J225" i="29"/>
  <c r="A226" i="29"/>
  <c r="B225" i="29"/>
  <c r="A225" i="30"/>
  <c r="H223" i="30"/>
  <c r="G223" i="30"/>
  <c r="N223" i="30"/>
  <c r="O223" i="30" s="1"/>
  <c r="L223" i="30"/>
  <c r="K223" i="30" s="1"/>
  <c r="L223" i="25"/>
  <c r="K223" i="29"/>
  <c r="B248" i="17"/>
  <c r="N223" i="25"/>
  <c r="O223" i="25" s="1"/>
  <c r="Q223" i="30" l="1"/>
  <c r="G222" i="25"/>
  <c r="H247" i="17" s="1"/>
  <c r="H222" i="25"/>
  <c r="I247" i="17" s="1"/>
  <c r="Q224" i="28"/>
  <c r="G224" i="27"/>
  <c r="H224" i="27"/>
  <c r="H223" i="26"/>
  <c r="G223" i="26"/>
  <c r="Q222" i="25"/>
  <c r="K224" i="26"/>
  <c r="Q224" i="27"/>
  <c r="AD223" i="26"/>
  <c r="Q223" i="26"/>
  <c r="K223" i="25"/>
  <c r="Q223" i="29"/>
  <c r="B225" i="30"/>
  <c r="J225" i="30"/>
  <c r="B225" i="25"/>
  <c r="H225" i="29"/>
  <c r="G225" i="29"/>
  <c r="L225" i="29"/>
  <c r="N225" i="29"/>
  <c r="O225" i="29" s="1"/>
  <c r="A226" i="25"/>
  <c r="A227" i="29"/>
  <c r="B226" i="29"/>
  <c r="J226" i="29"/>
  <c r="A226" i="30"/>
  <c r="J225" i="25"/>
  <c r="L224" i="25"/>
  <c r="K224" i="29"/>
  <c r="B249" i="17"/>
  <c r="N224" i="25"/>
  <c r="O224" i="25" s="1"/>
  <c r="H224" i="30"/>
  <c r="G224" i="30"/>
  <c r="N224" i="30"/>
  <c r="O224" i="30" s="1"/>
  <c r="L224" i="30"/>
  <c r="K224" i="30" s="1"/>
  <c r="J226" i="28"/>
  <c r="J226" i="26"/>
  <c r="B226" i="26"/>
  <c r="N226" i="27"/>
  <c r="O226" i="27" s="1"/>
  <c r="L226" i="27"/>
  <c r="B226" i="28"/>
  <c r="A227" i="26"/>
  <c r="J227" i="27"/>
  <c r="A228" i="27"/>
  <c r="B227" i="27"/>
  <c r="A227" i="28"/>
  <c r="X226" i="26"/>
  <c r="H225" i="28"/>
  <c r="G225" i="28"/>
  <c r="N225" i="28"/>
  <c r="O225" i="28" s="1"/>
  <c r="L225" i="28"/>
  <c r="K225" i="28" s="1"/>
  <c r="L225" i="26"/>
  <c r="K225" i="27"/>
  <c r="Y225" i="26"/>
  <c r="N225" i="26"/>
  <c r="O225" i="26" s="1"/>
  <c r="AC225" i="26"/>
  <c r="Q224" i="30" l="1"/>
  <c r="H223" i="25"/>
  <c r="I248" i="17" s="1"/>
  <c r="G223" i="25"/>
  <c r="H248" i="17" s="1"/>
  <c r="Q225" i="28"/>
  <c r="G225" i="27"/>
  <c r="H225" i="27"/>
  <c r="G224" i="26"/>
  <c r="H224" i="26"/>
  <c r="K225" i="26"/>
  <c r="Q225" i="27"/>
  <c r="K224" i="25"/>
  <c r="Q224" i="29"/>
  <c r="AD224" i="26"/>
  <c r="Q224" i="26"/>
  <c r="Q223" i="25"/>
  <c r="J227" i="28"/>
  <c r="B227" i="26"/>
  <c r="N227" i="27"/>
  <c r="O227" i="27" s="1"/>
  <c r="L227" i="27"/>
  <c r="B227" i="28"/>
  <c r="A228" i="26"/>
  <c r="J228" i="27"/>
  <c r="A229" i="27"/>
  <c r="B228" i="27"/>
  <c r="A228" i="28"/>
  <c r="J227" i="26"/>
  <c r="X227" i="26"/>
  <c r="G226" i="28"/>
  <c r="N226" i="28"/>
  <c r="O226" i="28" s="1"/>
  <c r="L226" i="28"/>
  <c r="K226" i="28" s="1"/>
  <c r="H226" i="28"/>
  <c r="L226" i="26"/>
  <c r="K226" i="27"/>
  <c r="Y226" i="26"/>
  <c r="N226" i="26"/>
  <c r="O226" i="26" s="1"/>
  <c r="AC226" i="26"/>
  <c r="B226" i="30"/>
  <c r="J226" i="30"/>
  <c r="J226" i="25"/>
  <c r="B226" i="25"/>
  <c r="H226" i="29"/>
  <c r="G226" i="29"/>
  <c r="N226" i="29"/>
  <c r="O226" i="29" s="1"/>
  <c r="L226" i="29"/>
  <c r="A227" i="25"/>
  <c r="J227" i="29"/>
  <c r="A228" i="29"/>
  <c r="A227" i="30"/>
  <c r="B227" i="29"/>
  <c r="L225" i="25"/>
  <c r="K225" i="29"/>
  <c r="B250" i="17"/>
  <c r="N225" i="25"/>
  <c r="O225" i="25" s="1"/>
  <c r="H225" i="30"/>
  <c r="G225" i="30"/>
  <c r="N225" i="30"/>
  <c r="O225" i="30" s="1"/>
  <c r="L225" i="30"/>
  <c r="K225" i="30" s="1"/>
  <c r="Q225" i="30" l="1"/>
  <c r="H224" i="25"/>
  <c r="I249" i="17" s="1"/>
  <c r="G224" i="25"/>
  <c r="H249" i="17" s="1"/>
  <c r="Q226" i="28"/>
  <c r="G225" i="26"/>
  <c r="H225" i="26"/>
  <c r="G226" i="27"/>
  <c r="H226" i="27"/>
  <c r="Q224" i="25"/>
  <c r="K225" i="25"/>
  <c r="Q225" i="29"/>
  <c r="K226" i="26"/>
  <c r="Q226" i="27"/>
  <c r="AD225" i="26"/>
  <c r="Q225" i="26"/>
  <c r="B227" i="25"/>
  <c r="H227" i="29"/>
  <c r="G227" i="29"/>
  <c r="L227" i="29"/>
  <c r="N227" i="29"/>
  <c r="O227" i="29" s="1"/>
  <c r="B227" i="30"/>
  <c r="J227" i="30"/>
  <c r="A228" i="25"/>
  <c r="A229" i="29"/>
  <c r="B228" i="29"/>
  <c r="J228" i="29"/>
  <c r="A228" i="30"/>
  <c r="J227" i="25"/>
  <c r="L226" i="25"/>
  <c r="K226" i="29"/>
  <c r="B251" i="17"/>
  <c r="N226" i="25"/>
  <c r="O226" i="25" s="1"/>
  <c r="G226" i="30"/>
  <c r="N226" i="30"/>
  <c r="O226" i="30" s="1"/>
  <c r="L226" i="30"/>
  <c r="K226" i="30" s="1"/>
  <c r="H226" i="30"/>
  <c r="AC227" i="26"/>
  <c r="J228" i="28"/>
  <c r="B228" i="26"/>
  <c r="N228" i="27"/>
  <c r="O228" i="27" s="1"/>
  <c r="L228" i="27"/>
  <c r="B228" i="28"/>
  <c r="A229" i="26"/>
  <c r="A230" i="27"/>
  <c r="B229" i="27"/>
  <c r="J229" i="27"/>
  <c r="A229" i="28"/>
  <c r="J228" i="26"/>
  <c r="X228" i="26"/>
  <c r="N227" i="28"/>
  <c r="O227" i="28" s="1"/>
  <c r="L227" i="28"/>
  <c r="K227" i="28" s="1"/>
  <c r="H227" i="28"/>
  <c r="G227" i="28"/>
  <c r="L227" i="26"/>
  <c r="K227" i="27"/>
  <c r="Y227" i="26"/>
  <c r="N227" i="26"/>
  <c r="O227" i="26" s="1"/>
  <c r="H225" i="25" l="1"/>
  <c r="I250" i="17" s="1"/>
  <c r="G225" i="25"/>
  <c r="H250" i="17" s="1"/>
  <c r="Q226" i="30"/>
  <c r="Q227" i="28"/>
  <c r="H226" i="26"/>
  <c r="G226" i="26"/>
  <c r="G227" i="27"/>
  <c r="H227" i="27"/>
  <c r="Q225" i="25"/>
  <c r="AD226" i="26"/>
  <c r="Q226" i="26"/>
  <c r="K227" i="26"/>
  <c r="Q227" i="27"/>
  <c r="K226" i="25"/>
  <c r="Q226" i="29"/>
  <c r="AC228" i="26"/>
  <c r="J229" i="28"/>
  <c r="J229" i="26"/>
  <c r="B229" i="26"/>
  <c r="N229" i="27"/>
  <c r="O229" i="27" s="1"/>
  <c r="L229" i="27"/>
  <c r="B229" i="28"/>
  <c r="A230" i="26"/>
  <c r="A231" i="27"/>
  <c r="B230" i="27"/>
  <c r="J230" i="27"/>
  <c r="A230" i="28"/>
  <c r="X229" i="26"/>
  <c r="N228" i="28"/>
  <c r="O228" i="28" s="1"/>
  <c r="L228" i="28"/>
  <c r="K228" i="28" s="1"/>
  <c r="H228" i="28"/>
  <c r="G228" i="28"/>
  <c r="L228" i="26"/>
  <c r="K228" i="27"/>
  <c r="Y228" i="26"/>
  <c r="N228" i="26"/>
  <c r="O228" i="26" s="1"/>
  <c r="B228" i="30"/>
  <c r="J228" i="30"/>
  <c r="J228" i="25"/>
  <c r="B228" i="25"/>
  <c r="H228" i="29"/>
  <c r="G228" i="29"/>
  <c r="N228" i="29"/>
  <c r="O228" i="29" s="1"/>
  <c r="L228" i="29"/>
  <c r="A229" i="25"/>
  <c r="J229" i="29"/>
  <c r="A230" i="29"/>
  <c r="A229" i="30"/>
  <c r="B229" i="29"/>
  <c r="N227" i="30"/>
  <c r="O227" i="30" s="1"/>
  <c r="L227" i="30"/>
  <c r="K227" i="30" s="1"/>
  <c r="H227" i="30"/>
  <c r="G227" i="30"/>
  <c r="L227" i="25"/>
  <c r="K227" i="29"/>
  <c r="B252" i="17"/>
  <c r="N227" i="25"/>
  <c r="O227" i="25" s="1"/>
  <c r="Q227" i="30" l="1"/>
  <c r="H226" i="25"/>
  <c r="I251" i="17" s="1"/>
  <c r="G226" i="25"/>
  <c r="H251" i="17" s="1"/>
  <c r="Q228" i="28"/>
  <c r="H227" i="26"/>
  <c r="G227" i="26"/>
  <c r="G228" i="27"/>
  <c r="H228" i="27"/>
  <c r="K228" i="26"/>
  <c r="Q228" i="27"/>
  <c r="K227" i="25"/>
  <c r="Q227" i="29"/>
  <c r="Q226" i="25"/>
  <c r="AD227" i="26"/>
  <c r="Q227" i="26"/>
  <c r="B229" i="25"/>
  <c r="H229" i="29"/>
  <c r="G229" i="29"/>
  <c r="L229" i="29"/>
  <c r="N229" i="29"/>
  <c r="O229" i="29" s="1"/>
  <c r="B229" i="30"/>
  <c r="J229" i="30"/>
  <c r="A230" i="25"/>
  <c r="A231" i="29"/>
  <c r="B230" i="29"/>
  <c r="J230" i="29"/>
  <c r="A230" i="30"/>
  <c r="J229" i="25"/>
  <c r="L228" i="25"/>
  <c r="K228" i="29"/>
  <c r="B253" i="17"/>
  <c r="N228" i="25"/>
  <c r="O228" i="25" s="1"/>
  <c r="N228" i="30"/>
  <c r="O228" i="30" s="1"/>
  <c r="L228" i="30"/>
  <c r="K228" i="30" s="1"/>
  <c r="H228" i="30"/>
  <c r="G228" i="30"/>
  <c r="J230" i="28"/>
  <c r="J230" i="26"/>
  <c r="B230" i="26"/>
  <c r="N230" i="27"/>
  <c r="O230" i="27" s="1"/>
  <c r="L230" i="27"/>
  <c r="B230" i="28"/>
  <c r="A231" i="26"/>
  <c r="B231" i="27"/>
  <c r="A232" i="27"/>
  <c r="J231" i="27"/>
  <c r="A231" i="28"/>
  <c r="X230" i="26"/>
  <c r="N229" i="28"/>
  <c r="O229" i="28" s="1"/>
  <c r="L229" i="28"/>
  <c r="K229" i="28" s="1"/>
  <c r="H229" i="28"/>
  <c r="G229" i="28"/>
  <c r="L229" i="26"/>
  <c r="K229" i="27"/>
  <c r="Y229" i="26"/>
  <c r="N229" i="26"/>
  <c r="O229" i="26" s="1"/>
  <c r="AC229" i="26"/>
  <c r="H227" i="25" l="1"/>
  <c r="I252" i="17" s="1"/>
  <c r="G227" i="25"/>
  <c r="H252" i="17" s="1"/>
  <c r="Q228" i="30"/>
  <c r="Q229" i="28"/>
  <c r="H228" i="26"/>
  <c r="G228" i="26"/>
  <c r="G229" i="27"/>
  <c r="H229" i="27"/>
  <c r="Q227" i="25"/>
  <c r="AD228" i="26"/>
  <c r="Q228" i="26"/>
  <c r="K228" i="25"/>
  <c r="Q228" i="29"/>
  <c r="K229" i="26"/>
  <c r="Q229" i="27"/>
  <c r="J231" i="28"/>
  <c r="J231" i="26"/>
  <c r="A232" i="26"/>
  <c r="B232" i="27"/>
  <c r="A233" i="27"/>
  <c r="J232" i="27"/>
  <c r="A232" i="28"/>
  <c r="B231" i="26"/>
  <c r="N231" i="27"/>
  <c r="O231" i="27" s="1"/>
  <c r="L231" i="27"/>
  <c r="B231" i="28"/>
  <c r="X231" i="26"/>
  <c r="L230" i="28"/>
  <c r="K230" i="28" s="1"/>
  <c r="H230" i="28"/>
  <c r="G230" i="28"/>
  <c r="N230" i="28"/>
  <c r="O230" i="28" s="1"/>
  <c r="L230" i="26"/>
  <c r="K230" i="27"/>
  <c r="Y230" i="26"/>
  <c r="N230" i="26"/>
  <c r="O230" i="26" s="1"/>
  <c r="AC230" i="26"/>
  <c r="B230" i="30"/>
  <c r="J230" i="30"/>
  <c r="J230" i="25"/>
  <c r="B230" i="25"/>
  <c r="H230" i="29"/>
  <c r="G230" i="29"/>
  <c r="N230" i="29"/>
  <c r="O230" i="29" s="1"/>
  <c r="L230" i="29"/>
  <c r="A231" i="25"/>
  <c r="J231" i="29"/>
  <c r="A232" i="29"/>
  <c r="B231" i="29"/>
  <c r="A231" i="30"/>
  <c r="N229" i="30"/>
  <c r="O229" i="30" s="1"/>
  <c r="L229" i="30"/>
  <c r="K229" i="30" s="1"/>
  <c r="H229" i="30"/>
  <c r="G229" i="30"/>
  <c r="L229" i="25"/>
  <c r="K229" i="29"/>
  <c r="B254" i="17"/>
  <c r="N229" i="25"/>
  <c r="O229" i="25" s="1"/>
  <c r="Q229" i="30" l="1"/>
  <c r="G228" i="25"/>
  <c r="H253" i="17" s="1"/>
  <c r="H228" i="25"/>
  <c r="I253" i="17" s="1"/>
  <c r="H229" i="26"/>
  <c r="G229" i="26"/>
  <c r="Q230" i="28"/>
  <c r="G230" i="27"/>
  <c r="H230" i="27"/>
  <c r="Q228" i="25"/>
  <c r="AD229" i="26"/>
  <c r="Q229" i="26"/>
  <c r="K229" i="25"/>
  <c r="Q229" i="29"/>
  <c r="K230" i="26"/>
  <c r="Q230" i="27"/>
  <c r="B231" i="30"/>
  <c r="J231" i="30"/>
  <c r="B231" i="25"/>
  <c r="H231" i="29"/>
  <c r="G231" i="29"/>
  <c r="L231" i="29"/>
  <c r="N231" i="29"/>
  <c r="O231" i="29" s="1"/>
  <c r="A232" i="25"/>
  <c r="A233" i="29"/>
  <c r="B232" i="29"/>
  <c r="J232" i="29"/>
  <c r="A232" i="30"/>
  <c r="J231" i="25"/>
  <c r="L230" i="25"/>
  <c r="K230" i="29"/>
  <c r="B255" i="17"/>
  <c r="N230" i="25"/>
  <c r="O230" i="25" s="1"/>
  <c r="L230" i="30"/>
  <c r="K230" i="30" s="1"/>
  <c r="H230" i="30"/>
  <c r="G230" i="30"/>
  <c r="N230" i="30"/>
  <c r="O230" i="30" s="1"/>
  <c r="H231" i="28"/>
  <c r="G231" i="28"/>
  <c r="N231" i="28"/>
  <c r="O231" i="28" s="1"/>
  <c r="L231" i="28"/>
  <c r="K231" i="28" s="1"/>
  <c r="L231" i="26"/>
  <c r="K231" i="27"/>
  <c r="Y231" i="26"/>
  <c r="N231" i="26"/>
  <c r="O231" i="26" s="1"/>
  <c r="J232" i="28"/>
  <c r="J232" i="26"/>
  <c r="A233" i="26"/>
  <c r="B233" i="27"/>
  <c r="A234" i="27"/>
  <c r="J233" i="27"/>
  <c r="A233" i="28"/>
  <c r="B232" i="26"/>
  <c r="N232" i="27"/>
  <c r="O232" i="27" s="1"/>
  <c r="L232" i="27"/>
  <c r="B232" i="28"/>
  <c r="X232" i="26"/>
  <c r="AC231" i="26"/>
  <c r="Q230" i="30" l="1"/>
  <c r="G229" i="25"/>
  <c r="H254" i="17" s="1"/>
  <c r="H229" i="25"/>
  <c r="I254" i="17" s="1"/>
  <c r="G230" i="26"/>
  <c r="H230" i="26"/>
  <c r="G231" i="27"/>
  <c r="H231" i="27"/>
  <c r="Q231" i="28"/>
  <c r="K230" i="25"/>
  <c r="Q230" i="29"/>
  <c r="Q229" i="25"/>
  <c r="AD230" i="26"/>
  <c r="Q230" i="26"/>
  <c r="K231" i="26"/>
  <c r="Q231" i="27"/>
  <c r="H232" i="28"/>
  <c r="G232" i="28"/>
  <c r="N232" i="28"/>
  <c r="O232" i="28" s="1"/>
  <c r="L232" i="28"/>
  <c r="K232" i="28" s="1"/>
  <c r="L232" i="26"/>
  <c r="K232" i="27"/>
  <c r="Y232" i="26"/>
  <c r="N232" i="26"/>
  <c r="O232" i="26" s="1"/>
  <c r="J233" i="28"/>
  <c r="J233" i="26"/>
  <c r="A234" i="26"/>
  <c r="B234" i="27"/>
  <c r="A235" i="27"/>
  <c r="J234" i="27"/>
  <c r="A234" i="28"/>
  <c r="B233" i="26"/>
  <c r="N233" i="27"/>
  <c r="O233" i="27" s="1"/>
  <c r="L233" i="27"/>
  <c r="B233" i="28"/>
  <c r="X233" i="26"/>
  <c r="AC232" i="26"/>
  <c r="J232" i="30"/>
  <c r="B232" i="30"/>
  <c r="J232" i="25"/>
  <c r="B232" i="25"/>
  <c r="H232" i="29"/>
  <c r="G232" i="29"/>
  <c r="N232" i="29"/>
  <c r="O232" i="29" s="1"/>
  <c r="L232" i="29"/>
  <c r="A233" i="25"/>
  <c r="J233" i="29"/>
  <c r="A234" i="29"/>
  <c r="B233" i="29"/>
  <c r="A233" i="30"/>
  <c r="L231" i="25"/>
  <c r="K231" i="29"/>
  <c r="B256" i="17"/>
  <c r="N231" i="25"/>
  <c r="O231" i="25" s="1"/>
  <c r="H231" i="30"/>
  <c r="G231" i="30"/>
  <c r="N231" i="30"/>
  <c r="O231" i="30" s="1"/>
  <c r="L231" i="30"/>
  <c r="K231" i="30" s="1"/>
  <c r="Q231" i="30" l="1"/>
  <c r="H230" i="25"/>
  <c r="I255" i="17" s="1"/>
  <c r="G230" i="25"/>
  <c r="H255" i="17" s="1"/>
  <c r="Q232" i="28"/>
  <c r="G231" i="26"/>
  <c r="H231" i="26"/>
  <c r="G232" i="27"/>
  <c r="H232" i="27"/>
  <c r="K232" i="26"/>
  <c r="Q232" i="27"/>
  <c r="K231" i="25"/>
  <c r="Q231" i="29"/>
  <c r="Q230" i="25"/>
  <c r="AD231" i="26"/>
  <c r="Q231" i="26"/>
  <c r="B233" i="30"/>
  <c r="J233" i="30"/>
  <c r="B233" i="25"/>
  <c r="H233" i="29"/>
  <c r="G233" i="29"/>
  <c r="L233" i="29"/>
  <c r="N233" i="29"/>
  <c r="O233" i="29" s="1"/>
  <c r="A234" i="25"/>
  <c r="A235" i="29"/>
  <c r="B234" i="29"/>
  <c r="J234" i="29"/>
  <c r="A234" i="30"/>
  <c r="J233" i="25"/>
  <c r="L232" i="25"/>
  <c r="K232" i="29"/>
  <c r="B257" i="17"/>
  <c r="N232" i="25"/>
  <c r="O232" i="25" s="1"/>
  <c r="H232" i="30"/>
  <c r="G232" i="30"/>
  <c r="N232" i="30"/>
  <c r="O232" i="30" s="1"/>
  <c r="L232" i="30"/>
  <c r="K232" i="30" s="1"/>
  <c r="H233" i="28"/>
  <c r="G233" i="28"/>
  <c r="N233" i="28"/>
  <c r="O233" i="28" s="1"/>
  <c r="L233" i="28"/>
  <c r="K233" i="28" s="1"/>
  <c r="L233" i="26"/>
  <c r="K233" i="27"/>
  <c r="Y233" i="26"/>
  <c r="N233" i="26"/>
  <c r="O233" i="26" s="1"/>
  <c r="J234" i="28"/>
  <c r="J234" i="26"/>
  <c r="A235" i="26"/>
  <c r="B235" i="27"/>
  <c r="A236" i="27"/>
  <c r="J235" i="27"/>
  <c r="A235" i="28"/>
  <c r="B234" i="26"/>
  <c r="N234" i="27"/>
  <c r="O234" i="27" s="1"/>
  <c r="L234" i="27"/>
  <c r="B234" i="28"/>
  <c r="X234" i="26"/>
  <c r="AC233" i="26"/>
  <c r="Q233" i="28" l="1"/>
  <c r="G231" i="25"/>
  <c r="H256" i="17" s="1"/>
  <c r="H231" i="25"/>
  <c r="I256" i="17" s="1"/>
  <c r="H232" i="26"/>
  <c r="G232" i="26"/>
  <c r="G233" i="27"/>
  <c r="H233" i="27"/>
  <c r="AD232" i="26"/>
  <c r="Q232" i="26"/>
  <c r="K233" i="26"/>
  <c r="Q233" i="27"/>
  <c r="Q232" i="30"/>
  <c r="Q231" i="25"/>
  <c r="K232" i="25"/>
  <c r="Q232" i="29"/>
  <c r="G234" i="28"/>
  <c r="N234" i="28"/>
  <c r="O234" i="28" s="1"/>
  <c r="L234" i="28"/>
  <c r="K234" i="28" s="1"/>
  <c r="H234" i="28"/>
  <c r="L234" i="26"/>
  <c r="K234" i="27"/>
  <c r="Y234" i="26"/>
  <c r="N234" i="26"/>
  <c r="O234" i="26" s="1"/>
  <c r="J235" i="28"/>
  <c r="J235" i="26"/>
  <c r="A236" i="26"/>
  <c r="B236" i="27"/>
  <c r="A237" i="27"/>
  <c r="J236" i="27"/>
  <c r="A236" i="28"/>
  <c r="B235" i="26"/>
  <c r="N235" i="27"/>
  <c r="O235" i="27" s="1"/>
  <c r="L235" i="27"/>
  <c r="B235" i="28"/>
  <c r="X235" i="26"/>
  <c r="AC234" i="26"/>
  <c r="B234" i="30"/>
  <c r="J234" i="30"/>
  <c r="J234" i="25"/>
  <c r="B234" i="25"/>
  <c r="H234" i="29"/>
  <c r="G234" i="29"/>
  <c r="N234" i="29"/>
  <c r="O234" i="29" s="1"/>
  <c r="L234" i="29"/>
  <c r="A235" i="25"/>
  <c r="J235" i="29"/>
  <c r="A236" i="29"/>
  <c r="B235" i="29"/>
  <c r="A235" i="30"/>
  <c r="L233" i="25"/>
  <c r="K233" i="29"/>
  <c r="B258" i="17"/>
  <c r="N233" i="25"/>
  <c r="O233" i="25" s="1"/>
  <c r="H233" i="30"/>
  <c r="G233" i="30"/>
  <c r="N233" i="30"/>
  <c r="O233" i="30" s="1"/>
  <c r="L233" i="30"/>
  <c r="K233" i="30" s="1"/>
  <c r="G232" i="25" l="1"/>
  <c r="H257" i="17" s="1"/>
  <c r="H232" i="25"/>
  <c r="I257" i="17" s="1"/>
  <c r="G234" i="27"/>
  <c r="H234" i="27"/>
  <c r="G233" i="26"/>
  <c r="H233" i="26"/>
  <c r="Q233" i="30"/>
  <c r="K233" i="25"/>
  <c r="Q233" i="29"/>
  <c r="Q232" i="25"/>
  <c r="AD233" i="26"/>
  <c r="Q233" i="26"/>
  <c r="K234" i="26"/>
  <c r="Q234" i="27"/>
  <c r="Q234" i="28"/>
  <c r="B235" i="30"/>
  <c r="J235" i="30"/>
  <c r="B235" i="25"/>
  <c r="H235" i="29"/>
  <c r="G235" i="29"/>
  <c r="L235" i="29"/>
  <c r="N235" i="29"/>
  <c r="O235" i="29" s="1"/>
  <c r="A236" i="25"/>
  <c r="A237" i="29"/>
  <c r="B236" i="29"/>
  <c r="J236" i="29"/>
  <c r="A236" i="30"/>
  <c r="J235" i="25"/>
  <c r="L234" i="25"/>
  <c r="K234" i="29"/>
  <c r="B259" i="17"/>
  <c r="N234" i="25"/>
  <c r="O234" i="25" s="1"/>
  <c r="G234" i="30"/>
  <c r="N234" i="30"/>
  <c r="O234" i="30" s="1"/>
  <c r="L234" i="30"/>
  <c r="K234" i="30" s="1"/>
  <c r="H234" i="30"/>
  <c r="N235" i="28"/>
  <c r="O235" i="28" s="1"/>
  <c r="L235" i="28"/>
  <c r="K235" i="28" s="1"/>
  <c r="H235" i="28"/>
  <c r="G235" i="28"/>
  <c r="L235" i="26"/>
  <c r="K235" i="27"/>
  <c r="Y235" i="26"/>
  <c r="N235" i="26"/>
  <c r="O235" i="26" s="1"/>
  <c r="J236" i="28"/>
  <c r="J236" i="26"/>
  <c r="A237" i="26"/>
  <c r="B237" i="27"/>
  <c r="A238" i="27"/>
  <c r="J237" i="27"/>
  <c r="A237" i="28"/>
  <c r="B236" i="26"/>
  <c r="N236" i="27"/>
  <c r="O236" i="27" s="1"/>
  <c r="L236" i="27"/>
  <c r="B236" i="28"/>
  <c r="X236" i="26"/>
  <c r="AC235" i="26"/>
  <c r="Q234" i="30" l="1"/>
  <c r="H233" i="25"/>
  <c r="I258" i="17" s="1"/>
  <c r="G233" i="25"/>
  <c r="H258" i="17" s="1"/>
  <c r="G235" i="27"/>
  <c r="H235" i="27"/>
  <c r="G234" i="26"/>
  <c r="H234" i="26"/>
  <c r="Q235" i="28"/>
  <c r="K235" i="26"/>
  <c r="Q235" i="27"/>
  <c r="K234" i="25"/>
  <c r="Q234" i="29"/>
  <c r="Q233" i="25"/>
  <c r="AD234" i="26"/>
  <c r="Q234" i="26"/>
  <c r="N236" i="28"/>
  <c r="O236" i="28" s="1"/>
  <c r="L236" i="28"/>
  <c r="K236" i="28" s="1"/>
  <c r="H236" i="28"/>
  <c r="G236" i="28"/>
  <c r="L236" i="26"/>
  <c r="K236" i="27"/>
  <c r="Y236" i="26"/>
  <c r="N236" i="26"/>
  <c r="O236" i="26" s="1"/>
  <c r="J237" i="28"/>
  <c r="J237" i="26"/>
  <c r="A238" i="26"/>
  <c r="B238" i="27"/>
  <c r="J238" i="27"/>
  <c r="A239" i="27"/>
  <c r="A238" i="28"/>
  <c r="B237" i="26"/>
  <c r="N237" i="27"/>
  <c r="O237" i="27" s="1"/>
  <c r="L237" i="27"/>
  <c r="B237" i="28"/>
  <c r="X237" i="26"/>
  <c r="AC236" i="26"/>
  <c r="B236" i="30"/>
  <c r="J236" i="30"/>
  <c r="J236" i="25"/>
  <c r="B236" i="25"/>
  <c r="H236" i="29"/>
  <c r="G236" i="29"/>
  <c r="N236" i="29"/>
  <c r="O236" i="29" s="1"/>
  <c r="L236" i="29"/>
  <c r="A237" i="25"/>
  <c r="J237" i="29"/>
  <c r="A238" i="29"/>
  <c r="B237" i="29"/>
  <c r="A237" i="30"/>
  <c r="L235" i="25"/>
  <c r="K235" i="29"/>
  <c r="B260" i="17"/>
  <c r="N235" i="25"/>
  <c r="O235" i="25" s="1"/>
  <c r="N235" i="30"/>
  <c r="O235" i="30" s="1"/>
  <c r="L235" i="30"/>
  <c r="K235" i="30" s="1"/>
  <c r="H235" i="30"/>
  <c r="G235" i="30"/>
  <c r="Q235" i="30" l="1"/>
  <c r="H234" i="25"/>
  <c r="I259" i="17" s="1"/>
  <c r="G234" i="25"/>
  <c r="H259" i="17" s="1"/>
  <c r="Q236" i="28"/>
  <c r="H235" i="26"/>
  <c r="G235" i="26"/>
  <c r="G236" i="27"/>
  <c r="H236" i="27"/>
  <c r="Q234" i="25"/>
  <c r="K236" i="26"/>
  <c r="Q236" i="27"/>
  <c r="AD235" i="26"/>
  <c r="Q235" i="26"/>
  <c r="K235" i="25"/>
  <c r="Q235" i="29"/>
  <c r="B237" i="30"/>
  <c r="J237" i="30"/>
  <c r="B237" i="25"/>
  <c r="H237" i="29"/>
  <c r="G237" i="29"/>
  <c r="L237" i="29"/>
  <c r="N237" i="29"/>
  <c r="O237" i="29" s="1"/>
  <c r="A238" i="25"/>
  <c r="A239" i="29"/>
  <c r="B238" i="29"/>
  <c r="J238" i="29"/>
  <c r="A238" i="30"/>
  <c r="J237" i="25"/>
  <c r="L236" i="25"/>
  <c r="K236" i="29"/>
  <c r="B261" i="17"/>
  <c r="N236" i="25"/>
  <c r="O236" i="25" s="1"/>
  <c r="N236" i="30"/>
  <c r="O236" i="30" s="1"/>
  <c r="L236" i="30"/>
  <c r="K236" i="30" s="1"/>
  <c r="H236" i="30"/>
  <c r="G236" i="30"/>
  <c r="N237" i="28"/>
  <c r="O237" i="28" s="1"/>
  <c r="L237" i="28"/>
  <c r="K237" i="28" s="1"/>
  <c r="H237" i="28"/>
  <c r="G237" i="28"/>
  <c r="L237" i="26"/>
  <c r="K237" i="27"/>
  <c r="Y237" i="26"/>
  <c r="N237" i="26"/>
  <c r="O237" i="26" s="1"/>
  <c r="J238" i="28"/>
  <c r="A239" i="26"/>
  <c r="B239" i="27"/>
  <c r="A240" i="27"/>
  <c r="J239" i="27"/>
  <c r="A239" i="28"/>
  <c r="J238" i="26"/>
  <c r="B238" i="26"/>
  <c r="N238" i="27"/>
  <c r="O238" i="27" s="1"/>
  <c r="L238" i="27"/>
  <c r="B238" i="28"/>
  <c r="X238" i="26"/>
  <c r="AC237" i="26"/>
  <c r="Q236" i="30" l="1"/>
  <c r="H235" i="25"/>
  <c r="I260" i="17" s="1"/>
  <c r="G235" i="25"/>
  <c r="H260" i="17" s="1"/>
  <c r="Q237" i="28"/>
  <c r="G237" i="27"/>
  <c r="H237" i="27"/>
  <c r="H236" i="26"/>
  <c r="G236" i="26"/>
  <c r="K236" i="25"/>
  <c r="Q236" i="29"/>
  <c r="AD236" i="26"/>
  <c r="Q236" i="26"/>
  <c r="K237" i="26"/>
  <c r="Q237" i="27"/>
  <c r="Q235" i="25"/>
  <c r="L238" i="28"/>
  <c r="K238" i="28" s="1"/>
  <c r="H238" i="28"/>
  <c r="G238" i="28"/>
  <c r="N238" i="28"/>
  <c r="O238" i="28" s="1"/>
  <c r="L238" i="26"/>
  <c r="K238" i="27"/>
  <c r="Y238" i="26"/>
  <c r="N238" i="26"/>
  <c r="O238" i="26" s="1"/>
  <c r="AC238" i="26"/>
  <c r="J239" i="28"/>
  <c r="J239" i="26"/>
  <c r="A240" i="26"/>
  <c r="B240" i="27"/>
  <c r="A241" i="27"/>
  <c r="J240" i="27"/>
  <c r="A240" i="28"/>
  <c r="B239" i="26"/>
  <c r="N239" i="27"/>
  <c r="O239" i="27" s="1"/>
  <c r="L239" i="27"/>
  <c r="B239" i="28"/>
  <c r="X239" i="26"/>
  <c r="B238" i="30"/>
  <c r="J238" i="30"/>
  <c r="J238" i="25"/>
  <c r="B238" i="25"/>
  <c r="H238" i="29"/>
  <c r="G238" i="29"/>
  <c r="N238" i="29"/>
  <c r="O238" i="29" s="1"/>
  <c r="L238" i="29"/>
  <c r="A239" i="25"/>
  <c r="J239" i="29"/>
  <c r="A240" i="29"/>
  <c r="A239" i="30"/>
  <c r="B239" i="29"/>
  <c r="L237" i="25"/>
  <c r="K237" i="29"/>
  <c r="B262" i="17"/>
  <c r="N237" i="25"/>
  <c r="O237" i="25" s="1"/>
  <c r="N237" i="30"/>
  <c r="O237" i="30" s="1"/>
  <c r="L237" i="30"/>
  <c r="K237" i="30" s="1"/>
  <c r="H237" i="30"/>
  <c r="G237" i="30"/>
  <c r="Q237" i="30" l="1"/>
  <c r="H236" i="25"/>
  <c r="I261" i="17" s="1"/>
  <c r="G236" i="25"/>
  <c r="H261" i="17" s="1"/>
  <c r="H237" i="26"/>
  <c r="G237" i="26"/>
  <c r="Q238" i="28"/>
  <c r="G238" i="27"/>
  <c r="H238" i="27"/>
  <c r="K237" i="25"/>
  <c r="Q237" i="29"/>
  <c r="K238" i="26"/>
  <c r="Q238" i="27"/>
  <c r="Q236" i="25"/>
  <c r="AD237" i="26"/>
  <c r="Q237" i="26"/>
  <c r="B239" i="25"/>
  <c r="H239" i="29"/>
  <c r="G239" i="29"/>
  <c r="L239" i="29"/>
  <c r="N239" i="29"/>
  <c r="O239" i="29" s="1"/>
  <c r="B239" i="30"/>
  <c r="J239" i="30"/>
  <c r="A240" i="25"/>
  <c r="A241" i="29"/>
  <c r="B240" i="29"/>
  <c r="J240" i="29"/>
  <c r="A240" i="30"/>
  <c r="J239" i="25"/>
  <c r="L238" i="25"/>
  <c r="K238" i="29"/>
  <c r="B263" i="17"/>
  <c r="N238" i="25"/>
  <c r="O238" i="25" s="1"/>
  <c r="L238" i="30"/>
  <c r="K238" i="30" s="1"/>
  <c r="H238" i="30"/>
  <c r="G238" i="30"/>
  <c r="N238" i="30"/>
  <c r="O238" i="30" s="1"/>
  <c r="H239" i="28"/>
  <c r="G239" i="28"/>
  <c r="N239" i="28"/>
  <c r="O239" i="28" s="1"/>
  <c r="L239" i="28"/>
  <c r="K239" i="28" s="1"/>
  <c r="L239" i="26"/>
  <c r="K239" i="27"/>
  <c r="Y239" i="26"/>
  <c r="N239" i="26"/>
  <c r="O239" i="26" s="1"/>
  <c r="J240" i="28"/>
  <c r="J240" i="26"/>
  <c r="A241" i="26"/>
  <c r="B241" i="27"/>
  <c r="A242" i="27"/>
  <c r="J241" i="27"/>
  <c r="A241" i="28"/>
  <c r="B240" i="26"/>
  <c r="N240" i="27"/>
  <c r="O240" i="27" s="1"/>
  <c r="L240" i="27"/>
  <c r="B240" i="28"/>
  <c r="X240" i="26"/>
  <c r="AC239" i="26"/>
  <c r="H237" i="25" l="1"/>
  <c r="I262" i="17" s="1"/>
  <c r="G237" i="25"/>
  <c r="H262" i="17" s="1"/>
  <c r="G239" i="27"/>
  <c r="H239" i="27"/>
  <c r="H238" i="26"/>
  <c r="G238" i="26"/>
  <c r="Q239" i="28"/>
  <c r="Q237" i="25"/>
  <c r="AD238" i="26"/>
  <c r="Q238" i="26"/>
  <c r="K239" i="26"/>
  <c r="Q239" i="27"/>
  <c r="Q238" i="30"/>
  <c r="K238" i="25"/>
  <c r="Q238" i="29"/>
  <c r="H240" i="28"/>
  <c r="G240" i="28"/>
  <c r="N240" i="28"/>
  <c r="O240" i="28" s="1"/>
  <c r="L240" i="28"/>
  <c r="K240" i="28" s="1"/>
  <c r="L240" i="26"/>
  <c r="K240" i="27"/>
  <c r="Y240" i="26"/>
  <c r="N240" i="26"/>
  <c r="O240" i="26" s="1"/>
  <c r="J241" i="28"/>
  <c r="J241" i="26"/>
  <c r="A242" i="26"/>
  <c r="B242" i="27"/>
  <c r="A243" i="27"/>
  <c r="J242" i="27"/>
  <c r="A242" i="28"/>
  <c r="B241" i="26"/>
  <c r="N241" i="27"/>
  <c r="O241" i="27" s="1"/>
  <c r="L241" i="27"/>
  <c r="B241" i="28"/>
  <c r="X241" i="26"/>
  <c r="AC240" i="26"/>
  <c r="J240" i="30"/>
  <c r="B240" i="30"/>
  <c r="J240" i="25"/>
  <c r="B240" i="25"/>
  <c r="H240" i="29"/>
  <c r="G240" i="29"/>
  <c r="N240" i="29"/>
  <c r="O240" i="29" s="1"/>
  <c r="L240" i="29"/>
  <c r="A241" i="25"/>
  <c r="J241" i="29"/>
  <c r="A242" i="29"/>
  <c r="B241" i="29"/>
  <c r="A241" i="30"/>
  <c r="H239" i="30"/>
  <c r="G239" i="30"/>
  <c r="N239" i="30"/>
  <c r="O239" i="30" s="1"/>
  <c r="L239" i="30"/>
  <c r="K239" i="30" s="1"/>
  <c r="L239" i="25"/>
  <c r="K239" i="29"/>
  <c r="B264" i="17"/>
  <c r="N239" i="25"/>
  <c r="O239" i="25" s="1"/>
  <c r="Q239" i="30" l="1"/>
  <c r="G238" i="25"/>
  <c r="H263" i="17" s="1"/>
  <c r="H238" i="25"/>
  <c r="I263" i="17" s="1"/>
  <c r="Q240" i="28"/>
  <c r="G240" i="27"/>
  <c r="H240" i="27"/>
  <c r="H239" i="26"/>
  <c r="G239" i="26"/>
  <c r="Q238" i="25"/>
  <c r="K240" i="26"/>
  <c r="Q240" i="27"/>
  <c r="K239" i="25"/>
  <c r="Q239" i="29"/>
  <c r="AD239" i="26"/>
  <c r="Q239" i="26"/>
  <c r="B241" i="30"/>
  <c r="J241" i="30"/>
  <c r="B241" i="25"/>
  <c r="H241" i="29"/>
  <c r="G241" i="29"/>
  <c r="L241" i="29"/>
  <c r="N241" i="29"/>
  <c r="O241" i="29" s="1"/>
  <c r="A242" i="25"/>
  <c r="A243" i="29"/>
  <c r="B242" i="29"/>
  <c r="J242" i="29"/>
  <c r="A242" i="30"/>
  <c r="J241" i="25"/>
  <c r="L240" i="25"/>
  <c r="K240" i="29"/>
  <c r="B265" i="17"/>
  <c r="N240" i="25"/>
  <c r="O240" i="25" s="1"/>
  <c r="H240" i="30"/>
  <c r="G240" i="30"/>
  <c r="N240" i="30"/>
  <c r="O240" i="30" s="1"/>
  <c r="L240" i="30"/>
  <c r="K240" i="30" s="1"/>
  <c r="H241" i="28"/>
  <c r="G241" i="28"/>
  <c r="N241" i="28"/>
  <c r="O241" i="28" s="1"/>
  <c r="L241" i="28"/>
  <c r="K241" i="28" s="1"/>
  <c r="L241" i="26"/>
  <c r="K241" i="27"/>
  <c r="Y241" i="26"/>
  <c r="N241" i="26"/>
  <c r="O241" i="26" s="1"/>
  <c r="J242" i="28"/>
  <c r="J242" i="26"/>
  <c r="A243" i="26"/>
  <c r="B243" i="27"/>
  <c r="A244" i="27"/>
  <c r="J243" i="27"/>
  <c r="A243" i="28"/>
  <c r="B242" i="26"/>
  <c r="N242" i="27"/>
  <c r="O242" i="27" s="1"/>
  <c r="L242" i="27"/>
  <c r="B242" i="28"/>
  <c r="X242" i="26"/>
  <c r="AC241" i="26"/>
  <c r="Q240" i="30" l="1"/>
  <c r="H239" i="25"/>
  <c r="I264" i="17" s="1"/>
  <c r="G239" i="25"/>
  <c r="H264" i="17" s="1"/>
  <c r="Q241" i="28"/>
  <c r="G240" i="26"/>
  <c r="H240" i="26"/>
  <c r="G241" i="27"/>
  <c r="H241" i="27"/>
  <c r="K241" i="26"/>
  <c r="Q241" i="27"/>
  <c r="Q239" i="25"/>
  <c r="AD240" i="26"/>
  <c r="Q240" i="26"/>
  <c r="K240" i="25"/>
  <c r="Q240" i="29"/>
  <c r="G242" i="28"/>
  <c r="N242" i="28"/>
  <c r="O242" i="28" s="1"/>
  <c r="L242" i="28"/>
  <c r="K242" i="28" s="1"/>
  <c r="H242" i="28"/>
  <c r="L242" i="26"/>
  <c r="K242" i="27"/>
  <c r="Y242" i="26"/>
  <c r="N242" i="26"/>
  <c r="O242" i="26" s="1"/>
  <c r="J243" i="28"/>
  <c r="J243" i="26"/>
  <c r="A244" i="26"/>
  <c r="B244" i="27"/>
  <c r="A245" i="27"/>
  <c r="J244" i="27"/>
  <c r="A244" i="28"/>
  <c r="B243" i="26"/>
  <c r="N243" i="27"/>
  <c r="O243" i="27" s="1"/>
  <c r="L243" i="27"/>
  <c r="B243" i="28"/>
  <c r="X243" i="26"/>
  <c r="AC242" i="26"/>
  <c r="B242" i="30"/>
  <c r="J242" i="30"/>
  <c r="J242" i="25"/>
  <c r="B242" i="25"/>
  <c r="H242" i="29"/>
  <c r="G242" i="29"/>
  <c r="N242" i="29"/>
  <c r="O242" i="29" s="1"/>
  <c r="L242" i="29"/>
  <c r="A243" i="25"/>
  <c r="J243" i="29"/>
  <c r="A244" i="29"/>
  <c r="A243" i="30"/>
  <c r="B243" i="29"/>
  <c r="L241" i="25"/>
  <c r="K241" i="29"/>
  <c r="B266" i="17"/>
  <c r="N241" i="25"/>
  <c r="O241" i="25" s="1"/>
  <c r="H241" i="30"/>
  <c r="G241" i="30"/>
  <c r="N241" i="30"/>
  <c r="O241" i="30" s="1"/>
  <c r="L241" i="30"/>
  <c r="K241" i="30" s="1"/>
  <c r="Q241" i="30" l="1"/>
  <c r="Q242" i="28"/>
  <c r="G240" i="25"/>
  <c r="H265" i="17" s="1"/>
  <c r="H240" i="25"/>
  <c r="I265" i="17" s="1"/>
  <c r="H241" i="26"/>
  <c r="G241" i="26"/>
  <c r="G242" i="27"/>
  <c r="H242" i="27"/>
  <c r="AD241" i="26"/>
  <c r="Q241" i="26"/>
  <c r="Q240" i="25"/>
  <c r="K241" i="25"/>
  <c r="Q241" i="29"/>
  <c r="K242" i="26"/>
  <c r="Q242" i="27"/>
  <c r="B243" i="25"/>
  <c r="H243" i="29"/>
  <c r="G243" i="29"/>
  <c r="L243" i="29"/>
  <c r="N243" i="29"/>
  <c r="O243" i="29" s="1"/>
  <c r="B243" i="30"/>
  <c r="J243" i="30"/>
  <c r="A244" i="25"/>
  <c r="A245" i="29"/>
  <c r="B244" i="29"/>
  <c r="J244" i="29"/>
  <c r="A244" i="30"/>
  <c r="J243" i="25"/>
  <c r="L242" i="25"/>
  <c r="K242" i="29"/>
  <c r="B267" i="17"/>
  <c r="N242" i="25"/>
  <c r="O242" i="25" s="1"/>
  <c r="G242" i="30"/>
  <c r="N242" i="30"/>
  <c r="O242" i="30" s="1"/>
  <c r="L242" i="30"/>
  <c r="K242" i="30" s="1"/>
  <c r="H242" i="30"/>
  <c r="N243" i="28"/>
  <c r="O243" i="28" s="1"/>
  <c r="L243" i="28"/>
  <c r="K243" i="28" s="1"/>
  <c r="H243" i="28"/>
  <c r="G243" i="28"/>
  <c r="L243" i="26"/>
  <c r="K243" i="27"/>
  <c r="Y243" i="26"/>
  <c r="N243" i="26"/>
  <c r="O243" i="26" s="1"/>
  <c r="J244" i="28"/>
  <c r="J244" i="26"/>
  <c r="A245" i="26"/>
  <c r="B245" i="27"/>
  <c r="A246" i="27"/>
  <c r="J245" i="27"/>
  <c r="A245" i="28"/>
  <c r="B244" i="26"/>
  <c r="N244" i="27"/>
  <c r="O244" i="27" s="1"/>
  <c r="L244" i="27"/>
  <c r="B244" i="28"/>
  <c r="X244" i="26"/>
  <c r="AC243" i="26"/>
  <c r="Q242" i="30" l="1"/>
  <c r="H241" i="25"/>
  <c r="I266" i="17" s="1"/>
  <c r="G241" i="25"/>
  <c r="H266" i="17" s="1"/>
  <c r="Q243" i="28"/>
  <c r="G242" i="26"/>
  <c r="H242" i="26"/>
  <c r="G243" i="27"/>
  <c r="H243" i="27"/>
  <c r="AD242" i="26"/>
  <c r="Q242" i="26"/>
  <c r="K243" i="26"/>
  <c r="Q243" i="27"/>
  <c r="K242" i="25"/>
  <c r="Q242" i="29"/>
  <c r="Q241" i="25"/>
  <c r="N244" i="28"/>
  <c r="O244" i="28" s="1"/>
  <c r="L244" i="28"/>
  <c r="K244" i="28" s="1"/>
  <c r="H244" i="28"/>
  <c r="G244" i="28"/>
  <c r="L244" i="26"/>
  <c r="K244" i="27"/>
  <c r="Y244" i="26"/>
  <c r="N244" i="26"/>
  <c r="O244" i="26" s="1"/>
  <c r="J245" i="28"/>
  <c r="J245" i="26"/>
  <c r="A246" i="26"/>
  <c r="B246" i="27"/>
  <c r="A247" i="27"/>
  <c r="J246" i="27"/>
  <c r="A246" i="28"/>
  <c r="B245" i="26"/>
  <c r="N245" i="27"/>
  <c r="O245" i="27" s="1"/>
  <c r="L245" i="27"/>
  <c r="B245" i="28"/>
  <c r="X245" i="26"/>
  <c r="AC244" i="26"/>
  <c r="B244" i="30"/>
  <c r="J244" i="30"/>
  <c r="J244" i="25"/>
  <c r="B244" i="25"/>
  <c r="H244" i="29"/>
  <c r="G244" i="29"/>
  <c r="N244" i="29"/>
  <c r="O244" i="29" s="1"/>
  <c r="L244" i="29"/>
  <c r="A245" i="25"/>
  <c r="J245" i="29"/>
  <c r="A246" i="29"/>
  <c r="A245" i="30"/>
  <c r="B245" i="29"/>
  <c r="N243" i="30"/>
  <c r="O243" i="30" s="1"/>
  <c r="L243" i="30"/>
  <c r="K243" i="30" s="1"/>
  <c r="H243" i="30"/>
  <c r="G243" i="30"/>
  <c r="L243" i="25"/>
  <c r="K243" i="29"/>
  <c r="B268" i="17"/>
  <c r="N243" i="25"/>
  <c r="O243" i="25" s="1"/>
  <c r="Q244" i="28" l="1"/>
  <c r="Q243" i="30"/>
  <c r="H242" i="25"/>
  <c r="I267" i="17" s="1"/>
  <c r="G242" i="25"/>
  <c r="H267" i="17" s="1"/>
  <c r="G244" i="27"/>
  <c r="H244" i="27"/>
  <c r="H243" i="26"/>
  <c r="G243" i="26"/>
  <c r="AD243" i="26"/>
  <c r="Q243" i="26"/>
  <c r="Q242" i="25"/>
  <c r="K244" i="26"/>
  <c r="Q244" i="27"/>
  <c r="K243" i="25"/>
  <c r="Q243" i="29"/>
  <c r="B245" i="25"/>
  <c r="H245" i="29"/>
  <c r="G245" i="29"/>
  <c r="L245" i="29"/>
  <c r="N245" i="29"/>
  <c r="O245" i="29" s="1"/>
  <c r="B245" i="30"/>
  <c r="J245" i="30"/>
  <c r="A246" i="25"/>
  <c r="A247" i="29"/>
  <c r="B246" i="29"/>
  <c r="J246" i="29"/>
  <c r="A246" i="30"/>
  <c r="J245" i="25"/>
  <c r="L244" i="25"/>
  <c r="K244" i="29"/>
  <c r="B269" i="17"/>
  <c r="N244" i="25"/>
  <c r="O244" i="25" s="1"/>
  <c r="N244" i="30"/>
  <c r="O244" i="30" s="1"/>
  <c r="L244" i="30"/>
  <c r="K244" i="30" s="1"/>
  <c r="H244" i="30"/>
  <c r="G244" i="30"/>
  <c r="N245" i="28"/>
  <c r="O245" i="28" s="1"/>
  <c r="L245" i="28"/>
  <c r="K245" i="28" s="1"/>
  <c r="H245" i="28"/>
  <c r="G245" i="28"/>
  <c r="L245" i="26"/>
  <c r="K245" i="27"/>
  <c r="Y245" i="26"/>
  <c r="N245" i="26"/>
  <c r="O245" i="26" s="1"/>
  <c r="J246" i="28"/>
  <c r="J246" i="26"/>
  <c r="A247" i="26"/>
  <c r="B247" i="27"/>
  <c r="A248" i="27"/>
  <c r="J247" i="27"/>
  <c r="A247" i="28"/>
  <c r="B246" i="26"/>
  <c r="N246" i="27"/>
  <c r="O246" i="27" s="1"/>
  <c r="L246" i="27"/>
  <c r="B246" i="28"/>
  <c r="X246" i="26"/>
  <c r="AC245" i="26"/>
  <c r="Q245" i="28" l="1"/>
  <c r="Q244" i="30"/>
  <c r="H243" i="25"/>
  <c r="I268" i="17" s="1"/>
  <c r="G243" i="25"/>
  <c r="H268" i="17" s="1"/>
  <c r="H244" i="26"/>
  <c r="G244" i="26"/>
  <c r="G245" i="27"/>
  <c r="H245" i="27"/>
  <c r="K245" i="26"/>
  <c r="Q245" i="27"/>
  <c r="Q243" i="25"/>
  <c r="K244" i="25"/>
  <c r="Q244" i="29"/>
  <c r="AD244" i="26"/>
  <c r="Q244" i="26"/>
  <c r="L246" i="28"/>
  <c r="K246" i="28" s="1"/>
  <c r="H246" i="28"/>
  <c r="G246" i="28"/>
  <c r="N246" i="28"/>
  <c r="O246" i="28" s="1"/>
  <c r="L246" i="26"/>
  <c r="K246" i="27"/>
  <c r="Y246" i="26"/>
  <c r="N246" i="26"/>
  <c r="O246" i="26" s="1"/>
  <c r="J247" i="28"/>
  <c r="J247" i="26"/>
  <c r="A248" i="26"/>
  <c r="B248" i="27"/>
  <c r="A249" i="27"/>
  <c r="J248" i="27"/>
  <c r="A248" i="28"/>
  <c r="B247" i="26"/>
  <c r="N247" i="27"/>
  <c r="O247" i="27" s="1"/>
  <c r="L247" i="27"/>
  <c r="B247" i="28"/>
  <c r="X247" i="26"/>
  <c r="AC246" i="26"/>
  <c r="B246" i="30"/>
  <c r="J246" i="30"/>
  <c r="J246" i="25"/>
  <c r="B246" i="25"/>
  <c r="H246" i="29"/>
  <c r="G246" i="29"/>
  <c r="N246" i="29"/>
  <c r="O246" i="29" s="1"/>
  <c r="L246" i="29"/>
  <c r="A247" i="25"/>
  <c r="J247" i="29"/>
  <c r="A248" i="29"/>
  <c r="B247" i="29"/>
  <c r="A247" i="30"/>
  <c r="N245" i="30"/>
  <c r="O245" i="30" s="1"/>
  <c r="L245" i="30"/>
  <c r="K245" i="30" s="1"/>
  <c r="H245" i="30"/>
  <c r="G245" i="30"/>
  <c r="L245" i="25"/>
  <c r="K245" i="29"/>
  <c r="B270" i="17"/>
  <c r="N245" i="25"/>
  <c r="O245" i="25" s="1"/>
  <c r="Q245" i="30" l="1"/>
  <c r="G244" i="25"/>
  <c r="H269" i="17" s="1"/>
  <c r="H244" i="25"/>
  <c r="I269" i="17" s="1"/>
  <c r="Q246" i="28"/>
  <c r="H245" i="26"/>
  <c r="G245" i="26"/>
  <c r="G246" i="27"/>
  <c r="H246" i="27"/>
  <c r="K245" i="25"/>
  <c r="Q245" i="29"/>
  <c r="K246" i="26"/>
  <c r="Q246" i="27"/>
  <c r="Q244" i="25"/>
  <c r="AD245" i="26"/>
  <c r="Q245" i="26"/>
  <c r="B247" i="30"/>
  <c r="J247" i="30"/>
  <c r="B247" i="25"/>
  <c r="H247" i="29"/>
  <c r="G247" i="29"/>
  <c r="L247" i="29"/>
  <c r="N247" i="29"/>
  <c r="O247" i="29" s="1"/>
  <c r="A248" i="25"/>
  <c r="A249" i="29"/>
  <c r="B248" i="29"/>
  <c r="J248" i="29"/>
  <c r="A248" i="30"/>
  <c r="J247" i="25"/>
  <c r="L246" i="25"/>
  <c r="K246" i="29"/>
  <c r="B271" i="17"/>
  <c r="N246" i="25"/>
  <c r="O246" i="25" s="1"/>
  <c r="L246" i="30"/>
  <c r="K246" i="30" s="1"/>
  <c r="H246" i="30"/>
  <c r="G246" i="30"/>
  <c r="N246" i="30"/>
  <c r="O246" i="30" s="1"/>
  <c r="H247" i="28"/>
  <c r="G247" i="28"/>
  <c r="N247" i="28"/>
  <c r="O247" i="28" s="1"/>
  <c r="L247" i="28"/>
  <c r="K247" i="28" s="1"/>
  <c r="L247" i="26"/>
  <c r="K247" i="27"/>
  <c r="Y247" i="26"/>
  <c r="N247" i="26"/>
  <c r="O247" i="26" s="1"/>
  <c r="J248" i="28"/>
  <c r="J248" i="26"/>
  <c r="A249" i="26"/>
  <c r="B249" i="27"/>
  <c r="A250" i="27"/>
  <c r="J249" i="27"/>
  <c r="A249" i="28"/>
  <c r="B248" i="26"/>
  <c r="N248" i="27"/>
  <c r="O248" i="27" s="1"/>
  <c r="L248" i="27"/>
  <c r="B248" i="28"/>
  <c r="X248" i="26"/>
  <c r="AC247" i="26"/>
  <c r="Q246" i="30" l="1"/>
  <c r="H245" i="25"/>
  <c r="I270" i="17" s="1"/>
  <c r="G245" i="25"/>
  <c r="H270" i="17" s="1"/>
  <c r="G247" i="27"/>
  <c r="H247" i="27"/>
  <c r="H246" i="26"/>
  <c r="G246" i="26"/>
  <c r="K247" i="26"/>
  <c r="Q247" i="27"/>
  <c r="Q245" i="25"/>
  <c r="K246" i="25"/>
  <c r="Q246" i="29"/>
  <c r="Q247" i="28"/>
  <c r="AD246" i="26"/>
  <c r="Q246" i="26"/>
  <c r="H248" i="28"/>
  <c r="G248" i="28"/>
  <c r="N248" i="28"/>
  <c r="O248" i="28" s="1"/>
  <c r="L248" i="28"/>
  <c r="K248" i="28" s="1"/>
  <c r="L248" i="26"/>
  <c r="K248" i="27"/>
  <c r="Y248" i="26"/>
  <c r="N248" i="26"/>
  <c r="O248" i="26" s="1"/>
  <c r="J249" i="28"/>
  <c r="J249" i="26"/>
  <c r="A250" i="26"/>
  <c r="B250" i="27"/>
  <c r="A251" i="27"/>
  <c r="J250" i="27"/>
  <c r="A250" i="28"/>
  <c r="B249" i="26"/>
  <c r="N249" i="27"/>
  <c r="O249" i="27" s="1"/>
  <c r="L249" i="27"/>
  <c r="B249" i="28"/>
  <c r="X249" i="26"/>
  <c r="AC248" i="26"/>
  <c r="J248" i="30"/>
  <c r="B248" i="30"/>
  <c r="J248" i="25"/>
  <c r="B248" i="25"/>
  <c r="H248" i="29"/>
  <c r="G248" i="29"/>
  <c r="N248" i="29"/>
  <c r="O248" i="29" s="1"/>
  <c r="L248" i="29"/>
  <c r="A249" i="25"/>
  <c r="J249" i="29"/>
  <c r="A250" i="29"/>
  <c r="B249" i="29"/>
  <c r="A249" i="30"/>
  <c r="L247" i="25"/>
  <c r="K247" i="29"/>
  <c r="B272" i="17"/>
  <c r="N247" i="25"/>
  <c r="O247" i="25" s="1"/>
  <c r="H247" i="30"/>
  <c r="G247" i="30"/>
  <c r="N247" i="30"/>
  <c r="O247" i="30" s="1"/>
  <c r="L247" i="30"/>
  <c r="K247" i="30" s="1"/>
  <c r="Q247" i="30" l="1"/>
  <c r="G246" i="25"/>
  <c r="H271" i="17" s="1"/>
  <c r="H246" i="25"/>
  <c r="I271" i="17" s="1"/>
  <c r="Q248" i="28"/>
  <c r="G247" i="26"/>
  <c r="H247" i="26"/>
  <c r="G248" i="27"/>
  <c r="H248" i="27"/>
  <c r="AD247" i="26"/>
  <c r="Q247" i="26"/>
  <c r="K248" i="26"/>
  <c r="Q248" i="27"/>
  <c r="K247" i="25"/>
  <c r="Q247" i="29"/>
  <c r="Q246" i="25"/>
  <c r="B249" i="30"/>
  <c r="J249" i="30"/>
  <c r="B249" i="25"/>
  <c r="H249" i="29"/>
  <c r="G249" i="29"/>
  <c r="L249" i="29"/>
  <c r="N249" i="29"/>
  <c r="O249" i="29" s="1"/>
  <c r="A250" i="25"/>
  <c r="A251" i="29"/>
  <c r="B250" i="29"/>
  <c r="J250" i="29"/>
  <c r="A250" i="30"/>
  <c r="J249" i="25"/>
  <c r="L248" i="25"/>
  <c r="K248" i="29"/>
  <c r="B273" i="17"/>
  <c r="N248" i="25"/>
  <c r="O248" i="25" s="1"/>
  <c r="H248" i="30"/>
  <c r="G248" i="30"/>
  <c r="N248" i="30"/>
  <c r="O248" i="30" s="1"/>
  <c r="L248" i="30"/>
  <c r="K248" i="30" s="1"/>
  <c r="H249" i="28"/>
  <c r="G249" i="28"/>
  <c r="N249" i="28"/>
  <c r="O249" i="28" s="1"/>
  <c r="L249" i="28"/>
  <c r="K249" i="28" s="1"/>
  <c r="L249" i="26"/>
  <c r="K249" i="27"/>
  <c r="Y249" i="26"/>
  <c r="N249" i="26"/>
  <c r="O249" i="26" s="1"/>
  <c r="J250" i="28"/>
  <c r="J250" i="26"/>
  <c r="A251" i="26"/>
  <c r="B251" i="27"/>
  <c r="A252" i="27"/>
  <c r="J251" i="27"/>
  <c r="A251" i="28"/>
  <c r="B250" i="26"/>
  <c r="N250" i="27"/>
  <c r="O250" i="27" s="1"/>
  <c r="L250" i="27"/>
  <c r="B250" i="28"/>
  <c r="X250" i="26"/>
  <c r="AC249" i="26"/>
  <c r="H247" i="25" l="1"/>
  <c r="I272" i="17" s="1"/>
  <c r="G247" i="25"/>
  <c r="H272" i="17" s="1"/>
  <c r="Q249" i="28"/>
  <c r="H248" i="26"/>
  <c r="G248" i="26"/>
  <c r="G249" i="27"/>
  <c r="H249" i="27"/>
  <c r="Q247" i="25"/>
  <c r="K249" i="26"/>
  <c r="Q249" i="27"/>
  <c r="Q248" i="30"/>
  <c r="K248" i="25"/>
  <c r="Q248" i="29"/>
  <c r="AD248" i="26"/>
  <c r="Q248" i="26"/>
  <c r="G250" i="28"/>
  <c r="N250" i="28"/>
  <c r="O250" i="28" s="1"/>
  <c r="L250" i="28"/>
  <c r="K250" i="28" s="1"/>
  <c r="H250" i="28"/>
  <c r="L250" i="26"/>
  <c r="K250" i="27"/>
  <c r="Y250" i="26"/>
  <c r="N250" i="26"/>
  <c r="O250" i="26" s="1"/>
  <c r="J251" i="28"/>
  <c r="J251" i="26"/>
  <c r="A252" i="26"/>
  <c r="B252" i="27"/>
  <c r="A253" i="27"/>
  <c r="J252" i="27"/>
  <c r="A252" i="28"/>
  <c r="B251" i="26"/>
  <c r="N251" i="27"/>
  <c r="O251" i="27" s="1"/>
  <c r="L251" i="27"/>
  <c r="B251" i="28"/>
  <c r="X251" i="26"/>
  <c r="AC250" i="26"/>
  <c r="B250" i="30"/>
  <c r="J250" i="30"/>
  <c r="J250" i="25"/>
  <c r="B250" i="25"/>
  <c r="H250" i="29"/>
  <c r="G250" i="29"/>
  <c r="N250" i="29"/>
  <c r="O250" i="29" s="1"/>
  <c r="L250" i="29"/>
  <c r="A251" i="25"/>
  <c r="J251" i="29"/>
  <c r="A252" i="29"/>
  <c r="B251" i="29"/>
  <c r="A251" i="30"/>
  <c r="L249" i="25"/>
  <c r="K249" i="29"/>
  <c r="B274" i="17"/>
  <c r="N249" i="25"/>
  <c r="O249" i="25" s="1"/>
  <c r="H249" i="30"/>
  <c r="G249" i="30"/>
  <c r="N249" i="30"/>
  <c r="O249" i="30" s="1"/>
  <c r="L249" i="30"/>
  <c r="K249" i="30" s="1"/>
  <c r="Q249" i="30" l="1"/>
  <c r="H248" i="25"/>
  <c r="I273" i="17" s="1"/>
  <c r="G248" i="25"/>
  <c r="H273" i="17" s="1"/>
  <c r="G250" i="27"/>
  <c r="H250" i="27"/>
  <c r="H249" i="26"/>
  <c r="G249" i="26"/>
  <c r="AD249" i="26"/>
  <c r="Q249" i="26"/>
  <c r="Q248" i="25"/>
  <c r="Q250" i="28"/>
  <c r="K249" i="25"/>
  <c r="Q249" i="29"/>
  <c r="K250" i="26"/>
  <c r="Q250" i="27"/>
  <c r="B251" i="30"/>
  <c r="J251" i="30"/>
  <c r="B251" i="25"/>
  <c r="H251" i="29"/>
  <c r="G251" i="29"/>
  <c r="L251" i="29"/>
  <c r="N251" i="29"/>
  <c r="O251" i="29" s="1"/>
  <c r="A252" i="25"/>
  <c r="A253" i="29"/>
  <c r="B252" i="29"/>
  <c r="J252" i="29"/>
  <c r="A252" i="30"/>
  <c r="J251" i="25"/>
  <c r="L250" i="25"/>
  <c r="K250" i="29"/>
  <c r="B275" i="17"/>
  <c r="N250" i="25"/>
  <c r="O250" i="25" s="1"/>
  <c r="G250" i="30"/>
  <c r="N250" i="30"/>
  <c r="O250" i="30" s="1"/>
  <c r="L250" i="30"/>
  <c r="K250" i="30" s="1"/>
  <c r="H250" i="30"/>
  <c r="N251" i="28"/>
  <c r="O251" i="28" s="1"/>
  <c r="L251" i="28"/>
  <c r="K251" i="28" s="1"/>
  <c r="H251" i="28"/>
  <c r="G251" i="28"/>
  <c r="L251" i="26"/>
  <c r="K251" i="27"/>
  <c r="Y251" i="26"/>
  <c r="N251" i="26"/>
  <c r="O251" i="26" s="1"/>
  <c r="J252" i="28"/>
  <c r="J252" i="26"/>
  <c r="A253" i="26"/>
  <c r="B253" i="27"/>
  <c r="A254" i="27"/>
  <c r="J253" i="27"/>
  <c r="A253" i="28"/>
  <c r="B252" i="26"/>
  <c r="N252" i="27"/>
  <c r="O252" i="27" s="1"/>
  <c r="L252" i="27"/>
  <c r="B252" i="28"/>
  <c r="X252" i="26"/>
  <c r="AC251" i="26"/>
  <c r="Q250" i="30" l="1"/>
  <c r="G249" i="25"/>
  <c r="H274" i="17" s="1"/>
  <c r="H249" i="25"/>
  <c r="I274" i="17" s="1"/>
  <c r="Q251" i="28"/>
  <c r="G251" i="27"/>
  <c r="H251" i="27"/>
  <c r="H250" i="26"/>
  <c r="G250" i="26"/>
  <c r="Q249" i="25"/>
  <c r="K251" i="26"/>
  <c r="Q251" i="27"/>
  <c r="AD250" i="26"/>
  <c r="Q250" i="26"/>
  <c r="K250" i="25"/>
  <c r="Q250" i="29"/>
  <c r="N252" i="28"/>
  <c r="O252" i="28" s="1"/>
  <c r="L252" i="28"/>
  <c r="K252" i="28" s="1"/>
  <c r="H252" i="28"/>
  <c r="G252" i="28"/>
  <c r="L252" i="26"/>
  <c r="K252" i="27"/>
  <c r="Y252" i="26"/>
  <c r="N252" i="26"/>
  <c r="O252" i="26" s="1"/>
  <c r="J253" i="28"/>
  <c r="J253" i="26"/>
  <c r="A254" i="26"/>
  <c r="B254" i="27"/>
  <c r="A255" i="27"/>
  <c r="J254" i="27"/>
  <c r="A254" i="28"/>
  <c r="B253" i="26"/>
  <c r="N253" i="27"/>
  <c r="O253" i="27" s="1"/>
  <c r="L253" i="27"/>
  <c r="B253" i="28"/>
  <c r="X253" i="26"/>
  <c r="AC252" i="26"/>
  <c r="B252" i="30"/>
  <c r="J252" i="30"/>
  <c r="J252" i="25"/>
  <c r="B252" i="25"/>
  <c r="H252" i="29"/>
  <c r="G252" i="29"/>
  <c r="N252" i="29"/>
  <c r="O252" i="29" s="1"/>
  <c r="L252" i="29"/>
  <c r="A253" i="25"/>
  <c r="J253" i="29"/>
  <c r="A254" i="29"/>
  <c r="B253" i="29"/>
  <c r="A253" i="30"/>
  <c r="L251" i="25"/>
  <c r="K251" i="29"/>
  <c r="B276" i="17"/>
  <c r="N251" i="25"/>
  <c r="O251" i="25" s="1"/>
  <c r="N251" i="30"/>
  <c r="O251" i="30" s="1"/>
  <c r="L251" i="30"/>
  <c r="K251" i="30" s="1"/>
  <c r="H251" i="30"/>
  <c r="G251" i="30"/>
  <c r="Q251" i="30" l="1"/>
  <c r="H250" i="25"/>
  <c r="I275" i="17" s="1"/>
  <c r="G250" i="25"/>
  <c r="H275" i="17" s="1"/>
  <c r="Q252" i="28"/>
  <c r="G252" i="27"/>
  <c r="H252" i="27"/>
  <c r="H251" i="26"/>
  <c r="G251" i="26"/>
  <c r="K251" i="25"/>
  <c r="Q251" i="29"/>
  <c r="K252" i="26"/>
  <c r="Q252" i="27"/>
  <c r="Q250" i="25"/>
  <c r="AD251" i="26"/>
  <c r="Q251" i="26"/>
  <c r="B253" i="30"/>
  <c r="J253" i="30"/>
  <c r="B253" i="25"/>
  <c r="H253" i="29"/>
  <c r="G253" i="29"/>
  <c r="L253" i="29"/>
  <c r="N253" i="29"/>
  <c r="O253" i="29" s="1"/>
  <c r="A254" i="25"/>
  <c r="A255" i="29"/>
  <c r="B254" i="29"/>
  <c r="J254" i="29"/>
  <c r="A254" i="30"/>
  <c r="J253" i="25"/>
  <c r="L252" i="25"/>
  <c r="K252" i="29"/>
  <c r="B277" i="17"/>
  <c r="N252" i="25"/>
  <c r="O252" i="25" s="1"/>
  <c r="N252" i="30"/>
  <c r="O252" i="30" s="1"/>
  <c r="L252" i="30"/>
  <c r="K252" i="30" s="1"/>
  <c r="H252" i="30"/>
  <c r="G252" i="30"/>
  <c r="L253" i="28"/>
  <c r="K253" i="28" s="1"/>
  <c r="N253" i="28"/>
  <c r="O253" i="28" s="1"/>
  <c r="H253" i="28"/>
  <c r="G253" i="28"/>
  <c r="L253" i="26"/>
  <c r="K253" i="27"/>
  <c r="Y253" i="26"/>
  <c r="N253" i="26"/>
  <c r="O253" i="26" s="1"/>
  <c r="J254" i="28"/>
  <c r="J254" i="26"/>
  <c r="A255" i="26"/>
  <c r="B255" i="27"/>
  <c r="A256" i="27"/>
  <c r="J255" i="27"/>
  <c r="A255" i="28"/>
  <c r="B254" i="26"/>
  <c r="N254" i="27"/>
  <c r="O254" i="27" s="1"/>
  <c r="L254" i="27"/>
  <c r="B254" i="28"/>
  <c r="X254" i="26"/>
  <c r="AC253" i="26"/>
  <c r="Q252" i="30" l="1"/>
  <c r="H251" i="25"/>
  <c r="I276" i="17" s="1"/>
  <c r="G251" i="25"/>
  <c r="H276" i="17" s="1"/>
  <c r="Q253" i="28"/>
  <c r="G253" i="27"/>
  <c r="H253" i="27"/>
  <c r="G252" i="26"/>
  <c r="H252" i="26"/>
  <c r="K252" i="25"/>
  <c r="Q252" i="29"/>
  <c r="Q251" i="25"/>
  <c r="AD252" i="26"/>
  <c r="Q252" i="26"/>
  <c r="K253" i="26"/>
  <c r="Q253" i="27"/>
  <c r="G254" i="28"/>
  <c r="N254" i="28"/>
  <c r="O254" i="28" s="1"/>
  <c r="L254" i="28"/>
  <c r="K254" i="28" s="1"/>
  <c r="H254" i="28"/>
  <c r="L254" i="26"/>
  <c r="K254" i="27"/>
  <c r="Y254" i="26"/>
  <c r="N254" i="26"/>
  <c r="O254" i="26" s="1"/>
  <c r="J255" i="28"/>
  <c r="J255" i="26"/>
  <c r="A256" i="26"/>
  <c r="B256" i="27"/>
  <c r="A257" i="27"/>
  <c r="J256" i="27"/>
  <c r="A256" i="28"/>
  <c r="B255" i="26"/>
  <c r="N255" i="27"/>
  <c r="O255" i="27" s="1"/>
  <c r="L255" i="27"/>
  <c r="B255" i="28"/>
  <c r="X255" i="26"/>
  <c r="AC254" i="26"/>
  <c r="B254" i="30"/>
  <c r="J254" i="30"/>
  <c r="J254" i="25"/>
  <c r="B254" i="25"/>
  <c r="H254" i="29"/>
  <c r="G254" i="29"/>
  <c r="N254" i="29"/>
  <c r="O254" i="29" s="1"/>
  <c r="L254" i="29"/>
  <c r="A255" i="25"/>
  <c r="J255" i="29"/>
  <c r="A256" i="29"/>
  <c r="A255" i="30"/>
  <c r="B255" i="29"/>
  <c r="L253" i="25"/>
  <c r="K253" i="29"/>
  <c r="B278" i="17"/>
  <c r="N253" i="25"/>
  <c r="O253" i="25" s="1"/>
  <c r="N253" i="30"/>
  <c r="O253" i="30" s="1"/>
  <c r="L253" i="30"/>
  <c r="K253" i="30" s="1"/>
  <c r="H253" i="30"/>
  <c r="G253" i="30"/>
  <c r="Q253" i="30" l="1"/>
  <c r="G252" i="25"/>
  <c r="H277" i="17" s="1"/>
  <c r="H252" i="25"/>
  <c r="I277" i="17" s="1"/>
  <c r="Q254" i="28"/>
  <c r="H253" i="26"/>
  <c r="G253" i="26"/>
  <c r="G254" i="27"/>
  <c r="H254" i="27"/>
  <c r="AD253" i="26"/>
  <c r="Q253" i="26"/>
  <c r="Q252" i="25"/>
  <c r="K254" i="26"/>
  <c r="Q254" i="27"/>
  <c r="K253" i="25"/>
  <c r="Q253" i="29"/>
  <c r="B255" i="25"/>
  <c r="H255" i="29"/>
  <c r="G255" i="29"/>
  <c r="L255" i="29"/>
  <c r="N255" i="29"/>
  <c r="O255" i="29" s="1"/>
  <c r="B255" i="30"/>
  <c r="J255" i="30"/>
  <c r="A256" i="25"/>
  <c r="A257" i="29"/>
  <c r="B256" i="29"/>
  <c r="J256" i="29"/>
  <c r="A256" i="30"/>
  <c r="J255" i="25"/>
  <c r="L254" i="25"/>
  <c r="K254" i="29"/>
  <c r="B279" i="17"/>
  <c r="N254" i="25"/>
  <c r="O254" i="25" s="1"/>
  <c r="L254" i="30"/>
  <c r="K254" i="30" s="1"/>
  <c r="H254" i="30"/>
  <c r="G254" i="30"/>
  <c r="N254" i="30"/>
  <c r="O254" i="30" s="1"/>
  <c r="H255" i="28"/>
  <c r="N255" i="28"/>
  <c r="O255" i="28" s="1"/>
  <c r="L255" i="28"/>
  <c r="K255" i="28" s="1"/>
  <c r="G255" i="28"/>
  <c r="L255" i="26"/>
  <c r="K255" i="27"/>
  <c r="Y255" i="26"/>
  <c r="N255" i="26"/>
  <c r="O255" i="26" s="1"/>
  <c r="J256" i="28"/>
  <c r="J256" i="26"/>
  <c r="A257" i="26"/>
  <c r="B257" i="27"/>
  <c r="A258" i="27"/>
  <c r="J257" i="27"/>
  <c r="A257" i="28"/>
  <c r="B256" i="26"/>
  <c r="N256" i="27"/>
  <c r="O256" i="27" s="1"/>
  <c r="L256" i="27"/>
  <c r="B256" i="28"/>
  <c r="X256" i="26"/>
  <c r="AC255" i="26"/>
  <c r="Q254" i="30" l="1"/>
  <c r="Q255" i="28"/>
  <c r="G253" i="25"/>
  <c r="H278" i="17" s="1"/>
  <c r="H253" i="25"/>
  <c r="I278" i="17" s="1"/>
  <c r="H254" i="26"/>
  <c r="G254" i="26"/>
  <c r="G255" i="27"/>
  <c r="H255" i="27"/>
  <c r="K254" i="25"/>
  <c r="Q254" i="29"/>
  <c r="K255" i="26"/>
  <c r="Q255" i="27"/>
  <c r="AD254" i="26"/>
  <c r="Q254" i="26"/>
  <c r="Q253" i="25"/>
  <c r="H256" i="28"/>
  <c r="G256" i="28"/>
  <c r="N256" i="28"/>
  <c r="O256" i="28" s="1"/>
  <c r="L256" i="28"/>
  <c r="K256" i="28" s="1"/>
  <c r="L256" i="26"/>
  <c r="K256" i="27"/>
  <c r="Y256" i="26"/>
  <c r="N256" i="26"/>
  <c r="O256" i="26" s="1"/>
  <c r="J257" i="28"/>
  <c r="J257" i="26"/>
  <c r="A258" i="26"/>
  <c r="B258" i="27"/>
  <c r="A259" i="27"/>
  <c r="J258" i="27"/>
  <c r="A258" i="28"/>
  <c r="B257" i="26"/>
  <c r="N257" i="27"/>
  <c r="O257" i="27" s="1"/>
  <c r="L257" i="27"/>
  <c r="B257" i="28"/>
  <c r="X257" i="26"/>
  <c r="AC256" i="26"/>
  <c r="J256" i="30"/>
  <c r="B256" i="30"/>
  <c r="J256" i="25"/>
  <c r="B256" i="25"/>
  <c r="H256" i="29"/>
  <c r="G256" i="29"/>
  <c r="N256" i="29"/>
  <c r="O256" i="29" s="1"/>
  <c r="L256" i="29"/>
  <c r="A257" i="25"/>
  <c r="J257" i="29"/>
  <c r="A258" i="29"/>
  <c r="B257" i="29"/>
  <c r="A257" i="30"/>
  <c r="H255" i="30"/>
  <c r="G255" i="30"/>
  <c r="N255" i="30"/>
  <c r="O255" i="30" s="1"/>
  <c r="L255" i="30"/>
  <c r="K255" i="30" s="1"/>
  <c r="L255" i="25"/>
  <c r="K255" i="29"/>
  <c r="B280" i="17"/>
  <c r="N255" i="25"/>
  <c r="O255" i="25" s="1"/>
  <c r="Q255" i="30" l="1"/>
  <c r="G254" i="25"/>
  <c r="H279" i="17" s="1"/>
  <c r="H254" i="25"/>
  <c r="I279" i="17" s="1"/>
  <c r="Q256" i="28"/>
  <c r="H255" i="26"/>
  <c r="G255" i="26"/>
  <c r="G256" i="27"/>
  <c r="H256" i="27"/>
  <c r="K255" i="25"/>
  <c r="Q255" i="29"/>
  <c r="K256" i="26"/>
  <c r="Q256" i="27"/>
  <c r="Q254" i="25"/>
  <c r="AD255" i="26"/>
  <c r="Q255" i="26"/>
  <c r="B257" i="30"/>
  <c r="J257" i="30"/>
  <c r="B257" i="25"/>
  <c r="H257" i="29"/>
  <c r="G257" i="29"/>
  <c r="L257" i="29"/>
  <c r="N257" i="29"/>
  <c r="O257" i="29" s="1"/>
  <c r="A258" i="25"/>
  <c r="A259" i="29"/>
  <c r="B258" i="29"/>
  <c r="J258" i="29"/>
  <c r="A258" i="30"/>
  <c r="J257" i="25"/>
  <c r="L256" i="25"/>
  <c r="K256" i="29"/>
  <c r="B281" i="17"/>
  <c r="N256" i="25"/>
  <c r="O256" i="25" s="1"/>
  <c r="H256" i="30"/>
  <c r="G256" i="30"/>
  <c r="N256" i="30"/>
  <c r="O256" i="30" s="1"/>
  <c r="L256" i="30"/>
  <c r="K256" i="30" s="1"/>
  <c r="G257" i="28"/>
  <c r="H257" i="28"/>
  <c r="N257" i="28"/>
  <c r="O257" i="28" s="1"/>
  <c r="L257" i="28"/>
  <c r="K257" i="28" s="1"/>
  <c r="L257" i="26"/>
  <c r="K257" i="27"/>
  <c r="Y257" i="26"/>
  <c r="N257" i="26"/>
  <c r="O257" i="26" s="1"/>
  <c r="J258" i="28"/>
  <c r="J258" i="26"/>
  <c r="A259" i="26"/>
  <c r="B259" i="27"/>
  <c r="A260" i="27"/>
  <c r="J259" i="27"/>
  <c r="A259" i="28"/>
  <c r="B258" i="26"/>
  <c r="N258" i="27"/>
  <c r="O258" i="27" s="1"/>
  <c r="L258" i="27"/>
  <c r="B258" i="28"/>
  <c r="X258" i="26"/>
  <c r="AC257" i="26"/>
  <c r="H255" i="25" l="1"/>
  <c r="I280" i="17" s="1"/>
  <c r="G255" i="25"/>
  <c r="H280" i="17" s="1"/>
  <c r="Q257" i="28"/>
  <c r="G256" i="26"/>
  <c r="H256" i="26"/>
  <c r="G257" i="27"/>
  <c r="H257" i="27"/>
  <c r="K257" i="26"/>
  <c r="Q257" i="27"/>
  <c r="Q255" i="25"/>
  <c r="Q256" i="30"/>
  <c r="K256" i="25"/>
  <c r="Q256" i="29"/>
  <c r="AD256" i="26"/>
  <c r="Q256" i="26"/>
  <c r="N258" i="28"/>
  <c r="O258" i="28" s="1"/>
  <c r="L258" i="28"/>
  <c r="K258" i="28" s="1"/>
  <c r="H258" i="28"/>
  <c r="G258" i="28"/>
  <c r="L258" i="26"/>
  <c r="K258" i="27"/>
  <c r="Y258" i="26"/>
  <c r="N258" i="26"/>
  <c r="O258" i="26" s="1"/>
  <c r="J259" i="28"/>
  <c r="J259" i="26"/>
  <c r="A260" i="26"/>
  <c r="B260" i="27"/>
  <c r="A261" i="27"/>
  <c r="J260" i="27"/>
  <c r="P260" i="27"/>
  <c r="A260" i="28"/>
  <c r="B259" i="26"/>
  <c r="N259" i="27"/>
  <c r="O259" i="27" s="1"/>
  <c r="L259" i="27"/>
  <c r="B259" i="28"/>
  <c r="X259" i="26"/>
  <c r="AC258" i="26"/>
  <c r="B258" i="30"/>
  <c r="J258" i="30"/>
  <c r="J258" i="25"/>
  <c r="B258" i="25"/>
  <c r="H258" i="29"/>
  <c r="G258" i="29"/>
  <c r="N258" i="29"/>
  <c r="O258" i="29" s="1"/>
  <c r="L258" i="29"/>
  <c r="A259" i="25"/>
  <c r="J259" i="29"/>
  <c r="A260" i="29"/>
  <c r="A259" i="30"/>
  <c r="B259" i="29"/>
  <c r="L257" i="25"/>
  <c r="K257" i="29"/>
  <c r="B282" i="17"/>
  <c r="N257" i="25"/>
  <c r="O257" i="25" s="1"/>
  <c r="H257" i="30"/>
  <c r="G257" i="30"/>
  <c r="N257" i="30"/>
  <c r="O257" i="30" s="1"/>
  <c r="L257" i="30"/>
  <c r="K257" i="30" s="1"/>
  <c r="G256" i="25" l="1"/>
  <c r="H281" i="17" s="1"/>
  <c r="H256" i="25"/>
  <c r="I281" i="17" s="1"/>
  <c r="Q257" i="30"/>
  <c r="Q258" i="28"/>
  <c r="H257" i="26"/>
  <c r="G257" i="26"/>
  <c r="G258" i="27"/>
  <c r="H258" i="27"/>
  <c r="F260" i="27"/>
  <c r="G260" i="27"/>
  <c r="H260" i="27"/>
  <c r="AD257" i="26"/>
  <c r="Q257" i="26"/>
  <c r="K257" i="25"/>
  <c r="Q257" i="29"/>
  <c r="K258" i="26"/>
  <c r="Q258" i="27"/>
  <c r="Q256" i="25"/>
  <c r="B259" i="25"/>
  <c r="H259" i="29"/>
  <c r="G259" i="29"/>
  <c r="L259" i="29"/>
  <c r="N259" i="29"/>
  <c r="O259" i="29" s="1"/>
  <c r="B259" i="30"/>
  <c r="J259" i="30"/>
  <c r="A260" i="25"/>
  <c r="A261" i="29"/>
  <c r="P260" i="29"/>
  <c r="B260" i="29"/>
  <c r="J260" i="29"/>
  <c r="A260" i="30"/>
  <c r="J259" i="25"/>
  <c r="L258" i="25"/>
  <c r="K258" i="29"/>
  <c r="B283" i="17"/>
  <c r="N258" i="25"/>
  <c r="O258" i="25" s="1"/>
  <c r="G258" i="30"/>
  <c r="N258" i="30"/>
  <c r="O258" i="30" s="1"/>
  <c r="L258" i="30"/>
  <c r="K258" i="30" s="1"/>
  <c r="H258" i="30"/>
  <c r="N259" i="28"/>
  <c r="O259" i="28" s="1"/>
  <c r="H259" i="28"/>
  <c r="G259" i="28"/>
  <c r="L259" i="28"/>
  <c r="K259" i="28" s="1"/>
  <c r="L259" i="26"/>
  <c r="K259" i="27"/>
  <c r="Y259" i="26"/>
  <c r="N259" i="26"/>
  <c r="O259" i="26" s="1"/>
  <c r="J260" i="28"/>
  <c r="P260" i="28"/>
  <c r="J260" i="26"/>
  <c r="A261" i="26"/>
  <c r="B261" i="27"/>
  <c r="A262" i="27"/>
  <c r="J261" i="27"/>
  <c r="P261" i="27"/>
  <c r="A261" i="28"/>
  <c r="B260" i="26"/>
  <c r="N260" i="27"/>
  <c r="O260" i="27" s="1"/>
  <c r="D260" i="27"/>
  <c r="L260" i="27"/>
  <c r="B260" i="28"/>
  <c r="X260" i="26"/>
  <c r="P260" i="26"/>
  <c r="AC259" i="26"/>
  <c r="G257" i="25" l="1"/>
  <c r="H282" i="17" s="1"/>
  <c r="H257" i="25"/>
  <c r="I282" i="17" s="1"/>
  <c r="Q258" i="30"/>
  <c r="Q259" i="28"/>
  <c r="H258" i="26"/>
  <c r="G258" i="26"/>
  <c r="G259" i="27"/>
  <c r="H259" i="27"/>
  <c r="F261" i="27"/>
  <c r="G261" i="27"/>
  <c r="H261" i="27"/>
  <c r="Q257" i="25"/>
  <c r="K259" i="26"/>
  <c r="Q259" i="27"/>
  <c r="AD258" i="26"/>
  <c r="Q258" i="26"/>
  <c r="K258" i="25"/>
  <c r="Q258" i="29"/>
  <c r="N260" i="28"/>
  <c r="O260" i="28" s="1"/>
  <c r="D260" i="28"/>
  <c r="L260" i="28"/>
  <c r="K260" i="28" s="1"/>
  <c r="H260" i="28"/>
  <c r="G260" i="28"/>
  <c r="F260" i="28"/>
  <c r="L260" i="26"/>
  <c r="K260" i="27"/>
  <c r="F260" i="26"/>
  <c r="Y260" i="26"/>
  <c r="AA260" i="26" s="1"/>
  <c r="N260" i="26"/>
  <c r="O260" i="26" s="1"/>
  <c r="D260" i="26"/>
  <c r="H260" i="26"/>
  <c r="G260" i="26"/>
  <c r="P261" i="28"/>
  <c r="J261" i="28"/>
  <c r="J261" i="26"/>
  <c r="A262" i="26"/>
  <c r="B262" i="27"/>
  <c r="A263" i="27"/>
  <c r="J262" i="27"/>
  <c r="P262" i="27"/>
  <c r="A262" i="28"/>
  <c r="B261" i="26"/>
  <c r="N261" i="27"/>
  <c r="O261" i="27" s="1"/>
  <c r="D261" i="27"/>
  <c r="L261" i="27"/>
  <c r="B261" i="28"/>
  <c r="X261" i="26"/>
  <c r="P261" i="26"/>
  <c r="AC260" i="26"/>
  <c r="B260" i="30"/>
  <c r="J260" i="30"/>
  <c r="P260" i="30"/>
  <c r="J260" i="25"/>
  <c r="B260" i="25"/>
  <c r="H260" i="29"/>
  <c r="G260" i="29"/>
  <c r="D260" i="29"/>
  <c r="N260" i="29"/>
  <c r="O260" i="29" s="1"/>
  <c r="L260" i="29"/>
  <c r="F260" i="29"/>
  <c r="A261" i="25"/>
  <c r="J261" i="29"/>
  <c r="A262" i="29"/>
  <c r="P261" i="29"/>
  <c r="A261" i="30"/>
  <c r="B261" i="29"/>
  <c r="P260" i="25"/>
  <c r="N259" i="30"/>
  <c r="O259" i="30" s="1"/>
  <c r="L259" i="30"/>
  <c r="K259" i="30" s="1"/>
  <c r="H259" i="30"/>
  <c r="G259" i="30"/>
  <c r="L259" i="25"/>
  <c r="K259" i="29"/>
  <c r="B284" i="17"/>
  <c r="F12" i="19" s="1"/>
  <c r="N259" i="25"/>
  <c r="O259" i="25" s="1"/>
  <c r="Q259" i="30" l="1"/>
  <c r="H258" i="25"/>
  <c r="I283" i="17" s="1"/>
  <c r="G258" i="25"/>
  <c r="H283" i="17" s="1"/>
  <c r="G259" i="26"/>
  <c r="H259" i="26"/>
  <c r="F262" i="27"/>
  <c r="G262" i="27"/>
  <c r="H262" i="27"/>
  <c r="Q258" i="25"/>
  <c r="K260" i="26"/>
  <c r="Q260" i="27"/>
  <c r="R260" i="27" s="1"/>
  <c r="C260" i="27"/>
  <c r="K259" i="25"/>
  <c r="Q259" i="29"/>
  <c r="Q260" i="28"/>
  <c r="R260" i="28" s="1"/>
  <c r="AD259" i="26"/>
  <c r="Q259" i="26"/>
  <c r="B261" i="25"/>
  <c r="H261" i="29"/>
  <c r="G261" i="29"/>
  <c r="L261" i="29"/>
  <c r="F261" i="29"/>
  <c r="D261" i="29"/>
  <c r="N261" i="29"/>
  <c r="O261" i="29" s="1"/>
  <c r="B261" i="30"/>
  <c r="J261" i="30"/>
  <c r="P261" i="30"/>
  <c r="A262" i="25"/>
  <c r="A263" i="29"/>
  <c r="P262" i="29"/>
  <c r="B262" i="29"/>
  <c r="J262" i="29"/>
  <c r="A262" i="30"/>
  <c r="J261" i="25"/>
  <c r="P261" i="25"/>
  <c r="L260" i="25"/>
  <c r="K260" i="29"/>
  <c r="F260" i="25"/>
  <c r="N260" i="25"/>
  <c r="O260" i="25" s="1"/>
  <c r="H260" i="25"/>
  <c r="G260" i="25"/>
  <c r="D260" i="25"/>
  <c r="N260" i="30"/>
  <c r="O260" i="30" s="1"/>
  <c r="D260" i="30"/>
  <c r="L260" i="30"/>
  <c r="K260" i="30" s="1"/>
  <c r="Q260" i="30" s="1"/>
  <c r="R260" i="30" s="1"/>
  <c r="H260" i="30"/>
  <c r="G260" i="30"/>
  <c r="F260" i="30"/>
  <c r="L261" i="28"/>
  <c r="K261" i="28" s="1"/>
  <c r="Q261" i="28" s="1"/>
  <c r="R261" i="28" s="1"/>
  <c r="F261" i="28"/>
  <c r="D261" i="28"/>
  <c r="N261" i="28"/>
  <c r="O261" i="28" s="1"/>
  <c r="H261" i="28"/>
  <c r="G261" i="28"/>
  <c r="L261" i="26"/>
  <c r="K261" i="27"/>
  <c r="D261" i="26"/>
  <c r="H261" i="26"/>
  <c r="G261" i="26"/>
  <c r="F261" i="26"/>
  <c r="N261" i="26"/>
  <c r="O261" i="26" s="1"/>
  <c r="Y261" i="26"/>
  <c r="AA261" i="26" s="1"/>
  <c r="J262" i="28"/>
  <c r="P262" i="28"/>
  <c r="J262" i="26"/>
  <c r="A263" i="26"/>
  <c r="B263" i="27"/>
  <c r="A264" i="27"/>
  <c r="J263" i="27"/>
  <c r="P263" i="27"/>
  <c r="A263" i="28"/>
  <c r="B262" i="26"/>
  <c r="N262" i="27"/>
  <c r="O262" i="27" s="1"/>
  <c r="D262" i="27"/>
  <c r="L262" i="27"/>
  <c r="B262" i="28"/>
  <c r="P262" i="26"/>
  <c r="X262" i="26"/>
  <c r="AC261" i="26"/>
  <c r="H259" i="25" l="1"/>
  <c r="I284" i="17" s="1"/>
  <c r="F25" i="19" s="1"/>
  <c r="G259" i="25"/>
  <c r="H284" i="17" s="1"/>
  <c r="F24" i="19" s="1"/>
  <c r="F263" i="27"/>
  <c r="G263" i="27"/>
  <c r="H263" i="27"/>
  <c r="C260" i="30"/>
  <c r="T260" i="30" s="1"/>
  <c r="AD260" i="26"/>
  <c r="Q260" i="26"/>
  <c r="R260" i="26" s="1"/>
  <c r="K261" i="26"/>
  <c r="Q261" i="27"/>
  <c r="R261" i="27" s="1"/>
  <c r="C261" i="27"/>
  <c r="Q259" i="25"/>
  <c r="K260" i="25"/>
  <c r="Q260" i="29"/>
  <c r="R260" i="29" s="1"/>
  <c r="C260" i="29"/>
  <c r="L262" i="28"/>
  <c r="K262" i="28" s="1"/>
  <c r="Q262" i="28" s="1"/>
  <c r="R262" i="28" s="1"/>
  <c r="H262" i="28"/>
  <c r="G262" i="28"/>
  <c r="F262" i="28"/>
  <c r="D262" i="28"/>
  <c r="N262" i="28"/>
  <c r="O262" i="28" s="1"/>
  <c r="L262" i="26"/>
  <c r="K262" i="27"/>
  <c r="H262" i="26"/>
  <c r="G262" i="26"/>
  <c r="F262" i="26"/>
  <c r="Y262" i="26"/>
  <c r="AA262" i="26" s="1"/>
  <c r="N262" i="26"/>
  <c r="O262" i="26" s="1"/>
  <c r="D262" i="26"/>
  <c r="J263" i="28"/>
  <c r="P263" i="28"/>
  <c r="J263" i="26"/>
  <c r="A264" i="26"/>
  <c r="B264" i="27"/>
  <c r="A265" i="27"/>
  <c r="J264" i="27"/>
  <c r="P264" i="27"/>
  <c r="A264" i="28"/>
  <c r="B263" i="26"/>
  <c r="N263" i="27"/>
  <c r="O263" i="27" s="1"/>
  <c r="D263" i="27"/>
  <c r="L263" i="27"/>
  <c r="B263" i="28"/>
  <c r="P263" i="26"/>
  <c r="X263" i="26"/>
  <c r="AC262" i="26"/>
  <c r="B262" i="30"/>
  <c r="J262" i="30"/>
  <c r="P262" i="30"/>
  <c r="J262" i="25"/>
  <c r="B262" i="25"/>
  <c r="H262" i="29"/>
  <c r="G262" i="29"/>
  <c r="D262" i="29"/>
  <c r="N262" i="29"/>
  <c r="O262" i="29" s="1"/>
  <c r="L262" i="29"/>
  <c r="F262" i="29"/>
  <c r="A263" i="25"/>
  <c r="J263" i="29"/>
  <c r="A264" i="29"/>
  <c r="P263" i="29"/>
  <c r="B263" i="29"/>
  <c r="A263" i="30"/>
  <c r="P262" i="25"/>
  <c r="N261" i="30"/>
  <c r="O261" i="30" s="1"/>
  <c r="D261" i="30"/>
  <c r="L261" i="30"/>
  <c r="K261" i="30" s="1"/>
  <c r="Q261" i="30" s="1"/>
  <c r="R261" i="30" s="1"/>
  <c r="H261" i="30"/>
  <c r="G261" i="30"/>
  <c r="F261" i="30"/>
  <c r="L261" i="25"/>
  <c r="K261" i="29"/>
  <c r="G261" i="25"/>
  <c r="F261" i="25"/>
  <c r="H261" i="25"/>
  <c r="D261" i="25"/>
  <c r="N261" i="25"/>
  <c r="O261" i="25" s="1"/>
  <c r="F264" i="27" l="1"/>
  <c r="G264" i="27"/>
  <c r="H264" i="27"/>
  <c r="C261" i="30"/>
  <c r="T261" i="30" s="1"/>
  <c r="AD261" i="26"/>
  <c r="Q261" i="26"/>
  <c r="R261" i="26" s="1"/>
  <c r="K262" i="26"/>
  <c r="Q262" i="27"/>
  <c r="R262" i="27" s="1"/>
  <c r="C262" i="27"/>
  <c r="K261" i="25"/>
  <c r="Q261" i="29"/>
  <c r="R261" i="29" s="1"/>
  <c r="C261" i="29"/>
  <c r="Z260" i="26"/>
  <c r="Q260" i="25"/>
  <c r="R260" i="25" s="1"/>
  <c r="C260" i="25"/>
  <c r="I260" i="25" s="1"/>
  <c r="V260" i="25" s="1"/>
  <c r="B263" i="30"/>
  <c r="J263" i="30"/>
  <c r="P263" i="30"/>
  <c r="B263" i="25"/>
  <c r="H263" i="29"/>
  <c r="G263" i="29"/>
  <c r="L263" i="29"/>
  <c r="F263" i="29"/>
  <c r="D263" i="29"/>
  <c r="N263" i="29"/>
  <c r="O263" i="29" s="1"/>
  <c r="A264" i="25"/>
  <c r="A265" i="29"/>
  <c r="P264" i="29"/>
  <c r="B264" i="29"/>
  <c r="J264" i="29"/>
  <c r="A264" i="30"/>
  <c r="J263" i="25"/>
  <c r="P263" i="25"/>
  <c r="L262" i="25"/>
  <c r="K262" i="29"/>
  <c r="H262" i="25"/>
  <c r="G262" i="25"/>
  <c r="D262" i="25"/>
  <c r="N262" i="25"/>
  <c r="O262" i="25" s="1"/>
  <c r="F262" i="25"/>
  <c r="L262" i="30"/>
  <c r="K262" i="30" s="1"/>
  <c r="Q262" i="30" s="1"/>
  <c r="R262" i="30" s="1"/>
  <c r="H262" i="30"/>
  <c r="G262" i="30"/>
  <c r="F262" i="30"/>
  <c r="N262" i="30"/>
  <c r="O262" i="30" s="1"/>
  <c r="D262" i="30"/>
  <c r="H263" i="28"/>
  <c r="D263" i="28"/>
  <c r="N263" i="28"/>
  <c r="O263" i="28" s="1"/>
  <c r="L263" i="28"/>
  <c r="K263" i="28" s="1"/>
  <c r="Q263" i="28" s="1"/>
  <c r="R263" i="28" s="1"/>
  <c r="G263" i="28"/>
  <c r="F263" i="28"/>
  <c r="L263" i="26"/>
  <c r="K263" i="27"/>
  <c r="H263" i="26"/>
  <c r="G263" i="26"/>
  <c r="F263" i="26"/>
  <c r="Y263" i="26"/>
  <c r="AA263" i="26" s="1"/>
  <c r="N263" i="26"/>
  <c r="O263" i="26" s="1"/>
  <c r="D263" i="26"/>
  <c r="J264" i="28"/>
  <c r="P264" i="28"/>
  <c r="J264" i="26"/>
  <c r="A265" i="26"/>
  <c r="B265" i="27"/>
  <c r="A266" i="27"/>
  <c r="J265" i="27"/>
  <c r="P265" i="27"/>
  <c r="A265" i="28"/>
  <c r="B264" i="26"/>
  <c r="N264" i="27"/>
  <c r="O264" i="27" s="1"/>
  <c r="D264" i="27"/>
  <c r="L264" i="27"/>
  <c r="B264" i="28"/>
  <c r="X264" i="26"/>
  <c r="P264" i="26"/>
  <c r="AC263" i="26"/>
  <c r="F265" i="27" l="1"/>
  <c r="G265" i="27"/>
  <c r="H265" i="27"/>
  <c r="K262" i="25"/>
  <c r="Q262" i="29"/>
  <c r="R262" i="29" s="1"/>
  <c r="C262" i="29"/>
  <c r="U260" i="25"/>
  <c r="K263" i="26"/>
  <c r="Q263" i="27"/>
  <c r="R263" i="27" s="1"/>
  <c r="C263" i="27"/>
  <c r="Q261" i="25"/>
  <c r="R261" i="25" s="1"/>
  <c r="C261" i="25"/>
  <c r="I261" i="25" s="1"/>
  <c r="V261" i="25" s="1"/>
  <c r="Z261" i="26"/>
  <c r="C262" i="30"/>
  <c r="T262" i="30" s="1"/>
  <c r="AD262" i="26"/>
  <c r="Q262" i="26"/>
  <c r="R262" i="26" s="1"/>
  <c r="H264" i="28"/>
  <c r="G264" i="28"/>
  <c r="F264" i="28"/>
  <c r="D264" i="28"/>
  <c r="N264" i="28"/>
  <c r="O264" i="28" s="1"/>
  <c r="L264" i="28"/>
  <c r="K264" i="28" s="1"/>
  <c r="Q264" i="28" s="1"/>
  <c r="R264" i="28" s="1"/>
  <c r="L264" i="26"/>
  <c r="K264" i="27"/>
  <c r="F264" i="26"/>
  <c r="Y264" i="26"/>
  <c r="AA264" i="26" s="1"/>
  <c r="N264" i="26"/>
  <c r="O264" i="26" s="1"/>
  <c r="D264" i="26"/>
  <c r="H264" i="26"/>
  <c r="G264" i="26"/>
  <c r="P265" i="28"/>
  <c r="J265" i="28"/>
  <c r="J265" i="26"/>
  <c r="A266" i="26"/>
  <c r="B266" i="27"/>
  <c r="A267" i="27"/>
  <c r="J266" i="27"/>
  <c r="P266" i="27"/>
  <c r="A266" i="28"/>
  <c r="B265" i="26"/>
  <c r="N265" i="27"/>
  <c r="O265" i="27" s="1"/>
  <c r="D265" i="27"/>
  <c r="L265" i="27"/>
  <c r="B265" i="28"/>
  <c r="X265" i="26"/>
  <c r="P265" i="26"/>
  <c r="AC264" i="26"/>
  <c r="J264" i="30"/>
  <c r="P264" i="30"/>
  <c r="B264" i="30"/>
  <c r="J264" i="25"/>
  <c r="B264" i="25"/>
  <c r="H264" i="29"/>
  <c r="G264" i="29"/>
  <c r="D264" i="29"/>
  <c r="N264" i="29"/>
  <c r="O264" i="29" s="1"/>
  <c r="L264" i="29"/>
  <c r="F264" i="29"/>
  <c r="A265" i="25"/>
  <c r="J265" i="29"/>
  <c r="A266" i="29"/>
  <c r="P265" i="29"/>
  <c r="B265" i="29"/>
  <c r="A265" i="30"/>
  <c r="P264" i="25"/>
  <c r="L263" i="25"/>
  <c r="K263" i="29"/>
  <c r="N263" i="25"/>
  <c r="O263" i="25" s="1"/>
  <c r="D263" i="25"/>
  <c r="H263" i="25"/>
  <c r="G263" i="25"/>
  <c r="F263" i="25"/>
  <c r="H263" i="30"/>
  <c r="G263" i="30"/>
  <c r="F263" i="30"/>
  <c r="N263" i="30"/>
  <c r="O263" i="30" s="1"/>
  <c r="D263" i="30"/>
  <c r="L263" i="30"/>
  <c r="K263" i="30" s="1"/>
  <c r="Q263" i="30" s="1"/>
  <c r="R263" i="30" s="1"/>
  <c r="F266" i="27" l="1"/>
  <c r="G266" i="27"/>
  <c r="H266" i="27"/>
  <c r="C263" i="30"/>
  <c r="T263" i="30" s="1"/>
  <c r="K263" i="25"/>
  <c r="Q263" i="29"/>
  <c r="R263" i="29" s="1"/>
  <c r="C263" i="29"/>
  <c r="U261" i="25"/>
  <c r="AD263" i="26"/>
  <c r="Q263" i="26"/>
  <c r="R263" i="26" s="1"/>
  <c r="Z262" i="26"/>
  <c r="K264" i="26"/>
  <c r="Q264" i="27"/>
  <c r="R264" i="27" s="1"/>
  <c r="C264" i="27"/>
  <c r="Q262" i="25"/>
  <c r="R262" i="25" s="1"/>
  <c r="C262" i="25"/>
  <c r="U262" i="25" s="1"/>
  <c r="P265" i="30"/>
  <c r="B265" i="30"/>
  <c r="J265" i="30"/>
  <c r="B265" i="25"/>
  <c r="H265" i="29"/>
  <c r="G265" i="29"/>
  <c r="L265" i="29"/>
  <c r="F265" i="29"/>
  <c r="D265" i="29"/>
  <c r="N265" i="29"/>
  <c r="O265" i="29" s="1"/>
  <c r="A266" i="25"/>
  <c r="A267" i="29"/>
  <c r="P266" i="29"/>
  <c r="B266" i="29"/>
  <c r="J266" i="29"/>
  <c r="A266" i="30"/>
  <c r="J265" i="25"/>
  <c r="P265" i="25"/>
  <c r="L264" i="25"/>
  <c r="K264" i="29"/>
  <c r="F264" i="25"/>
  <c r="N264" i="25"/>
  <c r="O264" i="25" s="1"/>
  <c r="H264" i="25"/>
  <c r="G264" i="25"/>
  <c r="D264" i="25"/>
  <c r="H264" i="30"/>
  <c r="G264" i="30"/>
  <c r="F264" i="30"/>
  <c r="N264" i="30"/>
  <c r="O264" i="30" s="1"/>
  <c r="D264" i="30"/>
  <c r="L264" i="30"/>
  <c r="K264" i="30" s="1"/>
  <c r="Q264" i="30" s="1"/>
  <c r="R264" i="30" s="1"/>
  <c r="G265" i="28"/>
  <c r="F265" i="28"/>
  <c r="N265" i="28"/>
  <c r="O265" i="28" s="1"/>
  <c r="L265" i="28"/>
  <c r="K265" i="28" s="1"/>
  <c r="Q265" i="28" s="1"/>
  <c r="R265" i="28" s="1"/>
  <c r="H265" i="28"/>
  <c r="D265" i="28"/>
  <c r="L265" i="26"/>
  <c r="K265" i="27"/>
  <c r="D265" i="26"/>
  <c r="H265" i="26"/>
  <c r="G265" i="26"/>
  <c r="F265" i="26"/>
  <c r="Y265" i="26"/>
  <c r="AA265" i="26" s="1"/>
  <c r="N265" i="26"/>
  <c r="O265" i="26" s="1"/>
  <c r="P266" i="28"/>
  <c r="J266" i="28"/>
  <c r="J266" i="26"/>
  <c r="A267" i="26"/>
  <c r="B267" i="27"/>
  <c r="A268" i="27"/>
  <c r="J267" i="27"/>
  <c r="P267" i="27"/>
  <c r="A267" i="28"/>
  <c r="B266" i="26"/>
  <c r="N266" i="27"/>
  <c r="O266" i="27" s="1"/>
  <c r="D266" i="27"/>
  <c r="L266" i="27"/>
  <c r="B266" i="28"/>
  <c r="P266" i="26"/>
  <c r="X266" i="26"/>
  <c r="AC265" i="26"/>
  <c r="F267" i="27" l="1"/>
  <c r="G267" i="27"/>
  <c r="H267" i="27"/>
  <c r="I262" i="25"/>
  <c r="V262" i="25" s="1"/>
  <c r="C264" i="30"/>
  <c r="T264" i="30" s="1"/>
  <c r="Q263" i="25"/>
  <c r="R263" i="25" s="1"/>
  <c r="C263" i="25"/>
  <c r="U263" i="25" s="1"/>
  <c r="K265" i="26"/>
  <c r="Q265" i="27"/>
  <c r="R265" i="27" s="1"/>
  <c r="C265" i="27"/>
  <c r="AD264" i="26"/>
  <c r="Q264" i="26"/>
  <c r="R264" i="26" s="1"/>
  <c r="Z263" i="26"/>
  <c r="K264" i="25"/>
  <c r="Q264" i="29"/>
  <c r="R264" i="29" s="1"/>
  <c r="C264" i="29"/>
  <c r="F266" i="28"/>
  <c r="G266" i="28"/>
  <c r="D266" i="28"/>
  <c r="N266" i="28"/>
  <c r="O266" i="28" s="1"/>
  <c r="L266" i="28"/>
  <c r="K266" i="28" s="1"/>
  <c r="Q266" i="28" s="1"/>
  <c r="R266" i="28" s="1"/>
  <c r="H266" i="28"/>
  <c r="L266" i="26"/>
  <c r="K266" i="27"/>
  <c r="H266" i="26"/>
  <c r="G266" i="26"/>
  <c r="F266" i="26"/>
  <c r="Y266" i="26"/>
  <c r="AA266" i="26" s="1"/>
  <c r="N266" i="26"/>
  <c r="O266" i="26" s="1"/>
  <c r="D266" i="26"/>
  <c r="J267" i="28"/>
  <c r="P267" i="28"/>
  <c r="J267" i="26"/>
  <c r="A268" i="26"/>
  <c r="B268" i="27"/>
  <c r="A269" i="27"/>
  <c r="J268" i="27"/>
  <c r="P268" i="27"/>
  <c r="A268" i="28"/>
  <c r="B267" i="26"/>
  <c r="N267" i="27"/>
  <c r="O267" i="27" s="1"/>
  <c r="D267" i="27"/>
  <c r="L267" i="27"/>
  <c r="B267" i="28"/>
  <c r="P267" i="26"/>
  <c r="X267" i="26"/>
  <c r="AC266" i="26"/>
  <c r="P266" i="30"/>
  <c r="B266" i="30"/>
  <c r="J266" i="30"/>
  <c r="J266" i="25"/>
  <c r="B266" i="25"/>
  <c r="H266" i="29"/>
  <c r="G266" i="29"/>
  <c r="D266" i="29"/>
  <c r="N266" i="29"/>
  <c r="O266" i="29" s="1"/>
  <c r="L266" i="29"/>
  <c r="F266" i="29"/>
  <c r="A267" i="25"/>
  <c r="J267" i="29"/>
  <c r="A268" i="29"/>
  <c r="P267" i="29"/>
  <c r="B267" i="29"/>
  <c r="A267" i="30"/>
  <c r="P266" i="25"/>
  <c r="L265" i="25"/>
  <c r="K265" i="29"/>
  <c r="G265" i="25"/>
  <c r="F265" i="25"/>
  <c r="H265" i="25"/>
  <c r="D265" i="25"/>
  <c r="N265" i="25"/>
  <c r="O265" i="25" s="1"/>
  <c r="H265" i="30"/>
  <c r="G265" i="30"/>
  <c r="F265" i="30"/>
  <c r="N265" i="30"/>
  <c r="O265" i="30" s="1"/>
  <c r="D265" i="30"/>
  <c r="L265" i="30"/>
  <c r="K265" i="30" s="1"/>
  <c r="F268" i="27" l="1"/>
  <c r="G268" i="27"/>
  <c r="H268" i="27"/>
  <c r="I263" i="25"/>
  <c r="V263" i="25" s="1"/>
  <c r="C265" i="30"/>
  <c r="T265" i="30" s="1"/>
  <c r="Q264" i="25"/>
  <c r="R264" i="25" s="1"/>
  <c r="C264" i="25"/>
  <c r="U264" i="25" s="1"/>
  <c r="Z264" i="26"/>
  <c r="K266" i="26"/>
  <c r="Q266" i="27"/>
  <c r="R266" i="27" s="1"/>
  <c r="C266" i="27"/>
  <c r="AD265" i="26"/>
  <c r="Q265" i="26"/>
  <c r="R265" i="26" s="1"/>
  <c r="Q265" i="30"/>
  <c r="R265" i="30" s="1"/>
  <c r="K265" i="25"/>
  <c r="Q265" i="29"/>
  <c r="R265" i="29" s="1"/>
  <c r="C265" i="29"/>
  <c r="P267" i="30"/>
  <c r="B267" i="30"/>
  <c r="J267" i="30"/>
  <c r="B267" i="25"/>
  <c r="H267" i="29"/>
  <c r="G267" i="29"/>
  <c r="L267" i="29"/>
  <c r="F267" i="29"/>
  <c r="D267" i="29"/>
  <c r="N267" i="29"/>
  <c r="O267" i="29" s="1"/>
  <c r="A268" i="25"/>
  <c r="A269" i="29"/>
  <c r="P268" i="29"/>
  <c r="B268" i="29"/>
  <c r="J268" i="29"/>
  <c r="A268" i="30"/>
  <c r="J267" i="25"/>
  <c r="P267" i="25"/>
  <c r="L266" i="25"/>
  <c r="K266" i="29"/>
  <c r="D266" i="25"/>
  <c r="H266" i="25"/>
  <c r="G266" i="25"/>
  <c r="F266" i="25"/>
  <c r="N266" i="25"/>
  <c r="O266" i="25" s="1"/>
  <c r="G266" i="30"/>
  <c r="F266" i="30"/>
  <c r="N266" i="30"/>
  <c r="O266" i="30" s="1"/>
  <c r="D266" i="30"/>
  <c r="L266" i="30"/>
  <c r="K266" i="30" s="1"/>
  <c r="Q266" i="30" s="1"/>
  <c r="R266" i="30" s="1"/>
  <c r="H266" i="30"/>
  <c r="N267" i="28"/>
  <c r="O267" i="28" s="1"/>
  <c r="D267" i="28"/>
  <c r="H267" i="28"/>
  <c r="G267" i="28"/>
  <c r="F267" i="28"/>
  <c r="L267" i="28"/>
  <c r="K267" i="28" s="1"/>
  <c r="Q267" i="28" s="1"/>
  <c r="R267" i="28" s="1"/>
  <c r="L267" i="26"/>
  <c r="K267" i="27"/>
  <c r="H267" i="26"/>
  <c r="G267" i="26"/>
  <c r="F267" i="26"/>
  <c r="Y267" i="26"/>
  <c r="AA267" i="26" s="1"/>
  <c r="N267" i="26"/>
  <c r="O267" i="26" s="1"/>
  <c r="D267" i="26"/>
  <c r="P268" i="28"/>
  <c r="J268" i="28"/>
  <c r="J268" i="26"/>
  <c r="A269" i="26"/>
  <c r="B269" i="27"/>
  <c r="A270" i="27"/>
  <c r="J269" i="27"/>
  <c r="P269" i="27"/>
  <c r="A269" i="28"/>
  <c r="B268" i="26"/>
  <c r="N268" i="27"/>
  <c r="O268" i="27" s="1"/>
  <c r="D268" i="27"/>
  <c r="L268" i="27"/>
  <c r="B268" i="28"/>
  <c r="X268" i="26"/>
  <c r="P268" i="26"/>
  <c r="AC267" i="26"/>
  <c r="F269" i="27" l="1"/>
  <c r="G269" i="27"/>
  <c r="H269" i="27"/>
  <c r="I264" i="25"/>
  <c r="V264" i="25" s="1"/>
  <c r="C266" i="30"/>
  <c r="T266" i="30" s="1"/>
  <c r="AD266" i="26"/>
  <c r="Q266" i="26"/>
  <c r="R266" i="26" s="1"/>
  <c r="Z265" i="26"/>
  <c r="K267" i="26"/>
  <c r="Q267" i="27"/>
  <c r="R267" i="27" s="1"/>
  <c r="C267" i="27"/>
  <c r="Q265" i="25"/>
  <c r="R265" i="25" s="1"/>
  <c r="C265" i="25"/>
  <c r="I265" i="25" s="1"/>
  <c r="V265" i="25" s="1"/>
  <c r="K266" i="25"/>
  <c r="Q266" i="29"/>
  <c r="R266" i="29" s="1"/>
  <c r="C266" i="29"/>
  <c r="N268" i="28"/>
  <c r="O268" i="28" s="1"/>
  <c r="D268" i="28"/>
  <c r="L268" i="28"/>
  <c r="K268" i="28" s="1"/>
  <c r="Q268" i="28" s="1"/>
  <c r="R268" i="28" s="1"/>
  <c r="H268" i="28"/>
  <c r="G268" i="28"/>
  <c r="F268" i="28"/>
  <c r="L268" i="26"/>
  <c r="K268" i="27"/>
  <c r="F268" i="26"/>
  <c r="Y268" i="26"/>
  <c r="AA268" i="26" s="1"/>
  <c r="N268" i="26"/>
  <c r="O268" i="26" s="1"/>
  <c r="D268" i="26"/>
  <c r="H268" i="26"/>
  <c r="G268" i="26"/>
  <c r="P269" i="28"/>
  <c r="J269" i="28"/>
  <c r="J269" i="26"/>
  <c r="A270" i="26"/>
  <c r="B270" i="27"/>
  <c r="A271" i="27"/>
  <c r="J270" i="27"/>
  <c r="P270" i="27"/>
  <c r="A270" i="28"/>
  <c r="B269" i="26"/>
  <c r="N269" i="27"/>
  <c r="O269" i="27" s="1"/>
  <c r="D269" i="27"/>
  <c r="L269" i="27"/>
  <c r="B269" i="28"/>
  <c r="X269" i="26"/>
  <c r="P269" i="26"/>
  <c r="AC268" i="26"/>
  <c r="B268" i="30"/>
  <c r="J268" i="30"/>
  <c r="P268" i="30"/>
  <c r="J268" i="25"/>
  <c r="B268" i="25"/>
  <c r="H268" i="29"/>
  <c r="G268" i="29"/>
  <c r="D268" i="29"/>
  <c r="N268" i="29"/>
  <c r="O268" i="29" s="1"/>
  <c r="L268" i="29"/>
  <c r="F268" i="29"/>
  <c r="A269" i="25"/>
  <c r="J269" i="29"/>
  <c r="A270" i="29"/>
  <c r="P269" i="29"/>
  <c r="B269" i="29"/>
  <c r="A269" i="30"/>
  <c r="P268" i="25"/>
  <c r="L267" i="25"/>
  <c r="K267" i="29"/>
  <c r="H267" i="25"/>
  <c r="N267" i="25"/>
  <c r="O267" i="25" s="1"/>
  <c r="D267" i="25"/>
  <c r="F267" i="25"/>
  <c r="G267" i="25"/>
  <c r="F267" i="30"/>
  <c r="N267" i="30"/>
  <c r="O267" i="30" s="1"/>
  <c r="D267" i="30"/>
  <c r="L267" i="30"/>
  <c r="K267" i="30" s="1"/>
  <c r="Q267" i="30" s="1"/>
  <c r="R267" i="30" s="1"/>
  <c r="H267" i="30"/>
  <c r="G267" i="30"/>
  <c r="F270" i="27" l="1"/>
  <c r="G270" i="27"/>
  <c r="H270" i="27"/>
  <c r="U265" i="25"/>
  <c r="C267" i="30"/>
  <c r="T267" i="30" s="1"/>
  <c r="K268" i="26"/>
  <c r="Q268" i="27"/>
  <c r="R268" i="27" s="1"/>
  <c r="C268" i="27"/>
  <c r="AD267" i="26"/>
  <c r="Q267" i="26"/>
  <c r="R267" i="26" s="1"/>
  <c r="Z266" i="26"/>
  <c r="K267" i="25"/>
  <c r="Q267" i="29"/>
  <c r="R267" i="29" s="1"/>
  <c r="C267" i="29"/>
  <c r="Q266" i="25"/>
  <c r="R266" i="25" s="1"/>
  <c r="C266" i="25"/>
  <c r="I266" i="25" s="1"/>
  <c r="V266" i="25" s="1"/>
  <c r="B269" i="30"/>
  <c r="J269" i="30"/>
  <c r="P269" i="30"/>
  <c r="B269" i="25"/>
  <c r="H269" i="29"/>
  <c r="G269" i="29"/>
  <c r="L269" i="29"/>
  <c r="F269" i="29"/>
  <c r="D269" i="29"/>
  <c r="N269" i="29"/>
  <c r="O269" i="29" s="1"/>
  <c r="A270" i="25"/>
  <c r="A271" i="29"/>
  <c r="P270" i="29"/>
  <c r="B270" i="29"/>
  <c r="J270" i="29"/>
  <c r="A270" i="30"/>
  <c r="J269" i="25"/>
  <c r="P269" i="25"/>
  <c r="L268" i="25"/>
  <c r="K268" i="29"/>
  <c r="F268" i="25"/>
  <c r="N268" i="25"/>
  <c r="O268" i="25" s="1"/>
  <c r="H268" i="25"/>
  <c r="G268" i="25"/>
  <c r="D268" i="25"/>
  <c r="N268" i="30"/>
  <c r="O268" i="30" s="1"/>
  <c r="D268" i="30"/>
  <c r="L268" i="30"/>
  <c r="K268" i="30" s="1"/>
  <c r="Q268" i="30" s="1"/>
  <c r="R268" i="30" s="1"/>
  <c r="H268" i="30"/>
  <c r="G268" i="30"/>
  <c r="F268" i="30"/>
  <c r="L269" i="28"/>
  <c r="K269" i="28" s="1"/>
  <c r="Q269" i="28" s="1"/>
  <c r="R269" i="28" s="1"/>
  <c r="H269" i="28"/>
  <c r="G269" i="28"/>
  <c r="F269" i="28"/>
  <c r="D269" i="28"/>
  <c r="N269" i="28"/>
  <c r="O269" i="28" s="1"/>
  <c r="L269" i="26"/>
  <c r="K269" i="27"/>
  <c r="Y269" i="26"/>
  <c r="AA269" i="26" s="1"/>
  <c r="N269" i="26"/>
  <c r="O269" i="26" s="1"/>
  <c r="H269" i="26"/>
  <c r="D269" i="26"/>
  <c r="G269" i="26"/>
  <c r="F269" i="26"/>
  <c r="J270" i="28"/>
  <c r="P270" i="28"/>
  <c r="J270" i="26"/>
  <c r="A271" i="26"/>
  <c r="B271" i="27"/>
  <c r="A272" i="27"/>
  <c r="J271" i="27"/>
  <c r="P271" i="27"/>
  <c r="A271" i="28"/>
  <c r="B270" i="26"/>
  <c r="N270" i="27"/>
  <c r="O270" i="27" s="1"/>
  <c r="D270" i="27"/>
  <c r="L270" i="27"/>
  <c r="B270" i="28"/>
  <c r="X270" i="26"/>
  <c r="P270" i="26"/>
  <c r="AC269" i="26"/>
  <c r="F271" i="27" l="1"/>
  <c r="G271" i="27"/>
  <c r="H271" i="27"/>
  <c r="U266" i="25"/>
  <c r="C268" i="30"/>
  <c r="T268" i="30" s="1"/>
  <c r="K268" i="25"/>
  <c r="Q268" i="29"/>
  <c r="R268" i="29" s="1"/>
  <c r="C268" i="29"/>
  <c r="Q267" i="25"/>
  <c r="R267" i="25" s="1"/>
  <c r="C267" i="25"/>
  <c r="U267" i="25" s="1"/>
  <c r="AD268" i="26"/>
  <c r="Q268" i="26"/>
  <c r="R268" i="26" s="1"/>
  <c r="Z267" i="26"/>
  <c r="K269" i="26"/>
  <c r="Q269" i="27"/>
  <c r="R269" i="27" s="1"/>
  <c r="C269" i="27"/>
  <c r="N270" i="28"/>
  <c r="O270" i="28" s="1"/>
  <c r="L270" i="28"/>
  <c r="K270" i="28" s="1"/>
  <c r="Q270" i="28" s="1"/>
  <c r="R270" i="28" s="1"/>
  <c r="H270" i="28"/>
  <c r="G270" i="28"/>
  <c r="F270" i="28"/>
  <c r="D270" i="28"/>
  <c r="L270" i="26"/>
  <c r="K270" i="27"/>
  <c r="D270" i="26"/>
  <c r="H270" i="26"/>
  <c r="G270" i="26"/>
  <c r="F270" i="26"/>
  <c r="Y270" i="26"/>
  <c r="AA270" i="26" s="1"/>
  <c r="N270" i="26"/>
  <c r="O270" i="26" s="1"/>
  <c r="J271" i="28"/>
  <c r="P271" i="28"/>
  <c r="J271" i="26"/>
  <c r="A272" i="26"/>
  <c r="B272" i="27"/>
  <c r="A273" i="27"/>
  <c r="J272" i="27"/>
  <c r="P272" i="27"/>
  <c r="A272" i="28"/>
  <c r="B271" i="26"/>
  <c r="N271" i="27"/>
  <c r="O271" i="27" s="1"/>
  <c r="D271" i="27"/>
  <c r="L271" i="27"/>
  <c r="B271" i="28"/>
  <c r="P271" i="26"/>
  <c r="X271" i="26"/>
  <c r="AC270" i="26"/>
  <c r="B270" i="30"/>
  <c r="J270" i="30"/>
  <c r="P270" i="30"/>
  <c r="J270" i="25"/>
  <c r="B270" i="25"/>
  <c r="H270" i="29"/>
  <c r="G270" i="29"/>
  <c r="D270" i="29"/>
  <c r="N270" i="29"/>
  <c r="O270" i="29" s="1"/>
  <c r="L270" i="29"/>
  <c r="F270" i="29"/>
  <c r="A271" i="25"/>
  <c r="J271" i="29"/>
  <c r="A272" i="29"/>
  <c r="P271" i="29"/>
  <c r="A271" i="30"/>
  <c r="B271" i="29"/>
  <c r="P270" i="25"/>
  <c r="L269" i="25"/>
  <c r="K269" i="29"/>
  <c r="G269" i="25"/>
  <c r="F269" i="25"/>
  <c r="N269" i="25"/>
  <c r="O269" i="25" s="1"/>
  <c r="H269" i="25"/>
  <c r="D269" i="25"/>
  <c r="N269" i="30"/>
  <c r="O269" i="30" s="1"/>
  <c r="D269" i="30"/>
  <c r="L269" i="30"/>
  <c r="K269" i="30" s="1"/>
  <c r="Q269" i="30" s="1"/>
  <c r="R269" i="30" s="1"/>
  <c r="H269" i="30"/>
  <c r="G269" i="30"/>
  <c r="F269" i="30"/>
  <c r="F272" i="27" l="1"/>
  <c r="G272" i="27"/>
  <c r="H272" i="27"/>
  <c r="I267" i="25"/>
  <c r="V267" i="25" s="1"/>
  <c r="C269" i="30"/>
  <c r="T269" i="30" s="1"/>
  <c r="K270" i="26"/>
  <c r="Q270" i="27"/>
  <c r="R270" i="27" s="1"/>
  <c r="C270" i="27"/>
  <c r="AD269" i="26"/>
  <c r="Q269" i="26"/>
  <c r="R269" i="26" s="1"/>
  <c r="Z268" i="26"/>
  <c r="Q268" i="25"/>
  <c r="R268" i="25" s="1"/>
  <c r="C268" i="25"/>
  <c r="U268" i="25" s="1"/>
  <c r="K269" i="25"/>
  <c r="Q269" i="29"/>
  <c r="R269" i="29" s="1"/>
  <c r="C269" i="29"/>
  <c r="B271" i="25"/>
  <c r="H271" i="29"/>
  <c r="G271" i="29"/>
  <c r="L271" i="29"/>
  <c r="F271" i="29"/>
  <c r="D271" i="29"/>
  <c r="N271" i="29"/>
  <c r="O271" i="29" s="1"/>
  <c r="B271" i="30"/>
  <c r="J271" i="30"/>
  <c r="P271" i="30"/>
  <c r="A272" i="25"/>
  <c r="A273" i="29"/>
  <c r="P272" i="29"/>
  <c r="B272" i="29"/>
  <c r="J272" i="29"/>
  <c r="A272" i="30"/>
  <c r="J271" i="25"/>
  <c r="P271" i="25"/>
  <c r="L270" i="25"/>
  <c r="K270" i="29"/>
  <c r="H270" i="25"/>
  <c r="G270" i="25"/>
  <c r="D270" i="25"/>
  <c r="N270" i="25"/>
  <c r="O270" i="25" s="1"/>
  <c r="F270" i="25"/>
  <c r="L270" i="30"/>
  <c r="K270" i="30" s="1"/>
  <c r="Q270" i="30" s="1"/>
  <c r="R270" i="30" s="1"/>
  <c r="H270" i="30"/>
  <c r="G270" i="30"/>
  <c r="F270" i="30"/>
  <c r="N270" i="30"/>
  <c r="O270" i="30" s="1"/>
  <c r="D270" i="30"/>
  <c r="H271" i="28"/>
  <c r="F271" i="28"/>
  <c r="D271" i="28"/>
  <c r="N271" i="28"/>
  <c r="O271" i="28" s="1"/>
  <c r="L271" i="28"/>
  <c r="K271" i="28" s="1"/>
  <c r="Q271" i="28" s="1"/>
  <c r="R271" i="28" s="1"/>
  <c r="G271" i="28"/>
  <c r="L271" i="26"/>
  <c r="K271" i="27"/>
  <c r="H271" i="26"/>
  <c r="G271" i="26"/>
  <c r="F271" i="26"/>
  <c r="Y271" i="26"/>
  <c r="AA271" i="26" s="1"/>
  <c r="N271" i="26"/>
  <c r="O271" i="26" s="1"/>
  <c r="D271" i="26"/>
  <c r="J272" i="28"/>
  <c r="P272" i="28"/>
  <c r="J272" i="26"/>
  <c r="A273" i="26"/>
  <c r="B273" i="27"/>
  <c r="A274" i="27"/>
  <c r="J273" i="27"/>
  <c r="P273" i="27"/>
  <c r="A273" i="28"/>
  <c r="B272" i="26"/>
  <c r="N272" i="27"/>
  <c r="O272" i="27" s="1"/>
  <c r="D272" i="27"/>
  <c r="L272" i="27"/>
  <c r="B272" i="28"/>
  <c r="P272" i="26"/>
  <c r="X272" i="26"/>
  <c r="AC271" i="26"/>
  <c r="F273" i="27" l="1"/>
  <c r="G273" i="27"/>
  <c r="H273" i="27"/>
  <c r="I268" i="25"/>
  <c r="V268" i="25" s="1"/>
  <c r="C270" i="30"/>
  <c r="T270" i="30" s="1"/>
  <c r="Z269" i="26"/>
  <c r="K270" i="25"/>
  <c r="Q270" i="29"/>
  <c r="R270" i="29" s="1"/>
  <c r="C270" i="29"/>
  <c r="AD270" i="26"/>
  <c r="Q270" i="26"/>
  <c r="R270" i="26" s="1"/>
  <c r="K271" i="26"/>
  <c r="Q271" i="27"/>
  <c r="R271" i="27" s="1"/>
  <c r="C271" i="27"/>
  <c r="Q269" i="25"/>
  <c r="R269" i="25" s="1"/>
  <c r="C269" i="25"/>
  <c r="U269" i="25" s="1"/>
  <c r="H272" i="28"/>
  <c r="G272" i="28"/>
  <c r="L272" i="28"/>
  <c r="K272" i="28" s="1"/>
  <c r="Q272" i="28" s="1"/>
  <c r="R272" i="28" s="1"/>
  <c r="F272" i="28"/>
  <c r="D272" i="28"/>
  <c r="N272" i="28"/>
  <c r="O272" i="28" s="1"/>
  <c r="L272" i="26"/>
  <c r="K272" i="27"/>
  <c r="H272" i="26"/>
  <c r="G272" i="26"/>
  <c r="F272" i="26"/>
  <c r="Y272" i="26"/>
  <c r="AA272" i="26" s="1"/>
  <c r="N272" i="26"/>
  <c r="O272" i="26" s="1"/>
  <c r="D272" i="26"/>
  <c r="P273" i="28"/>
  <c r="J273" i="28"/>
  <c r="J273" i="26"/>
  <c r="A274" i="26"/>
  <c r="B274" i="27"/>
  <c r="A275" i="27"/>
  <c r="J274" i="27"/>
  <c r="P274" i="27"/>
  <c r="A274" i="28"/>
  <c r="B273" i="26"/>
  <c r="N273" i="27"/>
  <c r="O273" i="27" s="1"/>
  <c r="D273" i="27"/>
  <c r="L273" i="27"/>
  <c r="B273" i="28"/>
  <c r="X273" i="26"/>
  <c r="P273" i="26"/>
  <c r="AC272" i="26"/>
  <c r="J272" i="30"/>
  <c r="P272" i="30"/>
  <c r="B272" i="30"/>
  <c r="J272" i="25"/>
  <c r="B272" i="25"/>
  <c r="H272" i="29"/>
  <c r="G272" i="29"/>
  <c r="D272" i="29"/>
  <c r="N272" i="29"/>
  <c r="O272" i="29" s="1"/>
  <c r="L272" i="29"/>
  <c r="F272" i="29"/>
  <c r="A273" i="25"/>
  <c r="J273" i="29"/>
  <c r="A274" i="29"/>
  <c r="P273" i="29"/>
  <c r="B273" i="29"/>
  <c r="A273" i="30"/>
  <c r="P272" i="25"/>
  <c r="H271" i="30"/>
  <c r="G271" i="30"/>
  <c r="F271" i="30"/>
  <c r="N271" i="30"/>
  <c r="O271" i="30" s="1"/>
  <c r="D271" i="30"/>
  <c r="L271" i="30"/>
  <c r="K271" i="30" s="1"/>
  <c r="Q271" i="30" s="1"/>
  <c r="R271" i="30" s="1"/>
  <c r="L271" i="25"/>
  <c r="K271" i="29"/>
  <c r="F271" i="25"/>
  <c r="N271" i="25"/>
  <c r="O271" i="25" s="1"/>
  <c r="G271" i="25"/>
  <c r="D271" i="25"/>
  <c r="H271" i="25"/>
  <c r="F274" i="27" l="1"/>
  <c r="G274" i="27"/>
  <c r="H274" i="27"/>
  <c r="I269" i="25"/>
  <c r="V269" i="25" s="1"/>
  <c r="C271" i="30"/>
  <c r="T271" i="30" s="1"/>
  <c r="K272" i="26"/>
  <c r="Q272" i="27"/>
  <c r="R272" i="27" s="1"/>
  <c r="C272" i="27"/>
  <c r="Q270" i="25"/>
  <c r="R270" i="25" s="1"/>
  <c r="C270" i="25"/>
  <c r="I270" i="25" s="1"/>
  <c r="V270" i="25" s="1"/>
  <c r="Z270" i="26"/>
  <c r="AD271" i="26"/>
  <c r="Q271" i="26"/>
  <c r="R271" i="26" s="1"/>
  <c r="K271" i="25"/>
  <c r="Q271" i="29"/>
  <c r="R271" i="29" s="1"/>
  <c r="C271" i="29"/>
  <c r="P273" i="30"/>
  <c r="B273" i="30"/>
  <c r="J273" i="30"/>
  <c r="B273" i="25"/>
  <c r="H273" i="29"/>
  <c r="G273" i="29"/>
  <c r="L273" i="29"/>
  <c r="F273" i="29"/>
  <c r="D273" i="29"/>
  <c r="N273" i="29"/>
  <c r="O273" i="29" s="1"/>
  <c r="A274" i="25"/>
  <c r="A275" i="29"/>
  <c r="P274" i="29"/>
  <c r="B274" i="29"/>
  <c r="J274" i="29"/>
  <c r="A274" i="30"/>
  <c r="J273" i="25"/>
  <c r="P273" i="25"/>
  <c r="L272" i="25"/>
  <c r="K272" i="29"/>
  <c r="D272" i="25"/>
  <c r="N272" i="25"/>
  <c r="O272" i="25" s="1"/>
  <c r="H272" i="25"/>
  <c r="G272" i="25"/>
  <c r="F272" i="25"/>
  <c r="H272" i="30"/>
  <c r="G272" i="30"/>
  <c r="F272" i="30"/>
  <c r="N272" i="30"/>
  <c r="O272" i="30" s="1"/>
  <c r="D272" i="30"/>
  <c r="L272" i="30"/>
  <c r="K272" i="30" s="1"/>
  <c r="Q272" i="30" s="1"/>
  <c r="R272" i="30" s="1"/>
  <c r="G273" i="28"/>
  <c r="F273" i="28"/>
  <c r="D273" i="28"/>
  <c r="N273" i="28"/>
  <c r="O273" i="28" s="1"/>
  <c r="L273" i="28"/>
  <c r="K273" i="28" s="1"/>
  <c r="Q273" i="28" s="1"/>
  <c r="R273" i="28" s="1"/>
  <c r="H273" i="28"/>
  <c r="L273" i="26"/>
  <c r="K273" i="27"/>
  <c r="F273" i="26"/>
  <c r="Y273" i="26"/>
  <c r="AA273" i="26" s="1"/>
  <c r="N273" i="26"/>
  <c r="O273" i="26" s="1"/>
  <c r="D273" i="26"/>
  <c r="H273" i="26"/>
  <c r="G273" i="26"/>
  <c r="P274" i="28"/>
  <c r="J274" i="28"/>
  <c r="J274" i="26"/>
  <c r="A275" i="26"/>
  <c r="B275" i="27"/>
  <c r="A276" i="27"/>
  <c r="J275" i="27"/>
  <c r="P275" i="27"/>
  <c r="A275" i="28"/>
  <c r="B274" i="26"/>
  <c r="N274" i="27"/>
  <c r="O274" i="27" s="1"/>
  <c r="D274" i="27"/>
  <c r="L274" i="27"/>
  <c r="B274" i="28"/>
  <c r="X274" i="26"/>
  <c r="P274" i="26"/>
  <c r="AC273" i="26"/>
  <c r="F275" i="27" l="1"/>
  <c r="G275" i="27"/>
  <c r="H275" i="27"/>
  <c r="C272" i="30"/>
  <c r="T272" i="30" s="1"/>
  <c r="U270" i="25"/>
  <c r="C271" i="25"/>
  <c r="U271" i="25" s="1"/>
  <c r="Q271" i="25"/>
  <c r="R271" i="25" s="1"/>
  <c r="K272" i="25"/>
  <c r="Q272" i="29"/>
  <c r="R272" i="29" s="1"/>
  <c r="C272" i="29"/>
  <c r="AD272" i="26"/>
  <c r="Q272" i="26"/>
  <c r="R272" i="26" s="1"/>
  <c r="K273" i="26"/>
  <c r="Q273" i="27"/>
  <c r="R273" i="27" s="1"/>
  <c r="C273" i="27"/>
  <c r="Z271" i="26"/>
  <c r="F274" i="28"/>
  <c r="H274" i="28"/>
  <c r="G274" i="28"/>
  <c r="D274" i="28"/>
  <c r="N274" i="28"/>
  <c r="O274" i="28" s="1"/>
  <c r="L274" i="28"/>
  <c r="K274" i="28" s="1"/>
  <c r="Q274" i="28" s="1"/>
  <c r="R274" i="28" s="1"/>
  <c r="L274" i="26"/>
  <c r="K274" i="27"/>
  <c r="D274" i="26"/>
  <c r="H274" i="26"/>
  <c r="G274" i="26"/>
  <c r="F274" i="26"/>
  <c r="N274" i="26"/>
  <c r="O274" i="26" s="1"/>
  <c r="Y274" i="26"/>
  <c r="AA274" i="26" s="1"/>
  <c r="P275" i="28"/>
  <c r="J275" i="28"/>
  <c r="J275" i="26"/>
  <c r="A276" i="26"/>
  <c r="B276" i="27"/>
  <c r="A277" i="27"/>
  <c r="J276" i="27"/>
  <c r="P276" i="27"/>
  <c r="A276" i="28"/>
  <c r="B275" i="26"/>
  <c r="N275" i="27"/>
  <c r="O275" i="27" s="1"/>
  <c r="D275" i="27"/>
  <c r="L275" i="27"/>
  <c r="B275" i="28"/>
  <c r="P275" i="26"/>
  <c r="X275" i="26"/>
  <c r="AC274" i="26"/>
  <c r="P274" i="30"/>
  <c r="B274" i="30"/>
  <c r="J274" i="30"/>
  <c r="J274" i="25"/>
  <c r="B274" i="25"/>
  <c r="H274" i="29"/>
  <c r="G274" i="29"/>
  <c r="D274" i="29"/>
  <c r="N274" i="29"/>
  <c r="O274" i="29" s="1"/>
  <c r="L274" i="29"/>
  <c r="F274" i="29"/>
  <c r="A275" i="25"/>
  <c r="J275" i="29"/>
  <c r="A276" i="29"/>
  <c r="P275" i="29"/>
  <c r="A275" i="30"/>
  <c r="B275" i="29"/>
  <c r="P274" i="25"/>
  <c r="L273" i="25"/>
  <c r="K273" i="29"/>
  <c r="H273" i="25"/>
  <c r="G273" i="25"/>
  <c r="D273" i="25"/>
  <c r="N273" i="25"/>
  <c r="O273" i="25" s="1"/>
  <c r="F273" i="25"/>
  <c r="H273" i="30"/>
  <c r="G273" i="30"/>
  <c r="F273" i="30"/>
  <c r="N273" i="30"/>
  <c r="O273" i="30" s="1"/>
  <c r="D273" i="30"/>
  <c r="L273" i="30"/>
  <c r="K273" i="30" s="1"/>
  <c r="Q273" i="30" s="1"/>
  <c r="R273" i="30" s="1"/>
  <c r="F276" i="27" l="1"/>
  <c r="G276" i="27"/>
  <c r="H276" i="27"/>
  <c r="C273" i="30"/>
  <c r="T273" i="30" s="1"/>
  <c r="K274" i="26"/>
  <c r="Q274" i="27"/>
  <c r="R274" i="27" s="1"/>
  <c r="C274" i="27"/>
  <c r="Q272" i="25"/>
  <c r="R272" i="25" s="1"/>
  <c r="C272" i="25"/>
  <c r="U272" i="25" s="1"/>
  <c r="I271" i="25"/>
  <c r="V271" i="25" s="1"/>
  <c r="Z272" i="26"/>
  <c r="K273" i="25"/>
  <c r="Q273" i="29"/>
  <c r="R273" i="29" s="1"/>
  <c r="C273" i="29"/>
  <c r="AD273" i="26"/>
  <c r="Q273" i="26"/>
  <c r="R273" i="26" s="1"/>
  <c r="B275" i="25"/>
  <c r="H275" i="29"/>
  <c r="G275" i="29"/>
  <c r="L275" i="29"/>
  <c r="F275" i="29"/>
  <c r="D275" i="29"/>
  <c r="N275" i="29"/>
  <c r="O275" i="29" s="1"/>
  <c r="P275" i="30"/>
  <c r="B275" i="30"/>
  <c r="J275" i="30"/>
  <c r="A276" i="25"/>
  <c r="A277" i="29"/>
  <c r="P276" i="29"/>
  <c r="B276" i="29"/>
  <c r="J276" i="29"/>
  <c r="A276" i="30"/>
  <c r="J275" i="25"/>
  <c r="P275" i="25"/>
  <c r="L274" i="25"/>
  <c r="K274" i="29"/>
  <c r="N274" i="25"/>
  <c r="O274" i="25" s="1"/>
  <c r="D274" i="25"/>
  <c r="H274" i="25"/>
  <c r="G274" i="25"/>
  <c r="F274" i="25"/>
  <c r="G274" i="30"/>
  <c r="F274" i="30"/>
  <c r="N274" i="30"/>
  <c r="O274" i="30" s="1"/>
  <c r="D274" i="30"/>
  <c r="L274" i="30"/>
  <c r="K274" i="30" s="1"/>
  <c r="H274" i="30"/>
  <c r="N275" i="28"/>
  <c r="O275" i="28" s="1"/>
  <c r="D275" i="28"/>
  <c r="L275" i="28"/>
  <c r="K275" i="28" s="1"/>
  <c r="Q275" i="28" s="1"/>
  <c r="R275" i="28" s="1"/>
  <c r="H275" i="28"/>
  <c r="G275" i="28"/>
  <c r="F275" i="28"/>
  <c r="L275" i="26"/>
  <c r="K275" i="27"/>
  <c r="H275" i="26"/>
  <c r="G275" i="26"/>
  <c r="F275" i="26"/>
  <c r="Y275" i="26"/>
  <c r="AA275" i="26" s="1"/>
  <c r="N275" i="26"/>
  <c r="O275" i="26" s="1"/>
  <c r="D275" i="26"/>
  <c r="P276" i="28"/>
  <c r="J276" i="28"/>
  <c r="J276" i="26"/>
  <c r="A277" i="26"/>
  <c r="B277" i="27"/>
  <c r="A278" i="27"/>
  <c r="J277" i="27"/>
  <c r="P277" i="27"/>
  <c r="A277" i="28"/>
  <c r="B276" i="26"/>
  <c r="N276" i="27"/>
  <c r="O276" i="27" s="1"/>
  <c r="D276" i="27"/>
  <c r="L276" i="27"/>
  <c r="B276" i="28"/>
  <c r="P276" i="26"/>
  <c r="X276" i="26"/>
  <c r="AC275" i="26"/>
  <c r="F277" i="27" l="1"/>
  <c r="G277" i="27"/>
  <c r="H277" i="27"/>
  <c r="I272" i="25"/>
  <c r="V272" i="25" s="1"/>
  <c r="K274" i="25"/>
  <c r="C274" i="29"/>
  <c r="Q274" i="29"/>
  <c r="R274" i="29" s="1"/>
  <c r="Q273" i="25"/>
  <c r="R273" i="25" s="1"/>
  <c r="C273" i="25"/>
  <c r="I273" i="25" s="1"/>
  <c r="V273" i="25" s="1"/>
  <c r="AD274" i="26"/>
  <c r="Q274" i="26"/>
  <c r="R274" i="26" s="1"/>
  <c r="K275" i="26"/>
  <c r="Q275" i="27"/>
  <c r="R275" i="27" s="1"/>
  <c r="C275" i="27"/>
  <c r="Q274" i="30"/>
  <c r="R274" i="30" s="1"/>
  <c r="C274" i="30"/>
  <c r="T274" i="30" s="1"/>
  <c r="Z273" i="26"/>
  <c r="N276" i="28"/>
  <c r="O276" i="28" s="1"/>
  <c r="D276" i="28"/>
  <c r="L276" i="28"/>
  <c r="K276" i="28" s="1"/>
  <c r="Q276" i="28" s="1"/>
  <c r="R276" i="28" s="1"/>
  <c r="G276" i="28"/>
  <c r="F276" i="28"/>
  <c r="H276" i="28"/>
  <c r="L276" i="26"/>
  <c r="K276" i="27"/>
  <c r="H276" i="26"/>
  <c r="G276" i="26"/>
  <c r="F276" i="26"/>
  <c r="Y276" i="26"/>
  <c r="AA276" i="26" s="1"/>
  <c r="N276" i="26"/>
  <c r="O276" i="26" s="1"/>
  <c r="D276" i="26"/>
  <c r="J277" i="28"/>
  <c r="P277" i="28"/>
  <c r="J277" i="26"/>
  <c r="A278" i="26"/>
  <c r="B278" i="27"/>
  <c r="A279" i="27"/>
  <c r="J278" i="27"/>
  <c r="P278" i="27"/>
  <c r="A278" i="28"/>
  <c r="B277" i="26"/>
  <c r="N277" i="27"/>
  <c r="O277" i="27" s="1"/>
  <c r="D277" i="27"/>
  <c r="L277" i="27"/>
  <c r="B277" i="28"/>
  <c r="X277" i="26"/>
  <c r="P277" i="26"/>
  <c r="AC276" i="26"/>
  <c r="B276" i="30"/>
  <c r="J276" i="30"/>
  <c r="P276" i="30"/>
  <c r="J276" i="25"/>
  <c r="B276" i="25"/>
  <c r="H276" i="29"/>
  <c r="G276" i="29"/>
  <c r="D276" i="29"/>
  <c r="N276" i="29"/>
  <c r="O276" i="29" s="1"/>
  <c r="L276" i="29"/>
  <c r="F276" i="29"/>
  <c r="A277" i="25"/>
  <c r="J277" i="29"/>
  <c r="A278" i="29"/>
  <c r="P277" i="29"/>
  <c r="A277" i="30"/>
  <c r="B277" i="29"/>
  <c r="P276" i="25"/>
  <c r="F275" i="30"/>
  <c r="N275" i="30"/>
  <c r="O275" i="30" s="1"/>
  <c r="D275" i="30"/>
  <c r="L275" i="30"/>
  <c r="K275" i="30" s="1"/>
  <c r="Q275" i="30" s="1"/>
  <c r="R275" i="30" s="1"/>
  <c r="H275" i="30"/>
  <c r="G275" i="30"/>
  <c r="L275" i="25"/>
  <c r="K275" i="29"/>
  <c r="H275" i="25"/>
  <c r="D275" i="25"/>
  <c r="F275" i="25"/>
  <c r="N275" i="25"/>
  <c r="O275" i="25" s="1"/>
  <c r="G275" i="25"/>
  <c r="F278" i="27" l="1"/>
  <c r="G278" i="27"/>
  <c r="H278" i="27"/>
  <c r="U273" i="25"/>
  <c r="Z274" i="26"/>
  <c r="K275" i="25"/>
  <c r="Q275" i="29"/>
  <c r="R275" i="29" s="1"/>
  <c r="C275" i="29"/>
  <c r="C275" i="30"/>
  <c r="T275" i="30" s="1"/>
  <c r="AD275" i="26"/>
  <c r="Q275" i="26"/>
  <c r="R275" i="26" s="1"/>
  <c r="Q274" i="25"/>
  <c r="R274" i="25" s="1"/>
  <c r="C274" i="25"/>
  <c r="U274" i="25" s="1"/>
  <c r="K276" i="26"/>
  <c r="Q276" i="27"/>
  <c r="R276" i="27" s="1"/>
  <c r="C276" i="27"/>
  <c r="B277" i="25"/>
  <c r="H277" i="29"/>
  <c r="G277" i="29"/>
  <c r="L277" i="29"/>
  <c r="F277" i="29"/>
  <c r="D277" i="29"/>
  <c r="N277" i="29"/>
  <c r="O277" i="29" s="1"/>
  <c r="B277" i="30"/>
  <c r="J277" i="30"/>
  <c r="P277" i="30"/>
  <c r="A278" i="25"/>
  <c r="A279" i="29"/>
  <c r="P278" i="29"/>
  <c r="B278" i="29"/>
  <c r="J278" i="29"/>
  <c r="A278" i="30"/>
  <c r="J277" i="25"/>
  <c r="P277" i="25"/>
  <c r="L276" i="25"/>
  <c r="K276" i="29"/>
  <c r="G276" i="25"/>
  <c r="F276" i="25"/>
  <c r="H276" i="25"/>
  <c r="D276" i="25"/>
  <c r="N276" i="25"/>
  <c r="O276" i="25" s="1"/>
  <c r="N276" i="30"/>
  <c r="O276" i="30" s="1"/>
  <c r="D276" i="30"/>
  <c r="L276" i="30"/>
  <c r="K276" i="30" s="1"/>
  <c r="Q276" i="30" s="1"/>
  <c r="R276" i="30" s="1"/>
  <c r="H276" i="30"/>
  <c r="G276" i="30"/>
  <c r="F276" i="30"/>
  <c r="L277" i="28"/>
  <c r="K277" i="28" s="1"/>
  <c r="Q277" i="28" s="1"/>
  <c r="R277" i="28" s="1"/>
  <c r="N277" i="28"/>
  <c r="O277" i="28" s="1"/>
  <c r="H277" i="28"/>
  <c r="G277" i="28"/>
  <c r="F277" i="28"/>
  <c r="D277" i="28"/>
  <c r="L277" i="26"/>
  <c r="K277" i="27"/>
  <c r="F277" i="26"/>
  <c r="Y277" i="26"/>
  <c r="AA277" i="26" s="1"/>
  <c r="N277" i="26"/>
  <c r="O277" i="26" s="1"/>
  <c r="D277" i="26"/>
  <c r="H277" i="26"/>
  <c r="G277" i="26"/>
  <c r="J278" i="28"/>
  <c r="P278" i="28"/>
  <c r="J278" i="26"/>
  <c r="A279" i="26"/>
  <c r="B279" i="27"/>
  <c r="A280" i="27"/>
  <c r="J279" i="27"/>
  <c r="P279" i="27"/>
  <c r="A279" i="28"/>
  <c r="B278" i="26"/>
  <c r="N278" i="27"/>
  <c r="O278" i="27" s="1"/>
  <c r="D278" i="27"/>
  <c r="L278" i="27"/>
  <c r="B278" i="28"/>
  <c r="X278" i="26"/>
  <c r="P278" i="26"/>
  <c r="AC277" i="26"/>
  <c r="F279" i="27" l="1"/>
  <c r="G279" i="27"/>
  <c r="H279" i="27"/>
  <c r="C276" i="30"/>
  <c r="T276" i="30" s="1"/>
  <c r="K276" i="25"/>
  <c r="Q276" i="29"/>
  <c r="R276" i="29" s="1"/>
  <c r="C276" i="29"/>
  <c r="Q275" i="25"/>
  <c r="R275" i="25" s="1"/>
  <c r="C275" i="25"/>
  <c r="I275" i="25" s="1"/>
  <c r="V275" i="25" s="1"/>
  <c r="I274" i="25"/>
  <c r="V274" i="25" s="1"/>
  <c r="Z275" i="26"/>
  <c r="K277" i="26"/>
  <c r="Q277" i="27"/>
  <c r="R277" i="27" s="1"/>
  <c r="C277" i="27"/>
  <c r="AD276" i="26"/>
  <c r="Q276" i="26"/>
  <c r="R276" i="26" s="1"/>
  <c r="D278" i="28"/>
  <c r="N278" i="28"/>
  <c r="O278" i="28" s="1"/>
  <c r="L278" i="28"/>
  <c r="K278" i="28" s="1"/>
  <c r="Q278" i="28" s="1"/>
  <c r="R278" i="28" s="1"/>
  <c r="H278" i="28"/>
  <c r="G278" i="28"/>
  <c r="F278" i="28"/>
  <c r="L278" i="26"/>
  <c r="K278" i="27"/>
  <c r="D278" i="26"/>
  <c r="H278" i="26"/>
  <c r="G278" i="26"/>
  <c r="F278" i="26"/>
  <c r="Y278" i="26"/>
  <c r="AA278" i="26" s="1"/>
  <c r="N278" i="26"/>
  <c r="O278" i="26" s="1"/>
  <c r="J279" i="28"/>
  <c r="P279" i="28"/>
  <c r="J279" i="26"/>
  <c r="A280" i="26"/>
  <c r="B280" i="27"/>
  <c r="A281" i="27"/>
  <c r="J280" i="27"/>
  <c r="P280" i="27"/>
  <c r="A280" i="28"/>
  <c r="B279" i="26"/>
  <c r="N279" i="27"/>
  <c r="O279" i="27" s="1"/>
  <c r="D279" i="27"/>
  <c r="L279" i="27"/>
  <c r="B279" i="28"/>
  <c r="P279" i="26"/>
  <c r="X279" i="26"/>
  <c r="AC278" i="26"/>
  <c r="B278" i="30"/>
  <c r="J278" i="30"/>
  <c r="P278" i="30"/>
  <c r="J278" i="25"/>
  <c r="B278" i="25"/>
  <c r="H278" i="29"/>
  <c r="G278" i="29"/>
  <c r="D278" i="29"/>
  <c r="N278" i="29"/>
  <c r="O278" i="29" s="1"/>
  <c r="L278" i="29"/>
  <c r="F278" i="29"/>
  <c r="A279" i="25"/>
  <c r="J279" i="29"/>
  <c r="A280" i="29"/>
  <c r="P279" i="29"/>
  <c r="B279" i="29"/>
  <c r="A279" i="30"/>
  <c r="P278" i="25"/>
  <c r="N277" i="30"/>
  <c r="O277" i="30" s="1"/>
  <c r="D277" i="30"/>
  <c r="L277" i="30"/>
  <c r="K277" i="30" s="1"/>
  <c r="Q277" i="30" s="1"/>
  <c r="R277" i="30" s="1"/>
  <c r="H277" i="30"/>
  <c r="G277" i="30"/>
  <c r="F277" i="30"/>
  <c r="L277" i="25"/>
  <c r="K277" i="29"/>
  <c r="D277" i="25"/>
  <c r="H277" i="25"/>
  <c r="G277" i="25"/>
  <c r="F277" i="25"/>
  <c r="N277" i="25"/>
  <c r="O277" i="25" s="1"/>
  <c r="F280" i="27" l="1"/>
  <c r="G280" i="27"/>
  <c r="H280" i="27"/>
  <c r="U275" i="25"/>
  <c r="C277" i="30"/>
  <c r="T277" i="30" s="1"/>
  <c r="AD277" i="26"/>
  <c r="Q277" i="26"/>
  <c r="R277" i="26" s="1"/>
  <c r="Z276" i="26"/>
  <c r="K277" i="25"/>
  <c r="Q277" i="29"/>
  <c r="R277" i="29" s="1"/>
  <c r="C277" i="29"/>
  <c r="K278" i="26"/>
  <c r="Q278" i="27"/>
  <c r="R278" i="27" s="1"/>
  <c r="C278" i="27"/>
  <c r="Q276" i="25"/>
  <c r="R276" i="25" s="1"/>
  <c r="C276" i="25"/>
  <c r="I276" i="25" s="1"/>
  <c r="V276" i="25" s="1"/>
  <c r="B279" i="30"/>
  <c r="J279" i="30"/>
  <c r="P279" i="30"/>
  <c r="B279" i="25"/>
  <c r="H279" i="29"/>
  <c r="G279" i="29"/>
  <c r="L279" i="29"/>
  <c r="F279" i="29"/>
  <c r="D279" i="29"/>
  <c r="N279" i="29"/>
  <c r="O279" i="29" s="1"/>
  <c r="A280" i="25"/>
  <c r="A281" i="29"/>
  <c r="P280" i="29"/>
  <c r="B280" i="29"/>
  <c r="J280" i="29"/>
  <c r="A280" i="30"/>
  <c r="J279" i="25"/>
  <c r="P279" i="25"/>
  <c r="L278" i="25"/>
  <c r="K278" i="29"/>
  <c r="H278" i="25"/>
  <c r="F278" i="25"/>
  <c r="N278" i="25"/>
  <c r="O278" i="25" s="1"/>
  <c r="G278" i="25"/>
  <c r="D278" i="25"/>
  <c r="L278" i="30"/>
  <c r="K278" i="30" s="1"/>
  <c r="Q278" i="30" s="1"/>
  <c r="R278" i="30" s="1"/>
  <c r="H278" i="30"/>
  <c r="G278" i="30"/>
  <c r="F278" i="30"/>
  <c r="N278" i="30"/>
  <c r="O278" i="30" s="1"/>
  <c r="D278" i="30"/>
  <c r="H279" i="28"/>
  <c r="G279" i="28"/>
  <c r="F279" i="28"/>
  <c r="D279" i="28"/>
  <c r="N279" i="28"/>
  <c r="O279" i="28" s="1"/>
  <c r="L279" i="28"/>
  <c r="K279" i="28" s="1"/>
  <c r="Q279" i="28" s="1"/>
  <c r="R279" i="28" s="1"/>
  <c r="L279" i="26"/>
  <c r="K279" i="27"/>
  <c r="H279" i="26"/>
  <c r="G279" i="26"/>
  <c r="F279" i="26"/>
  <c r="Y279" i="26"/>
  <c r="AA279" i="26" s="1"/>
  <c r="N279" i="26"/>
  <c r="O279" i="26" s="1"/>
  <c r="D279" i="26"/>
  <c r="J280" i="28"/>
  <c r="P280" i="28"/>
  <c r="J280" i="26"/>
  <c r="A281" i="26"/>
  <c r="B281" i="27"/>
  <c r="A282" i="27"/>
  <c r="J281" i="27"/>
  <c r="P281" i="27"/>
  <c r="A281" i="28"/>
  <c r="B280" i="26"/>
  <c r="N280" i="27"/>
  <c r="O280" i="27" s="1"/>
  <c r="D280" i="27"/>
  <c r="L280" i="27"/>
  <c r="B280" i="28"/>
  <c r="P280" i="26"/>
  <c r="X280" i="26"/>
  <c r="AC279" i="26"/>
  <c r="F281" i="27" l="1"/>
  <c r="G281" i="27"/>
  <c r="H281" i="27"/>
  <c r="U276" i="25"/>
  <c r="C278" i="30"/>
  <c r="T278" i="30" s="1"/>
  <c r="K278" i="25"/>
  <c r="Q278" i="29"/>
  <c r="R278" i="29" s="1"/>
  <c r="C278" i="29"/>
  <c r="Q277" i="25"/>
  <c r="R277" i="25" s="1"/>
  <c r="C277" i="25"/>
  <c r="I277" i="25" s="1"/>
  <c r="V277" i="25" s="1"/>
  <c r="Z277" i="26"/>
  <c r="K279" i="26"/>
  <c r="Q279" i="27"/>
  <c r="R279" i="27" s="1"/>
  <c r="C279" i="27"/>
  <c r="AD278" i="26"/>
  <c r="Q278" i="26"/>
  <c r="R278" i="26" s="1"/>
  <c r="H280" i="28"/>
  <c r="G280" i="28"/>
  <c r="N280" i="28"/>
  <c r="O280" i="28" s="1"/>
  <c r="L280" i="28"/>
  <c r="K280" i="28" s="1"/>
  <c r="Q280" i="28" s="1"/>
  <c r="R280" i="28" s="1"/>
  <c r="F280" i="28"/>
  <c r="D280" i="28"/>
  <c r="L280" i="26"/>
  <c r="K280" i="27"/>
  <c r="H280" i="26"/>
  <c r="G280" i="26"/>
  <c r="F280" i="26"/>
  <c r="Y280" i="26"/>
  <c r="AA280" i="26" s="1"/>
  <c r="N280" i="26"/>
  <c r="O280" i="26" s="1"/>
  <c r="D280" i="26"/>
  <c r="P281" i="28"/>
  <c r="J281" i="28"/>
  <c r="J281" i="26"/>
  <c r="A282" i="26"/>
  <c r="B282" i="27"/>
  <c r="A283" i="27"/>
  <c r="J282" i="27"/>
  <c r="P282" i="27"/>
  <c r="A282" i="28"/>
  <c r="B281" i="26"/>
  <c r="N281" i="27"/>
  <c r="O281" i="27" s="1"/>
  <c r="D281" i="27"/>
  <c r="L281" i="27"/>
  <c r="B281" i="28"/>
  <c r="X281" i="26"/>
  <c r="P281" i="26"/>
  <c r="AC280" i="26"/>
  <c r="J280" i="30"/>
  <c r="P280" i="30"/>
  <c r="B280" i="30"/>
  <c r="J280" i="25"/>
  <c r="B280" i="25"/>
  <c r="H280" i="29"/>
  <c r="G280" i="29"/>
  <c r="D280" i="29"/>
  <c r="N280" i="29"/>
  <c r="O280" i="29" s="1"/>
  <c r="L280" i="29"/>
  <c r="F280" i="29"/>
  <c r="A281" i="25"/>
  <c r="J281" i="29"/>
  <c r="A282" i="29"/>
  <c r="P281" i="29"/>
  <c r="B281" i="29"/>
  <c r="A281" i="30"/>
  <c r="P280" i="25"/>
  <c r="L279" i="25"/>
  <c r="K279" i="29"/>
  <c r="F279" i="25"/>
  <c r="N279" i="25"/>
  <c r="O279" i="25" s="1"/>
  <c r="H279" i="25"/>
  <c r="G279" i="25"/>
  <c r="D279" i="25"/>
  <c r="H279" i="30"/>
  <c r="G279" i="30"/>
  <c r="F279" i="30"/>
  <c r="N279" i="30"/>
  <c r="O279" i="30" s="1"/>
  <c r="D279" i="30"/>
  <c r="L279" i="30"/>
  <c r="K279" i="30" s="1"/>
  <c r="Q279" i="30" s="1"/>
  <c r="R279" i="30" s="1"/>
  <c r="F282" i="27" l="1"/>
  <c r="G282" i="27"/>
  <c r="H282" i="27"/>
  <c r="U277" i="25"/>
  <c r="K280" i="26"/>
  <c r="Q280" i="27"/>
  <c r="R280" i="27" s="1"/>
  <c r="C280" i="27"/>
  <c r="Z278" i="26"/>
  <c r="Q278" i="25"/>
  <c r="R278" i="25" s="1"/>
  <c r="C278" i="25"/>
  <c r="I278" i="25" s="1"/>
  <c r="V278" i="25" s="1"/>
  <c r="C279" i="30"/>
  <c r="T279" i="30" s="1"/>
  <c r="K279" i="25"/>
  <c r="Q279" i="29"/>
  <c r="R279" i="29" s="1"/>
  <c r="C279" i="29"/>
  <c r="AD279" i="26"/>
  <c r="Q279" i="26"/>
  <c r="R279" i="26" s="1"/>
  <c r="P281" i="30"/>
  <c r="B281" i="30"/>
  <c r="J281" i="30"/>
  <c r="B281" i="25"/>
  <c r="H281" i="29"/>
  <c r="G281" i="29"/>
  <c r="L281" i="29"/>
  <c r="F281" i="29"/>
  <c r="D281" i="29"/>
  <c r="N281" i="29"/>
  <c r="O281" i="29" s="1"/>
  <c r="A282" i="25"/>
  <c r="P282" i="29"/>
  <c r="A283" i="29"/>
  <c r="B282" i="29"/>
  <c r="J282" i="29"/>
  <c r="A282" i="30"/>
  <c r="J281" i="25"/>
  <c r="P281" i="25"/>
  <c r="L280" i="25"/>
  <c r="K280" i="29"/>
  <c r="F280" i="25"/>
  <c r="N280" i="25"/>
  <c r="O280" i="25" s="1"/>
  <c r="H280" i="25"/>
  <c r="G280" i="25"/>
  <c r="D280" i="25"/>
  <c r="H280" i="30"/>
  <c r="G280" i="30"/>
  <c r="F280" i="30"/>
  <c r="N280" i="30"/>
  <c r="O280" i="30" s="1"/>
  <c r="D280" i="30"/>
  <c r="L280" i="30"/>
  <c r="K280" i="30" s="1"/>
  <c r="Q280" i="30" s="1"/>
  <c r="R280" i="30" s="1"/>
  <c r="G281" i="28"/>
  <c r="F281" i="28"/>
  <c r="H281" i="28"/>
  <c r="D281" i="28"/>
  <c r="N281" i="28"/>
  <c r="O281" i="28" s="1"/>
  <c r="L281" i="28"/>
  <c r="K281" i="28" s="1"/>
  <c r="Q281" i="28" s="1"/>
  <c r="R281" i="28" s="1"/>
  <c r="L281" i="26"/>
  <c r="K281" i="27"/>
  <c r="F281" i="26"/>
  <c r="Y281" i="26"/>
  <c r="AA281" i="26" s="1"/>
  <c r="N281" i="26"/>
  <c r="O281" i="26" s="1"/>
  <c r="D281" i="26"/>
  <c r="H281" i="26"/>
  <c r="G281" i="26"/>
  <c r="P282" i="28"/>
  <c r="J282" i="28"/>
  <c r="J282" i="26"/>
  <c r="A283" i="26"/>
  <c r="B283" i="27"/>
  <c r="A284" i="27"/>
  <c r="J283" i="27"/>
  <c r="P283" i="27"/>
  <c r="A283" i="28"/>
  <c r="B282" i="26"/>
  <c r="N282" i="27"/>
  <c r="O282" i="27" s="1"/>
  <c r="D282" i="27"/>
  <c r="L282" i="27"/>
  <c r="B282" i="28"/>
  <c r="X282" i="26"/>
  <c r="P282" i="26"/>
  <c r="AC281" i="26"/>
  <c r="F283" i="27" l="1"/>
  <c r="G283" i="27"/>
  <c r="H283" i="27"/>
  <c r="C280" i="30"/>
  <c r="T280" i="30" s="1"/>
  <c r="U278" i="25"/>
  <c r="K280" i="25"/>
  <c r="C280" i="29"/>
  <c r="Q280" i="29"/>
  <c r="R280" i="29" s="1"/>
  <c r="Z279" i="26"/>
  <c r="K281" i="26"/>
  <c r="Q281" i="27"/>
  <c r="R281" i="27" s="1"/>
  <c r="C281" i="27"/>
  <c r="Q279" i="25"/>
  <c r="R279" i="25" s="1"/>
  <c r="C279" i="25"/>
  <c r="U279" i="25" s="1"/>
  <c r="AD280" i="26"/>
  <c r="Q280" i="26"/>
  <c r="R280" i="26" s="1"/>
  <c r="F282" i="28"/>
  <c r="L282" i="28"/>
  <c r="K282" i="28" s="1"/>
  <c r="Q282" i="28" s="1"/>
  <c r="R282" i="28" s="1"/>
  <c r="H282" i="28"/>
  <c r="G282" i="28"/>
  <c r="D282" i="28"/>
  <c r="N282" i="28"/>
  <c r="O282" i="28" s="1"/>
  <c r="L282" i="26"/>
  <c r="K282" i="27"/>
  <c r="D282" i="26"/>
  <c r="H282" i="26"/>
  <c r="G282" i="26"/>
  <c r="F282" i="26"/>
  <c r="Y282" i="26"/>
  <c r="AA282" i="26" s="1"/>
  <c r="N282" i="26"/>
  <c r="O282" i="26" s="1"/>
  <c r="P283" i="28"/>
  <c r="J283" i="28"/>
  <c r="J283" i="26"/>
  <c r="A284" i="26"/>
  <c r="B284" i="27"/>
  <c r="A285" i="27"/>
  <c r="J284" i="27"/>
  <c r="P284" i="27"/>
  <c r="A284" i="28"/>
  <c r="B283" i="26"/>
  <c r="N283" i="27"/>
  <c r="O283" i="27" s="1"/>
  <c r="D283" i="27"/>
  <c r="L283" i="27"/>
  <c r="B283" i="28"/>
  <c r="P283" i="26"/>
  <c r="X283" i="26"/>
  <c r="AC282" i="26"/>
  <c r="P282" i="30"/>
  <c r="B282" i="30"/>
  <c r="J282" i="30"/>
  <c r="J282" i="25"/>
  <c r="B282" i="25"/>
  <c r="H282" i="29"/>
  <c r="G282" i="29"/>
  <c r="D282" i="29"/>
  <c r="N282" i="29"/>
  <c r="O282" i="29" s="1"/>
  <c r="L282" i="29"/>
  <c r="F282" i="29"/>
  <c r="A283" i="25"/>
  <c r="P283" i="29"/>
  <c r="B283" i="29"/>
  <c r="J283" i="29"/>
  <c r="A284" i="29"/>
  <c r="A283" i="30"/>
  <c r="P282" i="25"/>
  <c r="L281" i="25"/>
  <c r="K281" i="29"/>
  <c r="H281" i="25"/>
  <c r="G281" i="25"/>
  <c r="N281" i="25"/>
  <c r="O281" i="25" s="1"/>
  <c r="F281" i="25"/>
  <c r="D281" i="25"/>
  <c r="H281" i="30"/>
  <c r="G281" i="30"/>
  <c r="F281" i="30"/>
  <c r="N281" i="30"/>
  <c r="O281" i="30" s="1"/>
  <c r="D281" i="30"/>
  <c r="L281" i="30"/>
  <c r="K281" i="30" s="1"/>
  <c r="Q281" i="30" s="1"/>
  <c r="R281" i="30" s="1"/>
  <c r="F284" i="27" l="1"/>
  <c r="G284" i="27"/>
  <c r="H284" i="27"/>
  <c r="I279" i="25"/>
  <c r="V279" i="25" s="1"/>
  <c r="K281" i="25"/>
  <c r="Q281" i="29"/>
  <c r="R281" i="29" s="1"/>
  <c r="C281" i="29"/>
  <c r="C281" i="30"/>
  <c r="T281" i="30" s="1"/>
  <c r="K282" i="26"/>
  <c r="Q282" i="27"/>
  <c r="R282" i="27" s="1"/>
  <c r="C282" i="27"/>
  <c r="Z280" i="26"/>
  <c r="AD281" i="26"/>
  <c r="Q281" i="26"/>
  <c r="R281" i="26" s="1"/>
  <c r="Q280" i="25"/>
  <c r="R280" i="25" s="1"/>
  <c r="C280" i="25"/>
  <c r="I280" i="25" s="1"/>
  <c r="V280" i="25" s="1"/>
  <c r="P283" i="30"/>
  <c r="B283" i="30"/>
  <c r="J283" i="30"/>
  <c r="A284" i="25"/>
  <c r="P284" i="29"/>
  <c r="B284" i="29"/>
  <c r="J284" i="29"/>
  <c r="A285" i="29"/>
  <c r="A284" i="30"/>
  <c r="J283" i="25"/>
  <c r="B283" i="25"/>
  <c r="F283" i="29"/>
  <c r="H283" i="29"/>
  <c r="G283" i="29"/>
  <c r="N283" i="29"/>
  <c r="O283" i="29" s="1"/>
  <c r="L283" i="29"/>
  <c r="D283" i="29"/>
  <c r="P283" i="25"/>
  <c r="L282" i="25"/>
  <c r="K282" i="29"/>
  <c r="N282" i="25"/>
  <c r="O282" i="25" s="1"/>
  <c r="D282" i="25"/>
  <c r="F282" i="25"/>
  <c r="H282" i="25"/>
  <c r="G282" i="25"/>
  <c r="G282" i="30"/>
  <c r="F282" i="30"/>
  <c r="N282" i="30"/>
  <c r="O282" i="30" s="1"/>
  <c r="D282" i="30"/>
  <c r="L282" i="30"/>
  <c r="K282" i="30" s="1"/>
  <c r="Q282" i="30" s="1"/>
  <c r="R282" i="30" s="1"/>
  <c r="H282" i="30"/>
  <c r="N283" i="28"/>
  <c r="O283" i="28" s="1"/>
  <c r="D283" i="28"/>
  <c r="F283" i="28"/>
  <c r="L283" i="28"/>
  <c r="K283" i="28" s="1"/>
  <c r="Q283" i="28" s="1"/>
  <c r="R283" i="28" s="1"/>
  <c r="H283" i="28"/>
  <c r="G283" i="28"/>
  <c r="L283" i="26"/>
  <c r="K283" i="27"/>
  <c r="H283" i="26"/>
  <c r="G283" i="26"/>
  <c r="F283" i="26"/>
  <c r="Y283" i="26"/>
  <c r="AA283" i="26" s="1"/>
  <c r="N283" i="26"/>
  <c r="O283" i="26" s="1"/>
  <c r="D283" i="26"/>
  <c r="J284" i="28"/>
  <c r="P284" i="28"/>
  <c r="J284" i="26"/>
  <c r="A285" i="26"/>
  <c r="B285" i="27"/>
  <c r="A286" i="27"/>
  <c r="J285" i="27"/>
  <c r="P285" i="27"/>
  <c r="A285" i="28"/>
  <c r="B284" i="26"/>
  <c r="N284" i="27"/>
  <c r="O284" i="27" s="1"/>
  <c r="D284" i="27"/>
  <c r="L284" i="27"/>
  <c r="B284" i="28"/>
  <c r="P284" i="26"/>
  <c r="X284" i="26"/>
  <c r="AC283" i="26"/>
  <c r="F285" i="27" l="1"/>
  <c r="G285" i="27"/>
  <c r="H285" i="27"/>
  <c r="U280" i="25"/>
  <c r="Z281" i="26"/>
  <c r="K282" i="25"/>
  <c r="Q282" i="29"/>
  <c r="R282" i="29" s="1"/>
  <c r="C282" i="29"/>
  <c r="K283" i="26"/>
  <c r="Q283" i="27"/>
  <c r="R283" i="27" s="1"/>
  <c r="C283" i="27"/>
  <c r="Q281" i="25"/>
  <c r="R281" i="25" s="1"/>
  <c r="C281" i="25"/>
  <c r="U281" i="25" s="1"/>
  <c r="C282" i="30"/>
  <c r="T282" i="30" s="1"/>
  <c r="AD282" i="26"/>
  <c r="Q282" i="26"/>
  <c r="R282" i="26" s="1"/>
  <c r="N284" i="28"/>
  <c r="O284" i="28" s="1"/>
  <c r="D284" i="28"/>
  <c r="L284" i="28"/>
  <c r="K284" i="28" s="1"/>
  <c r="Q284" i="28" s="1"/>
  <c r="R284" i="28" s="1"/>
  <c r="H284" i="28"/>
  <c r="G284" i="28"/>
  <c r="F284" i="28"/>
  <c r="L284" i="26"/>
  <c r="K284" i="27"/>
  <c r="H284" i="26"/>
  <c r="G284" i="26"/>
  <c r="F284" i="26"/>
  <c r="Y284" i="26"/>
  <c r="AA284" i="26" s="1"/>
  <c r="N284" i="26"/>
  <c r="O284" i="26" s="1"/>
  <c r="D284" i="26"/>
  <c r="P285" i="28"/>
  <c r="J285" i="28"/>
  <c r="J285" i="26"/>
  <c r="A286" i="26"/>
  <c r="B286" i="27"/>
  <c r="A287" i="27"/>
  <c r="J286" i="27"/>
  <c r="P286" i="27"/>
  <c r="A286" i="28"/>
  <c r="B285" i="26"/>
  <c r="N285" i="27"/>
  <c r="O285" i="27" s="1"/>
  <c r="D285" i="27"/>
  <c r="L285" i="27"/>
  <c r="B285" i="28"/>
  <c r="X285" i="26"/>
  <c r="P285" i="26"/>
  <c r="AC284" i="26"/>
  <c r="L283" i="25"/>
  <c r="K283" i="29"/>
  <c r="G283" i="25"/>
  <c r="F283" i="25"/>
  <c r="N283" i="25"/>
  <c r="O283" i="25" s="1"/>
  <c r="D283" i="25"/>
  <c r="H283" i="25"/>
  <c r="B284" i="30"/>
  <c r="J284" i="30"/>
  <c r="P284" i="30"/>
  <c r="A285" i="25"/>
  <c r="P285" i="29"/>
  <c r="B285" i="29"/>
  <c r="J285" i="29"/>
  <c r="A286" i="29"/>
  <c r="A285" i="30"/>
  <c r="J284" i="25"/>
  <c r="B284" i="25"/>
  <c r="F284" i="29"/>
  <c r="H284" i="29"/>
  <c r="G284" i="29"/>
  <c r="N284" i="29"/>
  <c r="O284" i="29" s="1"/>
  <c r="L284" i="29"/>
  <c r="D284" i="29"/>
  <c r="P284" i="25"/>
  <c r="F283" i="30"/>
  <c r="N283" i="30"/>
  <c r="O283" i="30" s="1"/>
  <c r="D283" i="30"/>
  <c r="L283" i="30"/>
  <c r="K283" i="30" s="1"/>
  <c r="Q283" i="30" s="1"/>
  <c r="R283" i="30" s="1"/>
  <c r="H283" i="30"/>
  <c r="G283" i="30"/>
  <c r="F286" i="27" l="1"/>
  <c r="G286" i="27"/>
  <c r="H286" i="27"/>
  <c r="I281" i="25"/>
  <c r="V281" i="25" s="1"/>
  <c r="C283" i="30"/>
  <c r="T283" i="30" s="1"/>
  <c r="K283" i="25"/>
  <c r="Q283" i="29"/>
  <c r="R283" i="29" s="1"/>
  <c r="C283" i="29"/>
  <c r="K284" i="26"/>
  <c r="Q284" i="27"/>
  <c r="R284" i="27" s="1"/>
  <c r="C284" i="27"/>
  <c r="AD283" i="26"/>
  <c r="Q283" i="26"/>
  <c r="R283" i="26" s="1"/>
  <c r="Q282" i="25"/>
  <c r="R282" i="25" s="1"/>
  <c r="C282" i="25"/>
  <c r="I282" i="25" s="1"/>
  <c r="V282" i="25" s="1"/>
  <c r="Z282" i="26"/>
  <c r="L284" i="25"/>
  <c r="K284" i="29"/>
  <c r="G284" i="25"/>
  <c r="F284" i="25"/>
  <c r="D284" i="25"/>
  <c r="N284" i="25"/>
  <c r="O284" i="25" s="1"/>
  <c r="H284" i="25"/>
  <c r="B285" i="30"/>
  <c r="J285" i="30"/>
  <c r="P285" i="30"/>
  <c r="A286" i="25"/>
  <c r="P286" i="29"/>
  <c r="B286" i="29"/>
  <c r="J286" i="29"/>
  <c r="A286" i="30"/>
  <c r="A287" i="29"/>
  <c r="J285" i="25"/>
  <c r="B285" i="25"/>
  <c r="F285" i="29"/>
  <c r="H285" i="29"/>
  <c r="G285" i="29"/>
  <c r="N285" i="29"/>
  <c r="O285" i="29" s="1"/>
  <c r="L285" i="29"/>
  <c r="D285" i="29"/>
  <c r="P285" i="25"/>
  <c r="N284" i="30"/>
  <c r="O284" i="30" s="1"/>
  <c r="D284" i="30"/>
  <c r="L284" i="30"/>
  <c r="K284" i="30" s="1"/>
  <c r="Q284" i="30" s="1"/>
  <c r="R284" i="30" s="1"/>
  <c r="H284" i="30"/>
  <c r="G284" i="30"/>
  <c r="F284" i="30"/>
  <c r="L285" i="28"/>
  <c r="K285" i="28" s="1"/>
  <c r="Q285" i="28" s="1"/>
  <c r="R285" i="28" s="1"/>
  <c r="D285" i="28"/>
  <c r="N285" i="28"/>
  <c r="O285" i="28" s="1"/>
  <c r="H285" i="28"/>
  <c r="G285" i="28"/>
  <c r="F285" i="28"/>
  <c r="L285" i="26"/>
  <c r="K285" i="27"/>
  <c r="F285" i="26"/>
  <c r="Y285" i="26"/>
  <c r="AA285" i="26" s="1"/>
  <c r="N285" i="26"/>
  <c r="O285" i="26" s="1"/>
  <c r="D285" i="26"/>
  <c r="H285" i="26"/>
  <c r="G285" i="26"/>
  <c r="J286" i="28"/>
  <c r="P286" i="28"/>
  <c r="J286" i="26"/>
  <c r="A287" i="26"/>
  <c r="B287" i="27"/>
  <c r="A288" i="27"/>
  <c r="J287" i="27"/>
  <c r="P287" i="27"/>
  <c r="A287" i="28"/>
  <c r="B286" i="26"/>
  <c r="N286" i="27"/>
  <c r="O286" i="27" s="1"/>
  <c r="D286" i="27"/>
  <c r="L286" i="27"/>
  <c r="B286" i="28"/>
  <c r="X286" i="26"/>
  <c r="P286" i="26"/>
  <c r="AC285" i="26"/>
  <c r="F287" i="27" l="1"/>
  <c r="G287" i="27"/>
  <c r="H287" i="27"/>
  <c r="C284" i="30"/>
  <c r="T284" i="30" s="1"/>
  <c r="U282" i="25"/>
  <c r="K284" i="25"/>
  <c r="Q284" i="29"/>
  <c r="R284" i="29" s="1"/>
  <c r="C284" i="29"/>
  <c r="AD284" i="26"/>
  <c r="Q284" i="26"/>
  <c r="R284" i="26" s="1"/>
  <c r="Z283" i="26"/>
  <c r="Q283" i="25"/>
  <c r="R283" i="25" s="1"/>
  <c r="C283" i="25"/>
  <c r="U283" i="25" s="1"/>
  <c r="K285" i="26"/>
  <c r="Q285" i="27"/>
  <c r="R285" i="27" s="1"/>
  <c r="C285" i="27"/>
  <c r="G286" i="28"/>
  <c r="F286" i="28"/>
  <c r="D286" i="28"/>
  <c r="N286" i="28"/>
  <c r="O286" i="28" s="1"/>
  <c r="L286" i="28"/>
  <c r="K286" i="28" s="1"/>
  <c r="Q286" i="28" s="1"/>
  <c r="R286" i="28" s="1"/>
  <c r="H286" i="28"/>
  <c r="L286" i="26"/>
  <c r="K286" i="27"/>
  <c r="D286" i="26"/>
  <c r="H286" i="26"/>
  <c r="G286" i="26"/>
  <c r="F286" i="26"/>
  <c r="Y286" i="26"/>
  <c r="AA286" i="26" s="1"/>
  <c r="N286" i="26"/>
  <c r="O286" i="26" s="1"/>
  <c r="J287" i="28"/>
  <c r="P287" i="28"/>
  <c r="J287" i="26"/>
  <c r="A288" i="26"/>
  <c r="B288" i="27"/>
  <c r="A289" i="27"/>
  <c r="J288" i="27"/>
  <c r="P288" i="27"/>
  <c r="A288" i="28"/>
  <c r="B287" i="26"/>
  <c r="N287" i="27"/>
  <c r="O287" i="27" s="1"/>
  <c r="D287" i="27"/>
  <c r="L287" i="27"/>
  <c r="B287" i="28"/>
  <c r="P287" i="26"/>
  <c r="X287" i="26"/>
  <c r="AC286" i="26"/>
  <c r="L285" i="25"/>
  <c r="K285" i="29"/>
  <c r="D285" i="25"/>
  <c r="N285" i="25"/>
  <c r="O285" i="25" s="1"/>
  <c r="G285" i="25"/>
  <c r="F285" i="25"/>
  <c r="H285" i="25"/>
  <c r="A287" i="25"/>
  <c r="P287" i="29"/>
  <c r="B287" i="29"/>
  <c r="J287" i="29"/>
  <c r="A287" i="30"/>
  <c r="A288" i="29"/>
  <c r="B286" i="30"/>
  <c r="J286" i="30"/>
  <c r="P286" i="30"/>
  <c r="J286" i="25"/>
  <c r="B286" i="25"/>
  <c r="F286" i="29"/>
  <c r="H286" i="29"/>
  <c r="G286" i="29"/>
  <c r="N286" i="29"/>
  <c r="O286" i="29" s="1"/>
  <c r="L286" i="29"/>
  <c r="D286" i="29"/>
  <c r="P286" i="25"/>
  <c r="N285" i="30"/>
  <c r="O285" i="30" s="1"/>
  <c r="D285" i="30"/>
  <c r="L285" i="30"/>
  <c r="K285" i="30" s="1"/>
  <c r="H285" i="30"/>
  <c r="G285" i="30"/>
  <c r="F285" i="30"/>
  <c r="F288" i="27" l="1"/>
  <c r="G288" i="27"/>
  <c r="H288" i="27"/>
  <c r="C285" i="30"/>
  <c r="T285" i="30" s="1"/>
  <c r="K285" i="25"/>
  <c r="Q285" i="29"/>
  <c r="R285" i="29" s="1"/>
  <c r="C285" i="29"/>
  <c r="K286" i="26"/>
  <c r="Q286" i="27"/>
  <c r="R286" i="27" s="1"/>
  <c r="C286" i="27"/>
  <c r="I283" i="25"/>
  <c r="V283" i="25" s="1"/>
  <c r="Q284" i="25"/>
  <c r="R284" i="25" s="1"/>
  <c r="C284" i="25"/>
  <c r="U284" i="25" s="1"/>
  <c r="Z284" i="26"/>
  <c r="Q285" i="30"/>
  <c r="R285" i="30" s="1"/>
  <c r="AD285" i="26"/>
  <c r="Q285" i="26"/>
  <c r="R285" i="26" s="1"/>
  <c r="L286" i="25"/>
  <c r="K286" i="29"/>
  <c r="H286" i="25"/>
  <c r="D286" i="25"/>
  <c r="N286" i="25"/>
  <c r="O286" i="25" s="1"/>
  <c r="G286" i="25"/>
  <c r="F286" i="25"/>
  <c r="L286" i="30"/>
  <c r="K286" i="30" s="1"/>
  <c r="Q286" i="30" s="1"/>
  <c r="R286" i="30" s="1"/>
  <c r="H286" i="30"/>
  <c r="G286" i="30"/>
  <c r="F286" i="30"/>
  <c r="N286" i="30"/>
  <c r="O286" i="30" s="1"/>
  <c r="D286" i="30"/>
  <c r="A288" i="25"/>
  <c r="P288" i="29"/>
  <c r="B288" i="29"/>
  <c r="J288" i="29"/>
  <c r="A288" i="30"/>
  <c r="A289" i="29"/>
  <c r="B287" i="30"/>
  <c r="J287" i="30"/>
  <c r="P287" i="30"/>
  <c r="J287" i="25"/>
  <c r="B287" i="25"/>
  <c r="F287" i="29"/>
  <c r="H287" i="29"/>
  <c r="G287" i="29"/>
  <c r="N287" i="29"/>
  <c r="O287" i="29" s="1"/>
  <c r="L287" i="29"/>
  <c r="D287" i="29"/>
  <c r="P287" i="25"/>
  <c r="H287" i="28"/>
  <c r="N287" i="28"/>
  <c r="O287" i="28" s="1"/>
  <c r="L287" i="28"/>
  <c r="K287" i="28" s="1"/>
  <c r="Q287" i="28" s="1"/>
  <c r="R287" i="28" s="1"/>
  <c r="G287" i="28"/>
  <c r="F287" i="28"/>
  <c r="D287" i="28"/>
  <c r="L287" i="26"/>
  <c r="K287" i="27"/>
  <c r="H287" i="26"/>
  <c r="G287" i="26"/>
  <c r="F287" i="26"/>
  <c r="Y287" i="26"/>
  <c r="AA287" i="26" s="1"/>
  <c r="N287" i="26"/>
  <c r="O287" i="26" s="1"/>
  <c r="D287" i="26"/>
  <c r="P288" i="28"/>
  <c r="J288" i="28"/>
  <c r="J288" i="26"/>
  <c r="A289" i="26"/>
  <c r="B289" i="27"/>
  <c r="A290" i="27"/>
  <c r="J289" i="27"/>
  <c r="P289" i="27"/>
  <c r="A289" i="28"/>
  <c r="B288" i="26"/>
  <c r="N288" i="27"/>
  <c r="O288" i="27" s="1"/>
  <c r="D288" i="27"/>
  <c r="L288" i="27"/>
  <c r="B288" i="28"/>
  <c r="P288" i="26"/>
  <c r="X288" i="26"/>
  <c r="AC287" i="26"/>
  <c r="F289" i="27" l="1"/>
  <c r="G289" i="27"/>
  <c r="H289" i="27"/>
  <c r="K287" i="26"/>
  <c r="Q287" i="27"/>
  <c r="R287" i="27" s="1"/>
  <c r="C287" i="27"/>
  <c r="C286" i="30"/>
  <c r="T286" i="30" s="1"/>
  <c r="AD286" i="26"/>
  <c r="Q286" i="26"/>
  <c r="R286" i="26" s="1"/>
  <c r="K286" i="25"/>
  <c r="Q286" i="29"/>
  <c r="R286" i="29" s="1"/>
  <c r="C286" i="29"/>
  <c r="I284" i="25"/>
  <c r="V284" i="25" s="1"/>
  <c r="Z285" i="26"/>
  <c r="Q285" i="25"/>
  <c r="R285" i="25" s="1"/>
  <c r="C285" i="25"/>
  <c r="U285" i="25" s="1"/>
  <c r="H288" i="28"/>
  <c r="G288" i="28"/>
  <c r="D288" i="28"/>
  <c r="N288" i="28"/>
  <c r="O288" i="28" s="1"/>
  <c r="L288" i="28"/>
  <c r="K288" i="28" s="1"/>
  <c r="Q288" i="28" s="1"/>
  <c r="R288" i="28" s="1"/>
  <c r="F288" i="28"/>
  <c r="L288" i="26"/>
  <c r="K288" i="27"/>
  <c r="H288" i="26"/>
  <c r="G288" i="26"/>
  <c r="F288" i="26"/>
  <c r="Y288" i="26"/>
  <c r="AA288" i="26" s="1"/>
  <c r="N288" i="26"/>
  <c r="O288" i="26" s="1"/>
  <c r="D288" i="26"/>
  <c r="P289" i="28"/>
  <c r="J289" i="28"/>
  <c r="J289" i="26"/>
  <c r="A290" i="26"/>
  <c r="B290" i="27"/>
  <c r="A291" i="27"/>
  <c r="J290" i="27"/>
  <c r="P290" i="27"/>
  <c r="A290" i="28"/>
  <c r="B289" i="26"/>
  <c r="N289" i="27"/>
  <c r="O289" i="27" s="1"/>
  <c r="D289" i="27"/>
  <c r="L289" i="27"/>
  <c r="B289" i="28"/>
  <c r="X289" i="26"/>
  <c r="P289" i="26"/>
  <c r="AC288" i="26"/>
  <c r="L287" i="25"/>
  <c r="K287" i="29"/>
  <c r="F287" i="25"/>
  <c r="N287" i="25"/>
  <c r="O287" i="25" s="1"/>
  <c r="G287" i="25"/>
  <c r="D287" i="25"/>
  <c r="H287" i="25"/>
  <c r="H287" i="30"/>
  <c r="G287" i="30"/>
  <c r="F287" i="30"/>
  <c r="N287" i="30"/>
  <c r="O287" i="30" s="1"/>
  <c r="D287" i="30"/>
  <c r="L287" i="30"/>
  <c r="K287" i="30" s="1"/>
  <c r="Q287" i="30" s="1"/>
  <c r="R287" i="30" s="1"/>
  <c r="A289" i="25"/>
  <c r="P289" i="29"/>
  <c r="B289" i="29"/>
  <c r="J289" i="29"/>
  <c r="A290" i="29"/>
  <c r="A289" i="30"/>
  <c r="J288" i="30"/>
  <c r="P288" i="30"/>
  <c r="B288" i="30"/>
  <c r="J288" i="25"/>
  <c r="B288" i="25"/>
  <c r="F288" i="29"/>
  <c r="H288" i="29"/>
  <c r="G288" i="29"/>
  <c r="N288" i="29"/>
  <c r="O288" i="29" s="1"/>
  <c r="L288" i="29"/>
  <c r="D288" i="29"/>
  <c r="P288" i="25"/>
  <c r="F290" i="27" l="1"/>
  <c r="G290" i="27"/>
  <c r="H290" i="27"/>
  <c r="I285" i="25"/>
  <c r="V285" i="25" s="1"/>
  <c r="C286" i="25"/>
  <c r="U286" i="25" s="1"/>
  <c r="Q286" i="25"/>
  <c r="R286" i="25" s="1"/>
  <c r="K287" i="25"/>
  <c r="Q287" i="29"/>
  <c r="R287" i="29" s="1"/>
  <c r="C287" i="29"/>
  <c r="K288" i="26"/>
  <c r="Q288" i="27"/>
  <c r="R288" i="27" s="1"/>
  <c r="C288" i="27"/>
  <c r="AD287" i="26"/>
  <c r="Q287" i="26"/>
  <c r="R287" i="26" s="1"/>
  <c r="C287" i="30"/>
  <c r="T287" i="30" s="1"/>
  <c r="Z286" i="26"/>
  <c r="L288" i="25"/>
  <c r="K288" i="29"/>
  <c r="H288" i="25"/>
  <c r="G288" i="25"/>
  <c r="D288" i="25"/>
  <c r="N288" i="25"/>
  <c r="O288" i="25" s="1"/>
  <c r="F288" i="25"/>
  <c r="H288" i="30"/>
  <c r="G288" i="30"/>
  <c r="F288" i="30"/>
  <c r="N288" i="30"/>
  <c r="O288" i="30" s="1"/>
  <c r="D288" i="30"/>
  <c r="L288" i="30"/>
  <c r="K288" i="30" s="1"/>
  <c r="Q288" i="30" s="1"/>
  <c r="R288" i="30" s="1"/>
  <c r="P289" i="30"/>
  <c r="B289" i="30"/>
  <c r="J289" i="30"/>
  <c r="A290" i="25"/>
  <c r="P290" i="29"/>
  <c r="B290" i="29"/>
  <c r="J290" i="29"/>
  <c r="A291" i="29"/>
  <c r="A290" i="30"/>
  <c r="J289" i="25"/>
  <c r="B289" i="25"/>
  <c r="F289" i="29"/>
  <c r="H289" i="29"/>
  <c r="G289" i="29"/>
  <c r="N289" i="29"/>
  <c r="O289" i="29" s="1"/>
  <c r="L289" i="29"/>
  <c r="D289" i="29"/>
  <c r="P289" i="25"/>
  <c r="G289" i="28"/>
  <c r="F289" i="28"/>
  <c r="H289" i="28"/>
  <c r="D289" i="28"/>
  <c r="N289" i="28"/>
  <c r="O289" i="28" s="1"/>
  <c r="L289" i="28"/>
  <c r="K289" i="28" s="1"/>
  <c r="L289" i="26"/>
  <c r="K289" i="27"/>
  <c r="F289" i="26"/>
  <c r="Y289" i="26"/>
  <c r="AA289" i="26" s="1"/>
  <c r="N289" i="26"/>
  <c r="O289" i="26" s="1"/>
  <c r="D289" i="26"/>
  <c r="H289" i="26"/>
  <c r="G289" i="26"/>
  <c r="P290" i="28"/>
  <c r="J290" i="28"/>
  <c r="J290" i="26"/>
  <c r="A291" i="26"/>
  <c r="B291" i="27"/>
  <c r="A292" i="27"/>
  <c r="J291" i="27"/>
  <c r="P291" i="27"/>
  <c r="A291" i="28"/>
  <c r="B290" i="26"/>
  <c r="N290" i="27"/>
  <c r="O290" i="27" s="1"/>
  <c r="D290" i="27"/>
  <c r="L290" i="27"/>
  <c r="B290" i="28"/>
  <c r="X290" i="26"/>
  <c r="P290" i="26"/>
  <c r="AC289" i="26"/>
  <c r="F291" i="27" l="1"/>
  <c r="G291" i="27"/>
  <c r="H291" i="27"/>
  <c r="C288" i="30"/>
  <c r="T288" i="30" s="1"/>
  <c r="Z287" i="26"/>
  <c r="Q287" i="25"/>
  <c r="R287" i="25" s="1"/>
  <c r="C287" i="25"/>
  <c r="U287" i="25" s="1"/>
  <c r="I286" i="25"/>
  <c r="V286" i="25" s="1"/>
  <c r="K288" i="25"/>
  <c r="Q288" i="29"/>
  <c r="R288" i="29" s="1"/>
  <c r="C288" i="29"/>
  <c r="AD288" i="26"/>
  <c r="Q288" i="26"/>
  <c r="R288" i="26" s="1"/>
  <c r="Q289" i="28"/>
  <c r="R289" i="28" s="1"/>
  <c r="K289" i="26"/>
  <c r="Q289" i="27"/>
  <c r="R289" i="27" s="1"/>
  <c r="C289" i="27"/>
  <c r="F290" i="28"/>
  <c r="N290" i="28"/>
  <c r="O290" i="28" s="1"/>
  <c r="L290" i="28"/>
  <c r="K290" i="28" s="1"/>
  <c r="Q290" i="28" s="1"/>
  <c r="R290" i="28" s="1"/>
  <c r="H290" i="28"/>
  <c r="G290" i="28"/>
  <c r="D290" i="28"/>
  <c r="L290" i="26"/>
  <c r="K290" i="27"/>
  <c r="D290" i="26"/>
  <c r="H290" i="26"/>
  <c r="G290" i="26"/>
  <c r="F290" i="26"/>
  <c r="Y290" i="26"/>
  <c r="AA290" i="26" s="1"/>
  <c r="N290" i="26"/>
  <c r="O290" i="26" s="1"/>
  <c r="P291" i="28"/>
  <c r="J291" i="28"/>
  <c r="J291" i="26"/>
  <c r="A292" i="26"/>
  <c r="B292" i="27"/>
  <c r="A293" i="27"/>
  <c r="J292" i="27"/>
  <c r="P292" i="27"/>
  <c r="A292" i="28"/>
  <c r="B291" i="26"/>
  <c r="N291" i="27"/>
  <c r="O291" i="27" s="1"/>
  <c r="D291" i="27"/>
  <c r="L291" i="27"/>
  <c r="B291" i="28"/>
  <c r="P291" i="26"/>
  <c r="X291" i="26"/>
  <c r="AC290" i="26"/>
  <c r="L289" i="25"/>
  <c r="K289" i="29"/>
  <c r="H289" i="25"/>
  <c r="G289" i="25"/>
  <c r="D289" i="25"/>
  <c r="N289" i="25"/>
  <c r="O289" i="25" s="1"/>
  <c r="F289" i="25"/>
  <c r="P290" i="30"/>
  <c r="B290" i="30"/>
  <c r="J290" i="30"/>
  <c r="A291" i="25"/>
  <c r="P291" i="29"/>
  <c r="B291" i="29"/>
  <c r="J291" i="29"/>
  <c r="A292" i="29"/>
  <c r="A291" i="30"/>
  <c r="J290" i="25"/>
  <c r="B290" i="25"/>
  <c r="F290" i="29"/>
  <c r="H290" i="29"/>
  <c r="G290" i="29"/>
  <c r="N290" i="29"/>
  <c r="O290" i="29" s="1"/>
  <c r="L290" i="29"/>
  <c r="D290" i="29"/>
  <c r="P290" i="25"/>
  <c r="H289" i="30"/>
  <c r="G289" i="30"/>
  <c r="F289" i="30"/>
  <c r="N289" i="30"/>
  <c r="O289" i="30" s="1"/>
  <c r="D289" i="30"/>
  <c r="L289" i="30"/>
  <c r="K289" i="30" s="1"/>
  <c r="Q289" i="30" s="1"/>
  <c r="R289" i="30" s="1"/>
  <c r="F292" i="27" l="1"/>
  <c r="G292" i="27"/>
  <c r="H292" i="27"/>
  <c r="I287" i="25"/>
  <c r="V287" i="25" s="1"/>
  <c r="AD289" i="26"/>
  <c r="Q289" i="26"/>
  <c r="R289" i="26" s="1"/>
  <c r="K290" i="26"/>
  <c r="Q290" i="27"/>
  <c r="R290" i="27" s="1"/>
  <c r="C290" i="27"/>
  <c r="K289" i="25"/>
  <c r="Q289" i="29"/>
  <c r="R289" i="29" s="1"/>
  <c r="C289" i="29"/>
  <c r="Q288" i="25"/>
  <c r="R288" i="25" s="1"/>
  <c r="C288" i="25"/>
  <c r="U288" i="25" s="1"/>
  <c r="C289" i="30"/>
  <c r="T289" i="30" s="1"/>
  <c r="Z288" i="26"/>
  <c r="L290" i="25"/>
  <c r="K290" i="29"/>
  <c r="N290" i="25"/>
  <c r="O290" i="25" s="1"/>
  <c r="D290" i="25"/>
  <c r="H290" i="25"/>
  <c r="G290" i="25"/>
  <c r="F290" i="25"/>
  <c r="P291" i="30"/>
  <c r="B291" i="30"/>
  <c r="J291" i="30"/>
  <c r="A292" i="25"/>
  <c r="P292" i="29"/>
  <c r="B292" i="29"/>
  <c r="J292" i="29"/>
  <c r="A293" i="29"/>
  <c r="A292" i="30"/>
  <c r="J291" i="25"/>
  <c r="B291" i="25"/>
  <c r="F291" i="29"/>
  <c r="H291" i="29"/>
  <c r="G291" i="29"/>
  <c r="N291" i="29"/>
  <c r="O291" i="29" s="1"/>
  <c r="L291" i="29"/>
  <c r="D291" i="29"/>
  <c r="P291" i="25"/>
  <c r="G290" i="30"/>
  <c r="F290" i="30"/>
  <c r="N290" i="30"/>
  <c r="O290" i="30" s="1"/>
  <c r="D290" i="30"/>
  <c r="L290" i="30"/>
  <c r="K290" i="30" s="1"/>
  <c r="Q290" i="30" s="1"/>
  <c r="R290" i="30" s="1"/>
  <c r="H290" i="30"/>
  <c r="N291" i="28"/>
  <c r="O291" i="28" s="1"/>
  <c r="D291" i="28"/>
  <c r="H291" i="28"/>
  <c r="G291" i="28"/>
  <c r="F291" i="28"/>
  <c r="L291" i="28"/>
  <c r="K291" i="28" s="1"/>
  <c r="Q291" i="28" s="1"/>
  <c r="R291" i="28" s="1"/>
  <c r="L291" i="26"/>
  <c r="K291" i="27"/>
  <c r="H291" i="26"/>
  <c r="G291" i="26"/>
  <c r="F291" i="26"/>
  <c r="Y291" i="26"/>
  <c r="AA291" i="26" s="1"/>
  <c r="N291" i="26"/>
  <c r="O291" i="26" s="1"/>
  <c r="D291" i="26"/>
  <c r="J292" i="28"/>
  <c r="P292" i="28"/>
  <c r="J292" i="26"/>
  <c r="A293" i="26"/>
  <c r="B293" i="27"/>
  <c r="A294" i="27"/>
  <c r="J293" i="27"/>
  <c r="P293" i="27"/>
  <c r="A293" i="28"/>
  <c r="B292" i="26"/>
  <c r="N292" i="27"/>
  <c r="O292" i="27" s="1"/>
  <c r="D292" i="27"/>
  <c r="L292" i="27"/>
  <c r="B292" i="28"/>
  <c r="P292" i="26"/>
  <c r="X292" i="26"/>
  <c r="AC291" i="26"/>
  <c r="F293" i="27" l="1"/>
  <c r="G293" i="27"/>
  <c r="H293" i="27"/>
  <c r="K291" i="26"/>
  <c r="Q291" i="27"/>
  <c r="R291" i="27" s="1"/>
  <c r="C291" i="27"/>
  <c r="C289" i="25"/>
  <c r="U289" i="25" s="1"/>
  <c r="Q289" i="25"/>
  <c r="R289" i="25" s="1"/>
  <c r="C290" i="30"/>
  <c r="T290" i="30" s="1"/>
  <c r="I288" i="25"/>
  <c r="V288" i="25" s="1"/>
  <c r="Z289" i="26"/>
  <c r="K290" i="25"/>
  <c r="Q290" i="29"/>
  <c r="R290" i="29" s="1"/>
  <c r="C290" i="29"/>
  <c r="AD290" i="26"/>
  <c r="Q290" i="26"/>
  <c r="R290" i="26" s="1"/>
  <c r="N292" i="28"/>
  <c r="O292" i="28" s="1"/>
  <c r="D292" i="28"/>
  <c r="L292" i="28"/>
  <c r="K292" i="28" s="1"/>
  <c r="Q292" i="28" s="1"/>
  <c r="R292" i="28" s="1"/>
  <c r="H292" i="28"/>
  <c r="G292" i="28"/>
  <c r="F292" i="28"/>
  <c r="L292" i="26"/>
  <c r="K292" i="27"/>
  <c r="F292" i="26"/>
  <c r="Y292" i="26"/>
  <c r="AA292" i="26" s="1"/>
  <c r="N292" i="26"/>
  <c r="O292" i="26" s="1"/>
  <c r="H292" i="26"/>
  <c r="G292" i="26"/>
  <c r="D292" i="26"/>
  <c r="P293" i="28"/>
  <c r="J293" i="28"/>
  <c r="J293" i="26"/>
  <c r="A294" i="26"/>
  <c r="B294" i="27"/>
  <c r="A295" i="27"/>
  <c r="J294" i="27"/>
  <c r="P294" i="27"/>
  <c r="A294" i="28"/>
  <c r="B293" i="26"/>
  <c r="N293" i="27"/>
  <c r="O293" i="27" s="1"/>
  <c r="D293" i="27"/>
  <c r="L293" i="27"/>
  <c r="B293" i="28"/>
  <c r="P293" i="26"/>
  <c r="X293" i="26"/>
  <c r="AC292" i="26"/>
  <c r="L291" i="25"/>
  <c r="K291" i="29"/>
  <c r="D291" i="25"/>
  <c r="H291" i="25"/>
  <c r="N291" i="25"/>
  <c r="O291" i="25" s="1"/>
  <c r="G291" i="25"/>
  <c r="F291" i="25"/>
  <c r="B292" i="30"/>
  <c r="J292" i="30"/>
  <c r="P292" i="30"/>
  <c r="A293" i="25"/>
  <c r="P293" i="29"/>
  <c r="B293" i="29"/>
  <c r="J293" i="29"/>
  <c r="A294" i="29"/>
  <c r="A293" i="30"/>
  <c r="J292" i="25"/>
  <c r="B292" i="25"/>
  <c r="F292" i="29"/>
  <c r="H292" i="29"/>
  <c r="G292" i="29"/>
  <c r="N292" i="29"/>
  <c r="O292" i="29" s="1"/>
  <c r="L292" i="29"/>
  <c r="D292" i="29"/>
  <c r="P292" i="25"/>
  <c r="F291" i="30"/>
  <c r="N291" i="30"/>
  <c r="O291" i="30" s="1"/>
  <c r="D291" i="30"/>
  <c r="L291" i="30"/>
  <c r="K291" i="30" s="1"/>
  <c r="Q291" i="30" s="1"/>
  <c r="R291" i="30" s="1"/>
  <c r="H291" i="30"/>
  <c r="G291" i="30"/>
  <c r="F294" i="27" l="1"/>
  <c r="G294" i="27"/>
  <c r="H294" i="27"/>
  <c r="I289" i="25"/>
  <c r="V289" i="25" s="1"/>
  <c r="K291" i="25"/>
  <c r="Q291" i="29"/>
  <c r="R291" i="29" s="1"/>
  <c r="C291" i="29"/>
  <c r="K292" i="26"/>
  <c r="Q292" i="27"/>
  <c r="R292" i="27" s="1"/>
  <c r="C292" i="27"/>
  <c r="Q290" i="25"/>
  <c r="R290" i="25" s="1"/>
  <c r="C290" i="25"/>
  <c r="I290" i="25" s="1"/>
  <c r="V290" i="25" s="1"/>
  <c r="AD291" i="26"/>
  <c r="Q291" i="26"/>
  <c r="R291" i="26" s="1"/>
  <c r="C291" i="30"/>
  <c r="T291" i="30" s="1"/>
  <c r="Z290" i="26"/>
  <c r="L292" i="25"/>
  <c r="K292" i="29"/>
  <c r="G292" i="25"/>
  <c r="F292" i="25"/>
  <c r="H292" i="25"/>
  <c r="N292" i="25"/>
  <c r="O292" i="25" s="1"/>
  <c r="D292" i="25"/>
  <c r="B293" i="30"/>
  <c r="J293" i="30"/>
  <c r="P293" i="30"/>
  <c r="A294" i="25"/>
  <c r="P294" i="29"/>
  <c r="B294" i="29"/>
  <c r="J294" i="29"/>
  <c r="A294" i="30"/>
  <c r="A295" i="29"/>
  <c r="J293" i="25"/>
  <c r="B293" i="25"/>
  <c r="F293" i="29"/>
  <c r="H293" i="29"/>
  <c r="G293" i="29"/>
  <c r="N293" i="29"/>
  <c r="O293" i="29" s="1"/>
  <c r="L293" i="29"/>
  <c r="D293" i="29"/>
  <c r="P293" i="25"/>
  <c r="N292" i="30"/>
  <c r="O292" i="30" s="1"/>
  <c r="D292" i="30"/>
  <c r="L292" i="30"/>
  <c r="K292" i="30" s="1"/>
  <c r="Q292" i="30" s="1"/>
  <c r="R292" i="30" s="1"/>
  <c r="H292" i="30"/>
  <c r="G292" i="30"/>
  <c r="F292" i="30"/>
  <c r="L293" i="28"/>
  <c r="K293" i="28" s="1"/>
  <c r="Q293" i="28" s="1"/>
  <c r="R293" i="28" s="1"/>
  <c r="F293" i="28"/>
  <c r="D293" i="28"/>
  <c r="N293" i="28"/>
  <c r="O293" i="28" s="1"/>
  <c r="H293" i="28"/>
  <c r="G293" i="28"/>
  <c r="L293" i="26"/>
  <c r="K293" i="27"/>
  <c r="H293" i="26"/>
  <c r="G293" i="26"/>
  <c r="F293" i="26"/>
  <c r="Y293" i="26"/>
  <c r="AA293" i="26" s="1"/>
  <c r="N293" i="26"/>
  <c r="O293" i="26" s="1"/>
  <c r="D293" i="26"/>
  <c r="J294" i="28"/>
  <c r="P294" i="28"/>
  <c r="J294" i="26"/>
  <c r="A295" i="26"/>
  <c r="B295" i="27"/>
  <c r="A296" i="27"/>
  <c r="J295" i="27"/>
  <c r="P295" i="27"/>
  <c r="A295" i="28"/>
  <c r="B294" i="26"/>
  <c r="N294" i="27"/>
  <c r="O294" i="27" s="1"/>
  <c r="D294" i="27"/>
  <c r="L294" i="27"/>
  <c r="B294" i="28"/>
  <c r="P294" i="26"/>
  <c r="X294" i="26"/>
  <c r="AC293" i="26"/>
  <c r="G295" i="27" l="1"/>
  <c r="F295" i="27"/>
  <c r="H295" i="27"/>
  <c r="U290" i="25"/>
  <c r="C292" i="30"/>
  <c r="T292" i="30" s="1"/>
  <c r="AD292" i="26"/>
  <c r="Q292" i="26"/>
  <c r="R292" i="26" s="1"/>
  <c r="K293" i="26"/>
  <c r="Q293" i="27"/>
  <c r="R293" i="27" s="1"/>
  <c r="C293" i="27"/>
  <c r="Z291" i="26"/>
  <c r="C291" i="25"/>
  <c r="I291" i="25" s="1"/>
  <c r="V291" i="25" s="1"/>
  <c r="Q291" i="25"/>
  <c r="R291" i="25" s="1"/>
  <c r="K292" i="25"/>
  <c r="Q292" i="29"/>
  <c r="R292" i="29" s="1"/>
  <c r="C292" i="29"/>
  <c r="L294" i="28"/>
  <c r="K294" i="28" s="1"/>
  <c r="Q294" i="28" s="1"/>
  <c r="R294" i="28" s="1"/>
  <c r="H294" i="28"/>
  <c r="G294" i="28"/>
  <c r="F294" i="28"/>
  <c r="D294" i="28"/>
  <c r="N294" i="28"/>
  <c r="O294" i="28" s="1"/>
  <c r="L294" i="26"/>
  <c r="K294" i="27"/>
  <c r="G294" i="26"/>
  <c r="F294" i="26"/>
  <c r="Y294" i="26"/>
  <c r="AA294" i="26" s="1"/>
  <c r="N294" i="26"/>
  <c r="O294" i="26" s="1"/>
  <c r="D294" i="26"/>
  <c r="H294" i="26"/>
  <c r="J295" i="28"/>
  <c r="P295" i="28"/>
  <c r="J295" i="26"/>
  <c r="A296" i="26"/>
  <c r="B296" i="27"/>
  <c r="A297" i="27"/>
  <c r="J296" i="27"/>
  <c r="P296" i="27"/>
  <c r="A296" i="28"/>
  <c r="B295" i="26"/>
  <c r="N295" i="27"/>
  <c r="O295" i="27" s="1"/>
  <c r="D295" i="27"/>
  <c r="L295" i="27"/>
  <c r="B295" i="28"/>
  <c r="X295" i="26"/>
  <c r="P295" i="26"/>
  <c r="AC294" i="26"/>
  <c r="L293" i="25"/>
  <c r="K293" i="29"/>
  <c r="D293" i="25"/>
  <c r="H293" i="25"/>
  <c r="F293" i="25"/>
  <c r="N293" i="25"/>
  <c r="O293" i="25" s="1"/>
  <c r="G293" i="25"/>
  <c r="A295" i="25"/>
  <c r="P295" i="29"/>
  <c r="B295" i="29"/>
  <c r="J295" i="29"/>
  <c r="A295" i="30"/>
  <c r="A296" i="29"/>
  <c r="B294" i="30"/>
  <c r="J294" i="30"/>
  <c r="P294" i="30"/>
  <c r="J294" i="25"/>
  <c r="B294" i="25"/>
  <c r="F294" i="29"/>
  <c r="H294" i="29"/>
  <c r="G294" i="29"/>
  <c r="N294" i="29"/>
  <c r="O294" i="29" s="1"/>
  <c r="L294" i="29"/>
  <c r="D294" i="29"/>
  <c r="P294" i="25"/>
  <c r="N293" i="30"/>
  <c r="O293" i="30" s="1"/>
  <c r="D293" i="30"/>
  <c r="L293" i="30"/>
  <c r="K293" i="30" s="1"/>
  <c r="Q293" i="30" s="1"/>
  <c r="R293" i="30" s="1"/>
  <c r="H293" i="30"/>
  <c r="G293" i="30"/>
  <c r="F293" i="30"/>
  <c r="G296" i="27" l="1"/>
  <c r="F296" i="27"/>
  <c r="H296" i="27"/>
  <c r="U291" i="25"/>
  <c r="C293" i="30"/>
  <c r="T293" i="30" s="1"/>
  <c r="Q292" i="25"/>
  <c r="R292" i="25" s="1"/>
  <c r="C292" i="25"/>
  <c r="U292" i="25" s="1"/>
  <c r="Z292" i="26"/>
  <c r="K293" i="25"/>
  <c r="C293" i="29"/>
  <c r="Q293" i="29"/>
  <c r="R293" i="29" s="1"/>
  <c r="K294" i="26"/>
  <c r="Q294" i="27"/>
  <c r="R294" i="27" s="1"/>
  <c r="C294" i="27"/>
  <c r="AD293" i="26"/>
  <c r="Q293" i="26"/>
  <c r="R293" i="26" s="1"/>
  <c r="L294" i="25"/>
  <c r="K294" i="29"/>
  <c r="H294" i="25"/>
  <c r="F294" i="25"/>
  <c r="G294" i="25"/>
  <c r="D294" i="25"/>
  <c r="N294" i="25"/>
  <c r="O294" i="25" s="1"/>
  <c r="L294" i="30"/>
  <c r="K294" i="30" s="1"/>
  <c r="Q294" i="30" s="1"/>
  <c r="R294" i="30" s="1"/>
  <c r="H294" i="30"/>
  <c r="G294" i="30"/>
  <c r="F294" i="30"/>
  <c r="N294" i="30"/>
  <c r="O294" i="30" s="1"/>
  <c r="D294" i="30"/>
  <c r="A296" i="25"/>
  <c r="P296" i="29"/>
  <c r="B296" i="29"/>
  <c r="J296" i="29"/>
  <c r="A296" i="30"/>
  <c r="A297" i="29"/>
  <c r="B295" i="30"/>
  <c r="J295" i="30"/>
  <c r="P295" i="30"/>
  <c r="J295" i="25"/>
  <c r="B295" i="25"/>
  <c r="F295" i="29"/>
  <c r="H295" i="29"/>
  <c r="G295" i="29"/>
  <c r="N295" i="29"/>
  <c r="O295" i="29" s="1"/>
  <c r="L295" i="29"/>
  <c r="D295" i="29"/>
  <c r="P295" i="25"/>
  <c r="H295" i="28"/>
  <c r="D295" i="28"/>
  <c r="N295" i="28"/>
  <c r="O295" i="28" s="1"/>
  <c r="L295" i="28"/>
  <c r="K295" i="28" s="1"/>
  <c r="Q295" i="28" s="1"/>
  <c r="R295" i="28" s="1"/>
  <c r="G295" i="28"/>
  <c r="F295" i="28"/>
  <c r="L295" i="26"/>
  <c r="K295" i="27"/>
  <c r="Y295" i="26"/>
  <c r="AA295" i="26" s="1"/>
  <c r="N295" i="26"/>
  <c r="O295" i="26" s="1"/>
  <c r="D295" i="26"/>
  <c r="H295" i="26"/>
  <c r="G295" i="26"/>
  <c r="F295" i="26"/>
  <c r="J296" i="28"/>
  <c r="P296" i="28"/>
  <c r="J296" i="26"/>
  <c r="A297" i="26"/>
  <c r="B297" i="27"/>
  <c r="A298" i="27"/>
  <c r="J297" i="27"/>
  <c r="P297" i="27"/>
  <c r="A297" i="28"/>
  <c r="B296" i="26"/>
  <c r="N296" i="27"/>
  <c r="O296" i="27" s="1"/>
  <c r="D296" i="27"/>
  <c r="L296" i="27"/>
  <c r="B296" i="28"/>
  <c r="P296" i="26"/>
  <c r="X296" i="26"/>
  <c r="AC295" i="26"/>
  <c r="F297" i="27" l="1"/>
  <c r="G297" i="27"/>
  <c r="H297" i="27"/>
  <c r="I292" i="25"/>
  <c r="V292" i="25" s="1"/>
  <c r="K294" i="25"/>
  <c r="Q294" i="29"/>
  <c r="R294" i="29" s="1"/>
  <c r="C294" i="29"/>
  <c r="AD294" i="26"/>
  <c r="Q294" i="26"/>
  <c r="R294" i="26" s="1"/>
  <c r="Z293" i="26"/>
  <c r="K295" i="26"/>
  <c r="Q295" i="27"/>
  <c r="R295" i="27" s="1"/>
  <c r="C295" i="27"/>
  <c r="Q293" i="25"/>
  <c r="R293" i="25" s="1"/>
  <c r="C293" i="25"/>
  <c r="I293" i="25" s="1"/>
  <c r="V293" i="25" s="1"/>
  <c r="C294" i="30"/>
  <c r="T294" i="30" s="1"/>
  <c r="H296" i="28"/>
  <c r="G296" i="28"/>
  <c r="F296" i="28"/>
  <c r="D296" i="28"/>
  <c r="N296" i="28"/>
  <c r="O296" i="28" s="1"/>
  <c r="L296" i="28"/>
  <c r="K296" i="28" s="1"/>
  <c r="Q296" i="28" s="1"/>
  <c r="R296" i="28" s="1"/>
  <c r="L296" i="26"/>
  <c r="K296" i="27"/>
  <c r="H296" i="26"/>
  <c r="G296" i="26"/>
  <c r="F296" i="26"/>
  <c r="Y296" i="26"/>
  <c r="AA296" i="26" s="1"/>
  <c r="N296" i="26"/>
  <c r="O296" i="26" s="1"/>
  <c r="D296" i="26"/>
  <c r="P297" i="28"/>
  <c r="J297" i="28"/>
  <c r="J297" i="26"/>
  <c r="A298" i="26"/>
  <c r="B298" i="27"/>
  <c r="A299" i="27"/>
  <c r="J298" i="27"/>
  <c r="P298" i="27"/>
  <c r="A298" i="28"/>
  <c r="B297" i="26"/>
  <c r="N297" i="27"/>
  <c r="O297" i="27" s="1"/>
  <c r="D297" i="27"/>
  <c r="L297" i="27"/>
  <c r="B297" i="28"/>
  <c r="P297" i="26"/>
  <c r="X297" i="26"/>
  <c r="AC296" i="26"/>
  <c r="L295" i="25"/>
  <c r="K295" i="29"/>
  <c r="F295" i="25"/>
  <c r="N295" i="25"/>
  <c r="O295" i="25" s="1"/>
  <c r="H295" i="25"/>
  <c r="G295" i="25"/>
  <c r="D295" i="25"/>
  <c r="H295" i="30"/>
  <c r="G295" i="30"/>
  <c r="F295" i="30"/>
  <c r="N295" i="30"/>
  <c r="O295" i="30" s="1"/>
  <c r="D295" i="30"/>
  <c r="L295" i="30"/>
  <c r="K295" i="30" s="1"/>
  <c r="Q295" i="30" s="1"/>
  <c r="R295" i="30" s="1"/>
  <c r="A297" i="25"/>
  <c r="P297" i="29"/>
  <c r="B297" i="29"/>
  <c r="J297" i="29"/>
  <c r="A298" i="29"/>
  <c r="A297" i="30"/>
  <c r="J296" i="30"/>
  <c r="P296" i="30"/>
  <c r="B296" i="30"/>
  <c r="J296" i="25"/>
  <c r="B296" i="25"/>
  <c r="F296" i="29"/>
  <c r="H296" i="29"/>
  <c r="G296" i="29"/>
  <c r="N296" i="29"/>
  <c r="O296" i="29" s="1"/>
  <c r="L296" i="29"/>
  <c r="D296" i="29"/>
  <c r="P296" i="25"/>
  <c r="G298" i="27" l="1"/>
  <c r="H298" i="27"/>
  <c r="F298" i="27"/>
  <c r="K295" i="25"/>
  <c r="Q295" i="29"/>
  <c r="R295" i="29" s="1"/>
  <c r="C295" i="29"/>
  <c r="K296" i="26"/>
  <c r="Q296" i="27"/>
  <c r="R296" i="27" s="1"/>
  <c r="C296" i="27"/>
  <c r="Z294" i="26"/>
  <c r="C294" i="25"/>
  <c r="I294" i="25" s="1"/>
  <c r="V294" i="25" s="1"/>
  <c r="Q294" i="25"/>
  <c r="R294" i="25" s="1"/>
  <c r="U293" i="25"/>
  <c r="C295" i="30"/>
  <c r="T295" i="30" s="1"/>
  <c r="AD295" i="26"/>
  <c r="Q295" i="26"/>
  <c r="R295" i="26" s="1"/>
  <c r="L296" i="25"/>
  <c r="K296" i="29"/>
  <c r="F296" i="25"/>
  <c r="N296" i="25"/>
  <c r="O296" i="25" s="1"/>
  <c r="H296" i="25"/>
  <c r="G296" i="25"/>
  <c r="D296" i="25"/>
  <c r="H296" i="30"/>
  <c r="G296" i="30"/>
  <c r="F296" i="30"/>
  <c r="N296" i="30"/>
  <c r="O296" i="30" s="1"/>
  <c r="D296" i="30"/>
  <c r="L296" i="30"/>
  <c r="K296" i="30" s="1"/>
  <c r="Q296" i="30" s="1"/>
  <c r="R296" i="30" s="1"/>
  <c r="P297" i="30"/>
  <c r="B297" i="30"/>
  <c r="J297" i="30"/>
  <c r="A298" i="25"/>
  <c r="P298" i="29"/>
  <c r="B298" i="29"/>
  <c r="J298" i="29"/>
  <c r="A299" i="29"/>
  <c r="A298" i="30"/>
  <c r="J297" i="25"/>
  <c r="B297" i="25"/>
  <c r="F297" i="29"/>
  <c r="H297" i="29"/>
  <c r="G297" i="29"/>
  <c r="N297" i="29"/>
  <c r="O297" i="29" s="1"/>
  <c r="L297" i="29"/>
  <c r="D297" i="29"/>
  <c r="P297" i="25"/>
  <c r="G297" i="28"/>
  <c r="F297" i="28"/>
  <c r="N297" i="28"/>
  <c r="O297" i="28" s="1"/>
  <c r="L297" i="28"/>
  <c r="K297" i="28" s="1"/>
  <c r="Q297" i="28" s="1"/>
  <c r="R297" i="28" s="1"/>
  <c r="H297" i="28"/>
  <c r="D297" i="28"/>
  <c r="L297" i="26"/>
  <c r="K297" i="27"/>
  <c r="H297" i="26"/>
  <c r="G297" i="26"/>
  <c r="F297" i="26"/>
  <c r="Y297" i="26"/>
  <c r="AA297" i="26" s="1"/>
  <c r="N297" i="26"/>
  <c r="O297" i="26" s="1"/>
  <c r="D297" i="26"/>
  <c r="P298" i="28"/>
  <c r="J298" i="28"/>
  <c r="J298" i="26"/>
  <c r="A299" i="26"/>
  <c r="B299" i="27"/>
  <c r="A300" i="27"/>
  <c r="J299" i="27"/>
  <c r="P299" i="27"/>
  <c r="A299" i="28"/>
  <c r="B298" i="26"/>
  <c r="N298" i="27"/>
  <c r="O298" i="27" s="1"/>
  <c r="D298" i="27"/>
  <c r="L298" i="27"/>
  <c r="B298" i="28"/>
  <c r="P298" i="26"/>
  <c r="X298" i="26"/>
  <c r="AC297" i="26"/>
  <c r="G299" i="27" l="1"/>
  <c r="F299" i="27"/>
  <c r="H299" i="27"/>
  <c r="U294" i="25"/>
  <c r="C296" i="30"/>
  <c r="T296" i="30" s="1"/>
  <c r="Q295" i="25"/>
  <c r="R295" i="25" s="1"/>
  <c r="C295" i="25"/>
  <c r="U295" i="25" s="1"/>
  <c r="K297" i="26"/>
  <c r="Q297" i="27"/>
  <c r="R297" i="27" s="1"/>
  <c r="C297" i="27"/>
  <c r="K296" i="25"/>
  <c r="Q296" i="29"/>
  <c r="R296" i="29" s="1"/>
  <c r="C296" i="29"/>
  <c r="Z295" i="26"/>
  <c r="AD296" i="26"/>
  <c r="Q296" i="26"/>
  <c r="R296" i="26" s="1"/>
  <c r="F298" i="28"/>
  <c r="G298" i="28"/>
  <c r="D298" i="28"/>
  <c r="N298" i="28"/>
  <c r="O298" i="28" s="1"/>
  <c r="L298" i="28"/>
  <c r="K298" i="28" s="1"/>
  <c r="Q298" i="28" s="1"/>
  <c r="R298" i="28" s="1"/>
  <c r="H298" i="28"/>
  <c r="L298" i="26"/>
  <c r="K298" i="27"/>
  <c r="G298" i="26"/>
  <c r="F298" i="26"/>
  <c r="Y298" i="26"/>
  <c r="AA298" i="26" s="1"/>
  <c r="N298" i="26"/>
  <c r="O298" i="26" s="1"/>
  <c r="D298" i="26"/>
  <c r="H298" i="26"/>
  <c r="J299" i="28"/>
  <c r="P299" i="28"/>
  <c r="J299" i="26"/>
  <c r="A300" i="26"/>
  <c r="B300" i="27"/>
  <c r="A301" i="27"/>
  <c r="J300" i="27"/>
  <c r="P300" i="27"/>
  <c r="A300" i="28"/>
  <c r="B299" i="26"/>
  <c r="N299" i="27"/>
  <c r="O299" i="27" s="1"/>
  <c r="D299" i="27"/>
  <c r="L299" i="27"/>
  <c r="B299" i="28"/>
  <c r="X299" i="26"/>
  <c r="P299" i="26"/>
  <c r="AC298" i="26"/>
  <c r="L297" i="25"/>
  <c r="K297" i="29"/>
  <c r="H297" i="25"/>
  <c r="G297" i="25"/>
  <c r="F297" i="25"/>
  <c r="N297" i="25"/>
  <c r="O297" i="25" s="1"/>
  <c r="D297" i="25"/>
  <c r="P298" i="30"/>
  <c r="B298" i="30"/>
  <c r="J298" i="30"/>
  <c r="A299" i="25"/>
  <c r="P299" i="29"/>
  <c r="B299" i="29"/>
  <c r="J299" i="29"/>
  <c r="A300" i="29"/>
  <c r="A299" i="30"/>
  <c r="J298" i="25"/>
  <c r="B298" i="25"/>
  <c r="F298" i="29"/>
  <c r="H298" i="29"/>
  <c r="G298" i="29"/>
  <c r="N298" i="29"/>
  <c r="O298" i="29" s="1"/>
  <c r="L298" i="29"/>
  <c r="D298" i="29"/>
  <c r="P298" i="25"/>
  <c r="H297" i="30"/>
  <c r="G297" i="30"/>
  <c r="F297" i="30"/>
  <c r="N297" i="30"/>
  <c r="O297" i="30" s="1"/>
  <c r="D297" i="30"/>
  <c r="L297" i="30"/>
  <c r="K297" i="30" s="1"/>
  <c r="Q297" i="30" s="1"/>
  <c r="R297" i="30" s="1"/>
  <c r="G300" i="27" l="1"/>
  <c r="H300" i="27"/>
  <c r="F300" i="27"/>
  <c r="I295" i="25"/>
  <c r="V295" i="25" s="1"/>
  <c r="C297" i="30"/>
  <c r="T297" i="30" s="1"/>
  <c r="Q296" i="25"/>
  <c r="R296" i="25" s="1"/>
  <c r="C296" i="25"/>
  <c r="U296" i="25" s="1"/>
  <c r="Z296" i="26"/>
  <c r="K297" i="25"/>
  <c r="Q297" i="29"/>
  <c r="R297" i="29" s="1"/>
  <c r="C297" i="29"/>
  <c r="K298" i="26"/>
  <c r="Q298" i="27"/>
  <c r="R298" i="27" s="1"/>
  <c r="C298" i="27"/>
  <c r="AD297" i="26"/>
  <c r="Q297" i="26"/>
  <c r="R297" i="26" s="1"/>
  <c r="L298" i="25"/>
  <c r="K298" i="29"/>
  <c r="H298" i="25"/>
  <c r="G298" i="25"/>
  <c r="F298" i="25"/>
  <c r="N298" i="25"/>
  <c r="O298" i="25" s="1"/>
  <c r="D298" i="25"/>
  <c r="P299" i="30"/>
  <c r="B299" i="30"/>
  <c r="J299" i="30"/>
  <c r="A300" i="25"/>
  <c r="P300" i="29"/>
  <c r="B300" i="29"/>
  <c r="J300" i="29"/>
  <c r="A301" i="29"/>
  <c r="A300" i="30"/>
  <c r="J299" i="25"/>
  <c r="B299" i="25"/>
  <c r="F299" i="29"/>
  <c r="H299" i="29"/>
  <c r="G299" i="29"/>
  <c r="N299" i="29"/>
  <c r="O299" i="29" s="1"/>
  <c r="L299" i="29"/>
  <c r="D299" i="29"/>
  <c r="P299" i="25"/>
  <c r="G298" i="30"/>
  <c r="F298" i="30"/>
  <c r="N298" i="30"/>
  <c r="O298" i="30" s="1"/>
  <c r="D298" i="30"/>
  <c r="L298" i="30"/>
  <c r="K298" i="30" s="1"/>
  <c r="Q298" i="30" s="1"/>
  <c r="R298" i="30" s="1"/>
  <c r="H298" i="30"/>
  <c r="N299" i="28"/>
  <c r="O299" i="28" s="1"/>
  <c r="D299" i="28"/>
  <c r="H299" i="28"/>
  <c r="G299" i="28"/>
  <c r="F299" i="28"/>
  <c r="L299" i="28"/>
  <c r="K299" i="28" s="1"/>
  <c r="Q299" i="28" s="1"/>
  <c r="R299" i="28" s="1"/>
  <c r="L299" i="26"/>
  <c r="K299" i="27"/>
  <c r="Y299" i="26"/>
  <c r="AA299" i="26" s="1"/>
  <c r="N299" i="26"/>
  <c r="O299" i="26" s="1"/>
  <c r="D299" i="26"/>
  <c r="H299" i="26"/>
  <c r="G299" i="26"/>
  <c r="F299" i="26"/>
  <c r="P300" i="28"/>
  <c r="J300" i="28"/>
  <c r="J300" i="26"/>
  <c r="A301" i="26"/>
  <c r="B301" i="27"/>
  <c r="A302" i="27"/>
  <c r="J301" i="27"/>
  <c r="P301" i="27"/>
  <c r="A301" i="28"/>
  <c r="B300" i="26"/>
  <c r="N300" i="27"/>
  <c r="O300" i="27" s="1"/>
  <c r="D300" i="27"/>
  <c r="L300" i="27"/>
  <c r="B300" i="28"/>
  <c r="P300" i="26"/>
  <c r="X300" i="26"/>
  <c r="AC299" i="26"/>
  <c r="G301" i="27" l="1"/>
  <c r="F301" i="27"/>
  <c r="H301" i="27"/>
  <c r="I296" i="25"/>
  <c r="V296" i="25" s="1"/>
  <c r="C298" i="30"/>
  <c r="T298" i="30" s="1"/>
  <c r="Z297" i="26"/>
  <c r="C297" i="25"/>
  <c r="I297" i="25" s="1"/>
  <c r="V297" i="25" s="1"/>
  <c r="Q297" i="25"/>
  <c r="R297" i="25" s="1"/>
  <c r="K298" i="25"/>
  <c r="Q298" i="29"/>
  <c r="R298" i="29" s="1"/>
  <c r="C298" i="29"/>
  <c r="AD298" i="26"/>
  <c r="Q298" i="26"/>
  <c r="R298" i="26" s="1"/>
  <c r="K299" i="26"/>
  <c r="Q299" i="27"/>
  <c r="R299" i="27" s="1"/>
  <c r="C299" i="27"/>
  <c r="N300" i="28"/>
  <c r="O300" i="28" s="1"/>
  <c r="D300" i="28"/>
  <c r="L300" i="28"/>
  <c r="K300" i="28" s="1"/>
  <c r="Q300" i="28" s="1"/>
  <c r="R300" i="28" s="1"/>
  <c r="H300" i="28"/>
  <c r="G300" i="28"/>
  <c r="F300" i="28"/>
  <c r="L300" i="26"/>
  <c r="K300" i="27"/>
  <c r="H300" i="26"/>
  <c r="G300" i="26"/>
  <c r="F300" i="26"/>
  <c r="Y300" i="26"/>
  <c r="AA300" i="26" s="1"/>
  <c r="N300" i="26"/>
  <c r="O300" i="26" s="1"/>
  <c r="D300" i="26"/>
  <c r="P301" i="28"/>
  <c r="J301" i="28"/>
  <c r="J301" i="26"/>
  <c r="A302" i="26"/>
  <c r="B302" i="27"/>
  <c r="A303" i="27"/>
  <c r="J302" i="27"/>
  <c r="P302" i="27"/>
  <c r="A302" i="28"/>
  <c r="B301" i="26"/>
  <c r="N301" i="27"/>
  <c r="O301" i="27" s="1"/>
  <c r="D301" i="27"/>
  <c r="L301" i="27"/>
  <c r="B301" i="28"/>
  <c r="P301" i="26"/>
  <c r="X301" i="26"/>
  <c r="AC300" i="26"/>
  <c r="L299" i="25"/>
  <c r="K299" i="29"/>
  <c r="F299" i="25"/>
  <c r="N299" i="25"/>
  <c r="O299" i="25" s="1"/>
  <c r="H299" i="25"/>
  <c r="D299" i="25"/>
  <c r="G299" i="25"/>
  <c r="B300" i="30"/>
  <c r="J300" i="30"/>
  <c r="P300" i="30"/>
  <c r="A301" i="25"/>
  <c r="P301" i="29"/>
  <c r="B301" i="29"/>
  <c r="J301" i="29"/>
  <c r="A302" i="29"/>
  <c r="A301" i="30"/>
  <c r="J300" i="25"/>
  <c r="B300" i="25"/>
  <c r="F300" i="29"/>
  <c r="H300" i="29"/>
  <c r="G300" i="29"/>
  <c r="N300" i="29"/>
  <c r="O300" i="29" s="1"/>
  <c r="L300" i="29"/>
  <c r="D300" i="29"/>
  <c r="P300" i="25"/>
  <c r="F299" i="30"/>
  <c r="N299" i="30"/>
  <c r="O299" i="30" s="1"/>
  <c r="D299" i="30"/>
  <c r="L299" i="30"/>
  <c r="K299" i="30" s="1"/>
  <c r="Q299" i="30" s="1"/>
  <c r="R299" i="30" s="1"/>
  <c r="H299" i="30"/>
  <c r="G299" i="30"/>
  <c r="G302" i="27" l="1"/>
  <c r="H302" i="27"/>
  <c r="F302" i="27"/>
  <c r="C299" i="30"/>
  <c r="T299" i="30" s="1"/>
  <c r="Z298" i="26"/>
  <c r="U297" i="25"/>
  <c r="AD299" i="26"/>
  <c r="Q299" i="26"/>
  <c r="R299" i="26" s="1"/>
  <c r="K299" i="25"/>
  <c r="Q299" i="29"/>
  <c r="R299" i="29" s="1"/>
  <c r="C299" i="29"/>
  <c r="K300" i="26"/>
  <c r="Q300" i="27"/>
  <c r="R300" i="27" s="1"/>
  <c r="C300" i="27"/>
  <c r="Q298" i="25"/>
  <c r="R298" i="25" s="1"/>
  <c r="C298" i="25"/>
  <c r="I298" i="25" s="1"/>
  <c r="V298" i="25" s="1"/>
  <c r="L300" i="25"/>
  <c r="K300" i="29"/>
  <c r="N300" i="25"/>
  <c r="O300" i="25" s="1"/>
  <c r="F300" i="25"/>
  <c r="H300" i="25"/>
  <c r="G300" i="25"/>
  <c r="D300" i="25"/>
  <c r="B301" i="30"/>
  <c r="J301" i="30"/>
  <c r="P301" i="30"/>
  <c r="A302" i="25"/>
  <c r="P302" i="29"/>
  <c r="B302" i="29"/>
  <c r="J302" i="29"/>
  <c r="A302" i="30"/>
  <c r="A303" i="29"/>
  <c r="J301" i="25"/>
  <c r="B301" i="25"/>
  <c r="F301" i="29"/>
  <c r="H301" i="29"/>
  <c r="G301" i="29"/>
  <c r="N301" i="29"/>
  <c r="O301" i="29" s="1"/>
  <c r="L301" i="29"/>
  <c r="D301" i="29"/>
  <c r="P301" i="25"/>
  <c r="N300" i="30"/>
  <c r="O300" i="30" s="1"/>
  <c r="D300" i="30"/>
  <c r="L300" i="30"/>
  <c r="K300" i="30" s="1"/>
  <c r="Q300" i="30" s="1"/>
  <c r="R300" i="30" s="1"/>
  <c r="H300" i="30"/>
  <c r="G300" i="30"/>
  <c r="F300" i="30"/>
  <c r="L301" i="28"/>
  <c r="K301" i="28" s="1"/>
  <c r="Q301" i="28" s="1"/>
  <c r="R301" i="28" s="1"/>
  <c r="H301" i="28"/>
  <c r="G301" i="28"/>
  <c r="F301" i="28"/>
  <c r="D301" i="28"/>
  <c r="N301" i="28"/>
  <c r="O301" i="28" s="1"/>
  <c r="L301" i="26"/>
  <c r="K301" i="27"/>
  <c r="H301" i="26"/>
  <c r="G301" i="26"/>
  <c r="F301" i="26"/>
  <c r="Y301" i="26"/>
  <c r="AA301" i="26" s="1"/>
  <c r="N301" i="26"/>
  <c r="O301" i="26" s="1"/>
  <c r="D301" i="26"/>
  <c r="J302" i="28"/>
  <c r="P302" i="28"/>
  <c r="J302" i="26"/>
  <c r="A303" i="26"/>
  <c r="B303" i="27"/>
  <c r="A304" i="27"/>
  <c r="J303" i="27"/>
  <c r="P303" i="27"/>
  <c r="A303" i="28"/>
  <c r="B302" i="26"/>
  <c r="N302" i="27"/>
  <c r="O302" i="27" s="1"/>
  <c r="D302" i="27"/>
  <c r="L302" i="27"/>
  <c r="B302" i="28"/>
  <c r="P302" i="26"/>
  <c r="X302" i="26"/>
  <c r="AC301" i="26"/>
  <c r="F303" i="27" l="1"/>
  <c r="G303" i="27"/>
  <c r="H303" i="27"/>
  <c r="C300" i="30"/>
  <c r="T300" i="30" s="1"/>
  <c r="K300" i="25"/>
  <c r="C300" i="29"/>
  <c r="Q300" i="29"/>
  <c r="R300" i="29" s="1"/>
  <c r="Q299" i="25"/>
  <c r="R299" i="25" s="1"/>
  <c r="C299" i="25"/>
  <c r="U299" i="25" s="1"/>
  <c r="AD300" i="26"/>
  <c r="Q300" i="26"/>
  <c r="R300" i="26" s="1"/>
  <c r="U298" i="25"/>
  <c r="Z299" i="26"/>
  <c r="K301" i="26"/>
  <c r="Q301" i="27"/>
  <c r="R301" i="27" s="1"/>
  <c r="C301" i="27"/>
  <c r="N302" i="28"/>
  <c r="O302" i="28" s="1"/>
  <c r="L302" i="28"/>
  <c r="K302" i="28" s="1"/>
  <c r="H302" i="28"/>
  <c r="G302" i="28"/>
  <c r="F302" i="28"/>
  <c r="D302" i="28"/>
  <c r="L302" i="26"/>
  <c r="K302" i="27"/>
  <c r="G302" i="26"/>
  <c r="F302" i="26"/>
  <c r="Y302" i="26"/>
  <c r="AA302" i="26" s="1"/>
  <c r="N302" i="26"/>
  <c r="O302" i="26" s="1"/>
  <c r="D302" i="26"/>
  <c r="H302" i="26"/>
  <c r="J303" i="28"/>
  <c r="P303" i="28"/>
  <c r="J303" i="26"/>
  <c r="A304" i="26"/>
  <c r="B304" i="27"/>
  <c r="J304" i="27"/>
  <c r="A305" i="27"/>
  <c r="P304" i="27"/>
  <c r="A304" i="28"/>
  <c r="B303" i="26"/>
  <c r="N303" i="27"/>
  <c r="O303" i="27" s="1"/>
  <c r="D303" i="27"/>
  <c r="L303" i="27"/>
  <c r="B303" i="28"/>
  <c r="X303" i="26"/>
  <c r="P303" i="26"/>
  <c r="AC302" i="26"/>
  <c r="L301" i="25"/>
  <c r="K301" i="29"/>
  <c r="H301" i="25"/>
  <c r="G301" i="25"/>
  <c r="D301" i="25"/>
  <c r="N301" i="25"/>
  <c r="O301" i="25" s="1"/>
  <c r="F301" i="25"/>
  <c r="A303" i="25"/>
  <c r="P303" i="29"/>
  <c r="B303" i="29"/>
  <c r="J303" i="29"/>
  <c r="A303" i="30"/>
  <c r="A304" i="29"/>
  <c r="B302" i="30"/>
  <c r="J302" i="30"/>
  <c r="P302" i="30"/>
  <c r="J302" i="25"/>
  <c r="B302" i="25"/>
  <c r="F302" i="29"/>
  <c r="H302" i="29"/>
  <c r="G302" i="29"/>
  <c r="N302" i="29"/>
  <c r="O302" i="29" s="1"/>
  <c r="L302" i="29"/>
  <c r="D302" i="29"/>
  <c r="P302" i="25"/>
  <c r="N301" i="30"/>
  <c r="O301" i="30" s="1"/>
  <c r="D301" i="30"/>
  <c r="L301" i="30"/>
  <c r="K301" i="30" s="1"/>
  <c r="Q301" i="30" s="1"/>
  <c r="R301" i="30" s="1"/>
  <c r="H301" i="30"/>
  <c r="G301" i="30"/>
  <c r="F301" i="30"/>
  <c r="G304" i="27" l="1"/>
  <c r="H304" i="27"/>
  <c r="F304" i="27"/>
  <c r="I299" i="25"/>
  <c r="V299" i="25" s="1"/>
  <c r="C301" i="30"/>
  <c r="T301" i="30" s="1"/>
  <c r="K301" i="25"/>
  <c r="Q301" i="29"/>
  <c r="R301" i="29" s="1"/>
  <c r="C301" i="29"/>
  <c r="K302" i="26"/>
  <c r="Q302" i="27"/>
  <c r="R302" i="27" s="1"/>
  <c r="C302" i="27"/>
  <c r="Q300" i="25"/>
  <c r="R300" i="25" s="1"/>
  <c r="C300" i="25"/>
  <c r="U300" i="25" s="1"/>
  <c r="AD301" i="26"/>
  <c r="Q301" i="26"/>
  <c r="R301" i="26" s="1"/>
  <c r="Z300" i="26"/>
  <c r="Q302" i="28"/>
  <c r="R302" i="28" s="1"/>
  <c r="L302" i="25"/>
  <c r="K302" i="29"/>
  <c r="N302" i="25"/>
  <c r="O302" i="25" s="1"/>
  <c r="D302" i="25"/>
  <c r="G302" i="25"/>
  <c r="F302" i="25"/>
  <c r="H302" i="25"/>
  <c r="L302" i="30"/>
  <c r="K302" i="30" s="1"/>
  <c r="Q302" i="30" s="1"/>
  <c r="R302" i="30" s="1"/>
  <c r="H302" i="30"/>
  <c r="G302" i="30"/>
  <c r="F302" i="30"/>
  <c r="N302" i="30"/>
  <c r="O302" i="30" s="1"/>
  <c r="D302" i="30"/>
  <c r="A304" i="25"/>
  <c r="P304" i="29"/>
  <c r="B304" i="29"/>
  <c r="J304" i="29"/>
  <c r="A304" i="30"/>
  <c r="A305" i="29"/>
  <c r="B303" i="30"/>
  <c r="J303" i="30"/>
  <c r="P303" i="30"/>
  <c r="J303" i="25"/>
  <c r="B303" i="25"/>
  <c r="F303" i="29"/>
  <c r="H303" i="29"/>
  <c r="G303" i="29"/>
  <c r="N303" i="29"/>
  <c r="O303" i="29" s="1"/>
  <c r="L303" i="29"/>
  <c r="D303" i="29"/>
  <c r="P303" i="25"/>
  <c r="H303" i="28"/>
  <c r="F303" i="28"/>
  <c r="D303" i="28"/>
  <c r="N303" i="28"/>
  <c r="O303" i="28" s="1"/>
  <c r="L303" i="28"/>
  <c r="K303" i="28" s="1"/>
  <c r="Q303" i="28" s="1"/>
  <c r="R303" i="28" s="1"/>
  <c r="G303" i="28"/>
  <c r="L303" i="26"/>
  <c r="K303" i="27"/>
  <c r="Y303" i="26"/>
  <c r="AA303" i="26" s="1"/>
  <c r="N303" i="26"/>
  <c r="O303" i="26" s="1"/>
  <c r="D303" i="26"/>
  <c r="H303" i="26"/>
  <c r="G303" i="26"/>
  <c r="F303" i="26"/>
  <c r="J304" i="28"/>
  <c r="P304" i="28"/>
  <c r="A305" i="26"/>
  <c r="A306" i="27"/>
  <c r="P305" i="27"/>
  <c r="B305" i="27"/>
  <c r="J305" i="27"/>
  <c r="A305" i="28"/>
  <c r="J304" i="26"/>
  <c r="B304" i="26"/>
  <c r="N304" i="27"/>
  <c r="O304" i="27" s="1"/>
  <c r="D304" i="27"/>
  <c r="L304" i="27"/>
  <c r="B304" i="28"/>
  <c r="P304" i="26"/>
  <c r="X304" i="26"/>
  <c r="AC303" i="26"/>
  <c r="G305" i="27" l="1"/>
  <c r="F305" i="27"/>
  <c r="H305" i="27"/>
  <c r="C302" i="30"/>
  <c r="T302" i="30" s="1"/>
  <c r="K302" i="25"/>
  <c r="Q302" i="29"/>
  <c r="R302" i="29" s="1"/>
  <c r="C302" i="29"/>
  <c r="Q301" i="25"/>
  <c r="R301" i="25" s="1"/>
  <c r="C301" i="25"/>
  <c r="I301" i="25" s="1"/>
  <c r="V301" i="25" s="1"/>
  <c r="Z301" i="26"/>
  <c r="I300" i="25"/>
  <c r="V300" i="25" s="1"/>
  <c r="AD302" i="26"/>
  <c r="Q302" i="26"/>
  <c r="R302" i="26" s="1"/>
  <c r="K303" i="26"/>
  <c r="Q303" i="27"/>
  <c r="R303" i="27" s="1"/>
  <c r="C303" i="27"/>
  <c r="H304" i="28"/>
  <c r="G304" i="28"/>
  <c r="L304" i="28"/>
  <c r="K304" i="28" s="1"/>
  <c r="Q304" i="28" s="1"/>
  <c r="R304" i="28" s="1"/>
  <c r="F304" i="28"/>
  <c r="D304" i="28"/>
  <c r="N304" i="28"/>
  <c r="O304" i="28" s="1"/>
  <c r="L304" i="26"/>
  <c r="K304" i="27"/>
  <c r="H304" i="26"/>
  <c r="G304" i="26"/>
  <c r="F304" i="26"/>
  <c r="Y304" i="26"/>
  <c r="AA304" i="26" s="1"/>
  <c r="N304" i="26"/>
  <c r="O304" i="26" s="1"/>
  <c r="D304" i="26"/>
  <c r="AC304" i="26"/>
  <c r="P305" i="28"/>
  <c r="J305" i="28"/>
  <c r="J305" i="26"/>
  <c r="B305" i="26"/>
  <c r="N305" i="27"/>
  <c r="O305" i="27" s="1"/>
  <c r="D305" i="27"/>
  <c r="L305" i="27"/>
  <c r="B305" i="28"/>
  <c r="A306" i="26"/>
  <c r="J306" i="27"/>
  <c r="A307" i="27"/>
  <c r="P306" i="27"/>
  <c r="B306" i="27"/>
  <c r="A306" i="28"/>
  <c r="P305" i="26"/>
  <c r="X305" i="26"/>
  <c r="L303" i="25"/>
  <c r="K303" i="29"/>
  <c r="H303" i="25"/>
  <c r="G303" i="25"/>
  <c r="D303" i="25"/>
  <c r="N303" i="25"/>
  <c r="O303" i="25" s="1"/>
  <c r="F303" i="25"/>
  <c r="H303" i="30"/>
  <c r="G303" i="30"/>
  <c r="F303" i="30"/>
  <c r="N303" i="30"/>
  <c r="O303" i="30" s="1"/>
  <c r="D303" i="30"/>
  <c r="L303" i="30"/>
  <c r="K303" i="30" s="1"/>
  <c r="Q303" i="30" s="1"/>
  <c r="R303" i="30" s="1"/>
  <c r="A305" i="25"/>
  <c r="P305" i="29"/>
  <c r="B305" i="29"/>
  <c r="J305" i="29"/>
  <c r="A306" i="29"/>
  <c r="A305" i="30"/>
  <c r="J304" i="30"/>
  <c r="P304" i="30"/>
  <c r="B304" i="30"/>
  <c r="J304" i="25"/>
  <c r="B304" i="25"/>
  <c r="F304" i="29"/>
  <c r="H304" i="29"/>
  <c r="G304" i="29"/>
  <c r="N304" i="29"/>
  <c r="O304" i="29" s="1"/>
  <c r="L304" i="29"/>
  <c r="D304" i="29"/>
  <c r="P304" i="25"/>
  <c r="G306" i="27" l="1"/>
  <c r="H306" i="27"/>
  <c r="F306" i="27"/>
  <c r="U301" i="25"/>
  <c r="C303" i="30"/>
  <c r="T303" i="30" s="1"/>
  <c r="K304" i="26"/>
  <c r="Q304" i="27"/>
  <c r="R304" i="27" s="1"/>
  <c r="C304" i="27"/>
  <c r="K303" i="25"/>
  <c r="Q303" i="29"/>
  <c r="R303" i="29" s="1"/>
  <c r="C303" i="29"/>
  <c r="Z302" i="26"/>
  <c r="Q302" i="25"/>
  <c r="R302" i="25" s="1"/>
  <c r="C302" i="25"/>
  <c r="I302" i="25" s="1"/>
  <c r="V302" i="25" s="1"/>
  <c r="AD303" i="26"/>
  <c r="Q303" i="26"/>
  <c r="R303" i="26" s="1"/>
  <c r="L304" i="25"/>
  <c r="K304" i="29"/>
  <c r="G304" i="25"/>
  <c r="F304" i="25"/>
  <c r="N304" i="25"/>
  <c r="O304" i="25" s="1"/>
  <c r="H304" i="25"/>
  <c r="D304" i="25"/>
  <c r="H304" i="30"/>
  <c r="G304" i="30"/>
  <c r="F304" i="30"/>
  <c r="N304" i="30"/>
  <c r="O304" i="30" s="1"/>
  <c r="D304" i="30"/>
  <c r="L304" i="30"/>
  <c r="K304" i="30" s="1"/>
  <c r="Q304" i="30" s="1"/>
  <c r="R304" i="30" s="1"/>
  <c r="P305" i="30"/>
  <c r="B305" i="30"/>
  <c r="J305" i="30"/>
  <c r="A306" i="25"/>
  <c r="P306" i="29"/>
  <c r="B306" i="29"/>
  <c r="J306" i="29"/>
  <c r="A307" i="29"/>
  <c r="A306" i="30"/>
  <c r="J305" i="25"/>
  <c r="B305" i="25"/>
  <c r="F305" i="29"/>
  <c r="H305" i="29"/>
  <c r="G305" i="29"/>
  <c r="N305" i="29"/>
  <c r="O305" i="29" s="1"/>
  <c r="L305" i="29"/>
  <c r="D305" i="29"/>
  <c r="P305" i="25"/>
  <c r="P306" i="28"/>
  <c r="J306" i="28"/>
  <c r="B306" i="26"/>
  <c r="N306" i="27"/>
  <c r="O306" i="27" s="1"/>
  <c r="D306" i="27"/>
  <c r="L306" i="27"/>
  <c r="B306" i="28"/>
  <c r="A307" i="26"/>
  <c r="A308" i="27"/>
  <c r="P307" i="27"/>
  <c r="B307" i="27"/>
  <c r="J307" i="27"/>
  <c r="A307" i="28"/>
  <c r="J306" i="26"/>
  <c r="P306" i="26"/>
  <c r="X306" i="26"/>
  <c r="G305" i="28"/>
  <c r="F305" i="28"/>
  <c r="D305" i="28"/>
  <c r="N305" i="28"/>
  <c r="O305" i="28" s="1"/>
  <c r="L305" i="28"/>
  <c r="K305" i="28" s="1"/>
  <c r="Q305" i="28" s="1"/>
  <c r="R305" i="28" s="1"/>
  <c r="H305" i="28"/>
  <c r="L305" i="26"/>
  <c r="K305" i="27"/>
  <c r="H305" i="26"/>
  <c r="G305" i="26"/>
  <c r="F305" i="26"/>
  <c r="Y305" i="26"/>
  <c r="AA305" i="26" s="1"/>
  <c r="N305" i="26"/>
  <c r="O305" i="26" s="1"/>
  <c r="D305" i="26"/>
  <c r="AC305" i="26"/>
  <c r="F307" i="27" l="1"/>
  <c r="G307" i="27"/>
  <c r="H307" i="27"/>
  <c r="C304" i="30"/>
  <c r="T304" i="30" s="1"/>
  <c r="Z303" i="26"/>
  <c r="C303" i="25"/>
  <c r="U303" i="25" s="1"/>
  <c r="Q303" i="25"/>
  <c r="R303" i="25" s="1"/>
  <c r="K304" i="25"/>
  <c r="Q304" i="29"/>
  <c r="R304" i="29" s="1"/>
  <c r="C304" i="29"/>
  <c r="K305" i="26"/>
  <c r="C305" i="27"/>
  <c r="Q305" i="27"/>
  <c r="R305" i="27" s="1"/>
  <c r="U302" i="25"/>
  <c r="AD304" i="26"/>
  <c r="Q304" i="26"/>
  <c r="R304" i="26" s="1"/>
  <c r="AC306" i="26"/>
  <c r="P307" i="28"/>
  <c r="J307" i="28"/>
  <c r="J307" i="26"/>
  <c r="B307" i="26"/>
  <c r="N307" i="27"/>
  <c r="O307" i="27" s="1"/>
  <c r="D307" i="27"/>
  <c r="L307" i="27"/>
  <c r="B307" i="28"/>
  <c r="A308" i="26"/>
  <c r="J308" i="27"/>
  <c r="A309" i="27"/>
  <c r="P308" i="27"/>
  <c r="B308" i="27"/>
  <c r="A308" i="28"/>
  <c r="X307" i="26"/>
  <c r="P307" i="26"/>
  <c r="F306" i="28"/>
  <c r="H306" i="28"/>
  <c r="G306" i="28"/>
  <c r="D306" i="28"/>
  <c r="N306" i="28"/>
  <c r="O306" i="28" s="1"/>
  <c r="L306" i="28"/>
  <c r="K306" i="28" s="1"/>
  <c r="Q306" i="28" s="1"/>
  <c r="R306" i="28" s="1"/>
  <c r="L306" i="26"/>
  <c r="K306" i="27"/>
  <c r="G306" i="26"/>
  <c r="F306" i="26"/>
  <c r="Y306" i="26"/>
  <c r="AA306" i="26" s="1"/>
  <c r="N306" i="26"/>
  <c r="O306" i="26" s="1"/>
  <c r="D306" i="26"/>
  <c r="H306" i="26"/>
  <c r="L305" i="25"/>
  <c r="K305" i="29"/>
  <c r="D305" i="25"/>
  <c r="N305" i="25"/>
  <c r="O305" i="25" s="1"/>
  <c r="H305" i="25"/>
  <c r="F305" i="25"/>
  <c r="G305" i="25"/>
  <c r="P306" i="30"/>
  <c r="B306" i="30"/>
  <c r="J306" i="30"/>
  <c r="A307" i="25"/>
  <c r="P307" i="29"/>
  <c r="B307" i="29"/>
  <c r="J307" i="29"/>
  <c r="A308" i="29"/>
  <c r="A307" i="30"/>
  <c r="J306" i="25"/>
  <c r="B306" i="25"/>
  <c r="F306" i="29"/>
  <c r="H306" i="29"/>
  <c r="G306" i="29"/>
  <c r="N306" i="29"/>
  <c r="O306" i="29" s="1"/>
  <c r="L306" i="29"/>
  <c r="D306" i="29"/>
  <c r="P306" i="25"/>
  <c r="H305" i="30"/>
  <c r="G305" i="30"/>
  <c r="F305" i="30"/>
  <c r="N305" i="30"/>
  <c r="O305" i="30" s="1"/>
  <c r="D305" i="30"/>
  <c r="L305" i="30"/>
  <c r="K305" i="30" s="1"/>
  <c r="G308" i="27" l="1"/>
  <c r="H308" i="27"/>
  <c r="F308" i="27"/>
  <c r="I303" i="25"/>
  <c r="V303" i="25" s="1"/>
  <c r="K306" i="26"/>
  <c r="Q306" i="27"/>
  <c r="R306" i="27" s="1"/>
  <c r="C306" i="27"/>
  <c r="AD305" i="26"/>
  <c r="Q305" i="26"/>
  <c r="R305" i="26" s="1"/>
  <c r="Q304" i="25"/>
  <c r="R304" i="25" s="1"/>
  <c r="C304" i="25"/>
  <c r="U304" i="25" s="1"/>
  <c r="Q305" i="30"/>
  <c r="R305" i="30" s="1"/>
  <c r="K305" i="25"/>
  <c r="Q305" i="29"/>
  <c r="R305" i="29" s="1"/>
  <c r="C305" i="29"/>
  <c r="Z304" i="26"/>
  <c r="C305" i="30"/>
  <c r="T305" i="30" s="1"/>
  <c r="L306" i="25"/>
  <c r="K306" i="29"/>
  <c r="H306" i="25"/>
  <c r="D306" i="25"/>
  <c r="F306" i="25"/>
  <c r="N306" i="25"/>
  <c r="O306" i="25" s="1"/>
  <c r="G306" i="25"/>
  <c r="P307" i="30"/>
  <c r="B307" i="30"/>
  <c r="J307" i="30"/>
  <c r="A308" i="25"/>
  <c r="P308" i="29"/>
  <c r="B308" i="29"/>
  <c r="J308" i="29"/>
  <c r="A309" i="29"/>
  <c r="A308" i="30"/>
  <c r="J307" i="25"/>
  <c r="B307" i="25"/>
  <c r="F307" i="29"/>
  <c r="H307" i="29"/>
  <c r="G307" i="29"/>
  <c r="N307" i="29"/>
  <c r="O307" i="29" s="1"/>
  <c r="L307" i="29"/>
  <c r="D307" i="29"/>
  <c r="P307" i="25"/>
  <c r="G306" i="30"/>
  <c r="F306" i="30"/>
  <c r="N306" i="30"/>
  <c r="O306" i="30" s="1"/>
  <c r="D306" i="30"/>
  <c r="L306" i="30"/>
  <c r="K306" i="30" s="1"/>
  <c r="Q306" i="30" s="1"/>
  <c r="R306" i="30" s="1"/>
  <c r="H306" i="30"/>
  <c r="P308" i="28"/>
  <c r="J308" i="28"/>
  <c r="B308" i="26"/>
  <c r="N308" i="27"/>
  <c r="O308" i="27" s="1"/>
  <c r="D308" i="27"/>
  <c r="L308" i="27"/>
  <c r="B308" i="28"/>
  <c r="A309" i="26"/>
  <c r="A310" i="27"/>
  <c r="P309" i="27"/>
  <c r="B309" i="27"/>
  <c r="J309" i="27"/>
  <c r="A309" i="28"/>
  <c r="J308" i="26"/>
  <c r="P308" i="26"/>
  <c r="X308" i="26"/>
  <c r="N307" i="28"/>
  <c r="O307" i="28" s="1"/>
  <c r="D307" i="28"/>
  <c r="L307" i="28"/>
  <c r="K307" i="28" s="1"/>
  <c r="Q307" i="28" s="1"/>
  <c r="R307" i="28" s="1"/>
  <c r="H307" i="28"/>
  <c r="G307" i="28"/>
  <c r="F307" i="28"/>
  <c r="L307" i="26"/>
  <c r="K307" i="27"/>
  <c r="Y307" i="26"/>
  <c r="AA307" i="26" s="1"/>
  <c r="N307" i="26"/>
  <c r="O307" i="26" s="1"/>
  <c r="D307" i="26"/>
  <c r="H307" i="26"/>
  <c r="G307" i="26"/>
  <c r="F307" i="26"/>
  <c r="AC307" i="26"/>
  <c r="G309" i="27" l="1"/>
  <c r="F309" i="27"/>
  <c r="H309" i="27"/>
  <c r="I304" i="25"/>
  <c r="V304" i="25" s="1"/>
  <c r="C306" i="30"/>
  <c r="T306" i="30" s="1"/>
  <c r="AD306" i="26"/>
  <c r="Q306" i="26"/>
  <c r="R306" i="26" s="1"/>
  <c r="K306" i="25"/>
  <c r="Q306" i="29"/>
  <c r="R306" i="29" s="1"/>
  <c r="C306" i="29"/>
  <c r="Q305" i="25"/>
  <c r="R305" i="25" s="1"/>
  <c r="C305" i="25"/>
  <c r="U305" i="25" s="1"/>
  <c r="Z305" i="26"/>
  <c r="K307" i="26"/>
  <c r="C307" i="27"/>
  <c r="Q307" i="27"/>
  <c r="R307" i="27" s="1"/>
  <c r="AC308" i="26"/>
  <c r="J309" i="28"/>
  <c r="P309" i="28"/>
  <c r="J309" i="26"/>
  <c r="B309" i="26"/>
  <c r="N309" i="27"/>
  <c r="O309" i="27" s="1"/>
  <c r="D309" i="27"/>
  <c r="L309" i="27"/>
  <c r="B309" i="28"/>
  <c r="A310" i="26"/>
  <c r="J310" i="27"/>
  <c r="A311" i="27"/>
  <c r="P310" i="27"/>
  <c r="B310" i="27"/>
  <c r="A310" i="28"/>
  <c r="P309" i="26"/>
  <c r="X309" i="26"/>
  <c r="N308" i="28"/>
  <c r="O308" i="28" s="1"/>
  <c r="D308" i="28"/>
  <c r="L308" i="28"/>
  <c r="K308" i="28" s="1"/>
  <c r="Q308" i="28" s="1"/>
  <c r="R308" i="28" s="1"/>
  <c r="G308" i="28"/>
  <c r="F308" i="28"/>
  <c r="H308" i="28"/>
  <c r="L308" i="26"/>
  <c r="K308" i="27"/>
  <c r="H308" i="26"/>
  <c r="G308" i="26"/>
  <c r="F308" i="26"/>
  <c r="Y308" i="26"/>
  <c r="AA308" i="26" s="1"/>
  <c r="N308" i="26"/>
  <c r="O308" i="26" s="1"/>
  <c r="D308" i="26"/>
  <c r="L307" i="25"/>
  <c r="K307" i="29"/>
  <c r="F307" i="25"/>
  <c r="N307" i="25"/>
  <c r="O307" i="25" s="1"/>
  <c r="H307" i="25"/>
  <c r="G307" i="25"/>
  <c r="D307" i="25"/>
  <c r="B308" i="30"/>
  <c r="J308" i="30"/>
  <c r="P308" i="30"/>
  <c r="A309" i="25"/>
  <c r="P309" i="29"/>
  <c r="B309" i="29"/>
  <c r="J309" i="29"/>
  <c r="A310" i="29"/>
  <c r="A309" i="30"/>
  <c r="J308" i="25"/>
  <c r="B308" i="25"/>
  <c r="F308" i="29"/>
  <c r="H308" i="29"/>
  <c r="G308" i="29"/>
  <c r="N308" i="29"/>
  <c r="O308" i="29" s="1"/>
  <c r="L308" i="29"/>
  <c r="D308" i="29"/>
  <c r="P308" i="25"/>
  <c r="F307" i="30"/>
  <c r="N307" i="30"/>
  <c r="O307" i="30" s="1"/>
  <c r="D307" i="30"/>
  <c r="L307" i="30"/>
  <c r="K307" i="30" s="1"/>
  <c r="Q307" i="30" s="1"/>
  <c r="R307" i="30" s="1"/>
  <c r="H307" i="30"/>
  <c r="G307" i="30"/>
  <c r="G310" i="27" l="1"/>
  <c r="F310" i="27"/>
  <c r="H310" i="27"/>
  <c r="C307" i="30"/>
  <c r="T307" i="30" s="1"/>
  <c r="I305" i="25"/>
  <c r="V305" i="25" s="1"/>
  <c r="AD307" i="26"/>
  <c r="Q307" i="26"/>
  <c r="R307" i="26" s="1"/>
  <c r="Z306" i="26"/>
  <c r="K308" i="26"/>
  <c r="C308" i="27"/>
  <c r="Q308" i="27"/>
  <c r="R308" i="27" s="1"/>
  <c r="C306" i="25"/>
  <c r="U306" i="25" s="1"/>
  <c r="Q306" i="25"/>
  <c r="R306" i="25" s="1"/>
  <c r="K307" i="25"/>
  <c r="Q307" i="29"/>
  <c r="R307" i="29" s="1"/>
  <c r="C307" i="29"/>
  <c r="L308" i="25"/>
  <c r="K308" i="29"/>
  <c r="H308" i="25"/>
  <c r="G308" i="25"/>
  <c r="D308" i="25"/>
  <c r="N308" i="25"/>
  <c r="O308" i="25" s="1"/>
  <c r="F308" i="25"/>
  <c r="B309" i="30"/>
  <c r="J309" i="30"/>
  <c r="P309" i="30"/>
  <c r="A310" i="25"/>
  <c r="P310" i="29"/>
  <c r="B310" i="29"/>
  <c r="J310" i="29"/>
  <c r="A310" i="30"/>
  <c r="A311" i="29"/>
  <c r="J309" i="25"/>
  <c r="B309" i="25"/>
  <c r="F309" i="29"/>
  <c r="H309" i="29"/>
  <c r="G309" i="29"/>
  <c r="N309" i="29"/>
  <c r="O309" i="29" s="1"/>
  <c r="L309" i="29"/>
  <c r="D309" i="29"/>
  <c r="P309" i="25"/>
  <c r="N308" i="30"/>
  <c r="O308" i="30" s="1"/>
  <c r="D308" i="30"/>
  <c r="L308" i="30"/>
  <c r="K308" i="30" s="1"/>
  <c r="Q308" i="30" s="1"/>
  <c r="R308" i="30" s="1"/>
  <c r="H308" i="30"/>
  <c r="G308" i="30"/>
  <c r="F308" i="30"/>
  <c r="J310" i="28"/>
  <c r="P310" i="28"/>
  <c r="B310" i="26"/>
  <c r="N310" i="27"/>
  <c r="O310" i="27" s="1"/>
  <c r="D310" i="27"/>
  <c r="L310" i="27"/>
  <c r="B310" i="28"/>
  <c r="A311" i="26"/>
  <c r="A312" i="27"/>
  <c r="P311" i="27"/>
  <c r="B311" i="27"/>
  <c r="J311" i="27"/>
  <c r="A311" i="28"/>
  <c r="J310" i="26"/>
  <c r="P310" i="26"/>
  <c r="X310" i="26"/>
  <c r="L309" i="28"/>
  <c r="K309" i="28" s="1"/>
  <c r="N309" i="28"/>
  <c r="O309" i="28" s="1"/>
  <c r="H309" i="28"/>
  <c r="G309" i="28"/>
  <c r="F309" i="28"/>
  <c r="D309" i="28"/>
  <c r="L309" i="26"/>
  <c r="K309" i="27"/>
  <c r="H309" i="26"/>
  <c r="G309" i="26"/>
  <c r="F309" i="26"/>
  <c r="Y309" i="26"/>
  <c r="AA309" i="26" s="1"/>
  <c r="N309" i="26"/>
  <c r="O309" i="26" s="1"/>
  <c r="D309" i="26"/>
  <c r="AC309" i="26"/>
  <c r="F311" i="27" l="1"/>
  <c r="G311" i="27"/>
  <c r="H311" i="27"/>
  <c r="C308" i="30"/>
  <c r="T308" i="30" s="1"/>
  <c r="I306" i="25"/>
  <c r="V306" i="25" s="1"/>
  <c r="Z307" i="26"/>
  <c r="Q307" i="25"/>
  <c r="R307" i="25" s="1"/>
  <c r="C307" i="25"/>
  <c r="U307" i="25" s="1"/>
  <c r="AD308" i="26"/>
  <c r="Q308" i="26"/>
  <c r="R308" i="26" s="1"/>
  <c r="K308" i="25"/>
  <c r="Q308" i="29"/>
  <c r="R308" i="29" s="1"/>
  <c r="C308" i="29"/>
  <c r="Q309" i="28"/>
  <c r="R309" i="28" s="1"/>
  <c r="K309" i="26"/>
  <c r="C309" i="27"/>
  <c r="Q309" i="27"/>
  <c r="R309" i="27" s="1"/>
  <c r="AC310" i="26"/>
  <c r="J311" i="28"/>
  <c r="P311" i="28"/>
  <c r="J311" i="26"/>
  <c r="B311" i="26"/>
  <c r="N311" i="27"/>
  <c r="O311" i="27" s="1"/>
  <c r="D311" i="27"/>
  <c r="L311" i="27"/>
  <c r="B311" i="28"/>
  <c r="A312" i="26"/>
  <c r="J312" i="27"/>
  <c r="A313" i="27"/>
  <c r="P312" i="27"/>
  <c r="B312" i="27"/>
  <c r="A312" i="28"/>
  <c r="X311" i="26"/>
  <c r="P311" i="26"/>
  <c r="D310" i="28"/>
  <c r="N310" i="28"/>
  <c r="O310" i="28" s="1"/>
  <c r="L310" i="28"/>
  <c r="K310" i="28" s="1"/>
  <c r="Q310" i="28" s="1"/>
  <c r="R310" i="28" s="1"/>
  <c r="H310" i="28"/>
  <c r="G310" i="28"/>
  <c r="F310" i="28"/>
  <c r="L310" i="26"/>
  <c r="K310" i="27"/>
  <c r="G310" i="26"/>
  <c r="F310" i="26"/>
  <c r="Y310" i="26"/>
  <c r="AA310" i="26" s="1"/>
  <c r="N310" i="26"/>
  <c r="O310" i="26" s="1"/>
  <c r="D310" i="26"/>
  <c r="H310" i="26"/>
  <c r="L309" i="25"/>
  <c r="K309" i="29"/>
  <c r="H309" i="25"/>
  <c r="G309" i="25"/>
  <c r="D309" i="25"/>
  <c r="N309" i="25"/>
  <c r="O309" i="25" s="1"/>
  <c r="F309" i="25"/>
  <c r="A311" i="25"/>
  <c r="P311" i="29"/>
  <c r="B311" i="29"/>
  <c r="J311" i="29"/>
  <c r="A312" i="29"/>
  <c r="A311" i="30"/>
  <c r="P310" i="30"/>
  <c r="B310" i="30"/>
  <c r="J310" i="30"/>
  <c r="J310" i="25"/>
  <c r="B310" i="25"/>
  <c r="F310" i="29"/>
  <c r="H310" i="29"/>
  <c r="G310" i="29"/>
  <c r="N310" i="29"/>
  <c r="O310" i="29" s="1"/>
  <c r="L310" i="29"/>
  <c r="D310" i="29"/>
  <c r="P310" i="25"/>
  <c r="N309" i="30"/>
  <c r="O309" i="30" s="1"/>
  <c r="D309" i="30"/>
  <c r="L309" i="30"/>
  <c r="K309" i="30" s="1"/>
  <c r="Q309" i="30" s="1"/>
  <c r="R309" i="30" s="1"/>
  <c r="H309" i="30"/>
  <c r="G309" i="30"/>
  <c r="F309" i="30"/>
  <c r="G312" i="27" l="1"/>
  <c r="H312" i="27"/>
  <c r="F312" i="27"/>
  <c r="C309" i="30"/>
  <c r="T309" i="30" s="1"/>
  <c r="I307" i="25"/>
  <c r="V307" i="25" s="1"/>
  <c r="K310" i="26"/>
  <c r="Q310" i="27"/>
  <c r="R310" i="27" s="1"/>
  <c r="C310" i="27"/>
  <c r="Q308" i="25"/>
  <c r="R308" i="25" s="1"/>
  <c r="C308" i="25"/>
  <c r="U308" i="25" s="1"/>
  <c r="Z308" i="26"/>
  <c r="AD309" i="26"/>
  <c r="Q309" i="26"/>
  <c r="R309" i="26" s="1"/>
  <c r="K309" i="25"/>
  <c r="Q309" i="29"/>
  <c r="R309" i="29" s="1"/>
  <c r="C309" i="29"/>
  <c r="L310" i="25"/>
  <c r="K310" i="29"/>
  <c r="N310" i="25"/>
  <c r="O310" i="25" s="1"/>
  <c r="D310" i="25"/>
  <c r="H310" i="25"/>
  <c r="G310" i="25"/>
  <c r="F310" i="25"/>
  <c r="G310" i="30"/>
  <c r="L310" i="30"/>
  <c r="K310" i="30" s="1"/>
  <c r="Q310" i="30" s="1"/>
  <c r="R310" i="30" s="1"/>
  <c r="F310" i="30"/>
  <c r="D310" i="30"/>
  <c r="N310" i="30"/>
  <c r="O310" i="30" s="1"/>
  <c r="H310" i="30"/>
  <c r="P311" i="30"/>
  <c r="B311" i="30"/>
  <c r="J311" i="30"/>
  <c r="A312" i="25"/>
  <c r="P312" i="29"/>
  <c r="B312" i="29"/>
  <c r="J312" i="29"/>
  <c r="A312" i="30"/>
  <c r="A313" i="29"/>
  <c r="J311" i="25"/>
  <c r="B311" i="25"/>
  <c r="F311" i="29"/>
  <c r="H311" i="29"/>
  <c r="G311" i="29"/>
  <c r="N311" i="29"/>
  <c r="O311" i="29" s="1"/>
  <c r="L311" i="29"/>
  <c r="D311" i="29"/>
  <c r="P311" i="25"/>
  <c r="J312" i="28"/>
  <c r="P312" i="28"/>
  <c r="B312" i="26"/>
  <c r="N312" i="27"/>
  <c r="O312" i="27" s="1"/>
  <c r="D312" i="27"/>
  <c r="L312" i="27"/>
  <c r="B312" i="28"/>
  <c r="A313" i="26"/>
  <c r="A314" i="27"/>
  <c r="P313" i="27"/>
  <c r="B313" i="27"/>
  <c r="J313" i="27"/>
  <c r="A313" i="28"/>
  <c r="J312" i="26"/>
  <c r="P312" i="26"/>
  <c r="X312" i="26"/>
  <c r="H311" i="28"/>
  <c r="G311" i="28"/>
  <c r="F311" i="28"/>
  <c r="D311" i="28"/>
  <c r="N311" i="28"/>
  <c r="O311" i="28" s="1"/>
  <c r="L311" i="28"/>
  <c r="K311" i="28" s="1"/>
  <c r="Q311" i="28" s="1"/>
  <c r="R311" i="28" s="1"/>
  <c r="L311" i="26"/>
  <c r="K311" i="27"/>
  <c r="Y311" i="26"/>
  <c r="AA311" i="26" s="1"/>
  <c r="N311" i="26"/>
  <c r="O311" i="26" s="1"/>
  <c r="D311" i="26"/>
  <c r="H311" i="26"/>
  <c r="G311" i="26"/>
  <c r="F311" i="26"/>
  <c r="AC311" i="26"/>
  <c r="G313" i="27" l="1"/>
  <c r="F313" i="27"/>
  <c r="H313" i="27"/>
  <c r="C310" i="30"/>
  <c r="T310" i="30" s="1"/>
  <c r="I308" i="25"/>
  <c r="V308" i="25" s="1"/>
  <c r="C309" i="25"/>
  <c r="I309" i="25" s="1"/>
  <c r="V309" i="25" s="1"/>
  <c r="Q309" i="25"/>
  <c r="R309" i="25" s="1"/>
  <c r="AD310" i="26"/>
  <c r="Q310" i="26"/>
  <c r="R310" i="26" s="1"/>
  <c r="K311" i="26"/>
  <c r="Q311" i="27"/>
  <c r="R311" i="27" s="1"/>
  <c r="C311" i="27"/>
  <c r="K310" i="25"/>
  <c r="Q310" i="29"/>
  <c r="R310" i="29" s="1"/>
  <c r="C310" i="29"/>
  <c r="Z309" i="26"/>
  <c r="AC312" i="26"/>
  <c r="P313" i="28"/>
  <c r="J313" i="28"/>
  <c r="J313" i="26"/>
  <c r="B313" i="26"/>
  <c r="N313" i="27"/>
  <c r="O313" i="27" s="1"/>
  <c r="D313" i="27"/>
  <c r="L313" i="27"/>
  <c r="B313" i="28"/>
  <c r="A314" i="26"/>
  <c r="J314" i="27"/>
  <c r="A315" i="27"/>
  <c r="P314" i="27"/>
  <c r="B314" i="27"/>
  <c r="A314" i="28"/>
  <c r="P313" i="26"/>
  <c r="X313" i="26"/>
  <c r="H312" i="28"/>
  <c r="G312" i="28"/>
  <c r="N312" i="28"/>
  <c r="O312" i="28" s="1"/>
  <c r="L312" i="28"/>
  <c r="K312" i="28" s="1"/>
  <c r="F312" i="28"/>
  <c r="D312" i="28"/>
  <c r="L312" i="26"/>
  <c r="K312" i="27"/>
  <c r="H312" i="26"/>
  <c r="G312" i="26"/>
  <c r="F312" i="26"/>
  <c r="Y312" i="26"/>
  <c r="AA312" i="26" s="1"/>
  <c r="N312" i="26"/>
  <c r="O312" i="26" s="1"/>
  <c r="D312" i="26"/>
  <c r="L311" i="25"/>
  <c r="K311" i="29"/>
  <c r="F311" i="25"/>
  <c r="H311" i="25"/>
  <c r="D311" i="25"/>
  <c r="N311" i="25"/>
  <c r="O311" i="25" s="1"/>
  <c r="G311" i="25"/>
  <c r="A313" i="25"/>
  <c r="P313" i="29"/>
  <c r="B313" i="29"/>
  <c r="J313" i="29"/>
  <c r="A314" i="29"/>
  <c r="A313" i="30"/>
  <c r="J312" i="30"/>
  <c r="P312" i="30"/>
  <c r="B312" i="30"/>
  <c r="J312" i="25"/>
  <c r="B312" i="25"/>
  <c r="F312" i="29"/>
  <c r="H312" i="29"/>
  <c r="G312" i="29"/>
  <c r="N312" i="29"/>
  <c r="O312" i="29" s="1"/>
  <c r="L312" i="29"/>
  <c r="D312" i="29"/>
  <c r="P312" i="25"/>
  <c r="F311" i="30"/>
  <c r="L311" i="30"/>
  <c r="K311" i="30" s="1"/>
  <c r="Q311" i="30" s="1"/>
  <c r="R311" i="30" s="1"/>
  <c r="H311" i="30"/>
  <c r="G311" i="30"/>
  <c r="D311" i="30"/>
  <c r="N311" i="30"/>
  <c r="O311" i="30" s="1"/>
  <c r="G314" i="27" l="1"/>
  <c r="H314" i="27"/>
  <c r="F314" i="27"/>
  <c r="C311" i="30"/>
  <c r="T311" i="30" s="1"/>
  <c r="U309" i="25"/>
  <c r="K311" i="25"/>
  <c r="Q311" i="29"/>
  <c r="R311" i="29" s="1"/>
  <c r="C311" i="29"/>
  <c r="Q310" i="25"/>
  <c r="R310" i="25" s="1"/>
  <c r="C310" i="25"/>
  <c r="U310" i="25" s="1"/>
  <c r="Z310" i="26"/>
  <c r="K312" i="26"/>
  <c r="Q312" i="27"/>
  <c r="R312" i="27" s="1"/>
  <c r="C312" i="27"/>
  <c r="Q312" i="28"/>
  <c r="R312" i="28" s="1"/>
  <c r="AD311" i="26"/>
  <c r="Q311" i="26"/>
  <c r="R311" i="26" s="1"/>
  <c r="L312" i="25"/>
  <c r="K312" i="29"/>
  <c r="G312" i="25"/>
  <c r="F312" i="25"/>
  <c r="H312" i="25"/>
  <c r="D312" i="25"/>
  <c r="N312" i="25"/>
  <c r="O312" i="25" s="1"/>
  <c r="D312" i="30"/>
  <c r="N312" i="30"/>
  <c r="O312" i="30" s="1"/>
  <c r="L312" i="30"/>
  <c r="K312" i="30" s="1"/>
  <c r="Q312" i="30" s="1"/>
  <c r="R312" i="30" s="1"/>
  <c r="H312" i="30"/>
  <c r="G312" i="30"/>
  <c r="F312" i="30"/>
  <c r="J313" i="30"/>
  <c r="P313" i="30"/>
  <c r="B313" i="30"/>
  <c r="A314" i="25"/>
  <c r="P314" i="29"/>
  <c r="B314" i="29"/>
  <c r="J314" i="29"/>
  <c r="A314" i="30"/>
  <c r="A315" i="29"/>
  <c r="J313" i="25"/>
  <c r="B313" i="25"/>
  <c r="F313" i="29"/>
  <c r="H313" i="29"/>
  <c r="G313" i="29"/>
  <c r="N313" i="29"/>
  <c r="O313" i="29" s="1"/>
  <c r="L313" i="29"/>
  <c r="D313" i="29"/>
  <c r="P313" i="25"/>
  <c r="P314" i="28"/>
  <c r="J314" i="28"/>
  <c r="B314" i="26"/>
  <c r="N314" i="27"/>
  <c r="O314" i="27" s="1"/>
  <c r="D314" i="27"/>
  <c r="L314" i="27"/>
  <c r="B314" i="28"/>
  <c r="A315" i="26"/>
  <c r="A316" i="27"/>
  <c r="P315" i="27"/>
  <c r="B315" i="27"/>
  <c r="J315" i="27"/>
  <c r="A315" i="28"/>
  <c r="J314" i="26"/>
  <c r="X314" i="26"/>
  <c r="P314" i="26"/>
  <c r="G313" i="28"/>
  <c r="F313" i="28"/>
  <c r="H313" i="28"/>
  <c r="D313" i="28"/>
  <c r="N313" i="28"/>
  <c r="O313" i="28" s="1"/>
  <c r="L313" i="28"/>
  <c r="K313" i="28" s="1"/>
  <c r="Q313" i="28" s="1"/>
  <c r="R313" i="28" s="1"/>
  <c r="L313" i="26"/>
  <c r="K313" i="27"/>
  <c r="H313" i="26"/>
  <c r="G313" i="26"/>
  <c r="F313" i="26"/>
  <c r="N313" i="26"/>
  <c r="O313" i="26" s="1"/>
  <c r="Y313" i="26"/>
  <c r="AA313" i="26" s="1"/>
  <c r="D313" i="26"/>
  <c r="AC313" i="26"/>
  <c r="G315" i="27" l="1"/>
  <c r="F315" i="27"/>
  <c r="H315" i="27"/>
  <c r="I310" i="25"/>
  <c r="V310" i="25" s="1"/>
  <c r="C312" i="30"/>
  <c r="T312" i="30" s="1"/>
  <c r="K313" i="26"/>
  <c r="Q313" i="27"/>
  <c r="R313" i="27" s="1"/>
  <c r="C313" i="27"/>
  <c r="Z311" i="26"/>
  <c r="AD312" i="26"/>
  <c r="Q312" i="26"/>
  <c r="R312" i="26" s="1"/>
  <c r="K312" i="25"/>
  <c r="Q312" i="29"/>
  <c r="R312" i="29" s="1"/>
  <c r="C312" i="29"/>
  <c r="Q311" i="25"/>
  <c r="R311" i="25" s="1"/>
  <c r="C311" i="25"/>
  <c r="I311" i="25" s="1"/>
  <c r="V311" i="25" s="1"/>
  <c r="AC314" i="26"/>
  <c r="P315" i="28"/>
  <c r="J315" i="28"/>
  <c r="J315" i="26"/>
  <c r="B315" i="26"/>
  <c r="N315" i="27"/>
  <c r="O315" i="27" s="1"/>
  <c r="D315" i="27"/>
  <c r="L315" i="27"/>
  <c r="B315" i="28"/>
  <c r="A316" i="26"/>
  <c r="J316" i="27"/>
  <c r="A317" i="27"/>
  <c r="P316" i="27"/>
  <c r="B316" i="27"/>
  <c r="A316" i="28"/>
  <c r="X315" i="26"/>
  <c r="P315" i="26"/>
  <c r="F314" i="28"/>
  <c r="L314" i="28"/>
  <c r="K314" i="28" s="1"/>
  <c r="Q314" i="28" s="1"/>
  <c r="R314" i="28" s="1"/>
  <c r="H314" i="28"/>
  <c r="G314" i="28"/>
  <c r="D314" i="28"/>
  <c r="N314" i="28"/>
  <c r="O314" i="28" s="1"/>
  <c r="L314" i="26"/>
  <c r="K314" i="27"/>
  <c r="F314" i="26"/>
  <c r="D314" i="26"/>
  <c r="H314" i="26"/>
  <c r="N314" i="26"/>
  <c r="O314" i="26" s="1"/>
  <c r="Y314" i="26"/>
  <c r="AA314" i="26" s="1"/>
  <c r="G314" i="26"/>
  <c r="L313" i="25"/>
  <c r="K313" i="29"/>
  <c r="D313" i="25"/>
  <c r="G313" i="25"/>
  <c r="F313" i="25"/>
  <c r="N313" i="25"/>
  <c r="O313" i="25" s="1"/>
  <c r="H313" i="25"/>
  <c r="A315" i="25"/>
  <c r="P315" i="29"/>
  <c r="B315" i="29"/>
  <c r="J315" i="29"/>
  <c r="A316" i="29"/>
  <c r="A315" i="30"/>
  <c r="B314" i="30"/>
  <c r="J314" i="30"/>
  <c r="P314" i="30"/>
  <c r="J314" i="25"/>
  <c r="B314" i="25"/>
  <c r="F314" i="29"/>
  <c r="H314" i="29"/>
  <c r="G314" i="29"/>
  <c r="N314" i="29"/>
  <c r="O314" i="29" s="1"/>
  <c r="L314" i="29"/>
  <c r="D314" i="29"/>
  <c r="P314" i="25"/>
  <c r="N313" i="30"/>
  <c r="O313" i="30" s="1"/>
  <c r="D313" i="30"/>
  <c r="H313" i="30"/>
  <c r="G313" i="30"/>
  <c r="F313" i="30"/>
  <c r="L313" i="30"/>
  <c r="K313" i="30" s="1"/>
  <c r="Q313" i="30" s="1"/>
  <c r="R313" i="30" s="1"/>
  <c r="G316" i="27" l="1"/>
  <c r="H316" i="27"/>
  <c r="F316" i="27"/>
  <c r="K314" i="26"/>
  <c r="Q314" i="27"/>
  <c r="R314" i="27" s="1"/>
  <c r="C314" i="27"/>
  <c r="Q312" i="25"/>
  <c r="R312" i="25" s="1"/>
  <c r="C312" i="25"/>
  <c r="I312" i="25" s="1"/>
  <c r="V312" i="25" s="1"/>
  <c r="U311" i="25"/>
  <c r="AD313" i="26"/>
  <c r="Q313" i="26"/>
  <c r="R313" i="26" s="1"/>
  <c r="C313" i="30"/>
  <c r="T313" i="30" s="1"/>
  <c r="K313" i="25"/>
  <c r="Q313" i="29"/>
  <c r="R313" i="29" s="1"/>
  <c r="C313" i="29"/>
  <c r="Z312" i="26"/>
  <c r="L314" i="25"/>
  <c r="K314" i="29"/>
  <c r="H314" i="25"/>
  <c r="N314" i="25"/>
  <c r="O314" i="25" s="1"/>
  <c r="G314" i="25"/>
  <c r="D314" i="25"/>
  <c r="F314" i="25"/>
  <c r="L314" i="30"/>
  <c r="K314" i="30" s="1"/>
  <c r="Q314" i="30" s="1"/>
  <c r="R314" i="30" s="1"/>
  <c r="G314" i="30"/>
  <c r="N314" i="30"/>
  <c r="O314" i="30" s="1"/>
  <c r="H314" i="30"/>
  <c r="F314" i="30"/>
  <c r="D314" i="30"/>
  <c r="B315" i="30"/>
  <c r="P315" i="30"/>
  <c r="J315" i="30"/>
  <c r="A316" i="25"/>
  <c r="P316" i="29"/>
  <c r="B316" i="29"/>
  <c r="A316" i="30"/>
  <c r="J316" i="29"/>
  <c r="A317" i="29"/>
  <c r="J315" i="25"/>
  <c r="B315" i="25"/>
  <c r="F315" i="29"/>
  <c r="H315" i="29"/>
  <c r="G315" i="29"/>
  <c r="N315" i="29"/>
  <c r="O315" i="29" s="1"/>
  <c r="L315" i="29"/>
  <c r="D315" i="29"/>
  <c r="P315" i="25"/>
  <c r="J316" i="28"/>
  <c r="P316" i="28"/>
  <c r="B316" i="26"/>
  <c r="N316" i="27"/>
  <c r="O316" i="27" s="1"/>
  <c r="D316" i="27"/>
  <c r="L316" i="27"/>
  <c r="B316" i="28"/>
  <c r="A317" i="26"/>
  <c r="A318" i="27"/>
  <c r="P317" i="27"/>
  <c r="B317" i="27"/>
  <c r="J317" i="27"/>
  <c r="A317" i="28"/>
  <c r="J316" i="26"/>
  <c r="P316" i="26"/>
  <c r="X316" i="26"/>
  <c r="N315" i="28"/>
  <c r="O315" i="28" s="1"/>
  <c r="D315" i="28"/>
  <c r="F315" i="28"/>
  <c r="L315" i="28"/>
  <c r="K315" i="28" s="1"/>
  <c r="Q315" i="28" s="1"/>
  <c r="R315" i="28" s="1"/>
  <c r="H315" i="28"/>
  <c r="G315" i="28"/>
  <c r="L315" i="26"/>
  <c r="K315" i="27"/>
  <c r="D315" i="26"/>
  <c r="F315" i="26"/>
  <c r="N315" i="26"/>
  <c r="O315" i="26" s="1"/>
  <c r="H315" i="26"/>
  <c r="G315" i="26"/>
  <c r="Y315" i="26"/>
  <c r="AA315" i="26" s="1"/>
  <c r="AC315" i="26"/>
  <c r="F317" i="27" l="1"/>
  <c r="G317" i="27"/>
  <c r="H317" i="27"/>
  <c r="U312" i="25"/>
  <c r="AD314" i="26"/>
  <c r="Q314" i="26"/>
  <c r="R314" i="26" s="1"/>
  <c r="C314" i="30"/>
  <c r="T314" i="30" s="1"/>
  <c r="K315" i="26"/>
  <c r="Q315" i="27"/>
  <c r="R315" i="27" s="1"/>
  <c r="C315" i="27"/>
  <c r="K314" i="25"/>
  <c r="Q314" i="29"/>
  <c r="R314" i="29" s="1"/>
  <c r="C314" i="29"/>
  <c r="Q313" i="25"/>
  <c r="R313" i="25" s="1"/>
  <c r="C313" i="25"/>
  <c r="I313" i="25" s="1"/>
  <c r="V313" i="25" s="1"/>
  <c r="Z313" i="26"/>
  <c r="AC316" i="26"/>
  <c r="P317" i="28"/>
  <c r="J317" i="28"/>
  <c r="J317" i="26"/>
  <c r="B317" i="26"/>
  <c r="N317" i="27"/>
  <c r="O317" i="27" s="1"/>
  <c r="D317" i="27"/>
  <c r="L317" i="27"/>
  <c r="B317" i="28"/>
  <c r="A318" i="26"/>
  <c r="J318" i="27"/>
  <c r="A319" i="27"/>
  <c r="P318" i="27"/>
  <c r="B318" i="27"/>
  <c r="A318" i="28"/>
  <c r="P317" i="26"/>
  <c r="X317" i="26"/>
  <c r="N316" i="28"/>
  <c r="O316" i="28" s="1"/>
  <c r="D316" i="28"/>
  <c r="L316" i="28"/>
  <c r="K316" i="28" s="1"/>
  <c r="Q316" i="28" s="1"/>
  <c r="R316" i="28" s="1"/>
  <c r="H316" i="28"/>
  <c r="G316" i="28"/>
  <c r="F316" i="28"/>
  <c r="L316" i="26"/>
  <c r="K316" i="27"/>
  <c r="H316" i="26"/>
  <c r="G316" i="26"/>
  <c r="F316" i="26"/>
  <c r="D316" i="26"/>
  <c r="N316" i="26"/>
  <c r="O316" i="26" s="1"/>
  <c r="Y316" i="26"/>
  <c r="AA316" i="26" s="1"/>
  <c r="L315" i="25"/>
  <c r="K315" i="29"/>
  <c r="F315" i="25"/>
  <c r="N315" i="25"/>
  <c r="O315" i="25" s="1"/>
  <c r="D315" i="25"/>
  <c r="G315" i="25"/>
  <c r="H315" i="25"/>
  <c r="A317" i="25"/>
  <c r="P317" i="29"/>
  <c r="B317" i="29"/>
  <c r="J317" i="29"/>
  <c r="A318" i="29"/>
  <c r="A317" i="30"/>
  <c r="J316" i="25"/>
  <c r="J316" i="30"/>
  <c r="P316" i="30"/>
  <c r="B316" i="30"/>
  <c r="B316" i="25"/>
  <c r="F316" i="29"/>
  <c r="H316" i="29"/>
  <c r="G316" i="29"/>
  <c r="N316" i="29"/>
  <c r="O316" i="29" s="1"/>
  <c r="L316" i="29"/>
  <c r="D316" i="29"/>
  <c r="P316" i="25"/>
  <c r="F315" i="30"/>
  <c r="G315" i="30"/>
  <c r="D315" i="30"/>
  <c r="N315" i="30"/>
  <c r="O315" i="30" s="1"/>
  <c r="L315" i="30"/>
  <c r="K315" i="30" s="1"/>
  <c r="C315" i="30" s="1"/>
  <c r="H315" i="30"/>
  <c r="G318" i="27" l="1"/>
  <c r="H318" i="27"/>
  <c r="F318" i="27"/>
  <c r="U313" i="25"/>
  <c r="T315" i="30"/>
  <c r="Q315" i="30"/>
  <c r="R315" i="30" s="1"/>
  <c r="K316" i="26"/>
  <c r="Q316" i="27"/>
  <c r="R316" i="27" s="1"/>
  <c r="C316" i="27"/>
  <c r="Q314" i="25"/>
  <c r="R314" i="25" s="1"/>
  <c r="C314" i="25"/>
  <c r="U314" i="25" s="1"/>
  <c r="K315" i="25"/>
  <c r="C315" i="29"/>
  <c r="Q315" i="29"/>
  <c r="R315" i="29" s="1"/>
  <c r="AD315" i="26"/>
  <c r="Q315" i="26"/>
  <c r="R315" i="26" s="1"/>
  <c r="Z314" i="26"/>
  <c r="L316" i="25"/>
  <c r="K316" i="29"/>
  <c r="G316" i="25"/>
  <c r="F316" i="25"/>
  <c r="N316" i="25"/>
  <c r="O316" i="25" s="1"/>
  <c r="H316" i="25"/>
  <c r="D316" i="25"/>
  <c r="L316" i="30"/>
  <c r="K316" i="30" s="1"/>
  <c r="Q316" i="30" s="1"/>
  <c r="R316" i="30" s="1"/>
  <c r="H316" i="30"/>
  <c r="G316" i="30"/>
  <c r="F316" i="30"/>
  <c r="D316" i="30"/>
  <c r="N316" i="30"/>
  <c r="O316" i="30" s="1"/>
  <c r="P317" i="30"/>
  <c r="B317" i="30"/>
  <c r="J317" i="30"/>
  <c r="A318" i="25"/>
  <c r="P318" i="29"/>
  <c r="B318" i="29"/>
  <c r="J318" i="29"/>
  <c r="A318" i="30"/>
  <c r="A319" i="29"/>
  <c r="J317" i="25"/>
  <c r="B317" i="25"/>
  <c r="F317" i="29"/>
  <c r="H317" i="29"/>
  <c r="G317" i="29"/>
  <c r="N317" i="29"/>
  <c r="O317" i="29" s="1"/>
  <c r="L317" i="29"/>
  <c r="D317" i="29"/>
  <c r="P317" i="25"/>
  <c r="J318" i="28"/>
  <c r="P318" i="28"/>
  <c r="B318" i="26"/>
  <c r="N318" i="27"/>
  <c r="O318" i="27" s="1"/>
  <c r="D318" i="27"/>
  <c r="L318" i="27"/>
  <c r="B318" i="28"/>
  <c r="A319" i="26"/>
  <c r="A320" i="27"/>
  <c r="P319" i="27"/>
  <c r="B319" i="27"/>
  <c r="J319" i="27"/>
  <c r="A319" i="28"/>
  <c r="J318" i="26"/>
  <c r="X318" i="26"/>
  <c r="P318" i="26"/>
  <c r="L317" i="28"/>
  <c r="K317" i="28" s="1"/>
  <c r="Q317" i="28" s="1"/>
  <c r="R317" i="28" s="1"/>
  <c r="D317" i="28"/>
  <c r="N317" i="28"/>
  <c r="O317" i="28" s="1"/>
  <c r="H317" i="28"/>
  <c r="G317" i="28"/>
  <c r="F317" i="28"/>
  <c r="L317" i="26"/>
  <c r="K317" i="27"/>
  <c r="H317" i="26"/>
  <c r="G317" i="26"/>
  <c r="F317" i="26"/>
  <c r="Y317" i="26"/>
  <c r="AA317" i="26" s="1"/>
  <c r="N317" i="26"/>
  <c r="O317" i="26" s="1"/>
  <c r="D317" i="26"/>
  <c r="AC317" i="26"/>
  <c r="G319" i="27" l="1"/>
  <c r="F319" i="27"/>
  <c r="H319" i="27"/>
  <c r="C316" i="30"/>
  <c r="T316" i="30" s="1"/>
  <c r="I314" i="25"/>
  <c r="V314" i="25" s="1"/>
  <c r="K316" i="25"/>
  <c r="Q316" i="29"/>
  <c r="R316" i="29" s="1"/>
  <c r="C316" i="29"/>
  <c r="Z315" i="26"/>
  <c r="AD316" i="26"/>
  <c r="Q316" i="26"/>
  <c r="R316" i="26" s="1"/>
  <c r="K317" i="26"/>
  <c r="Q317" i="27"/>
  <c r="R317" i="27" s="1"/>
  <c r="C317" i="27"/>
  <c r="Q315" i="25"/>
  <c r="R315" i="25" s="1"/>
  <c r="C315" i="25"/>
  <c r="U315" i="25" s="1"/>
  <c r="AC318" i="26"/>
  <c r="J319" i="28"/>
  <c r="P319" i="28"/>
  <c r="J319" i="26"/>
  <c r="B319" i="26"/>
  <c r="N319" i="27"/>
  <c r="O319" i="27" s="1"/>
  <c r="D319" i="27"/>
  <c r="L319" i="27"/>
  <c r="B319" i="28"/>
  <c r="A320" i="26"/>
  <c r="J320" i="27"/>
  <c r="A321" i="27"/>
  <c r="P320" i="27"/>
  <c r="B320" i="27"/>
  <c r="A320" i="28"/>
  <c r="X319" i="26"/>
  <c r="P319" i="26"/>
  <c r="G318" i="28"/>
  <c r="F318" i="28"/>
  <c r="D318" i="28"/>
  <c r="N318" i="28"/>
  <c r="O318" i="28" s="1"/>
  <c r="L318" i="28"/>
  <c r="K318" i="28" s="1"/>
  <c r="Q318" i="28" s="1"/>
  <c r="R318" i="28" s="1"/>
  <c r="H318" i="28"/>
  <c r="L318" i="26"/>
  <c r="K318" i="27"/>
  <c r="F318" i="26"/>
  <c r="Y318" i="26"/>
  <c r="AA318" i="26" s="1"/>
  <c r="N318" i="26"/>
  <c r="O318" i="26" s="1"/>
  <c r="D318" i="26"/>
  <c r="H318" i="26"/>
  <c r="G318" i="26"/>
  <c r="L317" i="25"/>
  <c r="K317" i="29"/>
  <c r="H317" i="25"/>
  <c r="G317" i="25"/>
  <c r="F317" i="25"/>
  <c r="D317" i="25"/>
  <c r="N317" i="25"/>
  <c r="O317" i="25" s="1"/>
  <c r="A319" i="25"/>
  <c r="P319" i="29"/>
  <c r="B319" i="29"/>
  <c r="J319" i="29"/>
  <c r="A319" i="30"/>
  <c r="A320" i="29"/>
  <c r="J318" i="30"/>
  <c r="P318" i="30"/>
  <c r="B318" i="30"/>
  <c r="J318" i="25"/>
  <c r="B318" i="25"/>
  <c r="F318" i="29"/>
  <c r="H318" i="29"/>
  <c r="G318" i="29"/>
  <c r="N318" i="29"/>
  <c r="O318" i="29" s="1"/>
  <c r="L318" i="29"/>
  <c r="D318" i="29"/>
  <c r="P318" i="25"/>
  <c r="H317" i="30"/>
  <c r="N317" i="30"/>
  <c r="O317" i="30" s="1"/>
  <c r="D317" i="30"/>
  <c r="L317" i="30"/>
  <c r="K317" i="30" s="1"/>
  <c r="C317" i="30" s="1"/>
  <c r="G317" i="30"/>
  <c r="F317" i="30"/>
  <c r="G320" i="27" l="1"/>
  <c r="F320" i="27"/>
  <c r="H320" i="27"/>
  <c r="T317" i="30"/>
  <c r="K317" i="25"/>
  <c r="Q317" i="29"/>
  <c r="R317" i="29" s="1"/>
  <c r="C317" i="29"/>
  <c r="I315" i="25"/>
  <c r="V315" i="25" s="1"/>
  <c r="K318" i="26"/>
  <c r="Q318" i="27"/>
  <c r="R318" i="27" s="1"/>
  <c r="C318" i="27"/>
  <c r="Q316" i="25"/>
  <c r="R316" i="25" s="1"/>
  <c r="C316" i="25"/>
  <c r="U316" i="25" s="1"/>
  <c r="AD317" i="26"/>
  <c r="Q317" i="26"/>
  <c r="R317" i="26" s="1"/>
  <c r="Q317" i="30"/>
  <c r="R317" i="30" s="1"/>
  <c r="Z316" i="26"/>
  <c r="L318" i="25"/>
  <c r="K318" i="29"/>
  <c r="N318" i="25"/>
  <c r="O318" i="25" s="1"/>
  <c r="D318" i="25"/>
  <c r="F318" i="25"/>
  <c r="H318" i="25"/>
  <c r="G318" i="25"/>
  <c r="G318" i="30"/>
  <c r="L318" i="30"/>
  <c r="K318" i="30" s="1"/>
  <c r="Q318" i="30" s="1"/>
  <c r="R318" i="30" s="1"/>
  <c r="H318" i="30"/>
  <c r="F318" i="30"/>
  <c r="D318" i="30"/>
  <c r="N318" i="30"/>
  <c r="O318" i="30" s="1"/>
  <c r="A320" i="25"/>
  <c r="P320" i="29"/>
  <c r="B320" i="29"/>
  <c r="J320" i="29"/>
  <c r="A320" i="30"/>
  <c r="A321" i="29"/>
  <c r="P319" i="30"/>
  <c r="B319" i="30"/>
  <c r="J319" i="30"/>
  <c r="J319" i="25"/>
  <c r="B319" i="25"/>
  <c r="F319" i="29"/>
  <c r="H319" i="29"/>
  <c r="G319" i="29"/>
  <c r="N319" i="29"/>
  <c r="O319" i="29" s="1"/>
  <c r="L319" i="29"/>
  <c r="D319" i="29"/>
  <c r="P319" i="25"/>
  <c r="P320" i="28"/>
  <c r="J320" i="28"/>
  <c r="B320" i="26"/>
  <c r="N320" i="27"/>
  <c r="O320" i="27" s="1"/>
  <c r="D320" i="27"/>
  <c r="L320" i="27"/>
  <c r="B320" i="28"/>
  <c r="A321" i="26"/>
  <c r="A322" i="27"/>
  <c r="P321" i="27"/>
  <c r="B321" i="27"/>
  <c r="J321" i="27"/>
  <c r="A321" i="28"/>
  <c r="J320" i="26"/>
  <c r="P320" i="26"/>
  <c r="X320" i="26"/>
  <c r="H319" i="28"/>
  <c r="N319" i="28"/>
  <c r="O319" i="28" s="1"/>
  <c r="L319" i="28"/>
  <c r="K319" i="28" s="1"/>
  <c r="G319" i="28"/>
  <c r="F319" i="28"/>
  <c r="D319" i="28"/>
  <c r="L319" i="26"/>
  <c r="K319" i="27"/>
  <c r="D319" i="26"/>
  <c r="H319" i="26"/>
  <c r="G319" i="26"/>
  <c r="F319" i="26"/>
  <c r="Y319" i="26"/>
  <c r="AA319" i="26" s="1"/>
  <c r="N319" i="26"/>
  <c r="O319" i="26" s="1"/>
  <c r="AC319" i="26"/>
  <c r="F321" i="27" l="1"/>
  <c r="G321" i="27"/>
  <c r="H321" i="27"/>
  <c r="I316" i="25"/>
  <c r="V316" i="25" s="1"/>
  <c r="K319" i="26"/>
  <c r="Q319" i="27"/>
  <c r="R319" i="27" s="1"/>
  <c r="C319" i="27"/>
  <c r="C318" i="30"/>
  <c r="T318" i="30" s="1"/>
  <c r="K318" i="25"/>
  <c r="Q318" i="29"/>
  <c r="R318" i="29" s="1"/>
  <c r="C318" i="29"/>
  <c r="Q317" i="25"/>
  <c r="R317" i="25" s="1"/>
  <c r="C317" i="25"/>
  <c r="I317" i="25" s="1"/>
  <c r="V317" i="25" s="1"/>
  <c r="Q319" i="28"/>
  <c r="R319" i="28" s="1"/>
  <c r="Z317" i="26"/>
  <c r="AD318" i="26"/>
  <c r="Q318" i="26"/>
  <c r="R318" i="26" s="1"/>
  <c r="AC320" i="26"/>
  <c r="P321" i="28"/>
  <c r="J321" i="28"/>
  <c r="J321" i="26"/>
  <c r="B321" i="26"/>
  <c r="N321" i="27"/>
  <c r="O321" i="27" s="1"/>
  <c r="D321" i="27"/>
  <c r="L321" i="27"/>
  <c r="B321" i="28"/>
  <c r="A322" i="26"/>
  <c r="J322" i="27"/>
  <c r="A323" i="27"/>
  <c r="P322" i="27"/>
  <c r="B322" i="27"/>
  <c r="A322" i="28"/>
  <c r="P321" i="26"/>
  <c r="X321" i="26"/>
  <c r="H320" i="28"/>
  <c r="G320" i="28"/>
  <c r="D320" i="28"/>
  <c r="N320" i="28"/>
  <c r="O320" i="28" s="1"/>
  <c r="L320" i="28"/>
  <c r="K320" i="28" s="1"/>
  <c r="F320" i="28"/>
  <c r="L320" i="26"/>
  <c r="K320" i="27"/>
  <c r="H320" i="26"/>
  <c r="G320" i="26"/>
  <c r="F320" i="26"/>
  <c r="Y320" i="26"/>
  <c r="AA320" i="26" s="1"/>
  <c r="N320" i="26"/>
  <c r="O320" i="26" s="1"/>
  <c r="D320" i="26"/>
  <c r="L319" i="25"/>
  <c r="K319" i="29"/>
  <c r="D319" i="25"/>
  <c r="N319" i="25"/>
  <c r="O319" i="25" s="1"/>
  <c r="G319" i="25"/>
  <c r="F319" i="25"/>
  <c r="H319" i="25"/>
  <c r="F319" i="30"/>
  <c r="N319" i="30"/>
  <c r="O319" i="30" s="1"/>
  <c r="L319" i="30"/>
  <c r="K319" i="30" s="1"/>
  <c r="Q319" i="30" s="1"/>
  <c r="R319" i="30" s="1"/>
  <c r="H319" i="30"/>
  <c r="G319" i="30"/>
  <c r="D319" i="30"/>
  <c r="A321" i="25"/>
  <c r="P321" i="29"/>
  <c r="B321" i="29"/>
  <c r="J321" i="29"/>
  <c r="A321" i="30"/>
  <c r="A322" i="29"/>
  <c r="J320" i="30"/>
  <c r="P320" i="30"/>
  <c r="B320" i="30"/>
  <c r="J320" i="25"/>
  <c r="B320" i="25"/>
  <c r="F320" i="29"/>
  <c r="H320" i="29"/>
  <c r="G320" i="29"/>
  <c r="N320" i="29"/>
  <c r="O320" i="29" s="1"/>
  <c r="L320" i="29"/>
  <c r="D320" i="29"/>
  <c r="P320" i="25"/>
  <c r="G322" i="27" l="1"/>
  <c r="H322" i="27"/>
  <c r="F322" i="27"/>
  <c r="AD319" i="26"/>
  <c r="Q319" i="26"/>
  <c r="R319" i="26" s="1"/>
  <c r="K320" i="26"/>
  <c r="Q320" i="27"/>
  <c r="R320" i="27" s="1"/>
  <c r="C320" i="27"/>
  <c r="Q320" i="28"/>
  <c r="R320" i="28" s="1"/>
  <c r="U317" i="25"/>
  <c r="Q318" i="25"/>
  <c r="R318" i="25" s="1"/>
  <c r="C318" i="25"/>
  <c r="I318" i="25" s="1"/>
  <c r="V318" i="25" s="1"/>
  <c r="C319" i="30"/>
  <c r="T319" i="30" s="1"/>
  <c r="Z318" i="26"/>
  <c r="K319" i="25"/>
  <c r="Q319" i="29"/>
  <c r="R319" i="29" s="1"/>
  <c r="C319" i="29"/>
  <c r="L320" i="25"/>
  <c r="K320" i="29"/>
  <c r="G320" i="25"/>
  <c r="F320" i="25"/>
  <c r="D320" i="25"/>
  <c r="N320" i="25"/>
  <c r="O320" i="25" s="1"/>
  <c r="H320" i="25"/>
  <c r="G320" i="30"/>
  <c r="F320" i="30"/>
  <c r="D320" i="30"/>
  <c r="N320" i="30"/>
  <c r="O320" i="30" s="1"/>
  <c r="L320" i="30"/>
  <c r="K320" i="30" s="1"/>
  <c r="C320" i="30" s="1"/>
  <c r="H320" i="30"/>
  <c r="A322" i="25"/>
  <c r="P322" i="29"/>
  <c r="B322" i="29"/>
  <c r="J322" i="29"/>
  <c r="A323" i="29"/>
  <c r="A322" i="30"/>
  <c r="J321" i="30"/>
  <c r="P321" i="30"/>
  <c r="B321" i="30"/>
  <c r="J321" i="25"/>
  <c r="B321" i="25"/>
  <c r="F321" i="29"/>
  <c r="H321" i="29"/>
  <c r="G321" i="29"/>
  <c r="N321" i="29"/>
  <c r="O321" i="29" s="1"/>
  <c r="L321" i="29"/>
  <c r="D321" i="29"/>
  <c r="P321" i="25"/>
  <c r="P322" i="28"/>
  <c r="J322" i="28"/>
  <c r="B322" i="26"/>
  <c r="N322" i="27"/>
  <c r="O322" i="27" s="1"/>
  <c r="D322" i="27"/>
  <c r="L322" i="27"/>
  <c r="B322" i="28"/>
  <c r="A323" i="26"/>
  <c r="A324" i="27"/>
  <c r="P323" i="27"/>
  <c r="B323" i="27"/>
  <c r="J323" i="27"/>
  <c r="A323" i="28"/>
  <c r="J322" i="26"/>
  <c r="X322" i="26"/>
  <c r="P322" i="26"/>
  <c r="G321" i="28"/>
  <c r="F321" i="28"/>
  <c r="H321" i="28"/>
  <c r="D321" i="28"/>
  <c r="N321" i="28"/>
  <c r="O321" i="28" s="1"/>
  <c r="L321" i="28"/>
  <c r="K321" i="28" s="1"/>
  <c r="Q321" i="28" s="1"/>
  <c r="R321" i="28" s="1"/>
  <c r="L321" i="26"/>
  <c r="K321" i="27"/>
  <c r="H321" i="26"/>
  <c r="G321" i="26"/>
  <c r="F321" i="26"/>
  <c r="Y321" i="26"/>
  <c r="AA321" i="26" s="1"/>
  <c r="N321" i="26"/>
  <c r="O321" i="26" s="1"/>
  <c r="D321" i="26"/>
  <c r="AC321" i="26"/>
  <c r="G323" i="27" l="1"/>
  <c r="F323" i="27"/>
  <c r="H323" i="27"/>
  <c r="U318" i="25"/>
  <c r="Q319" i="25"/>
  <c r="R319" i="25" s="1"/>
  <c r="C319" i="25"/>
  <c r="U319" i="25" s="1"/>
  <c r="AD320" i="26"/>
  <c r="Q320" i="26"/>
  <c r="R320" i="26" s="1"/>
  <c r="Z319" i="26"/>
  <c r="Q320" i="30"/>
  <c r="R320" i="30" s="1"/>
  <c r="T320" i="30"/>
  <c r="K321" i="26"/>
  <c r="C321" i="27"/>
  <c r="Q321" i="27"/>
  <c r="R321" i="27" s="1"/>
  <c r="K320" i="25"/>
  <c r="Q320" i="29"/>
  <c r="R320" i="29" s="1"/>
  <c r="C320" i="29"/>
  <c r="AC322" i="26"/>
  <c r="P323" i="28"/>
  <c r="J323" i="28"/>
  <c r="J323" i="26"/>
  <c r="B323" i="26"/>
  <c r="N323" i="27"/>
  <c r="O323" i="27" s="1"/>
  <c r="D323" i="27"/>
  <c r="L323" i="27"/>
  <c r="B323" i="28"/>
  <c r="A324" i="26"/>
  <c r="J324" i="27"/>
  <c r="A325" i="27"/>
  <c r="P324" i="27"/>
  <c r="B324" i="27"/>
  <c r="A324" i="28"/>
  <c r="X323" i="26"/>
  <c r="P323" i="26"/>
  <c r="F322" i="28"/>
  <c r="N322" i="28"/>
  <c r="O322" i="28" s="1"/>
  <c r="L322" i="28"/>
  <c r="K322" i="28" s="1"/>
  <c r="Q322" i="28" s="1"/>
  <c r="R322" i="28" s="1"/>
  <c r="H322" i="28"/>
  <c r="G322" i="28"/>
  <c r="D322" i="28"/>
  <c r="L322" i="26"/>
  <c r="K322" i="27"/>
  <c r="F322" i="26"/>
  <c r="Y322" i="26"/>
  <c r="AA322" i="26" s="1"/>
  <c r="N322" i="26"/>
  <c r="O322" i="26" s="1"/>
  <c r="D322" i="26"/>
  <c r="H322" i="26"/>
  <c r="G322" i="26"/>
  <c r="L321" i="25"/>
  <c r="K321" i="29"/>
  <c r="D321" i="25"/>
  <c r="H321" i="25"/>
  <c r="G321" i="25"/>
  <c r="N321" i="25"/>
  <c r="O321" i="25" s="1"/>
  <c r="F321" i="25"/>
  <c r="N321" i="30"/>
  <c r="O321" i="30" s="1"/>
  <c r="D321" i="30"/>
  <c r="H321" i="30"/>
  <c r="L321" i="30"/>
  <c r="K321" i="30" s="1"/>
  <c r="C321" i="30" s="1"/>
  <c r="G321" i="30"/>
  <c r="F321" i="30"/>
  <c r="P322" i="30"/>
  <c r="B322" i="30"/>
  <c r="J322" i="30"/>
  <c r="A323" i="25"/>
  <c r="P323" i="29"/>
  <c r="B323" i="29"/>
  <c r="J323" i="29"/>
  <c r="A324" i="29"/>
  <c r="A323" i="30"/>
  <c r="J322" i="25"/>
  <c r="B322" i="25"/>
  <c r="F322" i="29"/>
  <c r="H322" i="29"/>
  <c r="G322" i="29"/>
  <c r="N322" i="29"/>
  <c r="O322" i="29" s="1"/>
  <c r="L322" i="29"/>
  <c r="D322" i="29"/>
  <c r="P322" i="25"/>
  <c r="G324" i="27" l="1"/>
  <c r="H324" i="27"/>
  <c r="F324" i="27"/>
  <c r="I319" i="25"/>
  <c r="V319" i="25" s="1"/>
  <c r="T321" i="30"/>
  <c r="AD321" i="26"/>
  <c r="Q321" i="26"/>
  <c r="R321" i="26" s="1"/>
  <c r="Q321" i="30"/>
  <c r="R321" i="30" s="1"/>
  <c r="K322" i="26"/>
  <c r="Q322" i="27"/>
  <c r="R322" i="27" s="1"/>
  <c r="C322" i="27"/>
  <c r="Z320" i="26"/>
  <c r="Q320" i="25"/>
  <c r="R320" i="25" s="1"/>
  <c r="C320" i="25"/>
  <c r="U320" i="25" s="1"/>
  <c r="K321" i="25"/>
  <c r="Q321" i="29"/>
  <c r="R321" i="29" s="1"/>
  <c r="C321" i="29"/>
  <c r="L322" i="25"/>
  <c r="K322" i="29"/>
  <c r="H322" i="25"/>
  <c r="N322" i="25"/>
  <c r="O322" i="25" s="1"/>
  <c r="F322" i="25"/>
  <c r="G322" i="25"/>
  <c r="D322" i="25"/>
  <c r="B323" i="30"/>
  <c r="P323" i="30"/>
  <c r="J323" i="30"/>
  <c r="A324" i="25"/>
  <c r="P324" i="29"/>
  <c r="B324" i="29"/>
  <c r="A324" i="30"/>
  <c r="J324" i="29"/>
  <c r="A325" i="29"/>
  <c r="J323" i="25"/>
  <c r="B323" i="25"/>
  <c r="F323" i="29"/>
  <c r="H323" i="29"/>
  <c r="G323" i="29"/>
  <c r="N323" i="29"/>
  <c r="O323" i="29" s="1"/>
  <c r="L323" i="29"/>
  <c r="D323" i="29"/>
  <c r="P323" i="25"/>
  <c r="L322" i="30"/>
  <c r="K322" i="30" s="1"/>
  <c r="G322" i="30"/>
  <c r="D322" i="30"/>
  <c r="N322" i="30"/>
  <c r="O322" i="30" s="1"/>
  <c r="H322" i="30"/>
  <c r="F322" i="30"/>
  <c r="J324" i="28"/>
  <c r="P324" i="28"/>
  <c r="B324" i="26"/>
  <c r="N324" i="27"/>
  <c r="O324" i="27" s="1"/>
  <c r="D324" i="27"/>
  <c r="L324" i="27"/>
  <c r="B324" i="28"/>
  <c r="A325" i="26"/>
  <c r="A326" i="27"/>
  <c r="P325" i="27"/>
  <c r="B325" i="27"/>
  <c r="J325" i="27"/>
  <c r="A325" i="28"/>
  <c r="J324" i="26"/>
  <c r="P324" i="26"/>
  <c r="X324" i="26"/>
  <c r="N323" i="28"/>
  <c r="O323" i="28" s="1"/>
  <c r="D323" i="28"/>
  <c r="H323" i="28"/>
  <c r="G323" i="28"/>
  <c r="F323" i="28"/>
  <c r="L323" i="28"/>
  <c r="K323" i="28" s="1"/>
  <c r="Q323" i="28" s="1"/>
  <c r="R323" i="28" s="1"/>
  <c r="L323" i="26"/>
  <c r="K323" i="27"/>
  <c r="D323" i="26"/>
  <c r="H323" i="26"/>
  <c r="G323" i="26"/>
  <c r="F323" i="26"/>
  <c r="Y323" i="26"/>
  <c r="AA323" i="26" s="1"/>
  <c r="N323" i="26"/>
  <c r="O323" i="26" s="1"/>
  <c r="AC323" i="26"/>
  <c r="G325" i="27" l="1"/>
  <c r="F325" i="27"/>
  <c r="H325" i="27"/>
  <c r="K323" i="26"/>
  <c r="C323" i="27"/>
  <c r="Q323" i="27"/>
  <c r="R323" i="27" s="1"/>
  <c r="C322" i="30"/>
  <c r="T322" i="30" s="1"/>
  <c r="I320" i="25"/>
  <c r="V320" i="25" s="1"/>
  <c r="K322" i="25"/>
  <c r="C322" i="29"/>
  <c r="Q322" i="29"/>
  <c r="R322" i="29" s="1"/>
  <c r="AD322" i="26"/>
  <c r="Q322" i="26"/>
  <c r="R322" i="26" s="1"/>
  <c r="Z321" i="26"/>
  <c r="Q322" i="30"/>
  <c r="R322" i="30" s="1"/>
  <c r="Q321" i="25"/>
  <c r="R321" i="25" s="1"/>
  <c r="C321" i="25"/>
  <c r="I321" i="25" s="1"/>
  <c r="V321" i="25" s="1"/>
  <c r="AC324" i="26"/>
  <c r="P325" i="28"/>
  <c r="J325" i="28"/>
  <c r="J325" i="26"/>
  <c r="B325" i="26"/>
  <c r="N325" i="27"/>
  <c r="O325" i="27" s="1"/>
  <c r="D325" i="27"/>
  <c r="L325" i="27"/>
  <c r="B325" i="28"/>
  <c r="A326" i="26"/>
  <c r="J326" i="27"/>
  <c r="A327" i="27"/>
  <c r="P326" i="27"/>
  <c r="B326" i="27"/>
  <c r="A326" i="28"/>
  <c r="P325" i="26"/>
  <c r="X325" i="26"/>
  <c r="N324" i="28"/>
  <c r="O324" i="28" s="1"/>
  <c r="D324" i="28"/>
  <c r="L324" i="28"/>
  <c r="K324" i="28" s="1"/>
  <c r="Q324" i="28" s="1"/>
  <c r="R324" i="28" s="1"/>
  <c r="H324" i="28"/>
  <c r="G324" i="28"/>
  <c r="F324" i="28"/>
  <c r="L324" i="26"/>
  <c r="K324" i="27"/>
  <c r="H324" i="26"/>
  <c r="G324" i="26"/>
  <c r="F324" i="26"/>
  <c r="Y324" i="26"/>
  <c r="AA324" i="26" s="1"/>
  <c r="N324" i="26"/>
  <c r="O324" i="26" s="1"/>
  <c r="D324" i="26"/>
  <c r="L323" i="25"/>
  <c r="K323" i="29"/>
  <c r="F323" i="25"/>
  <c r="N323" i="25"/>
  <c r="O323" i="25" s="1"/>
  <c r="H323" i="25"/>
  <c r="D323" i="25"/>
  <c r="G323" i="25"/>
  <c r="A325" i="25"/>
  <c r="P325" i="29"/>
  <c r="B325" i="29"/>
  <c r="J325" i="29"/>
  <c r="A326" i="29"/>
  <c r="A325" i="30"/>
  <c r="J324" i="25"/>
  <c r="J324" i="30"/>
  <c r="P324" i="30"/>
  <c r="B324" i="30"/>
  <c r="B324" i="25"/>
  <c r="F324" i="29"/>
  <c r="H324" i="29"/>
  <c r="G324" i="29"/>
  <c r="N324" i="29"/>
  <c r="O324" i="29" s="1"/>
  <c r="L324" i="29"/>
  <c r="D324" i="29"/>
  <c r="P324" i="25"/>
  <c r="F323" i="30"/>
  <c r="H323" i="30"/>
  <c r="G323" i="30"/>
  <c r="D323" i="30"/>
  <c r="N323" i="30"/>
  <c r="O323" i="30" s="1"/>
  <c r="L323" i="30"/>
  <c r="K323" i="30" s="1"/>
  <c r="C323" i="30" s="1"/>
  <c r="G326" i="27" l="1"/>
  <c r="H326" i="27"/>
  <c r="F326" i="27"/>
  <c r="T323" i="30"/>
  <c r="AD323" i="26"/>
  <c r="Q323" i="26"/>
  <c r="R323" i="26" s="1"/>
  <c r="U321" i="25"/>
  <c r="K324" i="26"/>
  <c r="Q324" i="27"/>
  <c r="R324" i="27" s="1"/>
  <c r="C324" i="27"/>
  <c r="Q322" i="25"/>
  <c r="R322" i="25" s="1"/>
  <c r="C322" i="25"/>
  <c r="I322" i="25" s="1"/>
  <c r="V322" i="25" s="1"/>
  <c r="Q323" i="30"/>
  <c r="R323" i="30" s="1"/>
  <c r="Z322" i="26"/>
  <c r="K323" i="25"/>
  <c r="Q323" i="29"/>
  <c r="R323" i="29" s="1"/>
  <c r="C323" i="29"/>
  <c r="L324" i="25"/>
  <c r="K324" i="29"/>
  <c r="D324" i="25"/>
  <c r="F324" i="25"/>
  <c r="N324" i="25"/>
  <c r="O324" i="25" s="1"/>
  <c r="H324" i="25"/>
  <c r="G324" i="25"/>
  <c r="N324" i="30"/>
  <c r="O324" i="30" s="1"/>
  <c r="L324" i="30"/>
  <c r="K324" i="30" s="1"/>
  <c r="Q324" i="30" s="1"/>
  <c r="R324" i="30" s="1"/>
  <c r="H324" i="30"/>
  <c r="G324" i="30"/>
  <c r="F324" i="30"/>
  <c r="D324" i="30"/>
  <c r="P325" i="30"/>
  <c r="B325" i="30"/>
  <c r="J325" i="30"/>
  <c r="A326" i="25"/>
  <c r="P326" i="29"/>
  <c r="B326" i="29"/>
  <c r="J326" i="29"/>
  <c r="A326" i="30"/>
  <c r="A327" i="29"/>
  <c r="J325" i="25"/>
  <c r="B325" i="25"/>
  <c r="F325" i="29"/>
  <c r="H325" i="29"/>
  <c r="G325" i="29"/>
  <c r="N325" i="29"/>
  <c r="O325" i="29" s="1"/>
  <c r="L325" i="29"/>
  <c r="D325" i="29"/>
  <c r="P325" i="25"/>
  <c r="J326" i="28"/>
  <c r="P326" i="28"/>
  <c r="B326" i="26"/>
  <c r="N326" i="27"/>
  <c r="O326" i="27" s="1"/>
  <c r="D326" i="27"/>
  <c r="L326" i="27"/>
  <c r="B326" i="28"/>
  <c r="A327" i="26"/>
  <c r="A328" i="27"/>
  <c r="P327" i="27"/>
  <c r="B327" i="27"/>
  <c r="J327" i="27"/>
  <c r="A327" i="28"/>
  <c r="J326" i="26"/>
  <c r="X326" i="26"/>
  <c r="P326" i="26"/>
  <c r="L325" i="28"/>
  <c r="K325" i="28" s="1"/>
  <c r="Q325" i="28" s="1"/>
  <c r="R325" i="28" s="1"/>
  <c r="F325" i="28"/>
  <c r="D325" i="28"/>
  <c r="N325" i="28"/>
  <c r="O325" i="28" s="1"/>
  <c r="H325" i="28"/>
  <c r="G325" i="28"/>
  <c r="L325" i="26"/>
  <c r="K325" i="27"/>
  <c r="H325" i="26"/>
  <c r="G325" i="26"/>
  <c r="F325" i="26"/>
  <c r="Y325" i="26"/>
  <c r="AA325" i="26" s="1"/>
  <c r="N325" i="26"/>
  <c r="O325" i="26" s="1"/>
  <c r="D325" i="26"/>
  <c r="AC325" i="26"/>
  <c r="G327" i="27" l="1"/>
  <c r="F327" i="27"/>
  <c r="H327" i="27"/>
  <c r="C324" i="30"/>
  <c r="T324" i="30" s="1"/>
  <c r="U322" i="25"/>
  <c r="AD324" i="26"/>
  <c r="Q324" i="26"/>
  <c r="R324" i="26" s="1"/>
  <c r="Z323" i="26"/>
  <c r="Q323" i="25"/>
  <c r="R323" i="25" s="1"/>
  <c r="C323" i="25"/>
  <c r="U323" i="25" s="1"/>
  <c r="K325" i="26"/>
  <c r="Q325" i="27"/>
  <c r="R325" i="27" s="1"/>
  <c r="C325" i="27"/>
  <c r="K324" i="25"/>
  <c r="Q324" i="29"/>
  <c r="R324" i="29" s="1"/>
  <c r="C324" i="29"/>
  <c r="AC326" i="26"/>
  <c r="J327" i="28"/>
  <c r="P327" i="28"/>
  <c r="J327" i="26"/>
  <c r="B327" i="26"/>
  <c r="N327" i="27"/>
  <c r="O327" i="27" s="1"/>
  <c r="D327" i="27"/>
  <c r="L327" i="27"/>
  <c r="B327" i="28"/>
  <c r="A328" i="26"/>
  <c r="J328" i="27"/>
  <c r="A329" i="27"/>
  <c r="P328" i="27"/>
  <c r="B328" i="27"/>
  <c r="A328" i="28"/>
  <c r="X327" i="26"/>
  <c r="P327" i="26"/>
  <c r="L326" i="28"/>
  <c r="K326" i="28" s="1"/>
  <c r="H326" i="28"/>
  <c r="G326" i="28"/>
  <c r="F326" i="28"/>
  <c r="D326" i="28"/>
  <c r="N326" i="28"/>
  <c r="O326" i="28" s="1"/>
  <c r="L326" i="26"/>
  <c r="K326" i="27"/>
  <c r="F326" i="26"/>
  <c r="Y326" i="26"/>
  <c r="AA326" i="26" s="1"/>
  <c r="N326" i="26"/>
  <c r="O326" i="26" s="1"/>
  <c r="D326" i="26"/>
  <c r="H326" i="26"/>
  <c r="G326" i="26"/>
  <c r="L325" i="25"/>
  <c r="K325" i="29"/>
  <c r="H325" i="25"/>
  <c r="G325" i="25"/>
  <c r="F325" i="25"/>
  <c r="N325" i="25"/>
  <c r="O325" i="25" s="1"/>
  <c r="D325" i="25"/>
  <c r="A327" i="25"/>
  <c r="P327" i="29"/>
  <c r="B327" i="29"/>
  <c r="J327" i="29"/>
  <c r="A327" i="30"/>
  <c r="A328" i="29"/>
  <c r="J326" i="30"/>
  <c r="P326" i="30"/>
  <c r="B326" i="30"/>
  <c r="J326" i="25"/>
  <c r="B326" i="25"/>
  <c r="F326" i="29"/>
  <c r="H326" i="29"/>
  <c r="G326" i="29"/>
  <c r="N326" i="29"/>
  <c r="O326" i="29" s="1"/>
  <c r="L326" i="29"/>
  <c r="D326" i="29"/>
  <c r="P326" i="25"/>
  <c r="H325" i="30"/>
  <c r="N325" i="30"/>
  <c r="O325" i="30" s="1"/>
  <c r="D325" i="30"/>
  <c r="G325" i="30"/>
  <c r="F325" i="30"/>
  <c r="L325" i="30"/>
  <c r="K325" i="30" s="1"/>
  <c r="Q325" i="30" s="1"/>
  <c r="R325" i="30" s="1"/>
  <c r="G328" i="27" l="1"/>
  <c r="H328" i="27"/>
  <c r="F328" i="27"/>
  <c r="Z324" i="26"/>
  <c r="C325" i="30"/>
  <c r="T325" i="30" s="1"/>
  <c r="K325" i="25"/>
  <c r="C325" i="29"/>
  <c r="Q325" i="29"/>
  <c r="R325" i="29" s="1"/>
  <c r="AD325" i="26"/>
  <c r="Q325" i="26"/>
  <c r="R325" i="26" s="1"/>
  <c r="I323" i="25"/>
  <c r="V323" i="25" s="1"/>
  <c r="K326" i="26"/>
  <c r="Q326" i="27"/>
  <c r="R326" i="27" s="1"/>
  <c r="C326" i="27"/>
  <c r="Q326" i="28"/>
  <c r="R326" i="28" s="1"/>
  <c r="Q324" i="25"/>
  <c r="R324" i="25" s="1"/>
  <c r="C324" i="25"/>
  <c r="U324" i="25" s="1"/>
  <c r="L326" i="25"/>
  <c r="K326" i="29"/>
  <c r="N326" i="25"/>
  <c r="O326" i="25" s="1"/>
  <c r="D326" i="25"/>
  <c r="H326" i="25"/>
  <c r="G326" i="25"/>
  <c r="F326" i="25"/>
  <c r="G326" i="30"/>
  <c r="L326" i="30"/>
  <c r="K326" i="30" s="1"/>
  <c r="Q326" i="30" s="1"/>
  <c r="R326" i="30" s="1"/>
  <c r="N326" i="30"/>
  <c r="O326" i="30" s="1"/>
  <c r="H326" i="30"/>
  <c r="F326" i="30"/>
  <c r="D326" i="30"/>
  <c r="A328" i="25"/>
  <c r="P328" i="29"/>
  <c r="B328" i="29"/>
  <c r="J328" i="29"/>
  <c r="A328" i="30"/>
  <c r="A329" i="29"/>
  <c r="P327" i="30"/>
  <c r="B327" i="30"/>
  <c r="J327" i="30"/>
  <c r="J327" i="25"/>
  <c r="B327" i="25"/>
  <c r="F327" i="29"/>
  <c r="H327" i="29"/>
  <c r="G327" i="29"/>
  <c r="N327" i="29"/>
  <c r="O327" i="29" s="1"/>
  <c r="L327" i="29"/>
  <c r="D327" i="29"/>
  <c r="P327" i="25"/>
  <c r="J328" i="28"/>
  <c r="P328" i="28"/>
  <c r="B328" i="26"/>
  <c r="N328" i="27"/>
  <c r="O328" i="27" s="1"/>
  <c r="D328" i="27"/>
  <c r="L328" i="27"/>
  <c r="B328" i="28"/>
  <c r="A329" i="26"/>
  <c r="A330" i="27"/>
  <c r="P329" i="27"/>
  <c r="B329" i="27"/>
  <c r="J329" i="27"/>
  <c r="A329" i="28"/>
  <c r="J328" i="26"/>
  <c r="P328" i="26"/>
  <c r="X328" i="26"/>
  <c r="H327" i="28"/>
  <c r="D327" i="28"/>
  <c r="N327" i="28"/>
  <c r="O327" i="28" s="1"/>
  <c r="L327" i="28"/>
  <c r="K327" i="28" s="1"/>
  <c r="Q327" i="28" s="1"/>
  <c r="R327" i="28" s="1"/>
  <c r="G327" i="28"/>
  <c r="F327" i="28"/>
  <c r="L327" i="26"/>
  <c r="K327" i="27"/>
  <c r="D327" i="26"/>
  <c r="H327" i="26"/>
  <c r="G327" i="26"/>
  <c r="F327" i="26"/>
  <c r="Y327" i="26"/>
  <c r="AA327" i="26" s="1"/>
  <c r="N327" i="26"/>
  <c r="O327" i="26" s="1"/>
  <c r="AC327" i="26"/>
  <c r="F329" i="27" l="1"/>
  <c r="G329" i="27"/>
  <c r="H329" i="27"/>
  <c r="C326" i="30"/>
  <c r="T326" i="30" s="1"/>
  <c r="K326" i="25"/>
  <c r="Q326" i="29"/>
  <c r="R326" i="29" s="1"/>
  <c r="C326" i="29"/>
  <c r="Q325" i="25"/>
  <c r="R325" i="25" s="1"/>
  <c r="C325" i="25"/>
  <c r="U325" i="25" s="1"/>
  <c r="I324" i="25"/>
  <c r="V324" i="25" s="1"/>
  <c r="AD326" i="26"/>
  <c r="Q326" i="26"/>
  <c r="R326" i="26" s="1"/>
  <c r="Z325" i="26"/>
  <c r="K327" i="26"/>
  <c r="Q327" i="27"/>
  <c r="R327" i="27" s="1"/>
  <c r="C327" i="27"/>
  <c r="AC328" i="26"/>
  <c r="P329" i="28"/>
  <c r="J329" i="28"/>
  <c r="J329" i="26"/>
  <c r="B329" i="26"/>
  <c r="N329" i="27"/>
  <c r="O329" i="27" s="1"/>
  <c r="D329" i="27"/>
  <c r="L329" i="27"/>
  <c r="B329" i="28"/>
  <c r="A330" i="26"/>
  <c r="J330" i="27"/>
  <c r="A331" i="27"/>
  <c r="P330" i="27"/>
  <c r="B330" i="27"/>
  <c r="A330" i="28"/>
  <c r="P329" i="26"/>
  <c r="X329" i="26"/>
  <c r="H328" i="28"/>
  <c r="G328" i="28"/>
  <c r="F328" i="28"/>
  <c r="D328" i="28"/>
  <c r="N328" i="28"/>
  <c r="O328" i="28" s="1"/>
  <c r="L328" i="28"/>
  <c r="K328" i="28" s="1"/>
  <c r="Q328" i="28" s="1"/>
  <c r="R328" i="28" s="1"/>
  <c r="L328" i="26"/>
  <c r="K328" i="27"/>
  <c r="H328" i="26"/>
  <c r="G328" i="26"/>
  <c r="F328" i="26"/>
  <c r="Y328" i="26"/>
  <c r="AA328" i="26" s="1"/>
  <c r="N328" i="26"/>
  <c r="O328" i="26" s="1"/>
  <c r="D328" i="26"/>
  <c r="L327" i="25"/>
  <c r="K327" i="29"/>
  <c r="D327" i="25"/>
  <c r="N327" i="25"/>
  <c r="O327" i="25" s="1"/>
  <c r="H327" i="25"/>
  <c r="G327" i="25"/>
  <c r="F327" i="25"/>
  <c r="F327" i="30"/>
  <c r="D327" i="30"/>
  <c r="N327" i="30"/>
  <c r="O327" i="30" s="1"/>
  <c r="L327" i="30"/>
  <c r="K327" i="30" s="1"/>
  <c r="Q327" i="30" s="1"/>
  <c r="R327" i="30" s="1"/>
  <c r="H327" i="30"/>
  <c r="G327" i="30"/>
  <c r="A329" i="25"/>
  <c r="P329" i="29"/>
  <c r="B329" i="29"/>
  <c r="J329" i="29"/>
  <c r="A329" i="30"/>
  <c r="A330" i="29"/>
  <c r="J328" i="30"/>
  <c r="P328" i="30"/>
  <c r="B328" i="30"/>
  <c r="J328" i="25"/>
  <c r="B328" i="25"/>
  <c r="F328" i="29"/>
  <c r="H328" i="29"/>
  <c r="G328" i="29"/>
  <c r="N328" i="29"/>
  <c r="O328" i="29" s="1"/>
  <c r="L328" i="29"/>
  <c r="D328" i="29"/>
  <c r="P328" i="25"/>
  <c r="G330" i="27" l="1"/>
  <c r="F330" i="27"/>
  <c r="H330" i="27"/>
  <c r="I325" i="25"/>
  <c r="V325" i="25" s="1"/>
  <c r="K328" i="26"/>
  <c r="Q328" i="27"/>
  <c r="R328" i="27" s="1"/>
  <c r="C328" i="27"/>
  <c r="C327" i="30"/>
  <c r="T327" i="30" s="1"/>
  <c r="AD327" i="26"/>
  <c r="Q327" i="26"/>
  <c r="R327" i="26" s="1"/>
  <c r="Z326" i="26"/>
  <c r="K327" i="25"/>
  <c r="Q327" i="29"/>
  <c r="R327" i="29" s="1"/>
  <c r="C327" i="29"/>
  <c r="Q326" i="25"/>
  <c r="R326" i="25" s="1"/>
  <c r="C326" i="25"/>
  <c r="I326" i="25" s="1"/>
  <c r="V326" i="25" s="1"/>
  <c r="L328" i="25"/>
  <c r="K328" i="29"/>
  <c r="G328" i="25"/>
  <c r="F328" i="25"/>
  <c r="N328" i="25"/>
  <c r="O328" i="25" s="1"/>
  <c r="H328" i="25"/>
  <c r="D328" i="25"/>
  <c r="H328" i="30"/>
  <c r="G328" i="30"/>
  <c r="F328" i="30"/>
  <c r="D328" i="30"/>
  <c r="N328" i="30"/>
  <c r="O328" i="30" s="1"/>
  <c r="L328" i="30"/>
  <c r="K328" i="30" s="1"/>
  <c r="Q328" i="30" s="1"/>
  <c r="R328" i="30" s="1"/>
  <c r="A330" i="25"/>
  <c r="P330" i="29"/>
  <c r="B330" i="29"/>
  <c r="J330" i="29"/>
  <c r="A331" i="29"/>
  <c r="A330" i="30"/>
  <c r="P329" i="30"/>
  <c r="B329" i="30"/>
  <c r="J329" i="30"/>
  <c r="J329" i="25"/>
  <c r="B329" i="25"/>
  <c r="F329" i="29"/>
  <c r="H329" i="29"/>
  <c r="G329" i="29"/>
  <c r="N329" i="29"/>
  <c r="O329" i="29" s="1"/>
  <c r="L329" i="29"/>
  <c r="D329" i="29"/>
  <c r="P329" i="25"/>
  <c r="P330" i="28"/>
  <c r="J330" i="28"/>
  <c r="B330" i="26"/>
  <c r="N330" i="27"/>
  <c r="O330" i="27" s="1"/>
  <c r="D330" i="27"/>
  <c r="L330" i="27"/>
  <c r="B330" i="28"/>
  <c r="A331" i="26"/>
  <c r="A332" i="27"/>
  <c r="P331" i="27"/>
  <c r="B331" i="27"/>
  <c r="J331" i="27"/>
  <c r="A331" i="28"/>
  <c r="J330" i="26"/>
  <c r="X330" i="26"/>
  <c r="P330" i="26"/>
  <c r="G329" i="28"/>
  <c r="F329" i="28"/>
  <c r="N329" i="28"/>
  <c r="O329" i="28" s="1"/>
  <c r="L329" i="28"/>
  <c r="K329" i="28" s="1"/>
  <c r="Q329" i="28" s="1"/>
  <c r="R329" i="28" s="1"/>
  <c r="H329" i="28"/>
  <c r="D329" i="28"/>
  <c r="L329" i="26"/>
  <c r="K329" i="27"/>
  <c r="H329" i="26"/>
  <c r="G329" i="26"/>
  <c r="F329" i="26"/>
  <c r="Y329" i="26"/>
  <c r="AA329" i="26" s="1"/>
  <c r="N329" i="26"/>
  <c r="O329" i="26" s="1"/>
  <c r="D329" i="26"/>
  <c r="AC329" i="26"/>
  <c r="G331" i="27" l="1"/>
  <c r="F331" i="27"/>
  <c r="H331" i="27"/>
  <c r="C328" i="30"/>
  <c r="T328" i="30" s="1"/>
  <c r="K329" i="26"/>
  <c r="Q329" i="27"/>
  <c r="R329" i="27" s="1"/>
  <c r="C329" i="27"/>
  <c r="K328" i="25"/>
  <c r="C328" i="29"/>
  <c r="Q328" i="29"/>
  <c r="R328" i="29" s="1"/>
  <c r="U326" i="25"/>
  <c r="C327" i="25"/>
  <c r="U327" i="25" s="1"/>
  <c r="Q327" i="25"/>
  <c r="R327" i="25" s="1"/>
  <c r="Z327" i="26"/>
  <c r="AD328" i="26"/>
  <c r="Q328" i="26"/>
  <c r="R328" i="26" s="1"/>
  <c r="AC330" i="26"/>
  <c r="J331" i="28"/>
  <c r="P331" i="28"/>
  <c r="J331" i="26"/>
  <c r="B331" i="26"/>
  <c r="N331" i="27"/>
  <c r="O331" i="27" s="1"/>
  <c r="D331" i="27"/>
  <c r="L331" i="27"/>
  <c r="B331" i="28"/>
  <c r="A332" i="26"/>
  <c r="J332" i="27"/>
  <c r="A333" i="27"/>
  <c r="P332" i="27"/>
  <c r="B332" i="27"/>
  <c r="A332" i="28"/>
  <c r="X331" i="26"/>
  <c r="P331" i="26"/>
  <c r="F330" i="28"/>
  <c r="G330" i="28"/>
  <c r="D330" i="28"/>
  <c r="N330" i="28"/>
  <c r="O330" i="28" s="1"/>
  <c r="L330" i="28"/>
  <c r="K330" i="28" s="1"/>
  <c r="Q330" i="28" s="1"/>
  <c r="R330" i="28" s="1"/>
  <c r="H330" i="28"/>
  <c r="L330" i="26"/>
  <c r="K330" i="27"/>
  <c r="F330" i="26"/>
  <c r="Y330" i="26"/>
  <c r="AA330" i="26" s="1"/>
  <c r="N330" i="26"/>
  <c r="O330" i="26" s="1"/>
  <c r="D330" i="26"/>
  <c r="H330" i="26"/>
  <c r="G330" i="26"/>
  <c r="L329" i="25"/>
  <c r="K329" i="29"/>
  <c r="D329" i="25"/>
  <c r="F329" i="25"/>
  <c r="H329" i="25"/>
  <c r="N329" i="25"/>
  <c r="O329" i="25" s="1"/>
  <c r="G329" i="25"/>
  <c r="N329" i="30"/>
  <c r="O329" i="30" s="1"/>
  <c r="D329" i="30"/>
  <c r="H329" i="30"/>
  <c r="L329" i="30"/>
  <c r="K329" i="30" s="1"/>
  <c r="C329" i="30" s="1"/>
  <c r="G329" i="30"/>
  <c r="F329" i="30"/>
  <c r="P330" i="30"/>
  <c r="B330" i="30"/>
  <c r="J330" i="30"/>
  <c r="A331" i="25"/>
  <c r="P331" i="29"/>
  <c r="B331" i="29"/>
  <c r="J331" i="29"/>
  <c r="A331" i="30"/>
  <c r="A332" i="29"/>
  <c r="J330" i="25"/>
  <c r="B330" i="25"/>
  <c r="F330" i="29"/>
  <c r="H330" i="29"/>
  <c r="G330" i="29"/>
  <c r="N330" i="29"/>
  <c r="O330" i="29" s="1"/>
  <c r="L330" i="29"/>
  <c r="D330" i="29"/>
  <c r="P330" i="25"/>
  <c r="G332" i="27" l="1"/>
  <c r="H332" i="27"/>
  <c r="F332" i="27"/>
  <c r="I327" i="25"/>
  <c r="V327" i="25" s="1"/>
  <c r="Z328" i="26"/>
  <c r="K329" i="25"/>
  <c r="Q329" i="29"/>
  <c r="R329" i="29" s="1"/>
  <c r="C329" i="29"/>
  <c r="AD329" i="26"/>
  <c r="Q329" i="26"/>
  <c r="R329" i="26" s="1"/>
  <c r="Q329" i="30"/>
  <c r="R329" i="30" s="1"/>
  <c r="K330" i="26"/>
  <c r="Q330" i="27"/>
  <c r="R330" i="27" s="1"/>
  <c r="C330" i="27"/>
  <c r="Q328" i="25"/>
  <c r="R328" i="25" s="1"/>
  <c r="C328" i="25"/>
  <c r="I328" i="25" s="1"/>
  <c r="V328" i="25" s="1"/>
  <c r="T329" i="30"/>
  <c r="L330" i="25"/>
  <c r="K330" i="29"/>
  <c r="H330" i="25"/>
  <c r="G330" i="25"/>
  <c r="F330" i="25"/>
  <c r="D330" i="25"/>
  <c r="N330" i="25"/>
  <c r="O330" i="25" s="1"/>
  <c r="A332" i="25"/>
  <c r="P332" i="29"/>
  <c r="B332" i="29"/>
  <c r="A332" i="30"/>
  <c r="J332" i="29"/>
  <c r="A333" i="29"/>
  <c r="B331" i="30"/>
  <c r="P331" i="30"/>
  <c r="J331" i="30"/>
  <c r="J331" i="25"/>
  <c r="B331" i="25"/>
  <c r="F331" i="29"/>
  <c r="H331" i="29"/>
  <c r="G331" i="29"/>
  <c r="N331" i="29"/>
  <c r="O331" i="29" s="1"/>
  <c r="L331" i="29"/>
  <c r="D331" i="29"/>
  <c r="P331" i="25"/>
  <c r="L330" i="30"/>
  <c r="K330" i="30" s="1"/>
  <c r="G330" i="30"/>
  <c r="H330" i="30"/>
  <c r="F330" i="30"/>
  <c r="D330" i="30"/>
  <c r="N330" i="30"/>
  <c r="O330" i="30" s="1"/>
  <c r="P332" i="28"/>
  <c r="J332" i="28"/>
  <c r="B332" i="26"/>
  <c r="N332" i="27"/>
  <c r="O332" i="27" s="1"/>
  <c r="D332" i="27"/>
  <c r="L332" i="27"/>
  <c r="B332" i="28"/>
  <c r="A333" i="26"/>
  <c r="A334" i="27"/>
  <c r="P333" i="27"/>
  <c r="B333" i="27"/>
  <c r="J333" i="27"/>
  <c r="A333" i="28"/>
  <c r="J332" i="26"/>
  <c r="P332" i="26"/>
  <c r="X332" i="26"/>
  <c r="N331" i="28"/>
  <c r="O331" i="28" s="1"/>
  <c r="D331" i="28"/>
  <c r="H331" i="28"/>
  <c r="G331" i="28"/>
  <c r="F331" i="28"/>
  <c r="L331" i="28"/>
  <c r="K331" i="28" s="1"/>
  <c r="Q331" i="28" s="1"/>
  <c r="R331" i="28" s="1"/>
  <c r="L331" i="26"/>
  <c r="K331" i="27"/>
  <c r="D331" i="26"/>
  <c r="H331" i="26"/>
  <c r="G331" i="26"/>
  <c r="F331" i="26"/>
  <c r="Y331" i="26"/>
  <c r="AA331" i="26" s="1"/>
  <c r="N331" i="26"/>
  <c r="O331" i="26" s="1"/>
  <c r="AC331" i="26"/>
  <c r="F333" i="27" l="1"/>
  <c r="G333" i="27"/>
  <c r="H333" i="27"/>
  <c r="U328" i="25"/>
  <c r="C330" i="30"/>
  <c r="T330" i="30" s="1"/>
  <c r="K331" i="26"/>
  <c r="C331" i="27"/>
  <c r="Q331" i="27"/>
  <c r="R331" i="27" s="1"/>
  <c r="K330" i="25"/>
  <c r="Q330" i="29"/>
  <c r="R330" i="29" s="1"/>
  <c r="C330" i="29"/>
  <c r="Q329" i="25"/>
  <c r="R329" i="25" s="1"/>
  <c r="C329" i="25"/>
  <c r="U329" i="25" s="1"/>
  <c r="Q330" i="30"/>
  <c r="R330" i="30" s="1"/>
  <c r="AD330" i="26"/>
  <c r="Q330" i="26"/>
  <c r="R330" i="26" s="1"/>
  <c r="Z329" i="26"/>
  <c r="AC332" i="26"/>
  <c r="P333" i="28"/>
  <c r="J333" i="28"/>
  <c r="J333" i="26"/>
  <c r="B333" i="26"/>
  <c r="N333" i="27"/>
  <c r="O333" i="27" s="1"/>
  <c r="D333" i="27"/>
  <c r="L333" i="27"/>
  <c r="B333" i="28"/>
  <c r="A334" i="26"/>
  <c r="J334" i="27"/>
  <c r="A335" i="27"/>
  <c r="P334" i="27"/>
  <c r="B334" i="27"/>
  <c r="A334" i="28"/>
  <c r="P333" i="26"/>
  <c r="X333" i="26"/>
  <c r="N332" i="28"/>
  <c r="O332" i="28" s="1"/>
  <c r="D332" i="28"/>
  <c r="L332" i="28"/>
  <c r="K332" i="28" s="1"/>
  <c r="H332" i="28"/>
  <c r="G332" i="28"/>
  <c r="F332" i="28"/>
  <c r="L332" i="26"/>
  <c r="K332" i="27"/>
  <c r="H332" i="26"/>
  <c r="G332" i="26"/>
  <c r="F332" i="26"/>
  <c r="Y332" i="26"/>
  <c r="AA332" i="26" s="1"/>
  <c r="N332" i="26"/>
  <c r="O332" i="26" s="1"/>
  <c r="D332" i="26"/>
  <c r="L331" i="25"/>
  <c r="K331" i="29"/>
  <c r="F331" i="25"/>
  <c r="N331" i="25"/>
  <c r="O331" i="25" s="1"/>
  <c r="G331" i="25"/>
  <c r="D331" i="25"/>
  <c r="H331" i="25"/>
  <c r="F331" i="30"/>
  <c r="N331" i="30"/>
  <c r="O331" i="30" s="1"/>
  <c r="L331" i="30"/>
  <c r="K331" i="30" s="1"/>
  <c r="Q331" i="30" s="1"/>
  <c r="R331" i="30" s="1"/>
  <c r="H331" i="30"/>
  <c r="G331" i="30"/>
  <c r="D331" i="30"/>
  <c r="A333" i="25"/>
  <c r="P333" i="29"/>
  <c r="B333" i="29"/>
  <c r="J333" i="29"/>
  <c r="A334" i="29"/>
  <c r="A333" i="30"/>
  <c r="J332" i="25"/>
  <c r="J332" i="30"/>
  <c r="P332" i="30"/>
  <c r="B332" i="30"/>
  <c r="B332" i="25"/>
  <c r="F332" i="29"/>
  <c r="H332" i="29"/>
  <c r="G332" i="29"/>
  <c r="N332" i="29"/>
  <c r="O332" i="29" s="1"/>
  <c r="L332" i="29"/>
  <c r="D332" i="29"/>
  <c r="P332" i="25"/>
  <c r="G334" i="27" l="1"/>
  <c r="H334" i="27"/>
  <c r="F334" i="27"/>
  <c r="I329" i="25"/>
  <c r="V329" i="25" s="1"/>
  <c r="K331" i="25"/>
  <c r="Q331" i="29"/>
  <c r="R331" i="29" s="1"/>
  <c r="C331" i="29"/>
  <c r="AD331" i="26"/>
  <c r="Q331" i="26"/>
  <c r="R331" i="26" s="1"/>
  <c r="Z330" i="26"/>
  <c r="Q332" i="28"/>
  <c r="R332" i="28" s="1"/>
  <c r="K332" i="26"/>
  <c r="Q332" i="27"/>
  <c r="R332" i="27" s="1"/>
  <c r="C332" i="27"/>
  <c r="C331" i="30"/>
  <c r="T331" i="30" s="1"/>
  <c r="Q330" i="25"/>
  <c r="R330" i="25" s="1"/>
  <c r="C330" i="25"/>
  <c r="I330" i="25" s="1"/>
  <c r="V330" i="25" s="1"/>
  <c r="L332" i="25"/>
  <c r="K332" i="29"/>
  <c r="N332" i="25"/>
  <c r="O332" i="25" s="1"/>
  <c r="H332" i="25"/>
  <c r="G332" i="25"/>
  <c r="D332" i="25"/>
  <c r="F332" i="25"/>
  <c r="F332" i="30"/>
  <c r="D332" i="30"/>
  <c r="N332" i="30"/>
  <c r="O332" i="30" s="1"/>
  <c r="L332" i="30"/>
  <c r="K332" i="30" s="1"/>
  <c r="Q332" i="30" s="1"/>
  <c r="R332" i="30" s="1"/>
  <c r="H332" i="30"/>
  <c r="G332" i="30"/>
  <c r="J333" i="30"/>
  <c r="P333" i="30"/>
  <c r="B333" i="30"/>
  <c r="A334" i="25"/>
  <c r="P334" i="29"/>
  <c r="B334" i="29"/>
  <c r="A335" i="29"/>
  <c r="J334" i="29"/>
  <c r="A334" i="30"/>
  <c r="J333" i="25"/>
  <c r="B333" i="25"/>
  <c r="F333" i="29"/>
  <c r="H333" i="29"/>
  <c r="G333" i="29"/>
  <c r="N333" i="29"/>
  <c r="O333" i="29" s="1"/>
  <c r="L333" i="29"/>
  <c r="D333" i="29"/>
  <c r="P333" i="25"/>
  <c r="J334" i="28"/>
  <c r="P334" i="28"/>
  <c r="B334" i="26"/>
  <c r="N334" i="27"/>
  <c r="O334" i="27" s="1"/>
  <c r="D334" i="27"/>
  <c r="L334" i="27"/>
  <c r="B334" i="28"/>
  <c r="A335" i="26"/>
  <c r="A336" i="27"/>
  <c r="P335" i="27"/>
  <c r="B335" i="27"/>
  <c r="J335" i="27"/>
  <c r="A335" i="28"/>
  <c r="J334" i="26"/>
  <c r="X334" i="26"/>
  <c r="P334" i="26"/>
  <c r="L333" i="28"/>
  <c r="K333" i="28" s="1"/>
  <c r="Q333" i="28" s="1"/>
  <c r="R333" i="28" s="1"/>
  <c r="H333" i="28"/>
  <c r="G333" i="28"/>
  <c r="F333" i="28"/>
  <c r="D333" i="28"/>
  <c r="N333" i="28"/>
  <c r="O333" i="28" s="1"/>
  <c r="L333" i="26"/>
  <c r="K333" i="27"/>
  <c r="H333" i="26"/>
  <c r="G333" i="26"/>
  <c r="F333" i="26"/>
  <c r="Y333" i="26"/>
  <c r="AA333" i="26" s="1"/>
  <c r="N333" i="26"/>
  <c r="O333" i="26" s="1"/>
  <c r="D333" i="26"/>
  <c r="AC333" i="26"/>
  <c r="G335" i="27" l="1"/>
  <c r="F335" i="27"/>
  <c r="H335" i="27"/>
  <c r="U330" i="25"/>
  <c r="K333" i="26"/>
  <c r="Q333" i="27"/>
  <c r="R333" i="27" s="1"/>
  <c r="C333" i="27"/>
  <c r="K332" i="25"/>
  <c r="C332" i="29"/>
  <c r="Q332" i="29"/>
  <c r="R332" i="29" s="1"/>
  <c r="Q331" i="25"/>
  <c r="R331" i="25" s="1"/>
  <c r="C331" i="25"/>
  <c r="U331" i="25" s="1"/>
  <c r="C332" i="30"/>
  <c r="T332" i="30" s="1"/>
  <c r="AD332" i="26"/>
  <c r="Q332" i="26"/>
  <c r="R332" i="26" s="1"/>
  <c r="Z331" i="26"/>
  <c r="AC334" i="26"/>
  <c r="J335" i="28"/>
  <c r="P335" i="28"/>
  <c r="J335" i="26"/>
  <c r="B335" i="26"/>
  <c r="N335" i="27"/>
  <c r="O335" i="27" s="1"/>
  <c r="D335" i="27"/>
  <c r="L335" i="27"/>
  <c r="B335" i="28"/>
  <c r="A336" i="26"/>
  <c r="J336" i="27"/>
  <c r="A337" i="27"/>
  <c r="P336" i="27"/>
  <c r="B336" i="27"/>
  <c r="A336" i="28"/>
  <c r="X335" i="26"/>
  <c r="P335" i="26"/>
  <c r="N334" i="28"/>
  <c r="O334" i="28" s="1"/>
  <c r="L334" i="28"/>
  <c r="K334" i="28" s="1"/>
  <c r="Q334" i="28" s="1"/>
  <c r="R334" i="28" s="1"/>
  <c r="H334" i="28"/>
  <c r="G334" i="28"/>
  <c r="F334" i="28"/>
  <c r="D334" i="28"/>
  <c r="L334" i="26"/>
  <c r="K334" i="27"/>
  <c r="F334" i="26"/>
  <c r="Y334" i="26"/>
  <c r="AA334" i="26" s="1"/>
  <c r="N334" i="26"/>
  <c r="O334" i="26" s="1"/>
  <c r="D334" i="26"/>
  <c r="H334" i="26"/>
  <c r="G334" i="26"/>
  <c r="L333" i="25"/>
  <c r="K333" i="29"/>
  <c r="H333" i="25"/>
  <c r="G333" i="25"/>
  <c r="D333" i="25"/>
  <c r="N333" i="25"/>
  <c r="O333" i="25" s="1"/>
  <c r="F333" i="25"/>
  <c r="P334" i="30"/>
  <c r="B334" i="30"/>
  <c r="J334" i="30"/>
  <c r="J334" i="25"/>
  <c r="A335" i="25"/>
  <c r="P335" i="29"/>
  <c r="B335" i="29"/>
  <c r="A336" i="29"/>
  <c r="J335" i="29"/>
  <c r="A335" i="30"/>
  <c r="B334" i="25"/>
  <c r="F334" i="29"/>
  <c r="H334" i="29"/>
  <c r="G334" i="29"/>
  <c r="N334" i="29"/>
  <c r="O334" i="29" s="1"/>
  <c r="L334" i="29"/>
  <c r="D334" i="29"/>
  <c r="P334" i="25"/>
  <c r="H333" i="30"/>
  <c r="N333" i="30"/>
  <c r="O333" i="30" s="1"/>
  <c r="D333" i="30"/>
  <c r="G333" i="30"/>
  <c r="F333" i="30"/>
  <c r="L333" i="30"/>
  <c r="K333" i="30" s="1"/>
  <c r="Q333" i="30" s="1"/>
  <c r="R333" i="30" s="1"/>
  <c r="G336" i="27" l="1"/>
  <c r="H336" i="27"/>
  <c r="F336" i="27"/>
  <c r="K333" i="25"/>
  <c r="Q333" i="29"/>
  <c r="R333" i="29" s="1"/>
  <c r="C333" i="29"/>
  <c r="I331" i="25"/>
  <c r="V331" i="25" s="1"/>
  <c r="C333" i="30"/>
  <c r="T333" i="30" s="1"/>
  <c r="Z332" i="26"/>
  <c r="K334" i="26"/>
  <c r="Q334" i="27"/>
  <c r="R334" i="27" s="1"/>
  <c r="C334" i="27"/>
  <c r="AD333" i="26"/>
  <c r="Q333" i="26"/>
  <c r="R333" i="26" s="1"/>
  <c r="Q332" i="25"/>
  <c r="R332" i="25" s="1"/>
  <c r="C332" i="25"/>
  <c r="I332" i="25" s="1"/>
  <c r="V332" i="25" s="1"/>
  <c r="L334" i="25"/>
  <c r="K334" i="29"/>
  <c r="N334" i="25"/>
  <c r="O334" i="25" s="1"/>
  <c r="D334" i="25"/>
  <c r="G334" i="25"/>
  <c r="F334" i="25"/>
  <c r="H334" i="25"/>
  <c r="P335" i="30"/>
  <c r="B335" i="30"/>
  <c r="J335" i="30"/>
  <c r="J335" i="25"/>
  <c r="A336" i="25"/>
  <c r="P336" i="29"/>
  <c r="B336" i="29"/>
  <c r="A337" i="29"/>
  <c r="J336" i="29"/>
  <c r="A336" i="30"/>
  <c r="B335" i="25"/>
  <c r="F335" i="29"/>
  <c r="H335" i="29"/>
  <c r="G335" i="29"/>
  <c r="N335" i="29"/>
  <c r="O335" i="29" s="1"/>
  <c r="L335" i="29"/>
  <c r="D335" i="29"/>
  <c r="P335" i="25"/>
  <c r="G334" i="30"/>
  <c r="L334" i="30"/>
  <c r="K334" i="30" s="1"/>
  <c r="Q334" i="30" s="1"/>
  <c r="R334" i="30" s="1"/>
  <c r="D334" i="30"/>
  <c r="N334" i="30"/>
  <c r="O334" i="30" s="1"/>
  <c r="H334" i="30"/>
  <c r="F334" i="30"/>
  <c r="J336" i="28"/>
  <c r="P336" i="28"/>
  <c r="B336" i="26"/>
  <c r="N336" i="27"/>
  <c r="O336" i="27" s="1"/>
  <c r="D336" i="27"/>
  <c r="L336" i="27"/>
  <c r="B336" i="28"/>
  <c r="A337" i="26"/>
  <c r="A338" i="27"/>
  <c r="P337" i="27"/>
  <c r="B337" i="27"/>
  <c r="J337" i="27"/>
  <c r="A337" i="28"/>
  <c r="J336" i="26"/>
  <c r="P336" i="26"/>
  <c r="X336" i="26"/>
  <c r="H335" i="28"/>
  <c r="F335" i="28"/>
  <c r="D335" i="28"/>
  <c r="N335" i="28"/>
  <c r="O335" i="28" s="1"/>
  <c r="L335" i="28"/>
  <c r="K335" i="28" s="1"/>
  <c r="Q335" i="28" s="1"/>
  <c r="R335" i="28" s="1"/>
  <c r="G335" i="28"/>
  <c r="L335" i="26"/>
  <c r="K335" i="27"/>
  <c r="D335" i="26"/>
  <c r="H335" i="26"/>
  <c r="G335" i="26"/>
  <c r="F335" i="26"/>
  <c r="Y335" i="26"/>
  <c r="AA335" i="26" s="1"/>
  <c r="N335" i="26"/>
  <c r="O335" i="26" s="1"/>
  <c r="AC335" i="26"/>
  <c r="G337" i="27" l="1"/>
  <c r="F337" i="27"/>
  <c r="H337" i="27"/>
  <c r="U332" i="25"/>
  <c r="K335" i="26"/>
  <c r="Q335" i="27"/>
  <c r="R335" i="27" s="1"/>
  <c r="C335" i="27"/>
  <c r="C334" i="30"/>
  <c r="T334" i="30" s="1"/>
  <c r="K334" i="25"/>
  <c r="Q334" i="29"/>
  <c r="R334" i="29" s="1"/>
  <c r="C334" i="29"/>
  <c r="AD334" i="26"/>
  <c r="Q334" i="26"/>
  <c r="R334" i="26" s="1"/>
  <c r="Q333" i="25"/>
  <c r="R333" i="25" s="1"/>
  <c r="C333" i="25"/>
  <c r="U333" i="25" s="1"/>
  <c r="Z333" i="26"/>
  <c r="AC336" i="26"/>
  <c r="P337" i="28"/>
  <c r="J337" i="28"/>
  <c r="J337" i="26"/>
  <c r="B337" i="26"/>
  <c r="N337" i="27"/>
  <c r="O337" i="27" s="1"/>
  <c r="D337" i="27"/>
  <c r="L337" i="27"/>
  <c r="B337" i="28"/>
  <c r="A338" i="26"/>
  <c r="J338" i="27"/>
  <c r="A339" i="27"/>
  <c r="P338" i="27"/>
  <c r="B338" i="27"/>
  <c r="A338" i="28"/>
  <c r="P337" i="26"/>
  <c r="X337" i="26"/>
  <c r="H336" i="28"/>
  <c r="G336" i="28"/>
  <c r="L336" i="28"/>
  <c r="K336" i="28" s="1"/>
  <c r="Q336" i="28" s="1"/>
  <c r="R336" i="28" s="1"/>
  <c r="F336" i="28"/>
  <c r="D336" i="28"/>
  <c r="N336" i="28"/>
  <c r="O336" i="28" s="1"/>
  <c r="L336" i="26"/>
  <c r="K336" i="27"/>
  <c r="H336" i="26"/>
  <c r="G336" i="26"/>
  <c r="F336" i="26"/>
  <c r="Y336" i="26"/>
  <c r="AA336" i="26" s="1"/>
  <c r="N336" i="26"/>
  <c r="O336" i="26" s="1"/>
  <c r="D336" i="26"/>
  <c r="L335" i="25"/>
  <c r="K335" i="29"/>
  <c r="H335" i="25"/>
  <c r="G335" i="25"/>
  <c r="F335" i="25"/>
  <c r="D335" i="25"/>
  <c r="N335" i="25"/>
  <c r="O335" i="25" s="1"/>
  <c r="J336" i="30"/>
  <c r="B336" i="30"/>
  <c r="P336" i="30"/>
  <c r="J336" i="25"/>
  <c r="A337" i="25"/>
  <c r="P337" i="29"/>
  <c r="B337" i="29"/>
  <c r="A338" i="29"/>
  <c r="J337" i="29"/>
  <c r="A337" i="30"/>
  <c r="B336" i="25"/>
  <c r="F336" i="29"/>
  <c r="N336" i="29"/>
  <c r="O336" i="29" s="1"/>
  <c r="D336" i="29"/>
  <c r="H336" i="29"/>
  <c r="G336" i="29"/>
  <c r="L336" i="29"/>
  <c r="P336" i="25"/>
  <c r="F335" i="30"/>
  <c r="H335" i="30"/>
  <c r="G335" i="30"/>
  <c r="D335" i="30"/>
  <c r="N335" i="30"/>
  <c r="O335" i="30" s="1"/>
  <c r="L335" i="30"/>
  <c r="K335" i="30" s="1"/>
  <c r="G338" i="27" l="1"/>
  <c r="F338" i="27"/>
  <c r="H338" i="27"/>
  <c r="I333" i="25"/>
  <c r="V333" i="25" s="1"/>
  <c r="K335" i="25"/>
  <c r="Q335" i="29"/>
  <c r="R335" i="29" s="1"/>
  <c r="C335" i="29"/>
  <c r="Z334" i="26"/>
  <c r="AD335" i="26"/>
  <c r="Q335" i="26"/>
  <c r="R335" i="26" s="1"/>
  <c r="K336" i="26"/>
  <c r="Q336" i="27"/>
  <c r="R336" i="27" s="1"/>
  <c r="C336" i="27"/>
  <c r="Q334" i="25"/>
  <c r="R334" i="25" s="1"/>
  <c r="C334" i="25"/>
  <c r="U334" i="25" s="1"/>
  <c r="C335" i="30"/>
  <c r="T335" i="30" s="1"/>
  <c r="Q335" i="30"/>
  <c r="R335" i="30" s="1"/>
  <c r="L336" i="25"/>
  <c r="K336" i="29"/>
  <c r="G336" i="25"/>
  <c r="F336" i="25"/>
  <c r="D336" i="25"/>
  <c r="N336" i="25"/>
  <c r="O336" i="25" s="1"/>
  <c r="H336" i="25"/>
  <c r="P337" i="30"/>
  <c r="B337" i="30"/>
  <c r="J337" i="30"/>
  <c r="J337" i="25"/>
  <c r="A338" i="25"/>
  <c r="P338" i="29"/>
  <c r="B338" i="29"/>
  <c r="A339" i="29"/>
  <c r="J338" i="29"/>
  <c r="A338" i="30"/>
  <c r="B337" i="25"/>
  <c r="F337" i="29"/>
  <c r="N337" i="29"/>
  <c r="O337" i="29" s="1"/>
  <c r="D337" i="29"/>
  <c r="H337" i="29"/>
  <c r="G337" i="29"/>
  <c r="L337" i="29"/>
  <c r="P337" i="25"/>
  <c r="N336" i="30"/>
  <c r="O336" i="30" s="1"/>
  <c r="L336" i="30"/>
  <c r="K336" i="30" s="1"/>
  <c r="Q336" i="30" s="1"/>
  <c r="R336" i="30" s="1"/>
  <c r="H336" i="30"/>
  <c r="G336" i="30"/>
  <c r="F336" i="30"/>
  <c r="D336" i="30"/>
  <c r="P338" i="28"/>
  <c r="J338" i="28"/>
  <c r="B338" i="26"/>
  <c r="N338" i="27"/>
  <c r="O338" i="27" s="1"/>
  <c r="D338" i="27"/>
  <c r="L338" i="27"/>
  <c r="B338" i="28"/>
  <c r="A339" i="26"/>
  <c r="P339" i="27"/>
  <c r="B339" i="27"/>
  <c r="J339" i="27"/>
  <c r="A339" i="28"/>
  <c r="J338" i="26"/>
  <c r="X338" i="26"/>
  <c r="P338" i="26"/>
  <c r="G337" i="28"/>
  <c r="F337" i="28"/>
  <c r="D337" i="28"/>
  <c r="N337" i="28"/>
  <c r="O337" i="28" s="1"/>
  <c r="L337" i="28"/>
  <c r="K337" i="28" s="1"/>
  <c r="Q337" i="28" s="1"/>
  <c r="R337" i="28" s="1"/>
  <c r="H337" i="28"/>
  <c r="L337" i="26"/>
  <c r="K337" i="27"/>
  <c r="H337" i="26"/>
  <c r="G337" i="26"/>
  <c r="F337" i="26"/>
  <c r="Y337" i="26"/>
  <c r="AA337" i="26" s="1"/>
  <c r="N337" i="26"/>
  <c r="O337" i="26" s="1"/>
  <c r="D337" i="26"/>
  <c r="AC337" i="26"/>
  <c r="G339" i="27" l="1"/>
  <c r="F339" i="27"/>
  <c r="H339" i="27"/>
  <c r="I334" i="25"/>
  <c r="V334" i="25" s="1"/>
  <c r="C336" i="30"/>
  <c r="T336" i="30" s="1"/>
  <c r="K337" i="26"/>
  <c r="Q337" i="27"/>
  <c r="R337" i="27" s="1"/>
  <c r="C337" i="27"/>
  <c r="K336" i="25"/>
  <c r="C336" i="29"/>
  <c r="Q336" i="29"/>
  <c r="R336" i="29" s="1"/>
  <c r="Q335" i="25"/>
  <c r="R335" i="25" s="1"/>
  <c r="C335" i="25"/>
  <c r="I335" i="25" s="1"/>
  <c r="V335" i="25" s="1"/>
  <c r="Z335" i="26"/>
  <c r="AD336" i="26"/>
  <c r="Q336" i="26"/>
  <c r="R336" i="26" s="1"/>
  <c r="AC338" i="26"/>
  <c r="P339" i="28"/>
  <c r="J339" i="28"/>
  <c r="J339" i="26"/>
  <c r="B339" i="26"/>
  <c r="N339" i="27"/>
  <c r="O339" i="27" s="1"/>
  <c r="D339" i="27"/>
  <c r="L339" i="27"/>
  <c r="B339" i="28"/>
  <c r="X339" i="26"/>
  <c r="P339" i="26"/>
  <c r="F338" i="28"/>
  <c r="H338" i="28"/>
  <c r="G338" i="28"/>
  <c r="D338" i="28"/>
  <c r="N338" i="28"/>
  <c r="O338" i="28" s="1"/>
  <c r="L338" i="28"/>
  <c r="K338" i="28" s="1"/>
  <c r="L338" i="26"/>
  <c r="K338" i="27"/>
  <c r="F338" i="26"/>
  <c r="Y338" i="26"/>
  <c r="AA338" i="26" s="1"/>
  <c r="N338" i="26"/>
  <c r="O338" i="26" s="1"/>
  <c r="D338" i="26"/>
  <c r="H338" i="26"/>
  <c r="G338" i="26"/>
  <c r="L337" i="25"/>
  <c r="K337" i="29"/>
  <c r="D337" i="25"/>
  <c r="N337" i="25"/>
  <c r="O337" i="25" s="1"/>
  <c r="G337" i="25"/>
  <c r="F337" i="25"/>
  <c r="H337" i="25"/>
  <c r="J338" i="30"/>
  <c r="P338" i="30"/>
  <c r="B338" i="30"/>
  <c r="J338" i="25"/>
  <c r="A339" i="25"/>
  <c r="P339" i="29"/>
  <c r="B339" i="29"/>
  <c r="J339" i="29"/>
  <c r="A339" i="30"/>
  <c r="B338" i="25"/>
  <c r="F338" i="29"/>
  <c r="N338" i="29"/>
  <c r="O338" i="29" s="1"/>
  <c r="D338" i="29"/>
  <c r="H338" i="29"/>
  <c r="G338" i="29"/>
  <c r="L338" i="29"/>
  <c r="P338" i="25"/>
  <c r="N337" i="30"/>
  <c r="O337" i="30" s="1"/>
  <c r="D337" i="30"/>
  <c r="H337" i="30"/>
  <c r="F337" i="30"/>
  <c r="L337" i="30"/>
  <c r="K337" i="30" s="1"/>
  <c r="Q337" i="30" s="1"/>
  <c r="R337" i="30" s="1"/>
  <c r="G337" i="30"/>
  <c r="C337" i="30" l="1"/>
  <c r="T337" i="30" s="1"/>
  <c r="U335" i="25"/>
  <c r="Q338" i="28"/>
  <c r="R338" i="28" s="1"/>
  <c r="K337" i="25"/>
  <c r="Q337" i="29"/>
  <c r="R337" i="29" s="1"/>
  <c r="C337" i="29"/>
  <c r="K338" i="26"/>
  <c r="Q338" i="27"/>
  <c r="R338" i="27" s="1"/>
  <c r="C338" i="27"/>
  <c r="Z336" i="26"/>
  <c r="Q336" i="25"/>
  <c r="R336" i="25" s="1"/>
  <c r="C336" i="25"/>
  <c r="U336" i="25" s="1"/>
  <c r="AD337" i="26"/>
  <c r="Q337" i="26"/>
  <c r="R337" i="26" s="1"/>
  <c r="L338" i="25"/>
  <c r="K338" i="29"/>
  <c r="H338" i="25"/>
  <c r="D338" i="25"/>
  <c r="G338" i="25"/>
  <c r="N338" i="25"/>
  <c r="O338" i="25" s="1"/>
  <c r="F338" i="25"/>
  <c r="B339" i="30"/>
  <c r="J339" i="30"/>
  <c r="P339" i="30"/>
  <c r="J339" i="25"/>
  <c r="B339" i="25"/>
  <c r="F339" i="29"/>
  <c r="N339" i="29"/>
  <c r="O339" i="29" s="1"/>
  <c r="D339" i="29"/>
  <c r="L339" i="29"/>
  <c r="H339" i="29"/>
  <c r="G339" i="29"/>
  <c r="P339" i="25"/>
  <c r="L338" i="30"/>
  <c r="K338" i="30" s="1"/>
  <c r="C338" i="30" s="1"/>
  <c r="G338" i="30"/>
  <c r="H338" i="30"/>
  <c r="F338" i="30"/>
  <c r="D338" i="30"/>
  <c r="N338" i="30"/>
  <c r="O338" i="30" s="1"/>
  <c r="N339" i="28"/>
  <c r="O339" i="28" s="1"/>
  <c r="D339" i="28"/>
  <c r="L339" i="28"/>
  <c r="K339" i="28" s="1"/>
  <c r="Q339" i="28" s="1"/>
  <c r="R339" i="28" s="1"/>
  <c r="H339" i="28"/>
  <c r="G339" i="28"/>
  <c r="F339" i="28"/>
  <c r="L339" i="26"/>
  <c r="K339" i="27"/>
  <c r="D13" i="27"/>
  <c r="D339" i="26"/>
  <c r="H339" i="26"/>
  <c r="G339" i="26"/>
  <c r="F339" i="26"/>
  <c r="N339" i="26"/>
  <c r="O339" i="26" s="1"/>
  <c r="Y339" i="26"/>
  <c r="AA339" i="26" s="1"/>
  <c r="C15" i="26"/>
  <c r="AC339" i="26"/>
  <c r="I336" i="25" l="1"/>
  <c r="V336" i="25" s="1"/>
  <c r="T338" i="30"/>
  <c r="K339" i="26"/>
  <c r="AD339" i="26" s="1"/>
  <c r="Z339" i="26" s="1"/>
  <c r="C339" i="27"/>
  <c r="Q339" i="27"/>
  <c r="R339" i="27" s="1"/>
  <c r="Q338" i="30"/>
  <c r="R338" i="30" s="1"/>
  <c r="Q337" i="25"/>
  <c r="R337" i="25" s="1"/>
  <c r="C337" i="25"/>
  <c r="I337" i="25" s="1"/>
  <c r="V337" i="25" s="1"/>
  <c r="Z337" i="26"/>
  <c r="K338" i="25"/>
  <c r="Q338" i="29"/>
  <c r="R338" i="29" s="1"/>
  <c r="C338" i="29"/>
  <c r="AD338" i="26"/>
  <c r="Q338" i="26"/>
  <c r="R338" i="26" s="1"/>
  <c r="D13" i="26"/>
  <c r="L339" i="25"/>
  <c r="K339" i="29"/>
  <c r="D13" i="29"/>
  <c r="F339" i="25"/>
  <c r="N339" i="25"/>
  <c r="O339" i="25" s="1"/>
  <c r="H339" i="25"/>
  <c r="G339" i="25"/>
  <c r="D339" i="25"/>
  <c r="C15" i="25"/>
  <c r="F339" i="30"/>
  <c r="D339" i="30"/>
  <c r="N339" i="30"/>
  <c r="O339" i="30" s="1"/>
  <c r="L339" i="30"/>
  <c r="H339" i="30"/>
  <c r="G339" i="30"/>
  <c r="U337" i="25" l="1"/>
  <c r="C22" i="29"/>
  <c r="Z338" i="26"/>
  <c r="K339" i="25"/>
  <c r="Q339" i="29"/>
  <c r="R339" i="29" s="1"/>
  <c r="C339" i="29"/>
  <c r="Q338" i="25"/>
  <c r="R338" i="25" s="1"/>
  <c r="C338" i="25"/>
  <c r="I338" i="25" s="1"/>
  <c r="V338" i="25" s="1"/>
  <c r="Q339" i="26"/>
  <c r="R339" i="26" s="1"/>
  <c r="K339" i="30"/>
  <c r="D13" i="30"/>
  <c r="U338" i="25" l="1"/>
  <c r="Q339" i="30"/>
  <c r="R339" i="30" s="1"/>
  <c r="C339" i="30"/>
  <c r="T339" i="30" s="1"/>
  <c r="D13" i="25"/>
  <c r="Q339" i="25"/>
  <c r="R339" i="25" s="1"/>
  <c r="C339" i="25"/>
  <c r="U339" i="25" s="1"/>
  <c r="I339" i="25" l="1"/>
  <c r="V339" i="25" s="1"/>
  <c r="C24" i="29" l="1"/>
  <c r="C25" i="29"/>
  <c r="C23" i="29"/>
  <c r="C36" i="21" l="1"/>
  <c r="D36" i="21"/>
  <c r="E36" i="21"/>
  <c r="F36" i="21"/>
  <c r="G36" i="21"/>
  <c r="H36" i="21"/>
  <c r="I36" i="21"/>
  <c r="K38" i="21"/>
  <c r="H152" i="32" l="1"/>
  <c r="J38" i="21"/>
  <c r="H22" i="20" s="1"/>
  <c r="H29" i="20" s="1"/>
  <c r="F47" i="19" l="1"/>
  <c r="K22" i="20"/>
  <c r="H160" i="32"/>
  <c r="J22" i="20"/>
  <c r="J23" i="20"/>
  <c r="J24" i="20"/>
  <c r="H174" i="32"/>
  <c r="AA15" i="20"/>
  <c r="AA14" i="20" s="1"/>
  <c r="W11" i="20" s="1"/>
  <c r="J25" i="20"/>
  <c r="H187" i="32"/>
  <c r="J26" i="20"/>
  <c r="F49" i="19"/>
  <c r="F54" i="19" s="1"/>
  <c r="J27" i="20"/>
  <c r="H28" i="20"/>
  <c r="F51" i="19"/>
  <c r="AA28" i="20"/>
  <c r="C7" i="25" l="1"/>
  <c r="C7" i="26"/>
  <c r="F16" i="23"/>
  <c r="I363" i="32" s="1"/>
  <c r="W14" i="20"/>
  <c r="M7" i="24"/>
  <c r="L337" i="32"/>
  <c r="W20" i="20"/>
  <c r="AA27" i="20"/>
  <c r="AA30" i="20"/>
  <c r="J24" i="17" l="1"/>
  <c r="C7" i="28"/>
  <c r="C7" i="27"/>
  <c r="V18" i="26"/>
  <c r="C5" i="26"/>
  <c r="C5" i="25"/>
  <c r="V18" i="25"/>
  <c r="C7" i="29"/>
  <c r="C7" i="30"/>
  <c r="E45" i="23"/>
  <c r="F45" i="23" s="1"/>
  <c r="G16" i="23" s="1"/>
  <c r="K363" i="32" s="1"/>
  <c r="M8" i="24"/>
  <c r="L338" i="32"/>
  <c r="C5" i="29" l="1"/>
  <c r="C2" i="29" s="1"/>
  <c r="E18" i="29" s="1"/>
  <c r="P259" i="29" s="1"/>
  <c r="R259" i="29" s="1"/>
  <c r="C5" i="30"/>
  <c r="J21" i="17"/>
  <c r="F16" i="19" s="1"/>
  <c r="C2" i="26"/>
  <c r="C5" i="28"/>
  <c r="C2" i="28" s="1"/>
  <c r="E18" i="28" s="1"/>
  <c r="P259" i="28" s="1"/>
  <c r="R259" i="28" s="1"/>
  <c r="C5" i="27"/>
  <c r="C2" i="27" s="1"/>
  <c r="E18" i="27" s="1"/>
  <c r="P205" i="28" l="1"/>
  <c r="R205" i="28" s="1"/>
  <c r="P213" i="28"/>
  <c r="R213" i="28" s="1"/>
  <c r="P221" i="28"/>
  <c r="R221" i="28" s="1"/>
  <c r="P229" i="28"/>
  <c r="R229" i="28" s="1"/>
  <c r="P237" i="28"/>
  <c r="R237" i="28" s="1"/>
  <c r="P245" i="28"/>
  <c r="R245" i="28" s="1"/>
  <c r="P253" i="28"/>
  <c r="R253" i="28" s="1"/>
  <c r="P188" i="28"/>
  <c r="R188" i="28" s="1"/>
  <c r="P193" i="28"/>
  <c r="R193" i="28" s="1"/>
  <c r="P129" i="28"/>
  <c r="R129" i="28" s="1"/>
  <c r="P162" i="28"/>
  <c r="R162" i="28" s="1"/>
  <c r="P139" i="28"/>
  <c r="R139" i="28" s="1"/>
  <c r="P109" i="28"/>
  <c r="R109" i="28" s="1"/>
  <c r="P101" i="28"/>
  <c r="R101" i="28" s="1"/>
  <c r="P92" i="28"/>
  <c r="R92" i="28" s="1"/>
  <c r="P84" i="28"/>
  <c r="R84" i="28" s="1"/>
  <c r="P157" i="28"/>
  <c r="R157" i="28" s="1"/>
  <c r="P91" i="28"/>
  <c r="R91" i="28" s="1"/>
  <c r="P119" i="28"/>
  <c r="R119" i="28" s="1"/>
  <c r="P97" i="28"/>
  <c r="R97" i="28" s="1"/>
  <c r="P121" i="28"/>
  <c r="R121" i="28" s="1"/>
  <c r="P135" i="28"/>
  <c r="R135" i="28" s="1"/>
  <c r="P149" i="28"/>
  <c r="R149" i="28" s="1"/>
  <c r="P37" i="28"/>
  <c r="R37" i="28" s="1"/>
  <c r="P87" i="28"/>
  <c r="R87" i="28" s="1"/>
  <c r="P71" i="28"/>
  <c r="R71" i="28" s="1"/>
  <c r="P126" i="28"/>
  <c r="R126" i="28" s="1"/>
  <c r="P79" i="28"/>
  <c r="R79" i="28" s="1"/>
  <c r="P89" i="28"/>
  <c r="R89" i="28" s="1"/>
  <c r="P143" i="28"/>
  <c r="R143" i="28" s="1"/>
  <c r="P78" i="28"/>
  <c r="R78" i="28" s="1"/>
  <c r="P77" i="28"/>
  <c r="R77" i="28" s="1"/>
  <c r="P144" i="28"/>
  <c r="R144" i="28" s="1"/>
  <c r="P152" i="28"/>
  <c r="R152" i="28" s="1"/>
  <c r="P187" i="28"/>
  <c r="R187" i="28" s="1"/>
  <c r="P206" i="28"/>
  <c r="R206" i="28" s="1"/>
  <c r="P214" i="28"/>
  <c r="R214" i="28" s="1"/>
  <c r="P222" i="28"/>
  <c r="R222" i="28" s="1"/>
  <c r="P230" i="28"/>
  <c r="R230" i="28" s="1"/>
  <c r="P238" i="28"/>
  <c r="R238" i="28" s="1"/>
  <c r="P246" i="28"/>
  <c r="R246" i="28" s="1"/>
  <c r="P254" i="28"/>
  <c r="R254" i="28" s="1"/>
  <c r="P196" i="28"/>
  <c r="R196" i="28" s="1"/>
  <c r="P194" i="28"/>
  <c r="R194" i="28" s="1"/>
  <c r="P93" i="28"/>
  <c r="R93" i="28" s="1"/>
  <c r="P41" i="28"/>
  <c r="R41" i="28" s="1"/>
  <c r="P165" i="28"/>
  <c r="R165" i="28" s="1"/>
  <c r="P130" i="28"/>
  <c r="R130" i="28" s="1"/>
  <c r="P42" i="28"/>
  <c r="R42" i="28" s="1"/>
  <c r="P107" i="28"/>
  <c r="R107" i="28" s="1"/>
  <c r="P148" i="28"/>
  <c r="R148" i="28" s="1"/>
  <c r="P90" i="28"/>
  <c r="R90" i="28" s="1"/>
  <c r="P58" i="28"/>
  <c r="R58" i="28" s="1"/>
  <c r="P183" i="28"/>
  <c r="R183" i="28" s="1"/>
  <c r="P40" i="28"/>
  <c r="R40" i="28" s="1"/>
  <c r="P185" i="28"/>
  <c r="R185" i="28" s="1"/>
  <c r="P105" i="28"/>
  <c r="R105" i="28" s="1"/>
  <c r="P82" i="28"/>
  <c r="R82" i="28" s="1"/>
  <c r="P132" i="28"/>
  <c r="R132" i="28" s="1"/>
  <c r="P151" i="28"/>
  <c r="R151" i="28" s="1"/>
  <c r="P110" i="28"/>
  <c r="R110" i="28" s="1"/>
  <c r="P100" i="28"/>
  <c r="R100" i="28" s="1"/>
  <c r="P166" i="28"/>
  <c r="R166" i="28" s="1"/>
  <c r="P113" i="28"/>
  <c r="R113" i="28" s="1"/>
  <c r="P174" i="28"/>
  <c r="R174" i="28" s="1"/>
  <c r="P147" i="28"/>
  <c r="R147" i="28" s="1"/>
  <c r="P142" i="28"/>
  <c r="R142" i="28" s="1"/>
  <c r="P212" i="28"/>
  <c r="R212" i="28" s="1"/>
  <c r="P228" i="28"/>
  <c r="R228" i="28" s="1"/>
  <c r="P244" i="28"/>
  <c r="R244" i="28" s="1"/>
  <c r="P20" i="28"/>
  <c r="R20" i="28" s="1"/>
  <c r="P199" i="28"/>
  <c r="R199" i="28" s="1"/>
  <c r="P207" i="28"/>
  <c r="R207" i="28" s="1"/>
  <c r="P215" i="28"/>
  <c r="R215" i="28" s="1"/>
  <c r="P223" i="28"/>
  <c r="R223" i="28" s="1"/>
  <c r="P231" i="28"/>
  <c r="R231" i="28" s="1"/>
  <c r="P239" i="28"/>
  <c r="R239" i="28" s="1"/>
  <c r="P247" i="28"/>
  <c r="R247" i="28" s="1"/>
  <c r="P255" i="28"/>
  <c r="R255" i="28" s="1"/>
  <c r="P189" i="28"/>
  <c r="R189" i="28" s="1"/>
  <c r="P56" i="28"/>
  <c r="R56" i="28" s="1"/>
  <c r="P64" i="28"/>
  <c r="R64" i="28" s="1"/>
  <c r="P38" i="28"/>
  <c r="R38" i="28" s="1"/>
  <c r="P124" i="28"/>
  <c r="R124" i="28" s="1"/>
  <c r="P51" i="28"/>
  <c r="R51" i="28" s="1"/>
  <c r="P171" i="28"/>
  <c r="R171" i="28" s="1"/>
  <c r="P163" i="28"/>
  <c r="R163" i="28" s="1"/>
  <c r="P19" i="28"/>
  <c r="R19" i="28" s="1"/>
  <c r="P54" i="28"/>
  <c r="R54" i="28" s="1"/>
  <c r="P137" i="28"/>
  <c r="R137" i="28" s="1"/>
  <c r="P26" i="28"/>
  <c r="R26" i="28" s="1"/>
  <c r="P120" i="28"/>
  <c r="R120" i="28" s="1"/>
  <c r="P136" i="28"/>
  <c r="R136" i="28" s="1"/>
  <c r="P108" i="28"/>
  <c r="R108" i="28" s="1"/>
  <c r="P179" i="28"/>
  <c r="R179" i="28" s="1"/>
  <c r="P73" i="28"/>
  <c r="R73" i="28" s="1"/>
  <c r="P117" i="28"/>
  <c r="R117" i="28" s="1"/>
  <c r="P128" i="28"/>
  <c r="R128" i="28" s="1"/>
  <c r="P150" i="28"/>
  <c r="R150" i="28" s="1"/>
  <c r="P103" i="28"/>
  <c r="R103" i="28" s="1"/>
  <c r="F19" i="28"/>
  <c r="P195" i="28"/>
  <c r="R195" i="28" s="1"/>
  <c r="P32" i="28"/>
  <c r="R32" i="28" s="1"/>
  <c r="P29" i="28"/>
  <c r="R29" i="28" s="1"/>
  <c r="P98" i="28"/>
  <c r="R98" i="28" s="1"/>
  <c r="P55" i="28"/>
  <c r="R55" i="28" s="1"/>
  <c r="P178" i="28"/>
  <c r="R178" i="28" s="1"/>
  <c r="P200" i="28"/>
  <c r="R200" i="28" s="1"/>
  <c r="P208" i="28"/>
  <c r="R208" i="28" s="1"/>
  <c r="P216" i="28"/>
  <c r="R216" i="28" s="1"/>
  <c r="P224" i="28"/>
  <c r="R224" i="28" s="1"/>
  <c r="P232" i="28"/>
  <c r="R232" i="28" s="1"/>
  <c r="P240" i="28"/>
  <c r="R240" i="28" s="1"/>
  <c r="P248" i="28"/>
  <c r="R248" i="28" s="1"/>
  <c r="P256" i="28"/>
  <c r="R256" i="28" s="1"/>
  <c r="P197" i="28"/>
  <c r="R197" i="28" s="1"/>
  <c r="P125" i="28"/>
  <c r="R125" i="28" s="1"/>
  <c r="P24" i="28"/>
  <c r="R24" i="28" s="1"/>
  <c r="P61" i="28"/>
  <c r="R61" i="28" s="1"/>
  <c r="P106" i="28"/>
  <c r="R106" i="28" s="1"/>
  <c r="P21" i="28"/>
  <c r="R21" i="28" s="1"/>
  <c r="P122" i="28"/>
  <c r="R122" i="28" s="1"/>
  <c r="P170" i="28"/>
  <c r="R170" i="28" s="1"/>
  <c r="P33" i="28"/>
  <c r="R33" i="28" s="1"/>
  <c r="P68" i="28"/>
  <c r="R68" i="28" s="1"/>
  <c r="P168" i="28"/>
  <c r="R168" i="28" s="1"/>
  <c r="P49" i="28"/>
  <c r="R49" i="28" s="1"/>
  <c r="P184" i="28"/>
  <c r="R184" i="28" s="1"/>
  <c r="P134" i="28"/>
  <c r="R134" i="28" s="1"/>
  <c r="P60" i="28"/>
  <c r="R60" i="28" s="1"/>
  <c r="P138" i="28"/>
  <c r="R138" i="28" s="1"/>
  <c r="P36" i="28"/>
  <c r="R36" i="28" s="1"/>
  <c r="P181" i="28"/>
  <c r="R181" i="28" s="1"/>
  <c r="P28" i="28"/>
  <c r="R28" i="28" s="1"/>
  <c r="P76" i="28"/>
  <c r="R76" i="28" s="1"/>
  <c r="P169" i="28"/>
  <c r="R169" i="28" s="1"/>
  <c r="P88" i="28"/>
  <c r="R88" i="28" s="1"/>
  <c r="P201" i="28"/>
  <c r="R201" i="28" s="1"/>
  <c r="P209" i="28"/>
  <c r="R209" i="28" s="1"/>
  <c r="P217" i="28"/>
  <c r="R217" i="28" s="1"/>
  <c r="P225" i="28"/>
  <c r="R225" i="28" s="1"/>
  <c r="P233" i="28"/>
  <c r="R233" i="28" s="1"/>
  <c r="P241" i="28"/>
  <c r="R241" i="28" s="1"/>
  <c r="P249" i="28"/>
  <c r="R249" i="28" s="1"/>
  <c r="P257" i="28"/>
  <c r="R257" i="28" s="1"/>
  <c r="P190" i="28"/>
  <c r="R190" i="28" s="1"/>
  <c r="P18" i="28"/>
  <c r="R18" i="28" s="1"/>
  <c r="P46" i="28"/>
  <c r="R46" i="28" s="1"/>
  <c r="P116" i="28"/>
  <c r="R116" i="28" s="1"/>
  <c r="P133" i="28"/>
  <c r="R133" i="28" s="1"/>
  <c r="P66" i="28"/>
  <c r="R66" i="28" s="1"/>
  <c r="P74" i="28"/>
  <c r="R74" i="28" s="1"/>
  <c r="P173" i="28"/>
  <c r="R173" i="28" s="1"/>
  <c r="P45" i="28"/>
  <c r="R45" i="28" s="1"/>
  <c r="P70" i="28"/>
  <c r="R70" i="28" s="1"/>
  <c r="P62" i="28"/>
  <c r="R62" i="28" s="1"/>
  <c r="P22" i="28"/>
  <c r="R22" i="28" s="1"/>
  <c r="P182" i="28"/>
  <c r="R182" i="28" s="1"/>
  <c r="P96" i="28"/>
  <c r="R96" i="28" s="1"/>
  <c r="P155" i="28"/>
  <c r="R155" i="28" s="1"/>
  <c r="P44" i="28"/>
  <c r="R44" i="28" s="1"/>
  <c r="P104" i="28"/>
  <c r="R104" i="28" s="1"/>
  <c r="P158" i="28"/>
  <c r="R158" i="28" s="1"/>
  <c r="P86" i="28"/>
  <c r="R86" i="28" s="1"/>
  <c r="P160" i="28"/>
  <c r="R160" i="28" s="1"/>
  <c r="P127" i="28"/>
  <c r="R127" i="28" s="1"/>
  <c r="P118" i="28"/>
  <c r="R118" i="28" s="1"/>
  <c r="P102" i="28"/>
  <c r="R102" i="28" s="1"/>
  <c r="P192" i="28"/>
  <c r="R192" i="28" s="1"/>
  <c r="P75" i="28"/>
  <c r="R75" i="28" s="1"/>
  <c r="P31" i="28"/>
  <c r="R31" i="28" s="1"/>
  <c r="P112" i="28"/>
  <c r="R112" i="28" s="1"/>
  <c r="P167" i="28"/>
  <c r="R167" i="28" s="1"/>
  <c r="P202" i="28"/>
  <c r="R202" i="28" s="1"/>
  <c r="P210" i="28"/>
  <c r="R210" i="28" s="1"/>
  <c r="P218" i="28"/>
  <c r="R218" i="28" s="1"/>
  <c r="P226" i="28"/>
  <c r="R226" i="28" s="1"/>
  <c r="P234" i="28"/>
  <c r="R234" i="28" s="1"/>
  <c r="P242" i="28"/>
  <c r="R242" i="28" s="1"/>
  <c r="P250" i="28"/>
  <c r="R250" i="28" s="1"/>
  <c r="P258" i="28"/>
  <c r="R258" i="28" s="1"/>
  <c r="P198" i="28"/>
  <c r="R198" i="28" s="1"/>
  <c r="P50" i="28"/>
  <c r="R50" i="28" s="1"/>
  <c r="P57" i="28"/>
  <c r="R57" i="28" s="1"/>
  <c r="P180" i="28"/>
  <c r="R180" i="28" s="1"/>
  <c r="P39" i="28"/>
  <c r="R39" i="28" s="1"/>
  <c r="P25" i="28"/>
  <c r="R25" i="28" s="1"/>
  <c r="P146" i="28"/>
  <c r="R146" i="28" s="1"/>
  <c r="P47" i="28"/>
  <c r="R47" i="28" s="1"/>
  <c r="P131" i="28"/>
  <c r="R131" i="28" s="1"/>
  <c r="P115" i="28"/>
  <c r="R115" i="28" s="1"/>
  <c r="P52" i="28"/>
  <c r="R52" i="28" s="1"/>
  <c r="P164" i="28"/>
  <c r="R164" i="28" s="1"/>
  <c r="P177" i="28"/>
  <c r="R177" i="28" s="1"/>
  <c r="P95" i="28"/>
  <c r="R95" i="28" s="1"/>
  <c r="P114" i="28"/>
  <c r="R114" i="28" s="1"/>
  <c r="P67" i="28"/>
  <c r="R67" i="28" s="1"/>
  <c r="P111" i="28"/>
  <c r="R111" i="28" s="1"/>
  <c r="P123" i="28"/>
  <c r="R123" i="28" s="1"/>
  <c r="P53" i="28"/>
  <c r="R53" i="28" s="1"/>
  <c r="P94" i="28"/>
  <c r="R94" i="28" s="1"/>
  <c r="D19" i="28"/>
  <c r="P204" i="28"/>
  <c r="R204" i="28" s="1"/>
  <c r="P220" i="28"/>
  <c r="R220" i="28" s="1"/>
  <c r="P236" i="28"/>
  <c r="R236" i="28" s="1"/>
  <c r="P252" i="28"/>
  <c r="R252" i="28" s="1"/>
  <c r="P48" i="28"/>
  <c r="R48" i="28" s="1"/>
  <c r="P172" i="28"/>
  <c r="R172" i="28" s="1"/>
  <c r="P85" i="28"/>
  <c r="R85" i="28" s="1"/>
  <c r="P176" i="28"/>
  <c r="R176" i="28" s="1"/>
  <c r="P203" i="28"/>
  <c r="R203" i="28" s="1"/>
  <c r="P211" i="28"/>
  <c r="R211" i="28" s="1"/>
  <c r="P219" i="28"/>
  <c r="R219" i="28" s="1"/>
  <c r="P227" i="28"/>
  <c r="R227" i="28" s="1"/>
  <c r="P235" i="28"/>
  <c r="R235" i="28" s="1"/>
  <c r="P243" i="28"/>
  <c r="R243" i="28" s="1"/>
  <c r="P251" i="28"/>
  <c r="R251" i="28" s="1"/>
  <c r="P191" i="28"/>
  <c r="R191" i="28" s="1"/>
  <c r="P35" i="28"/>
  <c r="R35" i="28" s="1"/>
  <c r="P156" i="28"/>
  <c r="R156" i="28" s="1"/>
  <c r="P99" i="28"/>
  <c r="R99" i="28" s="1"/>
  <c r="P161" i="28"/>
  <c r="R161" i="28" s="1"/>
  <c r="P63" i="28"/>
  <c r="R63" i="28" s="1"/>
  <c r="P65" i="28"/>
  <c r="R65" i="28" s="1"/>
  <c r="P34" i="28"/>
  <c r="R34" i="28" s="1"/>
  <c r="P141" i="28"/>
  <c r="R141" i="28" s="1"/>
  <c r="P81" i="28"/>
  <c r="R81" i="28" s="1"/>
  <c r="P140" i="28"/>
  <c r="R140" i="28" s="1"/>
  <c r="P83" i="28"/>
  <c r="R83" i="28" s="1"/>
  <c r="P69" i="28"/>
  <c r="R69" i="28" s="1"/>
  <c r="P159" i="28"/>
  <c r="R159" i="28" s="1"/>
  <c r="P59" i="28"/>
  <c r="R59" i="28" s="1"/>
  <c r="P145" i="28"/>
  <c r="R145" i="28" s="1"/>
  <c r="P175" i="28"/>
  <c r="R175" i="28" s="1"/>
  <c r="P27" i="28"/>
  <c r="R27" i="28" s="1"/>
  <c r="P154" i="28"/>
  <c r="R154" i="28" s="1"/>
  <c r="R14" i="28"/>
  <c r="P153" i="28"/>
  <c r="R153" i="28" s="1"/>
  <c r="P23" i="28"/>
  <c r="R23" i="28" s="1"/>
  <c r="P43" i="28"/>
  <c r="R43" i="28" s="1"/>
  <c r="P30" i="28"/>
  <c r="R30" i="28" s="1"/>
  <c r="P186" i="28"/>
  <c r="R186" i="28" s="1"/>
  <c r="P80" i="28"/>
  <c r="R80" i="28" s="1"/>
  <c r="P72" i="28"/>
  <c r="R72" i="28" s="1"/>
  <c r="F19" i="27"/>
  <c r="E19" i="27"/>
  <c r="D19" i="27"/>
  <c r="R14" i="27"/>
  <c r="E18" i="26"/>
  <c r="AB18" i="26"/>
  <c r="P187" i="29"/>
  <c r="R187" i="29" s="1"/>
  <c r="P206" i="29"/>
  <c r="R206" i="29" s="1"/>
  <c r="P214" i="29"/>
  <c r="R214" i="29" s="1"/>
  <c r="P222" i="29"/>
  <c r="R222" i="29" s="1"/>
  <c r="P230" i="29"/>
  <c r="R230" i="29" s="1"/>
  <c r="P238" i="29"/>
  <c r="R238" i="29" s="1"/>
  <c r="P246" i="29"/>
  <c r="R246" i="29" s="1"/>
  <c r="P254" i="29"/>
  <c r="R254" i="29" s="1"/>
  <c r="P189" i="29"/>
  <c r="R189" i="29" s="1"/>
  <c r="P196" i="29"/>
  <c r="R196" i="29" s="1"/>
  <c r="P138" i="29"/>
  <c r="R138" i="29" s="1"/>
  <c r="P116" i="29"/>
  <c r="R116" i="29" s="1"/>
  <c r="P71" i="29"/>
  <c r="R71" i="29" s="1"/>
  <c r="P125" i="29"/>
  <c r="R125" i="29" s="1"/>
  <c r="P63" i="29"/>
  <c r="R63" i="29" s="1"/>
  <c r="P26" i="29"/>
  <c r="R26" i="29" s="1"/>
  <c r="P108" i="29"/>
  <c r="R108" i="29" s="1"/>
  <c r="P31" i="29"/>
  <c r="R31" i="29" s="1"/>
  <c r="P39" i="29"/>
  <c r="R39" i="29" s="1"/>
  <c r="P154" i="29"/>
  <c r="R154" i="29" s="1"/>
  <c r="P59" i="29"/>
  <c r="R59" i="29" s="1"/>
  <c r="P157" i="29"/>
  <c r="R157" i="29" s="1"/>
  <c r="P46" i="29"/>
  <c r="R46" i="29" s="1"/>
  <c r="P117" i="29"/>
  <c r="R117" i="29" s="1"/>
  <c r="P24" i="29"/>
  <c r="R24" i="29" s="1"/>
  <c r="P54" i="29"/>
  <c r="R54" i="29" s="1"/>
  <c r="P78" i="29"/>
  <c r="R78" i="29" s="1"/>
  <c r="P132" i="29"/>
  <c r="R132" i="29" s="1"/>
  <c r="P169" i="29"/>
  <c r="R169" i="29" s="1"/>
  <c r="P80" i="29"/>
  <c r="R80" i="29" s="1"/>
  <c r="P158" i="29"/>
  <c r="R158" i="29" s="1"/>
  <c r="P221" i="29"/>
  <c r="R221" i="29" s="1"/>
  <c r="P168" i="29"/>
  <c r="R168" i="29" s="1"/>
  <c r="P126" i="29"/>
  <c r="R126" i="29" s="1"/>
  <c r="P174" i="29"/>
  <c r="R174" i="29" s="1"/>
  <c r="P199" i="29"/>
  <c r="R199" i="29" s="1"/>
  <c r="P207" i="29"/>
  <c r="R207" i="29" s="1"/>
  <c r="P215" i="29"/>
  <c r="R215" i="29" s="1"/>
  <c r="P223" i="29"/>
  <c r="R223" i="29" s="1"/>
  <c r="P231" i="29"/>
  <c r="R231" i="29" s="1"/>
  <c r="P239" i="29"/>
  <c r="R239" i="29" s="1"/>
  <c r="P247" i="29"/>
  <c r="R247" i="29" s="1"/>
  <c r="P255" i="29"/>
  <c r="R255" i="29" s="1"/>
  <c r="P197" i="29"/>
  <c r="R197" i="29" s="1"/>
  <c r="P55" i="29"/>
  <c r="R55" i="29" s="1"/>
  <c r="P30" i="29"/>
  <c r="R30" i="29" s="1"/>
  <c r="P147" i="29"/>
  <c r="R147" i="29" s="1"/>
  <c r="P121" i="29"/>
  <c r="R121" i="29" s="1"/>
  <c r="P34" i="29"/>
  <c r="R34" i="29" s="1"/>
  <c r="P23" i="29"/>
  <c r="R23" i="29" s="1"/>
  <c r="P90" i="29"/>
  <c r="R90" i="29" s="1"/>
  <c r="P81" i="29"/>
  <c r="R81" i="29" s="1"/>
  <c r="P95" i="29"/>
  <c r="R95" i="29" s="1"/>
  <c r="P53" i="29"/>
  <c r="R53" i="29" s="1"/>
  <c r="P141" i="29"/>
  <c r="R141" i="29" s="1"/>
  <c r="P22" i="29"/>
  <c r="R22" i="29" s="1"/>
  <c r="P139" i="29"/>
  <c r="R139" i="29" s="1"/>
  <c r="P91" i="29"/>
  <c r="R91" i="29" s="1"/>
  <c r="P51" i="29"/>
  <c r="R51" i="29" s="1"/>
  <c r="P151" i="29"/>
  <c r="R151" i="29" s="1"/>
  <c r="P118" i="29"/>
  <c r="R118" i="29" s="1"/>
  <c r="P32" i="29"/>
  <c r="R32" i="29" s="1"/>
  <c r="P75" i="29"/>
  <c r="R75" i="29" s="1"/>
  <c r="P153" i="29"/>
  <c r="R153" i="29" s="1"/>
  <c r="P88" i="29"/>
  <c r="R88" i="29" s="1"/>
  <c r="F19" i="29"/>
  <c r="P229" i="29"/>
  <c r="R229" i="29" s="1"/>
  <c r="P188" i="29"/>
  <c r="R188" i="29" s="1"/>
  <c r="P200" i="29"/>
  <c r="R200" i="29" s="1"/>
  <c r="P208" i="29"/>
  <c r="R208" i="29" s="1"/>
  <c r="P216" i="29"/>
  <c r="R216" i="29" s="1"/>
  <c r="P224" i="29"/>
  <c r="R224" i="29" s="1"/>
  <c r="P232" i="29"/>
  <c r="R232" i="29" s="1"/>
  <c r="P240" i="29"/>
  <c r="R240" i="29" s="1"/>
  <c r="P248" i="29"/>
  <c r="R248" i="29" s="1"/>
  <c r="P256" i="29"/>
  <c r="R256" i="29" s="1"/>
  <c r="P192" i="29"/>
  <c r="R192" i="29" s="1"/>
  <c r="P119" i="29"/>
  <c r="R119" i="29" s="1"/>
  <c r="P94" i="29"/>
  <c r="R94" i="29" s="1"/>
  <c r="P179" i="29"/>
  <c r="R179" i="29" s="1"/>
  <c r="P73" i="29"/>
  <c r="R73" i="29" s="1"/>
  <c r="P98" i="29"/>
  <c r="R98" i="29" s="1"/>
  <c r="P87" i="29"/>
  <c r="R87" i="29" s="1"/>
  <c r="P36" i="29"/>
  <c r="R36" i="29" s="1"/>
  <c r="P29" i="29"/>
  <c r="R29" i="29" s="1"/>
  <c r="P127" i="29"/>
  <c r="R127" i="29" s="1"/>
  <c r="P25" i="29"/>
  <c r="R25" i="29" s="1"/>
  <c r="P172" i="29"/>
  <c r="R172" i="29" s="1"/>
  <c r="P86" i="29"/>
  <c r="R86" i="29" s="1"/>
  <c r="P170" i="29"/>
  <c r="R170" i="29" s="1"/>
  <c r="P38" i="29"/>
  <c r="R38" i="29" s="1"/>
  <c r="P92" i="29"/>
  <c r="R92" i="29" s="1"/>
  <c r="P164" i="29"/>
  <c r="R164" i="29" s="1"/>
  <c r="P178" i="29"/>
  <c r="R178" i="29" s="1"/>
  <c r="P96" i="29"/>
  <c r="R96" i="29" s="1"/>
  <c r="P110" i="29"/>
  <c r="R110" i="29" s="1"/>
  <c r="P133" i="29"/>
  <c r="R133" i="29" s="1"/>
  <c r="P177" i="29"/>
  <c r="R177" i="29" s="1"/>
  <c r="P56" i="29"/>
  <c r="R56" i="29" s="1"/>
  <c r="P253" i="29"/>
  <c r="R253" i="29" s="1"/>
  <c r="P100" i="29"/>
  <c r="R100" i="29" s="1"/>
  <c r="P67" i="29"/>
  <c r="R67" i="29" s="1"/>
  <c r="P28" i="29"/>
  <c r="R28" i="29" s="1"/>
  <c r="P201" i="29"/>
  <c r="R201" i="29" s="1"/>
  <c r="P209" i="29"/>
  <c r="R209" i="29" s="1"/>
  <c r="P217" i="29"/>
  <c r="R217" i="29" s="1"/>
  <c r="P225" i="29"/>
  <c r="R225" i="29" s="1"/>
  <c r="P233" i="29"/>
  <c r="R233" i="29" s="1"/>
  <c r="P241" i="29"/>
  <c r="R241" i="29" s="1"/>
  <c r="P249" i="29"/>
  <c r="R249" i="29" s="1"/>
  <c r="P257" i="29"/>
  <c r="R257" i="29" s="1"/>
  <c r="P195" i="29"/>
  <c r="R195" i="29" s="1"/>
  <c r="P135" i="29"/>
  <c r="R135" i="29" s="1"/>
  <c r="P58" i="29"/>
  <c r="R58" i="29" s="1"/>
  <c r="P19" i="29"/>
  <c r="R19" i="29" s="1"/>
  <c r="P45" i="29"/>
  <c r="R45" i="29" s="1"/>
  <c r="P105" i="29"/>
  <c r="R105" i="29" s="1"/>
  <c r="P50" i="29"/>
  <c r="R50" i="29" s="1"/>
  <c r="P79" i="29"/>
  <c r="R79" i="29" s="1"/>
  <c r="P42" i="29"/>
  <c r="R42" i="29" s="1"/>
  <c r="P171" i="29"/>
  <c r="R171" i="29" s="1"/>
  <c r="P129" i="29"/>
  <c r="R129" i="29" s="1"/>
  <c r="P181" i="29"/>
  <c r="R181" i="29" s="1"/>
  <c r="P142" i="29"/>
  <c r="R142" i="29" s="1"/>
  <c r="P112" i="29"/>
  <c r="R112" i="29" s="1"/>
  <c r="P102" i="29"/>
  <c r="R102" i="29" s="1"/>
  <c r="P65" i="29"/>
  <c r="R65" i="29" s="1"/>
  <c r="P186" i="29"/>
  <c r="R186" i="29" s="1"/>
  <c r="P180" i="29"/>
  <c r="R180" i="29" s="1"/>
  <c r="P176" i="29"/>
  <c r="R176" i="29" s="1"/>
  <c r="P27" i="29"/>
  <c r="R27" i="29" s="1"/>
  <c r="P185" i="29"/>
  <c r="R185" i="29" s="1"/>
  <c r="P182" i="29"/>
  <c r="R182" i="29" s="1"/>
  <c r="P166" i="29"/>
  <c r="R166" i="29" s="1"/>
  <c r="P213" i="29"/>
  <c r="R213" i="29" s="1"/>
  <c r="P111" i="29"/>
  <c r="R111" i="29" s="1"/>
  <c r="P41" i="29"/>
  <c r="R41" i="29" s="1"/>
  <c r="P173" i="29"/>
  <c r="R173" i="29" s="1"/>
  <c r="D19" i="29"/>
  <c r="E19" i="29" s="1"/>
  <c r="P202" i="29"/>
  <c r="R202" i="29" s="1"/>
  <c r="P210" i="29"/>
  <c r="R210" i="29" s="1"/>
  <c r="P218" i="29"/>
  <c r="R218" i="29" s="1"/>
  <c r="P226" i="29"/>
  <c r="R226" i="29" s="1"/>
  <c r="P234" i="29"/>
  <c r="R234" i="29" s="1"/>
  <c r="P242" i="29"/>
  <c r="R242" i="29" s="1"/>
  <c r="P250" i="29"/>
  <c r="R250" i="29" s="1"/>
  <c r="P258" i="29"/>
  <c r="R258" i="29" s="1"/>
  <c r="P190" i="29"/>
  <c r="R190" i="29" s="1"/>
  <c r="P89" i="29"/>
  <c r="R89" i="29" s="1"/>
  <c r="P122" i="29"/>
  <c r="R122" i="29" s="1"/>
  <c r="P76" i="29"/>
  <c r="R76" i="29" s="1"/>
  <c r="P61" i="29"/>
  <c r="R61" i="29" s="1"/>
  <c r="P60" i="29"/>
  <c r="R60" i="29" s="1"/>
  <c r="P114" i="29"/>
  <c r="R114" i="29" s="1"/>
  <c r="P163" i="29"/>
  <c r="R163" i="29" s="1"/>
  <c r="P106" i="29"/>
  <c r="R106" i="29" s="1"/>
  <c r="P115" i="29"/>
  <c r="R115" i="29" s="1"/>
  <c r="P35" i="29"/>
  <c r="R35" i="29" s="1"/>
  <c r="P103" i="29"/>
  <c r="R103" i="29" s="1"/>
  <c r="P146" i="29"/>
  <c r="R146" i="29" s="1"/>
  <c r="P143" i="29"/>
  <c r="R143" i="29" s="1"/>
  <c r="P162" i="29"/>
  <c r="R162" i="29" s="1"/>
  <c r="P152" i="29"/>
  <c r="R152" i="29" s="1"/>
  <c r="P149" i="29"/>
  <c r="R149" i="29" s="1"/>
  <c r="P137" i="29"/>
  <c r="R137" i="29" s="1"/>
  <c r="P131" i="29"/>
  <c r="R131" i="29" s="1"/>
  <c r="P70" i="29"/>
  <c r="R70" i="29" s="1"/>
  <c r="P148" i="29"/>
  <c r="R148" i="29" s="1"/>
  <c r="P167" i="29"/>
  <c r="R167" i="29" s="1"/>
  <c r="R14" i="29"/>
  <c r="P237" i="29"/>
  <c r="R237" i="29" s="1"/>
  <c r="P144" i="29"/>
  <c r="R144" i="29" s="1"/>
  <c r="P57" i="29"/>
  <c r="R57" i="29" s="1"/>
  <c r="P37" i="29"/>
  <c r="R37" i="29" s="1"/>
  <c r="P203" i="29"/>
  <c r="R203" i="29" s="1"/>
  <c r="P211" i="29"/>
  <c r="R211" i="29" s="1"/>
  <c r="P219" i="29"/>
  <c r="R219" i="29" s="1"/>
  <c r="P227" i="29"/>
  <c r="R227" i="29" s="1"/>
  <c r="P235" i="29"/>
  <c r="R235" i="29" s="1"/>
  <c r="P243" i="29"/>
  <c r="R243" i="29" s="1"/>
  <c r="P251" i="29"/>
  <c r="R251" i="29" s="1"/>
  <c r="P198" i="29"/>
  <c r="R198" i="29" s="1"/>
  <c r="P82" i="29"/>
  <c r="R82" i="29" s="1"/>
  <c r="P68" i="29"/>
  <c r="R68" i="29" s="1"/>
  <c r="P49" i="29"/>
  <c r="R49" i="29" s="1"/>
  <c r="P77" i="29"/>
  <c r="R77" i="29" s="1"/>
  <c r="P18" i="29"/>
  <c r="R18" i="29" s="1"/>
  <c r="P43" i="29"/>
  <c r="R43" i="29" s="1"/>
  <c r="P160" i="29"/>
  <c r="R160" i="29" s="1"/>
  <c r="P84" i="29"/>
  <c r="R84" i="29" s="1"/>
  <c r="P124" i="29"/>
  <c r="R124" i="29" s="1"/>
  <c r="P136" i="29"/>
  <c r="R136" i="29" s="1"/>
  <c r="P69" i="29"/>
  <c r="R69" i="29" s="1"/>
  <c r="P85" i="29"/>
  <c r="R85" i="29" s="1"/>
  <c r="P40" i="29"/>
  <c r="R40" i="29" s="1"/>
  <c r="P156" i="29"/>
  <c r="R156" i="29" s="1"/>
  <c r="P99" i="29"/>
  <c r="R99" i="29" s="1"/>
  <c r="P159" i="29"/>
  <c r="R159" i="29" s="1"/>
  <c r="P128" i="29"/>
  <c r="R128" i="29" s="1"/>
  <c r="P140" i="29"/>
  <c r="R140" i="29" s="1"/>
  <c r="P134" i="29"/>
  <c r="R134" i="29" s="1"/>
  <c r="P175" i="29"/>
  <c r="R175" i="29" s="1"/>
  <c r="P150" i="29"/>
  <c r="R150" i="29" s="1"/>
  <c r="P245" i="29"/>
  <c r="R245" i="29" s="1"/>
  <c r="P194" i="29"/>
  <c r="R194" i="29" s="1"/>
  <c r="P107" i="29"/>
  <c r="R107" i="29" s="1"/>
  <c r="P20" i="29"/>
  <c r="R20" i="29" s="1"/>
  <c r="P97" i="29"/>
  <c r="R97" i="29" s="1"/>
  <c r="P161" i="29"/>
  <c r="R161" i="29" s="1"/>
  <c r="P165" i="29"/>
  <c r="R165" i="29" s="1"/>
  <c r="P204" i="29"/>
  <c r="R204" i="29" s="1"/>
  <c r="P212" i="29"/>
  <c r="R212" i="29" s="1"/>
  <c r="P220" i="29"/>
  <c r="R220" i="29" s="1"/>
  <c r="P228" i="29"/>
  <c r="R228" i="29" s="1"/>
  <c r="P236" i="29"/>
  <c r="R236" i="29" s="1"/>
  <c r="P244" i="29"/>
  <c r="R244" i="29" s="1"/>
  <c r="P252" i="29"/>
  <c r="R252" i="29" s="1"/>
  <c r="P191" i="29"/>
  <c r="R191" i="29" s="1"/>
  <c r="P193" i="29"/>
  <c r="R193" i="29" s="1"/>
  <c r="P44" i="29"/>
  <c r="R44" i="29" s="1"/>
  <c r="P47" i="29"/>
  <c r="R47" i="29" s="1"/>
  <c r="P113" i="29"/>
  <c r="R113" i="29" s="1"/>
  <c r="P93" i="29"/>
  <c r="R93" i="29" s="1"/>
  <c r="P74" i="29"/>
  <c r="R74" i="29" s="1"/>
  <c r="P21" i="29"/>
  <c r="R21" i="29" s="1"/>
  <c r="P83" i="29"/>
  <c r="R83" i="29" s="1"/>
  <c r="P52" i="29"/>
  <c r="R52" i="29" s="1"/>
  <c r="P33" i="29"/>
  <c r="R33" i="29" s="1"/>
  <c r="P183" i="29"/>
  <c r="R183" i="29" s="1"/>
  <c r="P155" i="29"/>
  <c r="R155" i="29" s="1"/>
  <c r="P72" i="29"/>
  <c r="R72" i="29" s="1"/>
  <c r="P101" i="29"/>
  <c r="R101" i="29" s="1"/>
  <c r="P104" i="29"/>
  <c r="R104" i="29" s="1"/>
  <c r="P130" i="29"/>
  <c r="R130" i="29" s="1"/>
  <c r="P62" i="29"/>
  <c r="R62" i="29" s="1"/>
  <c r="P66" i="29"/>
  <c r="R66" i="29" s="1"/>
  <c r="P184" i="29"/>
  <c r="R184" i="29" s="1"/>
  <c r="P64" i="29"/>
  <c r="R64" i="29" s="1"/>
  <c r="P145" i="29"/>
  <c r="R145" i="29" s="1"/>
  <c r="P120" i="29"/>
  <c r="R120" i="29" s="1"/>
  <c r="P205" i="29"/>
  <c r="R205" i="29" s="1"/>
  <c r="P109" i="29"/>
  <c r="R109" i="29" s="1"/>
  <c r="P48" i="29"/>
  <c r="R48" i="29" s="1"/>
  <c r="P123" i="29"/>
  <c r="R123" i="29" s="1"/>
  <c r="C199" i="29" l="1"/>
  <c r="C207" i="29"/>
  <c r="C215" i="29"/>
  <c r="C223" i="29"/>
  <c r="C231" i="29"/>
  <c r="C239" i="29"/>
  <c r="C247" i="29"/>
  <c r="C255" i="29"/>
  <c r="C191" i="29"/>
  <c r="C187" i="29"/>
  <c r="C186" i="29"/>
  <c r="C123" i="29"/>
  <c r="C128" i="29"/>
  <c r="C101" i="29"/>
  <c r="C27" i="29"/>
  <c r="C117" i="29"/>
  <c r="C35" i="29"/>
  <c r="C40" i="29"/>
  <c r="C151" i="29"/>
  <c r="C153" i="29"/>
  <c r="C91" i="29"/>
  <c r="C159" i="29"/>
  <c r="C162" i="29"/>
  <c r="C79" i="29"/>
  <c r="C167" i="29"/>
  <c r="C178" i="29"/>
  <c r="C182" i="29"/>
  <c r="C180" i="29"/>
  <c r="C60" i="29"/>
  <c r="C115" i="29"/>
  <c r="C200" i="29"/>
  <c r="C208" i="29"/>
  <c r="C216" i="29"/>
  <c r="C224" i="29"/>
  <c r="C232" i="29"/>
  <c r="C240" i="29"/>
  <c r="C248" i="29"/>
  <c r="C256" i="29"/>
  <c r="C189" i="29"/>
  <c r="C71" i="29"/>
  <c r="C76" i="29"/>
  <c r="C93" i="29"/>
  <c r="C135" i="29"/>
  <c r="C110" i="29"/>
  <c r="C133" i="29"/>
  <c r="C146" i="29"/>
  <c r="C149" i="29"/>
  <c r="C145" i="29"/>
  <c r="C104" i="29"/>
  <c r="C37" i="29"/>
  <c r="C38" i="29"/>
  <c r="C109" i="29"/>
  <c r="C51" i="29"/>
  <c r="C46" i="29"/>
  <c r="C67" i="29"/>
  <c r="C201" i="29"/>
  <c r="C209" i="29"/>
  <c r="C217" i="29"/>
  <c r="C225" i="29"/>
  <c r="C233" i="29"/>
  <c r="C241" i="29"/>
  <c r="C249" i="29"/>
  <c r="C257" i="29"/>
  <c r="C197" i="29"/>
  <c r="C181" i="29"/>
  <c r="C184" i="29"/>
  <c r="C102" i="29"/>
  <c r="C129" i="29"/>
  <c r="C119" i="29"/>
  <c r="C28" i="29"/>
  <c r="C32" i="29"/>
  <c r="C33" i="29"/>
  <c r="C36" i="29"/>
  <c r="C120" i="29"/>
  <c r="C150" i="29"/>
  <c r="C155" i="29"/>
  <c r="C125" i="29"/>
  <c r="C158" i="29"/>
  <c r="C174" i="29"/>
  <c r="C171" i="29"/>
  <c r="C170" i="29"/>
  <c r="C80" i="29"/>
  <c r="C173" i="29"/>
  <c r="C177" i="29"/>
  <c r="C85" i="29"/>
  <c r="C94" i="29"/>
  <c r="C53" i="29"/>
  <c r="C202" i="29"/>
  <c r="C210" i="29"/>
  <c r="C218" i="29"/>
  <c r="C226" i="29"/>
  <c r="C234" i="29"/>
  <c r="C242" i="29"/>
  <c r="C250" i="29"/>
  <c r="C258" i="29"/>
  <c r="C195" i="29"/>
  <c r="C65" i="29"/>
  <c r="C69" i="29"/>
  <c r="C111" i="29"/>
  <c r="C140" i="29"/>
  <c r="C73" i="29"/>
  <c r="C137" i="29"/>
  <c r="C96" i="29"/>
  <c r="C144" i="29"/>
  <c r="C147" i="29"/>
  <c r="C82" i="29"/>
  <c r="C47" i="29"/>
  <c r="C39" i="29"/>
  <c r="C78" i="29"/>
  <c r="C52" i="29"/>
  <c r="C56" i="29"/>
  <c r="C58" i="29"/>
  <c r="C61" i="29"/>
  <c r="C90" i="29"/>
  <c r="C57" i="29"/>
  <c r="C62" i="29"/>
  <c r="C84" i="29"/>
  <c r="C203" i="29"/>
  <c r="C211" i="29"/>
  <c r="C219" i="29"/>
  <c r="C227" i="29"/>
  <c r="C235" i="29"/>
  <c r="C243" i="29"/>
  <c r="C251" i="29"/>
  <c r="C259" i="29"/>
  <c r="C193" i="29"/>
  <c r="C185" i="29"/>
  <c r="C126" i="29"/>
  <c r="C134" i="29"/>
  <c r="C89" i="29"/>
  <c r="C141" i="29"/>
  <c r="C29" i="29"/>
  <c r="C113" i="29"/>
  <c r="C26" i="29"/>
  <c r="C30" i="29"/>
  <c r="C100" i="29"/>
  <c r="C152" i="29"/>
  <c r="C164" i="29"/>
  <c r="C166" i="29"/>
  <c r="C161" i="29"/>
  <c r="C121" i="29"/>
  <c r="C165" i="29"/>
  <c r="C172" i="29"/>
  <c r="C107" i="29"/>
  <c r="C175" i="29"/>
  <c r="C179" i="29"/>
  <c r="C103" i="29"/>
  <c r="C55" i="29"/>
  <c r="C124" i="29"/>
  <c r="C204" i="29"/>
  <c r="C212" i="29"/>
  <c r="C220" i="29"/>
  <c r="C228" i="29"/>
  <c r="C236" i="29"/>
  <c r="C244" i="29"/>
  <c r="C252" i="29"/>
  <c r="C188" i="29"/>
  <c r="C190" i="29"/>
  <c r="C77" i="29"/>
  <c r="C81" i="29"/>
  <c r="C130" i="29"/>
  <c r="C105" i="29"/>
  <c r="C138" i="29"/>
  <c r="C122" i="29"/>
  <c r="C143" i="29"/>
  <c r="C148" i="29"/>
  <c r="C116" i="29"/>
  <c r="C44" i="29"/>
  <c r="C49" i="29"/>
  <c r="C48" i="29"/>
  <c r="C50" i="29"/>
  <c r="C205" i="29"/>
  <c r="C213" i="29"/>
  <c r="C221" i="29"/>
  <c r="C229" i="29"/>
  <c r="C237" i="29"/>
  <c r="C245" i="29"/>
  <c r="C253" i="29"/>
  <c r="C198" i="29"/>
  <c r="C192" i="29"/>
  <c r="C183" i="29"/>
  <c r="C97" i="29"/>
  <c r="C131" i="29"/>
  <c r="C114" i="29"/>
  <c r="C136" i="29"/>
  <c r="C92" i="29"/>
  <c r="C34" i="29"/>
  <c r="C31" i="29"/>
  <c r="C156" i="29"/>
  <c r="C154" i="29"/>
  <c r="C112" i="29"/>
  <c r="C160" i="29"/>
  <c r="C163" i="29"/>
  <c r="C99" i="29"/>
  <c r="C168" i="29"/>
  <c r="C169" i="29"/>
  <c r="C86" i="29"/>
  <c r="C176" i="29"/>
  <c r="C70" i="29"/>
  <c r="C87" i="29"/>
  <c r="C68" i="29"/>
  <c r="C63" i="29"/>
  <c r="C206" i="29"/>
  <c r="C214" i="29"/>
  <c r="C222" i="29"/>
  <c r="C230" i="29"/>
  <c r="C238" i="29"/>
  <c r="C246" i="29"/>
  <c r="C254" i="29"/>
  <c r="C194" i="29"/>
  <c r="C196" i="29"/>
  <c r="C75" i="29"/>
  <c r="C106" i="29"/>
  <c r="C132" i="29"/>
  <c r="C83" i="29"/>
  <c r="C127" i="29"/>
  <c r="C139" i="29"/>
  <c r="C108" i="29"/>
  <c r="C142" i="29"/>
  <c r="C157" i="29"/>
  <c r="C41" i="29"/>
  <c r="C43" i="29"/>
  <c r="C74" i="29"/>
  <c r="C42" i="29"/>
  <c r="C45" i="29"/>
  <c r="C118" i="29"/>
  <c r="C59" i="29"/>
  <c r="C54" i="29"/>
  <c r="C95" i="29"/>
  <c r="C72" i="29"/>
  <c r="C88" i="29"/>
  <c r="C98" i="29"/>
  <c r="C64" i="29"/>
  <c r="C66" i="29"/>
  <c r="E19" i="28"/>
  <c r="D20" i="28" s="1"/>
  <c r="R13" i="29"/>
  <c r="R15" i="29" s="1"/>
  <c r="C4" i="29" s="1"/>
  <c r="F4" i="29" s="1"/>
  <c r="E20" i="27"/>
  <c r="F20" i="27"/>
  <c r="D20" i="27"/>
  <c r="AB19" i="26"/>
  <c r="AA19" i="26"/>
  <c r="R13" i="28"/>
  <c r="R15" i="28" s="1"/>
  <c r="F20" i="29"/>
  <c r="D20" i="29"/>
  <c r="F19" i="26"/>
  <c r="D19" i="26"/>
  <c r="R14" i="26"/>
  <c r="F20" i="28" l="1"/>
  <c r="E20" i="28" s="1"/>
  <c r="E19" i="26"/>
  <c r="C4" i="25"/>
  <c r="C2" i="25" s="1"/>
  <c r="D20" i="26"/>
  <c r="F20" i="26"/>
  <c r="E20" i="26" s="1"/>
  <c r="E20" i="29"/>
  <c r="E21" i="27"/>
  <c r="F21" i="27"/>
  <c r="D21" i="27"/>
  <c r="F22" i="27" s="1"/>
  <c r="AA20" i="26"/>
  <c r="AB20" i="26"/>
  <c r="F21" i="28" l="1"/>
  <c r="D21" i="28"/>
  <c r="C4" i="30"/>
  <c r="F4" i="30" s="1"/>
  <c r="J20" i="17"/>
  <c r="F18" i="19" s="1"/>
  <c r="W21" i="20"/>
  <c r="E18" i="25"/>
  <c r="P224" i="25" s="1"/>
  <c r="R224" i="25" s="1"/>
  <c r="W10" i="20"/>
  <c r="J23" i="17"/>
  <c r="F4" i="25"/>
  <c r="F21" i="29"/>
  <c r="D21" i="29"/>
  <c r="AA21" i="26"/>
  <c r="AB21" i="26"/>
  <c r="P163" i="25"/>
  <c r="R163" i="25" s="1"/>
  <c r="D22" i="27"/>
  <c r="C22" i="27" s="1"/>
  <c r="P22" i="27" s="1"/>
  <c r="R22" i="27" s="1"/>
  <c r="F21" i="26"/>
  <c r="D21" i="26"/>
  <c r="C2" i="30" l="1"/>
  <c r="E18" i="30" s="1"/>
  <c r="P259" i="30" s="1"/>
  <c r="R259" i="30" s="1"/>
  <c r="P105" i="25"/>
  <c r="R105" i="25" s="1"/>
  <c r="E21" i="28"/>
  <c r="D22" i="28" s="1"/>
  <c r="P18" i="25"/>
  <c r="P157" i="25"/>
  <c r="R157" i="25" s="1"/>
  <c r="P164" i="25"/>
  <c r="R164" i="25" s="1"/>
  <c r="P41" i="25"/>
  <c r="R41" i="25" s="1"/>
  <c r="P172" i="25"/>
  <c r="R172" i="25" s="1"/>
  <c r="P178" i="25"/>
  <c r="R178" i="25" s="1"/>
  <c r="P188" i="25"/>
  <c r="R188" i="25" s="1"/>
  <c r="P219" i="25"/>
  <c r="R219" i="25" s="1"/>
  <c r="P73" i="25"/>
  <c r="R73" i="25" s="1"/>
  <c r="P71" i="25"/>
  <c r="R71" i="25" s="1"/>
  <c r="P258" i="25"/>
  <c r="R258" i="25" s="1"/>
  <c r="P50" i="25"/>
  <c r="R50" i="25" s="1"/>
  <c r="P141" i="25"/>
  <c r="R141" i="25" s="1"/>
  <c r="P221" i="25"/>
  <c r="R221" i="25" s="1"/>
  <c r="P48" i="25"/>
  <c r="R48" i="25" s="1"/>
  <c r="F22" i="28"/>
  <c r="P253" i="25"/>
  <c r="R253" i="25" s="1"/>
  <c r="P114" i="25"/>
  <c r="R114" i="25" s="1"/>
  <c r="P150" i="25"/>
  <c r="R150" i="25" s="1"/>
  <c r="P166" i="25"/>
  <c r="R166" i="25" s="1"/>
  <c r="P149" i="25"/>
  <c r="R149" i="25" s="1"/>
  <c r="P229" i="25"/>
  <c r="R229" i="25" s="1"/>
  <c r="P251" i="25"/>
  <c r="R251" i="25" s="1"/>
  <c r="P34" i="25"/>
  <c r="R34" i="25" s="1"/>
  <c r="P220" i="25"/>
  <c r="R220" i="25" s="1"/>
  <c r="P68" i="25"/>
  <c r="R68" i="25" s="1"/>
  <c r="P40" i="25"/>
  <c r="R40" i="25" s="1"/>
  <c r="P80" i="25"/>
  <c r="R80" i="25" s="1"/>
  <c r="P52" i="25"/>
  <c r="R52" i="25" s="1"/>
  <c r="P116" i="25"/>
  <c r="R116" i="25" s="1"/>
  <c r="P236" i="25"/>
  <c r="R236" i="25" s="1"/>
  <c r="P156" i="25"/>
  <c r="R156" i="25" s="1"/>
  <c r="P106" i="25"/>
  <c r="R106" i="25" s="1"/>
  <c r="F43" i="17"/>
  <c r="P259" i="25"/>
  <c r="R259" i="25" s="1"/>
  <c r="P148" i="25"/>
  <c r="R148" i="25" s="1"/>
  <c r="P49" i="25"/>
  <c r="R49" i="25" s="1"/>
  <c r="P200" i="25"/>
  <c r="R200" i="25" s="1"/>
  <c r="P176" i="25"/>
  <c r="R176" i="25" s="1"/>
  <c r="P168" i="25"/>
  <c r="R168" i="25" s="1"/>
  <c r="P154" i="25"/>
  <c r="R154" i="25" s="1"/>
  <c r="P223" i="25"/>
  <c r="R223" i="25" s="1"/>
  <c r="P55" i="25"/>
  <c r="R55" i="25" s="1"/>
  <c r="P160" i="25"/>
  <c r="R160" i="25" s="1"/>
  <c r="P234" i="25"/>
  <c r="R234" i="25" s="1"/>
  <c r="P89" i="25"/>
  <c r="R89" i="25" s="1"/>
  <c r="P95" i="25"/>
  <c r="R95" i="25" s="1"/>
  <c r="P197" i="25"/>
  <c r="R197" i="25" s="1"/>
  <c r="P74" i="25"/>
  <c r="R74" i="25" s="1"/>
  <c r="P215" i="25"/>
  <c r="R215" i="25" s="1"/>
  <c r="P24" i="25"/>
  <c r="R24" i="25" s="1"/>
  <c r="P192" i="25"/>
  <c r="R192" i="25" s="1"/>
  <c r="P66" i="25"/>
  <c r="R66" i="25" s="1"/>
  <c r="P226" i="25"/>
  <c r="R226" i="25" s="1"/>
  <c r="P22" i="25"/>
  <c r="R22" i="25" s="1"/>
  <c r="P47" i="25"/>
  <c r="R47" i="25" s="1"/>
  <c r="P256" i="25"/>
  <c r="R256" i="25" s="1"/>
  <c r="P64" i="25"/>
  <c r="R64" i="25" s="1"/>
  <c r="P60" i="25"/>
  <c r="R60" i="25" s="1"/>
  <c r="P254" i="25"/>
  <c r="R254" i="25" s="1"/>
  <c r="P27" i="25"/>
  <c r="R27" i="25" s="1"/>
  <c r="P75" i="25"/>
  <c r="R75" i="25" s="1"/>
  <c r="P29" i="25"/>
  <c r="R29" i="25" s="1"/>
  <c r="P134" i="25"/>
  <c r="R134" i="25" s="1"/>
  <c r="P241" i="25"/>
  <c r="R241" i="25" s="1"/>
  <c r="P136" i="25"/>
  <c r="R136" i="25" s="1"/>
  <c r="P101" i="25"/>
  <c r="R101" i="25" s="1"/>
  <c r="P87" i="25"/>
  <c r="R87" i="25" s="1"/>
  <c r="P98" i="25"/>
  <c r="R98" i="25" s="1"/>
  <c r="P26" i="25"/>
  <c r="R26" i="25" s="1"/>
  <c r="P69" i="25"/>
  <c r="R69" i="25" s="1"/>
  <c r="P57" i="25"/>
  <c r="R57" i="25" s="1"/>
  <c r="P59" i="25"/>
  <c r="R59" i="25" s="1"/>
  <c r="P233" i="25"/>
  <c r="R233" i="25" s="1"/>
  <c r="P53" i="25"/>
  <c r="R53" i="25" s="1"/>
  <c r="P189" i="25"/>
  <c r="R189" i="25" s="1"/>
  <c r="P30" i="25"/>
  <c r="R30" i="25" s="1"/>
  <c r="P121" i="25"/>
  <c r="R121" i="25" s="1"/>
  <c r="P72" i="25"/>
  <c r="R72" i="25" s="1"/>
  <c r="P204" i="25"/>
  <c r="R204" i="25" s="1"/>
  <c r="P111" i="25"/>
  <c r="R111" i="25" s="1"/>
  <c r="P20" i="25"/>
  <c r="R20" i="25" s="1"/>
  <c r="P201" i="25"/>
  <c r="R201" i="25" s="1"/>
  <c r="P133" i="25"/>
  <c r="R133" i="25" s="1"/>
  <c r="P45" i="25"/>
  <c r="R45" i="25" s="1"/>
  <c r="P247" i="25"/>
  <c r="R247" i="25" s="1"/>
  <c r="P54" i="25"/>
  <c r="R54" i="25" s="1"/>
  <c r="P85" i="25"/>
  <c r="R85" i="25" s="1"/>
  <c r="P181" i="25"/>
  <c r="R181" i="25" s="1"/>
  <c r="P93" i="25"/>
  <c r="R93" i="25" s="1"/>
  <c r="P58" i="25"/>
  <c r="R58" i="25" s="1"/>
  <c r="P245" i="25"/>
  <c r="R245" i="25" s="1"/>
  <c r="P108" i="25"/>
  <c r="R108" i="25" s="1"/>
  <c r="P177" i="25"/>
  <c r="R177" i="25" s="1"/>
  <c r="P115" i="25"/>
  <c r="R115" i="25" s="1"/>
  <c r="P23" i="25"/>
  <c r="R23" i="25" s="1"/>
  <c r="P211" i="25"/>
  <c r="R211" i="25" s="1"/>
  <c r="P182" i="25"/>
  <c r="R182" i="25" s="1"/>
  <c r="P84" i="25"/>
  <c r="R84" i="25" s="1"/>
  <c r="P137" i="25"/>
  <c r="R137" i="25" s="1"/>
  <c r="P250" i="25"/>
  <c r="R250" i="25" s="1"/>
  <c r="P180" i="25"/>
  <c r="R180" i="25" s="1"/>
  <c r="P128" i="25"/>
  <c r="R128" i="25" s="1"/>
  <c r="P171" i="25"/>
  <c r="R171" i="25" s="1"/>
  <c r="P257" i="25"/>
  <c r="R257" i="25" s="1"/>
  <c r="P145" i="25"/>
  <c r="R145" i="25" s="1"/>
  <c r="P67" i="25"/>
  <c r="R67" i="25" s="1"/>
  <c r="P170" i="25"/>
  <c r="R170" i="25" s="1"/>
  <c r="P94" i="25"/>
  <c r="R94" i="25" s="1"/>
  <c r="P216" i="25"/>
  <c r="R216" i="25" s="1"/>
  <c r="D19" i="25"/>
  <c r="P118" i="25"/>
  <c r="R118" i="25" s="1"/>
  <c r="P86" i="25"/>
  <c r="R86" i="25" s="1"/>
  <c r="P239" i="25"/>
  <c r="R239" i="25" s="1"/>
  <c r="P175" i="25"/>
  <c r="R175" i="25" s="1"/>
  <c r="P56" i="25"/>
  <c r="R56" i="25" s="1"/>
  <c r="P28" i="25"/>
  <c r="R28" i="25" s="1"/>
  <c r="P198" i="25"/>
  <c r="R198" i="25" s="1"/>
  <c r="P206" i="25"/>
  <c r="R206" i="25" s="1"/>
  <c r="P82" i="25"/>
  <c r="R82" i="25" s="1"/>
  <c r="P214" i="25"/>
  <c r="R214" i="25" s="1"/>
  <c r="P173" i="25"/>
  <c r="R173" i="25" s="1"/>
  <c r="P90" i="25"/>
  <c r="R90" i="25" s="1"/>
  <c r="P103" i="25"/>
  <c r="R103" i="25" s="1"/>
  <c r="P237" i="25"/>
  <c r="R237" i="25" s="1"/>
  <c r="P112" i="25"/>
  <c r="R112" i="25" s="1"/>
  <c r="P25" i="25"/>
  <c r="R25" i="25" s="1"/>
  <c r="P146" i="25"/>
  <c r="R146" i="25" s="1"/>
  <c r="P104" i="25"/>
  <c r="R104" i="25" s="1"/>
  <c r="P203" i="25"/>
  <c r="R203" i="25" s="1"/>
  <c r="P158" i="25"/>
  <c r="R158" i="25" s="1"/>
  <c r="P169" i="25"/>
  <c r="R169" i="25" s="1"/>
  <c r="P62" i="25"/>
  <c r="R62" i="25" s="1"/>
  <c r="P242" i="25"/>
  <c r="R242" i="25" s="1"/>
  <c r="P212" i="25"/>
  <c r="R212" i="25" s="1"/>
  <c r="P19" i="25"/>
  <c r="R19" i="25" s="1"/>
  <c r="P159" i="25"/>
  <c r="R159" i="25" s="1"/>
  <c r="P249" i="25"/>
  <c r="R249" i="25" s="1"/>
  <c r="P63" i="25"/>
  <c r="R63" i="25" s="1"/>
  <c r="P76" i="25"/>
  <c r="R76" i="25" s="1"/>
  <c r="P113" i="25"/>
  <c r="R113" i="25" s="1"/>
  <c r="P78" i="25"/>
  <c r="R78" i="25" s="1"/>
  <c r="P208" i="25"/>
  <c r="R208" i="25" s="1"/>
  <c r="P153" i="25"/>
  <c r="R153" i="25" s="1"/>
  <c r="P143" i="25"/>
  <c r="R143" i="25" s="1"/>
  <c r="P119" i="25"/>
  <c r="R119" i="25" s="1"/>
  <c r="P231" i="25"/>
  <c r="R231" i="25" s="1"/>
  <c r="P110" i="25"/>
  <c r="R110" i="25" s="1"/>
  <c r="P122" i="25"/>
  <c r="R122" i="25" s="1"/>
  <c r="P97" i="25"/>
  <c r="R97" i="25" s="1"/>
  <c r="P193" i="25"/>
  <c r="R193" i="25" s="1"/>
  <c r="P187" i="25"/>
  <c r="R187" i="25" s="1"/>
  <c r="P61" i="25"/>
  <c r="R61" i="25" s="1"/>
  <c r="P165" i="25"/>
  <c r="R165" i="25" s="1"/>
  <c r="P107" i="25"/>
  <c r="R107" i="25" s="1"/>
  <c r="P213" i="25"/>
  <c r="R213" i="25" s="1"/>
  <c r="P174" i="25"/>
  <c r="R174" i="25" s="1"/>
  <c r="P162" i="25"/>
  <c r="R162" i="25" s="1"/>
  <c r="P131" i="25"/>
  <c r="R131" i="25" s="1"/>
  <c r="P243" i="25"/>
  <c r="R243" i="25" s="1"/>
  <c r="P127" i="25"/>
  <c r="R127" i="25" s="1"/>
  <c r="P123" i="25"/>
  <c r="R123" i="25" s="1"/>
  <c r="P102" i="25"/>
  <c r="R102" i="25" s="1"/>
  <c r="P21" i="25"/>
  <c r="R21" i="25" s="1"/>
  <c r="P218" i="25"/>
  <c r="R218" i="25" s="1"/>
  <c r="P185" i="25"/>
  <c r="R185" i="25" s="1"/>
  <c r="P184" i="25"/>
  <c r="R184" i="25" s="1"/>
  <c r="P39" i="25"/>
  <c r="R39" i="25" s="1"/>
  <c r="P225" i="25"/>
  <c r="R225" i="25" s="1"/>
  <c r="P244" i="25"/>
  <c r="R244" i="25" s="1"/>
  <c r="P35" i="25"/>
  <c r="R35" i="25" s="1"/>
  <c r="P77" i="25"/>
  <c r="R77" i="25" s="1"/>
  <c r="P248" i="25"/>
  <c r="R248" i="25" s="1"/>
  <c r="P186" i="25"/>
  <c r="R186" i="25" s="1"/>
  <c r="P91" i="25"/>
  <c r="R91" i="25" s="1"/>
  <c r="P129" i="25"/>
  <c r="R129" i="25" s="1"/>
  <c r="P83" i="25"/>
  <c r="R83" i="25" s="1"/>
  <c r="P207" i="25"/>
  <c r="R207" i="25" s="1"/>
  <c r="P37" i="25"/>
  <c r="R37" i="25" s="1"/>
  <c r="P125" i="25"/>
  <c r="R125" i="25" s="1"/>
  <c r="P135" i="25"/>
  <c r="R135" i="25" s="1"/>
  <c r="P238" i="25"/>
  <c r="R238" i="25" s="1"/>
  <c r="P31" i="25"/>
  <c r="R31" i="25" s="1"/>
  <c r="P130" i="25"/>
  <c r="R130" i="25" s="1"/>
  <c r="P196" i="25"/>
  <c r="R196" i="25" s="1"/>
  <c r="P205" i="25"/>
  <c r="R205" i="25" s="1"/>
  <c r="P152" i="25"/>
  <c r="R152" i="25" s="1"/>
  <c r="P147" i="25"/>
  <c r="R147" i="25" s="1"/>
  <c r="P126" i="25"/>
  <c r="R126" i="25" s="1"/>
  <c r="P235" i="25"/>
  <c r="R235" i="25" s="1"/>
  <c r="P194" i="25"/>
  <c r="R194" i="25" s="1"/>
  <c r="P144" i="25"/>
  <c r="R144" i="25" s="1"/>
  <c r="P161" i="25"/>
  <c r="R161" i="25" s="1"/>
  <c r="P43" i="25"/>
  <c r="R43" i="25" s="1"/>
  <c r="P210" i="25"/>
  <c r="R210" i="25" s="1"/>
  <c r="P140" i="25"/>
  <c r="R140" i="25" s="1"/>
  <c r="P38" i="25"/>
  <c r="R38" i="25" s="1"/>
  <c r="P142" i="25"/>
  <c r="R142" i="25" s="1"/>
  <c r="P217" i="25"/>
  <c r="R217" i="25" s="1"/>
  <c r="F19" i="25"/>
  <c r="P117" i="25"/>
  <c r="R117" i="25" s="1"/>
  <c r="P51" i="25"/>
  <c r="R51" i="25" s="1"/>
  <c r="P240" i="25"/>
  <c r="R240" i="25" s="1"/>
  <c r="P81" i="25"/>
  <c r="R81" i="25" s="1"/>
  <c r="P33" i="25"/>
  <c r="R33" i="25" s="1"/>
  <c r="P92" i="25"/>
  <c r="R92" i="25" s="1"/>
  <c r="P195" i="25"/>
  <c r="R195" i="25" s="1"/>
  <c r="P199" i="25"/>
  <c r="R199" i="25" s="1"/>
  <c r="P70" i="25"/>
  <c r="R70" i="25" s="1"/>
  <c r="P42" i="25"/>
  <c r="R42" i="25" s="1"/>
  <c r="P32" i="25"/>
  <c r="R32" i="25" s="1"/>
  <c r="P230" i="25"/>
  <c r="R230" i="25" s="1"/>
  <c r="P246" i="25"/>
  <c r="R246" i="25" s="1"/>
  <c r="P228" i="25"/>
  <c r="R228" i="25" s="1"/>
  <c r="P124" i="25"/>
  <c r="R124" i="25" s="1"/>
  <c r="P120" i="25"/>
  <c r="R120" i="25" s="1"/>
  <c r="P191" i="25"/>
  <c r="R191" i="25" s="1"/>
  <c r="P109" i="25"/>
  <c r="R109" i="25" s="1"/>
  <c r="P36" i="25"/>
  <c r="R36" i="25" s="1"/>
  <c r="P44" i="25"/>
  <c r="R44" i="25" s="1"/>
  <c r="P46" i="25"/>
  <c r="R46" i="25" s="1"/>
  <c r="P227" i="25"/>
  <c r="R227" i="25" s="1"/>
  <c r="P252" i="25"/>
  <c r="R252" i="25" s="1"/>
  <c r="P179" i="25"/>
  <c r="R179" i="25" s="1"/>
  <c r="P139" i="25"/>
  <c r="R139" i="25" s="1"/>
  <c r="P190" i="25"/>
  <c r="R190" i="25" s="1"/>
  <c r="P202" i="25"/>
  <c r="R202" i="25" s="1"/>
  <c r="P99" i="25"/>
  <c r="R99" i="25" s="1"/>
  <c r="P151" i="25"/>
  <c r="R151" i="25" s="1"/>
  <c r="P79" i="25"/>
  <c r="R79" i="25" s="1"/>
  <c r="P209" i="25"/>
  <c r="R209" i="25" s="1"/>
  <c r="P100" i="25"/>
  <c r="R100" i="25" s="1"/>
  <c r="P167" i="25"/>
  <c r="R167" i="25" s="1"/>
  <c r="P88" i="25"/>
  <c r="R88" i="25" s="1"/>
  <c r="P232" i="25"/>
  <c r="R232" i="25" s="1"/>
  <c r="P96" i="25"/>
  <c r="R96" i="25" s="1"/>
  <c r="P183" i="25"/>
  <c r="R183" i="25" s="1"/>
  <c r="P138" i="25"/>
  <c r="R138" i="25" s="1"/>
  <c r="P255" i="25"/>
  <c r="R255" i="25" s="1"/>
  <c r="R14" i="25"/>
  <c r="P155" i="25"/>
  <c r="R155" i="25" s="1"/>
  <c r="P132" i="25"/>
  <c r="R132" i="25" s="1"/>
  <c r="P65" i="25"/>
  <c r="R65" i="25" s="1"/>
  <c r="P222" i="25"/>
  <c r="R222" i="25" s="1"/>
  <c r="E21" i="29"/>
  <c r="D22" i="29" s="1"/>
  <c r="N43" i="17"/>
  <c r="F9" i="19"/>
  <c r="J19" i="17"/>
  <c r="C10" i="17"/>
  <c r="M6" i="24"/>
  <c r="F21" i="23"/>
  <c r="L336" i="32"/>
  <c r="AA26" i="20"/>
  <c r="AA29" i="20" s="1"/>
  <c r="W13" i="20"/>
  <c r="N76" i="32" s="1"/>
  <c r="L339" i="32"/>
  <c r="M9" i="24"/>
  <c r="E21" i="26"/>
  <c r="D22" i="26" s="1"/>
  <c r="P205" i="30"/>
  <c r="R205" i="30" s="1"/>
  <c r="P213" i="30"/>
  <c r="R213" i="30" s="1"/>
  <c r="P221" i="30"/>
  <c r="R221" i="30" s="1"/>
  <c r="P229" i="30"/>
  <c r="R229" i="30" s="1"/>
  <c r="P237" i="30"/>
  <c r="R237" i="30" s="1"/>
  <c r="P245" i="30"/>
  <c r="R245" i="30" s="1"/>
  <c r="P253" i="30"/>
  <c r="R253" i="30" s="1"/>
  <c r="P190" i="30"/>
  <c r="R190" i="30" s="1"/>
  <c r="P195" i="30"/>
  <c r="R195" i="30" s="1"/>
  <c r="P21" i="30"/>
  <c r="R21" i="30" s="1"/>
  <c r="P116" i="30"/>
  <c r="R116" i="30" s="1"/>
  <c r="P72" i="30"/>
  <c r="R72" i="30" s="1"/>
  <c r="P90" i="30"/>
  <c r="R90" i="30" s="1"/>
  <c r="P67" i="30"/>
  <c r="R67" i="30" s="1"/>
  <c r="P34" i="30"/>
  <c r="R34" i="30" s="1"/>
  <c r="P42" i="30"/>
  <c r="R42" i="30" s="1"/>
  <c r="P115" i="30"/>
  <c r="R115" i="30" s="1"/>
  <c r="P25" i="30"/>
  <c r="R25" i="30" s="1"/>
  <c r="P23" i="30"/>
  <c r="R23" i="30" s="1"/>
  <c r="P182" i="30"/>
  <c r="R182" i="30" s="1"/>
  <c r="P95" i="30"/>
  <c r="R95" i="30" s="1"/>
  <c r="P171" i="30"/>
  <c r="R171" i="30" s="1"/>
  <c r="P178" i="30"/>
  <c r="R178" i="30" s="1"/>
  <c r="P85" i="30"/>
  <c r="R85" i="30" s="1"/>
  <c r="P53" i="30"/>
  <c r="R53" i="30" s="1"/>
  <c r="P162" i="30"/>
  <c r="R162" i="30" s="1"/>
  <c r="P155" i="30"/>
  <c r="R155" i="30" s="1"/>
  <c r="P131" i="30"/>
  <c r="R131" i="30" s="1"/>
  <c r="P146" i="30"/>
  <c r="R146" i="30" s="1"/>
  <c r="P179" i="30"/>
  <c r="R179" i="30" s="1"/>
  <c r="F19" i="30"/>
  <c r="P227" i="30"/>
  <c r="R227" i="30" s="1"/>
  <c r="P114" i="30"/>
  <c r="R114" i="30" s="1"/>
  <c r="P102" i="30"/>
  <c r="R102" i="30" s="1"/>
  <c r="P184" i="30"/>
  <c r="R184" i="30" s="1"/>
  <c r="P117" i="30"/>
  <c r="R117" i="30" s="1"/>
  <c r="P187" i="30"/>
  <c r="R187" i="30" s="1"/>
  <c r="P206" i="30"/>
  <c r="R206" i="30" s="1"/>
  <c r="P214" i="30"/>
  <c r="R214" i="30" s="1"/>
  <c r="P222" i="30"/>
  <c r="R222" i="30" s="1"/>
  <c r="P230" i="30"/>
  <c r="R230" i="30" s="1"/>
  <c r="P238" i="30"/>
  <c r="R238" i="30" s="1"/>
  <c r="P246" i="30"/>
  <c r="R246" i="30" s="1"/>
  <c r="P254" i="30"/>
  <c r="R254" i="30" s="1"/>
  <c r="P192" i="30"/>
  <c r="R192" i="30" s="1"/>
  <c r="P197" i="30"/>
  <c r="R197" i="30" s="1"/>
  <c r="P44" i="30"/>
  <c r="R44" i="30" s="1"/>
  <c r="P43" i="30"/>
  <c r="R43" i="30" s="1"/>
  <c r="P106" i="30"/>
  <c r="R106" i="30" s="1"/>
  <c r="P82" i="30"/>
  <c r="R82" i="30" s="1"/>
  <c r="P70" i="30"/>
  <c r="R70" i="30" s="1"/>
  <c r="P98" i="30"/>
  <c r="R98" i="30" s="1"/>
  <c r="P20" i="30"/>
  <c r="R20" i="30" s="1"/>
  <c r="P22" i="30"/>
  <c r="R22" i="30" s="1"/>
  <c r="P89" i="30"/>
  <c r="R89" i="30" s="1"/>
  <c r="P26" i="30"/>
  <c r="R26" i="30" s="1"/>
  <c r="P33" i="30"/>
  <c r="R33" i="30" s="1"/>
  <c r="P111" i="30"/>
  <c r="R111" i="30" s="1"/>
  <c r="P174" i="30"/>
  <c r="R174" i="30" s="1"/>
  <c r="P79" i="30"/>
  <c r="R79" i="30" s="1"/>
  <c r="P134" i="30"/>
  <c r="R134" i="30" s="1"/>
  <c r="P164" i="30"/>
  <c r="R164" i="30" s="1"/>
  <c r="P158" i="30"/>
  <c r="R158" i="30" s="1"/>
  <c r="P143" i="30"/>
  <c r="R143" i="30" s="1"/>
  <c r="P186" i="30"/>
  <c r="R186" i="30" s="1"/>
  <c r="P166" i="30"/>
  <c r="R166" i="30" s="1"/>
  <c r="P170" i="30"/>
  <c r="R170" i="30" s="1"/>
  <c r="P133" i="30"/>
  <c r="R133" i="30" s="1"/>
  <c r="P191" i="30"/>
  <c r="R191" i="30" s="1"/>
  <c r="P57" i="30"/>
  <c r="R57" i="30" s="1"/>
  <c r="P100" i="30"/>
  <c r="R100" i="30" s="1"/>
  <c r="P71" i="30"/>
  <c r="R71" i="30" s="1"/>
  <c r="P29" i="30"/>
  <c r="R29" i="30" s="1"/>
  <c r="P199" i="30"/>
  <c r="R199" i="30" s="1"/>
  <c r="P207" i="30"/>
  <c r="R207" i="30" s="1"/>
  <c r="P215" i="30"/>
  <c r="R215" i="30" s="1"/>
  <c r="P223" i="30"/>
  <c r="R223" i="30" s="1"/>
  <c r="P231" i="30"/>
  <c r="R231" i="30" s="1"/>
  <c r="P239" i="30"/>
  <c r="R239" i="30" s="1"/>
  <c r="P247" i="30"/>
  <c r="R247" i="30" s="1"/>
  <c r="P255" i="30"/>
  <c r="R255" i="30" s="1"/>
  <c r="P194" i="30"/>
  <c r="R194" i="30" s="1"/>
  <c r="P108" i="30"/>
  <c r="R108" i="30" s="1"/>
  <c r="P66" i="30"/>
  <c r="R66" i="30" s="1"/>
  <c r="P124" i="30"/>
  <c r="R124" i="30" s="1"/>
  <c r="P24" i="30"/>
  <c r="R24" i="30" s="1"/>
  <c r="P77" i="30"/>
  <c r="R77" i="30" s="1"/>
  <c r="P58" i="30"/>
  <c r="R58" i="30" s="1"/>
  <c r="P65" i="30"/>
  <c r="R65" i="30" s="1"/>
  <c r="P86" i="30"/>
  <c r="R86" i="30" s="1"/>
  <c r="P40" i="30"/>
  <c r="R40" i="30" s="1"/>
  <c r="P73" i="30"/>
  <c r="R73" i="30" s="1"/>
  <c r="P160" i="30"/>
  <c r="R160" i="30" s="1"/>
  <c r="P46" i="30"/>
  <c r="R46" i="30" s="1"/>
  <c r="P118" i="30"/>
  <c r="R118" i="30" s="1"/>
  <c r="P62" i="30"/>
  <c r="R62" i="30" s="1"/>
  <c r="P151" i="30"/>
  <c r="R151" i="30" s="1"/>
  <c r="P104" i="30"/>
  <c r="R104" i="30" s="1"/>
  <c r="P120" i="30"/>
  <c r="R120" i="30" s="1"/>
  <c r="P149" i="30"/>
  <c r="R149" i="30" s="1"/>
  <c r="P37" i="30"/>
  <c r="R37" i="30" s="1"/>
  <c r="P181" i="30"/>
  <c r="R181" i="30" s="1"/>
  <c r="P183" i="30"/>
  <c r="R183" i="30" s="1"/>
  <c r="D19" i="30"/>
  <c r="P235" i="30"/>
  <c r="R235" i="30" s="1"/>
  <c r="P36" i="30"/>
  <c r="R36" i="30" s="1"/>
  <c r="P105" i="30"/>
  <c r="R105" i="30" s="1"/>
  <c r="P153" i="30"/>
  <c r="R153" i="30" s="1"/>
  <c r="P152" i="30"/>
  <c r="R152" i="30" s="1"/>
  <c r="P200" i="30"/>
  <c r="R200" i="30" s="1"/>
  <c r="P208" i="30"/>
  <c r="R208" i="30" s="1"/>
  <c r="P216" i="30"/>
  <c r="R216" i="30" s="1"/>
  <c r="P224" i="30"/>
  <c r="R224" i="30" s="1"/>
  <c r="P232" i="30"/>
  <c r="R232" i="30" s="1"/>
  <c r="P240" i="30"/>
  <c r="R240" i="30" s="1"/>
  <c r="P248" i="30"/>
  <c r="R248" i="30" s="1"/>
  <c r="P256" i="30"/>
  <c r="R256" i="30" s="1"/>
  <c r="P196" i="30"/>
  <c r="R196" i="30" s="1"/>
  <c r="P84" i="30"/>
  <c r="R84" i="30" s="1"/>
  <c r="P122" i="30"/>
  <c r="R122" i="30" s="1"/>
  <c r="P99" i="30"/>
  <c r="R99" i="30" s="1"/>
  <c r="P74" i="30"/>
  <c r="R74" i="30" s="1"/>
  <c r="P112" i="30"/>
  <c r="R112" i="30" s="1"/>
  <c r="P113" i="30"/>
  <c r="R113" i="30" s="1"/>
  <c r="P48" i="30"/>
  <c r="R48" i="30" s="1"/>
  <c r="P176" i="30"/>
  <c r="R176" i="30" s="1"/>
  <c r="P31" i="30"/>
  <c r="R31" i="30" s="1"/>
  <c r="P54" i="30"/>
  <c r="R54" i="30" s="1"/>
  <c r="P64" i="30"/>
  <c r="R64" i="30" s="1"/>
  <c r="P110" i="30"/>
  <c r="R110" i="30" s="1"/>
  <c r="P144" i="30"/>
  <c r="R144" i="30" s="1"/>
  <c r="P126" i="30"/>
  <c r="R126" i="30" s="1"/>
  <c r="P150" i="30"/>
  <c r="R150" i="30" s="1"/>
  <c r="P69" i="30"/>
  <c r="R69" i="30" s="1"/>
  <c r="P96" i="30"/>
  <c r="R96" i="30" s="1"/>
  <c r="P165" i="30"/>
  <c r="R165" i="30" s="1"/>
  <c r="P147" i="30"/>
  <c r="R147" i="30" s="1"/>
  <c r="P128" i="30"/>
  <c r="R128" i="30" s="1"/>
  <c r="P129" i="30"/>
  <c r="R129" i="30" s="1"/>
  <c r="P219" i="30"/>
  <c r="R219" i="30" s="1"/>
  <c r="P125" i="30"/>
  <c r="R125" i="30" s="1"/>
  <c r="P201" i="30"/>
  <c r="R201" i="30" s="1"/>
  <c r="P209" i="30"/>
  <c r="R209" i="30" s="1"/>
  <c r="P217" i="30"/>
  <c r="R217" i="30" s="1"/>
  <c r="P225" i="30"/>
  <c r="R225" i="30" s="1"/>
  <c r="P233" i="30"/>
  <c r="R233" i="30" s="1"/>
  <c r="P241" i="30"/>
  <c r="R241" i="30" s="1"/>
  <c r="P249" i="30"/>
  <c r="R249" i="30" s="1"/>
  <c r="P257" i="30"/>
  <c r="R257" i="30" s="1"/>
  <c r="P198" i="30"/>
  <c r="R198" i="30" s="1"/>
  <c r="P75" i="30"/>
  <c r="R75" i="30" s="1"/>
  <c r="P49" i="30"/>
  <c r="R49" i="30" s="1"/>
  <c r="P51" i="30"/>
  <c r="R51" i="30" s="1"/>
  <c r="P97" i="30"/>
  <c r="R97" i="30" s="1"/>
  <c r="P87" i="30"/>
  <c r="R87" i="30" s="1"/>
  <c r="P32" i="30"/>
  <c r="R32" i="30" s="1"/>
  <c r="P63" i="30"/>
  <c r="R63" i="30" s="1"/>
  <c r="P80" i="30"/>
  <c r="R80" i="30" s="1"/>
  <c r="P83" i="30"/>
  <c r="R83" i="30" s="1"/>
  <c r="P137" i="30"/>
  <c r="R137" i="30" s="1"/>
  <c r="P103" i="30"/>
  <c r="R103" i="30" s="1"/>
  <c r="P177" i="30"/>
  <c r="R177" i="30" s="1"/>
  <c r="P119" i="30"/>
  <c r="R119" i="30" s="1"/>
  <c r="P145" i="30"/>
  <c r="R145" i="30" s="1"/>
  <c r="P93" i="30"/>
  <c r="R93" i="30" s="1"/>
  <c r="P47" i="30"/>
  <c r="R47" i="30" s="1"/>
  <c r="P167" i="30"/>
  <c r="R167" i="30" s="1"/>
  <c r="P142" i="30"/>
  <c r="R142" i="30" s="1"/>
  <c r="P138" i="30"/>
  <c r="R138" i="30" s="1"/>
  <c r="P163" i="30"/>
  <c r="R163" i="30" s="1"/>
  <c r="P141" i="30"/>
  <c r="R141" i="30" s="1"/>
  <c r="P211" i="30"/>
  <c r="R211" i="30" s="1"/>
  <c r="P251" i="30"/>
  <c r="R251" i="30" s="1"/>
  <c r="P52" i="30"/>
  <c r="R52" i="30" s="1"/>
  <c r="P18" i="30"/>
  <c r="R18" i="30" s="1"/>
  <c r="P159" i="30"/>
  <c r="R159" i="30" s="1"/>
  <c r="P180" i="30"/>
  <c r="R180" i="30" s="1"/>
  <c r="P202" i="30"/>
  <c r="R202" i="30" s="1"/>
  <c r="P210" i="30"/>
  <c r="R210" i="30" s="1"/>
  <c r="P218" i="30"/>
  <c r="R218" i="30" s="1"/>
  <c r="P226" i="30"/>
  <c r="R226" i="30" s="1"/>
  <c r="P234" i="30"/>
  <c r="R234" i="30" s="1"/>
  <c r="P242" i="30"/>
  <c r="R242" i="30" s="1"/>
  <c r="P250" i="30"/>
  <c r="R250" i="30" s="1"/>
  <c r="P258" i="30"/>
  <c r="R258" i="30" s="1"/>
  <c r="P189" i="30"/>
  <c r="R189" i="30" s="1"/>
  <c r="P27" i="30"/>
  <c r="R27" i="30" s="1"/>
  <c r="P56" i="30"/>
  <c r="R56" i="30" s="1"/>
  <c r="P59" i="30"/>
  <c r="R59" i="30" s="1"/>
  <c r="P92" i="30"/>
  <c r="R92" i="30" s="1"/>
  <c r="P127" i="30"/>
  <c r="R127" i="30" s="1"/>
  <c r="P50" i="30"/>
  <c r="R50" i="30" s="1"/>
  <c r="P60" i="30"/>
  <c r="R60" i="30" s="1"/>
  <c r="P55" i="30"/>
  <c r="R55" i="30" s="1"/>
  <c r="P38" i="30"/>
  <c r="R38" i="30" s="1"/>
  <c r="P136" i="30"/>
  <c r="R136" i="30" s="1"/>
  <c r="P135" i="30"/>
  <c r="R135" i="30" s="1"/>
  <c r="P130" i="30"/>
  <c r="R130" i="30" s="1"/>
  <c r="P169" i="30"/>
  <c r="R169" i="30" s="1"/>
  <c r="P185" i="30"/>
  <c r="R185" i="30" s="1"/>
  <c r="P81" i="30"/>
  <c r="R81" i="30" s="1"/>
  <c r="P78" i="30"/>
  <c r="R78" i="30" s="1"/>
  <c r="P140" i="30"/>
  <c r="R140" i="30" s="1"/>
  <c r="P132" i="30"/>
  <c r="R132" i="30" s="1"/>
  <c r="P45" i="30"/>
  <c r="R45" i="30" s="1"/>
  <c r="P154" i="30"/>
  <c r="R154" i="30" s="1"/>
  <c r="P109" i="30"/>
  <c r="R109" i="30" s="1"/>
  <c r="P243" i="30"/>
  <c r="R243" i="30" s="1"/>
  <c r="P123" i="30"/>
  <c r="R123" i="30" s="1"/>
  <c r="P30" i="30"/>
  <c r="R30" i="30" s="1"/>
  <c r="P168" i="30"/>
  <c r="R168" i="30" s="1"/>
  <c r="R14" i="30"/>
  <c r="P204" i="30"/>
  <c r="R204" i="30" s="1"/>
  <c r="P212" i="30"/>
  <c r="R212" i="30" s="1"/>
  <c r="P220" i="30"/>
  <c r="R220" i="30" s="1"/>
  <c r="P228" i="30"/>
  <c r="R228" i="30" s="1"/>
  <c r="P236" i="30"/>
  <c r="R236" i="30" s="1"/>
  <c r="P244" i="30"/>
  <c r="R244" i="30" s="1"/>
  <c r="P252" i="30"/>
  <c r="R252" i="30" s="1"/>
  <c r="P188" i="30"/>
  <c r="R188" i="30" s="1"/>
  <c r="P193" i="30"/>
  <c r="R193" i="30" s="1"/>
  <c r="P76" i="30"/>
  <c r="R76" i="30" s="1"/>
  <c r="P107" i="30"/>
  <c r="R107" i="30" s="1"/>
  <c r="P41" i="30"/>
  <c r="R41" i="30" s="1"/>
  <c r="P91" i="30"/>
  <c r="R91" i="30" s="1"/>
  <c r="P121" i="30"/>
  <c r="R121" i="30" s="1"/>
  <c r="P68" i="30"/>
  <c r="R68" i="30" s="1"/>
  <c r="P88" i="30"/>
  <c r="R88" i="30" s="1"/>
  <c r="P35" i="30"/>
  <c r="R35" i="30" s="1"/>
  <c r="P28" i="30"/>
  <c r="R28" i="30" s="1"/>
  <c r="P161" i="30"/>
  <c r="R161" i="30" s="1"/>
  <c r="P94" i="30"/>
  <c r="R94" i="30" s="1"/>
  <c r="P19" i="30"/>
  <c r="R19" i="30" s="1"/>
  <c r="P101" i="30"/>
  <c r="R101" i="30" s="1"/>
  <c r="P61" i="30"/>
  <c r="R61" i="30" s="1"/>
  <c r="P148" i="30"/>
  <c r="R148" i="30" s="1"/>
  <c r="P39" i="30"/>
  <c r="R39" i="30" s="1"/>
  <c r="P172" i="30"/>
  <c r="R172" i="30" s="1"/>
  <c r="P139" i="30"/>
  <c r="R139" i="30" s="1"/>
  <c r="P173" i="30"/>
  <c r="R173" i="30" s="1"/>
  <c r="P156" i="30"/>
  <c r="R156" i="30" s="1"/>
  <c r="P157" i="30"/>
  <c r="R157" i="30" s="1"/>
  <c r="P175" i="30"/>
  <c r="R175" i="30" s="1"/>
  <c r="P203" i="30"/>
  <c r="R203" i="30" s="1"/>
  <c r="E22" i="27"/>
  <c r="AA22" i="26"/>
  <c r="Z22" i="26" s="1"/>
  <c r="P22" i="26" s="1"/>
  <c r="R22" i="26" s="1"/>
  <c r="C22" i="28"/>
  <c r="R18" i="25"/>
  <c r="N14" i="25"/>
  <c r="E19" i="30" l="1"/>
  <c r="D20" i="30" s="1"/>
  <c r="E19" i="25"/>
  <c r="F44" i="17" s="1"/>
  <c r="R13" i="25"/>
  <c r="R15" i="25" s="1"/>
  <c r="S15" i="25" s="1"/>
  <c r="F22" i="29"/>
  <c r="E22" i="29" s="1"/>
  <c r="I368" i="32"/>
  <c r="E62" i="23"/>
  <c r="F62" i="23" s="1"/>
  <c r="G21" i="23" s="1"/>
  <c r="K368" i="32" s="1"/>
  <c r="I28" i="19"/>
  <c r="F21" i="19"/>
  <c r="F22" i="26"/>
  <c r="AB22" i="26"/>
  <c r="T22" i="28"/>
  <c r="E22" i="28"/>
  <c r="R13" i="30"/>
  <c r="R15" i="30" s="1"/>
  <c r="C22" i="26"/>
  <c r="F23" i="27"/>
  <c r="D23" i="27"/>
  <c r="C23" i="27" s="1"/>
  <c r="F20" i="30"/>
  <c r="D20" i="25" l="1"/>
  <c r="F20" i="25"/>
  <c r="D23" i="29"/>
  <c r="F23" i="29"/>
  <c r="F23" i="28"/>
  <c r="D23" i="28"/>
  <c r="C23" i="28" s="1"/>
  <c r="T23" i="28" s="1"/>
  <c r="E20" i="30"/>
  <c r="AA23" i="26"/>
  <c r="Z23" i="26" s="1"/>
  <c r="P23" i="26" s="1"/>
  <c r="R23" i="26" s="1"/>
  <c r="E23" i="27"/>
  <c r="P23" i="27"/>
  <c r="R23" i="27" s="1"/>
  <c r="I22" i="26"/>
  <c r="U22" i="26"/>
  <c r="E22" i="26"/>
  <c r="E23" i="29" l="1"/>
  <c r="D24" i="29" s="1"/>
  <c r="E20" i="25"/>
  <c r="F45" i="17" s="1"/>
  <c r="F24" i="29"/>
  <c r="V22" i="26"/>
  <c r="F21" i="30"/>
  <c r="D21" i="30"/>
  <c r="F24" i="27"/>
  <c r="D24" i="27"/>
  <c r="C24" i="27" s="1"/>
  <c r="P24" i="27" s="1"/>
  <c r="R24" i="27" s="1"/>
  <c r="E23" i="28"/>
  <c r="F23" i="26"/>
  <c r="D23" i="26"/>
  <c r="AB23" i="26"/>
  <c r="F21" i="25" l="1"/>
  <c r="D21" i="25"/>
  <c r="E24" i="29"/>
  <c r="F25" i="29" s="1"/>
  <c r="E21" i="30"/>
  <c r="D22" i="30" s="1"/>
  <c r="C23" i="30"/>
  <c r="C24" i="30"/>
  <c r="C23" i="26"/>
  <c r="D24" i="28"/>
  <c r="C24" i="28" s="1"/>
  <c r="T24" i="28" s="1"/>
  <c r="F24" i="28"/>
  <c r="E24" i="27"/>
  <c r="AA24" i="26"/>
  <c r="Z24" i="26" s="1"/>
  <c r="P24" i="26" s="1"/>
  <c r="R24" i="26" s="1"/>
  <c r="E21" i="25" l="1"/>
  <c r="F46" i="17" s="1"/>
  <c r="D25" i="29"/>
  <c r="E25" i="29" s="1"/>
  <c r="C22" i="30"/>
  <c r="F22" i="30"/>
  <c r="E24" i="28"/>
  <c r="F25" i="28" s="1"/>
  <c r="AB24" i="26"/>
  <c r="D25" i="27"/>
  <c r="C25" i="27" s="1"/>
  <c r="P25" i="27" s="1"/>
  <c r="R25" i="27" s="1"/>
  <c r="F25" i="27"/>
  <c r="I23" i="26"/>
  <c r="U23" i="26"/>
  <c r="E23" i="26"/>
  <c r="F22" i="25" l="1"/>
  <c r="G47" i="17" s="1"/>
  <c r="O47" i="17" s="1"/>
  <c r="D22" i="25"/>
  <c r="E47" i="17" s="1"/>
  <c r="F26" i="29"/>
  <c r="E26" i="29"/>
  <c r="E27" i="29" s="1"/>
  <c r="E28" i="29" s="1"/>
  <c r="D26" i="29"/>
  <c r="D25" i="28"/>
  <c r="T22" i="30"/>
  <c r="E22" i="30"/>
  <c r="E25" i="27"/>
  <c r="V23" i="26"/>
  <c r="D24" i="26"/>
  <c r="F24" i="26"/>
  <c r="AA25" i="26"/>
  <c r="Z25" i="26" s="1"/>
  <c r="P25" i="26" s="1"/>
  <c r="R25" i="26" s="1"/>
  <c r="F28" i="29" l="1"/>
  <c r="D27" i="29"/>
  <c r="D28" i="29"/>
  <c r="F27" i="29"/>
  <c r="F23" i="30"/>
  <c r="D23" i="30"/>
  <c r="T23" i="30" s="1"/>
  <c r="E29" i="29"/>
  <c r="F29" i="29"/>
  <c r="D29" i="29"/>
  <c r="AB25" i="26"/>
  <c r="C24" i="26"/>
  <c r="F26" i="27"/>
  <c r="D26" i="27"/>
  <c r="C26" i="27" s="1"/>
  <c r="P26" i="27" s="1"/>
  <c r="R26" i="27" s="1"/>
  <c r="E23" i="30" l="1"/>
  <c r="D24" i="30" s="1"/>
  <c r="T24" i="30" s="1"/>
  <c r="AA26" i="26"/>
  <c r="Z26" i="26" s="1"/>
  <c r="P26" i="26" s="1"/>
  <c r="R26" i="26" s="1"/>
  <c r="I24" i="26"/>
  <c r="U24" i="26"/>
  <c r="E24" i="26"/>
  <c r="E26" i="27"/>
  <c r="D30" i="29"/>
  <c r="E30" i="29"/>
  <c r="F30" i="29"/>
  <c r="F24" i="30" l="1"/>
  <c r="E24" i="30" s="1"/>
  <c r="F12" i="28" a="1"/>
  <c r="F12" i="28" s="1"/>
  <c r="I12" i="28" a="1"/>
  <c r="I12" i="28" s="1"/>
  <c r="C25" i="28" s="1"/>
  <c r="C25" i="30"/>
  <c r="AB26" i="26"/>
  <c r="D27" i="27"/>
  <c r="C27" i="27" s="1"/>
  <c r="P27" i="27" s="1"/>
  <c r="R27" i="27" s="1"/>
  <c r="F27" i="27"/>
  <c r="V24" i="26"/>
  <c r="F31" i="29"/>
  <c r="D31" i="29"/>
  <c r="E31" i="29"/>
  <c r="D25" i="26"/>
  <c r="F25" i="26"/>
  <c r="T25" i="28" l="1"/>
  <c r="E25" i="28"/>
  <c r="D25" i="30"/>
  <c r="F25" i="30"/>
  <c r="C300" i="28"/>
  <c r="T300" i="28" s="1"/>
  <c r="C305" i="28"/>
  <c r="T305" i="28" s="1"/>
  <c r="C287" i="28"/>
  <c r="T287" i="28" s="1"/>
  <c r="C283" i="28"/>
  <c r="T283" i="28" s="1"/>
  <c r="C327" i="28"/>
  <c r="T327" i="28" s="1"/>
  <c r="C290" i="28"/>
  <c r="T290" i="28" s="1"/>
  <c r="C267" i="28"/>
  <c r="T267" i="28" s="1"/>
  <c r="C278" i="28"/>
  <c r="T278" i="28" s="1"/>
  <c r="C320" i="28"/>
  <c r="T320" i="28" s="1"/>
  <c r="C312" i="28"/>
  <c r="T312" i="28" s="1"/>
  <c r="C295" i="28"/>
  <c r="T295" i="28" s="1"/>
  <c r="C306" i="28"/>
  <c r="T306" i="28" s="1"/>
  <c r="C263" i="28"/>
  <c r="T263" i="28" s="1"/>
  <c r="C282" i="28"/>
  <c r="T282" i="28" s="1"/>
  <c r="C325" i="28"/>
  <c r="T325" i="28" s="1"/>
  <c r="C329" i="28"/>
  <c r="T329" i="28" s="1"/>
  <c r="C262" i="28"/>
  <c r="T262" i="28" s="1"/>
  <c r="C311" i="28"/>
  <c r="T311" i="28" s="1"/>
  <c r="C275" i="28"/>
  <c r="T275" i="28" s="1"/>
  <c r="C274" i="28"/>
  <c r="T274" i="28" s="1"/>
  <c r="C281" i="28"/>
  <c r="T281" i="28" s="1"/>
  <c r="C303" i="28"/>
  <c r="T303" i="28" s="1"/>
  <c r="C273" i="28"/>
  <c r="T273" i="28" s="1"/>
  <c r="C318" i="28"/>
  <c r="T318" i="28" s="1"/>
  <c r="C268" i="28"/>
  <c r="T268" i="28" s="1"/>
  <c r="C276" i="28"/>
  <c r="T276" i="28" s="1"/>
  <c r="C297" i="28"/>
  <c r="T297" i="28" s="1"/>
  <c r="C331" i="28"/>
  <c r="T331" i="28" s="1"/>
  <c r="C315" i="28"/>
  <c r="T315" i="28" s="1"/>
  <c r="C319" i="28"/>
  <c r="T319" i="28" s="1"/>
  <c r="C326" i="28"/>
  <c r="T326" i="28" s="1"/>
  <c r="C260" i="28"/>
  <c r="T260" i="28" s="1"/>
  <c r="C277" i="28"/>
  <c r="T277" i="28" s="1"/>
  <c r="C302" i="28"/>
  <c r="T302" i="28" s="1"/>
  <c r="C296" i="28"/>
  <c r="T296" i="28" s="1"/>
  <c r="C317" i="28"/>
  <c r="T317" i="28" s="1"/>
  <c r="C309" i="28"/>
  <c r="T309" i="28" s="1"/>
  <c r="C266" i="28"/>
  <c r="T266" i="28" s="1"/>
  <c r="C285" i="28"/>
  <c r="T285" i="28" s="1"/>
  <c r="C324" i="28"/>
  <c r="T324" i="28" s="1"/>
  <c r="C279" i="28"/>
  <c r="T279" i="28" s="1"/>
  <c r="C314" i="28"/>
  <c r="T314" i="28" s="1"/>
  <c r="C288" i="28"/>
  <c r="T288" i="28" s="1"/>
  <c r="C339" i="28"/>
  <c r="T339" i="28" s="1"/>
  <c r="C308" i="28"/>
  <c r="T308" i="28" s="1"/>
  <c r="C271" i="28"/>
  <c r="T271" i="28" s="1"/>
  <c r="C272" i="28"/>
  <c r="T272" i="28" s="1"/>
  <c r="C270" i="28"/>
  <c r="T270" i="28" s="1"/>
  <c r="C321" i="28"/>
  <c r="T321" i="28" s="1"/>
  <c r="C299" i="28"/>
  <c r="T299" i="28" s="1"/>
  <c r="C264" i="28"/>
  <c r="T264" i="28" s="1"/>
  <c r="C333" i="28"/>
  <c r="T333" i="28" s="1"/>
  <c r="C310" i="28"/>
  <c r="T310" i="28" s="1"/>
  <c r="C336" i="28"/>
  <c r="T336" i="28" s="1"/>
  <c r="C265" i="28"/>
  <c r="T265" i="28" s="1"/>
  <c r="C294" i="28"/>
  <c r="T294" i="28" s="1"/>
  <c r="C301" i="28"/>
  <c r="T301" i="28" s="1"/>
  <c r="C280" i="28"/>
  <c r="T280" i="28" s="1"/>
  <c r="C286" i="28"/>
  <c r="T286" i="28" s="1"/>
  <c r="C323" i="28"/>
  <c r="T323" i="28" s="1"/>
  <c r="C293" i="28"/>
  <c r="T293" i="28" s="1"/>
  <c r="C338" i="28"/>
  <c r="T338" i="28" s="1"/>
  <c r="C337" i="28"/>
  <c r="T337" i="28" s="1"/>
  <c r="C313" i="28"/>
  <c r="T313" i="28" s="1"/>
  <c r="C328" i="28"/>
  <c r="T328" i="28" s="1"/>
  <c r="C284" i="28"/>
  <c r="T284" i="28" s="1"/>
  <c r="C292" i="28"/>
  <c r="T292" i="28" s="1"/>
  <c r="C334" i="28"/>
  <c r="T334" i="28" s="1"/>
  <c r="C332" i="28"/>
  <c r="T332" i="28" s="1"/>
  <c r="C307" i="28"/>
  <c r="T307" i="28" s="1"/>
  <c r="C291" i="28"/>
  <c r="T291" i="28" s="1"/>
  <c r="C335" i="28"/>
  <c r="T335" i="28" s="1"/>
  <c r="C316" i="28"/>
  <c r="T316" i="28" s="1"/>
  <c r="C269" i="28"/>
  <c r="T269" i="28" s="1"/>
  <c r="C289" i="28"/>
  <c r="T289" i="28" s="1"/>
  <c r="C298" i="28"/>
  <c r="T298" i="28" s="1"/>
  <c r="C330" i="28"/>
  <c r="T330" i="28" s="1"/>
  <c r="C261" i="28"/>
  <c r="T261" i="28" s="1"/>
  <c r="C304" i="28"/>
  <c r="T304" i="28" s="1"/>
  <c r="C322" i="28"/>
  <c r="T322" i="28" s="1"/>
  <c r="T25" i="30"/>
  <c r="E27" i="27"/>
  <c r="E32" i="29"/>
  <c r="F32" i="29"/>
  <c r="D32" i="29"/>
  <c r="AA27" i="26"/>
  <c r="Z27" i="26" s="1"/>
  <c r="P27" i="26" s="1"/>
  <c r="R27" i="26" s="1"/>
  <c r="D26" i="28" l="1"/>
  <c r="C26" i="28" s="1"/>
  <c r="F26" i="28"/>
  <c r="E25" i="30"/>
  <c r="D26" i="30" s="1"/>
  <c r="C259" i="30"/>
  <c r="C151" i="30"/>
  <c r="C39" i="30"/>
  <c r="C216" i="30"/>
  <c r="C101" i="30"/>
  <c r="C65" i="30"/>
  <c r="C61" i="30"/>
  <c r="C53" i="30"/>
  <c r="C165" i="30"/>
  <c r="C155" i="30"/>
  <c r="C129" i="30"/>
  <c r="C36" i="30"/>
  <c r="C192" i="30"/>
  <c r="C110" i="30"/>
  <c r="C118" i="30"/>
  <c r="C254" i="30"/>
  <c r="C45" i="30"/>
  <c r="C120" i="30"/>
  <c r="C145" i="30"/>
  <c r="C157" i="30"/>
  <c r="C150" i="30"/>
  <c r="C72" i="30"/>
  <c r="C67" i="30"/>
  <c r="C160" i="30"/>
  <c r="C195" i="30"/>
  <c r="C212" i="30"/>
  <c r="C27" i="30"/>
  <c r="C40" i="30"/>
  <c r="C208" i="30"/>
  <c r="C219" i="30"/>
  <c r="C130" i="30"/>
  <c r="C37" i="30"/>
  <c r="C76" i="30"/>
  <c r="C105" i="30"/>
  <c r="C228" i="30"/>
  <c r="C50" i="30"/>
  <c r="C238" i="30"/>
  <c r="C240" i="30"/>
  <c r="C124" i="30"/>
  <c r="C57" i="30"/>
  <c r="C206" i="30"/>
  <c r="C79" i="30"/>
  <c r="C203" i="30"/>
  <c r="C167" i="30"/>
  <c r="C181" i="30"/>
  <c r="C80" i="30"/>
  <c r="C106" i="30"/>
  <c r="C94" i="30"/>
  <c r="C162" i="30"/>
  <c r="C41" i="30"/>
  <c r="C225" i="30"/>
  <c r="C213" i="30"/>
  <c r="C184" i="30"/>
  <c r="C161" i="30"/>
  <c r="C58" i="30"/>
  <c r="C183" i="30"/>
  <c r="C242" i="30"/>
  <c r="C47" i="30"/>
  <c r="C246" i="30"/>
  <c r="C62" i="30"/>
  <c r="C46" i="30"/>
  <c r="C102" i="30"/>
  <c r="C255" i="30"/>
  <c r="C187" i="30"/>
  <c r="C159" i="30"/>
  <c r="C134" i="30"/>
  <c r="C189" i="30"/>
  <c r="C201" i="30"/>
  <c r="C30" i="30"/>
  <c r="C121" i="30"/>
  <c r="C33" i="30"/>
  <c r="C111" i="30"/>
  <c r="C43" i="30"/>
  <c r="C104" i="30"/>
  <c r="C172" i="30"/>
  <c r="C217" i="30"/>
  <c r="C205" i="30"/>
  <c r="C44" i="30"/>
  <c r="C99" i="30"/>
  <c r="C223" i="30"/>
  <c r="C71" i="30"/>
  <c r="C35" i="30"/>
  <c r="C171" i="30"/>
  <c r="C28" i="30"/>
  <c r="C85" i="30"/>
  <c r="C59" i="30"/>
  <c r="C84" i="30"/>
  <c r="C132" i="30"/>
  <c r="C29" i="30"/>
  <c r="C199" i="30"/>
  <c r="C73" i="30"/>
  <c r="C244" i="30"/>
  <c r="C128" i="30"/>
  <c r="C186" i="30"/>
  <c r="C210" i="30"/>
  <c r="C178" i="30"/>
  <c r="C215" i="30"/>
  <c r="C135" i="30"/>
  <c r="C156" i="30"/>
  <c r="C148" i="30"/>
  <c r="C146" i="30"/>
  <c r="C251" i="30"/>
  <c r="C95" i="30"/>
  <c r="C69" i="30"/>
  <c r="C32" i="30"/>
  <c r="C144" i="30"/>
  <c r="C224" i="30"/>
  <c r="C236" i="30"/>
  <c r="C140" i="30"/>
  <c r="C137" i="30"/>
  <c r="C87" i="30"/>
  <c r="C249" i="30"/>
  <c r="C68" i="30"/>
  <c r="C142" i="30"/>
  <c r="C170" i="30"/>
  <c r="C258" i="30"/>
  <c r="C239" i="30"/>
  <c r="C81" i="30"/>
  <c r="C175" i="30"/>
  <c r="C190" i="30"/>
  <c r="C241" i="30"/>
  <c r="C97" i="30"/>
  <c r="C207" i="30"/>
  <c r="C211" i="30"/>
  <c r="C100" i="30"/>
  <c r="C34" i="30"/>
  <c r="C64" i="30"/>
  <c r="C86" i="30"/>
  <c r="C66" i="30"/>
  <c r="C49" i="30"/>
  <c r="C78" i="30"/>
  <c r="C96" i="30"/>
  <c r="C197" i="30"/>
  <c r="C56" i="30"/>
  <c r="C126" i="30"/>
  <c r="C229" i="30"/>
  <c r="C243" i="30"/>
  <c r="C209" i="30"/>
  <c r="C31" i="30"/>
  <c r="C166" i="30"/>
  <c r="C60" i="30"/>
  <c r="C226" i="30"/>
  <c r="C55" i="30"/>
  <c r="C90" i="30"/>
  <c r="C230" i="30"/>
  <c r="C235" i="30"/>
  <c r="C221" i="30"/>
  <c r="C141" i="30"/>
  <c r="C185" i="30"/>
  <c r="C247" i="30"/>
  <c r="C38" i="30"/>
  <c r="C103" i="30"/>
  <c r="C98" i="30"/>
  <c r="C248" i="30"/>
  <c r="C91" i="30"/>
  <c r="C245" i="30"/>
  <c r="C112" i="30"/>
  <c r="C193" i="30"/>
  <c r="C202" i="30"/>
  <c r="C123" i="30"/>
  <c r="C125" i="30"/>
  <c r="C176" i="30"/>
  <c r="C149" i="30"/>
  <c r="C253" i="30"/>
  <c r="C168" i="30"/>
  <c r="C131" i="30"/>
  <c r="C218" i="30"/>
  <c r="C115" i="30"/>
  <c r="C92" i="30"/>
  <c r="C82" i="30"/>
  <c r="C164" i="30"/>
  <c r="C174" i="30"/>
  <c r="C48" i="30"/>
  <c r="C107" i="30"/>
  <c r="C127" i="30"/>
  <c r="C75" i="30"/>
  <c r="C139" i="30"/>
  <c r="C227" i="30"/>
  <c r="C231" i="30"/>
  <c r="C182" i="30"/>
  <c r="C108" i="30"/>
  <c r="C257" i="30"/>
  <c r="C70" i="30"/>
  <c r="C204" i="30"/>
  <c r="C143" i="30"/>
  <c r="C116" i="30"/>
  <c r="C52" i="30"/>
  <c r="C147" i="30"/>
  <c r="C122" i="30"/>
  <c r="C114" i="30"/>
  <c r="C252" i="30"/>
  <c r="C93" i="30"/>
  <c r="C63" i="30"/>
  <c r="C196" i="30"/>
  <c r="C214" i="30"/>
  <c r="C74" i="30"/>
  <c r="C51" i="30"/>
  <c r="C198" i="30"/>
  <c r="C169" i="30"/>
  <c r="C138" i="30"/>
  <c r="C152" i="30"/>
  <c r="C180" i="30"/>
  <c r="C233" i="30"/>
  <c r="C109" i="30"/>
  <c r="C177" i="30"/>
  <c r="C250" i="30"/>
  <c r="C89" i="30"/>
  <c r="C191" i="30"/>
  <c r="C54" i="30"/>
  <c r="C194" i="30"/>
  <c r="C83" i="30"/>
  <c r="C200" i="30"/>
  <c r="C237" i="30"/>
  <c r="C88" i="30"/>
  <c r="C77" i="30"/>
  <c r="C163" i="30"/>
  <c r="C234" i="30"/>
  <c r="C158" i="30"/>
  <c r="C119" i="30"/>
  <c r="C173" i="30"/>
  <c r="C256" i="30"/>
  <c r="C136" i="30"/>
  <c r="C133" i="30"/>
  <c r="C42" i="30"/>
  <c r="C220" i="30"/>
  <c r="C222" i="30"/>
  <c r="C117" i="30"/>
  <c r="C154" i="30"/>
  <c r="C232" i="30"/>
  <c r="C113" i="30"/>
  <c r="C153" i="30"/>
  <c r="C179" i="30"/>
  <c r="C188" i="30"/>
  <c r="C26" i="30"/>
  <c r="E26" i="30" s="1"/>
  <c r="F27" i="30" s="1"/>
  <c r="F28" i="27"/>
  <c r="D28" i="27"/>
  <c r="C28" i="27" s="1"/>
  <c r="P28" i="27" s="1"/>
  <c r="R28" i="27" s="1"/>
  <c r="AB27" i="26"/>
  <c r="E33" i="29"/>
  <c r="D33" i="29"/>
  <c r="F33" i="29"/>
  <c r="T26" i="28" l="1"/>
  <c r="E26" i="28"/>
  <c r="F26" i="30"/>
  <c r="D27" i="30"/>
  <c r="T27" i="30" s="1"/>
  <c r="E27" i="30"/>
  <c r="D28" i="30" s="1"/>
  <c r="T28" i="30" s="1"/>
  <c r="T26" i="30"/>
  <c r="F28" i="30"/>
  <c r="AA28" i="26"/>
  <c r="Z28" i="26" s="1"/>
  <c r="P28" i="26" s="1"/>
  <c r="R28" i="26" s="1"/>
  <c r="E34" i="29"/>
  <c r="F34" i="29"/>
  <c r="D34" i="29"/>
  <c r="E28" i="27"/>
  <c r="F27" i="28" l="1"/>
  <c r="D27" i="28"/>
  <c r="C27" i="28" s="1"/>
  <c r="E28" i="30"/>
  <c r="E29" i="30" s="1"/>
  <c r="D29" i="27"/>
  <c r="C29" i="27" s="1"/>
  <c r="P29" i="27" s="1"/>
  <c r="R29" i="27" s="1"/>
  <c r="F29" i="27"/>
  <c r="D35" i="29"/>
  <c r="E35" i="29"/>
  <c r="F35" i="29"/>
  <c r="AB28" i="26"/>
  <c r="T27" i="28" l="1"/>
  <c r="E27" i="28"/>
  <c r="F29" i="30"/>
  <c r="D29" i="30"/>
  <c r="T29" i="30" s="1"/>
  <c r="D30" i="30"/>
  <c r="T30" i="30" s="1"/>
  <c r="E30" i="30"/>
  <c r="F30" i="30"/>
  <c r="AA29" i="26"/>
  <c r="Z29" i="26" s="1"/>
  <c r="P29" i="26" s="1"/>
  <c r="R29" i="26" s="1"/>
  <c r="E29" i="27"/>
  <c r="D36" i="29"/>
  <c r="F36" i="29"/>
  <c r="E36" i="29"/>
  <c r="D28" i="28" l="1"/>
  <c r="C28" i="28" s="1"/>
  <c r="F28" i="28"/>
  <c r="D31" i="30"/>
  <c r="T31" i="30" s="1"/>
  <c r="E31" i="30"/>
  <c r="F31" i="30"/>
  <c r="F30" i="27"/>
  <c r="D30" i="27"/>
  <c r="C30" i="27" s="1"/>
  <c r="P30" i="27" s="1"/>
  <c r="R30" i="27" s="1"/>
  <c r="E37" i="29"/>
  <c r="D37" i="29"/>
  <c r="F37" i="29"/>
  <c r="AB29" i="26"/>
  <c r="T28" i="28" l="1"/>
  <c r="E28" i="28"/>
  <c r="F32" i="30"/>
  <c r="D32" i="30"/>
  <c r="T32" i="30" s="1"/>
  <c r="E32" i="30"/>
  <c r="E30" i="27"/>
  <c r="E38" i="29"/>
  <c r="D38" i="29"/>
  <c r="F38" i="29"/>
  <c r="AA30" i="26"/>
  <c r="Z30" i="26" s="1"/>
  <c r="P30" i="26" s="1"/>
  <c r="R30" i="26" s="1"/>
  <c r="D29" i="28" l="1"/>
  <c r="C29" i="28" s="1"/>
  <c r="T29" i="28" s="1"/>
  <c r="F29" i="28"/>
  <c r="F33" i="30"/>
  <c r="E33" i="30"/>
  <c r="D33" i="30"/>
  <c r="T33" i="30" s="1"/>
  <c r="D39" i="29"/>
  <c r="F39" i="29"/>
  <c r="E39" i="29"/>
  <c r="D31" i="27"/>
  <c r="C31" i="27" s="1"/>
  <c r="P31" i="27" s="1"/>
  <c r="R31" i="27" s="1"/>
  <c r="F31" i="27"/>
  <c r="AB30" i="26"/>
  <c r="E29" i="28" l="1"/>
  <c r="D30" i="28" s="1"/>
  <c r="C30" i="28" s="1"/>
  <c r="T30" i="28" s="1"/>
  <c r="F30" i="28"/>
  <c r="E34" i="30"/>
  <c r="D34" i="30"/>
  <c r="T34" i="30" s="1"/>
  <c r="F34" i="30"/>
  <c r="AA31" i="26"/>
  <c r="Z31" i="26" s="1"/>
  <c r="P31" i="26" s="1"/>
  <c r="R31" i="26" s="1"/>
  <c r="E31" i="27"/>
  <c r="E40" i="29"/>
  <c r="D40" i="29"/>
  <c r="F40" i="29"/>
  <c r="E30" i="28" l="1"/>
  <c r="D35" i="30"/>
  <c r="T35" i="30" s="1"/>
  <c r="E35" i="30"/>
  <c r="F35" i="30"/>
  <c r="F32" i="27"/>
  <c r="D32" i="27"/>
  <c r="C32" i="27" s="1"/>
  <c r="P32" i="27" s="1"/>
  <c r="R32" i="27" s="1"/>
  <c r="E41" i="29"/>
  <c r="D41" i="29"/>
  <c r="F41" i="29"/>
  <c r="AB31" i="26"/>
  <c r="D31" i="28" l="1"/>
  <c r="C31" i="28" s="1"/>
  <c r="F31" i="28"/>
  <c r="D36" i="30"/>
  <c r="T36" i="30" s="1"/>
  <c r="E36" i="30"/>
  <c r="F36" i="30"/>
  <c r="E32" i="27"/>
  <c r="AA32" i="26"/>
  <c r="Z32" i="26" s="1"/>
  <c r="P32" i="26" s="1"/>
  <c r="R32" i="26" s="1"/>
  <c r="E42" i="29"/>
  <c r="D42" i="29"/>
  <c r="F42" i="29"/>
  <c r="T31" i="28" l="1"/>
  <c r="E31" i="28"/>
  <c r="E37" i="30"/>
  <c r="F37" i="30"/>
  <c r="D37" i="30"/>
  <c r="T37" i="30" s="1"/>
  <c r="AB32" i="26"/>
  <c r="F33" i="27"/>
  <c r="D33" i="27"/>
  <c r="C33" i="27" s="1"/>
  <c r="P33" i="27" s="1"/>
  <c r="R33" i="27" s="1"/>
  <c r="F43" i="29"/>
  <c r="E43" i="29"/>
  <c r="D43" i="29"/>
  <c r="D32" i="28" l="1"/>
  <c r="C32" i="28" s="1"/>
  <c r="T32" i="28" s="1"/>
  <c r="F32" i="28"/>
  <c r="E33" i="27"/>
  <c r="D34" i="27" s="1"/>
  <c r="C34" i="27" s="1"/>
  <c r="P34" i="27" s="1"/>
  <c r="R34" i="27" s="1"/>
  <c r="E38" i="30"/>
  <c r="F38" i="30"/>
  <c r="D38" i="30"/>
  <c r="T38" i="30" s="1"/>
  <c r="AA33" i="26"/>
  <c r="Z33" i="26" s="1"/>
  <c r="P33" i="26" s="1"/>
  <c r="R33" i="26" s="1"/>
  <c r="F34" i="27"/>
  <c r="E44" i="29"/>
  <c r="F44" i="29"/>
  <c r="D44" i="29"/>
  <c r="E32" i="28" l="1"/>
  <c r="E39" i="30"/>
  <c r="D39" i="30"/>
  <c r="T39" i="30" s="1"/>
  <c r="F39" i="30"/>
  <c r="E45" i="29"/>
  <c r="D45" i="29"/>
  <c r="F45" i="29"/>
  <c r="E34" i="27"/>
  <c r="AB33" i="26"/>
  <c r="F33" i="28" l="1"/>
  <c r="D33" i="28"/>
  <c r="C33" i="28" s="1"/>
  <c r="D40" i="30"/>
  <c r="T40" i="30" s="1"/>
  <c r="E40" i="30"/>
  <c r="F40" i="30"/>
  <c r="E46" i="29"/>
  <c r="F46" i="29"/>
  <c r="D46" i="29"/>
  <c r="AA34" i="26"/>
  <c r="Z34" i="26" s="1"/>
  <c r="P34" i="26" s="1"/>
  <c r="R34" i="26" s="1"/>
  <c r="F35" i="27"/>
  <c r="D35" i="27"/>
  <c r="C35" i="27" s="1"/>
  <c r="P35" i="27" s="1"/>
  <c r="R35" i="27" s="1"/>
  <c r="T33" i="28" l="1"/>
  <c r="E33" i="28"/>
  <c r="F41" i="30"/>
  <c r="D41" i="30"/>
  <c r="T41" i="30" s="1"/>
  <c r="E41" i="30"/>
  <c r="E47" i="29"/>
  <c r="D47" i="29"/>
  <c r="F47" i="29"/>
  <c r="E35" i="27"/>
  <c r="AB34" i="26"/>
  <c r="D34" i="28" l="1"/>
  <c r="C34" i="28" s="1"/>
  <c r="F34" i="28"/>
  <c r="D42" i="30"/>
  <c r="T42" i="30" s="1"/>
  <c r="F42" i="30"/>
  <c r="E42" i="30"/>
  <c r="AA35" i="26"/>
  <c r="Z35" i="26" s="1"/>
  <c r="P35" i="26" s="1"/>
  <c r="R35" i="26" s="1"/>
  <c r="E48" i="29"/>
  <c r="D48" i="29"/>
  <c r="F48" i="29"/>
  <c r="D36" i="27"/>
  <c r="C36" i="27" s="1"/>
  <c r="P36" i="27" s="1"/>
  <c r="R36" i="27" s="1"/>
  <c r="F36" i="27"/>
  <c r="T34" i="28" l="1"/>
  <c r="E34" i="28"/>
  <c r="F43" i="30"/>
  <c r="D43" i="30"/>
  <c r="T43" i="30" s="1"/>
  <c r="E43" i="30"/>
  <c r="F49" i="29"/>
  <c r="E49" i="29"/>
  <c r="D49" i="29"/>
  <c r="AB35" i="26"/>
  <c r="E36" i="27"/>
  <c r="F35" i="28" l="1"/>
  <c r="D35" i="28"/>
  <c r="C35" i="28" s="1"/>
  <c r="D44" i="30"/>
  <c r="T44" i="30" s="1"/>
  <c r="F44" i="30"/>
  <c r="E44" i="30"/>
  <c r="D37" i="27"/>
  <c r="C37" i="27" s="1"/>
  <c r="P37" i="27" s="1"/>
  <c r="R37" i="27" s="1"/>
  <c r="F37" i="27"/>
  <c r="E50" i="29"/>
  <c r="D50" i="29"/>
  <c r="F50" i="29"/>
  <c r="AA36" i="26"/>
  <c r="Z36" i="26" s="1"/>
  <c r="P36" i="26" s="1"/>
  <c r="R36" i="26" s="1"/>
  <c r="T35" i="28" l="1"/>
  <c r="E35" i="28"/>
  <c r="D45" i="30"/>
  <c r="T45" i="30" s="1"/>
  <c r="E45" i="30"/>
  <c r="F45" i="30"/>
  <c r="E37" i="27"/>
  <c r="D38" i="27" s="1"/>
  <c r="C38" i="27" s="1"/>
  <c r="P38" i="27" s="1"/>
  <c r="R38" i="27" s="1"/>
  <c r="AB36" i="26"/>
  <c r="D51" i="29"/>
  <c r="F51" i="29"/>
  <c r="E51" i="29"/>
  <c r="D36" i="28" l="1"/>
  <c r="C36" i="28" s="1"/>
  <c r="F36" i="28"/>
  <c r="F38" i="27"/>
  <c r="D46" i="30"/>
  <c r="T46" i="30" s="1"/>
  <c r="F46" i="30"/>
  <c r="E46" i="30"/>
  <c r="E38" i="27"/>
  <c r="F52" i="29"/>
  <c r="D52" i="29"/>
  <c r="E52" i="29"/>
  <c r="AA37" i="26"/>
  <c r="Z37" i="26" s="1"/>
  <c r="P37" i="26" s="1"/>
  <c r="R37" i="26" s="1"/>
  <c r="T36" i="28" l="1"/>
  <c r="E36" i="28"/>
  <c r="F47" i="30"/>
  <c r="D47" i="30"/>
  <c r="T47" i="30" s="1"/>
  <c r="E47" i="30"/>
  <c r="F53" i="29"/>
  <c r="D53" i="29"/>
  <c r="E53" i="29"/>
  <c r="F39" i="27"/>
  <c r="D39" i="27"/>
  <c r="C39" i="27" s="1"/>
  <c r="P39" i="27" s="1"/>
  <c r="R39" i="27" s="1"/>
  <c r="AB37" i="26"/>
  <c r="D37" i="28" l="1"/>
  <c r="C37" i="28" s="1"/>
  <c r="F37" i="28"/>
  <c r="F48" i="30"/>
  <c r="D48" i="30"/>
  <c r="T48" i="30" s="1"/>
  <c r="E48" i="30"/>
  <c r="E39" i="27"/>
  <c r="F54" i="29"/>
  <c r="D54" i="29"/>
  <c r="E54" i="29"/>
  <c r="AA38" i="26"/>
  <c r="Z38" i="26" s="1"/>
  <c r="P38" i="26" s="1"/>
  <c r="R38" i="26" s="1"/>
  <c r="T37" i="28" l="1"/>
  <c r="E37" i="28"/>
  <c r="F49" i="30"/>
  <c r="D49" i="30"/>
  <c r="T49" i="30" s="1"/>
  <c r="E49" i="30"/>
  <c r="AB38" i="26"/>
  <c r="AA39" i="26"/>
  <c r="Z39" i="26" s="1"/>
  <c r="P39" i="26" s="1"/>
  <c r="R39" i="26" s="1"/>
  <c r="F40" i="27"/>
  <c r="D40" i="27"/>
  <c r="C40" i="27" s="1"/>
  <c r="P40" i="27" s="1"/>
  <c r="R40" i="27" s="1"/>
  <c r="D55" i="29"/>
  <c r="E55" i="29"/>
  <c r="F55" i="29"/>
  <c r="D38" i="28" l="1"/>
  <c r="C38" i="28" s="1"/>
  <c r="T38" i="28" s="1"/>
  <c r="F38" i="28"/>
  <c r="D50" i="30"/>
  <c r="T50" i="30" s="1"/>
  <c r="E50" i="30"/>
  <c r="F50" i="30"/>
  <c r="E56" i="29"/>
  <c r="D56" i="29"/>
  <c r="F56" i="29"/>
  <c r="AB39" i="26"/>
  <c r="E40" i="27"/>
  <c r="E38" i="28" l="1"/>
  <c r="F51" i="30"/>
  <c r="D51" i="30"/>
  <c r="T51" i="30" s="1"/>
  <c r="E51" i="30"/>
  <c r="F41" i="27"/>
  <c r="D41" i="27"/>
  <c r="C41" i="27" s="1"/>
  <c r="P41" i="27" s="1"/>
  <c r="R41" i="27" s="1"/>
  <c r="AA40" i="26"/>
  <c r="Z40" i="26" s="1"/>
  <c r="P40" i="26" s="1"/>
  <c r="R40" i="26" s="1"/>
  <c r="E57" i="29"/>
  <c r="D57" i="29"/>
  <c r="F57" i="29"/>
  <c r="D39" i="28" l="1"/>
  <c r="C39" i="28" s="1"/>
  <c r="F39" i="28"/>
  <c r="F52" i="30"/>
  <c r="E52" i="30"/>
  <c r="D52" i="30"/>
  <c r="T52" i="30" s="1"/>
  <c r="AB40" i="26"/>
  <c r="D58" i="29"/>
  <c r="E58" i="29"/>
  <c r="F58" i="29"/>
  <c r="E41" i="27"/>
  <c r="T39" i="28" l="1"/>
  <c r="E39" i="28"/>
  <c r="D53" i="30"/>
  <c r="T53" i="30" s="1"/>
  <c r="E53" i="30"/>
  <c r="F53" i="30"/>
  <c r="E59" i="29"/>
  <c r="D59" i="29"/>
  <c r="F59" i="29"/>
  <c r="F42" i="27"/>
  <c r="D42" i="27"/>
  <c r="C42" i="27" s="1"/>
  <c r="P42" i="27" s="1"/>
  <c r="R42" i="27" s="1"/>
  <c r="AA41" i="26"/>
  <c r="Z41" i="26" s="1"/>
  <c r="P41" i="26" s="1"/>
  <c r="R41" i="26" s="1"/>
  <c r="D40" i="28" l="1"/>
  <c r="C40" i="28" s="1"/>
  <c r="T40" i="28" s="1"/>
  <c r="F40" i="28"/>
  <c r="E54" i="30"/>
  <c r="F54" i="30"/>
  <c r="D54" i="30"/>
  <c r="T54" i="30" s="1"/>
  <c r="AB41" i="26"/>
  <c r="E42" i="27"/>
  <c r="E60" i="29"/>
  <c r="F60" i="29"/>
  <c r="D60" i="29"/>
  <c r="E40" i="28" l="1"/>
  <c r="D41" i="28"/>
  <c r="C41" i="28" s="1"/>
  <c r="T41" i="28" s="1"/>
  <c r="F41" i="28"/>
  <c r="F55" i="30"/>
  <c r="E55" i="30"/>
  <c r="D55" i="30"/>
  <c r="T55" i="30" s="1"/>
  <c r="D43" i="27"/>
  <c r="C43" i="27" s="1"/>
  <c r="P43" i="27" s="1"/>
  <c r="R43" i="27" s="1"/>
  <c r="F43" i="27"/>
  <c r="AA42" i="26"/>
  <c r="Z42" i="26" s="1"/>
  <c r="P42" i="26" s="1"/>
  <c r="R42" i="26" s="1"/>
  <c r="E61" i="29"/>
  <c r="D61" i="29"/>
  <c r="F61" i="29"/>
  <c r="E41" i="28" l="1"/>
  <c r="F42" i="28"/>
  <c r="D42" i="28"/>
  <c r="C42" i="28" s="1"/>
  <c r="T42" i="28" s="1"/>
  <c r="D56" i="30"/>
  <c r="T56" i="30" s="1"/>
  <c r="E56" i="30"/>
  <c r="F56" i="30"/>
  <c r="AB42" i="26"/>
  <c r="AA43" i="26" s="1"/>
  <c r="Z43" i="26" s="1"/>
  <c r="P43" i="26" s="1"/>
  <c r="R43" i="26" s="1"/>
  <c r="D62" i="29"/>
  <c r="E62" i="29"/>
  <c r="F62" i="29"/>
  <c r="E43" i="27"/>
  <c r="E42" i="28" l="1"/>
  <c r="D57" i="30"/>
  <c r="T57" i="30" s="1"/>
  <c r="E57" i="30"/>
  <c r="F57" i="30"/>
  <c r="F44" i="27"/>
  <c r="D44" i="27"/>
  <c r="C44" i="27" s="1"/>
  <c r="P44" i="27" s="1"/>
  <c r="R44" i="27" s="1"/>
  <c r="E63" i="29"/>
  <c r="D63" i="29"/>
  <c r="F63" i="29"/>
  <c r="AB43" i="26"/>
  <c r="F43" i="28" l="1"/>
  <c r="D43" i="28"/>
  <c r="C43" i="28" s="1"/>
  <c r="T43" i="28" s="1"/>
  <c r="D58" i="30"/>
  <c r="T58" i="30" s="1"/>
  <c r="E58" i="30"/>
  <c r="F58" i="30"/>
  <c r="F64" i="29"/>
  <c r="E64" i="29"/>
  <c r="D64" i="29"/>
  <c r="AA44" i="26"/>
  <c r="Z44" i="26" s="1"/>
  <c r="P44" i="26" s="1"/>
  <c r="R44" i="26" s="1"/>
  <c r="E44" i="27"/>
  <c r="E43" i="28" l="1"/>
  <c r="D59" i="30"/>
  <c r="T59" i="30" s="1"/>
  <c r="F59" i="30"/>
  <c r="E59" i="30"/>
  <c r="AB44" i="26"/>
  <c r="E65" i="29"/>
  <c r="D65" i="29"/>
  <c r="F65" i="29"/>
  <c r="F45" i="27"/>
  <c r="D45" i="27"/>
  <c r="C45" i="27" s="1"/>
  <c r="P45" i="27" s="1"/>
  <c r="R45" i="27" s="1"/>
  <c r="F44" i="28" l="1"/>
  <c r="D44" i="28"/>
  <c r="C44" i="28" s="1"/>
  <c r="T44" i="28" s="1"/>
  <c r="D60" i="30"/>
  <c r="T60" i="30" s="1"/>
  <c r="E60" i="30"/>
  <c r="F60" i="30"/>
  <c r="E45" i="27"/>
  <c r="AA45" i="26"/>
  <c r="Z45" i="26" s="1"/>
  <c r="P45" i="26" s="1"/>
  <c r="R45" i="26" s="1"/>
  <c r="D66" i="29"/>
  <c r="F66" i="29"/>
  <c r="E66" i="29"/>
  <c r="E44" i="28" l="1"/>
  <c r="E61" i="30"/>
  <c r="F61" i="30"/>
  <c r="D61" i="30"/>
  <c r="T61" i="30" s="1"/>
  <c r="F67" i="29"/>
  <c r="E67" i="29"/>
  <c r="D67" i="29"/>
  <c r="AB45" i="26"/>
  <c r="F46" i="27"/>
  <c r="D46" i="27"/>
  <c r="C46" i="27" s="1"/>
  <c r="P46" i="27" s="1"/>
  <c r="R46" i="27" s="1"/>
  <c r="D45" i="28" l="1"/>
  <c r="C45" i="28" s="1"/>
  <c r="T45" i="28" s="1"/>
  <c r="F45" i="28"/>
  <c r="E62" i="30"/>
  <c r="F62" i="30"/>
  <c r="D62" i="30"/>
  <c r="T62" i="30" s="1"/>
  <c r="D68" i="29"/>
  <c r="F68" i="29"/>
  <c r="E68" i="29"/>
  <c r="E46" i="27"/>
  <c r="AA46" i="26"/>
  <c r="Z46" i="26" s="1"/>
  <c r="P46" i="26" s="1"/>
  <c r="R46" i="26" s="1"/>
  <c r="E45" i="28" l="1"/>
  <c r="F46" i="28"/>
  <c r="D46" i="28"/>
  <c r="C46" i="28" s="1"/>
  <c r="E63" i="30"/>
  <c r="F63" i="30"/>
  <c r="D63" i="30"/>
  <c r="T63" i="30" s="1"/>
  <c r="AB46" i="26"/>
  <c r="D47" i="27"/>
  <c r="C47" i="27" s="1"/>
  <c r="P47" i="27" s="1"/>
  <c r="R47" i="27" s="1"/>
  <c r="F47" i="27"/>
  <c r="F69" i="29"/>
  <c r="D69" i="29"/>
  <c r="E69" i="29"/>
  <c r="T46" i="28" l="1"/>
  <c r="E46" i="28"/>
  <c r="E47" i="27"/>
  <c r="D48" i="27" s="1"/>
  <c r="C48" i="27" s="1"/>
  <c r="P48" i="27" s="1"/>
  <c r="R48" i="27" s="1"/>
  <c r="E64" i="30"/>
  <c r="F64" i="30"/>
  <c r="D64" i="30"/>
  <c r="T64" i="30" s="1"/>
  <c r="E70" i="29"/>
  <c r="F70" i="29"/>
  <c r="D70" i="29"/>
  <c r="F48" i="27"/>
  <c r="AA47" i="26"/>
  <c r="Z47" i="26" s="1"/>
  <c r="P47" i="26" s="1"/>
  <c r="R47" i="26" s="1"/>
  <c r="D47" i="28" l="1"/>
  <c r="C47" i="28" s="1"/>
  <c r="F47" i="28"/>
  <c r="E65" i="30"/>
  <c r="D65" i="30"/>
  <c r="T65" i="30" s="1"/>
  <c r="F65" i="30"/>
  <c r="D71" i="29"/>
  <c r="F71" i="29"/>
  <c r="E71" i="29"/>
  <c r="AB47" i="26"/>
  <c r="E48" i="27"/>
  <c r="T47" i="28" l="1"/>
  <c r="E47" i="28"/>
  <c r="F66" i="30"/>
  <c r="D66" i="30"/>
  <c r="T66" i="30" s="1"/>
  <c r="E66" i="30"/>
  <c r="F49" i="27"/>
  <c r="D49" i="27"/>
  <c r="C49" i="27" s="1"/>
  <c r="P49" i="27" s="1"/>
  <c r="R49" i="27" s="1"/>
  <c r="D72" i="29"/>
  <c r="E72" i="29"/>
  <c r="F72" i="29"/>
  <c r="AA48" i="26"/>
  <c r="Z48" i="26" s="1"/>
  <c r="P48" i="26" s="1"/>
  <c r="R48" i="26" s="1"/>
  <c r="F48" i="28" l="1"/>
  <c r="D48" i="28"/>
  <c r="C48" i="28" s="1"/>
  <c r="AB48" i="26"/>
  <c r="D67" i="30"/>
  <c r="T67" i="30" s="1"/>
  <c r="E67" i="30"/>
  <c r="F67" i="30"/>
  <c r="AA49" i="26"/>
  <c r="Z49" i="26" s="1"/>
  <c r="P49" i="26" s="1"/>
  <c r="R49" i="26" s="1"/>
  <c r="E49" i="27"/>
  <c r="F73" i="29"/>
  <c r="E73" i="29"/>
  <c r="D73" i="29"/>
  <c r="T48" i="28" l="1"/>
  <c r="E48" i="28"/>
  <c r="F68" i="30"/>
  <c r="D68" i="30"/>
  <c r="T68" i="30" s="1"/>
  <c r="E68" i="30"/>
  <c r="E74" i="29"/>
  <c r="D74" i="29"/>
  <c r="F74" i="29"/>
  <c r="F50" i="27"/>
  <c r="D50" i="27"/>
  <c r="C50" i="27" s="1"/>
  <c r="P50" i="27" s="1"/>
  <c r="R50" i="27" s="1"/>
  <c r="AB49" i="26"/>
  <c r="D49" i="28" l="1"/>
  <c r="C49" i="28" s="1"/>
  <c r="F49" i="28"/>
  <c r="E69" i="30"/>
  <c r="D69" i="30"/>
  <c r="T69" i="30" s="1"/>
  <c r="F69" i="30"/>
  <c r="E50" i="27"/>
  <c r="AA50" i="26"/>
  <c r="Z50" i="26" s="1"/>
  <c r="P50" i="26" s="1"/>
  <c r="R50" i="26" s="1"/>
  <c r="E75" i="29"/>
  <c r="F75" i="29"/>
  <c r="D75" i="29"/>
  <c r="T49" i="28" l="1"/>
  <c r="E49" i="28"/>
  <c r="D70" i="30"/>
  <c r="T70" i="30" s="1"/>
  <c r="F70" i="30"/>
  <c r="E70" i="30"/>
  <c r="E76" i="29"/>
  <c r="F76" i="29"/>
  <c r="D76" i="29"/>
  <c r="AB50" i="26"/>
  <c r="F51" i="27"/>
  <c r="D51" i="27"/>
  <c r="C51" i="27" s="1"/>
  <c r="P51" i="27" s="1"/>
  <c r="R51" i="27" s="1"/>
  <c r="F50" i="28" l="1"/>
  <c r="D50" i="28"/>
  <c r="C50" i="28" s="1"/>
  <c r="E71" i="30"/>
  <c r="D71" i="30"/>
  <c r="T71" i="30" s="1"/>
  <c r="F71" i="30"/>
  <c r="E51" i="27"/>
  <c r="AA51" i="26"/>
  <c r="Z51" i="26" s="1"/>
  <c r="P51" i="26" s="1"/>
  <c r="R51" i="26" s="1"/>
  <c r="E77" i="29"/>
  <c r="F77" i="29"/>
  <c r="D77" i="29"/>
  <c r="T50" i="28" l="1"/>
  <c r="E50" i="28"/>
  <c r="D72" i="30"/>
  <c r="T72" i="30" s="1"/>
  <c r="F72" i="30"/>
  <c r="E72" i="30"/>
  <c r="AB51" i="26"/>
  <c r="D52" i="27"/>
  <c r="C52" i="27" s="1"/>
  <c r="P52" i="27" s="1"/>
  <c r="R52" i="27" s="1"/>
  <c r="F52" i="27"/>
  <c r="F78" i="29"/>
  <c r="D78" i="29"/>
  <c r="E78" i="29"/>
  <c r="F51" i="28" l="1"/>
  <c r="D51" i="28"/>
  <c r="C51" i="28" s="1"/>
  <c r="F73" i="30"/>
  <c r="D73" i="30"/>
  <c r="T73" i="30" s="1"/>
  <c r="E73" i="30"/>
  <c r="AA52" i="26"/>
  <c r="Z52" i="26" s="1"/>
  <c r="P52" i="26" s="1"/>
  <c r="R52" i="26" s="1"/>
  <c r="E79" i="29"/>
  <c r="D79" i="29"/>
  <c r="F79" i="29"/>
  <c r="E52" i="27"/>
  <c r="T51" i="28" l="1"/>
  <c r="E51" i="28"/>
  <c r="D74" i="30"/>
  <c r="T74" i="30" s="1"/>
  <c r="F74" i="30"/>
  <c r="E74" i="30"/>
  <c r="F80" i="29"/>
  <c r="D80" i="29"/>
  <c r="E80" i="29"/>
  <c r="F53" i="27"/>
  <c r="D53" i="27"/>
  <c r="C53" i="27" s="1"/>
  <c r="P53" i="27" s="1"/>
  <c r="R53" i="27" s="1"/>
  <c r="AB52" i="26"/>
  <c r="F52" i="28" l="1"/>
  <c r="D52" i="28"/>
  <c r="C52" i="28" s="1"/>
  <c r="E75" i="30"/>
  <c r="D75" i="30"/>
  <c r="T75" i="30" s="1"/>
  <c r="F75" i="30"/>
  <c r="D81" i="29"/>
  <c r="F81" i="29"/>
  <c r="E81" i="29"/>
  <c r="AA53" i="26"/>
  <c r="Z53" i="26" s="1"/>
  <c r="P53" i="26" s="1"/>
  <c r="R53" i="26" s="1"/>
  <c r="E53" i="27"/>
  <c r="T52" i="28" l="1"/>
  <c r="E52" i="28"/>
  <c r="F76" i="30"/>
  <c r="D76" i="30"/>
  <c r="T76" i="30" s="1"/>
  <c r="E76" i="30"/>
  <c r="AB53" i="26"/>
  <c r="D82" i="29"/>
  <c r="F82" i="29"/>
  <c r="E82" i="29"/>
  <c r="F54" i="27"/>
  <c r="D54" i="27"/>
  <c r="C54" i="27" s="1"/>
  <c r="P54" i="27" s="1"/>
  <c r="R54" i="27" s="1"/>
  <c r="F53" i="28" l="1"/>
  <c r="D53" i="28"/>
  <c r="C53" i="28" s="1"/>
  <c r="F77" i="30"/>
  <c r="D77" i="30"/>
  <c r="T77" i="30" s="1"/>
  <c r="E77" i="30"/>
  <c r="E83" i="29"/>
  <c r="F83" i="29"/>
  <c r="D83" i="29"/>
  <c r="E54" i="27"/>
  <c r="AA54" i="26"/>
  <c r="Z54" i="26" s="1"/>
  <c r="P54" i="26" s="1"/>
  <c r="R54" i="26" s="1"/>
  <c r="T53" i="28" l="1"/>
  <c r="E53" i="28"/>
  <c r="D78" i="30"/>
  <c r="T78" i="30" s="1"/>
  <c r="F78" i="30"/>
  <c r="E78" i="30"/>
  <c r="D55" i="27"/>
  <c r="C55" i="27" s="1"/>
  <c r="P55" i="27" s="1"/>
  <c r="R55" i="27" s="1"/>
  <c r="F55" i="27"/>
  <c r="AB54" i="26"/>
  <c r="E84" i="29"/>
  <c r="D84" i="29"/>
  <c r="F84" i="29"/>
  <c r="F54" i="28" l="1"/>
  <c r="D54" i="28"/>
  <c r="C54" i="28" s="1"/>
  <c r="T54" i="28" s="1"/>
  <c r="E79" i="30"/>
  <c r="D79" i="30"/>
  <c r="T79" i="30" s="1"/>
  <c r="F79" i="30"/>
  <c r="AA55" i="26"/>
  <c r="Z55" i="26" s="1"/>
  <c r="P55" i="26" s="1"/>
  <c r="R55" i="26" s="1"/>
  <c r="E55" i="27"/>
  <c r="F85" i="29"/>
  <c r="E85" i="29"/>
  <c r="D85" i="29"/>
  <c r="E54" i="28" l="1"/>
  <c r="D80" i="30"/>
  <c r="T80" i="30" s="1"/>
  <c r="F80" i="30"/>
  <c r="E80" i="30"/>
  <c r="F56" i="27"/>
  <c r="D56" i="27"/>
  <c r="C56" i="27" s="1"/>
  <c r="P56" i="27" s="1"/>
  <c r="R56" i="27" s="1"/>
  <c r="AB55" i="26"/>
  <c r="D86" i="29"/>
  <c r="F86" i="29"/>
  <c r="E86" i="29"/>
  <c r="D55" i="28" l="1"/>
  <c r="C55" i="28" s="1"/>
  <c r="T55" i="28" s="1"/>
  <c r="F55" i="28"/>
  <c r="D81" i="30"/>
  <c r="T81" i="30" s="1"/>
  <c r="E81" i="30"/>
  <c r="F81" i="30"/>
  <c r="AA56" i="26"/>
  <c r="Z56" i="26" s="1"/>
  <c r="P56" i="26" s="1"/>
  <c r="R56" i="26" s="1"/>
  <c r="E56" i="27"/>
  <c r="E87" i="29"/>
  <c r="D87" i="29"/>
  <c r="F87" i="29"/>
  <c r="E55" i="28" l="1"/>
  <c r="D82" i="30"/>
  <c r="T82" i="30" s="1"/>
  <c r="F82" i="30"/>
  <c r="E82" i="30"/>
  <c r="E88" i="29"/>
  <c r="D88" i="29"/>
  <c r="F88" i="29"/>
  <c r="F57" i="27"/>
  <c r="D57" i="27"/>
  <c r="C57" i="27" s="1"/>
  <c r="P57" i="27" s="1"/>
  <c r="R57" i="27" s="1"/>
  <c r="AB56" i="26"/>
  <c r="F56" i="28" l="1"/>
  <c r="D56" i="28"/>
  <c r="C56" i="28" s="1"/>
  <c r="D83" i="30"/>
  <c r="T83" i="30" s="1"/>
  <c r="E83" i="30"/>
  <c r="F83" i="30"/>
  <c r="E57" i="27"/>
  <c r="AA57" i="26"/>
  <c r="Z57" i="26" s="1"/>
  <c r="P57" i="26" s="1"/>
  <c r="R57" i="26" s="1"/>
  <c r="D89" i="29"/>
  <c r="F89" i="29"/>
  <c r="E89" i="29"/>
  <c r="T56" i="28" l="1"/>
  <c r="E56" i="28"/>
  <c r="E84" i="30"/>
  <c r="F84" i="30"/>
  <c r="D84" i="30"/>
  <c r="T84" i="30" s="1"/>
  <c r="AB57" i="26"/>
  <c r="F58" i="27"/>
  <c r="D58" i="27"/>
  <c r="C58" i="27" s="1"/>
  <c r="P58" i="27" s="1"/>
  <c r="R58" i="27" s="1"/>
  <c r="D90" i="29"/>
  <c r="F90" i="29"/>
  <c r="E90" i="29"/>
  <c r="D57" i="28" l="1"/>
  <c r="C57" i="28" s="1"/>
  <c r="T57" i="28" s="1"/>
  <c r="F57" i="28"/>
  <c r="D85" i="30"/>
  <c r="T85" i="30" s="1"/>
  <c r="F85" i="30"/>
  <c r="E85" i="30"/>
  <c r="E58" i="27"/>
  <c r="E91" i="29"/>
  <c r="D91" i="29"/>
  <c r="F91" i="29"/>
  <c r="AA58" i="26"/>
  <c r="Z58" i="26" s="1"/>
  <c r="P58" i="26" s="1"/>
  <c r="R58" i="26" s="1"/>
  <c r="E57" i="28" l="1"/>
  <c r="F86" i="30"/>
  <c r="E86" i="30"/>
  <c r="D86" i="30"/>
  <c r="T86" i="30" s="1"/>
  <c r="F92" i="29"/>
  <c r="D92" i="29"/>
  <c r="E92" i="29"/>
  <c r="F59" i="27"/>
  <c r="D59" i="27"/>
  <c r="C59" i="27" s="1"/>
  <c r="P59" i="27" s="1"/>
  <c r="R59" i="27" s="1"/>
  <c r="AB58" i="26"/>
  <c r="D58" i="28" l="1"/>
  <c r="C58" i="28" s="1"/>
  <c r="T58" i="28" s="1"/>
  <c r="F58" i="28"/>
  <c r="D87" i="30"/>
  <c r="T87" i="30" s="1"/>
  <c r="F87" i="30"/>
  <c r="E87" i="30"/>
  <c r="E59" i="27"/>
  <c r="D60" i="27" s="1"/>
  <c r="C60" i="27" s="1"/>
  <c r="P60" i="27" s="1"/>
  <c r="R60" i="27" s="1"/>
  <c r="E93" i="29"/>
  <c r="D93" i="29"/>
  <c r="F93" i="29"/>
  <c r="AA59" i="26"/>
  <c r="Z59" i="26" s="1"/>
  <c r="P59" i="26" s="1"/>
  <c r="R59" i="26" s="1"/>
  <c r="E58" i="28" l="1"/>
  <c r="F60" i="27"/>
  <c r="D88" i="30"/>
  <c r="T88" i="30" s="1"/>
  <c r="E88" i="30"/>
  <c r="F88" i="30"/>
  <c r="E60" i="27"/>
  <c r="F94" i="29"/>
  <c r="E94" i="29"/>
  <c r="D94" i="29"/>
  <c r="AB59" i="26"/>
  <c r="F59" i="28" l="1"/>
  <c r="D59" i="28"/>
  <c r="C59" i="28" s="1"/>
  <c r="T59" i="28" s="1"/>
  <c r="D89" i="30"/>
  <c r="T89" i="30" s="1"/>
  <c r="F89" i="30"/>
  <c r="E89" i="30"/>
  <c r="AA60" i="26"/>
  <c r="Z60" i="26" s="1"/>
  <c r="P60" i="26" s="1"/>
  <c r="R60" i="26" s="1"/>
  <c r="D95" i="29"/>
  <c r="F95" i="29"/>
  <c r="E95" i="29"/>
  <c r="D61" i="27"/>
  <c r="C61" i="27" s="1"/>
  <c r="P61" i="27" s="1"/>
  <c r="R61" i="27" s="1"/>
  <c r="F61" i="27"/>
  <c r="E59" i="28" l="1"/>
  <c r="E90" i="30"/>
  <c r="D90" i="30"/>
  <c r="T90" i="30" s="1"/>
  <c r="F90" i="30"/>
  <c r="AB60" i="26"/>
  <c r="E96" i="29"/>
  <c r="D96" i="29"/>
  <c r="F96" i="29"/>
  <c r="E61" i="27"/>
  <c r="D60" i="28" l="1"/>
  <c r="C60" i="28" s="1"/>
  <c r="T60" i="28" s="1"/>
  <c r="F60" i="28"/>
  <c r="D91" i="30"/>
  <c r="T91" i="30" s="1"/>
  <c r="E91" i="30"/>
  <c r="F91" i="30"/>
  <c r="D97" i="29"/>
  <c r="E97" i="29"/>
  <c r="F97" i="29"/>
  <c r="F62" i="27"/>
  <c r="D62" i="27"/>
  <c r="C62" i="27" s="1"/>
  <c r="P62" i="27" s="1"/>
  <c r="R62" i="27" s="1"/>
  <c r="AA61" i="26"/>
  <c r="Z61" i="26" s="1"/>
  <c r="P61" i="26" s="1"/>
  <c r="R61" i="26" s="1"/>
  <c r="E60" i="28" l="1"/>
  <c r="F92" i="30"/>
  <c r="E92" i="30"/>
  <c r="D92" i="30"/>
  <c r="T92" i="30" s="1"/>
  <c r="AB61" i="26"/>
  <c r="F98" i="29"/>
  <c r="D98" i="29"/>
  <c r="E98" i="29"/>
  <c r="E62" i="27"/>
  <c r="D61" i="28" l="1"/>
  <c r="C61" i="28" s="1"/>
  <c r="T61" i="28" s="1"/>
  <c r="F61" i="28"/>
  <c r="E93" i="30"/>
  <c r="F93" i="30"/>
  <c r="D93" i="30"/>
  <c r="T93" i="30" s="1"/>
  <c r="F63" i="27"/>
  <c r="D63" i="27"/>
  <c r="C63" i="27" s="1"/>
  <c r="P63" i="27" s="1"/>
  <c r="R63" i="27" s="1"/>
  <c r="AA62" i="26"/>
  <c r="Z62" i="26" s="1"/>
  <c r="P62" i="26" s="1"/>
  <c r="R62" i="26" s="1"/>
  <c r="E99" i="29"/>
  <c r="D99" i="29"/>
  <c r="F99" i="29"/>
  <c r="E61" i="28" l="1"/>
  <c r="E94" i="30"/>
  <c r="F94" i="30"/>
  <c r="D94" i="30"/>
  <c r="T94" i="30" s="1"/>
  <c r="E63" i="27"/>
  <c r="D100" i="29"/>
  <c r="E100" i="29"/>
  <c r="F100" i="29"/>
  <c r="AB62" i="26"/>
  <c r="D62" i="28" l="1"/>
  <c r="C62" i="28" s="1"/>
  <c r="T62" i="28" s="1"/>
  <c r="F62" i="28"/>
  <c r="E62" i="28"/>
  <c r="E95" i="30"/>
  <c r="F95" i="30"/>
  <c r="D95" i="30"/>
  <c r="T95" i="30" s="1"/>
  <c r="E101" i="29"/>
  <c r="F101" i="29"/>
  <c r="D101" i="29"/>
  <c r="AA63" i="26"/>
  <c r="Z63" i="26" s="1"/>
  <c r="P63" i="26" s="1"/>
  <c r="R63" i="26" s="1"/>
  <c r="F64" i="27"/>
  <c r="D64" i="27"/>
  <c r="C64" i="27" s="1"/>
  <c r="P64" i="27" s="1"/>
  <c r="R64" i="27" s="1"/>
  <c r="F63" i="28" l="1"/>
  <c r="D63" i="28"/>
  <c r="C63" i="28" s="1"/>
  <c r="T63" i="28" s="1"/>
  <c r="F96" i="30"/>
  <c r="E96" i="30"/>
  <c r="D96" i="30"/>
  <c r="T96" i="30" s="1"/>
  <c r="E64" i="27"/>
  <c r="AB63" i="26"/>
  <c r="F102" i="29"/>
  <c r="D102" i="29"/>
  <c r="E102" i="29"/>
  <c r="E63" i="28" l="1"/>
  <c r="E97" i="30"/>
  <c r="D97" i="30"/>
  <c r="T97" i="30" s="1"/>
  <c r="F97" i="30"/>
  <c r="F65" i="27"/>
  <c r="D65" i="27"/>
  <c r="C65" i="27" s="1"/>
  <c r="P65" i="27" s="1"/>
  <c r="R65" i="27" s="1"/>
  <c r="E103" i="29"/>
  <c r="D103" i="29"/>
  <c r="F103" i="29"/>
  <c r="AA64" i="26"/>
  <c r="Z64" i="26" s="1"/>
  <c r="P64" i="26" s="1"/>
  <c r="R64" i="26" s="1"/>
  <c r="D64" i="28" l="1"/>
  <c r="C64" i="28" s="1"/>
  <c r="T64" i="28" s="1"/>
  <c r="F64" i="28"/>
  <c r="E98" i="30"/>
  <c r="D98" i="30"/>
  <c r="T98" i="30" s="1"/>
  <c r="F98" i="30"/>
  <c r="E104" i="29"/>
  <c r="F104" i="29"/>
  <c r="D104" i="29"/>
  <c r="E65" i="27"/>
  <c r="AB64" i="26"/>
  <c r="E64" i="28" l="1"/>
  <c r="F65" i="28"/>
  <c r="D65" i="28"/>
  <c r="C65" i="28" s="1"/>
  <c r="T65" i="28" s="1"/>
  <c r="D99" i="30"/>
  <c r="T99" i="30" s="1"/>
  <c r="E99" i="30"/>
  <c r="F99" i="30"/>
  <c r="F105" i="29"/>
  <c r="E105" i="29"/>
  <c r="D105" i="29"/>
  <c r="AA65" i="26"/>
  <c r="Z65" i="26" s="1"/>
  <c r="P65" i="26" s="1"/>
  <c r="R65" i="26" s="1"/>
  <c r="D66" i="27"/>
  <c r="C66" i="27" s="1"/>
  <c r="P66" i="27" s="1"/>
  <c r="R66" i="27" s="1"/>
  <c r="F66" i="27"/>
  <c r="E65" i="28" l="1"/>
  <c r="E100" i="30"/>
  <c r="D100" i="30"/>
  <c r="T100" i="30" s="1"/>
  <c r="F100" i="30"/>
  <c r="E66" i="27"/>
  <c r="AB65" i="26"/>
  <c r="E106" i="29"/>
  <c r="F106" i="29"/>
  <c r="D106" i="29"/>
  <c r="F66" i="28" l="1"/>
  <c r="D66" i="28"/>
  <c r="C66" i="28" s="1"/>
  <c r="T66" i="28" s="1"/>
  <c r="F101" i="30"/>
  <c r="E101" i="30"/>
  <c r="D101" i="30"/>
  <c r="T101" i="30" s="1"/>
  <c r="F107" i="29"/>
  <c r="D107" i="29"/>
  <c r="E107" i="29"/>
  <c r="F67" i="27"/>
  <c r="D67" i="27"/>
  <c r="C67" i="27" s="1"/>
  <c r="P67" i="27" s="1"/>
  <c r="R67" i="27" s="1"/>
  <c r="AA66" i="26"/>
  <c r="Z66" i="26" s="1"/>
  <c r="P66" i="26" s="1"/>
  <c r="R66" i="26" s="1"/>
  <c r="E66" i="28" l="1"/>
  <c r="F102" i="30"/>
  <c r="D102" i="30"/>
  <c r="T102" i="30" s="1"/>
  <c r="E102" i="30"/>
  <c r="E108" i="29"/>
  <c r="F108" i="29"/>
  <c r="D108" i="29"/>
  <c r="AB66" i="26"/>
  <c r="E67" i="27"/>
  <c r="D67" i="28" l="1"/>
  <c r="C67" i="28" s="1"/>
  <c r="T67" i="28" s="1"/>
  <c r="F67" i="28"/>
  <c r="D103" i="30"/>
  <c r="T103" i="30" s="1"/>
  <c r="E103" i="30"/>
  <c r="F103" i="30"/>
  <c r="F68" i="27"/>
  <c r="D68" i="27"/>
  <c r="C68" i="27" s="1"/>
  <c r="P68" i="27" s="1"/>
  <c r="R68" i="27" s="1"/>
  <c r="AA67" i="26"/>
  <c r="Z67" i="26" s="1"/>
  <c r="P67" i="26" s="1"/>
  <c r="R67" i="26" s="1"/>
  <c r="D109" i="29"/>
  <c r="F109" i="29"/>
  <c r="E109" i="29"/>
  <c r="E67" i="28" l="1"/>
  <c r="E104" i="30"/>
  <c r="D104" i="30"/>
  <c r="T104" i="30" s="1"/>
  <c r="F104" i="30"/>
  <c r="AB67" i="26"/>
  <c r="E68" i="27"/>
  <c r="D110" i="29"/>
  <c r="F110" i="29"/>
  <c r="E110" i="29"/>
  <c r="F68" i="28" l="1"/>
  <c r="D68" i="28"/>
  <c r="C68" i="28" s="1"/>
  <c r="T68" i="28" s="1"/>
  <c r="E105" i="30"/>
  <c r="D105" i="30"/>
  <c r="T105" i="30" s="1"/>
  <c r="F105" i="30"/>
  <c r="F111" i="29"/>
  <c r="E111" i="29"/>
  <c r="D111" i="29"/>
  <c r="AA68" i="26"/>
  <c r="Z68" i="26" s="1"/>
  <c r="P68" i="26" s="1"/>
  <c r="R68" i="26" s="1"/>
  <c r="D69" i="27"/>
  <c r="C69" i="27" s="1"/>
  <c r="P69" i="27" s="1"/>
  <c r="R69" i="27" s="1"/>
  <c r="F69" i="27"/>
  <c r="E68" i="28" l="1"/>
  <c r="D106" i="30"/>
  <c r="T106" i="30" s="1"/>
  <c r="E106" i="30"/>
  <c r="F106" i="30"/>
  <c r="AB68" i="26"/>
  <c r="E112" i="29"/>
  <c r="F112" i="29"/>
  <c r="D112" i="29"/>
  <c r="E69" i="27"/>
  <c r="D69" i="28" l="1"/>
  <c r="C69" i="28" s="1"/>
  <c r="T69" i="28" s="1"/>
  <c r="F69" i="28"/>
  <c r="E107" i="30"/>
  <c r="D107" i="30"/>
  <c r="T107" i="30" s="1"/>
  <c r="F107" i="30"/>
  <c r="F113" i="29"/>
  <c r="D113" i="29"/>
  <c r="E113" i="29"/>
  <c r="F70" i="27"/>
  <c r="D70" i="27"/>
  <c r="C70" i="27" s="1"/>
  <c r="P70" i="27" s="1"/>
  <c r="R70" i="27" s="1"/>
  <c r="AA69" i="26"/>
  <c r="Z69" i="26" s="1"/>
  <c r="P69" i="26" s="1"/>
  <c r="R69" i="26" s="1"/>
  <c r="E69" i="28" l="1"/>
  <c r="E108" i="30"/>
  <c r="D108" i="30"/>
  <c r="T108" i="30" s="1"/>
  <c r="F108" i="30"/>
  <c r="AB69" i="26"/>
  <c r="AA70" i="26" s="1"/>
  <c r="Z70" i="26" s="1"/>
  <c r="P70" i="26" s="1"/>
  <c r="R70" i="26" s="1"/>
  <c r="E70" i="27"/>
  <c r="E114" i="29"/>
  <c r="D114" i="29"/>
  <c r="F114" i="29"/>
  <c r="F70" i="28" l="1"/>
  <c r="D70" i="28"/>
  <c r="C70" i="28" s="1"/>
  <c r="T70" i="28" s="1"/>
  <c r="E109" i="30"/>
  <c r="F109" i="30"/>
  <c r="D109" i="30"/>
  <c r="T109" i="30" s="1"/>
  <c r="F115" i="29"/>
  <c r="E115" i="29"/>
  <c r="D115" i="29"/>
  <c r="AB70" i="26"/>
  <c r="F71" i="27"/>
  <c r="D71" i="27"/>
  <c r="C71" i="27" s="1"/>
  <c r="P71" i="27" s="1"/>
  <c r="R71" i="27" s="1"/>
  <c r="E70" i="28" l="1"/>
  <c r="D71" i="28"/>
  <c r="C71" i="28" s="1"/>
  <c r="T71" i="28" s="1"/>
  <c r="F71" i="28"/>
  <c r="E110" i="30"/>
  <c r="D110" i="30"/>
  <c r="T110" i="30" s="1"/>
  <c r="F110" i="30"/>
  <c r="E71" i="27"/>
  <c r="AA71" i="26"/>
  <c r="Z71" i="26" s="1"/>
  <c r="P71" i="26" s="1"/>
  <c r="R71" i="26" s="1"/>
  <c r="E116" i="29"/>
  <c r="D116" i="29"/>
  <c r="F116" i="29"/>
  <c r="E71" i="28" l="1"/>
  <c r="D72" i="28"/>
  <c r="C72" i="28" s="1"/>
  <c r="T72" i="28" s="1"/>
  <c r="F72" i="28"/>
  <c r="D111" i="30"/>
  <c r="T111" i="30" s="1"/>
  <c r="F111" i="30"/>
  <c r="E111" i="30"/>
  <c r="AB71" i="26"/>
  <c r="F117" i="29"/>
  <c r="D117" i="29"/>
  <c r="E117" i="29"/>
  <c r="F72" i="27"/>
  <c r="D72" i="27"/>
  <c r="C72" i="27" s="1"/>
  <c r="P72" i="27" s="1"/>
  <c r="R72" i="27" s="1"/>
  <c r="E72" i="28" l="1"/>
  <c r="F73" i="28"/>
  <c r="D73" i="28"/>
  <c r="C73" i="28" s="1"/>
  <c r="T73" i="28" s="1"/>
  <c r="D112" i="30"/>
  <c r="T112" i="30" s="1"/>
  <c r="E112" i="30"/>
  <c r="F112" i="30"/>
  <c r="E72" i="27"/>
  <c r="D118" i="29"/>
  <c r="F118" i="29"/>
  <c r="E118" i="29"/>
  <c r="AA72" i="26"/>
  <c r="Z72" i="26" s="1"/>
  <c r="P72" i="26" s="1"/>
  <c r="R72" i="26" s="1"/>
  <c r="E73" i="28" l="1"/>
  <c r="D113" i="30"/>
  <c r="T113" i="30" s="1"/>
  <c r="F113" i="30"/>
  <c r="E113" i="30"/>
  <c r="AB72" i="26"/>
  <c r="F73" i="27"/>
  <c r="D73" i="27"/>
  <c r="C73" i="27" s="1"/>
  <c r="P73" i="27" s="1"/>
  <c r="R73" i="27" s="1"/>
  <c r="D119" i="29"/>
  <c r="F119" i="29"/>
  <c r="E119" i="29"/>
  <c r="F74" i="28" l="1"/>
  <c r="D74" i="28"/>
  <c r="C74" i="28" s="1"/>
  <c r="E114" i="30"/>
  <c r="D114" i="30"/>
  <c r="T114" i="30" s="1"/>
  <c r="F114" i="30"/>
  <c r="E73" i="27"/>
  <c r="D120" i="29"/>
  <c r="F120" i="29"/>
  <c r="E120" i="29"/>
  <c r="AA73" i="26"/>
  <c r="Z73" i="26" s="1"/>
  <c r="P73" i="26" s="1"/>
  <c r="R73" i="26" s="1"/>
  <c r="T74" i="28" l="1"/>
  <c r="E74" i="28"/>
  <c r="E115" i="30"/>
  <c r="D115" i="30"/>
  <c r="T115" i="30" s="1"/>
  <c r="F115" i="30"/>
  <c r="E121" i="29"/>
  <c r="F121" i="29"/>
  <c r="D121" i="29"/>
  <c r="F74" i="27"/>
  <c r="D74" i="27"/>
  <c r="C74" i="27" s="1"/>
  <c r="P74" i="27" s="1"/>
  <c r="R74" i="27" s="1"/>
  <c r="AB73" i="26"/>
  <c r="D75" i="28" l="1"/>
  <c r="C75" i="28" s="1"/>
  <c r="T75" i="28" s="1"/>
  <c r="F75" i="28"/>
  <c r="E116" i="30"/>
  <c r="D116" i="30"/>
  <c r="T116" i="30" s="1"/>
  <c r="F116" i="30"/>
  <c r="AA74" i="26"/>
  <c r="Z74" i="26" s="1"/>
  <c r="P74" i="26" s="1"/>
  <c r="R74" i="26" s="1"/>
  <c r="E74" i="27"/>
  <c r="F122" i="29"/>
  <c r="D122" i="29"/>
  <c r="E122" i="29"/>
  <c r="E75" i="28" l="1"/>
  <c r="E117" i="30"/>
  <c r="F117" i="30"/>
  <c r="D117" i="30"/>
  <c r="T117" i="30" s="1"/>
  <c r="F75" i="27"/>
  <c r="D75" i="27"/>
  <c r="C75" i="27" s="1"/>
  <c r="P75" i="27" s="1"/>
  <c r="R75" i="27" s="1"/>
  <c r="E123" i="29"/>
  <c r="D123" i="29"/>
  <c r="F123" i="29"/>
  <c r="AB74" i="26"/>
  <c r="D76" i="28" l="1"/>
  <c r="C76" i="28" s="1"/>
  <c r="F76" i="28"/>
  <c r="F118" i="30"/>
  <c r="E118" i="30"/>
  <c r="D118" i="30"/>
  <c r="T118" i="30" s="1"/>
  <c r="E75" i="27"/>
  <c r="AA75" i="26"/>
  <c r="Z75" i="26" s="1"/>
  <c r="P75" i="26" s="1"/>
  <c r="R75" i="26" s="1"/>
  <c r="E124" i="29"/>
  <c r="F124" i="29"/>
  <c r="D124" i="29"/>
  <c r="T76" i="28" l="1"/>
  <c r="E76" i="28"/>
  <c r="E119" i="30"/>
  <c r="F119" i="30"/>
  <c r="D119" i="30"/>
  <c r="T119" i="30" s="1"/>
  <c r="F76" i="27"/>
  <c r="D76" i="27"/>
  <c r="C76" i="27" s="1"/>
  <c r="E125" i="29"/>
  <c r="F125" i="29"/>
  <c r="D125" i="29"/>
  <c r="AB75" i="26"/>
  <c r="D77" i="28" l="1"/>
  <c r="C77" i="28" s="1"/>
  <c r="F77" i="28"/>
  <c r="F120" i="30"/>
  <c r="D120" i="30"/>
  <c r="T120" i="30" s="1"/>
  <c r="E120" i="30"/>
  <c r="E126" i="29"/>
  <c r="F126" i="29"/>
  <c r="D126" i="29"/>
  <c r="AA76" i="26"/>
  <c r="Z76" i="26" s="1"/>
  <c r="P76" i="26" s="1"/>
  <c r="R76" i="26" s="1"/>
  <c r="E76" i="27"/>
  <c r="P76" i="27"/>
  <c r="R76" i="27" s="1"/>
  <c r="T77" i="28" l="1"/>
  <c r="E77" i="28"/>
  <c r="E121" i="30"/>
  <c r="D121" i="30"/>
  <c r="T121" i="30" s="1"/>
  <c r="F121" i="30"/>
  <c r="AB76" i="26"/>
  <c r="F77" i="27"/>
  <c r="D77" i="27"/>
  <c r="C77" i="27" s="1"/>
  <c r="D127" i="29"/>
  <c r="E127" i="29"/>
  <c r="F127" i="29"/>
  <c r="D78" i="28" l="1"/>
  <c r="C78" i="28" s="1"/>
  <c r="T78" i="28" s="1"/>
  <c r="F78" i="28"/>
  <c r="F122" i="30"/>
  <c r="E122" i="30"/>
  <c r="D122" i="30"/>
  <c r="T122" i="30" s="1"/>
  <c r="E128" i="29"/>
  <c r="F128" i="29"/>
  <c r="D128" i="29"/>
  <c r="E77" i="27"/>
  <c r="P77" i="27"/>
  <c r="R77" i="27" s="1"/>
  <c r="AA77" i="26"/>
  <c r="Z77" i="26" s="1"/>
  <c r="P77" i="26" s="1"/>
  <c r="R77" i="26" s="1"/>
  <c r="E78" i="28" l="1"/>
  <c r="E123" i="30"/>
  <c r="D123" i="30"/>
  <c r="T123" i="30" s="1"/>
  <c r="F123" i="30"/>
  <c r="E129" i="29"/>
  <c r="D129" i="29"/>
  <c r="F129" i="29"/>
  <c r="AB77" i="26"/>
  <c r="F78" i="27"/>
  <c r="D78" i="27"/>
  <c r="C78" i="27" s="1"/>
  <c r="D79" i="28" l="1"/>
  <c r="C79" i="28" s="1"/>
  <c r="T79" i="28" s="1"/>
  <c r="F79" i="28"/>
  <c r="E124" i="30"/>
  <c r="D124" i="30"/>
  <c r="T124" i="30" s="1"/>
  <c r="F124" i="30"/>
  <c r="AA78" i="26"/>
  <c r="Z78" i="26" s="1"/>
  <c r="P78" i="26" s="1"/>
  <c r="R78" i="26" s="1"/>
  <c r="E78" i="27"/>
  <c r="P78" i="27"/>
  <c r="R78" i="27" s="1"/>
  <c r="E130" i="29"/>
  <c r="D130" i="29"/>
  <c r="F130" i="29"/>
  <c r="E79" i="28" l="1"/>
  <c r="F80" i="28"/>
  <c r="D80" i="28"/>
  <c r="C80" i="28" s="1"/>
  <c r="T80" i="28" s="1"/>
  <c r="E125" i="30"/>
  <c r="D125" i="30"/>
  <c r="T125" i="30" s="1"/>
  <c r="F125" i="30"/>
  <c r="F131" i="29"/>
  <c r="E131" i="29"/>
  <c r="D131" i="29"/>
  <c r="AB78" i="26"/>
  <c r="F79" i="27"/>
  <c r="D79" i="27"/>
  <c r="C79" i="27" s="1"/>
  <c r="P79" i="27" s="1"/>
  <c r="R79" i="27" s="1"/>
  <c r="E80" i="28" l="1"/>
  <c r="D126" i="30"/>
  <c r="T126" i="30" s="1"/>
  <c r="E126" i="30"/>
  <c r="F126" i="30"/>
  <c r="D132" i="29"/>
  <c r="F132" i="29"/>
  <c r="E132" i="29"/>
  <c r="E79" i="27"/>
  <c r="AA79" i="26"/>
  <c r="Z79" i="26" s="1"/>
  <c r="P79" i="26" s="1"/>
  <c r="R79" i="26" s="1"/>
  <c r="F81" i="28" l="1"/>
  <c r="D81" i="28"/>
  <c r="C81" i="28" s="1"/>
  <c r="E127" i="30"/>
  <c r="F127" i="30"/>
  <c r="D127" i="30"/>
  <c r="T127" i="30" s="1"/>
  <c r="F80" i="27"/>
  <c r="D80" i="27"/>
  <c r="C80" i="27" s="1"/>
  <c r="P80" i="27" s="1"/>
  <c r="R80" i="27" s="1"/>
  <c r="E133" i="29"/>
  <c r="D133" i="29"/>
  <c r="F133" i="29"/>
  <c r="AB79" i="26"/>
  <c r="T81" i="28" l="1"/>
  <c r="E81" i="28"/>
  <c r="E128" i="30"/>
  <c r="D128" i="30"/>
  <c r="T128" i="30" s="1"/>
  <c r="F128" i="30"/>
  <c r="F134" i="29"/>
  <c r="D134" i="29"/>
  <c r="E134" i="29"/>
  <c r="AA80" i="26"/>
  <c r="Z80" i="26" s="1"/>
  <c r="P80" i="26" s="1"/>
  <c r="R80" i="26" s="1"/>
  <c r="E80" i="27"/>
  <c r="F82" i="28" l="1"/>
  <c r="D82" i="28"/>
  <c r="C82" i="28" s="1"/>
  <c r="D129" i="30"/>
  <c r="T129" i="30" s="1"/>
  <c r="F129" i="30"/>
  <c r="E129" i="30"/>
  <c r="E135" i="29"/>
  <c r="D135" i="29"/>
  <c r="F135" i="29"/>
  <c r="F81" i="27"/>
  <c r="D81" i="27"/>
  <c r="C81" i="27" s="1"/>
  <c r="P81" i="27" s="1"/>
  <c r="R81" i="27" s="1"/>
  <c r="AB80" i="26"/>
  <c r="T82" i="28" l="1"/>
  <c r="E82" i="28"/>
  <c r="D130" i="30"/>
  <c r="T130" i="30" s="1"/>
  <c r="F130" i="30"/>
  <c r="E130" i="30"/>
  <c r="E81" i="27"/>
  <c r="F82" i="27" s="1"/>
  <c r="AA81" i="26"/>
  <c r="Z81" i="26" s="1"/>
  <c r="P81" i="26" s="1"/>
  <c r="R81" i="26" s="1"/>
  <c r="E136" i="29"/>
  <c r="D136" i="29"/>
  <c r="F136" i="29"/>
  <c r="F83" i="28" l="1"/>
  <c r="D83" i="28"/>
  <c r="C83" i="28" s="1"/>
  <c r="D82" i="27"/>
  <c r="C82" i="27" s="1"/>
  <c r="P82" i="27" s="1"/>
  <c r="R82" i="27" s="1"/>
  <c r="E131" i="30"/>
  <c r="F131" i="30"/>
  <c r="D131" i="30"/>
  <c r="T131" i="30" s="1"/>
  <c r="E137" i="29"/>
  <c r="D137" i="29"/>
  <c r="F137" i="29"/>
  <c r="AB81" i="26"/>
  <c r="T83" i="28" l="1"/>
  <c r="E83" i="28"/>
  <c r="E82" i="27"/>
  <c r="D83" i="27" s="1"/>
  <c r="C83" i="27" s="1"/>
  <c r="F132" i="30"/>
  <c r="E132" i="30"/>
  <c r="D132" i="30"/>
  <c r="T132" i="30" s="1"/>
  <c r="D138" i="29"/>
  <c r="E138" i="29"/>
  <c r="F138" i="29"/>
  <c r="F83" i="27"/>
  <c r="AA82" i="26"/>
  <c r="Z82" i="26" s="1"/>
  <c r="P82" i="26" s="1"/>
  <c r="R82" i="26" s="1"/>
  <c r="F84" i="28" l="1"/>
  <c r="D84" i="28"/>
  <c r="C84" i="28" s="1"/>
  <c r="D133" i="30"/>
  <c r="T133" i="30" s="1"/>
  <c r="E133" i="30"/>
  <c r="F133" i="30"/>
  <c r="AB82" i="26"/>
  <c r="D139" i="29"/>
  <c r="E139" i="29"/>
  <c r="F139" i="29"/>
  <c r="E83" i="27"/>
  <c r="P83" i="27"/>
  <c r="R83" i="27" s="1"/>
  <c r="T84" i="28" l="1"/>
  <c r="E84" i="28"/>
  <c r="F134" i="30"/>
  <c r="D134" i="30"/>
  <c r="T134" i="30" s="1"/>
  <c r="E134" i="30"/>
  <c r="F84" i="27"/>
  <c r="D84" i="27"/>
  <c r="C84" i="27" s="1"/>
  <c r="F140" i="29"/>
  <c r="D140" i="29"/>
  <c r="E140" i="29"/>
  <c r="AA83" i="26"/>
  <c r="Z83" i="26" s="1"/>
  <c r="P83" i="26" s="1"/>
  <c r="R83" i="26" s="1"/>
  <c r="D85" i="28" l="1"/>
  <c r="C85" i="28" s="1"/>
  <c r="F85" i="28"/>
  <c r="D135" i="30"/>
  <c r="T135" i="30" s="1"/>
  <c r="F135" i="30"/>
  <c r="E135" i="30"/>
  <c r="E141" i="29"/>
  <c r="F141" i="29"/>
  <c r="D141" i="29"/>
  <c r="E84" i="27"/>
  <c r="P84" i="27"/>
  <c r="R84" i="27" s="1"/>
  <c r="AB83" i="26"/>
  <c r="T85" i="28" l="1"/>
  <c r="E85" i="28"/>
  <c r="D136" i="30"/>
  <c r="T136" i="30" s="1"/>
  <c r="E136" i="30"/>
  <c r="F136" i="30"/>
  <c r="AA84" i="26"/>
  <c r="Z84" i="26" s="1"/>
  <c r="P84" i="26" s="1"/>
  <c r="R84" i="26" s="1"/>
  <c r="F85" i="27"/>
  <c r="D85" i="27"/>
  <c r="C85" i="27" s="1"/>
  <c r="P85" i="27" s="1"/>
  <c r="R85" i="27" s="1"/>
  <c r="F142" i="29"/>
  <c r="D142" i="29"/>
  <c r="E142" i="29"/>
  <c r="D86" i="28" l="1"/>
  <c r="C86" i="28" s="1"/>
  <c r="F86" i="28"/>
  <c r="E137" i="30"/>
  <c r="F137" i="30"/>
  <c r="D137" i="30"/>
  <c r="T137" i="30" s="1"/>
  <c r="E143" i="29"/>
  <c r="F143" i="29"/>
  <c r="D143" i="29"/>
  <c r="AB84" i="26"/>
  <c r="E85" i="27"/>
  <c r="T86" i="28" l="1"/>
  <c r="E86" i="28"/>
  <c r="F138" i="30"/>
  <c r="D138" i="30"/>
  <c r="T138" i="30" s="1"/>
  <c r="E138" i="30"/>
  <c r="D144" i="29"/>
  <c r="E144" i="29"/>
  <c r="F144" i="29"/>
  <c r="AA85" i="26"/>
  <c r="Z85" i="26" s="1"/>
  <c r="P85" i="26" s="1"/>
  <c r="R85" i="26" s="1"/>
  <c r="D86" i="27"/>
  <c r="C86" i="27" s="1"/>
  <c r="P86" i="27" s="1"/>
  <c r="R86" i="27" s="1"/>
  <c r="F86" i="27"/>
  <c r="D87" i="28" l="1"/>
  <c r="C87" i="28" s="1"/>
  <c r="T87" i="28" s="1"/>
  <c r="F87" i="28"/>
  <c r="F139" i="30"/>
  <c r="E139" i="30"/>
  <c r="D139" i="30"/>
  <c r="T139" i="30" s="1"/>
  <c r="E86" i="27"/>
  <c r="D87" i="27" s="1"/>
  <c r="C87" i="27" s="1"/>
  <c r="P87" i="27" s="1"/>
  <c r="R87" i="27" s="1"/>
  <c r="F87" i="27"/>
  <c r="AB85" i="26"/>
  <c r="E145" i="29"/>
  <c r="D145" i="29"/>
  <c r="F145" i="29"/>
  <c r="E87" i="28" l="1"/>
  <c r="F140" i="30"/>
  <c r="D140" i="30"/>
  <c r="T140" i="30" s="1"/>
  <c r="E140" i="30"/>
  <c r="E87" i="27"/>
  <c r="D88" i="27" s="1"/>
  <c r="C88" i="27" s="1"/>
  <c r="P88" i="27" s="1"/>
  <c r="R88" i="27" s="1"/>
  <c r="F88" i="27"/>
  <c r="AA86" i="26"/>
  <c r="Z86" i="26" s="1"/>
  <c r="P86" i="26" s="1"/>
  <c r="R86" i="26" s="1"/>
  <c r="E146" i="29"/>
  <c r="F146" i="29"/>
  <c r="D146" i="29"/>
  <c r="D88" i="28" l="1"/>
  <c r="C88" i="28" s="1"/>
  <c r="T88" i="28" s="1"/>
  <c r="F88" i="28"/>
  <c r="D141" i="30"/>
  <c r="T141" i="30" s="1"/>
  <c r="F141" i="30"/>
  <c r="E141" i="30"/>
  <c r="AB86" i="26"/>
  <c r="D147" i="29"/>
  <c r="E147" i="29"/>
  <c r="F147" i="29"/>
  <c r="E88" i="27"/>
  <c r="E88" i="28" l="1"/>
  <c r="E142" i="30"/>
  <c r="F142" i="30"/>
  <c r="D142" i="30"/>
  <c r="T142" i="30" s="1"/>
  <c r="F89" i="27"/>
  <c r="D89" i="27"/>
  <c r="C89" i="27" s="1"/>
  <c r="P89" i="27" s="1"/>
  <c r="R89" i="27" s="1"/>
  <c r="D148" i="29"/>
  <c r="E148" i="29"/>
  <c r="F148" i="29"/>
  <c r="AA87" i="26"/>
  <c r="Z87" i="26" s="1"/>
  <c r="P87" i="26" s="1"/>
  <c r="R87" i="26" s="1"/>
  <c r="F89" i="28" l="1"/>
  <c r="D89" i="28"/>
  <c r="C89" i="28" s="1"/>
  <c r="T89" i="28" s="1"/>
  <c r="D143" i="30"/>
  <c r="T143" i="30" s="1"/>
  <c r="F143" i="30"/>
  <c r="E143" i="30"/>
  <c r="AB87" i="26"/>
  <c r="E89" i="27"/>
  <c r="E149" i="29"/>
  <c r="F149" i="29"/>
  <c r="D149" i="29"/>
  <c r="E89" i="28" l="1"/>
  <c r="F144" i="30"/>
  <c r="D144" i="30"/>
  <c r="T144" i="30" s="1"/>
  <c r="E144" i="30"/>
  <c r="D150" i="29"/>
  <c r="F150" i="29"/>
  <c r="E150" i="29"/>
  <c r="F90" i="27"/>
  <c r="D90" i="27"/>
  <c r="C90" i="27" s="1"/>
  <c r="P90" i="27" s="1"/>
  <c r="R90" i="27" s="1"/>
  <c r="AA88" i="26"/>
  <c r="Z88" i="26" s="1"/>
  <c r="P88" i="26" s="1"/>
  <c r="R88" i="26" s="1"/>
  <c r="F90" i="28" l="1"/>
  <c r="D90" i="28"/>
  <c r="C90" i="28" s="1"/>
  <c r="T90" i="28" s="1"/>
  <c r="F145" i="30"/>
  <c r="D145" i="30"/>
  <c r="T145" i="30" s="1"/>
  <c r="E145" i="30"/>
  <c r="E151" i="29"/>
  <c r="D151" i="29"/>
  <c r="F151" i="29"/>
  <c r="AB88" i="26"/>
  <c r="E90" i="27"/>
  <c r="E90" i="28" l="1"/>
  <c r="F146" i="30"/>
  <c r="D146" i="30"/>
  <c r="T146" i="30" s="1"/>
  <c r="E146" i="30"/>
  <c r="F91" i="27"/>
  <c r="D91" i="27"/>
  <c r="C91" i="27" s="1"/>
  <c r="P91" i="27" s="1"/>
  <c r="R91" i="27" s="1"/>
  <c r="AA89" i="26"/>
  <c r="Z89" i="26" s="1"/>
  <c r="P89" i="26" s="1"/>
  <c r="R89" i="26" s="1"/>
  <c r="D152" i="29"/>
  <c r="E152" i="29"/>
  <c r="F152" i="29"/>
  <c r="D91" i="28" l="1"/>
  <c r="C91" i="28" s="1"/>
  <c r="T91" i="28" s="1"/>
  <c r="F91" i="28"/>
  <c r="F147" i="30"/>
  <c r="D147" i="30"/>
  <c r="T147" i="30" s="1"/>
  <c r="E147" i="30"/>
  <c r="E91" i="27"/>
  <c r="D92" i="27" s="1"/>
  <c r="C92" i="27" s="1"/>
  <c r="P92" i="27" s="1"/>
  <c r="R92" i="27" s="1"/>
  <c r="AB89" i="26"/>
  <c r="F92" i="27"/>
  <c r="F153" i="29"/>
  <c r="E153" i="29"/>
  <c r="D153" i="29"/>
  <c r="E91" i="28" l="1"/>
  <c r="F148" i="30"/>
  <c r="E148" i="30"/>
  <c r="D148" i="30"/>
  <c r="T148" i="30" s="1"/>
  <c r="E92" i="27"/>
  <c r="D93" i="27" s="1"/>
  <c r="C93" i="27" s="1"/>
  <c r="F154" i="29"/>
  <c r="D154" i="29"/>
  <c r="E154" i="29"/>
  <c r="AA90" i="26"/>
  <c r="Z90" i="26" s="1"/>
  <c r="P90" i="26" s="1"/>
  <c r="R90" i="26" s="1"/>
  <c r="F92" i="28" l="1"/>
  <c r="D92" i="28"/>
  <c r="C92" i="28" s="1"/>
  <c r="T92" i="28" s="1"/>
  <c r="F93" i="27"/>
  <c r="F149" i="30"/>
  <c r="E149" i="30"/>
  <c r="D149" i="30"/>
  <c r="T149" i="30" s="1"/>
  <c r="E93" i="27"/>
  <c r="P93" i="27"/>
  <c r="R93" i="27" s="1"/>
  <c r="E155" i="29"/>
  <c r="F155" i="29"/>
  <c r="D155" i="29"/>
  <c r="AB90" i="26"/>
  <c r="E92" i="28" l="1"/>
  <c r="D150" i="30"/>
  <c r="T150" i="30" s="1"/>
  <c r="F150" i="30"/>
  <c r="E150" i="30"/>
  <c r="D156" i="29"/>
  <c r="F156" i="29"/>
  <c r="E156" i="29"/>
  <c r="F94" i="27"/>
  <c r="D94" i="27"/>
  <c r="C94" i="27" s="1"/>
  <c r="AA91" i="26"/>
  <c r="Z91" i="26" s="1"/>
  <c r="P91" i="26" s="1"/>
  <c r="R91" i="26" s="1"/>
  <c r="D93" i="28" l="1"/>
  <c r="C93" i="28" s="1"/>
  <c r="T93" i="28" s="1"/>
  <c r="F93" i="28"/>
  <c r="D151" i="30"/>
  <c r="T151" i="30" s="1"/>
  <c r="E151" i="30"/>
  <c r="F151" i="30"/>
  <c r="F157" i="29"/>
  <c r="D157" i="29"/>
  <c r="E157" i="29"/>
  <c r="E94" i="27"/>
  <c r="P94" i="27"/>
  <c r="R94" i="27" s="1"/>
  <c r="AB91" i="26"/>
  <c r="E93" i="28" l="1"/>
  <c r="D94" i="28"/>
  <c r="C94" i="28" s="1"/>
  <c r="F94" i="28"/>
  <c r="D152" i="30"/>
  <c r="T152" i="30" s="1"/>
  <c r="F152" i="30"/>
  <c r="E152" i="30"/>
  <c r="AA92" i="26"/>
  <c r="Z92" i="26" s="1"/>
  <c r="P92" i="26" s="1"/>
  <c r="R92" i="26" s="1"/>
  <c r="F158" i="29"/>
  <c r="E158" i="29"/>
  <c r="D158" i="29"/>
  <c r="F95" i="27"/>
  <c r="D95" i="27"/>
  <c r="C95" i="27" s="1"/>
  <c r="T94" i="28" l="1"/>
  <c r="E94" i="28"/>
  <c r="E153" i="30"/>
  <c r="D153" i="30"/>
  <c r="T153" i="30" s="1"/>
  <c r="F153" i="30"/>
  <c r="E159" i="29"/>
  <c r="F159" i="29"/>
  <c r="D159" i="29"/>
  <c r="AB92" i="26"/>
  <c r="E95" i="27"/>
  <c r="P95" i="27"/>
  <c r="R95" i="27" s="1"/>
  <c r="D95" i="28" l="1"/>
  <c r="C95" i="28" s="1"/>
  <c r="F95" i="28"/>
  <c r="F154" i="30"/>
  <c r="D154" i="30"/>
  <c r="T154" i="30" s="1"/>
  <c r="E154" i="30"/>
  <c r="D160" i="29"/>
  <c r="F160" i="29"/>
  <c r="E160" i="29"/>
  <c r="F96" i="27"/>
  <c r="D96" i="27"/>
  <c r="C96" i="27" s="1"/>
  <c r="AA93" i="26"/>
  <c r="Z93" i="26" s="1"/>
  <c r="P93" i="26" s="1"/>
  <c r="R93" i="26" s="1"/>
  <c r="T95" i="28" l="1"/>
  <c r="E95" i="28"/>
  <c r="F155" i="30"/>
  <c r="D155" i="30"/>
  <c r="T155" i="30" s="1"/>
  <c r="E155" i="30"/>
  <c r="E96" i="27"/>
  <c r="P96" i="27"/>
  <c r="R96" i="27" s="1"/>
  <c r="AB93" i="26"/>
  <c r="D161" i="29"/>
  <c r="E161" i="29"/>
  <c r="F161" i="29"/>
  <c r="D96" i="28" l="1"/>
  <c r="C96" i="28" s="1"/>
  <c r="F96" i="28"/>
  <c r="F156" i="30"/>
  <c r="D156" i="30"/>
  <c r="T156" i="30" s="1"/>
  <c r="E156" i="30"/>
  <c r="AA94" i="26"/>
  <c r="Z94" i="26" s="1"/>
  <c r="P94" i="26" s="1"/>
  <c r="R94" i="26" s="1"/>
  <c r="E162" i="29"/>
  <c r="D162" i="29"/>
  <c r="F162" i="29"/>
  <c r="F97" i="27"/>
  <c r="D97" i="27"/>
  <c r="C97" i="27" s="1"/>
  <c r="T96" i="28" l="1"/>
  <c r="E96" i="28"/>
  <c r="D157" i="30"/>
  <c r="T157" i="30" s="1"/>
  <c r="F157" i="30"/>
  <c r="E157" i="30"/>
  <c r="E97" i="27"/>
  <c r="P97" i="27"/>
  <c r="R97" i="27" s="1"/>
  <c r="E163" i="29"/>
  <c r="D163" i="29"/>
  <c r="F163" i="29"/>
  <c r="AB94" i="26"/>
  <c r="F97" i="28" l="1"/>
  <c r="D97" i="28"/>
  <c r="C97" i="28" s="1"/>
  <c r="E158" i="30"/>
  <c r="F158" i="30"/>
  <c r="D158" i="30"/>
  <c r="T158" i="30" s="1"/>
  <c r="F98" i="27"/>
  <c r="D98" i="27"/>
  <c r="C98" i="27" s="1"/>
  <c r="E164" i="29"/>
  <c r="D164" i="29"/>
  <c r="F164" i="29"/>
  <c r="AA95" i="26"/>
  <c r="Z95" i="26" s="1"/>
  <c r="P95" i="26" s="1"/>
  <c r="R95" i="26" s="1"/>
  <c r="T97" i="28" l="1"/>
  <c r="E97" i="28"/>
  <c r="AB95" i="26"/>
  <c r="AA96" i="26" s="1"/>
  <c r="Z96" i="26" s="1"/>
  <c r="P96" i="26" s="1"/>
  <c r="R96" i="26" s="1"/>
  <c r="D159" i="30"/>
  <c r="T159" i="30" s="1"/>
  <c r="E159" i="30"/>
  <c r="F159" i="30"/>
  <c r="F165" i="29"/>
  <c r="E165" i="29"/>
  <c r="D165" i="29"/>
  <c r="E98" i="27"/>
  <c r="P98" i="27"/>
  <c r="R98" i="27" s="1"/>
  <c r="D98" i="28" l="1"/>
  <c r="C98" i="28" s="1"/>
  <c r="F98" i="28"/>
  <c r="E160" i="30"/>
  <c r="F160" i="30"/>
  <c r="D160" i="30"/>
  <c r="T160" i="30" s="1"/>
  <c r="F99" i="27"/>
  <c r="D99" i="27"/>
  <c r="C99" i="27" s="1"/>
  <c r="AB96" i="26"/>
  <c r="E166" i="29"/>
  <c r="D166" i="29"/>
  <c r="F166" i="29"/>
  <c r="T98" i="28" l="1"/>
  <c r="E98" i="28"/>
  <c r="F161" i="30"/>
  <c r="D161" i="30"/>
  <c r="T161" i="30" s="1"/>
  <c r="E161" i="30"/>
  <c r="AA97" i="26"/>
  <c r="Z97" i="26" s="1"/>
  <c r="P97" i="26" s="1"/>
  <c r="R97" i="26" s="1"/>
  <c r="E167" i="29"/>
  <c r="F167" i="29"/>
  <c r="D167" i="29"/>
  <c r="E99" i="27"/>
  <c r="P99" i="27"/>
  <c r="R99" i="27" s="1"/>
  <c r="D99" i="28" l="1"/>
  <c r="C99" i="28" s="1"/>
  <c r="T99" i="28" s="1"/>
  <c r="F99" i="28"/>
  <c r="D162" i="30"/>
  <c r="T162" i="30" s="1"/>
  <c r="F162" i="30"/>
  <c r="E162" i="30"/>
  <c r="D168" i="29"/>
  <c r="E168" i="29"/>
  <c r="F168" i="29"/>
  <c r="F100" i="27"/>
  <c r="D100" i="27"/>
  <c r="C100" i="27" s="1"/>
  <c r="AB97" i="26"/>
  <c r="E99" i="28" l="1"/>
  <c r="F100" i="28"/>
  <c r="D100" i="28"/>
  <c r="C100" i="28" s="1"/>
  <c r="T100" i="28" s="1"/>
  <c r="F163" i="30"/>
  <c r="D163" i="30"/>
  <c r="T163" i="30" s="1"/>
  <c r="E163" i="30"/>
  <c r="AA98" i="26"/>
  <c r="Z98" i="26" s="1"/>
  <c r="P98" i="26" s="1"/>
  <c r="R98" i="26" s="1"/>
  <c r="D169" i="29"/>
  <c r="F169" i="29"/>
  <c r="E169" i="29"/>
  <c r="E100" i="27"/>
  <c r="P100" i="27"/>
  <c r="R100" i="27" s="1"/>
  <c r="E100" i="28" l="1"/>
  <c r="F164" i="30"/>
  <c r="D164" i="30"/>
  <c r="T164" i="30" s="1"/>
  <c r="E164" i="30"/>
  <c r="D170" i="29"/>
  <c r="F170" i="29"/>
  <c r="E170" i="29"/>
  <c r="F101" i="27"/>
  <c r="D101" i="27"/>
  <c r="C101" i="27" s="1"/>
  <c r="AB98" i="26"/>
  <c r="D101" i="28" l="1"/>
  <c r="C101" i="28" s="1"/>
  <c r="T101" i="28" s="1"/>
  <c r="F101" i="28"/>
  <c r="E165" i="30"/>
  <c r="F165" i="30"/>
  <c r="D165" i="30"/>
  <c r="T165" i="30" s="1"/>
  <c r="AA99" i="26"/>
  <c r="Z99" i="26" s="1"/>
  <c r="P99" i="26" s="1"/>
  <c r="R99" i="26" s="1"/>
  <c r="E101" i="27"/>
  <c r="P101" i="27"/>
  <c r="R101" i="27" s="1"/>
  <c r="E171" i="29"/>
  <c r="D171" i="29"/>
  <c r="F171" i="29"/>
  <c r="E101" i="28" l="1"/>
  <c r="F166" i="30"/>
  <c r="D166" i="30"/>
  <c r="T166" i="30" s="1"/>
  <c r="E166" i="30"/>
  <c r="F102" i="27"/>
  <c r="D102" i="27"/>
  <c r="C102" i="27" s="1"/>
  <c r="D172" i="29"/>
  <c r="E172" i="29"/>
  <c r="F172" i="29"/>
  <c r="AB99" i="26"/>
  <c r="D102" i="28" l="1"/>
  <c r="C102" i="28" s="1"/>
  <c r="T102" i="28" s="1"/>
  <c r="F102" i="28"/>
  <c r="D167" i="30"/>
  <c r="T167" i="30" s="1"/>
  <c r="E167" i="30"/>
  <c r="F167" i="30"/>
  <c r="E173" i="29"/>
  <c r="F173" i="29"/>
  <c r="D173" i="29"/>
  <c r="E102" i="27"/>
  <c r="P102" i="27"/>
  <c r="R102" i="27" s="1"/>
  <c r="AA100" i="26"/>
  <c r="Z100" i="26" s="1"/>
  <c r="P100" i="26" s="1"/>
  <c r="R100" i="26" s="1"/>
  <c r="E102" i="28" l="1"/>
  <c r="D168" i="30"/>
  <c r="T168" i="30" s="1"/>
  <c r="E168" i="30"/>
  <c r="F168" i="30"/>
  <c r="F103" i="27"/>
  <c r="D103" i="27"/>
  <c r="C103" i="27" s="1"/>
  <c r="AB100" i="26"/>
  <c r="F174" i="29"/>
  <c r="E174" i="29"/>
  <c r="D174" i="29"/>
  <c r="D103" i="28" l="1"/>
  <c r="C103" i="28" s="1"/>
  <c r="T103" i="28" s="1"/>
  <c r="F103" i="28"/>
  <c r="E103" i="28"/>
  <c r="D169" i="30"/>
  <c r="T169" i="30" s="1"/>
  <c r="E169" i="30"/>
  <c r="F169" i="30"/>
  <c r="AA101" i="26"/>
  <c r="Z101" i="26" s="1"/>
  <c r="P101" i="26" s="1"/>
  <c r="R101" i="26" s="1"/>
  <c r="E103" i="27"/>
  <c r="P103" i="27"/>
  <c r="R103" i="27" s="1"/>
  <c r="E175" i="29"/>
  <c r="F175" i="29"/>
  <c r="D175" i="29"/>
  <c r="D104" i="28" l="1"/>
  <c r="C104" i="28" s="1"/>
  <c r="T104" i="28" s="1"/>
  <c r="F104" i="28"/>
  <c r="E170" i="30"/>
  <c r="F170" i="30"/>
  <c r="D170" i="30"/>
  <c r="T170" i="30" s="1"/>
  <c r="F104" i="27"/>
  <c r="D104" i="27"/>
  <c r="C104" i="27" s="1"/>
  <c r="P104" i="27" s="1"/>
  <c r="R104" i="27" s="1"/>
  <c r="AB101" i="26"/>
  <c r="E176" i="29"/>
  <c r="F176" i="29"/>
  <c r="D176" i="29"/>
  <c r="E104" i="28" l="1"/>
  <c r="F105" i="28"/>
  <c r="D105" i="28"/>
  <c r="C105" i="28" s="1"/>
  <c r="F171" i="30"/>
  <c r="E171" i="30"/>
  <c r="D171" i="30"/>
  <c r="T171" i="30" s="1"/>
  <c r="E177" i="29"/>
  <c r="F177" i="29"/>
  <c r="D177" i="29"/>
  <c r="AA102" i="26"/>
  <c r="Z102" i="26" s="1"/>
  <c r="P102" i="26" s="1"/>
  <c r="R102" i="26" s="1"/>
  <c r="E104" i="27"/>
  <c r="T105" i="28" l="1"/>
  <c r="E105" i="28"/>
  <c r="D172" i="30"/>
  <c r="T172" i="30" s="1"/>
  <c r="F172" i="30"/>
  <c r="E172" i="30"/>
  <c r="F105" i="27"/>
  <c r="D105" i="27"/>
  <c r="C105" i="27" s="1"/>
  <c r="P105" i="27" s="1"/>
  <c r="R105" i="27" s="1"/>
  <c r="D178" i="29"/>
  <c r="F178" i="29"/>
  <c r="E178" i="29"/>
  <c r="AB102" i="26"/>
  <c r="D106" i="28" l="1"/>
  <c r="C106" i="28" s="1"/>
  <c r="T106" i="28" s="1"/>
  <c r="F106" i="28"/>
  <c r="E106" i="28"/>
  <c r="D173" i="30"/>
  <c r="T173" i="30" s="1"/>
  <c r="F173" i="30"/>
  <c r="E173" i="30"/>
  <c r="E105" i="27"/>
  <c r="AA103" i="26"/>
  <c r="Z103" i="26" s="1"/>
  <c r="P103" i="26" s="1"/>
  <c r="R103" i="26" s="1"/>
  <c r="E179" i="29"/>
  <c r="F179" i="29"/>
  <c r="D179" i="29"/>
  <c r="D107" i="28" l="1"/>
  <c r="C107" i="28" s="1"/>
  <c r="F107" i="28"/>
  <c r="F174" i="30"/>
  <c r="D174" i="30"/>
  <c r="T174" i="30" s="1"/>
  <c r="E174" i="30"/>
  <c r="F106" i="27"/>
  <c r="D106" i="27"/>
  <c r="C106" i="27" s="1"/>
  <c r="P106" i="27" s="1"/>
  <c r="R106" i="27" s="1"/>
  <c r="D180" i="29"/>
  <c r="E180" i="29"/>
  <c r="F180" i="29"/>
  <c r="AB103" i="26"/>
  <c r="T107" i="28" l="1"/>
  <c r="E107" i="28"/>
  <c r="E175" i="30"/>
  <c r="F175" i="30"/>
  <c r="D175" i="30"/>
  <c r="T175" i="30" s="1"/>
  <c r="F181" i="29"/>
  <c r="D181" i="29"/>
  <c r="E181" i="29"/>
  <c r="E106" i="27"/>
  <c r="AA104" i="26"/>
  <c r="Z104" i="26" s="1"/>
  <c r="P104" i="26" s="1"/>
  <c r="R104" i="26" s="1"/>
  <c r="D108" i="28" l="1"/>
  <c r="C108" i="28" s="1"/>
  <c r="F108" i="28"/>
  <c r="D176" i="30"/>
  <c r="T176" i="30" s="1"/>
  <c r="E176" i="30"/>
  <c r="F176" i="30"/>
  <c r="F107" i="27"/>
  <c r="D107" i="27"/>
  <c r="C107" i="27" s="1"/>
  <c r="P107" i="27" s="1"/>
  <c r="R107" i="27" s="1"/>
  <c r="E182" i="29"/>
  <c r="D182" i="29"/>
  <c r="F182" i="29"/>
  <c r="AB104" i="26"/>
  <c r="T108" i="28" l="1"/>
  <c r="E108" i="28"/>
  <c r="D177" i="30"/>
  <c r="T177" i="30" s="1"/>
  <c r="E177" i="30"/>
  <c r="F177" i="30"/>
  <c r="AA105" i="26"/>
  <c r="Z105" i="26" s="1"/>
  <c r="P105" i="26" s="1"/>
  <c r="R105" i="26" s="1"/>
  <c r="D183" i="29"/>
  <c r="F183" i="29"/>
  <c r="E183" i="29"/>
  <c r="E107" i="27"/>
  <c r="D109" i="28" l="1"/>
  <c r="C109" i="28" s="1"/>
  <c r="F109" i="28"/>
  <c r="D178" i="30"/>
  <c r="T178" i="30" s="1"/>
  <c r="F178" i="30"/>
  <c r="E178" i="30"/>
  <c r="AB105" i="26"/>
  <c r="F108" i="27"/>
  <c r="D108" i="27"/>
  <c r="C108" i="27" s="1"/>
  <c r="P108" i="27" s="1"/>
  <c r="R108" i="27" s="1"/>
  <c r="F184" i="29"/>
  <c r="D184" i="29"/>
  <c r="E184" i="29"/>
  <c r="T109" i="28" l="1"/>
  <c r="E109" i="28"/>
  <c r="E179" i="30"/>
  <c r="F179" i="30"/>
  <c r="D179" i="30"/>
  <c r="T179" i="30" s="1"/>
  <c r="E108" i="27"/>
  <c r="F109" i="27" s="1"/>
  <c r="AA106" i="26"/>
  <c r="Z106" i="26" s="1"/>
  <c r="P106" i="26" s="1"/>
  <c r="R106" i="26" s="1"/>
  <c r="E185" i="29"/>
  <c r="D185" i="29"/>
  <c r="F185" i="29"/>
  <c r="D110" i="28" l="1"/>
  <c r="C110" i="28" s="1"/>
  <c r="T110" i="28" s="1"/>
  <c r="F110" i="28"/>
  <c r="D109" i="27"/>
  <c r="C109" i="27" s="1"/>
  <c r="P109" i="27" s="1"/>
  <c r="R109" i="27" s="1"/>
  <c r="F180" i="30"/>
  <c r="E180" i="30"/>
  <c r="D180" i="30"/>
  <c r="T180" i="30" s="1"/>
  <c r="AB106" i="26"/>
  <c r="F186" i="29"/>
  <c r="D186" i="29"/>
  <c r="E186" i="29"/>
  <c r="E110" i="28" l="1"/>
  <c r="D111" i="28"/>
  <c r="C111" i="28" s="1"/>
  <c r="F111" i="28"/>
  <c r="E109" i="27"/>
  <c r="D110" i="27" s="1"/>
  <c r="C110" i="27" s="1"/>
  <c r="P110" i="27" s="1"/>
  <c r="R110" i="27" s="1"/>
  <c r="D181" i="30"/>
  <c r="T181" i="30" s="1"/>
  <c r="E181" i="30"/>
  <c r="F181" i="30"/>
  <c r="E187" i="29"/>
  <c r="D187" i="29"/>
  <c r="F187" i="29"/>
  <c r="F110" i="27"/>
  <c r="AA107" i="26"/>
  <c r="Z107" i="26" s="1"/>
  <c r="P107" i="26" s="1"/>
  <c r="R107" i="26" s="1"/>
  <c r="T111" i="28" l="1"/>
  <c r="E111" i="28"/>
  <c r="E110" i="27"/>
  <c r="D111" i="27" s="1"/>
  <c r="C111" i="27" s="1"/>
  <c r="P111" i="27" s="1"/>
  <c r="R111" i="27" s="1"/>
  <c r="E182" i="30"/>
  <c r="F182" i="30"/>
  <c r="D182" i="30"/>
  <c r="T182" i="30" s="1"/>
  <c r="F111" i="27"/>
  <c r="AB107" i="26"/>
  <c r="E188" i="29"/>
  <c r="D188" i="29"/>
  <c r="F188" i="29"/>
  <c r="F112" i="28" l="1"/>
  <c r="D112" i="28"/>
  <c r="C112" i="28" s="1"/>
  <c r="E183" i="30"/>
  <c r="D183" i="30"/>
  <c r="T183" i="30" s="1"/>
  <c r="F183" i="30"/>
  <c r="E189" i="29"/>
  <c r="F189" i="29"/>
  <c r="D189" i="29"/>
  <c r="E111" i="27"/>
  <c r="AA108" i="26"/>
  <c r="Z108" i="26" s="1"/>
  <c r="P108" i="26" s="1"/>
  <c r="R108" i="26" s="1"/>
  <c r="T112" i="28" l="1"/>
  <c r="E112" i="28"/>
  <c r="E184" i="30"/>
  <c r="D184" i="30"/>
  <c r="T184" i="30" s="1"/>
  <c r="F184" i="30"/>
  <c r="AB108" i="26"/>
  <c r="F112" i="27"/>
  <c r="D112" i="27"/>
  <c r="C112" i="27" s="1"/>
  <c r="P112" i="27" s="1"/>
  <c r="R112" i="27" s="1"/>
  <c r="E190" i="29"/>
  <c r="D190" i="29"/>
  <c r="F190" i="29"/>
  <c r="D113" i="28" l="1"/>
  <c r="C113" i="28" s="1"/>
  <c r="F113" i="28"/>
  <c r="D185" i="30"/>
  <c r="T185" i="30" s="1"/>
  <c r="E185" i="30"/>
  <c r="F185" i="30"/>
  <c r="E191" i="29"/>
  <c r="F191" i="29"/>
  <c r="D191" i="29"/>
  <c r="E112" i="27"/>
  <c r="AA109" i="26"/>
  <c r="Z109" i="26" s="1"/>
  <c r="P109" i="26" s="1"/>
  <c r="R109" i="26" s="1"/>
  <c r="T113" i="28" l="1"/>
  <c r="E113" i="28"/>
  <c r="F186" i="30"/>
  <c r="D186" i="30"/>
  <c r="T186" i="30" s="1"/>
  <c r="E186" i="30"/>
  <c r="AB109" i="26"/>
  <c r="AA110" i="26" s="1"/>
  <c r="Z110" i="26" s="1"/>
  <c r="P110" i="26" s="1"/>
  <c r="R110" i="26" s="1"/>
  <c r="E192" i="29"/>
  <c r="D192" i="29"/>
  <c r="F192" i="29"/>
  <c r="F113" i="27"/>
  <c r="D113" i="27"/>
  <c r="C113" i="27" s="1"/>
  <c r="P113" i="27" s="1"/>
  <c r="R113" i="27" s="1"/>
  <c r="D114" i="28" l="1"/>
  <c r="C114" i="28" s="1"/>
  <c r="F114" i="28"/>
  <c r="D187" i="30"/>
  <c r="T187" i="30" s="1"/>
  <c r="E187" i="30"/>
  <c r="F187" i="30"/>
  <c r="E113" i="27"/>
  <c r="F114" i="27" s="1"/>
  <c r="AB110" i="26"/>
  <c r="E193" i="29"/>
  <c r="D193" i="29"/>
  <c r="F193" i="29"/>
  <c r="T114" i="28" l="1"/>
  <c r="E114" i="28"/>
  <c r="D114" i="27"/>
  <c r="C114" i="27" s="1"/>
  <c r="P114" i="27" s="1"/>
  <c r="R114" i="27" s="1"/>
  <c r="F188" i="30"/>
  <c r="E188" i="30"/>
  <c r="D188" i="30"/>
  <c r="T188" i="30" s="1"/>
  <c r="E194" i="29"/>
  <c r="F194" i="29"/>
  <c r="D194" i="29"/>
  <c r="AA111" i="26"/>
  <c r="Z111" i="26" s="1"/>
  <c r="P111" i="26" s="1"/>
  <c r="R111" i="26" s="1"/>
  <c r="D115" i="28" l="1"/>
  <c r="C115" i="28" s="1"/>
  <c r="F115" i="28"/>
  <c r="E114" i="27"/>
  <c r="D115" i="27" s="1"/>
  <c r="C115" i="27" s="1"/>
  <c r="P115" i="27" s="1"/>
  <c r="R115" i="27" s="1"/>
  <c r="F189" i="30"/>
  <c r="E189" i="30"/>
  <c r="D189" i="30"/>
  <c r="T189" i="30" s="1"/>
  <c r="F195" i="29"/>
  <c r="D195" i="29"/>
  <c r="E195" i="29"/>
  <c r="AB111" i="26"/>
  <c r="T115" i="28" l="1"/>
  <c r="E115" i="28"/>
  <c r="E115" i="27"/>
  <c r="F115" i="27"/>
  <c r="D190" i="30"/>
  <c r="T190" i="30" s="1"/>
  <c r="E190" i="30"/>
  <c r="F190" i="30"/>
  <c r="AA112" i="26"/>
  <c r="Z112" i="26" s="1"/>
  <c r="P112" i="26" s="1"/>
  <c r="R112" i="26" s="1"/>
  <c r="E196" i="29"/>
  <c r="D196" i="29"/>
  <c r="F196" i="29"/>
  <c r="F116" i="27"/>
  <c r="D116" i="27"/>
  <c r="C116" i="27" s="1"/>
  <c r="P116" i="27" s="1"/>
  <c r="R116" i="27" s="1"/>
  <c r="F116" i="28" l="1"/>
  <c r="D116" i="28"/>
  <c r="C116" i="28" s="1"/>
  <c r="F191" i="30"/>
  <c r="E191" i="30"/>
  <c r="D191" i="30"/>
  <c r="T191" i="30" s="1"/>
  <c r="E116" i="27"/>
  <c r="D117" i="27" s="1"/>
  <c r="C117" i="27" s="1"/>
  <c r="P117" i="27" s="1"/>
  <c r="R117" i="27" s="1"/>
  <c r="E197" i="29"/>
  <c r="D197" i="29"/>
  <c r="F197" i="29"/>
  <c r="AB112" i="26"/>
  <c r="T116" i="28" l="1"/>
  <c r="E116" i="28"/>
  <c r="F117" i="27"/>
  <c r="E192" i="30"/>
  <c r="F192" i="30"/>
  <c r="D192" i="30"/>
  <c r="T192" i="30" s="1"/>
  <c r="E117" i="27"/>
  <c r="AA113" i="26"/>
  <c r="Z113" i="26" s="1"/>
  <c r="P113" i="26" s="1"/>
  <c r="R113" i="26" s="1"/>
  <c r="E198" i="29"/>
  <c r="D198" i="29"/>
  <c r="F198" i="29"/>
  <c r="D117" i="28" l="1"/>
  <c r="C117" i="28" s="1"/>
  <c r="F117" i="28"/>
  <c r="D193" i="30"/>
  <c r="T193" i="30" s="1"/>
  <c r="F193" i="30"/>
  <c r="E193" i="30"/>
  <c r="AB113" i="26"/>
  <c r="D118" i="27"/>
  <c r="C118" i="27" s="1"/>
  <c r="P118" i="27" s="1"/>
  <c r="R118" i="27" s="1"/>
  <c r="F118" i="27"/>
  <c r="F199" i="29"/>
  <c r="E199" i="29"/>
  <c r="D199" i="29"/>
  <c r="T117" i="28" l="1"/>
  <c r="E117" i="28"/>
  <c r="F194" i="30"/>
  <c r="D194" i="30"/>
  <c r="T194" i="30" s="1"/>
  <c r="E194" i="30"/>
  <c r="E200" i="29"/>
  <c r="F200" i="29"/>
  <c r="D200" i="29"/>
  <c r="E118" i="27"/>
  <c r="AA114" i="26"/>
  <c r="Z114" i="26" s="1"/>
  <c r="P114" i="26" s="1"/>
  <c r="R114" i="26" s="1"/>
  <c r="D118" i="28" l="1"/>
  <c r="C118" i="28" s="1"/>
  <c r="F118" i="28"/>
  <c r="E195" i="30"/>
  <c r="D195" i="30"/>
  <c r="T195" i="30" s="1"/>
  <c r="F195" i="30"/>
  <c r="AB114" i="26"/>
  <c r="AA115" i="26" s="1"/>
  <c r="Z115" i="26" s="1"/>
  <c r="P115" i="26" s="1"/>
  <c r="R115" i="26" s="1"/>
  <c r="F201" i="29"/>
  <c r="E201" i="29"/>
  <c r="D201" i="29"/>
  <c r="D119" i="27"/>
  <c r="C119" i="27" s="1"/>
  <c r="P119" i="27" s="1"/>
  <c r="R119" i="27" s="1"/>
  <c r="F119" i="27"/>
  <c r="T118" i="28" l="1"/>
  <c r="E118" i="28"/>
  <c r="E196" i="30"/>
  <c r="F196" i="30"/>
  <c r="D196" i="30"/>
  <c r="T196" i="30" s="1"/>
  <c r="E202" i="29"/>
  <c r="F202" i="29"/>
  <c r="D202" i="29"/>
  <c r="E119" i="27"/>
  <c r="AB115" i="26"/>
  <c r="D119" i="28" l="1"/>
  <c r="C119" i="28" s="1"/>
  <c r="F119" i="28"/>
  <c r="E197" i="30"/>
  <c r="D197" i="30"/>
  <c r="T197" i="30" s="1"/>
  <c r="F197" i="30"/>
  <c r="D120" i="27"/>
  <c r="C120" i="27" s="1"/>
  <c r="P120" i="27" s="1"/>
  <c r="R120" i="27" s="1"/>
  <c r="F120" i="27"/>
  <c r="AA116" i="26"/>
  <c r="Z116" i="26" s="1"/>
  <c r="P116" i="26" s="1"/>
  <c r="R116" i="26" s="1"/>
  <c r="E203" i="29"/>
  <c r="F203" i="29"/>
  <c r="D203" i="29"/>
  <c r="T119" i="28" l="1"/>
  <c r="E119" i="28"/>
  <c r="E198" i="30"/>
  <c r="D198" i="30"/>
  <c r="T198" i="30" s="1"/>
  <c r="F198" i="30"/>
  <c r="E204" i="29"/>
  <c r="F204" i="29"/>
  <c r="D204" i="29"/>
  <c r="AB116" i="26"/>
  <c r="E120" i="27"/>
  <c r="D120" i="28" l="1"/>
  <c r="C120" i="28" s="1"/>
  <c r="T120" i="28" s="1"/>
  <c r="F120" i="28"/>
  <c r="E120" i="28"/>
  <c r="F121" i="28"/>
  <c r="D121" i="28"/>
  <c r="C121" i="28" s="1"/>
  <c r="T121" i="28" s="1"/>
  <c r="E199" i="30"/>
  <c r="F199" i="30"/>
  <c r="D199" i="30"/>
  <c r="T199" i="30" s="1"/>
  <c r="D205" i="29"/>
  <c r="E205" i="29"/>
  <c r="F205" i="29"/>
  <c r="AA117" i="26"/>
  <c r="Z117" i="26" s="1"/>
  <c r="P117" i="26" s="1"/>
  <c r="R117" i="26" s="1"/>
  <c r="D121" i="27"/>
  <c r="C121" i="27" s="1"/>
  <c r="P121" i="27" s="1"/>
  <c r="R121" i="27" s="1"/>
  <c r="F121" i="27"/>
  <c r="E121" i="28" l="1"/>
  <c r="D122" i="28"/>
  <c r="C122" i="28" s="1"/>
  <c r="T122" i="28" s="1"/>
  <c r="F122" i="28"/>
  <c r="E200" i="30"/>
  <c r="D200" i="30"/>
  <c r="T200" i="30" s="1"/>
  <c r="F200" i="30"/>
  <c r="E121" i="27"/>
  <c r="D122" i="27" s="1"/>
  <c r="C122" i="27" s="1"/>
  <c r="E206" i="29"/>
  <c r="F206" i="29"/>
  <c r="D206" i="29"/>
  <c r="AB117" i="26"/>
  <c r="E122" i="28" l="1"/>
  <c r="D123" i="28"/>
  <c r="C123" i="28" s="1"/>
  <c r="T123" i="28" s="1"/>
  <c r="F123" i="28"/>
  <c r="F122" i="27"/>
  <c r="D201" i="30"/>
  <c r="T201" i="30" s="1"/>
  <c r="E201" i="30"/>
  <c r="F201" i="30"/>
  <c r="E122" i="27"/>
  <c r="P122" i="27"/>
  <c r="R122" i="27" s="1"/>
  <c r="AA118" i="26"/>
  <c r="Z118" i="26" s="1"/>
  <c r="P118" i="26" s="1"/>
  <c r="R118" i="26" s="1"/>
  <c r="D207" i="29"/>
  <c r="E207" i="29"/>
  <c r="F207" i="29"/>
  <c r="E123" i="28" l="1"/>
  <c r="E202" i="30"/>
  <c r="D202" i="30"/>
  <c r="T202" i="30" s="1"/>
  <c r="F202" i="30"/>
  <c r="F123" i="27"/>
  <c r="D123" i="27"/>
  <c r="C123" i="27" s="1"/>
  <c r="E208" i="29"/>
  <c r="F208" i="29"/>
  <c r="D208" i="29"/>
  <c r="AB118" i="26"/>
  <c r="D124" i="28" l="1"/>
  <c r="C124" i="28" s="1"/>
  <c r="T124" i="28" s="1"/>
  <c r="F124" i="28"/>
  <c r="E203" i="30"/>
  <c r="D203" i="30"/>
  <c r="T203" i="30" s="1"/>
  <c r="F203" i="30"/>
  <c r="E209" i="29"/>
  <c r="F209" i="29"/>
  <c r="D209" i="29"/>
  <c r="AA119" i="26"/>
  <c r="Z119" i="26" s="1"/>
  <c r="P119" i="26" s="1"/>
  <c r="R119" i="26" s="1"/>
  <c r="E123" i="27"/>
  <c r="P123" i="27"/>
  <c r="R123" i="27" s="1"/>
  <c r="E124" i="28" l="1"/>
  <c r="D125" i="28"/>
  <c r="C125" i="28" s="1"/>
  <c r="T125" i="28" s="1"/>
  <c r="F125" i="28"/>
  <c r="E204" i="30"/>
  <c r="D204" i="30"/>
  <c r="T204" i="30" s="1"/>
  <c r="F204" i="30"/>
  <c r="AB119" i="26"/>
  <c r="AA120" i="26" s="1"/>
  <c r="Z120" i="26" s="1"/>
  <c r="P120" i="26" s="1"/>
  <c r="R120" i="26" s="1"/>
  <c r="F124" i="27"/>
  <c r="D124" i="27"/>
  <c r="C124" i="27" s="1"/>
  <c r="P124" i="27" s="1"/>
  <c r="R124" i="27" s="1"/>
  <c r="F210" i="29"/>
  <c r="E210" i="29"/>
  <c r="D210" i="29"/>
  <c r="E125" i="28" l="1"/>
  <c r="E205" i="30"/>
  <c r="F205" i="30"/>
  <c r="D205" i="30"/>
  <c r="T205" i="30" s="1"/>
  <c r="AB120" i="26"/>
  <c r="E211" i="29"/>
  <c r="D211" i="29"/>
  <c r="F211" i="29"/>
  <c r="E124" i="27"/>
  <c r="D126" i="28" l="1"/>
  <c r="C126" i="28" s="1"/>
  <c r="T126" i="28" s="1"/>
  <c r="F126" i="28"/>
  <c r="F206" i="30"/>
  <c r="E206" i="30"/>
  <c r="D206" i="30"/>
  <c r="T206" i="30" s="1"/>
  <c r="AA121" i="26"/>
  <c r="Z121" i="26" s="1"/>
  <c r="P121" i="26" s="1"/>
  <c r="R121" i="26" s="1"/>
  <c r="F212" i="29"/>
  <c r="E212" i="29"/>
  <c r="D212" i="29"/>
  <c r="F125" i="27"/>
  <c r="D125" i="27"/>
  <c r="C125" i="27" s="1"/>
  <c r="P125" i="27" s="1"/>
  <c r="R125" i="27" s="1"/>
  <c r="E126" i="28" l="1"/>
  <c r="F207" i="30"/>
  <c r="E207" i="30"/>
  <c r="D207" i="30"/>
  <c r="T207" i="30" s="1"/>
  <c r="E125" i="27"/>
  <c r="D126" i="27" s="1"/>
  <c r="C126" i="27" s="1"/>
  <c r="P126" i="27" s="1"/>
  <c r="R126" i="27" s="1"/>
  <c r="AB121" i="26"/>
  <c r="E213" i="29"/>
  <c r="F213" i="29"/>
  <c r="D213" i="29"/>
  <c r="F127" i="28" l="1"/>
  <c r="D127" i="28"/>
  <c r="C127" i="28" s="1"/>
  <c r="T127" i="28" s="1"/>
  <c r="F126" i="27"/>
  <c r="E208" i="30"/>
  <c r="F208" i="30"/>
  <c r="D208" i="30"/>
  <c r="T208" i="30" s="1"/>
  <c r="D214" i="29"/>
  <c r="E214" i="29"/>
  <c r="F214" i="29"/>
  <c r="AA122" i="26"/>
  <c r="Z122" i="26" s="1"/>
  <c r="P122" i="26" s="1"/>
  <c r="R122" i="26" s="1"/>
  <c r="E126" i="27"/>
  <c r="E127" i="28" l="1"/>
  <c r="F209" i="30"/>
  <c r="E209" i="30"/>
  <c r="D209" i="30"/>
  <c r="T209" i="30" s="1"/>
  <c r="AB122" i="26"/>
  <c r="AA123" i="26" s="1"/>
  <c r="Z123" i="26" s="1"/>
  <c r="P123" i="26" s="1"/>
  <c r="R123" i="26" s="1"/>
  <c r="F127" i="27"/>
  <c r="D127" i="27"/>
  <c r="C127" i="27" s="1"/>
  <c r="P127" i="27" s="1"/>
  <c r="R127" i="27" s="1"/>
  <c r="E215" i="29"/>
  <c r="F215" i="29"/>
  <c r="D215" i="29"/>
  <c r="D128" i="28" l="1"/>
  <c r="C128" i="28" s="1"/>
  <c r="T128" i="28" s="1"/>
  <c r="F128" i="28"/>
  <c r="E210" i="30"/>
  <c r="F210" i="30"/>
  <c r="D210" i="30"/>
  <c r="T210" i="30" s="1"/>
  <c r="F216" i="29"/>
  <c r="D216" i="29"/>
  <c r="E216" i="29"/>
  <c r="AB123" i="26"/>
  <c r="E127" i="27"/>
  <c r="E128" i="28" l="1"/>
  <c r="E211" i="30"/>
  <c r="D211" i="30"/>
  <c r="T211" i="30" s="1"/>
  <c r="F211" i="30"/>
  <c r="F128" i="27"/>
  <c r="D128" i="27"/>
  <c r="C128" i="27" s="1"/>
  <c r="P128" i="27" s="1"/>
  <c r="R128" i="27" s="1"/>
  <c r="E217" i="29"/>
  <c r="F217" i="29"/>
  <c r="D217" i="29"/>
  <c r="AA124" i="26"/>
  <c r="Z124" i="26" s="1"/>
  <c r="P124" i="26" s="1"/>
  <c r="R124" i="26" s="1"/>
  <c r="D129" i="28" l="1"/>
  <c r="C129" i="28" s="1"/>
  <c r="T129" i="28" s="1"/>
  <c r="F129" i="28"/>
  <c r="F212" i="30"/>
  <c r="D212" i="30"/>
  <c r="T212" i="30" s="1"/>
  <c r="E212" i="30"/>
  <c r="F218" i="29"/>
  <c r="E218" i="29"/>
  <c r="D218" i="29"/>
  <c r="E128" i="27"/>
  <c r="AB124" i="26"/>
  <c r="E129" i="28" l="1"/>
  <c r="E213" i="30"/>
  <c r="D213" i="30"/>
  <c r="T213" i="30" s="1"/>
  <c r="F213" i="30"/>
  <c r="AA125" i="26"/>
  <c r="Z125" i="26" s="1"/>
  <c r="P125" i="26" s="1"/>
  <c r="R125" i="26" s="1"/>
  <c r="E219" i="29"/>
  <c r="F219" i="29"/>
  <c r="D219" i="29"/>
  <c r="F129" i="27"/>
  <c r="D129" i="27"/>
  <c r="C129" i="27" s="1"/>
  <c r="P129" i="27" s="1"/>
  <c r="R129" i="27" s="1"/>
  <c r="D130" i="28" l="1"/>
  <c r="C130" i="28" s="1"/>
  <c r="T130" i="28" s="1"/>
  <c r="F130" i="28"/>
  <c r="E214" i="30"/>
  <c r="F214" i="30"/>
  <c r="D214" i="30"/>
  <c r="T214" i="30" s="1"/>
  <c r="F220" i="29"/>
  <c r="E220" i="29"/>
  <c r="D220" i="29"/>
  <c r="E129" i="27"/>
  <c r="AB125" i="26"/>
  <c r="E130" i="28" l="1"/>
  <c r="E215" i="30"/>
  <c r="F215" i="30"/>
  <c r="D215" i="30"/>
  <c r="T215" i="30" s="1"/>
  <c r="D130" i="27"/>
  <c r="C130" i="27" s="1"/>
  <c r="P130" i="27" s="1"/>
  <c r="R130" i="27" s="1"/>
  <c r="F130" i="27"/>
  <c r="AA126" i="26"/>
  <c r="Z126" i="26" s="1"/>
  <c r="P126" i="26" s="1"/>
  <c r="R126" i="26" s="1"/>
  <c r="E221" i="29"/>
  <c r="F221" i="29"/>
  <c r="D221" i="29"/>
  <c r="D131" i="28" l="1"/>
  <c r="C131" i="28" s="1"/>
  <c r="T131" i="28" s="1"/>
  <c r="F131" i="28"/>
  <c r="E216" i="30"/>
  <c r="D216" i="30"/>
  <c r="T216" i="30" s="1"/>
  <c r="F216" i="30"/>
  <c r="E130" i="27"/>
  <c r="D131" i="27" s="1"/>
  <c r="C131" i="27" s="1"/>
  <c r="P131" i="27" s="1"/>
  <c r="R131" i="27" s="1"/>
  <c r="AB126" i="26"/>
  <c r="F222" i="29"/>
  <c r="E222" i="29"/>
  <c r="D222" i="29"/>
  <c r="E131" i="28" l="1"/>
  <c r="F131" i="27"/>
  <c r="F217" i="30"/>
  <c r="E217" i="30"/>
  <c r="D217" i="30"/>
  <c r="T217" i="30" s="1"/>
  <c r="E131" i="27"/>
  <c r="F132" i="27" s="1"/>
  <c r="E223" i="29"/>
  <c r="F223" i="29"/>
  <c r="D223" i="29"/>
  <c r="AA127" i="26"/>
  <c r="Z127" i="26" s="1"/>
  <c r="P127" i="26" s="1"/>
  <c r="R127" i="26" s="1"/>
  <c r="D132" i="28" l="1"/>
  <c r="C132" i="28" s="1"/>
  <c r="T132" i="28" s="1"/>
  <c r="F132" i="28"/>
  <c r="D132" i="27"/>
  <c r="C132" i="27" s="1"/>
  <c r="P132" i="27" s="1"/>
  <c r="R132" i="27" s="1"/>
  <c r="D218" i="30"/>
  <c r="T218" i="30" s="1"/>
  <c r="E218" i="30"/>
  <c r="F218" i="30"/>
  <c r="F224" i="29"/>
  <c r="E224" i="29"/>
  <c r="D224" i="29"/>
  <c r="AB127" i="26"/>
  <c r="E132" i="28" l="1"/>
  <c r="F133" i="28"/>
  <c r="D133" i="28"/>
  <c r="C133" i="28" s="1"/>
  <c r="T133" i="28" s="1"/>
  <c r="E132" i="27"/>
  <c r="E219" i="30"/>
  <c r="F219" i="30"/>
  <c r="D219" i="30"/>
  <c r="T219" i="30" s="1"/>
  <c r="AA128" i="26"/>
  <c r="Z128" i="26" s="1"/>
  <c r="P128" i="26" s="1"/>
  <c r="R128" i="26" s="1"/>
  <c r="E225" i="29"/>
  <c r="F225" i="29"/>
  <c r="D225" i="29"/>
  <c r="F133" i="27"/>
  <c r="D133" i="27"/>
  <c r="C133" i="27" s="1"/>
  <c r="P133" i="27" s="1"/>
  <c r="R133" i="27" s="1"/>
  <c r="E133" i="28" l="1"/>
  <c r="E220" i="30"/>
  <c r="F220" i="30"/>
  <c r="D220" i="30"/>
  <c r="T220" i="30" s="1"/>
  <c r="E133" i="27"/>
  <c r="AB128" i="26"/>
  <c r="F226" i="29"/>
  <c r="E226" i="29"/>
  <c r="D226" i="29"/>
  <c r="F134" i="28" l="1"/>
  <c r="D134" i="28"/>
  <c r="C134" i="28" s="1"/>
  <c r="T134" i="28" s="1"/>
  <c r="E221" i="30"/>
  <c r="F221" i="30"/>
  <c r="D221" i="30"/>
  <c r="T221" i="30" s="1"/>
  <c r="AA129" i="26"/>
  <c r="Z129" i="26" s="1"/>
  <c r="P129" i="26" s="1"/>
  <c r="R129" i="26" s="1"/>
  <c r="F134" i="27"/>
  <c r="D134" i="27"/>
  <c r="C134" i="27" s="1"/>
  <c r="P134" i="27" s="1"/>
  <c r="R134" i="27" s="1"/>
  <c r="E227" i="29"/>
  <c r="F227" i="29"/>
  <c r="D227" i="29"/>
  <c r="E134" i="28" l="1"/>
  <c r="D135" i="28" s="1"/>
  <c r="C135" i="28" s="1"/>
  <c r="T135" i="28" s="1"/>
  <c r="F135" i="28"/>
  <c r="AB129" i="26"/>
  <c r="AA130" i="26" s="1"/>
  <c r="Z130" i="26" s="1"/>
  <c r="P130" i="26" s="1"/>
  <c r="R130" i="26" s="1"/>
  <c r="E222" i="30"/>
  <c r="D222" i="30"/>
  <c r="T222" i="30" s="1"/>
  <c r="F222" i="30"/>
  <c r="D228" i="29"/>
  <c r="E228" i="29"/>
  <c r="F228" i="29"/>
  <c r="E134" i="27"/>
  <c r="E135" i="28" l="1"/>
  <c r="E223" i="30"/>
  <c r="F223" i="30"/>
  <c r="D223" i="30"/>
  <c r="T223" i="30" s="1"/>
  <c r="D135" i="27"/>
  <c r="C135" i="27" s="1"/>
  <c r="P135" i="27" s="1"/>
  <c r="R135" i="27" s="1"/>
  <c r="F135" i="27"/>
  <c r="E229" i="29"/>
  <c r="F229" i="29"/>
  <c r="D229" i="29"/>
  <c r="AB130" i="26"/>
  <c r="D136" i="28" l="1"/>
  <c r="C136" i="28" s="1"/>
  <c r="T136" i="28" s="1"/>
  <c r="F136" i="28"/>
  <c r="D224" i="30"/>
  <c r="T224" i="30" s="1"/>
  <c r="E224" i="30"/>
  <c r="F224" i="30"/>
  <c r="E135" i="27"/>
  <c r="D136" i="27" s="1"/>
  <c r="C136" i="27" s="1"/>
  <c r="P136" i="27" s="1"/>
  <c r="R136" i="27" s="1"/>
  <c r="F136" i="27"/>
  <c r="AA131" i="26"/>
  <c r="Z131" i="26" s="1"/>
  <c r="P131" i="26" s="1"/>
  <c r="R131" i="26" s="1"/>
  <c r="E230" i="29"/>
  <c r="F230" i="29"/>
  <c r="D230" i="29"/>
  <c r="E136" i="28" l="1"/>
  <c r="E225" i="30"/>
  <c r="F225" i="30"/>
  <c r="D225" i="30"/>
  <c r="T225" i="30" s="1"/>
  <c r="E231" i="29"/>
  <c r="F231" i="29"/>
  <c r="D231" i="29"/>
  <c r="E136" i="27"/>
  <c r="AB131" i="26"/>
  <c r="F137" i="28" l="1"/>
  <c r="D137" i="28"/>
  <c r="C137" i="28" s="1"/>
  <c r="T137" i="28" s="1"/>
  <c r="F226" i="30"/>
  <c r="E226" i="30"/>
  <c r="D226" i="30"/>
  <c r="T226" i="30" s="1"/>
  <c r="E232" i="29"/>
  <c r="D232" i="29"/>
  <c r="F232" i="29"/>
  <c r="AA132" i="26"/>
  <c r="Z132" i="26" s="1"/>
  <c r="P132" i="26" s="1"/>
  <c r="R132" i="26" s="1"/>
  <c r="F137" i="27"/>
  <c r="D137" i="27"/>
  <c r="C137" i="27" s="1"/>
  <c r="P137" i="27" s="1"/>
  <c r="R137" i="27" s="1"/>
  <c r="E137" i="28" l="1"/>
  <c r="D227" i="30"/>
  <c r="T227" i="30" s="1"/>
  <c r="E227" i="30"/>
  <c r="F227" i="30"/>
  <c r="E137" i="27"/>
  <c r="D138" i="27" s="1"/>
  <c r="C138" i="27" s="1"/>
  <c r="P138" i="27" s="1"/>
  <c r="R138" i="27" s="1"/>
  <c r="AB132" i="26"/>
  <c r="E233" i="29"/>
  <c r="F233" i="29"/>
  <c r="D233" i="29"/>
  <c r="F138" i="27" l="1"/>
  <c r="D138" i="28"/>
  <c r="C138" i="28" s="1"/>
  <c r="T138" i="28" s="1"/>
  <c r="F138" i="28"/>
  <c r="E228" i="30"/>
  <c r="F228" i="30"/>
  <c r="D228" i="30"/>
  <c r="T228" i="30" s="1"/>
  <c r="E138" i="27"/>
  <c r="D139" i="27" s="1"/>
  <c r="C139" i="27" s="1"/>
  <c r="P139" i="27" s="1"/>
  <c r="R139" i="27" s="1"/>
  <c r="E234" i="29"/>
  <c r="F234" i="29"/>
  <c r="D234" i="29"/>
  <c r="AA133" i="26"/>
  <c r="Z133" i="26" s="1"/>
  <c r="P133" i="26" s="1"/>
  <c r="R133" i="26" s="1"/>
  <c r="F139" i="27"/>
  <c r="E138" i="28" l="1"/>
  <c r="E139" i="27"/>
  <c r="D140" i="27" s="1"/>
  <c r="C140" i="27" s="1"/>
  <c r="P140" i="27" s="1"/>
  <c r="R140" i="27" s="1"/>
  <c r="D229" i="30"/>
  <c r="T229" i="30" s="1"/>
  <c r="E229" i="30"/>
  <c r="F229" i="30"/>
  <c r="F140" i="27"/>
  <c r="AB133" i="26"/>
  <c r="E235" i="29"/>
  <c r="F235" i="29"/>
  <c r="D235" i="29"/>
  <c r="D139" i="28" l="1"/>
  <c r="C139" i="28" s="1"/>
  <c r="T139" i="28" s="1"/>
  <c r="F139" i="28"/>
  <c r="E230" i="30"/>
  <c r="F230" i="30"/>
  <c r="D230" i="30"/>
  <c r="T230" i="30" s="1"/>
  <c r="E140" i="27"/>
  <c r="F141" i="27" s="1"/>
  <c r="E236" i="29"/>
  <c r="F236" i="29"/>
  <c r="D236" i="29"/>
  <c r="AA134" i="26"/>
  <c r="Z134" i="26" s="1"/>
  <c r="P134" i="26" s="1"/>
  <c r="R134" i="26" s="1"/>
  <c r="E139" i="28" l="1"/>
  <c r="D141" i="27"/>
  <c r="C141" i="27" s="1"/>
  <c r="P141" i="27" s="1"/>
  <c r="R141" i="27" s="1"/>
  <c r="D231" i="30"/>
  <c r="T231" i="30" s="1"/>
  <c r="E231" i="30"/>
  <c r="F231" i="30"/>
  <c r="AB134" i="26"/>
  <c r="D237" i="29"/>
  <c r="E237" i="29"/>
  <c r="F237" i="29"/>
  <c r="E141" i="27" l="1"/>
  <c r="D140" i="28"/>
  <c r="C140" i="28" s="1"/>
  <c r="T140" i="28" s="1"/>
  <c r="F140" i="28"/>
  <c r="D232" i="30"/>
  <c r="T232" i="30" s="1"/>
  <c r="E232" i="30"/>
  <c r="F232" i="30"/>
  <c r="E238" i="29"/>
  <c r="F238" i="29"/>
  <c r="D238" i="29"/>
  <c r="D142" i="27"/>
  <c r="C142" i="27" s="1"/>
  <c r="P142" i="27" s="1"/>
  <c r="R142" i="27" s="1"/>
  <c r="F142" i="27"/>
  <c r="AA135" i="26"/>
  <c r="Z135" i="26" s="1"/>
  <c r="P135" i="26" s="1"/>
  <c r="R135" i="26" s="1"/>
  <c r="E140" i="28" l="1"/>
  <c r="D141" i="28"/>
  <c r="C141" i="28" s="1"/>
  <c r="T141" i="28" s="1"/>
  <c r="F141" i="28"/>
  <c r="E233" i="30"/>
  <c r="D233" i="30"/>
  <c r="T233" i="30" s="1"/>
  <c r="F233" i="30"/>
  <c r="E142" i="27"/>
  <c r="AB135" i="26"/>
  <c r="E239" i="29"/>
  <c r="F239" i="29"/>
  <c r="D239" i="29"/>
  <c r="E141" i="28" l="1"/>
  <c r="F142" i="28"/>
  <c r="D142" i="28"/>
  <c r="C142" i="28" s="1"/>
  <c r="D234" i="30"/>
  <c r="T234" i="30" s="1"/>
  <c r="E234" i="30"/>
  <c r="F234" i="30"/>
  <c r="E240" i="29"/>
  <c r="F240" i="29"/>
  <c r="D240" i="29"/>
  <c r="AA136" i="26"/>
  <c r="Z136" i="26" s="1"/>
  <c r="P136" i="26" s="1"/>
  <c r="R136" i="26" s="1"/>
  <c r="D143" i="27"/>
  <c r="C143" i="27" s="1"/>
  <c r="P143" i="27" s="1"/>
  <c r="R143" i="27" s="1"/>
  <c r="F143" i="27"/>
  <c r="E142" i="28" l="1"/>
  <c r="T142" i="28"/>
  <c r="E235" i="30"/>
  <c r="F235" i="30"/>
  <c r="D235" i="30"/>
  <c r="T235" i="30" s="1"/>
  <c r="E143" i="27"/>
  <c r="F144" i="27" s="1"/>
  <c r="D241" i="29"/>
  <c r="E241" i="29"/>
  <c r="F241" i="29"/>
  <c r="AB136" i="26"/>
  <c r="D143" i="28" l="1"/>
  <c r="C143" i="28" s="1"/>
  <c r="F143" i="28"/>
  <c r="D144" i="27"/>
  <c r="C144" i="27" s="1"/>
  <c r="P144" i="27" s="1"/>
  <c r="R144" i="27" s="1"/>
  <c r="D236" i="30"/>
  <c r="T236" i="30" s="1"/>
  <c r="E236" i="30"/>
  <c r="F236" i="30"/>
  <c r="AA137" i="26"/>
  <c r="Z137" i="26" s="1"/>
  <c r="P137" i="26" s="1"/>
  <c r="R137" i="26" s="1"/>
  <c r="E242" i="29"/>
  <c r="F242" i="29"/>
  <c r="D242" i="29"/>
  <c r="T143" i="28" l="1"/>
  <c r="E143" i="28"/>
  <c r="E144" i="27"/>
  <c r="D237" i="30"/>
  <c r="T237" i="30" s="1"/>
  <c r="F237" i="30"/>
  <c r="E237" i="30"/>
  <c r="AB137" i="26"/>
  <c r="D145" i="27"/>
  <c r="C145" i="27" s="1"/>
  <c r="P145" i="27" s="1"/>
  <c r="R145" i="27" s="1"/>
  <c r="F145" i="27"/>
  <c r="F243" i="29"/>
  <c r="E243" i="29"/>
  <c r="D243" i="29"/>
  <c r="F144" i="28" l="1"/>
  <c r="D144" i="28"/>
  <c r="C144" i="28" s="1"/>
  <c r="D238" i="30"/>
  <c r="T238" i="30" s="1"/>
  <c r="E238" i="30"/>
  <c r="F238" i="30"/>
  <c r="E244" i="29"/>
  <c r="F244" i="29"/>
  <c r="D244" i="29"/>
  <c r="AA138" i="26"/>
  <c r="Z138" i="26" s="1"/>
  <c r="P138" i="26" s="1"/>
  <c r="R138" i="26" s="1"/>
  <c r="E145" i="27"/>
  <c r="T144" i="28" l="1"/>
  <c r="E144" i="28"/>
  <c r="D239" i="30"/>
  <c r="T239" i="30" s="1"/>
  <c r="F239" i="30"/>
  <c r="E239" i="30"/>
  <c r="D146" i="27"/>
  <c r="C146" i="27" s="1"/>
  <c r="P146" i="27" s="1"/>
  <c r="R146" i="27" s="1"/>
  <c r="F146" i="27"/>
  <c r="AB138" i="26"/>
  <c r="E245" i="29"/>
  <c r="F245" i="29"/>
  <c r="D245" i="29"/>
  <c r="D145" i="28" l="1"/>
  <c r="C145" i="28" s="1"/>
  <c r="T145" i="28" s="1"/>
  <c r="F145" i="28"/>
  <c r="E146" i="27"/>
  <c r="D147" i="27" s="1"/>
  <c r="C147" i="27" s="1"/>
  <c r="P147" i="27" s="1"/>
  <c r="R147" i="27" s="1"/>
  <c r="F240" i="30"/>
  <c r="E240" i="30"/>
  <c r="D240" i="30"/>
  <c r="T240" i="30" s="1"/>
  <c r="E246" i="29"/>
  <c r="F246" i="29"/>
  <c r="D246" i="29"/>
  <c r="AA139" i="26"/>
  <c r="Z139" i="26" s="1"/>
  <c r="P139" i="26" s="1"/>
  <c r="R139" i="26" s="1"/>
  <c r="F147" i="27"/>
  <c r="E145" i="28" l="1"/>
  <c r="F241" i="30"/>
  <c r="E241" i="30"/>
  <c r="D241" i="30"/>
  <c r="T241" i="30" s="1"/>
  <c r="E147" i="27"/>
  <c r="AB139" i="26"/>
  <c r="F247" i="29"/>
  <c r="E247" i="29"/>
  <c r="D247" i="29"/>
  <c r="D146" i="28" l="1"/>
  <c r="C146" i="28" s="1"/>
  <c r="F146" i="28"/>
  <c r="E242" i="30"/>
  <c r="F242" i="30"/>
  <c r="D242" i="30"/>
  <c r="T242" i="30" s="1"/>
  <c r="E248" i="29"/>
  <c r="F248" i="29"/>
  <c r="D248" i="29"/>
  <c r="F148" i="27"/>
  <c r="D148" i="27"/>
  <c r="C148" i="27" s="1"/>
  <c r="P148" i="27" s="1"/>
  <c r="R148" i="27" s="1"/>
  <c r="AA140" i="26"/>
  <c r="Z140" i="26" s="1"/>
  <c r="P140" i="26" s="1"/>
  <c r="R140" i="26" s="1"/>
  <c r="T146" i="28" l="1"/>
  <c r="E146" i="28"/>
  <c r="F243" i="30"/>
  <c r="E243" i="30"/>
  <c r="D243" i="30"/>
  <c r="T243" i="30" s="1"/>
  <c r="E148" i="27"/>
  <c r="AB140" i="26"/>
  <c r="F249" i="29"/>
  <c r="E249" i="29"/>
  <c r="D249" i="29"/>
  <c r="D147" i="28" l="1"/>
  <c r="C147" i="28" s="1"/>
  <c r="F147" i="28"/>
  <c r="D244" i="30"/>
  <c r="T244" i="30" s="1"/>
  <c r="E244" i="30"/>
  <c r="F244" i="30"/>
  <c r="F149" i="27"/>
  <c r="D149" i="27"/>
  <c r="C149" i="27" s="1"/>
  <c r="P149" i="27" s="1"/>
  <c r="R149" i="27" s="1"/>
  <c r="AA141" i="26"/>
  <c r="Z141" i="26" s="1"/>
  <c r="P141" i="26" s="1"/>
  <c r="R141" i="26" s="1"/>
  <c r="E250" i="29"/>
  <c r="F250" i="29"/>
  <c r="D250" i="29"/>
  <c r="T147" i="28" l="1"/>
  <c r="E147" i="28"/>
  <c r="E245" i="30"/>
  <c r="D245" i="30"/>
  <c r="T245" i="30" s="1"/>
  <c r="F245" i="30"/>
  <c r="E149" i="27"/>
  <c r="D251" i="29"/>
  <c r="E251" i="29"/>
  <c r="F251" i="29"/>
  <c r="AB141" i="26"/>
  <c r="F148" i="28" l="1"/>
  <c r="D148" i="28"/>
  <c r="C148" i="28" s="1"/>
  <c r="E246" i="30"/>
  <c r="D246" i="30"/>
  <c r="T246" i="30" s="1"/>
  <c r="F246" i="30"/>
  <c r="AA142" i="26"/>
  <c r="Z142" i="26" s="1"/>
  <c r="P142" i="26" s="1"/>
  <c r="R142" i="26" s="1"/>
  <c r="E252" i="29"/>
  <c r="F252" i="29"/>
  <c r="D252" i="29"/>
  <c r="F150" i="27"/>
  <c r="D150" i="27"/>
  <c r="C150" i="27" s="1"/>
  <c r="P150" i="27" s="1"/>
  <c r="R150" i="27" s="1"/>
  <c r="T148" i="28" l="1"/>
  <c r="E148" i="28"/>
  <c r="E247" i="30"/>
  <c r="D247" i="30"/>
  <c r="T247" i="30" s="1"/>
  <c r="F247" i="30"/>
  <c r="E150" i="27"/>
  <c r="AB142" i="26"/>
  <c r="E253" i="29"/>
  <c r="D253" i="29"/>
  <c r="F253" i="29"/>
  <c r="F149" i="28" l="1"/>
  <c r="D149" i="28"/>
  <c r="C149" i="28" s="1"/>
  <c r="E248" i="30"/>
  <c r="F248" i="30"/>
  <c r="D248" i="30"/>
  <c r="T248" i="30" s="1"/>
  <c r="E254" i="29"/>
  <c r="D254" i="29"/>
  <c r="F254" i="29"/>
  <c r="AA143" i="26"/>
  <c r="Z143" i="26" s="1"/>
  <c r="P143" i="26" s="1"/>
  <c r="R143" i="26" s="1"/>
  <c r="F151" i="27"/>
  <c r="D151" i="27"/>
  <c r="C151" i="27" s="1"/>
  <c r="P151" i="27" s="1"/>
  <c r="R151" i="27" s="1"/>
  <c r="T149" i="28" l="1"/>
  <c r="E149" i="28"/>
  <c r="E249" i="30"/>
  <c r="F249" i="30"/>
  <c r="D249" i="30"/>
  <c r="T249" i="30" s="1"/>
  <c r="AB143" i="26"/>
  <c r="E151" i="27"/>
  <c r="D255" i="29"/>
  <c r="E255" i="29"/>
  <c r="F255" i="29"/>
  <c r="D150" i="28" l="1"/>
  <c r="C150" i="28" s="1"/>
  <c r="T150" i="28" s="1"/>
  <c r="F150" i="28"/>
  <c r="F250" i="30"/>
  <c r="D250" i="30"/>
  <c r="T250" i="30" s="1"/>
  <c r="E250" i="30"/>
  <c r="E256" i="29"/>
  <c r="F256" i="29"/>
  <c r="D256" i="29"/>
  <c r="F152" i="27"/>
  <c r="D152" i="27"/>
  <c r="C152" i="27" s="1"/>
  <c r="P152" i="27" s="1"/>
  <c r="R152" i="27" s="1"/>
  <c r="AA144" i="26"/>
  <c r="Z144" i="26" s="1"/>
  <c r="P144" i="26" s="1"/>
  <c r="R144" i="26" s="1"/>
  <c r="E150" i="28" l="1"/>
  <c r="D151" i="28"/>
  <c r="C151" i="28" s="1"/>
  <c r="T151" i="28" s="1"/>
  <c r="F151" i="28"/>
  <c r="F251" i="30"/>
  <c r="E251" i="30"/>
  <c r="D251" i="30"/>
  <c r="T251" i="30" s="1"/>
  <c r="E152" i="27"/>
  <c r="D257" i="29"/>
  <c r="E257" i="29"/>
  <c r="F257" i="29"/>
  <c r="AB144" i="26"/>
  <c r="E151" i="28" l="1"/>
  <c r="F252" i="30"/>
  <c r="E252" i="30"/>
  <c r="D252" i="30"/>
  <c r="T252" i="30" s="1"/>
  <c r="AA145" i="26"/>
  <c r="Z145" i="26" s="1"/>
  <c r="P145" i="26" s="1"/>
  <c r="R145" i="26" s="1"/>
  <c r="E258" i="29"/>
  <c r="F258" i="29"/>
  <c r="D258" i="29"/>
  <c r="F153" i="27"/>
  <c r="D153" i="27"/>
  <c r="C153" i="27" s="1"/>
  <c r="P153" i="27" s="1"/>
  <c r="R153" i="27" s="1"/>
  <c r="D152" i="28" l="1"/>
  <c r="C152" i="28" s="1"/>
  <c r="T152" i="28" s="1"/>
  <c r="F152" i="28"/>
  <c r="E259" i="29"/>
  <c r="E260" i="29" s="1"/>
  <c r="E261" i="29" s="1"/>
  <c r="E262" i="29" s="1"/>
  <c r="E263" i="29" s="1"/>
  <c r="E264" i="29" s="1"/>
  <c r="E265" i="29" s="1"/>
  <c r="E266" i="29" s="1"/>
  <c r="E267" i="29" s="1"/>
  <c r="E268" i="29" s="1"/>
  <c r="E269" i="29" s="1"/>
  <c r="E270" i="29" s="1"/>
  <c r="E271" i="29" s="1"/>
  <c r="E272" i="29" s="1"/>
  <c r="E273" i="29" s="1"/>
  <c r="E274" i="29" s="1"/>
  <c r="E275" i="29" s="1"/>
  <c r="E276" i="29" s="1"/>
  <c r="E277" i="29" s="1"/>
  <c r="E278" i="29" s="1"/>
  <c r="E279" i="29" s="1"/>
  <c r="E280" i="29" s="1"/>
  <c r="E281" i="29" s="1"/>
  <c r="E282" i="29" s="1"/>
  <c r="E283" i="29" s="1"/>
  <c r="E284" i="29" s="1"/>
  <c r="E285" i="29" s="1"/>
  <c r="E286" i="29" s="1"/>
  <c r="E287" i="29" s="1"/>
  <c r="E288" i="29" s="1"/>
  <c r="E289" i="29" s="1"/>
  <c r="E290" i="29" s="1"/>
  <c r="E291" i="29" s="1"/>
  <c r="E292" i="29" s="1"/>
  <c r="E293" i="29" s="1"/>
  <c r="E294" i="29" s="1"/>
  <c r="E295" i="29" s="1"/>
  <c r="E296" i="29" s="1"/>
  <c r="E297" i="29" s="1"/>
  <c r="E298" i="29" s="1"/>
  <c r="E299" i="29" s="1"/>
  <c r="E300" i="29" s="1"/>
  <c r="E301" i="29" s="1"/>
  <c r="E302" i="29" s="1"/>
  <c r="E303" i="29" s="1"/>
  <c r="E304" i="29" s="1"/>
  <c r="E305" i="29" s="1"/>
  <c r="E306" i="29" s="1"/>
  <c r="E307" i="29" s="1"/>
  <c r="E308" i="29" s="1"/>
  <c r="E309" i="29" s="1"/>
  <c r="E310" i="29" s="1"/>
  <c r="E311" i="29" s="1"/>
  <c r="E312" i="29" s="1"/>
  <c r="E313" i="29" s="1"/>
  <c r="E314" i="29" s="1"/>
  <c r="E315" i="29" s="1"/>
  <c r="E316" i="29" s="1"/>
  <c r="E317" i="29" s="1"/>
  <c r="E318" i="29" s="1"/>
  <c r="E319" i="29" s="1"/>
  <c r="E320" i="29" s="1"/>
  <c r="E321" i="29" s="1"/>
  <c r="E322" i="29" s="1"/>
  <c r="E323" i="29" s="1"/>
  <c r="E324" i="29" s="1"/>
  <c r="E325" i="29" s="1"/>
  <c r="E326" i="29" s="1"/>
  <c r="E327" i="29" s="1"/>
  <c r="E328" i="29" s="1"/>
  <c r="E329" i="29" s="1"/>
  <c r="E330" i="29" s="1"/>
  <c r="E331" i="29" s="1"/>
  <c r="E332" i="29" s="1"/>
  <c r="E333" i="29" s="1"/>
  <c r="E334" i="29" s="1"/>
  <c r="E335" i="29" s="1"/>
  <c r="E336" i="29" s="1"/>
  <c r="E337" i="29" s="1"/>
  <c r="E338" i="29" s="1"/>
  <c r="E339" i="29" s="1"/>
  <c r="F259" i="29"/>
  <c r="D259" i="29"/>
  <c r="D253" i="30"/>
  <c r="T253" i="30" s="1"/>
  <c r="E253" i="30"/>
  <c r="F253" i="30"/>
  <c r="E153" i="27"/>
  <c r="AB145" i="26"/>
  <c r="E152" i="28" l="1"/>
  <c r="D153" i="28"/>
  <c r="C153" i="28" s="1"/>
  <c r="F153" i="28"/>
  <c r="D254" i="30"/>
  <c r="T254" i="30" s="1"/>
  <c r="F254" i="30"/>
  <c r="E254" i="30"/>
  <c r="AA146" i="26"/>
  <c r="Z146" i="26" s="1"/>
  <c r="P146" i="26" s="1"/>
  <c r="R146" i="26" s="1"/>
  <c r="F154" i="27"/>
  <c r="D154" i="27"/>
  <c r="C154" i="27" s="1"/>
  <c r="P154" i="27" s="1"/>
  <c r="R154" i="27" s="1"/>
  <c r="T153" i="28" l="1"/>
  <c r="E153" i="28"/>
  <c r="D255" i="30"/>
  <c r="T255" i="30" s="1"/>
  <c r="E255" i="30"/>
  <c r="F255" i="30"/>
  <c r="AB146" i="26"/>
  <c r="E154" i="27"/>
  <c r="D154" i="28" l="1"/>
  <c r="C154" i="28" s="1"/>
  <c r="F154" i="28"/>
  <c r="D256" i="30"/>
  <c r="T256" i="30" s="1"/>
  <c r="E256" i="30"/>
  <c r="F256" i="30"/>
  <c r="AA147" i="26"/>
  <c r="Z147" i="26" s="1"/>
  <c r="P147" i="26" s="1"/>
  <c r="R147" i="26" s="1"/>
  <c r="F155" i="27"/>
  <c r="D155" i="27"/>
  <c r="C155" i="27" s="1"/>
  <c r="P155" i="27" s="1"/>
  <c r="R155" i="27" s="1"/>
  <c r="T154" i="28" l="1"/>
  <c r="E154" i="28"/>
  <c r="E257" i="30"/>
  <c r="F257" i="30"/>
  <c r="D257" i="30"/>
  <c r="T257" i="30" s="1"/>
  <c r="E155" i="27"/>
  <c r="AB147" i="26"/>
  <c r="F155" i="28" l="1"/>
  <c r="D155" i="28"/>
  <c r="C155" i="28" s="1"/>
  <c r="T155" i="28" s="1"/>
  <c r="E258" i="30"/>
  <c r="F258" i="30"/>
  <c r="D258" i="30"/>
  <c r="T258" i="30" s="1"/>
  <c r="AA148" i="26"/>
  <c r="Z148" i="26" s="1"/>
  <c r="P148" i="26" s="1"/>
  <c r="R148" i="26" s="1"/>
  <c r="F156" i="27"/>
  <c r="D156" i="27"/>
  <c r="C156" i="27" s="1"/>
  <c r="P156" i="27" s="1"/>
  <c r="R156" i="27" s="1"/>
  <c r="E155" i="28" l="1"/>
  <c r="E259" i="30"/>
  <c r="E260" i="30" s="1"/>
  <c r="E261" i="30" s="1"/>
  <c r="E262" i="30" s="1"/>
  <c r="E263" i="30" s="1"/>
  <c r="E264" i="30" s="1"/>
  <c r="E265" i="30" s="1"/>
  <c r="E266" i="30" s="1"/>
  <c r="E267" i="30" s="1"/>
  <c r="E268" i="30" s="1"/>
  <c r="E269" i="30" s="1"/>
  <c r="E270" i="30" s="1"/>
  <c r="E271" i="30" s="1"/>
  <c r="E272" i="30" s="1"/>
  <c r="E273" i="30" s="1"/>
  <c r="E274" i="30" s="1"/>
  <c r="E275" i="30" s="1"/>
  <c r="E276" i="30" s="1"/>
  <c r="E277" i="30" s="1"/>
  <c r="E278" i="30" s="1"/>
  <c r="E279" i="30" s="1"/>
  <c r="E280" i="30" s="1"/>
  <c r="E281" i="30" s="1"/>
  <c r="E282" i="30" s="1"/>
  <c r="E283" i="30" s="1"/>
  <c r="E284" i="30" s="1"/>
  <c r="E285" i="30" s="1"/>
  <c r="E286" i="30" s="1"/>
  <c r="E287" i="30" s="1"/>
  <c r="E288" i="30" s="1"/>
  <c r="E289" i="30" s="1"/>
  <c r="E290" i="30" s="1"/>
  <c r="E291" i="30" s="1"/>
  <c r="E292" i="30" s="1"/>
  <c r="E293" i="30" s="1"/>
  <c r="E294" i="30" s="1"/>
  <c r="E295" i="30" s="1"/>
  <c r="E296" i="30" s="1"/>
  <c r="E297" i="30" s="1"/>
  <c r="E298" i="30" s="1"/>
  <c r="E299" i="30" s="1"/>
  <c r="E300" i="30" s="1"/>
  <c r="E301" i="30" s="1"/>
  <c r="E302" i="30" s="1"/>
  <c r="E303" i="30" s="1"/>
  <c r="E304" i="30" s="1"/>
  <c r="E305" i="30" s="1"/>
  <c r="E306" i="30" s="1"/>
  <c r="E307" i="30" s="1"/>
  <c r="E308" i="30" s="1"/>
  <c r="E309" i="30" s="1"/>
  <c r="E310" i="30" s="1"/>
  <c r="E311" i="30" s="1"/>
  <c r="E312" i="30" s="1"/>
  <c r="E313" i="30" s="1"/>
  <c r="E314" i="30" s="1"/>
  <c r="E315" i="30" s="1"/>
  <c r="E316" i="30" s="1"/>
  <c r="E317" i="30" s="1"/>
  <c r="E318" i="30" s="1"/>
  <c r="E319" i="30" s="1"/>
  <c r="E320" i="30" s="1"/>
  <c r="E321" i="30" s="1"/>
  <c r="E322" i="30" s="1"/>
  <c r="E323" i="30" s="1"/>
  <c r="E324" i="30" s="1"/>
  <c r="E325" i="30" s="1"/>
  <c r="E326" i="30" s="1"/>
  <c r="E327" i="30" s="1"/>
  <c r="E328" i="30" s="1"/>
  <c r="E329" i="30" s="1"/>
  <c r="E330" i="30" s="1"/>
  <c r="E331" i="30" s="1"/>
  <c r="E332" i="30" s="1"/>
  <c r="E333" i="30" s="1"/>
  <c r="E334" i="30" s="1"/>
  <c r="E335" i="30" s="1"/>
  <c r="E336" i="30" s="1"/>
  <c r="E337" i="30" s="1"/>
  <c r="E338" i="30" s="1"/>
  <c r="E339" i="30" s="1"/>
  <c r="F259" i="30"/>
  <c r="D259" i="30"/>
  <c r="T259" i="30" s="1"/>
  <c r="T19" i="30" s="1"/>
  <c r="T18" i="30" s="1"/>
  <c r="V13" i="25" s="1"/>
  <c r="E156" i="27"/>
  <c r="F157" i="27" s="1"/>
  <c r="AB148" i="26"/>
  <c r="F156" i="28" l="1"/>
  <c r="D156" i="28"/>
  <c r="C156" i="28" s="1"/>
  <c r="T156" i="28" s="1"/>
  <c r="D157" i="27"/>
  <c r="C157" i="27" s="1"/>
  <c r="P157" i="27" s="1"/>
  <c r="R157" i="27" s="1"/>
  <c r="AA149" i="26"/>
  <c r="Z149" i="26" s="1"/>
  <c r="P149" i="26" s="1"/>
  <c r="R149" i="26" s="1"/>
  <c r="E156" i="28" l="1"/>
  <c r="E157" i="27"/>
  <c r="D158" i="27" s="1"/>
  <c r="C158" i="27" s="1"/>
  <c r="P158" i="27" s="1"/>
  <c r="R158" i="27" s="1"/>
  <c r="AB149" i="26"/>
  <c r="F158" i="27"/>
  <c r="D157" i="28" l="1"/>
  <c r="C157" i="28" s="1"/>
  <c r="F157" i="28"/>
  <c r="E158" i="27"/>
  <c r="AA150" i="26"/>
  <c r="Z150" i="26" s="1"/>
  <c r="P150" i="26" s="1"/>
  <c r="R150" i="26" s="1"/>
  <c r="T157" i="28" l="1"/>
  <c r="E157" i="28"/>
  <c r="F159" i="27"/>
  <c r="D159" i="27"/>
  <c r="C159" i="27" s="1"/>
  <c r="P159" i="27" s="1"/>
  <c r="R159" i="27" s="1"/>
  <c r="AB150" i="26"/>
  <c r="F158" i="28" l="1"/>
  <c r="D158" i="28"/>
  <c r="C158" i="28" s="1"/>
  <c r="AA151" i="26"/>
  <c r="Z151" i="26" s="1"/>
  <c r="P151" i="26" s="1"/>
  <c r="R151" i="26" s="1"/>
  <c r="E159" i="27"/>
  <c r="T158" i="28" l="1"/>
  <c r="E158" i="28"/>
  <c r="AB151" i="26"/>
  <c r="F160" i="27"/>
  <c r="D160" i="27"/>
  <c r="C160" i="27" s="1"/>
  <c r="P160" i="27" s="1"/>
  <c r="R160" i="27" s="1"/>
  <c r="D159" i="28" l="1"/>
  <c r="C159" i="28" s="1"/>
  <c r="T159" i="28" s="1"/>
  <c r="F159" i="28"/>
  <c r="E160" i="27"/>
  <c r="AA152" i="26"/>
  <c r="Z152" i="26" s="1"/>
  <c r="P152" i="26" s="1"/>
  <c r="R152" i="26" s="1"/>
  <c r="E159" i="28" l="1"/>
  <c r="F161" i="27"/>
  <c r="D161" i="27"/>
  <c r="C161" i="27" s="1"/>
  <c r="P161" i="27" s="1"/>
  <c r="R161" i="27" s="1"/>
  <c r="AB152" i="26"/>
  <c r="D160" i="28" l="1"/>
  <c r="C160" i="28" s="1"/>
  <c r="T160" i="28" s="1"/>
  <c r="F160" i="28"/>
  <c r="AA153" i="26"/>
  <c r="Z153" i="26" s="1"/>
  <c r="P153" i="26" s="1"/>
  <c r="R153" i="26" s="1"/>
  <c r="E161" i="27"/>
  <c r="E160" i="28" l="1"/>
  <c r="F162" i="27"/>
  <c r="D162" i="27"/>
  <c r="C162" i="27" s="1"/>
  <c r="P162" i="27" s="1"/>
  <c r="R162" i="27" s="1"/>
  <c r="AB153" i="26"/>
  <c r="F161" i="28" l="1"/>
  <c r="D161" i="28"/>
  <c r="C161" i="28" s="1"/>
  <c r="T161" i="28" s="1"/>
  <c r="AA154" i="26"/>
  <c r="Z154" i="26" s="1"/>
  <c r="P154" i="26" s="1"/>
  <c r="R154" i="26" s="1"/>
  <c r="E162" i="27"/>
  <c r="E161" i="28" l="1"/>
  <c r="D163" i="27"/>
  <c r="C163" i="27" s="1"/>
  <c r="P163" i="27" s="1"/>
  <c r="R163" i="27" s="1"/>
  <c r="F163" i="27"/>
  <c r="AB154" i="26"/>
  <c r="F162" i="28" l="1"/>
  <c r="D162" i="28"/>
  <c r="C162" i="28" s="1"/>
  <c r="T162" i="28" s="1"/>
  <c r="AA155" i="26"/>
  <c r="Z155" i="26" s="1"/>
  <c r="P155" i="26" s="1"/>
  <c r="R155" i="26" s="1"/>
  <c r="E163" i="27"/>
  <c r="E162" i="28" l="1"/>
  <c r="D164" i="27"/>
  <c r="C164" i="27" s="1"/>
  <c r="P164" i="27" s="1"/>
  <c r="R164" i="27" s="1"/>
  <c r="F164" i="27"/>
  <c r="AB155" i="26"/>
  <c r="F163" i="28" l="1"/>
  <c r="D163" i="28"/>
  <c r="C163" i="28" s="1"/>
  <c r="T163" i="28" s="1"/>
  <c r="E164" i="27"/>
  <c r="D165" i="27" s="1"/>
  <c r="C165" i="27" s="1"/>
  <c r="P165" i="27" s="1"/>
  <c r="R165" i="27" s="1"/>
  <c r="AA156" i="26"/>
  <c r="Z156" i="26" s="1"/>
  <c r="P156" i="26" s="1"/>
  <c r="R156" i="26" s="1"/>
  <c r="F165" i="27"/>
  <c r="E163" i="28" l="1"/>
  <c r="E165" i="27"/>
  <c r="D166" i="27" s="1"/>
  <c r="C166" i="27" s="1"/>
  <c r="P166" i="27" s="1"/>
  <c r="R166" i="27" s="1"/>
  <c r="AB156" i="26"/>
  <c r="D164" i="28" l="1"/>
  <c r="C164" i="28" s="1"/>
  <c r="T164" i="28" s="1"/>
  <c r="F164" i="28"/>
  <c r="F166" i="27"/>
  <c r="AA157" i="26"/>
  <c r="Z157" i="26" s="1"/>
  <c r="P157" i="26" s="1"/>
  <c r="R157" i="26" s="1"/>
  <c r="E166" i="27"/>
  <c r="E164" i="28" l="1"/>
  <c r="F167" i="27"/>
  <c r="D167" i="27"/>
  <c r="C167" i="27" s="1"/>
  <c r="P167" i="27" s="1"/>
  <c r="R167" i="27" s="1"/>
  <c r="AB157" i="26"/>
  <c r="F165" i="28" l="1"/>
  <c r="D165" i="28"/>
  <c r="C165" i="28" s="1"/>
  <c r="T165" i="28" s="1"/>
  <c r="E167" i="27"/>
  <c r="AA158" i="26"/>
  <c r="Z158" i="26" s="1"/>
  <c r="P158" i="26" s="1"/>
  <c r="R158" i="26" s="1"/>
  <c r="E165" i="28" l="1"/>
  <c r="AB158" i="26"/>
  <c r="F168" i="27"/>
  <c r="D168" i="27"/>
  <c r="C168" i="27" s="1"/>
  <c r="P168" i="27" s="1"/>
  <c r="R168" i="27" s="1"/>
  <c r="F166" i="28" l="1"/>
  <c r="D166" i="28"/>
  <c r="C166" i="28" s="1"/>
  <c r="T166" i="28" s="1"/>
  <c r="E168" i="27"/>
  <c r="AA159" i="26"/>
  <c r="Z159" i="26" s="1"/>
  <c r="P159" i="26" s="1"/>
  <c r="R159" i="26" s="1"/>
  <c r="E166" i="28" l="1"/>
  <c r="AB159" i="26"/>
  <c r="F169" i="27"/>
  <c r="D169" i="27"/>
  <c r="C169" i="27" s="1"/>
  <c r="P169" i="27" s="1"/>
  <c r="R169" i="27" s="1"/>
  <c r="D167" i="28" l="1"/>
  <c r="C167" i="28" s="1"/>
  <c r="T167" i="28" s="1"/>
  <c r="F167" i="28"/>
  <c r="E169" i="27"/>
  <c r="AA160" i="26"/>
  <c r="Z160" i="26" s="1"/>
  <c r="P160" i="26" s="1"/>
  <c r="R160" i="26" s="1"/>
  <c r="E167" i="28" l="1"/>
  <c r="F170" i="27"/>
  <c r="D170" i="27"/>
  <c r="C170" i="27" s="1"/>
  <c r="P170" i="27" s="1"/>
  <c r="R170" i="27" s="1"/>
  <c r="AB160" i="26"/>
  <c r="D168" i="28" l="1"/>
  <c r="C168" i="28" s="1"/>
  <c r="T168" i="28" s="1"/>
  <c r="F168" i="28"/>
  <c r="E170" i="27"/>
  <c r="AA161" i="26"/>
  <c r="Z161" i="26" s="1"/>
  <c r="P161" i="26" s="1"/>
  <c r="R161" i="26" s="1"/>
  <c r="E168" i="28" l="1"/>
  <c r="AB161" i="26"/>
  <c r="F171" i="27"/>
  <c r="D171" i="27"/>
  <c r="C171" i="27" s="1"/>
  <c r="P171" i="27" s="1"/>
  <c r="R171" i="27" s="1"/>
  <c r="F169" i="28" l="1"/>
  <c r="D169" i="28"/>
  <c r="C169" i="28" s="1"/>
  <c r="T169" i="28" s="1"/>
  <c r="AA162" i="26"/>
  <c r="Z162" i="26" s="1"/>
  <c r="P162" i="26" s="1"/>
  <c r="R162" i="26" s="1"/>
  <c r="E171" i="27"/>
  <c r="E169" i="28" l="1"/>
  <c r="AB162" i="26"/>
  <c r="F172" i="27"/>
  <c r="D172" i="27"/>
  <c r="C172" i="27" s="1"/>
  <c r="P172" i="27" s="1"/>
  <c r="R172" i="27" s="1"/>
  <c r="D170" i="28" l="1"/>
  <c r="C170" i="28" s="1"/>
  <c r="T170" i="28" s="1"/>
  <c r="F170" i="28"/>
  <c r="E172" i="27"/>
  <c r="AA163" i="26"/>
  <c r="Z163" i="26" s="1"/>
  <c r="P163" i="26" s="1"/>
  <c r="R163" i="26" s="1"/>
  <c r="E170" i="28" l="1"/>
  <c r="F173" i="27"/>
  <c r="D173" i="27"/>
  <c r="C173" i="27" s="1"/>
  <c r="P173" i="27" s="1"/>
  <c r="R173" i="27" s="1"/>
  <c r="AB163" i="26"/>
  <c r="F171" i="28" l="1"/>
  <c r="D171" i="28"/>
  <c r="C171" i="28" s="1"/>
  <c r="T171" i="28" s="1"/>
  <c r="E173" i="27"/>
  <c r="AA164" i="26"/>
  <c r="Z164" i="26" s="1"/>
  <c r="P164" i="26" s="1"/>
  <c r="R164" i="26" s="1"/>
  <c r="E171" i="28" l="1"/>
  <c r="AB164" i="26"/>
  <c r="F174" i="27"/>
  <c r="D174" i="27"/>
  <c r="C174" i="27" s="1"/>
  <c r="P174" i="27" s="1"/>
  <c r="R174" i="27" s="1"/>
  <c r="D172" i="28" l="1"/>
  <c r="C172" i="28" s="1"/>
  <c r="T172" i="28" s="1"/>
  <c r="F172" i="28"/>
  <c r="AA165" i="26"/>
  <c r="Z165" i="26" s="1"/>
  <c r="P165" i="26" s="1"/>
  <c r="R165" i="26" s="1"/>
  <c r="E174" i="27"/>
  <c r="E172" i="28" l="1"/>
  <c r="AB165" i="26"/>
  <c r="F175" i="27"/>
  <c r="D175" i="27"/>
  <c r="C175" i="27" s="1"/>
  <c r="P175" i="27" s="1"/>
  <c r="R175" i="27" s="1"/>
  <c r="F173" i="28" l="1"/>
  <c r="D173" i="28"/>
  <c r="C173" i="28" s="1"/>
  <c r="T173" i="28" s="1"/>
  <c r="AA166" i="26"/>
  <c r="Z166" i="26" s="1"/>
  <c r="P166" i="26" s="1"/>
  <c r="R166" i="26" s="1"/>
  <c r="E175" i="27"/>
  <c r="E173" i="28" l="1"/>
  <c r="F176" i="27"/>
  <c r="D176" i="27"/>
  <c r="C176" i="27" s="1"/>
  <c r="P176" i="27" s="1"/>
  <c r="R176" i="27" s="1"/>
  <c r="AB166" i="26"/>
  <c r="F174" i="28" l="1"/>
  <c r="D174" i="28"/>
  <c r="C174" i="28" s="1"/>
  <c r="T174" i="28" s="1"/>
  <c r="AA167" i="26"/>
  <c r="Z167" i="26" s="1"/>
  <c r="P167" i="26" s="1"/>
  <c r="R167" i="26" s="1"/>
  <c r="E176" i="27"/>
  <c r="E174" i="28" l="1"/>
  <c r="AB167" i="26"/>
  <c r="F177" i="27"/>
  <c r="D177" i="27"/>
  <c r="C177" i="27" s="1"/>
  <c r="P177" i="27" s="1"/>
  <c r="R177" i="27" s="1"/>
  <c r="D175" i="28" l="1"/>
  <c r="C175" i="28" s="1"/>
  <c r="T175" i="28" s="1"/>
  <c r="F175" i="28"/>
  <c r="AA168" i="26"/>
  <c r="Z168" i="26" s="1"/>
  <c r="P168" i="26" s="1"/>
  <c r="R168" i="26" s="1"/>
  <c r="E177" i="27"/>
  <c r="E175" i="28" l="1"/>
  <c r="AB168" i="26"/>
  <c r="F178" i="27"/>
  <c r="D178" i="27"/>
  <c r="C178" i="27" s="1"/>
  <c r="P178" i="27" s="1"/>
  <c r="R178" i="27" s="1"/>
  <c r="F176" i="28" l="1"/>
  <c r="D176" i="28"/>
  <c r="C176" i="28" s="1"/>
  <c r="T176" i="28" s="1"/>
  <c r="E178" i="27"/>
  <c r="AA169" i="26"/>
  <c r="Z169" i="26" s="1"/>
  <c r="P169" i="26" s="1"/>
  <c r="R169" i="26" s="1"/>
  <c r="E176" i="28" l="1"/>
  <c r="D179" i="27"/>
  <c r="C179" i="27" s="1"/>
  <c r="P179" i="27" s="1"/>
  <c r="R179" i="27" s="1"/>
  <c r="F179" i="27"/>
  <c r="AB169" i="26"/>
  <c r="D177" i="28" l="1"/>
  <c r="C177" i="28" s="1"/>
  <c r="T177" i="28" s="1"/>
  <c r="F177" i="28"/>
  <c r="E179" i="27"/>
  <c r="AA170" i="26"/>
  <c r="Z170" i="26" s="1"/>
  <c r="P170" i="26" s="1"/>
  <c r="R170" i="26" s="1"/>
  <c r="E177" i="28" l="1"/>
  <c r="AB170" i="26"/>
  <c r="F180" i="27"/>
  <c r="D180" i="27"/>
  <c r="C180" i="27" s="1"/>
  <c r="P180" i="27" s="1"/>
  <c r="R180" i="27" s="1"/>
  <c r="D178" i="28" l="1"/>
  <c r="C178" i="28" s="1"/>
  <c r="T178" i="28" s="1"/>
  <c r="F178" i="28"/>
  <c r="AA171" i="26"/>
  <c r="Z171" i="26" s="1"/>
  <c r="P171" i="26" s="1"/>
  <c r="R171" i="26" s="1"/>
  <c r="E180" i="27"/>
  <c r="E178" i="28" l="1"/>
  <c r="AB171" i="26"/>
  <c r="F181" i="27"/>
  <c r="D181" i="27"/>
  <c r="C181" i="27" s="1"/>
  <c r="P181" i="27" s="1"/>
  <c r="R181" i="27" s="1"/>
  <c r="D179" i="28" l="1"/>
  <c r="C179" i="28" s="1"/>
  <c r="T179" i="28" s="1"/>
  <c r="F179" i="28"/>
  <c r="E181" i="27"/>
  <c r="AA172" i="26"/>
  <c r="Z172" i="26" s="1"/>
  <c r="P172" i="26" s="1"/>
  <c r="R172" i="26" s="1"/>
  <c r="E179" i="28" l="1"/>
  <c r="F182" i="27"/>
  <c r="D182" i="27"/>
  <c r="C182" i="27" s="1"/>
  <c r="P182" i="27" s="1"/>
  <c r="R182" i="27" s="1"/>
  <c r="AB172" i="26"/>
  <c r="F180" i="28" l="1"/>
  <c r="D180" i="28"/>
  <c r="C180" i="28" s="1"/>
  <c r="T180" i="28" s="1"/>
  <c r="E182" i="27"/>
  <c r="AA173" i="26"/>
  <c r="Z173" i="26" s="1"/>
  <c r="P173" i="26" s="1"/>
  <c r="R173" i="26" s="1"/>
  <c r="E180" i="28" l="1"/>
  <c r="AB173" i="26"/>
  <c r="F183" i="27"/>
  <c r="D183" i="27"/>
  <c r="C183" i="27" s="1"/>
  <c r="P183" i="27" s="1"/>
  <c r="R183" i="27" s="1"/>
  <c r="D181" i="28" l="1"/>
  <c r="C181" i="28" s="1"/>
  <c r="T181" i="28" s="1"/>
  <c r="F181" i="28"/>
  <c r="AA174" i="26"/>
  <c r="Z174" i="26" s="1"/>
  <c r="P174" i="26" s="1"/>
  <c r="R174" i="26" s="1"/>
  <c r="E183" i="27"/>
  <c r="E181" i="28" l="1"/>
  <c r="F184" i="27"/>
  <c r="D184" i="27"/>
  <c r="C184" i="27" s="1"/>
  <c r="P184" i="27" s="1"/>
  <c r="R184" i="27" s="1"/>
  <c r="AB174" i="26"/>
  <c r="F182" i="28" l="1"/>
  <c r="D182" i="28"/>
  <c r="C182" i="28" s="1"/>
  <c r="T182" i="28" s="1"/>
  <c r="AA175" i="26"/>
  <c r="Z175" i="26" s="1"/>
  <c r="P175" i="26" s="1"/>
  <c r="R175" i="26" s="1"/>
  <c r="E184" i="27"/>
  <c r="E182" i="28" l="1"/>
  <c r="F185" i="27"/>
  <c r="D185" i="27"/>
  <c r="C185" i="27" s="1"/>
  <c r="P185" i="27" s="1"/>
  <c r="R185" i="27" s="1"/>
  <c r="AB175" i="26"/>
  <c r="D183" i="28" l="1"/>
  <c r="C183" i="28" s="1"/>
  <c r="T183" i="28" s="1"/>
  <c r="F183" i="28"/>
  <c r="E185" i="27"/>
  <c r="AA176" i="26"/>
  <c r="Z176" i="26" s="1"/>
  <c r="P176" i="26" s="1"/>
  <c r="R176" i="26" s="1"/>
  <c r="E183" i="28" l="1"/>
  <c r="F184" i="28"/>
  <c r="D184" i="28"/>
  <c r="C184" i="28" s="1"/>
  <c r="T184" i="28" s="1"/>
  <c r="D186" i="27"/>
  <c r="C186" i="27" s="1"/>
  <c r="P186" i="27" s="1"/>
  <c r="R186" i="27" s="1"/>
  <c r="F186" i="27"/>
  <c r="AB176" i="26"/>
  <c r="E184" i="28" l="1"/>
  <c r="E186" i="27"/>
  <c r="AA177" i="26"/>
  <c r="Z177" i="26" s="1"/>
  <c r="P177" i="26" s="1"/>
  <c r="R177" i="26" s="1"/>
  <c r="F185" i="28" l="1"/>
  <c r="D185" i="28"/>
  <c r="C185" i="28" s="1"/>
  <c r="T185" i="28" s="1"/>
  <c r="AB177" i="26"/>
  <c r="F187" i="27"/>
  <c r="D187" i="27"/>
  <c r="C187" i="27" s="1"/>
  <c r="E185" i="28" l="1"/>
  <c r="AA178" i="26"/>
  <c r="Z178" i="26" s="1"/>
  <c r="P178" i="26" s="1"/>
  <c r="R178" i="26" s="1"/>
  <c r="E187" i="27"/>
  <c r="P187" i="27"/>
  <c r="R187" i="27" s="1"/>
  <c r="D186" i="28" l="1"/>
  <c r="C186" i="28" s="1"/>
  <c r="T186" i="28" s="1"/>
  <c r="F186" i="28"/>
  <c r="F188" i="27"/>
  <c r="D188" i="27"/>
  <c r="C188" i="27" s="1"/>
  <c r="P188" i="27" s="1"/>
  <c r="R188" i="27" s="1"/>
  <c r="AB178" i="26"/>
  <c r="E186" i="28" l="1"/>
  <c r="E188" i="27"/>
  <c r="AA179" i="26"/>
  <c r="Z179" i="26" s="1"/>
  <c r="P179" i="26" s="1"/>
  <c r="R179" i="26" s="1"/>
  <c r="D187" i="28" l="1"/>
  <c r="C187" i="28" s="1"/>
  <c r="T187" i="28" s="1"/>
  <c r="F187" i="28"/>
  <c r="AB179" i="26"/>
  <c r="F189" i="27"/>
  <c r="D189" i="27"/>
  <c r="C189" i="27" s="1"/>
  <c r="P189" i="27" s="1"/>
  <c r="R189" i="27" s="1"/>
  <c r="E187" i="28" l="1"/>
  <c r="AA180" i="26"/>
  <c r="Z180" i="26" s="1"/>
  <c r="P180" i="26" s="1"/>
  <c r="R180" i="26" s="1"/>
  <c r="E189" i="27"/>
  <c r="D188" i="28" l="1"/>
  <c r="C188" i="28" s="1"/>
  <c r="T188" i="28" s="1"/>
  <c r="F188" i="28"/>
  <c r="AB180" i="26"/>
  <c r="F190" i="27"/>
  <c r="D190" i="27"/>
  <c r="C190" i="27" s="1"/>
  <c r="P190" i="27" s="1"/>
  <c r="R190" i="27" s="1"/>
  <c r="E188" i="28" l="1"/>
  <c r="E190" i="27"/>
  <c r="AA181" i="26"/>
  <c r="Z181" i="26" s="1"/>
  <c r="P181" i="26" s="1"/>
  <c r="R181" i="26" s="1"/>
  <c r="D189" i="28" l="1"/>
  <c r="C189" i="28" s="1"/>
  <c r="T189" i="28" s="1"/>
  <c r="F189" i="28"/>
  <c r="F191" i="27"/>
  <c r="D191" i="27"/>
  <c r="C191" i="27" s="1"/>
  <c r="P191" i="27" s="1"/>
  <c r="R191" i="27" s="1"/>
  <c r="AB181" i="26"/>
  <c r="E189" i="28" l="1"/>
  <c r="D190" i="28" s="1"/>
  <c r="C190" i="28" s="1"/>
  <c r="F190" i="28"/>
  <c r="E191" i="27"/>
  <c r="AA182" i="26"/>
  <c r="Z182" i="26" s="1"/>
  <c r="P182" i="26" s="1"/>
  <c r="R182" i="26" s="1"/>
  <c r="T190" i="28" l="1"/>
  <c r="E190" i="28"/>
  <c r="F191" i="28"/>
  <c r="D191" i="28"/>
  <c r="C191" i="28" s="1"/>
  <c r="T191" i="28" s="1"/>
  <c r="AB182" i="26"/>
  <c r="F192" i="27"/>
  <c r="D192" i="27"/>
  <c r="C192" i="27" s="1"/>
  <c r="P192" i="27" s="1"/>
  <c r="R192" i="27" s="1"/>
  <c r="E191" i="28" l="1"/>
  <c r="F192" i="28"/>
  <c r="D192" i="28"/>
  <c r="C192" i="28" s="1"/>
  <c r="T192" i="28" s="1"/>
  <c r="E192" i="27"/>
  <c r="F193" i="27"/>
  <c r="D193" i="27"/>
  <c r="C193" i="27" s="1"/>
  <c r="P193" i="27" s="1"/>
  <c r="R193" i="27" s="1"/>
  <c r="AA183" i="26"/>
  <c r="Z183" i="26" s="1"/>
  <c r="P183" i="26" s="1"/>
  <c r="R183" i="26" s="1"/>
  <c r="E192" i="28" l="1"/>
  <c r="E193" i="27"/>
  <c r="AB183" i="26"/>
  <c r="F193" i="28" l="1"/>
  <c r="D193" i="28"/>
  <c r="C193" i="28" s="1"/>
  <c r="T193" i="28" s="1"/>
  <c r="AA184" i="26"/>
  <c r="Z184" i="26" s="1"/>
  <c r="P184" i="26" s="1"/>
  <c r="R184" i="26" s="1"/>
  <c r="F194" i="27"/>
  <c r="D194" i="27"/>
  <c r="C194" i="27" s="1"/>
  <c r="P194" i="27" s="1"/>
  <c r="R194" i="27" s="1"/>
  <c r="E193" i="28" l="1"/>
  <c r="AB184" i="26"/>
  <c r="E194" i="27"/>
  <c r="D194" i="28" l="1"/>
  <c r="C194" i="28" s="1"/>
  <c r="T194" i="28" s="1"/>
  <c r="F194" i="28"/>
  <c r="F195" i="27"/>
  <c r="D195" i="27"/>
  <c r="C195" i="27" s="1"/>
  <c r="P195" i="27" s="1"/>
  <c r="R195" i="27" s="1"/>
  <c r="AA185" i="26"/>
  <c r="Z185" i="26" s="1"/>
  <c r="P185" i="26" s="1"/>
  <c r="R185" i="26" s="1"/>
  <c r="E194" i="28" l="1"/>
  <c r="AB185" i="26"/>
  <c r="E195" i="27"/>
  <c r="F195" i="28" l="1"/>
  <c r="D195" i="28"/>
  <c r="C195" i="28" s="1"/>
  <c r="T195" i="28" s="1"/>
  <c r="F196" i="27"/>
  <c r="D196" i="27"/>
  <c r="C196" i="27" s="1"/>
  <c r="P196" i="27" s="1"/>
  <c r="R196" i="27" s="1"/>
  <c r="AA186" i="26"/>
  <c r="Z186" i="26" s="1"/>
  <c r="P186" i="26" s="1"/>
  <c r="R186" i="26" s="1"/>
  <c r="E195" i="28" l="1"/>
  <c r="E196" i="27"/>
  <c r="D197" i="27" s="1"/>
  <c r="C197" i="27" s="1"/>
  <c r="P197" i="27" s="1"/>
  <c r="R197" i="27" s="1"/>
  <c r="AB186" i="26"/>
  <c r="D196" i="28" l="1"/>
  <c r="C196" i="28" s="1"/>
  <c r="T196" i="28" s="1"/>
  <c r="F196" i="28"/>
  <c r="F197" i="27"/>
  <c r="AA187" i="26"/>
  <c r="Z187" i="26" s="1"/>
  <c r="P187" i="26" s="1"/>
  <c r="R187" i="26" s="1"/>
  <c r="E197" i="27"/>
  <c r="E196" i="28" l="1"/>
  <c r="AB187" i="26"/>
  <c r="F198" i="27"/>
  <c r="D198" i="27"/>
  <c r="C198" i="27" s="1"/>
  <c r="P198" i="27" s="1"/>
  <c r="R198" i="27" s="1"/>
  <c r="D197" i="28" l="1"/>
  <c r="C197" i="28" s="1"/>
  <c r="T197" i="28" s="1"/>
  <c r="F197" i="28"/>
  <c r="E198" i="27"/>
  <c r="AA188" i="26"/>
  <c r="Z188" i="26" s="1"/>
  <c r="P188" i="26" s="1"/>
  <c r="R188" i="26" s="1"/>
  <c r="E197" i="28" l="1"/>
  <c r="AB188" i="26"/>
  <c r="F199" i="27"/>
  <c r="D199" i="27"/>
  <c r="C199" i="27" s="1"/>
  <c r="P199" i="27" s="1"/>
  <c r="R199" i="27" s="1"/>
  <c r="D198" i="28" l="1"/>
  <c r="C198" i="28" s="1"/>
  <c r="T198" i="28" s="1"/>
  <c r="F198" i="28"/>
  <c r="E199" i="27"/>
  <c r="AA189" i="26"/>
  <c r="Z189" i="26" s="1"/>
  <c r="P189" i="26" s="1"/>
  <c r="R189" i="26" s="1"/>
  <c r="E198" i="28" l="1"/>
  <c r="D199" i="28"/>
  <c r="C199" i="28" s="1"/>
  <c r="F199" i="28"/>
  <c r="AB189" i="26"/>
  <c r="D200" i="27"/>
  <c r="C200" i="27" s="1"/>
  <c r="P200" i="27" s="1"/>
  <c r="R200" i="27" s="1"/>
  <c r="F200" i="27"/>
  <c r="T199" i="28" l="1"/>
  <c r="E199" i="28"/>
  <c r="E200" i="27"/>
  <c r="AA190" i="26"/>
  <c r="Z190" i="26" s="1"/>
  <c r="P190" i="26" s="1"/>
  <c r="R190" i="26" s="1"/>
  <c r="D200" i="28" l="1"/>
  <c r="C200" i="28" s="1"/>
  <c r="F200" i="28"/>
  <c r="AB190" i="26"/>
  <c r="D201" i="27"/>
  <c r="C201" i="27" s="1"/>
  <c r="P201" i="27" s="1"/>
  <c r="R201" i="27" s="1"/>
  <c r="F201" i="27"/>
  <c r="T200" i="28" l="1"/>
  <c r="E200" i="28"/>
  <c r="AA191" i="26"/>
  <c r="Z191" i="26" s="1"/>
  <c r="P191" i="26" s="1"/>
  <c r="R191" i="26" s="1"/>
  <c r="E201" i="27"/>
  <c r="D201" i="28" l="1"/>
  <c r="C201" i="28" s="1"/>
  <c r="T201" i="28" s="1"/>
  <c r="F201" i="28"/>
  <c r="D202" i="27"/>
  <c r="C202" i="27" s="1"/>
  <c r="P202" i="27" s="1"/>
  <c r="R202" i="27" s="1"/>
  <c r="F202" i="27"/>
  <c r="AB191" i="26"/>
  <c r="E201" i="28" l="1"/>
  <c r="AA192" i="26"/>
  <c r="Z192" i="26" s="1"/>
  <c r="P192" i="26" s="1"/>
  <c r="R192" i="26" s="1"/>
  <c r="E202" i="27"/>
  <c r="D202" i="28" l="1"/>
  <c r="C202" i="28" s="1"/>
  <c r="F202" i="28"/>
  <c r="D203" i="27"/>
  <c r="C203" i="27" s="1"/>
  <c r="P203" i="27" s="1"/>
  <c r="R203" i="27" s="1"/>
  <c r="F203" i="27"/>
  <c r="AB192" i="26"/>
  <c r="T202" i="28" l="1"/>
  <c r="E202" i="28"/>
  <c r="AA193" i="26"/>
  <c r="Z193" i="26" s="1"/>
  <c r="P193" i="26" s="1"/>
  <c r="R193" i="26" s="1"/>
  <c r="E203" i="27"/>
  <c r="D203" i="28" l="1"/>
  <c r="C203" i="28" s="1"/>
  <c r="T203" i="28" s="1"/>
  <c r="F203" i="28"/>
  <c r="F204" i="27"/>
  <c r="D204" i="27"/>
  <c r="C204" i="27" s="1"/>
  <c r="P204" i="27" s="1"/>
  <c r="R204" i="27" s="1"/>
  <c r="AB193" i="26"/>
  <c r="E203" i="28" l="1"/>
  <c r="E204" i="27"/>
  <c r="AA194" i="26"/>
  <c r="Z194" i="26" s="1"/>
  <c r="P194" i="26" s="1"/>
  <c r="R194" i="26" s="1"/>
  <c r="F204" i="28" l="1"/>
  <c r="D204" i="28"/>
  <c r="C204" i="28" s="1"/>
  <c r="T204" i="28" s="1"/>
  <c r="AB194" i="26"/>
  <c r="F205" i="27"/>
  <c r="D205" i="27"/>
  <c r="C205" i="27" s="1"/>
  <c r="P205" i="27" s="1"/>
  <c r="R205" i="27" s="1"/>
  <c r="E204" i="28" l="1"/>
  <c r="AA195" i="26"/>
  <c r="Z195" i="26" s="1"/>
  <c r="P195" i="26" s="1"/>
  <c r="R195" i="26" s="1"/>
  <c r="E205" i="27"/>
  <c r="D205" i="28" l="1"/>
  <c r="C205" i="28" s="1"/>
  <c r="T205" i="28" s="1"/>
  <c r="F205" i="28"/>
  <c r="F206" i="27"/>
  <c r="D206" i="27"/>
  <c r="C206" i="27" s="1"/>
  <c r="P206" i="27" s="1"/>
  <c r="R206" i="27" s="1"/>
  <c r="AB195" i="26"/>
  <c r="E205" i="28" l="1"/>
  <c r="AA196" i="26"/>
  <c r="Z196" i="26" s="1"/>
  <c r="P196" i="26" s="1"/>
  <c r="R196" i="26" s="1"/>
  <c r="E206" i="27"/>
  <c r="F206" i="28" l="1"/>
  <c r="D206" i="28"/>
  <c r="C206" i="28" s="1"/>
  <c r="T206" i="28" s="1"/>
  <c r="D207" i="27"/>
  <c r="C207" i="27" s="1"/>
  <c r="P207" i="27" s="1"/>
  <c r="R207" i="27" s="1"/>
  <c r="F207" i="27"/>
  <c r="AB196" i="26"/>
  <c r="E206" i="28" l="1"/>
  <c r="AA197" i="26"/>
  <c r="Z197" i="26" s="1"/>
  <c r="P197" i="26" s="1"/>
  <c r="R197" i="26" s="1"/>
  <c r="E207" i="27"/>
  <c r="D207" i="28" l="1"/>
  <c r="C207" i="28" s="1"/>
  <c r="T207" i="28" s="1"/>
  <c r="F207" i="28"/>
  <c r="F208" i="27"/>
  <c r="D208" i="27"/>
  <c r="C208" i="27" s="1"/>
  <c r="P208" i="27" s="1"/>
  <c r="R208" i="27" s="1"/>
  <c r="AB197" i="26"/>
  <c r="E207" i="28" l="1"/>
  <c r="E208" i="27"/>
  <c r="AA198" i="26"/>
  <c r="Z198" i="26" s="1"/>
  <c r="P198" i="26" s="1"/>
  <c r="R198" i="26" s="1"/>
  <c r="D208" i="28" l="1"/>
  <c r="C208" i="28" s="1"/>
  <c r="T208" i="28" s="1"/>
  <c r="F208" i="28"/>
  <c r="AB198" i="26"/>
  <c r="D209" i="27"/>
  <c r="C209" i="27" s="1"/>
  <c r="P209" i="27" s="1"/>
  <c r="R209" i="27" s="1"/>
  <c r="F209" i="27"/>
  <c r="E208" i="28" l="1"/>
  <c r="E209" i="27"/>
  <c r="AA199" i="26"/>
  <c r="Z199" i="26" s="1"/>
  <c r="P199" i="26" s="1"/>
  <c r="R199" i="26" s="1"/>
  <c r="D209" i="28" l="1"/>
  <c r="C209" i="28" s="1"/>
  <c r="T209" i="28" s="1"/>
  <c r="F209" i="28"/>
  <c r="AB199" i="26"/>
  <c r="F210" i="27"/>
  <c r="D210" i="27"/>
  <c r="C210" i="27" s="1"/>
  <c r="P210" i="27" s="1"/>
  <c r="R210" i="27" s="1"/>
  <c r="E209" i="28" l="1"/>
  <c r="E210" i="27"/>
  <c r="F211" i="27" s="1"/>
  <c r="AA200" i="26"/>
  <c r="Z200" i="26" s="1"/>
  <c r="P200" i="26" s="1"/>
  <c r="R200" i="26" s="1"/>
  <c r="D210" i="28" l="1"/>
  <c r="C210" i="28" s="1"/>
  <c r="T210" i="28" s="1"/>
  <c r="F210" i="28"/>
  <c r="D211" i="27"/>
  <c r="C211" i="27" s="1"/>
  <c r="P211" i="27" s="1"/>
  <c r="R211" i="27" s="1"/>
  <c r="AB200" i="26"/>
  <c r="E211" i="27" l="1"/>
  <c r="E210" i="28"/>
  <c r="AA201" i="26"/>
  <c r="Z201" i="26" s="1"/>
  <c r="P201" i="26" s="1"/>
  <c r="R201" i="26" s="1"/>
  <c r="D212" i="27" l="1"/>
  <c r="C212" i="27" s="1"/>
  <c r="F212" i="27"/>
  <c r="D211" i="28"/>
  <c r="C211" i="28" s="1"/>
  <c r="T211" i="28" s="1"/>
  <c r="F211" i="28"/>
  <c r="AB201" i="26"/>
  <c r="P212" i="27" l="1"/>
  <c r="R212" i="27" s="1"/>
  <c r="E212" i="27"/>
  <c r="E211" i="28"/>
  <c r="AA202" i="26"/>
  <c r="Z202" i="26" s="1"/>
  <c r="P202" i="26" s="1"/>
  <c r="R202" i="26" s="1"/>
  <c r="F213" i="27" l="1"/>
  <c r="D213" i="27"/>
  <c r="C213" i="27" s="1"/>
  <c r="F212" i="28"/>
  <c r="D212" i="28"/>
  <c r="C212" i="28" s="1"/>
  <c r="T212" i="28" s="1"/>
  <c r="AB202" i="26"/>
  <c r="P213" i="27" l="1"/>
  <c r="R213" i="27" s="1"/>
  <c r="E213" i="27"/>
  <c r="E212" i="28"/>
  <c r="AA203" i="26"/>
  <c r="Z203" i="26" s="1"/>
  <c r="P203" i="26" s="1"/>
  <c r="R203" i="26" s="1"/>
  <c r="D214" i="27" l="1"/>
  <c r="C214" i="27" s="1"/>
  <c r="F214" i="27"/>
  <c r="F213" i="28"/>
  <c r="D213" i="28"/>
  <c r="C213" i="28" s="1"/>
  <c r="T213" i="28" s="1"/>
  <c r="AB203" i="26"/>
  <c r="P214" i="27" l="1"/>
  <c r="R214" i="27" s="1"/>
  <c r="E214" i="27"/>
  <c r="E213" i="28"/>
  <c r="AA204" i="26"/>
  <c r="Z204" i="26" s="1"/>
  <c r="P204" i="26" s="1"/>
  <c r="R204" i="26" s="1"/>
  <c r="F215" i="27" l="1"/>
  <c r="D215" i="27"/>
  <c r="C215" i="27" s="1"/>
  <c r="D214" i="28"/>
  <c r="C214" i="28" s="1"/>
  <c r="T214" i="28" s="1"/>
  <c r="F214" i="28"/>
  <c r="AB204" i="26"/>
  <c r="P215" i="27" l="1"/>
  <c r="R215" i="27" s="1"/>
  <c r="E215" i="27"/>
  <c r="E214" i="28"/>
  <c r="AA205" i="26"/>
  <c r="Z205" i="26" s="1"/>
  <c r="P205" i="26" s="1"/>
  <c r="R205" i="26" s="1"/>
  <c r="D216" i="27" l="1"/>
  <c r="C216" i="27" s="1"/>
  <c r="F216" i="27"/>
  <c r="D215" i="28"/>
  <c r="C215" i="28" s="1"/>
  <c r="T215" i="28" s="1"/>
  <c r="F215" i="28"/>
  <c r="AB205" i="26"/>
  <c r="P216" i="27" l="1"/>
  <c r="R216" i="27" s="1"/>
  <c r="E216" i="27"/>
  <c r="E215" i="28"/>
  <c r="AA206" i="26"/>
  <c r="Z206" i="26" s="1"/>
  <c r="P206" i="26" s="1"/>
  <c r="R206" i="26" s="1"/>
  <c r="F217" i="27" l="1"/>
  <c r="D217" i="27"/>
  <c r="C217" i="27" s="1"/>
  <c r="D216" i="28"/>
  <c r="C216" i="28" s="1"/>
  <c r="T216" i="28" s="1"/>
  <c r="F216" i="28"/>
  <c r="AB206" i="26"/>
  <c r="P217" i="27" l="1"/>
  <c r="R217" i="27" s="1"/>
  <c r="E217" i="27"/>
  <c r="E216" i="28"/>
  <c r="AA207" i="26"/>
  <c r="Z207" i="26" s="1"/>
  <c r="P207" i="26" s="1"/>
  <c r="R207" i="26" s="1"/>
  <c r="D218" i="27" l="1"/>
  <c r="C218" i="27" s="1"/>
  <c r="F218" i="27"/>
  <c r="D217" i="28"/>
  <c r="C217" i="28" s="1"/>
  <c r="T217" i="28" s="1"/>
  <c r="F217" i="28"/>
  <c r="AB207" i="26"/>
  <c r="P218" i="27" l="1"/>
  <c r="R218" i="27" s="1"/>
  <c r="E218" i="27"/>
  <c r="E217" i="28"/>
  <c r="AA208" i="26"/>
  <c r="Z208" i="26" s="1"/>
  <c r="P208" i="26" s="1"/>
  <c r="R208" i="26" s="1"/>
  <c r="F219" i="27" l="1"/>
  <c r="D219" i="27"/>
  <c r="C219" i="27" s="1"/>
  <c r="D218" i="28"/>
  <c r="C218" i="28" s="1"/>
  <c r="T218" i="28" s="1"/>
  <c r="F218" i="28"/>
  <c r="AB208" i="26"/>
  <c r="P219" i="27" l="1"/>
  <c r="R219" i="27" s="1"/>
  <c r="E219" i="27"/>
  <c r="E218" i="28"/>
  <c r="AA209" i="26"/>
  <c r="Z209" i="26" s="1"/>
  <c r="P209" i="26" s="1"/>
  <c r="R209" i="26" s="1"/>
  <c r="F220" i="27" l="1"/>
  <c r="D220" i="27"/>
  <c r="C220" i="27" s="1"/>
  <c r="F219" i="28"/>
  <c r="D219" i="28"/>
  <c r="C219" i="28" s="1"/>
  <c r="T219" i="28" s="1"/>
  <c r="AB209" i="26"/>
  <c r="P220" i="27" l="1"/>
  <c r="R220" i="27" s="1"/>
  <c r="E220" i="27"/>
  <c r="E219" i="28"/>
  <c r="AA210" i="26"/>
  <c r="Z210" i="26" s="1"/>
  <c r="P210" i="26" s="1"/>
  <c r="R210" i="26" s="1"/>
  <c r="F221" i="27" l="1"/>
  <c r="D221" i="27"/>
  <c r="C221" i="27" s="1"/>
  <c r="D220" i="28"/>
  <c r="C220" i="28" s="1"/>
  <c r="T220" i="28" s="1"/>
  <c r="F220" i="28"/>
  <c r="AB210" i="26"/>
  <c r="P221" i="27" l="1"/>
  <c r="R221" i="27" s="1"/>
  <c r="E221" i="27"/>
  <c r="E220" i="28"/>
  <c r="AA211" i="26"/>
  <c r="Z211" i="26" s="1"/>
  <c r="P211" i="26" s="1"/>
  <c r="R211" i="26" s="1"/>
  <c r="F222" i="27" l="1"/>
  <c r="D222" i="27"/>
  <c r="C222" i="27" s="1"/>
  <c r="F221" i="28"/>
  <c r="D221" i="28"/>
  <c r="C221" i="28" s="1"/>
  <c r="T221" i="28" s="1"/>
  <c r="AB211" i="26"/>
  <c r="P222" i="27" l="1"/>
  <c r="R222" i="27" s="1"/>
  <c r="E222" i="27"/>
  <c r="E221" i="28"/>
  <c r="AA212" i="26"/>
  <c r="Z212" i="26" s="1"/>
  <c r="P212" i="26" s="1"/>
  <c r="R212" i="26" s="1"/>
  <c r="D223" i="27" l="1"/>
  <c r="C223" i="27" s="1"/>
  <c r="F223" i="27"/>
  <c r="D222" i="28"/>
  <c r="C222" i="28" s="1"/>
  <c r="T222" i="28" s="1"/>
  <c r="F222" i="28"/>
  <c r="AB212" i="26"/>
  <c r="P223" i="27" l="1"/>
  <c r="R223" i="27" s="1"/>
  <c r="E223" i="27"/>
  <c r="E222" i="28"/>
  <c r="AA213" i="26"/>
  <c r="Z213" i="26" s="1"/>
  <c r="P213" i="26" s="1"/>
  <c r="R213" i="26" s="1"/>
  <c r="D224" i="27" l="1"/>
  <c r="C224" i="27" s="1"/>
  <c r="F224" i="27"/>
  <c r="F223" i="28"/>
  <c r="D223" i="28"/>
  <c r="C223" i="28" s="1"/>
  <c r="T223" i="28" s="1"/>
  <c r="AB213" i="26"/>
  <c r="P224" i="27" l="1"/>
  <c r="R224" i="27" s="1"/>
  <c r="E224" i="27"/>
  <c r="E223" i="28"/>
  <c r="AA214" i="26"/>
  <c r="Z214" i="26" s="1"/>
  <c r="P214" i="26" s="1"/>
  <c r="R214" i="26" s="1"/>
  <c r="D225" i="27" l="1"/>
  <c r="C225" i="27" s="1"/>
  <c r="F225" i="27"/>
  <c r="D224" i="28"/>
  <c r="C224" i="28" s="1"/>
  <c r="T224" i="28" s="1"/>
  <c r="F224" i="28"/>
  <c r="AB214" i="26"/>
  <c r="P225" i="27" l="1"/>
  <c r="R225" i="27" s="1"/>
  <c r="E225" i="27"/>
  <c r="E224" i="28"/>
  <c r="AA215" i="26"/>
  <c r="Z215" i="26" s="1"/>
  <c r="P215" i="26" s="1"/>
  <c r="R215" i="26" s="1"/>
  <c r="D226" i="27" l="1"/>
  <c r="C226" i="27" s="1"/>
  <c r="F226" i="27"/>
  <c r="F225" i="28"/>
  <c r="D225" i="28"/>
  <c r="C225" i="28" s="1"/>
  <c r="T225" i="28" s="1"/>
  <c r="AB215" i="26"/>
  <c r="P226" i="27" l="1"/>
  <c r="R226" i="27" s="1"/>
  <c r="E226" i="27"/>
  <c r="E225" i="28"/>
  <c r="AA216" i="26"/>
  <c r="Z216" i="26" s="1"/>
  <c r="P216" i="26" s="1"/>
  <c r="R216" i="26" s="1"/>
  <c r="D227" i="27" l="1"/>
  <c r="C227" i="27" s="1"/>
  <c r="F227" i="27"/>
  <c r="D226" i="28"/>
  <c r="C226" i="28" s="1"/>
  <c r="T226" i="28" s="1"/>
  <c r="F226" i="28"/>
  <c r="AB216" i="26"/>
  <c r="P227" i="27" l="1"/>
  <c r="R227" i="27" s="1"/>
  <c r="E227" i="27"/>
  <c r="E226" i="28"/>
  <c r="AA217" i="26"/>
  <c r="Z217" i="26" s="1"/>
  <c r="P217" i="26" s="1"/>
  <c r="R217" i="26" s="1"/>
  <c r="D228" i="27" l="1"/>
  <c r="C228" i="27" s="1"/>
  <c r="P228" i="27" s="1"/>
  <c r="R228" i="27" s="1"/>
  <c r="F228" i="27"/>
  <c r="D227" i="28"/>
  <c r="C227" i="28" s="1"/>
  <c r="T227" i="28" s="1"/>
  <c r="F227" i="28"/>
  <c r="AB217" i="26"/>
  <c r="E228" i="27" l="1"/>
  <c r="D229" i="27" s="1"/>
  <c r="C229" i="27" s="1"/>
  <c r="F229" i="27"/>
  <c r="E227" i="28"/>
  <c r="AA218" i="26"/>
  <c r="Z218" i="26" s="1"/>
  <c r="P218" i="26" s="1"/>
  <c r="R218" i="26" s="1"/>
  <c r="P229" i="27" l="1"/>
  <c r="R229" i="27" s="1"/>
  <c r="E229" i="27"/>
  <c r="D228" i="28"/>
  <c r="C228" i="28" s="1"/>
  <c r="T228" i="28" s="1"/>
  <c r="F228" i="28"/>
  <c r="AB218" i="26"/>
  <c r="D230" i="27" l="1"/>
  <c r="C230" i="27" s="1"/>
  <c r="F230" i="27"/>
  <c r="E228" i="28"/>
  <c r="F229" i="28"/>
  <c r="D229" i="28"/>
  <c r="C229" i="28" s="1"/>
  <c r="T229" i="28" s="1"/>
  <c r="AA219" i="26"/>
  <c r="Z219" i="26" s="1"/>
  <c r="P219" i="26" s="1"/>
  <c r="R219" i="26" s="1"/>
  <c r="P230" i="27" l="1"/>
  <c r="R230" i="27" s="1"/>
  <c r="E230" i="27"/>
  <c r="E229" i="28"/>
  <c r="AB219" i="26"/>
  <c r="D231" i="27" l="1"/>
  <c r="C231" i="27" s="1"/>
  <c r="F231" i="27"/>
  <c r="F230" i="28"/>
  <c r="D230" i="28"/>
  <c r="C230" i="28" s="1"/>
  <c r="T230" i="28" s="1"/>
  <c r="AA220" i="26"/>
  <c r="Z220" i="26" s="1"/>
  <c r="P220" i="26" s="1"/>
  <c r="R220" i="26" s="1"/>
  <c r="P231" i="27" l="1"/>
  <c r="R231" i="27" s="1"/>
  <c r="E231" i="27"/>
  <c r="E230" i="28"/>
  <c r="D231" i="28" s="1"/>
  <c r="C231" i="28" s="1"/>
  <c r="T231" i="28" s="1"/>
  <c r="F231" i="28"/>
  <c r="AB220" i="26"/>
  <c r="F232" i="27" l="1"/>
  <c r="D232" i="27"/>
  <c r="C232" i="27" s="1"/>
  <c r="P232" i="27" s="1"/>
  <c r="R232" i="27" s="1"/>
  <c r="E231" i="28"/>
  <c r="AA221" i="26"/>
  <c r="Z221" i="26" s="1"/>
  <c r="P221" i="26" s="1"/>
  <c r="R221" i="26" s="1"/>
  <c r="E232" i="27" l="1"/>
  <c r="F232" i="28"/>
  <c r="D232" i="28"/>
  <c r="C232" i="28" s="1"/>
  <c r="T232" i="28" s="1"/>
  <c r="AB221" i="26"/>
  <c r="D233" i="27" l="1"/>
  <c r="C233" i="27" s="1"/>
  <c r="F233" i="27"/>
  <c r="E232" i="28"/>
  <c r="AA222" i="26"/>
  <c r="Z222" i="26" s="1"/>
  <c r="P222" i="26" s="1"/>
  <c r="R222" i="26" s="1"/>
  <c r="P233" i="27" l="1"/>
  <c r="R233" i="27" s="1"/>
  <c r="E233" i="27"/>
  <c r="F233" i="28"/>
  <c r="D233" i="28"/>
  <c r="C233" i="28" s="1"/>
  <c r="T233" i="28" s="1"/>
  <c r="AB222" i="26"/>
  <c r="D234" i="27" l="1"/>
  <c r="C234" i="27" s="1"/>
  <c r="F234" i="27"/>
  <c r="E233" i="28"/>
  <c r="D234" i="28" s="1"/>
  <c r="C234" i="28" s="1"/>
  <c r="T234" i="28" s="1"/>
  <c r="AA223" i="26"/>
  <c r="Z223" i="26" s="1"/>
  <c r="P223" i="26" s="1"/>
  <c r="R223" i="26" s="1"/>
  <c r="E234" i="28" l="1"/>
  <c r="F234" i="28"/>
  <c r="P234" i="27"/>
  <c r="R234" i="27" s="1"/>
  <c r="E234" i="27"/>
  <c r="F235" i="28"/>
  <c r="D235" i="28"/>
  <c r="C235" i="28" s="1"/>
  <c r="T235" i="28" s="1"/>
  <c r="AB223" i="26"/>
  <c r="F235" i="27" l="1"/>
  <c r="D235" i="27"/>
  <c r="C235" i="27" s="1"/>
  <c r="P235" i="27" s="1"/>
  <c r="R235" i="27" s="1"/>
  <c r="E235" i="28"/>
  <c r="AA224" i="26"/>
  <c r="Z224" i="26" s="1"/>
  <c r="P224" i="26" s="1"/>
  <c r="R224" i="26" s="1"/>
  <c r="E235" i="27" l="1"/>
  <c r="F236" i="28"/>
  <c r="D236" i="28"/>
  <c r="C236" i="28" s="1"/>
  <c r="T236" i="28" s="1"/>
  <c r="AB224" i="26"/>
  <c r="F236" i="27" l="1"/>
  <c r="D236" i="27"/>
  <c r="C236" i="27" s="1"/>
  <c r="E236" i="28"/>
  <c r="AA225" i="26"/>
  <c r="Z225" i="26" s="1"/>
  <c r="P225" i="26" s="1"/>
  <c r="R225" i="26" s="1"/>
  <c r="P236" i="27" l="1"/>
  <c r="R236" i="27" s="1"/>
  <c r="E236" i="27"/>
  <c r="F237" i="28"/>
  <c r="D237" i="28"/>
  <c r="C237" i="28" s="1"/>
  <c r="T237" i="28" s="1"/>
  <c r="AB225" i="26"/>
  <c r="E237" i="28" l="1"/>
  <c r="F237" i="27"/>
  <c r="D237" i="27"/>
  <c r="C237" i="27" s="1"/>
  <c r="D238" i="28"/>
  <c r="C238" i="28" s="1"/>
  <c r="T238" i="28" s="1"/>
  <c r="F238" i="28"/>
  <c r="AA226" i="26"/>
  <c r="Z226" i="26" s="1"/>
  <c r="P226" i="26" s="1"/>
  <c r="R226" i="26" s="1"/>
  <c r="E238" i="28" l="1"/>
  <c r="P237" i="27"/>
  <c r="R237" i="27" s="1"/>
  <c r="E237" i="27"/>
  <c r="F239" i="28"/>
  <c r="D239" i="28"/>
  <c r="C239" i="28" s="1"/>
  <c r="AB226" i="26"/>
  <c r="F238" i="27" l="1"/>
  <c r="D238" i="27"/>
  <c r="C238" i="27" s="1"/>
  <c r="T239" i="28"/>
  <c r="E239" i="28"/>
  <c r="AA227" i="26"/>
  <c r="Z227" i="26" s="1"/>
  <c r="P227" i="26" s="1"/>
  <c r="R227" i="26" s="1"/>
  <c r="P238" i="27" l="1"/>
  <c r="R238" i="27" s="1"/>
  <c r="E238" i="27"/>
  <c r="F240" i="28"/>
  <c r="D240" i="28"/>
  <c r="C240" i="28" s="1"/>
  <c r="T240" i="28" s="1"/>
  <c r="AB227" i="26"/>
  <c r="F239" i="27" l="1"/>
  <c r="D239" i="27"/>
  <c r="C239" i="27" s="1"/>
  <c r="E240" i="28"/>
  <c r="AA228" i="26"/>
  <c r="Z228" i="26" s="1"/>
  <c r="P228" i="26" s="1"/>
  <c r="R228" i="26" s="1"/>
  <c r="P239" i="27" l="1"/>
  <c r="R239" i="27" s="1"/>
  <c r="E239" i="27"/>
  <c r="D241" i="28"/>
  <c r="C241" i="28" s="1"/>
  <c r="F241" i="28"/>
  <c r="AB228" i="26"/>
  <c r="F240" i="27" l="1"/>
  <c r="D240" i="27"/>
  <c r="C240" i="27" s="1"/>
  <c r="T241" i="28"/>
  <c r="E241" i="28"/>
  <c r="AA229" i="26"/>
  <c r="Z229" i="26" s="1"/>
  <c r="P229" i="26" s="1"/>
  <c r="R229" i="26" s="1"/>
  <c r="P240" i="27" l="1"/>
  <c r="R240" i="27" s="1"/>
  <c r="E240" i="27"/>
  <c r="D242" i="28"/>
  <c r="C242" i="28" s="1"/>
  <c r="F242" i="28"/>
  <c r="AB229" i="26"/>
  <c r="D241" i="27" l="1"/>
  <c r="C241" i="27" s="1"/>
  <c r="P241" i="27" s="1"/>
  <c r="R241" i="27" s="1"/>
  <c r="F241" i="27"/>
  <c r="T242" i="28"/>
  <c r="E242" i="28"/>
  <c r="AA230" i="26"/>
  <c r="Z230" i="26" s="1"/>
  <c r="P230" i="26" s="1"/>
  <c r="R230" i="26" s="1"/>
  <c r="E241" i="27" l="1"/>
  <c r="D243" i="28"/>
  <c r="C243" i="28" s="1"/>
  <c r="F243" i="28"/>
  <c r="AB230" i="26"/>
  <c r="D242" i="27" l="1"/>
  <c r="C242" i="27" s="1"/>
  <c r="F242" i="27"/>
  <c r="T243" i="28"/>
  <c r="E243" i="28"/>
  <c r="AA231" i="26"/>
  <c r="Z231" i="26" s="1"/>
  <c r="P231" i="26" s="1"/>
  <c r="R231" i="26" s="1"/>
  <c r="P242" i="27" l="1"/>
  <c r="R242" i="27" s="1"/>
  <c r="E242" i="27"/>
  <c r="F244" i="28"/>
  <c r="D244" i="28"/>
  <c r="C244" i="28" s="1"/>
  <c r="AB231" i="26"/>
  <c r="D243" i="27" l="1"/>
  <c r="C243" i="27" s="1"/>
  <c r="F243" i="27"/>
  <c r="T244" i="28"/>
  <c r="E244" i="28"/>
  <c r="AA232" i="26"/>
  <c r="Z232" i="26" s="1"/>
  <c r="P232" i="26" s="1"/>
  <c r="R232" i="26" s="1"/>
  <c r="P243" i="27" l="1"/>
  <c r="R243" i="27" s="1"/>
  <c r="E243" i="27"/>
  <c r="F245" i="28"/>
  <c r="D245" i="28"/>
  <c r="C245" i="28" s="1"/>
  <c r="AB232" i="26"/>
  <c r="D244" i="27" l="1"/>
  <c r="C244" i="27" s="1"/>
  <c r="P244" i="27" s="1"/>
  <c r="R244" i="27" s="1"/>
  <c r="F244" i="27"/>
  <c r="T245" i="28"/>
  <c r="E245" i="28"/>
  <c r="AA233" i="26"/>
  <c r="Z233" i="26" s="1"/>
  <c r="P233" i="26" s="1"/>
  <c r="R233" i="26" s="1"/>
  <c r="E244" i="27" l="1"/>
  <c r="F246" i="28"/>
  <c r="D246" i="28"/>
  <c r="C246" i="28" s="1"/>
  <c r="AB233" i="26"/>
  <c r="D245" i="27" l="1"/>
  <c r="C245" i="27" s="1"/>
  <c r="P245" i="27" s="1"/>
  <c r="R245" i="27" s="1"/>
  <c r="F245" i="27"/>
  <c r="E246" i="28"/>
  <c r="T246" i="28"/>
  <c r="AA234" i="26"/>
  <c r="Z234" i="26" s="1"/>
  <c r="P234" i="26" s="1"/>
  <c r="R234" i="26" s="1"/>
  <c r="E245" i="27" l="1"/>
  <c r="D247" i="28"/>
  <c r="C247" i="28" s="1"/>
  <c r="T247" i="28" s="1"/>
  <c r="F247" i="28"/>
  <c r="F247" i="27"/>
  <c r="D247" i="27"/>
  <c r="C247" i="27" s="1"/>
  <c r="P247" i="27" s="1"/>
  <c r="R247" i="27" s="1"/>
  <c r="AB234" i="26"/>
  <c r="F246" i="27" l="1"/>
  <c r="D246" i="27"/>
  <c r="C246" i="27" s="1"/>
  <c r="P246" i="27" s="1"/>
  <c r="R246" i="27" s="1"/>
  <c r="E247" i="28"/>
  <c r="AA235" i="26"/>
  <c r="Z235" i="26" s="1"/>
  <c r="P235" i="26" s="1"/>
  <c r="R235" i="26" s="1"/>
  <c r="E246" i="27" l="1"/>
  <c r="E247" i="27" s="1"/>
  <c r="D248" i="28"/>
  <c r="C248" i="28" s="1"/>
  <c r="F248" i="28"/>
  <c r="AB235" i="26"/>
  <c r="F248" i="27"/>
  <c r="D248" i="27"/>
  <c r="C248" i="27" s="1"/>
  <c r="P248" i="27" s="1"/>
  <c r="R248" i="27" s="1"/>
  <c r="E248" i="28" l="1"/>
  <c r="T248" i="28"/>
  <c r="AA236" i="26"/>
  <c r="Z236" i="26" s="1"/>
  <c r="P236" i="26" s="1"/>
  <c r="R236" i="26" s="1"/>
  <c r="E248" i="27"/>
  <c r="F249" i="28" l="1"/>
  <c r="D249" i="28"/>
  <c r="C249" i="28" s="1"/>
  <c r="F249" i="27"/>
  <c r="D249" i="27"/>
  <c r="C249" i="27" s="1"/>
  <c r="P249" i="27" s="1"/>
  <c r="R249" i="27" s="1"/>
  <c r="AB236" i="26"/>
  <c r="E249" i="28" l="1"/>
  <c r="T249" i="28"/>
  <c r="AA237" i="26"/>
  <c r="Z237" i="26" s="1"/>
  <c r="P237" i="26" s="1"/>
  <c r="R237" i="26" s="1"/>
  <c r="E249" i="27"/>
  <c r="F250" i="28" l="1"/>
  <c r="D250" i="28"/>
  <c r="C250" i="28" s="1"/>
  <c r="D250" i="27"/>
  <c r="C250" i="27" s="1"/>
  <c r="P250" i="27" s="1"/>
  <c r="R250" i="27" s="1"/>
  <c r="F250" i="27"/>
  <c r="AB237" i="26"/>
  <c r="T250" i="28" l="1"/>
  <c r="E250" i="28"/>
  <c r="E250" i="27"/>
  <c r="AA238" i="26"/>
  <c r="Z238" i="26" s="1"/>
  <c r="P238" i="26" s="1"/>
  <c r="R238" i="26" s="1"/>
  <c r="F251" i="28" l="1"/>
  <c r="D251" i="28"/>
  <c r="C251" i="28" s="1"/>
  <c r="AB238" i="26"/>
  <c r="F251" i="27"/>
  <c r="D251" i="27"/>
  <c r="C251" i="27" s="1"/>
  <c r="P251" i="27" s="1"/>
  <c r="R251" i="27" s="1"/>
  <c r="T251" i="28" l="1"/>
  <c r="E251" i="28"/>
  <c r="E251" i="27"/>
  <c r="AA239" i="26"/>
  <c r="Z239" i="26" s="1"/>
  <c r="P239" i="26" s="1"/>
  <c r="R239" i="26" s="1"/>
  <c r="D252" i="28" l="1"/>
  <c r="C252" i="28" s="1"/>
  <c r="F252" i="28"/>
  <c r="AB239" i="26"/>
  <c r="D252" i="27"/>
  <c r="C252" i="27" s="1"/>
  <c r="P252" i="27" s="1"/>
  <c r="R252" i="27" s="1"/>
  <c r="F252" i="27"/>
  <c r="E252" i="28" l="1"/>
  <c r="T252" i="28"/>
  <c r="AA240" i="26"/>
  <c r="Z240" i="26" s="1"/>
  <c r="P240" i="26" s="1"/>
  <c r="R240" i="26" s="1"/>
  <c r="E252" i="27"/>
  <c r="D253" i="28" l="1"/>
  <c r="C253" i="28" s="1"/>
  <c r="F253" i="28"/>
  <c r="AB240" i="26"/>
  <c r="D253" i="27"/>
  <c r="C253" i="27" s="1"/>
  <c r="P253" i="27" s="1"/>
  <c r="R253" i="27" s="1"/>
  <c r="F253" i="27"/>
  <c r="E253" i="28" l="1"/>
  <c r="T253" i="28"/>
  <c r="E253" i="27"/>
  <c r="D254" i="27" s="1"/>
  <c r="C254" i="27" s="1"/>
  <c r="P254" i="27" s="1"/>
  <c r="R254" i="27" s="1"/>
  <c r="F254" i="27"/>
  <c r="AA241" i="26"/>
  <c r="Z241" i="26" s="1"/>
  <c r="P241" i="26" s="1"/>
  <c r="R241" i="26" s="1"/>
  <c r="F254" i="28" l="1"/>
  <c r="D254" i="28"/>
  <c r="C254" i="28" s="1"/>
  <c r="T254" i="28" s="1"/>
  <c r="AB241" i="26"/>
  <c r="E254" i="27"/>
  <c r="E254" i="28" l="1"/>
  <c r="AA242" i="26"/>
  <c r="Z242" i="26" s="1"/>
  <c r="P242" i="26" s="1"/>
  <c r="R242" i="26" s="1"/>
  <c r="D255" i="27"/>
  <c r="C255" i="27" s="1"/>
  <c r="P255" i="27" s="1"/>
  <c r="R255" i="27" s="1"/>
  <c r="F255" i="27"/>
  <c r="F255" i="28" l="1"/>
  <c r="D255" i="28"/>
  <c r="C255" i="28" s="1"/>
  <c r="E255" i="27"/>
  <c r="AB242" i="26"/>
  <c r="T255" i="28" l="1"/>
  <c r="E255" i="28"/>
  <c r="F256" i="27"/>
  <c r="D256" i="27"/>
  <c r="C256" i="27" s="1"/>
  <c r="P256" i="27" s="1"/>
  <c r="R256" i="27" s="1"/>
  <c r="AA243" i="26"/>
  <c r="Z243" i="26" s="1"/>
  <c r="P243" i="26" s="1"/>
  <c r="R243" i="26" s="1"/>
  <c r="D256" i="28" l="1"/>
  <c r="C256" i="28" s="1"/>
  <c r="F256" i="28"/>
  <c r="AB243" i="26"/>
  <c r="AA244" i="26" s="1"/>
  <c r="Z244" i="26" s="1"/>
  <c r="P244" i="26" s="1"/>
  <c r="R244" i="26" s="1"/>
  <c r="E256" i="27"/>
  <c r="E256" i="28" l="1"/>
  <c r="T256" i="28"/>
  <c r="F257" i="27"/>
  <c r="D257" i="27"/>
  <c r="C257" i="27" s="1"/>
  <c r="P257" i="27" s="1"/>
  <c r="R257" i="27" s="1"/>
  <c r="AB244" i="26"/>
  <c r="F257" i="28" l="1"/>
  <c r="D257" i="28"/>
  <c r="C257" i="28" s="1"/>
  <c r="AA245" i="26"/>
  <c r="Z245" i="26" s="1"/>
  <c r="P245" i="26" s="1"/>
  <c r="R245" i="26" s="1"/>
  <c r="E257" i="27"/>
  <c r="E257" i="28" l="1"/>
  <c r="T257" i="28"/>
  <c r="AB245" i="26"/>
  <c r="D258" i="27"/>
  <c r="C258" i="27" s="1"/>
  <c r="P258" i="27" s="1"/>
  <c r="R258" i="27" s="1"/>
  <c r="F258" i="27"/>
  <c r="F258" i="28" l="1"/>
  <c r="D258" i="28"/>
  <c r="C258" i="28" s="1"/>
  <c r="E258" i="27"/>
  <c r="AA246" i="26"/>
  <c r="Z246" i="26" s="1"/>
  <c r="P246" i="26" s="1"/>
  <c r="R246" i="26" s="1"/>
  <c r="E258" i="28" l="1"/>
  <c r="T258" i="28"/>
  <c r="F259" i="27"/>
  <c r="D259" i="27"/>
  <c r="C259" i="27" s="1"/>
  <c r="P259" i="27" s="1"/>
  <c r="R259" i="27" s="1"/>
  <c r="R13" i="27" s="1"/>
  <c r="R15" i="27" s="1"/>
  <c r="C4" i="27" s="1"/>
  <c r="AB246" i="26"/>
  <c r="F259" i="28" l="1"/>
  <c r="D259" i="28"/>
  <c r="C259" i="28" s="1"/>
  <c r="E259" i="27"/>
  <c r="F4" i="27"/>
  <c r="F4" i="26"/>
  <c r="AA247" i="26"/>
  <c r="Z247" i="26" s="1"/>
  <c r="P247" i="26" s="1"/>
  <c r="R247" i="26" s="1"/>
  <c r="T259" i="28" l="1"/>
  <c r="T19" i="28" s="1"/>
  <c r="T18" i="28" s="1"/>
  <c r="V13" i="26" s="1"/>
  <c r="E259" i="28"/>
  <c r="E260" i="28" s="1"/>
  <c r="E261" i="28" s="1"/>
  <c r="E262" i="28" s="1"/>
  <c r="E263" i="28" s="1"/>
  <c r="E264" i="28" s="1"/>
  <c r="E265" i="28" s="1"/>
  <c r="E266" i="28" s="1"/>
  <c r="E267" i="28" s="1"/>
  <c r="E268" i="28" s="1"/>
  <c r="E269" i="28" s="1"/>
  <c r="E270" i="28" s="1"/>
  <c r="E271" i="28" s="1"/>
  <c r="E272" i="28" s="1"/>
  <c r="E273" i="28" s="1"/>
  <c r="E274" i="28" s="1"/>
  <c r="E275" i="28" s="1"/>
  <c r="E276" i="28" s="1"/>
  <c r="E277" i="28" s="1"/>
  <c r="E278" i="28" s="1"/>
  <c r="E279" i="28" s="1"/>
  <c r="E280" i="28" s="1"/>
  <c r="E281" i="28" s="1"/>
  <c r="E282" i="28" s="1"/>
  <c r="E283" i="28" s="1"/>
  <c r="E284" i="28" s="1"/>
  <c r="E285" i="28" s="1"/>
  <c r="E286" i="28" s="1"/>
  <c r="E287" i="28" s="1"/>
  <c r="E288" i="28" s="1"/>
  <c r="E289" i="28" s="1"/>
  <c r="E290" i="28" s="1"/>
  <c r="E291" i="28" s="1"/>
  <c r="E292" i="28" s="1"/>
  <c r="E293" i="28" s="1"/>
  <c r="E294" i="28" s="1"/>
  <c r="E295" i="28" s="1"/>
  <c r="E296" i="28" s="1"/>
  <c r="E297" i="28" s="1"/>
  <c r="E298" i="28" s="1"/>
  <c r="E299" i="28" s="1"/>
  <c r="E300" i="28" s="1"/>
  <c r="E301" i="28" s="1"/>
  <c r="E302" i="28" s="1"/>
  <c r="E303" i="28" s="1"/>
  <c r="E304" i="28" s="1"/>
  <c r="E305" i="28" s="1"/>
  <c r="E306" i="28" s="1"/>
  <c r="E307" i="28" s="1"/>
  <c r="E308" i="28" s="1"/>
  <c r="E309" i="28" s="1"/>
  <c r="E310" i="28" s="1"/>
  <c r="E311" i="28" s="1"/>
  <c r="E312" i="28" s="1"/>
  <c r="E313" i="28" s="1"/>
  <c r="E314" i="28" s="1"/>
  <c r="E315" i="28" s="1"/>
  <c r="E316" i="28" s="1"/>
  <c r="E317" i="28" s="1"/>
  <c r="E318" i="28" s="1"/>
  <c r="E319" i="28" s="1"/>
  <c r="E320" i="28" s="1"/>
  <c r="E321" i="28" s="1"/>
  <c r="E322" i="28" s="1"/>
  <c r="E323" i="28" s="1"/>
  <c r="E324" i="28" s="1"/>
  <c r="E325" i="28" s="1"/>
  <c r="E326" i="28" s="1"/>
  <c r="E327" i="28" s="1"/>
  <c r="E328" i="28" s="1"/>
  <c r="E329" i="28" s="1"/>
  <c r="E330" i="28" s="1"/>
  <c r="E331" i="28" s="1"/>
  <c r="E332" i="28" s="1"/>
  <c r="E333" i="28" s="1"/>
  <c r="E334" i="28" s="1"/>
  <c r="E335" i="28" s="1"/>
  <c r="E336" i="28" s="1"/>
  <c r="E337" i="28" s="1"/>
  <c r="E338" i="28" s="1"/>
  <c r="E339" i="28" s="1"/>
  <c r="E260" i="27"/>
  <c r="E261" i="27" s="1"/>
  <c r="E262" i="27" s="1"/>
  <c r="E263" i="27" s="1"/>
  <c r="E264" i="27" s="1"/>
  <c r="E265" i="27" s="1"/>
  <c r="E266" i="27" s="1"/>
  <c r="E267" i="27" s="1"/>
  <c r="E268" i="27" s="1"/>
  <c r="E269" i="27" s="1"/>
  <c r="E270" i="27" s="1"/>
  <c r="E271" i="27" s="1"/>
  <c r="E272" i="27" s="1"/>
  <c r="E273" i="27" s="1"/>
  <c r="E274" i="27" s="1"/>
  <c r="E275" i="27" s="1"/>
  <c r="E276" i="27" s="1"/>
  <c r="E277" i="27" s="1"/>
  <c r="E278" i="27" s="1"/>
  <c r="E279" i="27" s="1"/>
  <c r="E280" i="27" s="1"/>
  <c r="E281" i="27" s="1"/>
  <c r="E282" i="27" s="1"/>
  <c r="E283" i="27" s="1"/>
  <c r="E284" i="27" s="1"/>
  <c r="E285" i="27" s="1"/>
  <c r="E286" i="27" s="1"/>
  <c r="E287" i="27" s="1"/>
  <c r="E288" i="27" s="1"/>
  <c r="E289" i="27" s="1"/>
  <c r="E290" i="27" s="1"/>
  <c r="E291" i="27" s="1"/>
  <c r="E292" i="27" s="1"/>
  <c r="E293" i="27" s="1"/>
  <c r="E294" i="27" s="1"/>
  <c r="E295" i="27" s="1"/>
  <c r="E296" i="27" s="1"/>
  <c r="E297" i="27" s="1"/>
  <c r="E298" i="27" s="1"/>
  <c r="E299" i="27" s="1"/>
  <c r="E300" i="27" s="1"/>
  <c r="E301" i="27" s="1"/>
  <c r="E302" i="27" s="1"/>
  <c r="E303" i="27" s="1"/>
  <c r="E304" i="27" s="1"/>
  <c r="E305" i="27" s="1"/>
  <c r="E306" i="27" s="1"/>
  <c r="E307" i="27" s="1"/>
  <c r="E308" i="27" s="1"/>
  <c r="E309" i="27" s="1"/>
  <c r="E310" i="27" s="1"/>
  <c r="E311" i="27" s="1"/>
  <c r="E312" i="27" s="1"/>
  <c r="E313" i="27" s="1"/>
  <c r="E314" i="27" s="1"/>
  <c r="E315" i="27" s="1"/>
  <c r="E316" i="27" s="1"/>
  <c r="E317" i="27" s="1"/>
  <c r="E318" i="27" s="1"/>
  <c r="E319" i="27" s="1"/>
  <c r="E320" i="27" s="1"/>
  <c r="E321" i="27" s="1"/>
  <c r="E322" i="27" s="1"/>
  <c r="E323" i="27" s="1"/>
  <c r="E324" i="27" s="1"/>
  <c r="E325" i="27" s="1"/>
  <c r="E326" i="27" s="1"/>
  <c r="E327" i="27" s="1"/>
  <c r="E328" i="27" s="1"/>
  <c r="E329" i="27" s="1"/>
  <c r="E330" i="27" s="1"/>
  <c r="E331" i="27" s="1"/>
  <c r="E332" i="27" s="1"/>
  <c r="E333" i="27" s="1"/>
  <c r="E334" i="27" s="1"/>
  <c r="E335" i="27" s="1"/>
  <c r="E336" i="27" s="1"/>
  <c r="E337" i="27" s="1"/>
  <c r="E338" i="27" s="1"/>
  <c r="E339" i="27" s="1"/>
  <c r="L4" i="26"/>
  <c r="AB247" i="26"/>
  <c r="AA248" i="26" l="1"/>
  <c r="Z248" i="26" s="1"/>
  <c r="P248" i="26" s="1"/>
  <c r="R248" i="26" s="1"/>
  <c r="AB248" i="26" l="1"/>
  <c r="AA249" i="26" l="1"/>
  <c r="Z249" i="26" s="1"/>
  <c r="P249" i="26" s="1"/>
  <c r="R249" i="26" s="1"/>
  <c r="AB249" i="26" l="1"/>
  <c r="AA250" i="26" l="1"/>
  <c r="Z250" i="26" s="1"/>
  <c r="P250" i="26" s="1"/>
  <c r="R250" i="26" s="1"/>
  <c r="AB250" i="26" l="1"/>
  <c r="AA251" i="26" l="1"/>
  <c r="Z251" i="26" s="1"/>
  <c r="P251" i="26" s="1"/>
  <c r="R251" i="26" s="1"/>
  <c r="AB251" i="26" l="1"/>
  <c r="AA252" i="26" l="1"/>
  <c r="Z252" i="26" s="1"/>
  <c r="P252" i="26" s="1"/>
  <c r="R252" i="26" s="1"/>
  <c r="AB252" i="26" l="1"/>
  <c r="AA253" i="26" l="1"/>
  <c r="Z253" i="26" s="1"/>
  <c r="P253" i="26" s="1"/>
  <c r="R253" i="26" s="1"/>
  <c r="AB253" i="26" l="1"/>
  <c r="AA254" i="26" l="1"/>
  <c r="Z254" i="26" s="1"/>
  <c r="P254" i="26" s="1"/>
  <c r="R254" i="26" s="1"/>
  <c r="AB254" i="26" l="1"/>
  <c r="AA255" i="26" l="1"/>
  <c r="Z255" i="26" s="1"/>
  <c r="P255" i="26" s="1"/>
  <c r="R255" i="26" s="1"/>
  <c r="AB255" i="26" l="1"/>
  <c r="AA256" i="26" l="1"/>
  <c r="Z256" i="26" s="1"/>
  <c r="P256" i="26" s="1"/>
  <c r="R256" i="26" s="1"/>
  <c r="AB256" i="26" l="1"/>
  <c r="AA257" i="26" l="1"/>
  <c r="Z257" i="26" s="1"/>
  <c r="P257" i="26" s="1"/>
  <c r="R257" i="26" s="1"/>
  <c r="AB257" i="26" l="1"/>
  <c r="AA258" i="26" l="1"/>
  <c r="Z258" i="26" s="1"/>
  <c r="P258" i="26" s="1"/>
  <c r="R258" i="26" s="1"/>
  <c r="AB258" i="26" l="1"/>
  <c r="AA259" i="26" s="1"/>
  <c r="Z259" i="26" s="1"/>
  <c r="P259" i="26" s="1"/>
  <c r="R259" i="26" s="1"/>
  <c r="R13" i="26" s="1"/>
  <c r="R15" i="26" s="1"/>
  <c r="S15" i="26" s="1"/>
  <c r="AB259" i="26" l="1"/>
  <c r="AB260" i="26" s="1"/>
  <c r="AB261" i="26" s="1"/>
  <c r="AB262" i="26" s="1"/>
  <c r="AB263" i="26" s="1"/>
  <c r="AB264" i="26" s="1"/>
  <c r="AB265" i="26" s="1"/>
  <c r="AB266" i="26" s="1"/>
  <c r="AB267" i="26" s="1"/>
  <c r="AB268" i="26" s="1"/>
  <c r="AB269" i="26" s="1"/>
  <c r="AB270" i="26" s="1"/>
  <c r="AB271" i="26" s="1"/>
  <c r="AB272" i="26" s="1"/>
  <c r="AB273" i="26" s="1"/>
  <c r="AB274" i="26" s="1"/>
  <c r="AB275" i="26" s="1"/>
  <c r="AB276" i="26" s="1"/>
  <c r="AB277" i="26" s="1"/>
  <c r="AB278" i="26" s="1"/>
  <c r="AB279" i="26" s="1"/>
  <c r="AB280" i="26" s="1"/>
  <c r="AB281" i="26" s="1"/>
  <c r="AB282" i="26" s="1"/>
  <c r="AB283" i="26" s="1"/>
  <c r="AB284" i="26" s="1"/>
  <c r="AB285" i="26" s="1"/>
  <c r="AB286" i="26" s="1"/>
  <c r="AB287" i="26" s="1"/>
  <c r="AB288" i="26" s="1"/>
  <c r="AB289" i="26" s="1"/>
  <c r="AB290" i="26" s="1"/>
  <c r="AB291" i="26" s="1"/>
  <c r="AB292" i="26" s="1"/>
  <c r="AB293" i="26" s="1"/>
  <c r="AB294" i="26" s="1"/>
  <c r="AB295" i="26" s="1"/>
  <c r="AB296" i="26" s="1"/>
  <c r="AB297" i="26" s="1"/>
  <c r="AB298" i="26" s="1"/>
  <c r="AB299" i="26" s="1"/>
  <c r="AB300" i="26" s="1"/>
  <c r="AB301" i="26" s="1"/>
  <c r="AB302" i="26" s="1"/>
  <c r="AB303" i="26" s="1"/>
  <c r="AB304" i="26" s="1"/>
  <c r="AB305" i="26" s="1"/>
  <c r="AB306" i="26" s="1"/>
  <c r="AB307" i="26" s="1"/>
  <c r="AB308" i="26" s="1"/>
  <c r="AB309" i="26" s="1"/>
  <c r="AB310" i="26" s="1"/>
  <c r="AB311" i="26" s="1"/>
  <c r="AB312" i="26" s="1"/>
  <c r="AB313" i="26" s="1"/>
  <c r="AB314" i="26" s="1"/>
  <c r="AB315" i="26" s="1"/>
  <c r="AB316" i="26" s="1"/>
  <c r="AB317" i="26" s="1"/>
  <c r="AB318" i="26" s="1"/>
  <c r="AB319" i="26" s="1"/>
  <c r="AB320" i="26" s="1"/>
  <c r="AB321" i="26" s="1"/>
  <c r="AB322" i="26" s="1"/>
  <c r="AB323" i="26" s="1"/>
  <c r="AB324" i="26" s="1"/>
  <c r="AB325" i="26" s="1"/>
  <c r="AB326" i="26" s="1"/>
  <c r="AB327" i="26" s="1"/>
  <c r="AB328" i="26" s="1"/>
  <c r="AB329" i="26" s="1"/>
  <c r="AB330" i="26" s="1"/>
  <c r="AB331" i="26" s="1"/>
  <c r="AB332" i="26" s="1"/>
  <c r="AB333" i="26" s="1"/>
  <c r="AB334" i="26" s="1"/>
  <c r="AB335" i="26" s="1"/>
  <c r="AB336" i="26" s="1"/>
  <c r="AB337" i="26" s="1"/>
  <c r="AB338" i="26" s="1"/>
  <c r="AB339" i="26" s="1"/>
  <c r="L8" i="26"/>
  <c r="D247" i="26" l="1"/>
  <c r="F247" i="26"/>
  <c r="F248" i="26" l="1"/>
  <c r="D248" i="26"/>
  <c r="D249" i="26" l="1"/>
  <c r="F249" i="26"/>
  <c r="D250" i="26" l="1"/>
  <c r="F250" i="26"/>
  <c r="D251" i="26" l="1"/>
  <c r="F251" i="26"/>
  <c r="D252" i="26" l="1"/>
  <c r="F252" i="26"/>
  <c r="F253" i="26" l="1"/>
  <c r="D253" i="26"/>
  <c r="F254" i="26" l="1"/>
  <c r="D254" i="26"/>
  <c r="D255" i="26" l="1"/>
  <c r="F255" i="26"/>
  <c r="F256" i="26" l="1"/>
  <c r="D256" i="26"/>
  <c r="D257" i="26" l="1"/>
  <c r="F257" i="26"/>
  <c r="D258" i="26" l="1"/>
  <c r="F258" i="26"/>
  <c r="D259" i="26" l="1"/>
  <c r="F259" i="26"/>
  <c r="C22" i="25" l="1"/>
  <c r="E22" i="25"/>
  <c r="D23" i="25" s="1"/>
  <c r="I22" i="25"/>
  <c r="V22" i="25" s="1"/>
  <c r="U22" i="25"/>
  <c r="C23" i="25"/>
  <c r="D48" i="17" s="1"/>
  <c r="I23" i="25"/>
  <c r="V23" i="25" s="1"/>
  <c r="U23" i="25"/>
  <c r="C24" i="25"/>
  <c r="D49" i="17" s="1"/>
  <c r="I24" i="25"/>
  <c r="J49" i="17" s="1"/>
  <c r="N49" i="17" s="1"/>
  <c r="U24" i="25"/>
  <c r="D47" i="17"/>
  <c r="C47" i="17" s="1"/>
  <c r="E48" i="17"/>
  <c r="G48" i="17"/>
  <c r="O48" i="17" s="1"/>
  <c r="E49" i="17"/>
  <c r="G49" i="17"/>
  <c r="O49" i="17" s="1"/>
  <c r="F23" i="25" l="1"/>
  <c r="E23" i="25" s="1"/>
  <c r="F47" i="17"/>
  <c r="C48" i="17"/>
  <c r="J47" i="17"/>
  <c r="N47" i="17" s="1"/>
  <c r="C49" i="17"/>
  <c r="V24" i="25"/>
  <c r="J48" i="17"/>
  <c r="N48" i="17" s="1"/>
  <c r="D24" i="25" l="1"/>
  <c r="F24" i="25"/>
  <c r="F48" i="17"/>
  <c r="E24" i="25" l="1"/>
  <c r="D25" i="25" s="1"/>
  <c r="E50" i="17" s="1"/>
  <c r="F25" i="25" l="1"/>
  <c r="G50" i="17" s="1"/>
  <c r="O50" i="17" s="1"/>
  <c r="F49" i="17"/>
  <c r="C25" i="25"/>
  <c r="I25" i="25" l="1"/>
  <c r="U25" i="25"/>
  <c r="D50" i="17"/>
  <c r="C50" i="17" s="1"/>
  <c r="E25" i="25"/>
  <c r="I13" i="25" s="1"/>
  <c r="C259" i="25" l="1"/>
  <c r="C80" i="25"/>
  <c r="D105" i="17" s="1"/>
  <c r="C79" i="25"/>
  <c r="D104" i="17" s="1"/>
  <c r="C86" i="25"/>
  <c r="D111" i="17" s="1"/>
  <c r="C61" i="25"/>
  <c r="D86" i="17" s="1"/>
  <c r="C36" i="25"/>
  <c r="D61" i="17" s="1"/>
  <c r="C100" i="25"/>
  <c r="D125" i="17" s="1"/>
  <c r="C75" i="25"/>
  <c r="D100" i="17" s="1"/>
  <c r="C50" i="25"/>
  <c r="D75" i="17" s="1"/>
  <c r="C89" i="25"/>
  <c r="D114" i="17" s="1"/>
  <c r="C152" i="25"/>
  <c r="D177" i="17" s="1"/>
  <c r="C127" i="25"/>
  <c r="D152" i="17" s="1"/>
  <c r="C191" i="25"/>
  <c r="D216" i="17" s="1"/>
  <c r="C166" i="25"/>
  <c r="D191" i="17" s="1"/>
  <c r="C133" i="25"/>
  <c r="D158" i="17" s="1"/>
  <c r="C197" i="25"/>
  <c r="D222" i="17" s="1"/>
  <c r="C156" i="25"/>
  <c r="D181" i="17" s="1"/>
  <c r="C123" i="25"/>
  <c r="D148" i="17" s="1"/>
  <c r="C187" i="25"/>
  <c r="D212" i="17" s="1"/>
  <c r="C154" i="25"/>
  <c r="D179" i="17" s="1"/>
  <c r="C223" i="25"/>
  <c r="D248" i="17" s="1"/>
  <c r="C214" i="25"/>
  <c r="D239" i="17" s="1"/>
  <c r="C205" i="25"/>
  <c r="D230" i="17" s="1"/>
  <c r="C200" i="25"/>
  <c r="D225" i="17" s="1"/>
  <c r="C129" i="25"/>
  <c r="D154" i="17" s="1"/>
  <c r="C121" i="25"/>
  <c r="D146" i="17" s="1"/>
  <c r="C250" i="25"/>
  <c r="D275" i="17" s="1"/>
  <c r="C240" i="25"/>
  <c r="D265" i="17" s="1"/>
  <c r="C47" i="25"/>
  <c r="D72" i="17" s="1"/>
  <c r="C159" i="25"/>
  <c r="D184" i="17" s="1"/>
  <c r="C122" i="25"/>
  <c r="D147" i="17" s="1"/>
  <c r="C218" i="25"/>
  <c r="D243" i="17" s="1"/>
  <c r="C37" i="25"/>
  <c r="D62" i="17" s="1"/>
  <c r="C192" i="25"/>
  <c r="D217" i="17" s="1"/>
  <c r="C196" i="25"/>
  <c r="D221" i="17" s="1"/>
  <c r="C245" i="25"/>
  <c r="D270" i="17" s="1"/>
  <c r="C88" i="25"/>
  <c r="D113" i="17" s="1"/>
  <c r="C30" i="25"/>
  <c r="D55" i="17" s="1"/>
  <c r="C94" i="25"/>
  <c r="D119" i="17" s="1"/>
  <c r="C69" i="25"/>
  <c r="D94" i="17" s="1"/>
  <c r="C44" i="25"/>
  <c r="D69" i="17" s="1"/>
  <c r="C108" i="25"/>
  <c r="D133" i="17" s="1"/>
  <c r="C83" i="25"/>
  <c r="D108" i="17" s="1"/>
  <c r="C58" i="25"/>
  <c r="D83" i="17" s="1"/>
  <c r="C33" i="25"/>
  <c r="D58" i="17" s="1"/>
  <c r="C97" i="25"/>
  <c r="D122" i="17" s="1"/>
  <c r="C160" i="25"/>
  <c r="D185" i="17" s="1"/>
  <c r="C135" i="25"/>
  <c r="D160" i="17" s="1"/>
  <c r="C199" i="25"/>
  <c r="D224" i="17" s="1"/>
  <c r="C174" i="25"/>
  <c r="D199" i="17" s="1"/>
  <c r="C141" i="25"/>
  <c r="D166" i="17" s="1"/>
  <c r="C104" i="25"/>
  <c r="D129" i="17" s="1"/>
  <c r="C164" i="25"/>
  <c r="D189" i="17" s="1"/>
  <c r="C131" i="25"/>
  <c r="D156" i="17" s="1"/>
  <c r="C195" i="25"/>
  <c r="D220" i="17" s="1"/>
  <c r="C162" i="25"/>
  <c r="D187" i="17" s="1"/>
  <c r="C231" i="25"/>
  <c r="D256" i="17" s="1"/>
  <c r="C222" i="25"/>
  <c r="D247" i="17" s="1"/>
  <c r="C213" i="25"/>
  <c r="D238" i="17" s="1"/>
  <c r="C204" i="25"/>
  <c r="D229" i="17" s="1"/>
  <c r="C203" i="25"/>
  <c r="D228" i="17" s="1"/>
  <c r="C185" i="25"/>
  <c r="D210" i="17" s="1"/>
  <c r="C258" i="25"/>
  <c r="D283" i="17" s="1"/>
  <c r="C93" i="25"/>
  <c r="D118" i="17" s="1"/>
  <c r="C120" i="25"/>
  <c r="D145" i="17" s="1"/>
  <c r="C155" i="25"/>
  <c r="D180" i="17" s="1"/>
  <c r="C228" i="25"/>
  <c r="D253" i="17" s="1"/>
  <c r="C56" i="25"/>
  <c r="D81" i="17" s="1"/>
  <c r="C26" i="25"/>
  <c r="D51" i="17" s="1"/>
  <c r="C103" i="25"/>
  <c r="D128" i="17" s="1"/>
  <c r="C153" i="25"/>
  <c r="D178" i="17" s="1"/>
  <c r="C216" i="25"/>
  <c r="D241" i="17" s="1"/>
  <c r="C32" i="25"/>
  <c r="D57" i="17" s="1"/>
  <c r="C31" i="25"/>
  <c r="D56" i="17" s="1"/>
  <c r="C38" i="25"/>
  <c r="D63" i="17" s="1"/>
  <c r="C102" i="25"/>
  <c r="D127" i="17" s="1"/>
  <c r="C77" i="25"/>
  <c r="D102" i="17" s="1"/>
  <c r="C52" i="25"/>
  <c r="D77" i="17" s="1"/>
  <c r="C27" i="25"/>
  <c r="D52" i="17" s="1"/>
  <c r="C91" i="25"/>
  <c r="D116" i="17" s="1"/>
  <c r="C66" i="25"/>
  <c r="D91" i="17" s="1"/>
  <c r="C41" i="25"/>
  <c r="D66" i="17" s="1"/>
  <c r="C105" i="25"/>
  <c r="D130" i="17" s="1"/>
  <c r="C168" i="25"/>
  <c r="D193" i="17" s="1"/>
  <c r="C143" i="25"/>
  <c r="D168" i="17" s="1"/>
  <c r="C118" i="25"/>
  <c r="D143" i="17" s="1"/>
  <c r="C182" i="25"/>
  <c r="D207" i="17" s="1"/>
  <c r="C149" i="25"/>
  <c r="D174" i="17" s="1"/>
  <c r="C111" i="25"/>
  <c r="D136" i="17" s="1"/>
  <c r="C172" i="25"/>
  <c r="D197" i="17" s="1"/>
  <c r="C139" i="25"/>
  <c r="D164" i="17" s="1"/>
  <c r="C96" i="25"/>
  <c r="D121" i="17" s="1"/>
  <c r="C170" i="25"/>
  <c r="D195" i="17" s="1"/>
  <c r="C239" i="25"/>
  <c r="D264" i="17" s="1"/>
  <c r="C230" i="25"/>
  <c r="D255" i="17" s="1"/>
  <c r="C221" i="25"/>
  <c r="D246" i="17" s="1"/>
  <c r="C212" i="25"/>
  <c r="D237" i="17" s="1"/>
  <c r="C211" i="25"/>
  <c r="D236" i="17" s="1"/>
  <c r="C202" i="25"/>
  <c r="D227" i="17" s="1"/>
  <c r="C169" i="25"/>
  <c r="D194" i="17" s="1"/>
  <c r="C256" i="25"/>
  <c r="D281" i="17" s="1"/>
  <c r="C241" i="25"/>
  <c r="D266" i="17" s="1"/>
  <c r="C54" i="25"/>
  <c r="D79" i="17" s="1"/>
  <c r="C184" i="25"/>
  <c r="D209" i="17" s="1"/>
  <c r="C188" i="25"/>
  <c r="D213" i="17" s="1"/>
  <c r="C237" i="25"/>
  <c r="D262" i="17" s="1"/>
  <c r="C90" i="25"/>
  <c r="D115" i="17" s="1"/>
  <c r="C173" i="25"/>
  <c r="D198" i="17" s="1"/>
  <c r="C254" i="25"/>
  <c r="D279" i="17" s="1"/>
  <c r="C40" i="25"/>
  <c r="D65" i="17" s="1"/>
  <c r="C39" i="25"/>
  <c r="D64" i="17" s="1"/>
  <c r="C46" i="25"/>
  <c r="D71" i="17" s="1"/>
  <c r="C110" i="25"/>
  <c r="D135" i="17" s="1"/>
  <c r="C85" i="25"/>
  <c r="D110" i="17" s="1"/>
  <c r="C60" i="25"/>
  <c r="D85" i="17" s="1"/>
  <c r="C35" i="25"/>
  <c r="D60" i="17" s="1"/>
  <c r="C99" i="25"/>
  <c r="D124" i="17" s="1"/>
  <c r="C74" i="25"/>
  <c r="D99" i="17" s="1"/>
  <c r="C49" i="25"/>
  <c r="D74" i="17" s="1"/>
  <c r="C112" i="25"/>
  <c r="D137" i="17" s="1"/>
  <c r="C176" i="25"/>
  <c r="D201" i="17" s="1"/>
  <c r="C151" i="25"/>
  <c r="D176" i="17" s="1"/>
  <c r="C126" i="25"/>
  <c r="D151" i="17" s="1"/>
  <c r="C190" i="25"/>
  <c r="D215" i="17" s="1"/>
  <c r="C157" i="25"/>
  <c r="D182" i="17" s="1"/>
  <c r="C116" i="25"/>
  <c r="D141" i="17" s="1"/>
  <c r="C180" i="25"/>
  <c r="D205" i="17" s="1"/>
  <c r="C147" i="25"/>
  <c r="D172" i="17" s="1"/>
  <c r="C114" i="25"/>
  <c r="D139" i="17" s="1"/>
  <c r="C178" i="25"/>
  <c r="D203" i="17" s="1"/>
  <c r="C247" i="25"/>
  <c r="D272" i="17" s="1"/>
  <c r="C238" i="25"/>
  <c r="D263" i="17" s="1"/>
  <c r="C229" i="25"/>
  <c r="D254" i="17" s="1"/>
  <c r="C220" i="25"/>
  <c r="D245" i="17" s="1"/>
  <c r="C219" i="25"/>
  <c r="D244" i="17" s="1"/>
  <c r="C210" i="25"/>
  <c r="D235" i="17" s="1"/>
  <c r="C201" i="25"/>
  <c r="D226" i="17" s="1"/>
  <c r="C113" i="25"/>
  <c r="D138" i="17" s="1"/>
  <c r="C249" i="25"/>
  <c r="D274" i="17" s="1"/>
  <c r="C48" i="25"/>
  <c r="D73" i="17" s="1"/>
  <c r="C43" i="25"/>
  <c r="D68" i="17" s="1"/>
  <c r="C57" i="25"/>
  <c r="D82" i="17" s="1"/>
  <c r="C198" i="25"/>
  <c r="D223" i="17" s="1"/>
  <c r="C186" i="25"/>
  <c r="D211" i="17" s="1"/>
  <c r="C227" i="25"/>
  <c r="D252" i="17" s="1"/>
  <c r="C55" i="25"/>
  <c r="D80" i="17" s="1"/>
  <c r="C51" i="25"/>
  <c r="D76" i="17" s="1"/>
  <c r="C128" i="25"/>
  <c r="D153" i="17" s="1"/>
  <c r="C132" i="25"/>
  <c r="D157" i="17" s="1"/>
  <c r="C161" i="25"/>
  <c r="D186" i="17" s="1"/>
  <c r="C226" i="25"/>
  <c r="D251" i="17" s="1"/>
  <c r="C64" i="25"/>
  <c r="D89" i="17" s="1"/>
  <c r="C63" i="25"/>
  <c r="D88" i="17" s="1"/>
  <c r="C70" i="25"/>
  <c r="D95" i="17" s="1"/>
  <c r="C45" i="25"/>
  <c r="D70" i="17" s="1"/>
  <c r="C109" i="25"/>
  <c r="D134" i="17" s="1"/>
  <c r="C84" i="25"/>
  <c r="D109" i="17" s="1"/>
  <c r="C59" i="25"/>
  <c r="D84" i="17" s="1"/>
  <c r="C34" i="25"/>
  <c r="D59" i="17" s="1"/>
  <c r="C98" i="25"/>
  <c r="D123" i="17" s="1"/>
  <c r="C73" i="25"/>
  <c r="D98" i="17" s="1"/>
  <c r="C136" i="25"/>
  <c r="D161" i="17" s="1"/>
  <c r="C87" i="25"/>
  <c r="D112" i="17" s="1"/>
  <c r="C175" i="25"/>
  <c r="D200" i="17" s="1"/>
  <c r="C150" i="25"/>
  <c r="D175" i="17" s="1"/>
  <c r="C117" i="25"/>
  <c r="D142" i="17" s="1"/>
  <c r="C181" i="25"/>
  <c r="D206" i="17" s="1"/>
  <c r="C140" i="25"/>
  <c r="D165" i="17" s="1"/>
  <c r="C95" i="25"/>
  <c r="D120" i="17" s="1"/>
  <c r="C171" i="25"/>
  <c r="D196" i="17" s="1"/>
  <c r="C138" i="25"/>
  <c r="D163" i="17" s="1"/>
  <c r="C207" i="25"/>
  <c r="D232" i="17" s="1"/>
  <c r="C193" i="25"/>
  <c r="D218" i="17" s="1"/>
  <c r="C145" i="25"/>
  <c r="D170" i="17" s="1"/>
  <c r="C253" i="25"/>
  <c r="D278" i="17" s="1"/>
  <c r="C244" i="25"/>
  <c r="D269" i="17" s="1"/>
  <c r="C243" i="25"/>
  <c r="D268" i="17" s="1"/>
  <c r="C234" i="25"/>
  <c r="D259" i="17" s="1"/>
  <c r="C224" i="25"/>
  <c r="D249" i="17" s="1"/>
  <c r="C217" i="25"/>
  <c r="D242" i="17" s="1"/>
  <c r="C232" i="25"/>
  <c r="D257" i="17" s="1"/>
  <c r="C257" i="25"/>
  <c r="D282" i="17" s="1"/>
  <c r="C177" i="25"/>
  <c r="D202" i="17" s="1"/>
  <c r="C29" i="25"/>
  <c r="D54" i="17" s="1"/>
  <c r="C107" i="25"/>
  <c r="D132" i="17" s="1"/>
  <c r="C134" i="25"/>
  <c r="D159" i="17" s="1"/>
  <c r="C124" i="25"/>
  <c r="D149" i="17" s="1"/>
  <c r="C255" i="25"/>
  <c r="D280" i="17" s="1"/>
  <c r="C208" i="25"/>
  <c r="D233" i="17" s="1"/>
  <c r="C62" i="25"/>
  <c r="D87" i="17" s="1"/>
  <c r="C76" i="25"/>
  <c r="D101" i="17" s="1"/>
  <c r="C65" i="25"/>
  <c r="D90" i="17" s="1"/>
  <c r="C142" i="25"/>
  <c r="D167" i="17" s="1"/>
  <c r="C130" i="25"/>
  <c r="D155" i="17" s="1"/>
  <c r="C235" i="25"/>
  <c r="D260" i="17" s="1"/>
  <c r="C225" i="25"/>
  <c r="D250" i="17" s="1"/>
  <c r="C72" i="25"/>
  <c r="D97" i="17" s="1"/>
  <c r="C71" i="25"/>
  <c r="D96" i="17" s="1"/>
  <c r="C78" i="25"/>
  <c r="D103" i="17" s="1"/>
  <c r="C53" i="25"/>
  <c r="D78" i="17" s="1"/>
  <c r="C28" i="25"/>
  <c r="D53" i="17" s="1"/>
  <c r="C92" i="25"/>
  <c r="D117" i="17" s="1"/>
  <c r="C67" i="25"/>
  <c r="D92" i="17" s="1"/>
  <c r="C42" i="25"/>
  <c r="D67" i="17" s="1"/>
  <c r="C106" i="25"/>
  <c r="D131" i="17" s="1"/>
  <c r="C81" i="25"/>
  <c r="D106" i="17" s="1"/>
  <c r="C144" i="25"/>
  <c r="D169" i="17" s="1"/>
  <c r="C119" i="25"/>
  <c r="D144" i="17" s="1"/>
  <c r="C183" i="25"/>
  <c r="D208" i="17" s="1"/>
  <c r="C158" i="25"/>
  <c r="D183" i="17" s="1"/>
  <c r="C125" i="25"/>
  <c r="D150" i="17" s="1"/>
  <c r="C189" i="25"/>
  <c r="D214" i="17" s="1"/>
  <c r="C148" i="25"/>
  <c r="D173" i="17" s="1"/>
  <c r="C115" i="25"/>
  <c r="D140" i="17" s="1"/>
  <c r="C179" i="25"/>
  <c r="D204" i="17" s="1"/>
  <c r="C146" i="25"/>
  <c r="D171" i="17" s="1"/>
  <c r="C215" i="25"/>
  <c r="D240" i="17" s="1"/>
  <c r="C206" i="25"/>
  <c r="D231" i="17" s="1"/>
  <c r="C194" i="25"/>
  <c r="D219" i="17" s="1"/>
  <c r="C137" i="25"/>
  <c r="D162" i="17" s="1"/>
  <c r="C252" i="25"/>
  <c r="D277" i="17" s="1"/>
  <c r="C251" i="25"/>
  <c r="D276" i="17" s="1"/>
  <c r="C242" i="25"/>
  <c r="D267" i="17" s="1"/>
  <c r="C209" i="25"/>
  <c r="D234" i="17" s="1"/>
  <c r="C248" i="25"/>
  <c r="D273" i="17" s="1"/>
  <c r="C68" i="25"/>
  <c r="D93" i="17" s="1"/>
  <c r="C82" i="25"/>
  <c r="D107" i="17" s="1"/>
  <c r="C165" i="25"/>
  <c r="D190" i="17" s="1"/>
  <c r="C246" i="25"/>
  <c r="D271" i="17" s="1"/>
  <c r="C233" i="25"/>
  <c r="D258" i="17" s="1"/>
  <c r="C101" i="25"/>
  <c r="D126" i="17" s="1"/>
  <c r="C167" i="25"/>
  <c r="D192" i="17" s="1"/>
  <c r="C163" i="25"/>
  <c r="D188" i="17" s="1"/>
  <c r="C236" i="25"/>
  <c r="D261" i="17" s="1"/>
  <c r="F26" i="25"/>
  <c r="G51" i="17" s="1"/>
  <c r="D26" i="25"/>
  <c r="F50" i="17"/>
  <c r="V25" i="25"/>
  <c r="J50" i="17"/>
  <c r="E26" i="25" l="1"/>
  <c r="E27" i="25" s="1"/>
  <c r="D284" i="17"/>
  <c r="E51" i="17"/>
  <c r="C51" i="17" s="1"/>
  <c r="U26" i="25"/>
  <c r="I26" i="25"/>
  <c r="O51" i="17"/>
  <c r="N50" i="17"/>
  <c r="F27" i="25"/>
  <c r="G52" i="17" s="1"/>
  <c r="O52" i="17" s="1"/>
  <c r="D27" i="25" l="1"/>
  <c r="I27" i="25" s="1"/>
  <c r="F51" i="17"/>
  <c r="D28" i="25"/>
  <c r="E28" i="25"/>
  <c r="F28" i="25"/>
  <c r="G53" i="17" s="1"/>
  <c r="O53" i="17" s="1"/>
  <c r="F52" i="17"/>
  <c r="V26" i="25"/>
  <c r="J51" i="17"/>
  <c r="E52" i="17" l="1"/>
  <c r="C52" i="17" s="1"/>
  <c r="U27" i="25"/>
  <c r="V27" i="25"/>
  <c r="J52" i="17"/>
  <c r="N52" i="17" s="1"/>
  <c r="D29" i="25"/>
  <c r="E29" i="25"/>
  <c r="F29" i="25"/>
  <c r="G54" i="17" s="1"/>
  <c r="O54" i="17" s="1"/>
  <c r="F53" i="17"/>
  <c r="E53" i="17"/>
  <c r="C53" i="17" s="1"/>
  <c r="I28" i="25"/>
  <c r="U28" i="25"/>
  <c r="N51" i="17"/>
  <c r="V28" i="25" l="1"/>
  <c r="J53" i="17"/>
  <c r="D30" i="25"/>
  <c r="E30" i="25"/>
  <c r="F30" i="25"/>
  <c r="G55" i="17" s="1"/>
  <c r="O55" i="17" s="1"/>
  <c r="F54" i="17"/>
  <c r="E54" i="17"/>
  <c r="C54" i="17" s="1"/>
  <c r="U29" i="25"/>
  <c r="I29" i="25"/>
  <c r="D31" i="25" l="1"/>
  <c r="E31" i="25"/>
  <c r="F31" i="25"/>
  <c r="G56" i="17" s="1"/>
  <c r="O56" i="17" s="1"/>
  <c r="F55" i="17"/>
  <c r="E55" i="17"/>
  <c r="C55" i="17" s="1"/>
  <c r="I30" i="25"/>
  <c r="U30" i="25"/>
  <c r="N53" i="17"/>
  <c r="V29" i="25"/>
  <c r="J54" i="17"/>
  <c r="N54" i="17" s="1"/>
  <c r="V30" i="25" l="1"/>
  <c r="J55" i="17"/>
  <c r="D32" i="25"/>
  <c r="E32" i="25"/>
  <c r="F32" i="25"/>
  <c r="G57" i="17" s="1"/>
  <c r="O57" i="17" s="1"/>
  <c r="F56" i="17"/>
  <c r="E56" i="17"/>
  <c r="C56" i="17" s="1"/>
  <c r="I31" i="25"/>
  <c r="U31" i="25"/>
  <c r="V31" i="25" l="1"/>
  <c r="J56" i="17"/>
  <c r="N56" i="17" s="1"/>
  <c r="D33" i="25"/>
  <c r="E33" i="25"/>
  <c r="F33" i="25"/>
  <c r="G58" i="17" s="1"/>
  <c r="O58" i="17" s="1"/>
  <c r="F57" i="17"/>
  <c r="E57" i="17"/>
  <c r="C57" i="17" s="1"/>
  <c r="I32" i="25"/>
  <c r="U32" i="25"/>
  <c r="N55" i="17"/>
  <c r="V32" i="25" l="1"/>
  <c r="J57" i="17"/>
  <c r="N57" i="17" s="1"/>
  <c r="E58" i="17"/>
  <c r="C58" i="17" s="1"/>
  <c r="I33" i="25"/>
  <c r="U33" i="25"/>
  <c r="E34" i="25"/>
  <c r="F34" i="25"/>
  <c r="G59" i="17" s="1"/>
  <c r="O59" i="17" s="1"/>
  <c r="D34" i="25"/>
  <c r="F58" i="17"/>
  <c r="V33" i="25" l="1"/>
  <c r="J58" i="17"/>
  <c r="N58" i="17" s="1"/>
  <c r="E59" i="17"/>
  <c r="C59" i="17" s="1"/>
  <c r="I34" i="25"/>
  <c r="U34" i="25"/>
  <c r="F35" i="25"/>
  <c r="G60" i="17" s="1"/>
  <c r="O60" i="17" s="1"/>
  <c r="D35" i="25"/>
  <c r="E35" i="25"/>
  <c r="F59" i="17"/>
  <c r="E60" i="17" l="1"/>
  <c r="C60" i="17" s="1"/>
  <c r="I35" i="25"/>
  <c r="U35" i="25"/>
  <c r="V34" i="25"/>
  <c r="J59" i="17"/>
  <c r="N59" i="17" s="1"/>
  <c r="D36" i="25"/>
  <c r="E36" i="25"/>
  <c r="F36" i="25"/>
  <c r="G61" i="17" s="1"/>
  <c r="O61" i="17" s="1"/>
  <c r="F60" i="17"/>
  <c r="E61" i="17" l="1"/>
  <c r="C61" i="17" s="1"/>
  <c r="I36" i="25"/>
  <c r="U36" i="25"/>
  <c r="V35" i="25"/>
  <c r="J60" i="17"/>
  <c r="N60" i="17" s="1"/>
  <c r="D37" i="25"/>
  <c r="E37" i="25"/>
  <c r="F37" i="25"/>
  <c r="G62" i="17" s="1"/>
  <c r="O62" i="17" s="1"/>
  <c r="F61" i="17"/>
  <c r="E62" i="17" l="1"/>
  <c r="C62" i="17" s="1"/>
  <c r="U37" i="25"/>
  <c r="I37" i="25"/>
  <c r="D38" i="25"/>
  <c r="E38" i="25"/>
  <c r="F38" i="25"/>
  <c r="G63" i="17" s="1"/>
  <c r="O63" i="17" s="1"/>
  <c r="F62" i="17"/>
  <c r="V36" i="25"/>
  <c r="J61" i="17"/>
  <c r="N61" i="17" s="1"/>
  <c r="D39" i="25" l="1"/>
  <c r="E39" i="25"/>
  <c r="F39" i="25"/>
  <c r="G64" i="17" s="1"/>
  <c r="O64" i="17" s="1"/>
  <c r="F63" i="17"/>
  <c r="E63" i="17"/>
  <c r="C63" i="17" s="1"/>
  <c r="U38" i="25"/>
  <c r="I38" i="25"/>
  <c r="V37" i="25"/>
  <c r="J62" i="17"/>
  <c r="N62" i="17" s="1"/>
  <c r="V38" i="25" l="1"/>
  <c r="J63" i="17"/>
  <c r="N63" i="17" s="1"/>
  <c r="D40" i="25"/>
  <c r="E40" i="25"/>
  <c r="F40" i="25"/>
  <c r="G65" i="17" s="1"/>
  <c r="O65" i="17" s="1"/>
  <c r="F64" i="17"/>
  <c r="E64" i="17"/>
  <c r="C64" i="17" s="1"/>
  <c r="I39" i="25"/>
  <c r="U39" i="25"/>
  <c r="E65" i="17" l="1"/>
  <c r="C65" i="17" s="1"/>
  <c r="U40" i="25"/>
  <c r="I40" i="25"/>
  <c r="V39" i="25"/>
  <c r="J64" i="17"/>
  <c r="N64" i="17" s="1"/>
  <c r="D41" i="25"/>
  <c r="E41" i="25"/>
  <c r="F41" i="25"/>
  <c r="G66" i="17" s="1"/>
  <c r="O66" i="17" s="1"/>
  <c r="F65" i="17"/>
  <c r="E42" i="25" l="1"/>
  <c r="F42" i="25"/>
  <c r="G67" i="17" s="1"/>
  <c r="O67" i="17" s="1"/>
  <c r="D42" i="25"/>
  <c r="F66" i="17"/>
  <c r="V40" i="25"/>
  <c r="J65" i="17"/>
  <c r="N65" i="17" s="1"/>
  <c r="E66" i="17"/>
  <c r="C66" i="17" s="1"/>
  <c r="I41" i="25"/>
  <c r="U41" i="25"/>
  <c r="V41" i="25" l="1"/>
  <c r="J66" i="17"/>
  <c r="N66" i="17" s="1"/>
  <c r="E67" i="17"/>
  <c r="C67" i="17" s="1"/>
  <c r="I42" i="25"/>
  <c r="U42" i="25"/>
  <c r="F43" i="25"/>
  <c r="G68" i="17" s="1"/>
  <c r="O68" i="17" s="1"/>
  <c r="D43" i="25"/>
  <c r="E43" i="25"/>
  <c r="F67" i="17"/>
  <c r="D44" i="25" l="1"/>
  <c r="E44" i="25"/>
  <c r="F44" i="25"/>
  <c r="G69" i="17" s="1"/>
  <c r="O69" i="17" s="1"/>
  <c r="F68" i="17"/>
  <c r="E68" i="17"/>
  <c r="C68" i="17" s="1"/>
  <c r="I43" i="25"/>
  <c r="U43" i="25"/>
  <c r="V42" i="25"/>
  <c r="J67" i="17"/>
  <c r="N67" i="17" s="1"/>
  <c r="V43" i="25" l="1"/>
  <c r="J68" i="17"/>
  <c r="N68" i="17" s="1"/>
  <c r="D45" i="25"/>
  <c r="E45" i="25"/>
  <c r="F45" i="25"/>
  <c r="G70" i="17" s="1"/>
  <c r="O70" i="17" s="1"/>
  <c r="F69" i="17"/>
  <c r="E69" i="17"/>
  <c r="C69" i="17" s="1"/>
  <c r="I44" i="25"/>
  <c r="U44" i="25"/>
  <c r="E70" i="17" l="1"/>
  <c r="C70" i="17" s="1"/>
  <c r="U45" i="25"/>
  <c r="I45" i="25"/>
  <c r="V44" i="25"/>
  <c r="J69" i="17"/>
  <c r="N69" i="17" s="1"/>
  <c r="D46" i="25"/>
  <c r="E46" i="25"/>
  <c r="F46" i="25"/>
  <c r="G71" i="17" s="1"/>
  <c r="O71" i="17" s="1"/>
  <c r="F70" i="17"/>
  <c r="E71" i="17" l="1"/>
  <c r="C71" i="17" s="1"/>
  <c r="I46" i="25"/>
  <c r="U46" i="25"/>
  <c r="D47" i="25"/>
  <c r="E47" i="25"/>
  <c r="F47" i="25"/>
  <c r="G72" i="17" s="1"/>
  <c r="O72" i="17" s="1"/>
  <c r="F71" i="17"/>
  <c r="V45" i="25"/>
  <c r="J70" i="17"/>
  <c r="N70" i="17" s="1"/>
  <c r="D48" i="25" l="1"/>
  <c r="E48" i="25"/>
  <c r="F48" i="25"/>
  <c r="G73" i="17" s="1"/>
  <c r="O73" i="17" s="1"/>
  <c r="F72" i="17"/>
  <c r="E72" i="17"/>
  <c r="C72" i="17" s="1"/>
  <c r="I47" i="25"/>
  <c r="U47" i="25"/>
  <c r="V46" i="25"/>
  <c r="J71" i="17"/>
  <c r="N71" i="17" s="1"/>
  <c r="D49" i="25" l="1"/>
  <c r="E49" i="25"/>
  <c r="F49" i="25"/>
  <c r="G74" i="17" s="1"/>
  <c r="O74" i="17" s="1"/>
  <c r="F73" i="17"/>
  <c r="V47" i="25"/>
  <c r="J72" i="17"/>
  <c r="N72" i="17" s="1"/>
  <c r="E73" i="17"/>
  <c r="C73" i="17" s="1"/>
  <c r="U48" i="25"/>
  <c r="I48" i="25"/>
  <c r="E50" i="25" l="1"/>
  <c r="F50" i="25"/>
  <c r="G75" i="17" s="1"/>
  <c r="O75" i="17" s="1"/>
  <c r="D50" i="25"/>
  <c r="F74" i="17"/>
  <c r="V48" i="25"/>
  <c r="J73" i="17"/>
  <c r="N73" i="17" s="1"/>
  <c r="E74" i="17"/>
  <c r="C74" i="17" s="1"/>
  <c r="I49" i="25"/>
  <c r="U49" i="25"/>
  <c r="V49" i="25" l="1"/>
  <c r="J74" i="17"/>
  <c r="N74" i="17" s="1"/>
  <c r="E75" i="17"/>
  <c r="C75" i="17" s="1"/>
  <c r="I50" i="25"/>
  <c r="U50" i="25"/>
  <c r="F51" i="25"/>
  <c r="G76" i="17" s="1"/>
  <c r="O76" i="17" s="1"/>
  <c r="D51" i="25"/>
  <c r="E51" i="25"/>
  <c r="F75" i="17"/>
  <c r="D52" i="25" l="1"/>
  <c r="E52" i="25"/>
  <c r="F52" i="25"/>
  <c r="G77" i="17" s="1"/>
  <c r="O77" i="17" s="1"/>
  <c r="F76" i="17"/>
  <c r="V50" i="25"/>
  <c r="J75" i="17"/>
  <c r="N75" i="17" s="1"/>
  <c r="E76" i="17"/>
  <c r="C76" i="17" s="1"/>
  <c r="I51" i="25"/>
  <c r="U51" i="25"/>
  <c r="V51" i="25" l="1"/>
  <c r="J76" i="17"/>
  <c r="N76" i="17" s="1"/>
  <c r="D53" i="25"/>
  <c r="E53" i="25"/>
  <c r="F53" i="25"/>
  <c r="G78" i="17" s="1"/>
  <c r="O78" i="17" s="1"/>
  <c r="F77" i="17"/>
  <c r="E77" i="17"/>
  <c r="C77" i="17" s="1"/>
  <c r="U52" i="25"/>
  <c r="I52" i="25"/>
  <c r="D54" i="25" l="1"/>
  <c r="E54" i="25"/>
  <c r="F54" i="25"/>
  <c r="G79" i="17" s="1"/>
  <c r="O79" i="17" s="1"/>
  <c r="F78" i="17"/>
  <c r="E78" i="17"/>
  <c r="C78" i="17" s="1"/>
  <c r="I53" i="25"/>
  <c r="U53" i="25"/>
  <c r="V52" i="25"/>
  <c r="J77" i="17"/>
  <c r="N77" i="17" s="1"/>
  <c r="V53" i="25" l="1"/>
  <c r="J78" i="17"/>
  <c r="N78" i="17" s="1"/>
  <c r="D55" i="25"/>
  <c r="E55" i="25"/>
  <c r="F55" i="25"/>
  <c r="G80" i="17" s="1"/>
  <c r="O80" i="17" s="1"/>
  <c r="F79" i="17"/>
  <c r="E79" i="17"/>
  <c r="C79" i="17" s="1"/>
  <c r="I54" i="25"/>
  <c r="U54" i="25"/>
  <c r="E80" i="17" l="1"/>
  <c r="C80" i="17" s="1"/>
  <c r="I55" i="25"/>
  <c r="U55" i="25"/>
  <c r="V54" i="25"/>
  <c r="J79" i="17"/>
  <c r="N79" i="17" s="1"/>
  <c r="D56" i="25"/>
  <c r="E56" i="25"/>
  <c r="F56" i="25"/>
  <c r="G81" i="17" s="1"/>
  <c r="O81" i="17" s="1"/>
  <c r="F80" i="17"/>
  <c r="D57" i="25" l="1"/>
  <c r="E57" i="25"/>
  <c r="F57" i="25"/>
  <c r="G82" i="17" s="1"/>
  <c r="O82" i="17" s="1"/>
  <c r="F81" i="17"/>
  <c r="E81" i="17"/>
  <c r="C81" i="17" s="1"/>
  <c r="I56" i="25"/>
  <c r="U56" i="25"/>
  <c r="V55" i="25"/>
  <c r="J80" i="17"/>
  <c r="N80" i="17" s="1"/>
  <c r="E58" i="25" l="1"/>
  <c r="F58" i="25"/>
  <c r="G83" i="17" s="1"/>
  <c r="O83" i="17" s="1"/>
  <c r="D58" i="25"/>
  <c r="F82" i="17"/>
  <c r="V56" i="25"/>
  <c r="J81" i="17"/>
  <c r="N81" i="17" s="1"/>
  <c r="E82" i="17"/>
  <c r="C82" i="17" s="1"/>
  <c r="I57" i="25"/>
  <c r="U57" i="25"/>
  <c r="V57" i="25" l="1"/>
  <c r="J82" i="17"/>
  <c r="N82" i="17" s="1"/>
  <c r="E83" i="17"/>
  <c r="C83" i="17" s="1"/>
  <c r="I58" i="25"/>
  <c r="U58" i="25"/>
  <c r="F59" i="25"/>
  <c r="G84" i="17" s="1"/>
  <c r="O84" i="17" s="1"/>
  <c r="D59" i="25"/>
  <c r="E59" i="25"/>
  <c r="F83" i="17"/>
  <c r="D60" i="25" l="1"/>
  <c r="E60" i="25"/>
  <c r="F60" i="25"/>
  <c r="G85" i="17" s="1"/>
  <c r="O85" i="17" s="1"/>
  <c r="F84" i="17"/>
  <c r="E84" i="17"/>
  <c r="C84" i="17" s="1"/>
  <c r="I59" i="25"/>
  <c r="U59" i="25"/>
  <c r="V58" i="25"/>
  <c r="J83" i="17"/>
  <c r="N83" i="17" s="1"/>
  <c r="V59" i="25" l="1"/>
  <c r="J84" i="17"/>
  <c r="N84" i="17" s="1"/>
  <c r="D61" i="25"/>
  <c r="E61" i="25"/>
  <c r="F61" i="25"/>
  <c r="G86" i="17" s="1"/>
  <c r="O86" i="17" s="1"/>
  <c r="F85" i="17"/>
  <c r="E85" i="17"/>
  <c r="C85" i="17" s="1"/>
  <c r="I60" i="25"/>
  <c r="U60" i="25"/>
  <c r="E86" i="17" l="1"/>
  <c r="C86" i="17" s="1"/>
  <c r="U61" i="25"/>
  <c r="I61" i="25"/>
  <c r="V60" i="25"/>
  <c r="J85" i="17"/>
  <c r="N85" i="17" s="1"/>
  <c r="D62" i="25"/>
  <c r="E62" i="25"/>
  <c r="F62" i="25"/>
  <c r="G87" i="17" s="1"/>
  <c r="O87" i="17" s="1"/>
  <c r="F86" i="17"/>
  <c r="V61" i="25" l="1"/>
  <c r="J86" i="17"/>
  <c r="N86" i="17" s="1"/>
  <c r="D63" i="25"/>
  <c r="E63" i="25"/>
  <c r="F63" i="25"/>
  <c r="G88" i="17" s="1"/>
  <c r="O88" i="17" s="1"/>
  <c r="F87" i="17"/>
  <c r="E87" i="17"/>
  <c r="C87" i="17" s="1"/>
  <c r="I62" i="25"/>
  <c r="U62" i="25"/>
  <c r="V62" i="25" l="1"/>
  <c r="J87" i="17"/>
  <c r="N87" i="17" s="1"/>
  <c r="E88" i="17"/>
  <c r="C88" i="17" s="1"/>
  <c r="U63" i="25"/>
  <c r="I63" i="25"/>
  <c r="D64" i="25"/>
  <c r="E64" i="25"/>
  <c r="F64" i="25"/>
  <c r="G89" i="17" s="1"/>
  <c r="O89" i="17" s="1"/>
  <c r="F88" i="17"/>
  <c r="E89" i="17" l="1"/>
  <c r="C89" i="17" s="1"/>
  <c r="I64" i="25"/>
  <c r="U64" i="25"/>
  <c r="V63" i="25"/>
  <c r="J88" i="17"/>
  <c r="N88" i="17" s="1"/>
  <c r="D65" i="25"/>
  <c r="E65" i="25"/>
  <c r="F65" i="25"/>
  <c r="G90" i="17" s="1"/>
  <c r="O90" i="17" s="1"/>
  <c r="F89" i="17"/>
  <c r="E90" i="17" l="1"/>
  <c r="C90" i="17" s="1"/>
  <c r="I65" i="25"/>
  <c r="U65" i="25"/>
  <c r="E66" i="25"/>
  <c r="F66" i="25"/>
  <c r="G91" i="17" s="1"/>
  <c r="O91" i="17" s="1"/>
  <c r="D66" i="25"/>
  <c r="F90" i="17"/>
  <c r="V64" i="25"/>
  <c r="J89" i="17"/>
  <c r="N89" i="17" s="1"/>
  <c r="E91" i="17" l="1"/>
  <c r="C91" i="17" s="1"/>
  <c r="I66" i="25"/>
  <c r="U66" i="25"/>
  <c r="V65" i="25"/>
  <c r="J90" i="17"/>
  <c r="N90" i="17" s="1"/>
  <c r="F67" i="25"/>
  <c r="G92" i="17" s="1"/>
  <c r="O92" i="17" s="1"/>
  <c r="D67" i="25"/>
  <c r="E67" i="25"/>
  <c r="F91" i="17"/>
  <c r="D68" i="25" l="1"/>
  <c r="E68" i="25"/>
  <c r="F68" i="25"/>
  <c r="G93" i="17" s="1"/>
  <c r="O93" i="17" s="1"/>
  <c r="F92" i="17"/>
  <c r="E92" i="17"/>
  <c r="C92" i="17" s="1"/>
  <c r="I67" i="25"/>
  <c r="U67" i="25"/>
  <c r="V66" i="25"/>
  <c r="J91" i="17"/>
  <c r="N91" i="17" s="1"/>
  <c r="V67" i="25" l="1"/>
  <c r="J92" i="17"/>
  <c r="N92" i="17" s="1"/>
  <c r="D69" i="25"/>
  <c r="E69" i="25"/>
  <c r="F69" i="25"/>
  <c r="G94" i="17" s="1"/>
  <c r="O94" i="17" s="1"/>
  <c r="F93" i="17"/>
  <c r="E93" i="17"/>
  <c r="C93" i="17" s="1"/>
  <c r="U68" i="25"/>
  <c r="I68" i="25"/>
  <c r="E94" i="17" l="1"/>
  <c r="C94" i="17" s="1"/>
  <c r="U69" i="25"/>
  <c r="I69" i="25"/>
  <c r="D70" i="25"/>
  <c r="E70" i="25"/>
  <c r="F70" i="25"/>
  <c r="G95" i="17" s="1"/>
  <c r="O95" i="17" s="1"/>
  <c r="F94" i="17"/>
  <c r="V68" i="25"/>
  <c r="J93" i="17"/>
  <c r="N93" i="17" s="1"/>
  <c r="D71" i="25" l="1"/>
  <c r="E71" i="25"/>
  <c r="F71" i="25"/>
  <c r="G96" i="17" s="1"/>
  <c r="O96" i="17" s="1"/>
  <c r="F95" i="17"/>
  <c r="V69" i="25"/>
  <c r="J94" i="17"/>
  <c r="N94" i="17" s="1"/>
  <c r="E95" i="17"/>
  <c r="C95" i="17" s="1"/>
  <c r="I70" i="25"/>
  <c r="U70" i="25"/>
  <c r="V70" i="25" l="1"/>
  <c r="J95" i="17"/>
  <c r="N95" i="17" s="1"/>
  <c r="D72" i="25"/>
  <c r="E72" i="25"/>
  <c r="F72" i="25"/>
  <c r="G97" i="17" s="1"/>
  <c r="O97" i="17" s="1"/>
  <c r="F96" i="17"/>
  <c r="E96" i="17"/>
  <c r="C96" i="17" s="1"/>
  <c r="I71" i="25"/>
  <c r="U71" i="25"/>
  <c r="V71" i="25" l="1"/>
  <c r="J96" i="17"/>
  <c r="N96" i="17" s="1"/>
  <c r="E97" i="17"/>
  <c r="C97" i="17" s="1"/>
  <c r="I72" i="25"/>
  <c r="U72" i="25"/>
  <c r="D73" i="25"/>
  <c r="E73" i="25"/>
  <c r="F73" i="25"/>
  <c r="G98" i="17" s="1"/>
  <c r="O98" i="17" s="1"/>
  <c r="F97" i="17"/>
  <c r="E74" i="25" l="1"/>
  <c r="F74" i="25"/>
  <c r="G99" i="17" s="1"/>
  <c r="O99" i="17" s="1"/>
  <c r="D74" i="25"/>
  <c r="F98" i="17"/>
  <c r="V72" i="25"/>
  <c r="J97" i="17"/>
  <c r="N97" i="17" s="1"/>
  <c r="E98" i="17"/>
  <c r="C98" i="17" s="1"/>
  <c r="U73" i="25"/>
  <c r="I73" i="25"/>
  <c r="E99" i="17" l="1"/>
  <c r="C99" i="17" s="1"/>
  <c r="U74" i="25"/>
  <c r="I74" i="25"/>
  <c r="V73" i="25"/>
  <c r="J98" i="17"/>
  <c r="N98" i="17" s="1"/>
  <c r="F75" i="25"/>
  <c r="G100" i="17" s="1"/>
  <c r="O100" i="17" s="1"/>
  <c r="D75" i="25"/>
  <c r="E75" i="25"/>
  <c r="F99" i="17"/>
  <c r="D76" i="25" l="1"/>
  <c r="E76" i="25"/>
  <c r="F76" i="25"/>
  <c r="G101" i="17" s="1"/>
  <c r="O101" i="17" s="1"/>
  <c r="F100" i="17"/>
  <c r="V74" i="25"/>
  <c r="J99" i="17"/>
  <c r="N99" i="17" s="1"/>
  <c r="E100" i="17"/>
  <c r="C100" i="17" s="1"/>
  <c r="I75" i="25"/>
  <c r="U75" i="25"/>
  <c r="V75" i="25" l="1"/>
  <c r="J100" i="17"/>
  <c r="N100" i="17" s="1"/>
  <c r="D77" i="25"/>
  <c r="E77" i="25"/>
  <c r="F77" i="25"/>
  <c r="G102" i="17" s="1"/>
  <c r="O102" i="17" s="1"/>
  <c r="F101" i="17"/>
  <c r="E101" i="17"/>
  <c r="C101" i="17" s="1"/>
  <c r="I76" i="25"/>
  <c r="U76" i="25"/>
  <c r="V76" i="25" l="1"/>
  <c r="J101" i="17"/>
  <c r="N101" i="17" s="1"/>
  <c r="E102" i="17"/>
  <c r="C102" i="17" s="1"/>
  <c r="U77" i="25"/>
  <c r="I77" i="25"/>
  <c r="D78" i="25"/>
  <c r="E78" i="25"/>
  <c r="F78" i="25"/>
  <c r="G103" i="17" s="1"/>
  <c r="O103" i="17" s="1"/>
  <c r="F102" i="17"/>
  <c r="D79" i="25" l="1"/>
  <c r="E79" i="25"/>
  <c r="F79" i="25"/>
  <c r="G104" i="17" s="1"/>
  <c r="O104" i="17" s="1"/>
  <c r="F103" i="17"/>
  <c r="V77" i="25"/>
  <c r="J102" i="17"/>
  <c r="N102" i="17" s="1"/>
  <c r="E103" i="17"/>
  <c r="C103" i="17" s="1"/>
  <c r="I78" i="25"/>
  <c r="U78" i="25"/>
  <c r="D80" i="25" l="1"/>
  <c r="E80" i="25"/>
  <c r="F80" i="25"/>
  <c r="G105" i="17" s="1"/>
  <c r="O105" i="17" s="1"/>
  <c r="F104" i="17"/>
  <c r="V78" i="25"/>
  <c r="J103" i="17"/>
  <c r="N103" i="17" s="1"/>
  <c r="E104" i="17"/>
  <c r="C104" i="17" s="1"/>
  <c r="U79" i="25"/>
  <c r="I79" i="25"/>
  <c r="D81" i="25" l="1"/>
  <c r="E81" i="25"/>
  <c r="F81" i="25"/>
  <c r="G106" i="17" s="1"/>
  <c r="O106" i="17" s="1"/>
  <c r="F105" i="17"/>
  <c r="V79" i="25"/>
  <c r="J104" i="17"/>
  <c r="N104" i="17" s="1"/>
  <c r="E105" i="17"/>
  <c r="C105" i="17" s="1"/>
  <c r="U80" i="25"/>
  <c r="I80" i="25"/>
  <c r="E82" i="25" l="1"/>
  <c r="F82" i="25"/>
  <c r="G107" i="17" s="1"/>
  <c r="O107" i="17" s="1"/>
  <c r="D82" i="25"/>
  <c r="F106" i="17"/>
  <c r="V80" i="25"/>
  <c r="J105" i="17"/>
  <c r="N105" i="17" s="1"/>
  <c r="E106" i="17"/>
  <c r="C106" i="17" s="1"/>
  <c r="I81" i="25"/>
  <c r="U81" i="25"/>
  <c r="V81" i="25" l="1"/>
  <c r="J106" i="17"/>
  <c r="N106" i="17" s="1"/>
  <c r="E107" i="17"/>
  <c r="C107" i="17" s="1"/>
  <c r="U82" i="25"/>
  <c r="I82" i="25"/>
  <c r="F83" i="25"/>
  <c r="G108" i="17" s="1"/>
  <c r="O108" i="17" s="1"/>
  <c r="D83" i="25"/>
  <c r="E83" i="25"/>
  <c r="F107" i="17"/>
  <c r="D84" i="25" l="1"/>
  <c r="E84" i="25"/>
  <c r="F84" i="25"/>
  <c r="G109" i="17" s="1"/>
  <c r="O109" i="17" s="1"/>
  <c r="F108" i="17"/>
  <c r="E108" i="17"/>
  <c r="C108" i="17" s="1"/>
  <c r="I83" i="25"/>
  <c r="U83" i="25"/>
  <c r="V82" i="25"/>
  <c r="J107" i="17"/>
  <c r="N107" i="17" s="1"/>
  <c r="V83" i="25" l="1"/>
  <c r="J108" i="17"/>
  <c r="N108" i="17" s="1"/>
  <c r="D85" i="25"/>
  <c r="E85" i="25"/>
  <c r="F85" i="25"/>
  <c r="G110" i="17" s="1"/>
  <c r="O110" i="17" s="1"/>
  <c r="F109" i="17"/>
  <c r="E109" i="17"/>
  <c r="C109" i="17" s="1"/>
  <c r="I84" i="25"/>
  <c r="U84" i="25"/>
  <c r="D86" i="25" l="1"/>
  <c r="E86" i="25"/>
  <c r="F86" i="25"/>
  <c r="G111" i="17" s="1"/>
  <c r="O111" i="17" s="1"/>
  <c r="F110" i="17"/>
  <c r="E110" i="17"/>
  <c r="C110" i="17" s="1"/>
  <c r="U85" i="25"/>
  <c r="I85" i="25"/>
  <c r="V84" i="25"/>
  <c r="J109" i="17"/>
  <c r="N109" i="17" s="1"/>
  <c r="V85" i="25" l="1"/>
  <c r="J110" i="17"/>
  <c r="N110" i="17" s="1"/>
  <c r="D87" i="25"/>
  <c r="E87" i="25"/>
  <c r="F87" i="25"/>
  <c r="G112" i="17" s="1"/>
  <c r="O112" i="17" s="1"/>
  <c r="F111" i="17"/>
  <c r="E111" i="17"/>
  <c r="C111" i="17" s="1"/>
  <c r="I86" i="25"/>
  <c r="U86" i="25"/>
  <c r="E88" i="25" l="1"/>
  <c r="F88" i="25"/>
  <c r="G113" i="17" s="1"/>
  <c r="O113" i="17" s="1"/>
  <c r="D88" i="25"/>
  <c r="F112" i="17"/>
  <c r="V86" i="25"/>
  <c r="J111" i="17"/>
  <c r="N111" i="17" s="1"/>
  <c r="E112" i="17"/>
  <c r="C112" i="17" s="1"/>
  <c r="I87" i="25"/>
  <c r="U87" i="25"/>
  <c r="V87" i="25" l="1"/>
  <c r="J112" i="17"/>
  <c r="N112" i="17" s="1"/>
  <c r="E113" i="17"/>
  <c r="C113" i="17" s="1"/>
  <c r="I88" i="25"/>
  <c r="U88" i="25"/>
  <c r="D89" i="25"/>
  <c r="F89" i="25"/>
  <c r="G114" i="17" s="1"/>
  <c r="O114" i="17" s="1"/>
  <c r="E89" i="25"/>
  <c r="F113" i="17"/>
  <c r="V88" i="25" l="1"/>
  <c r="J113" i="17"/>
  <c r="N113" i="17" s="1"/>
  <c r="E114" i="17"/>
  <c r="C114" i="17" s="1"/>
  <c r="I89" i="25"/>
  <c r="U89" i="25"/>
  <c r="D90" i="25"/>
  <c r="E90" i="25"/>
  <c r="F90" i="25"/>
  <c r="G115" i="17" s="1"/>
  <c r="O115" i="17" s="1"/>
  <c r="F114" i="17"/>
  <c r="D91" i="25" l="1"/>
  <c r="E91" i="25"/>
  <c r="F91" i="25"/>
  <c r="G116" i="17" s="1"/>
  <c r="O116" i="17" s="1"/>
  <c r="F115" i="17"/>
  <c r="V89" i="25"/>
  <c r="J114" i="17"/>
  <c r="N114" i="17" s="1"/>
  <c r="E115" i="17"/>
  <c r="C115" i="17" s="1"/>
  <c r="I90" i="25"/>
  <c r="U90" i="25"/>
  <c r="V90" i="25" l="1"/>
  <c r="J115" i="17"/>
  <c r="N115" i="17" s="1"/>
  <c r="D92" i="25"/>
  <c r="E92" i="25"/>
  <c r="F92" i="25"/>
  <c r="G117" i="17" s="1"/>
  <c r="O117" i="17" s="1"/>
  <c r="F116" i="17"/>
  <c r="E116" i="17"/>
  <c r="C116" i="17" s="1"/>
  <c r="U91" i="25"/>
  <c r="I91" i="25"/>
  <c r="E117" i="17" l="1"/>
  <c r="C117" i="17" s="1"/>
  <c r="I92" i="25"/>
  <c r="U92" i="25"/>
  <c r="D93" i="25"/>
  <c r="E93" i="25"/>
  <c r="F93" i="25"/>
  <c r="G118" i="17" s="1"/>
  <c r="O118" i="17" s="1"/>
  <c r="F117" i="17"/>
  <c r="V91" i="25"/>
  <c r="J116" i="17"/>
  <c r="N116" i="17" s="1"/>
  <c r="D94" i="25" l="1"/>
  <c r="E94" i="25"/>
  <c r="F94" i="25"/>
  <c r="G119" i="17" s="1"/>
  <c r="O119" i="17" s="1"/>
  <c r="F118" i="17"/>
  <c r="V92" i="25"/>
  <c r="J117" i="17"/>
  <c r="N117" i="17" s="1"/>
  <c r="E118" i="17"/>
  <c r="C118" i="17" s="1"/>
  <c r="I93" i="25"/>
  <c r="U93" i="25"/>
  <c r="D95" i="25" l="1"/>
  <c r="E95" i="25"/>
  <c r="F95" i="25"/>
  <c r="G120" i="17" s="1"/>
  <c r="O120" i="17" s="1"/>
  <c r="F119" i="17"/>
  <c r="V93" i="25"/>
  <c r="J118" i="17"/>
  <c r="N118" i="17" s="1"/>
  <c r="E119" i="17"/>
  <c r="C119" i="17" s="1"/>
  <c r="U94" i="25"/>
  <c r="I94" i="25"/>
  <c r="E96" i="25" l="1"/>
  <c r="F96" i="25"/>
  <c r="G121" i="17" s="1"/>
  <c r="O121" i="17" s="1"/>
  <c r="D96" i="25"/>
  <c r="F120" i="17"/>
  <c r="V94" i="25"/>
  <c r="J119" i="17"/>
  <c r="N119" i="17" s="1"/>
  <c r="E120" i="17"/>
  <c r="C120" i="17" s="1"/>
  <c r="U95" i="25"/>
  <c r="I95" i="25"/>
  <c r="E121" i="17" l="1"/>
  <c r="C121" i="17" s="1"/>
  <c r="I96" i="25"/>
  <c r="U96" i="25"/>
  <c r="V95" i="25"/>
  <c r="J120" i="17"/>
  <c r="N120" i="17" s="1"/>
  <c r="F97" i="25"/>
  <c r="G122" i="17" s="1"/>
  <c r="O122" i="17" s="1"/>
  <c r="D97" i="25"/>
  <c r="E97" i="25"/>
  <c r="F121" i="17"/>
  <c r="D98" i="25" l="1"/>
  <c r="E98" i="25"/>
  <c r="F98" i="25"/>
  <c r="G123" i="17" s="1"/>
  <c r="O123" i="17" s="1"/>
  <c r="F122" i="17"/>
  <c r="V96" i="25"/>
  <c r="J121" i="17"/>
  <c r="N121" i="17" s="1"/>
  <c r="E122" i="17"/>
  <c r="C122" i="17" s="1"/>
  <c r="I97" i="25"/>
  <c r="U97" i="25"/>
  <c r="V97" i="25" l="1"/>
  <c r="J122" i="17"/>
  <c r="N122" i="17" s="1"/>
  <c r="D99" i="25"/>
  <c r="E99" i="25"/>
  <c r="F99" i="25"/>
  <c r="G124" i="17" s="1"/>
  <c r="O124" i="17" s="1"/>
  <c r="F123" i="17"/>
  <c r="E123" i="17"/>
  <c r="C123" i="17" s="1"/>
  <c r="I98" i="25"/>
  <c r="U98" i="25"/>
  <c r="V98" i="25" l="1"/>
  <c r="J123" i="17"/>
  <c r="N123" i="17" s="1"/>
  <c r="E124" i="17"/>
  <c r="C124" i="17" s="1"/>
  <c r="U99" i="25"/>
  <c r="I99" i="25"/>
  <c r="D100" i="25"/>
  <c r="E100" i="25"/>
  <c r="F100" i="25"/>
  <c r="G125" i="17" s="1"/>
  <c r="O125" i="17" s="1"/>
  <c r="F124" i="17"/>
  <c r="V99" i="25" l="1"/>
  <c r="J124" i="17"/>
  <c r="N124" i="17" s="1"/>
  <c r="E125" i="17"/>
  <c r="C125" i="17" s="1"/>
  <c r="U100" i="25"/>
  <c r="I100" i="25"/>
  <c r="D101" i="25"/>
  <c r="E101" i="25"/>
  <c r="F101" i="25"/>
  <c r="G126" i="17" s="1"/>
  <c r="O126" i="17" s="1"/>
  <c r="F125" i="17"/>
  <c r="V100" i="25" l="1"/>
  <c r="J125" i="17"/>
  <c r="N125" i="17" s="1"/>
  <c r="D102" i="25"/>
  <c r="E102" i="25"/>
  <c r="F102" i="25"/>
  <c r="G127" i="17" s="1"/>
  <c r="O127" i="17" s="1"/>
  <c r="F126" i="17"/>
  <c r="E126" i="17"/>
  <c r="C126" i="17" s="1"/>
  <c r="U101" i="25"/>
  <c r="I101" i="25"/>
  <c r="D103" i="25" l="1"/>
  <c r="E103" i="25"/>
  <c r="F103" i="25"/>
  <c r="G128" i="17" s="1"/>
  <c r="O128" i="17" s="1"/>
  <c r="F127" i="17"/>
  <c r="E127" i="17"/>
  <c r="C127" i="17" s="1"/>
  <c r="I102" i="25"/>
  <c r="U102" i="25"/>
  <c r="V101" i="25"/>
  <c r="J126" i="17"/>
  <c r="N126" i="17" s="1"/>
  <c r="V102" i="25" l="1"/>
  <c r="J127" i="17"/>
  <c r="N127" i="17" s="1"/>
  <c r="E104" i="25"/>
  <c r="F104" i="25"/>
  <c r="G129" i="17" s="1"/>
  <c r="O129" i="17" s="1"/>
  <c r="D104" i="25"/>
  <c r="F128" i="17"/>
  <c r="E128" i="17"/>
  <c r="C128" i="17" s="1"/>
  <c r="I103" i="25"/>
  <c r="U103" i="25"/>
  <c r="V103" i="25" l="1"/>
  <c r="J128" i="17"/>
  <c r="N128" i="17" s="1"/>
  <c r="E129" i="17"/>
  <c r="C129" i="17" s="1"/>
  <c r="I104" i="25"/>
  <c r="U104" i="25"/>
  <c r="F105" i="25"/>
  <c r="G130" i="17" s="1"/>
  <c r="O130" i="17" s="1"/>
  <c r="D105" i="25"/>
  <c r="E105" i="25"/>
  <c r="F129" i="17"/>
  <c r="D106" i="25" l="1"/>
  <c r="E106" i="25"/>
  <c r="F106" i="25"/>
  <c r="G131" i="17" s="1"/>
  <c r="O131" i="17" s="1"/>
  <c r="F130" i="17"/>
  <c r="V104" i="25"/>
  <c r="J129" i="17"/>
  <c r="N129" i="17" s="1"/>
  <c r="E130" i="17"/>
  <c r="C130" i="17" s="1"/>
  <c r="U105" i="25"/>
  <c r="I105" i="25"/>
  <c r="D107" i="25" l="1"/>
  <c r="E107" i="25"/>
  <c r="F107" i="25"/>
  <c r="G132" i="17" s="1"/>
  <c r="O132" i="17" s="1"/>
  <c r="F131" i="17"/>
  <c r="V105" i="25"/>
  <c r="J130" i="17"/>
  <c r="N130" i="17" s="1"/>
  <c r="E131" i="17"/>
  <c r="C131" i="17" s="1"/>
  <c r="I106" i="25"/>
  <c r="U106" i="25"/>
  <c r="V106" i="25" l="1"/>
  <c r="J131" i="17"/>
  <c r="N131" i="17" s="1"/>
  <c r="D108" i="25"/>
  <c r="E108" i="25"/>
  <c r="F108" i="25"/>
  <c r="G133" i="17" s="1"/>
  <c r="O133" i="17" s="1"/>
  <c r="F132" i="17"/>
  <c r="E132" i="17"/>
  <c r="C132" i="17" s="1"/>
  <c r="U107" i="25"/>
  <c r="I107" i="25"/>
  <c r="E133" i="17" l="1"/>
  <c r="C133" i="17" s="1"/>
  <c r="U108" i="25"/>
  <c r="I108" i="25"/>
  <c r="D109" i="25"/>
  <c r="E109" i="25"/>
  <c r="F109" i="25"/>
  <c r="G134" i="17" s="1"/>
  <c r="O134" i="17" s="1"/>
  <c r="F133" i="17"/>
  <c r="V107" i="25"/>
  <c r="J132" i="17"/>
  <c r="N132" i="17" s="1"/>
  <c r="D110" i="25" l="1"/>
  <c r="E110" i="25"/>
  <c r="F110" i="25"/>
  <c r="G135" i="17" s="1"/>
  <c r="O135" i="17" s="1"/>
  <c r="F134" i="17"/>
  <c r="V108" i="25"/>
  <c r="J133" i="17"/>
  <c r="N133" i="17" s="1"/>
  <c r="E134" i="17"/>
  <c r="C134" i="17" s="1"/>
  <c r="U109" i="25"/>
  <c r="I109" i="25"/>
  <c r="D111" i="25" l="1"/>
  <c r="E111" i="25"/>
  <c r="F111" i="25"/>
  <c r="G136" i="17" s="1"/>
  <c r="O136" i="17" s="1"/>
  <c r="F135" i="17"/>
  <c r="V109" i="25"/>
  <c r="J134" i="17"/>
  <c r="N134" i="17" s="1"/>
  <c r="E135" i="17"/>
  <c r="C135" i="17" s="1"/>
  <c r="U110" i="25"/>
  <c r="I110" i="25"/>
  <c r="D112" i="25" l="1"/>
  <c r="E112" i="25"/>
  <c r="F112" i="25"/>
  <c r="G137" i="17" s="1"/>
  <c r="O137" i="17" s="1"/>
  <c r="F136" i="17"/>
  <c r="V110" i="25"/>
  <c r="J135" i="17"/>
  <c r="N135" i="17" s="1"/>
  <c r="E136" i="17"/>
  <c r="C136" i="17" s="1"/>
  <c r="I111" i="25"/>
  <c r="U111" i="25"/>
  <c r="V111" i="25" l="1"/>
  <c r="J136" i="17"/>
  <c r="N136" i="17" s="1"/>
  <c r="D113" i="25"/>
  <c r="E113" i="25"/>
  <c r="F113" i="25"/>
  <c r="G138" i="17" s="1"/>
  <c r="O138" i="17" s="1"/>
  <c r="F137" i="17"/>
  <c r="E137" i="17"/>
  <c r="C137" i="17" s="1"/>
  <c r="I112" i="25"/>
  <c r="U112" i="25"/>
  <c r="E138" i="17" l="1"/>
  <c r="C138" i="17" s="1"/>
  <c r="I113" i="25"/>
  <c r="U113" i="25"/>
  <c r="V112" i="25"/>
  <c r="J137" i="17"/>
  <c r="N137" i="17" s="1"/>
  <c r="E114" i="25"/>
  <c r="F114" i="25"/>
  <c r="G139" i="17" s="1"/>
  <c r="O139" i="17" s="1"/>
  <c r="D114" i="25"/>
  <c r="F138" i="17"/>
  <c r="E139" i="17" l="1"/>
  <c r="C139" i="17" s="1"/>
  <c r="U114" i="25"/>
  <c r="I114" i="25"/>
  <c r="F115" i="25"/>
  <c r="G140" i="17" s="1"/>
  <c r="O140" i="17" s="1"/>
  <c r="D115" i="25"/>
  <c r="E115" i="25"/>
  <c r="F139" i="17"/>
  <c r="V113" i="25"/>
  <c r="J138" i="17"/>
  <c r="N138" i="17" s="1"/>
  <c r="E140" i="17" l="1"/>
  <c r="C140" i="17" s="1"/>
  <c r="I115" i="25"/>
  <c r="U115" i="25"/>
  <c r="D116" i="25"/>
  <c r="E116" i="25"/>
  <c r="F116" i="25"/>
  <c r="G141" i="17" s="1"/>
  <c r="O141" i="17" s="1"/>
  <c r="F140" i="17"/>
  <c r="V114" i="25"/>
  <c r="J139" i="17"/>
  <c r="N139" i="17" s="1"/>
  <c r="D117" i="25" l="1"/>
  <c r="E117" i="25"/>
  <c r="F117" i="25"/>
  <c r="G142" i="17" s="1"/>
  <c r="O142" i="17" s="1"/>
  <c r="F141" i="17"/>
  <c r="E141" i="17"/>
  <c r="C141" i="17" s="1"/>
  <c r="U116" i="25"/>
  <c r="I116" i="25"/>
  <c r="V115" i="25"/>
  <c r="J140" i="17"/>
  <c r="N140" i="17" s="1"/>
  <c r="V116" i="25" l="1"/>
  <c r="J141" i="17"/>
  <c r="N141" i="17" s="1"/>
  <c r="D118" i="25"/>
  <c r="E118" i="25"/>
  <c r="F118" i="25"/>
  <c r="G143" i="17" s="1"/>
  <c r="O143" i="17" s="1"/>
  <c r="F142" i="17"/>
  <c r="E142" i="17"/>
  <c r="C142" i="17" s="1"/>
  <c r="U117" i="25"/>
  <c r="I117" i="25"/>
  <c r="D119" i="25" l="1"/>
  <c r="E119" i="25"/>
  <c r="F119" i="25"/>
  <c r="G144" i="17" s="1"/>
  <c r="O144" i="17" s="1"/>
  <c r="F143" i="17"/>
  <c r="E143" i="17"/>
  <c r="C143" i="17" s="1"/>
  <c r="U118" i="25"/>
  <c r="I118" i="25"/>
  <c r="V117" i="25"/>
  <c r="J142" i="17"/>
  <c r="N142" i="17" s="1"/>
  <c r="V118" i="25" l="1"/>
  <c r="J143" i="17"/>
  <c r="N143" i="17" s="1"/>
  <c r="D120" i="25"/>
  <c r="E120" i="25"/>
  <c r="F120" i="25"/>
  <c r="G145" i="17" s="1"/>
  <c r="O145" i="17" s="1"/>
  <c r="F144" i="17"/>
  <c r="E144" i="17"/>
  <c r="C144" i="17" s="1"/>
  <c r="U119" i="25"/>
  <c r="I119" i="25"/>
  <c r="D121" i="25" l="1"/>
  <c r="E121" i="25"/>
  <c r="F121" i="25"/>
  <c r="G146" i="17" s="1"/>
  <c r="O146" i="17" s="1"/>
  <c r="F145" i="17"/>
  <c r="E145" i="17"/>
  <c r="C145" i="17" s="1"/>
  <c r="I120" i="25"/>
  <c r="U120" i="25"/>
  <c r="V119" i="25"/>
  <c r="J144" i="17"/>
  <c r="N144" i="17" s="1"/>
  <c r="V120" i="25" l="1"/>
  <c r="J145" i="17"/>
  <c r="N145" i="17" s="1"/>
  <c r="E122" i="25"/>
  <c r="F122" i="25"/>
  <c r="G147" i="17" s="1"/>
  <c r="O147" i="17" s="1"/>
  <c r="D122" i="25"/>
  <c r="F146" i="17"/>
  <c r="E146" i="17"/>
  <c r="C146" i="17" s="1"/>
  <c r="I121" i="25"/>
  <c r="U121" i="25"/>
  <c r="V121" i="25" l="1"/>
  <c r="J146" i="17"/>
  <c r="N146" i="17" s="1"/>
  <c r="E147" i="17"/>
  <c r="C147" i="17" s="1"/>
  <c r="I122" i="25"/>
  <c r="U122" i="25"/>
  <c r="F123" i="25"/>
  <c r="G148" i="17" s="1"/>
  <c r="O148" i="17" s="1"/>
  <c r="D123" i="25"/>
  <c r="E123" i="25"/>
  <c r="F147" i="17"/>
  <c r="E148" i="17" l="1"/>
  <c r="C148" i="17" s="1"/>
  <c r="I123" i="25"/>
  <c r="U123" i="25"/>
  <c r="V122" i="25"/>
  <c r="J147" i="17"/>
  <c r="N147" i="17" s="1"/>
  <c r="D124" i="25"/>
  <c r="E124" i="25"/>
  <c r="F124" i="25"/>
  <c r="G149" i="17" s="1"/>
  <c r="O149" i="17" s="1"/>
  <c r="F148" i="17"/>
  <c r="E149" i="17" l="1"/>
  <c r="C149" i="17" s="1"/>
  <c r="U124" i="25"/>
  <c r="I124" i="25"/>
  <c r="V123" i="25"/>
  <c r="J148" i="17"/>
  <c r="N148" i="17" s="1"/>
  <c r="D125" i="25"/>
  <c r="E125" i="25"/>
  <c r="F125" i="25"/>
  <c r="G150" i="17" s="1"/>
  <c r="O150" i="17" s="1"/>
  <c r="F149" i="17"/>
  <c r="E150" i="17" l="1"/>
  <c r="C150" i="17" s="1"/>
  <c r="I125" i="25"/>
  <c r="U125" i="25"/>
  <c r="V124" i="25"/>
  <c r="J149" i="17"/>
  <c r="N149" i="17" s="1"/>
  <c r="D126" i="25"/>
  <c r="E126" i="25"/>
  <c r="F126" i="25"/>
  <c r="G151" i="17" s="1"/>
  <c r="O151" i="17" s="1"/>
  <c r="F150" i="17"/>
  <c r="E151" i="17" l="1"/>
  <c r="C151" i="17" s="1"/>
  <c r="I126" i="25"/>
  <c r="U126" i="25"/>
  <c r="D127" i="25"/>
  <c r="E127" i="25"/>
  <c r="F127" i="25"/>
  <c r="G152" i="17" s="1"/>
  <c r="O152" i="17" s="1"/>
  <c r="F151" i="17"/>
  <c r="V125" i="25"/>
  <c r="J150" i="17"/>
  <c r="N150" i="17" s="1"/>
  <c r="E152" i="17" l="1"/>
  <c r="C152" i="17" s="1"/>
  <c r="I127" i="25"/>
  <c r="U127" i="25"/>
  <c r="D128" i="25"/>
  <c r="E128" i="25"/>
  <c r="F128" i="25"/>
  <c r="G153" i="17" s="1"/>
  <c r="O153" i="17" s="1"/>
  <c r="F152" i="17"/>
  <c r="V126" i="25"/>
  <c r="J151" i="17"/>
  <c r="N151" i="17" s="1"/>
  <c r="D129" i="25" l="1"/>
  <c r="E129" i="25"/>
  <c r="F129" i="25"/>
  <c r="G154" i="17" s="1"/>
  <c r="O154" i="17" s="1"/>
  <c r="F153" i="17"/>
  <c r="E153" i="17"/>
  <c r="C153" i="17" s="1"/>
  <c r="I128" i="25"/>
  <c r="U128" i="25"/>
  <c r="V127" i="25"/>
  <c r="J152" i="17"/>
  <c r="N152" i="17" s="1"/>
  <c r="E130" i="25" l="1"/>
  <c r="F130" i="25"/>
  <c r="G155" i="17" s="1"/>
  <c r="O155" i="17" s="1"/>
  <c r="D130" i="25"/>
  <c r="F154" i="17"/>
  <c r="V128" i="25"/>
  <c r="J153" i="17"/>
  <c r="N153" i="17" s="1"/>
  <c r="E154" i="17"/>
  <c r="C154" i="17" s="1"/>
  <c r="I129" i="25"/>
  <c r="U129" i="25"/>
  <c r="V129" i="25" l="1"/>
  <c r="J154" i="17"/>
  <c r="N154" i="17" s="1"/>
  <c r="E155" i="17"/>
  <c r="C155" i="17" s="1"/>
  <c r="I130" i="25"/>
  <c r="U130" i="25"/>
  <c r="F131" i="25"/>
  <c r="G156" i="17" s="1"/>
  <c r="O156" i="17" s="1"/>
  <c r="D131" i="25"/>
  <c r="E131" i="25"/>
  <c r="F155" i="17"/>
  <c r="E156" i="17" l="1"/>
  <c r="C156" i="17" s="1"/>
  <c r="I131" i="25"/>
  <c r="U131" i="25"/>
  <c r="V130" i="25"/>
  <c r="J155" i="17"/>
  <c r="N155" i="17" s="1"/>
  <c r="D132" i="25"/>
  <c r="E132" i="25"/>
  <c r="F132" i="25"/>
  <c r="G157" i="17" s="1"/>
  <c r="O157" i="17" s="1"/>
  <c r="F156" i="17"/>
  <c r="D133" i="25" l="1"/>
  <c r="E133" i="25"/>
  <c r="F133" i="25"/>
  <c r="G158" i="17" s="1"/>
  <c r="O158" i="17" s="1"/>
  <c r="F157" i="17"/>
  <c r="V131" i="25"/>
  <c r="J156" i="17"/>
  <c r="N156" i="17" s="1"/>
  <c r="E157" i="17"/>
  <c r="C157" i="17" s="1"/>
  <c r="I132" i="25"/>
  <c r="U132" i="25"/>
  <c r="V132" i="25" l="1"/>
  <c r="J157" i="17"/>
  <c r="N157" i="17" s="1"/>
  <c r="D134" i="25"/>
  <c r="E134" i="25"/>
  <c r="F134" i="25"/>
  <c r="G159" i="17" s="1"/>
  <c r="O159" i="17" s="1"/>
  <c r="F158" i="17"/>
  <c r="E158" i="17"/>
  <c r="C158" i="17" s="1"/>
  <c r="U133" i="25"/>
  <c r="I133" i="25"/>
  <c r="D135" i="25" l="1"/>
  <c r="E135" i="25"/>
  <c r="F135" i="25"/>
  <c r="G160" i="17" s="1"/>
  <c r="O160" i="17" s="1"/>
  <c r="F159" i="17"/>
  <c r="E159" i="17"/>
  <c r="C159" i="17" s="1"/>
  <c r="U134" i="25"/>
  <c r="I134" i="25"/>
  <c r="V133" i="25"/>
  <c r="J158" i="17"/>
  <c r="N158" i="17" s="1"/>
  <c r="V134" i="25" l="1"/>
  <c r="J159" i="17"/>
  <c r="N159" i="17" s="1"/>
  <c r="D136" i="25"/>
  <c r="E136" i="25"/>
  <c r="F136" i="25"/>
  <c r="G161" i="17" s="1"/>
  <c r="O161" i="17" s="1"/>
  <c r="F160" i="17"/>
  <c r="E160" i="17"/>
  <c r="C160" i="17" s="1"/>
  <c r="I135" i="25"/>
  <c r="U135" i="25"/>
  <c r="V135" i="25" l="1"/>
  <c r="J160" i="17"/>
  <c r="N160" i="17" s="1"/>
  <c r="E161" i="17"/>
  <c r="C161" i="17" s="1"/>
  <c r="I136" i="25"/>
  <c r="U136" i="25"/>
  <c r="D137" i="25"/>
  <c r="E137" i="25"/>
  <c r="F137" i="25"/>
  <c r="G162" i="17" s="1"/>
  <c r="O162" i="17" s="1"/>
  <c r="F161" i="17"/>
  <c r="E162" i="17" l="1"/>
  <c r="C162" i="17" s="1"/>
  <c r="I137" i="25"/>
  <c r="U137" i="25"/>
  <c r="E138" i="25"/>
  <c r="F138" i="25"/>
  <c r="G163" i="17" s="1"/>
  <c r="O163" i="17" s="1"/>
  <c r="D138" i="25"/>
  <c r="F162" i="17"/>
  <c r="V136" i="25"/>
  <c r="J161" i="17"/>
  <c r="N161" i="17" s="1"/>
  <c r="E163" i="17" l="1"/>
  <c r="C163" i="17" s="1"/>
  <c r="I138" i="25"/>
  <c r="U138" i="25"/>
  <c r="F139" i="25"/>
  <c r="G164" i="17" s="1"/>
  <c r="O164" i="17" s="1"/>
  <c r="D139" i="25"/>
  <c r="E139" i="25"/>
  <c r="F163" i="17"/>
  <c r="V137" i="25"/>
  <c r="J162" i="17"/>
  <c r="N162" i="17" s="1"/>
  <c r="E164" i="17" l="1"/>
  <c r="C164" i="17" s="1"/>
  <c r="U139" i="25"/>
  <c r="I139" i="25"/>
  <c r="V138" i="25"/>
  <c r="J163" i="17"/>
  <c r="N163" i="17" s="1"/>
  <c r="D140" i="25"/>
  <c r="E140" i="25"/>
  <c r="F140" i="25"/>
  <c r="G165" i="17" s="1"/>
  <c r="O165" i="17" s="1"/>
  <c r="F164" i="17"/>
  <c r="D141" i="25" l="1"/>
  <c r="E141" i="25"/>
  <c r="F141" i="25"/>
  <c r="G166" i="17" s="1"/>
  <c r="O166" i="17" s="1"/>
  <c r="F165" i="17"/>
  <c r="V139" i="25"/>
  <c r="J164" i="17"/>
  <c r="N164" i="17" s="1"/>
  <c r="E165" i="17"/>
  <c r="C165" i="17" s="1"/>
  <c r="I140" i="25"/>
  <c r="U140" i="25"/>
  <c r="D142" i="25" l="1"/>
  <c r="E142" i="25"/>
  <c r="F142" i="25"/>
  <c r="G167" i="17" s="1"/>
  <c r="O167" i="17" s="1"/>
  <c r="F166" i="17"/>
  <c r="V140" i="25"/>
  <c r="J165" i="17"/>
  <c r="N165" i="17" s="1"/>
  <c r="E166" i="17"/>
  <c r="C166" i="17" s="1"/>
  <c r="U141" i="25"/>
  <c r="I141" i="25"/>
  <c r="D143" i="25" l="1"/>
  <c r="E143" i="25"/>
  <c r="F143" i="25"/>
  <c r="G168" i="17" s="1"/>
  <c r="O168" i="17" s="1"/>
  <c r="F167" i="17"/>
  <c r="V141" i="25"/>
  <c r="J166" i="17"/>
  <c r="N166" i="17" s="1"/>
  <c r="E167" i="17"/>
  <c r="C167" i="17" s="1"/>
  <c r="I142" i="25"/>
  <c r="U142" i="25"/>
  <c r="D144" i="25" l="1"/>
  <c r="E144" i="25"/>
  <c r="F144" i="25"/>
  <c r="G169" i="17" s="1"/>
  <c r="O169" i="17" s="1"/>
  <c r="F168" i="17"/>
  <c r="V142" i="25"/>
  <c r="J167" i="17"/>
  <c r="N167" i="17" s="1"/>
  <c r="E168" i="17"/>
  <c r="C168" i="17" s="1"/>
  <c r="I143" i="25"/>
  <c r="U143" i="25"/>
  <c r="V143" i="25" l="1"/>
  <c r="J168" i="17"/>
  <c r="N168" i="17" s="1"/>
  <c r="D145" i="25"/>
  <c r="E145" i="25"/>
  <c r="F145" i="25"/>
  <c r="G170" i="17" s="1"/>
  <c r="O170" i="17" s="1"/>
  <c r="F169" i="17"/>
  <c r="E169" i="17"/>
  <c r="C169" i="17" s="1"/>
  <c r="I144" i="25"/>
  <c r="U144" i="25"/>
  <c r="V144" i="25" l="1"/>
  <c r="J169" i="17"/>
  <c r="N169" i="17" s="1"/>
  <c r="E170" i="17"/>
  <c r="C170" i="17" s="1"/>
  <c r="I145" i="25"/>
  <c r="U145" i="25"/>
  <c r="E146" i="25"/>
  <c r="F146" i="25"/>
  <c r="G171" i="17" s="1"/>
  <c r="O171" i="17" s="1"/>
  <c r="D146" i="25"/>
  <c r="F170" i="17"/>
  <c r="F147" i="25" l="1"/>
  <c r="G172" i="17" s="1"/>
  <c r="O172" i="17" s="1"/>
  <c r="D147" i="25"/>
  <c r="E147" i="25"/>
  <c r="F171" i="17"/>
  <c r="E171" i="17"/>
  <c r="C171" i="17" s="1"/>
  <c r="I146" i="25"/>
  <c r="U146" i="25"/>
  <c r="V145" i="25"/>
  <c r="J170" i="17"/>
  <c r="N170" i="17" s="1"/>
  <c r="V146" i="25" l="1"/>
  <c r="J171" i="17"/>
  <c r="N171" i="17" s="1"/>
  <c r="D148" i="25"/>
  <c r="E148" i="25"/>
  <c r="F148" i="25"/>
  <c r="G173" i="17" s="1"/>
  <c r="O173" i="17" s="1"/>
  <c r="F172" i="17"/>
  <c r="E172" i="17"/>
  <c r="C172" i="17" s="1"/>
  <c r="I147" i="25"/>
  <c r="U147" i="25"/>
  <c r="V147" i="25" l="1"/>
  <c r="J172" i="17"/>
  <c r="N172" i="17" s="1"/>
  <c r="E173" i="17"/>
  <c r="C173" i="17" s="1"/>
  <c r="I148" i="25"/>
  <c r="U148" i="25"/>
  <c r="D149" i="25"/>
  <c r="E149" i="25"/>
  <c r="F149" i="25"/>
  <c r="G174" i="17" s="1"/>
  <c r="O174" i="17" s="1"/>
  <c r="F173" i="17"/>
  <c r="E174" i="17" l="1"/>
  <c r="C174" i="17" s="1"/>
  <c r="U149" i="25"/>
  <c r="I149" i="25"/>
  <c r="D150" i="25"/>
  <c r="E150" i="25"/>
  <c r="F150" i="25"/>
  <c r="G175" i="17" s="1"/>
  <c r="O175" i="17" s="1"/>
  <c r="F174" i="17"/>
  <c r="V148" i="25"/>
  <c r="J173" i="17"/>
  <c r="N173" i="17" s="1"/>
  <c r="E175" i="17" l="1"/>
  <c r="C175" i="17" s="1"/>
  <c r="I150" i="25"/>
  <c r="U150" i="25"/>
  <c r="V149" i="25"/>
  <c r="J174" i="17"/>
  <c r="N174" i="17" s="1"/>
  <c r="D151" i="25"/>
  <c r="E151" i="25"/>
  <c r="F151" i="25"/>
  <c r="G176" i="17" s="1"/>
  <c r="O176" i="17" s="1"/>
  <c r="F175" i="17"/>
  <c r="D152" i="25" l="1"/>
  <c r="E152" i="25"/>
  <c r="F152" i="25"/>
  <c r="G177" i="17" s="1"/>
  <c r="O177" i="17" s="1"/>
  <c r="F176" i="17"/>
  <c r="E176" i="17"/>
  <c r="C176" i="17" s="1"/>
  <c r="I151" i="25"/>
  <c r="U151" i="25"/>
  <c r="V150" i="25"/>
  <c r="J175" i="17"/>
  <c r="N175" i="17" s="1"/>
  <c r="V151" i="25" l="1"/>
  <c r="J176" i="17"/>
  <c r="N176" i="17" s="1"/>
  <c r="D153" i="25"/>
  <c r="E153" i="25"/>
  <c r="F153" i="25"/>
  <c r="G178" i="17" s="1"/>
  <c r="O178" i="17" s="1"/>
  <c r="F177" i="17"/>
  <c r="E177" i="17"/>
  <c r="C177" i="17" s="1"/>
  <c r="U152" i="25"/>
  <c r="I152" i="25"/>
  <c r="E154" i="25" l="1"/>
  <c r="F154" i="25"/>
  <c r="G179" i="17" s="1"/>
  <c r="O179" i="17" s="1"/>
  <c r="D154" i="25"/>
  <c r="F178" i="17"/>
  <c r="E178" i="17"/>
  <c r="C178" i="17" s="1"/>
  <c r="I153" i="25"/>
  <c r="U153" i="25"/>
  <c r="V152" i="25"/>
  <c r="J177" i="17"/>
  <c r="N177" i="17" s="1"/>
  <c r="V153" i="25" l="1"/>
  <c r="J178" i="17"/>
  <c r="N178" i="17" s="1"/>
  <c r="E179" i="17"/>
  <c r="C179" i="17" s="1"/>
  <c r="I154" i="25"/>
  <c r="U154" i="25"/>
  <c r="F155" i="25"/>
  <c r="G180" i="17" s="1"/>
  <c r="O180" i="17" s="1"/>
  <c r="D155" i="25"/>
  <c r="E155" i="25"/>
  <c r="F179" i="17"/>
  <c r="D156" i="25" l="1"/>
  <c r="E156" i="25"/>
  <c r="F156" i="25"/>
  <c r="G181" i="17" s="1"/>
  <c r="O181" i="17" s="1"/>
  <c r="F180" i="17"/>
  <c r="V154" i="25"/>
  <c r="J179" i="17"/>
  <c r="N179" i="17" s="1"/>
  <c r="E180" i="17"/>
  <c r="C180" i="17" s="1"/>
  <c r="I155" i="25"/>
  <c r="U155" i="25"/>
  <c r="D157" i="25" l="1"/>
  <c r="E157" i="25"/>
  <c r="F157" i="25"/>
  <c r="G182" i="17" s="1"/>
  <c r="O182" i="17" s="1"/>
  <c r="F181" i="17"/>
  <c r="V155" i="25"/>
  <c r="J180" i="17"/>
  <c r="N180" i="17" s="1"/>
  <c r="E181" i="17"/>
  <c r="C181" i="17" s="1"/>
  <c r="U156" i="25"/>
  <c r="I156" i="25"/>
  <c r="D158" i="25" l="1"/>
  <c r="E158" i="25"/>
  <c r="F158" i="25"/>
  <c r="G183" i="17" s="1"/>
  <c r="O183" i="17" s="1"/>
  <c r="F182" i="17"/>
  <c r="V156" i="25"/>
  <c r="J181" i="17"/>
  <c r="N181" i="17" s="1"/>
  <c r="E182" i="17"/>
  <c r="C182" i="17" s="1"/>
  <c r="U157" i="25"/>
  <c r="I157" i="25"/>
  <c r="D159" i="25" l="1"/>
  <c r="E159" i="25"/>
  <c r="F159" i="25"/>
  <c r="G184" i="17" s="1"/>
  <c r="O184" i="17" s="1"/>
  <c r="F183" i="17"/>
  <c r="V157" i="25"/>
  <c r="J182" i="17"/>
  <c r="N182" i="17" s="1"/>
  <c r="E183" i="17"/>
  <c r="C183" i="17" s="1"/>
  <c r="I158" i="25"/>
  <c r="U158" i="25"/>
  <c r="V158" i="25" l="1"/>
  <c r="J183" i="17"/>
  <c r="N183" i="17" s="1"/>
  <c r="D160" i="25"/>
  <c r="E160" i="25"/>
  <c r="F160" i="25"/>
  <c r="G185" i="17" s="1"/>
  <c r="O185" i="17" s="1"/>
  <c r="F184" i="17"/>
  <c r="E184" i="17"/>
  <c r="C184" i="17" s="1"/>
  <c r="I159" i="25"/>
  <c r="U159" i="25"/>
  <c r="V159" i="25" l="1"/>
  <c r="J184" i="17"/>
  <c r="N184" i="17" s="1"/>
  <c r="D161" i="25"/>
  <c r="E161" i="25"/>
  <c r="F161" i="25"/>
  <c r="G186" i="17" s="1"/>
  <c r="O186" i="17" s="1"/>
  <c r="F185" i="17"/>
  <c r="E185" i="17"/>
  <c r="C185" i="17" s="1"/>
  <c r="U160" i="25"/>
  <c r="I160" i="25"/>
  <c r="E162" i="25" l="1"/>
  <c r="F162" i="25"/>
  <c r="G187" i="17" s="1"/>
  <c r="O187" i="17" s="1"/>
  <c r="D162" i="25"/>
  <c r="F186" i="17"/>
  <c r="E186" i="17"/>
  <c r="C186" i="17" s="1"/>
  <c r="U161" i="25"/>
  <c r="I161" i="25"/>
  <c r="V160" i="25"/>
  <c r="J185" i="17"/>
  <c r="N185" i="17" s="1"/>
  <c r="V161" i="25" l="1"/>
  <c r="J186" i="17"/>
  <c r="N186" i="17" s="1"/>
  <c r="E187" i="17"/>
  <c r="C187" i="17" s="1"/>
  <c r="I162" i="25"/>
  <c r="U162" i="25"/>
  <c r="F163" i="25"/>
  <c r="G188" i="17" s="1"/>
  <c r="O188" i="17" s="1"/>
  <c r="D163" i="25"/>
  <c r="E163" i="25"/>
  <c r="F187" i="17"/>
  <c r="D164" i="25" l="1"/>
  <c r="E164" i="25"/>
  <c r="F164" i="25"/>
  <c r="G189" i="17" s="1"/>
  <c r="O189" i="17" s="1"/>
  <c r="F188" i="17"/>
  <c r="E188" i="17"/>
  <c r="C188" i="17" s="1"/>
  <c r="I163" i="25"/>
  <c r="U163" i="25"/>
  <c r="V162" i="25"/>
  <c r="J187" i="17"/>
  <c r="N187" i="17" s="1"/>
  <c r="V163" i="25" l="1"/>
  <c r="J188" i="17"/>
  <c r="N188" i="17" s="1"/>
  <c r="D165" i="25"/>
  <c r="E165" i="25"/>
  <c r="F165" i="25"/>
  <c r="G190" i="17" s="1"/>
  <c r="O190" i="17" s="1"/>
  <c r="F189" i="17"/>
  <c r="E189" i="17"/>
  <c r="C189" i="17" s="1"/>
  <c r="I164" i="25"/>
  <c r="U164" i="25"/>
  <c r="V164" i="25" l="1"/>
  <c r="J189" i="17"/>
  <c r="N189" i="17" s="1"/>
  <c r="D166" i="25"/>
  <c r="E166" i="25"/>
  <c r="F166" i="25"/>
  <c r="G191" i="17" s="1"/>
  <c r="O191" i="17" s="1"/>
  <c r="F190" i="17"/>
  <c r="E190" i="17"/>
  <c r="C190" i="17" s="1"/>
  <c r="U165" i="25"/>
  <c r="I165" i="25"/>
  <c r="E191" i="17" l="1"/>
  <c r="C191" i="17" s="1"/>
  <c r="I166" i="25"/>
  <c r="U166" i="25"/>
  <c r="D167" i="25"/>
  <c r="E167" i="25"/>
  <c r="F167" i="25"/>
  <c r="G192" i="17" s="1"/>
  <c r="O192" i="17" s="1"/>
  <c r="F191" i="17"/>
  <c r="V165" i="25"/>
  <c r="J190" i="17"/>
  <c r="N190" i="17" s="1"/>
  <c r="D168" i="25" l="1"/>
  <c r="E168" i="25"/>
  <c r="F168" i="25"/>
  <c r="G193" i="17" s="1"/>
  <c r="O193" i="17" s="1"/>
  <c r="F192" i="17"/>
  <c r="V166" i="25"/>
  <c r="J191" i="17"/>
  <c r="N191" i="17" s="1"/>
  <c r="E192" i="17"/>
  <c r="C192" i="17" s="1"/>
  <c r="U167" i="25"/>
  <c r="I167" i="25"/>
  <c r="D169" i="25" l="1"/>
  <c r="E169" i="25"/>
  <c r="F169" i="25"/>
  <c r="G194" i="17" s="1"/>
  <c r="O194" i="17" s="1"/>
  <c r="F193" i="17"/>
  <c r="V167" i="25"/>
  <c r="J192" i="17"/>
  <c r="N192" i="17" s="1"/>
  <c r="E193" i="17"/>
  <c r="C193" i="17" s="1"/>
  <c r="I168" i="25"/>
  <c r="U168" i="25"/>
  <c r="V168" i="25" l="1"/>
  <c r="J193" i="17"/>
  <c r="N193" i="17" s="1"/>
  <c r="E170" i="25"/>
  <c r="F170" i="25"/>
  <c r="G195" i="17" s="1"/>
  <c r="O195" i="17" s="1"/>
  <c r="D170" i="25"/>
  <c r="F194" i="17"/>
  <c r="E194" i="17"/>
  <c r="C194" i="17" s="1"/>
  <c r="I169" i="25"/>
  <c r="U169" i="25"/>
  <c r="V169" i="25" l="1"/>
  <c r="J194" i="17"/>
  <c r="N194" i="17" s="1"/>
  <c r="F171" i="25"/>
  <c r="G196" i="17" s="1"/>
  <c r="O196" i="17" s="1"/>
  <c r="D171" i="25"/>
  <c r="E171" i="25"/>
  <c r="F195" i="17"/>
  <c r="E195" i="17"/>
  <c r="C195" i="17" s="1"/>
  <c r="I170" i="25"/>
  <c r="U170" i="25"/>
  <c r="V170" i="25" l="1"/>
  <c r="J195" i="17"/>
  <c r="N195" i="17" s="1"/>
  <c r="D172" i="25"/>
  <c r="E172" i="25"/>
  <c r="F172" i="25"/>
  <c r="G197" i="17" s="1"/>
  <c r="O197" i="17" s="1"/>
  <c r="F196" i="17"/>
  <c r="E196" i="17"/>
  <c r="C196" i="17" s="1"/>
  <c r="I171" i="25"/>
  <c r="U171" i="25"/>
  <c r="V171" i="25" l="1"/>
  <c r="J196" i="17"/>
  <c r="N196" i="17" s="1"/>
  <c r="D173" i="25"/>
  <c r="E173" i="25"/>
  <c r="F173" i="25"/>
  <c r="G198" i="17" s="1"/>
  <c r="O198" i="17" s="1"/>
  <c r="F197" i="17"/>
  <c r="E197" i="17"/>
  <c r="C197" i="17" s="1"/>
  <c r="I172" i="25"/>
  <c r="U172" i="25"/>
  <c r="E198" i="17" l="1"/>
  <c r="C198" i="17" s="1"/>
  <c r="I173" i="25"/>
  <c r="U173" i="25"/>
  <c r="V172" i="25"/>
  <c r="J197" i="17"/>
  <c r="N197" i="17" s="1"/>
  <c r="D174" i="25"/>
  <c r="E174" i="25"/>
  <c r="F174" i="25"/>
  <c r="G199" i="17" s="1"/>
  <c r="O199" i="17" s="1"/>
  <c r="F198" i="17"/>
  <c r="E199" i="17" l="1"/>
  <c r="C199" i="17" s="1"/>
  <c r="I174" i="25"/>
  <c r="U174" i="25"/>
  <c r="D175" i="25"/>
  <c r="E175" i="25"/>
  <c r="F175" i="25"/>
  <c r="G200" i="17" s="1"/>
  <c r="O200" i="17" s="1"/>
  <c r="F199" i="17"/>
  <c r="V173" i="25"/>
  <c r="J198" i="17"/>
  <c r="N198" i="17" s="1"/>
  <c r="E200" i="17" l="1"/>
  <c r="C200" i="17" s="1"/>
  <c r="U175" i="25"/>
  <c r="I175" i="25"/>
  <c r="V174" i="25"/>
  <c r="J199" i="17"/>
  <c r="N199" i="17" s="1"/>
  <c r="D176" i="25"/>
  <c r="E176" i="25"/>
  <c r="F176" i="25"/>
  <c r="G201" i="17" s="1"/>
  <c r="O201" i="17" s="1"/>
  <c r="F200" i="17"/>
  <c r="D177" i="25" l="1"/>
  <c r="E177" i="25"/>
  <c r="F177" i="25"/>
  <c r="G202" i="17" s="1"/>
  <c r="O202" i="17" s="1"/>
  <c r="F201" i="17"/>
  <c r="E201" i="17"/>
  <c r="C201" i="17" s="1"/>
  <c r="U176" i="25"/>
  <c r="I176" i="25"/>
  <c r="V175" i="25"/>
  <c r="J200" i="17"/>
  <c r="N200" i="17" s="1"/>
  <c r="V176" i="25" l="1"/>
  <c r="J201" i="17"/>
  <c r="N201" i="17" s="1"/>
  <c r="E178" i="25"/>
  <c r="F178" i="25"/>
  <c r="G203" i="17" s="1"/>
  <c r="O203" i="17" s="1"/>
  <c r="D178" i="25"/>
  <c r="F202" i="17"/>
  <c r="E202" i="17"/>
  <c r="C202" i="17" s="1"/>
  <c r="I177" i="25"/>
  <c r="U177" i="25"/>
  <c r="V177" i="25" l="1"/>
  <c r="J202" i="17"/>
  <c r="N202" i="17" s="1"/>
  <c r="F179" i="25"/>
  <c r="G204" i="17" s="1"/>
  <c r="O204" i="17" s="1"/>
  <c r="D179" i="25"/>
  <c r="E179" i="25"/>
  <c r="F203" i="17"/>
  <c r="E203" i="17"/>
  <c r="C203" i="17" s="1"/>
  <c r="I178" i="25"/>
  <c r="U178" i="25"/>
  <c r="D180" i="25" l="1"/>
  <c r="E180" i="25"/>
  <c r="F180" i="25"/>
  <c r="G205" i="17" s="1"/>
  <c r="O205" i="17" s="1"/>
  <c r="F204" i="17"/>
  <c r="V178" i="25"/>
  <c r="J203" i="17"/>
  <c r="N203" i="17" s="1"/>
  <c r="E204" i="17"/>
  <c r="C204" i="17" s="1"/>
  <c r="I179" i="25"/>
  <c r="U179" i="25"/>
  <c r="V179" i="25" l="1"/>
  <c r="J204" i="17"/>
  <c r="N204" i="17" s="1"/>
  <c r="D181" i="25"/>
  <c r="E181" i="25"/>
  <c r="F181" i="25"/>
  <c r="G206" i="17" s="1"/>
  <c r="O206" i="17" s="1"/>
  <c r="F205" i="17"/>
  <c r="E205" i="17"/>
  <c r="C205" i="17" s="1"/>
  <c r="I180" i="25"/>
  <c r="U180" i="25"/>
  <c r="V180" i="25" l="1"/>
  <c r="J205" i="17"/>
  <c r="N205" i="17" s="1"/>
  <c r="E206" i="17"/>
  <c r="C206" i="17" s="1"/>
  <c r="U181" i="25"/>
  <c r="I181" i="25"/>
  <c r="D182" i="25"/>
  <c r="E182" i="25"/>
  <c r="F182" i="25"/>
  <c r="G207" i="17" s="1"/>
  <c r="O207" i="17" s="1"/>
  <c r="F206" i="17"/>
  <c r="E207" i="17" l="1"/>
  <c r="C207" i="17" s="1"/>
  <c r="I182" i="25"/>
  <c r="U182" i="25"/>
  <c r="D183" i="25"/>
  <c r="E183" i="25"/>
  <c r="F183" i="25"/>
  <c r="G208" i="17" s="1"/>
  <c r="O208" i="17" s="1"/>
  <c r="F207" i="17"/>
  <c r="V181" i="25"/>
  <c r="J206" i="17"/>
  <c r="N206" i="17" s="1"/>
  <c r="D184" i="25" l="1"/>
  <c r="E184" i="25"/>
  <c r="F184" i="25"/>
  <c r="G209" i="17" s="1"/>
  <c r="O209" i="17" s="1"/>
  <c r="F208" i="17"/>
  <c r="E208" i="17"/>
  <c r="C208" i="17" s="1"/>
  <c r="I183" i="25"/>
  <c r="U183" i="25"/>
  <c r="V182" i="25"/>
  <c r="J207" i="17"/>
  <c r="N207" i="17" s="1"/>
  <c r="V183" i="25" l="1"/>
  <c r="J208" i="17"/>
  <c r="N208" i="17" s="1"/>
  <c r="D185" i="25"/>
  <c r="E185" i="25"/>
  <c r="F185" i="25"/>
  <c r="G210" i="17" s="1"/>
  <c r="O210" i="17" s="1"/>
  <c r="F209" i="17"/>
  <c r="E209" i="17"/>
  <c r="C209" i="17" s="1"/>
  <c r="I184" i="25"/>
  <c r="U184" i="25"/>
  <c r="V184" i="25" l="1"/>
  <c r="J209" i="17"/>
  <c r="N209" i="17" s="1"/>
  <c r="E186" i="25"/>
  <c r="F186" i="25"/>
  <c r="G211" i="17" s="1"/>
  <c r="O211" i="17" s="1"/>
  <c r="D186" i="25"/>
  <c r="F210" i="17"/>
  <c r="E210" i="17"/>
  <c r="C210" i="17" s="1"/>
  <c r="I185" i="25"/>
  <c r="U185" i="25"/>
  <c r="E211" i="17" l="1"/>
  <c r="C211" i="17" s="1"/>
  <c r="I186" i="25"/>
  <c r="U186" i="25"/>
  <c r="V185" i="25"/>
  <c r="J210" i="17"/>
  <c r="N210" i="17" s="1"/>
  <c r="F187" i="25"/>
  <c r="G212" i="17" s="1"/>
  <c r="O212" i="17" s="1"/>
  <c r="D187" i="25"/>
  <c r="E187" i="25"/>
  <c r="F211" i="17"/>
  <c r="D188" i="25" l="1"/>
  <c r="E188" i="25"/>
  <c r="F188" i="25"/>
  <c r="G213" i="17" s="1"/>
  <c r="O213" i="17" s="1"/>
  <c r="F212" i="17"/>
  <c r="V186" i="25"/>
  <c r="J211" i="17"/>
  <c r="N211" i="17" s="1"/>
  <c r="E212" i="17"/>
  <c r="C212" i="17" s="1"/>
  <c r="I187" i="25"/>
  <c r="U187" i="25"/>
  <c r="V187" i="25" l="1"/>
  <c r="J212" i="17"/>
  <c r="N212" i="17" s="1"/>
  <c r="D189" i="25"/>
  <c r="E189" i="25"/>
  <c r="F189" i="25"/>
  <c r="G214" i="17" s="1"/>
  <c r="O214" i="17" s="1"/>
  <c r="F213" i="17"/>
  <c r="E213" i="17"/>
  <c r="C213" i="17" s="1"/>
  <c r="I188" i="25"/>
  <c r="U188" i="25"/>
  <c r="V188" i="25" l="1"/>
  <c r="J213" i="17"/>
  <c r="N213" i="17" s="1"/>
  <c r="D190" i="25"/>
  <c r="E190" i="25"/>
  <c r="F190" i="25"/>
  <c r="G215" i="17" s="1"/>
  <c r="O215" i="17" s="1"/>
  <c r="F214" i="17"/>
  <c r="E214" i="17"/>
  <c r="C214" i="17" s="1"/>
  <c r="I189" i="25"/>
  <c r="U189" i="25"/>
  <c r="V189" i="25" l="1"/>
  <c r="J214" i="17"/>
  <c r="N214" i="17" s="1"/>
  <c r="E215" i="17"/>
  <c r="C215" i="17" s="1"/>
  <c r="I190" i="25"/>
  <c r="U190" i="25"/>
  <c r="D191" i="25"/>
  <c r="E191" i="25"/>
  <c r="F191" i="25"/>
  <c r="G216" i="17" s="1"/>
  <c r="O216" i="17" s="1"/>
  <c r="F215" i="17"/>
  <c r="D192" i="25" l="1"/>
  <c r="E192" i="25"/>
  <c r="F192" i="25"/>
  <c r="G217" i="17" s="1"/>
  <c r="O217" i="17" s="1"/>
  <c r="F216" i="17"/>
  <c r="E216" i="17"/>
  <c r="C216" i="17" s="1"/>
  <c r="U191" i="25"/>
  <c r="I191" i="25"/>
  <c r="V190" i="25"/>
  <c r="J215" i="17"/>
  <c r="N215" i="17" s="1"/>
  <c r="V191" i="25" l="1"/>
  <c r="J216" i="17"/>
  <c r="N216" i="17" s="1"/>
  <c r="D193" i="25"/>
  <c r="E193" i="25"/>
  <c r="F193" i="25"/>
  <c r="G218" i="17" s="1"/>
  <c r="O218" i="17" s="1"/>
  <c r="F217" i="17"/>
  <c r="E217" i="17"/>
  <c r="C217" i="17" s="1"/>
  <c r="I192" i="25"/>
  <c r="U192" i="25"/>
  <c r="E194" i="25" l="1"/>
  <c r="F194" i="25"/>
  <c r="G219" i="17" s="1"/>
  <c r="O219" i="17" s="1"/>
  <c r="D194" i="25"/>
  <c r="F218" i="17"/>
  <c r="V192" i="25"/>
  <c r="J217" i="17"/>
  <c r="N217" i="17" s="1"/>
  <c r="E218" i="17"/>
  <c r="C218" i="17" s="1"/>
  <c r="I193" i="25"/>
  <c r="U193" i="25"/>
  <c r="V193" i="25" l="1"/>
  <c r="J218" i="17"/>
  <c r="N218" i="17" s="1"/>
  <c r="E219" i="17"/>
  <c r="C219" i="17" s="1"/>
  <c r="I194" i="25"/>
  <c r="U194" i="25"/>
  <c r="F195" i="25"/>
  <c r="G220" i="17" s="1"/>
  <c r="O220" i="17" s="1"/>
  <c r="D195" i="25"/>
  <c r="E195" i="25"/>
  <c r="F219" i="17"/>
  <c r="E220" i="17" l="1"/>
  <c r="C220" i="17" s="1"/>
  <c r="U195" i="25"/>
  <c r="I195" i="25"/>
  <c r="V194" i="25"/>
  <c r="J219" i="17"/>
  <c r="N219" i="17" s="1"/>
  <c r="D196" i="25"/>
  <c r="F196" i="25"/>
  <c r="G221" i="17" s="1"/>
  <c r="O221" i="17" s="1"/>
  <c r="E196" i="25"/>
  <c r="F220" i="17"/>
  <c r="D197" i="25" l="1"/>
  <c r="E197" i="25"/>
  <c r="F197" i="25"/>
  <c r="G222" i="17" s="1"/>
  <c r="O222" i="17" s="1"/>
  <c r="F221" i="17"/>
  <c r="V195" i="25"/>
  <c r="J220" i="17"/>
  <c r="N220" i="17" s="1"/>
  <c r="E221" i="17"/>
  <c r="C221" i="17" s="1"/>
  <c r="U196" i="25"/>
  <c r="I196" i="25"/>
  <c r="D198" i="25" l="1"/>
  <c r="E198" i="25"/>
  <c r="F198" i="25"/>
  <c r="G223" i="17" s="1"/>
  <c r="O223" i="17" s="1"/>
  <c r="F222" i="17"/>
  <c r="V196" i="25"/>
  <c r="J221" i="17"/>
  <c r="N221" i="17" s="1"/>
  <c r="E222" i="17"/>
  <c r="C222" i="17" s="1"/>
  <c r="I197" i="25"/>
  <c r="U197" i="25"/>
  <c r="V197" i="25" l="1"/>
  <c r="J222" i="17"/>
  <c r="N222" i="17" s="1"/>
  <c r="E199" i="25"/>
  <c r="F199" i="25"/>
  <c r="G224" i="17" s="1"/>
  <c r="O224" i="17" s="1"/>
  <c r="D199" i="25"/>
  <c r="F223" i="17"/>
  <c r="E223" i="17"/>
  <c r="C223" i="17" s="1"/>
  <c r="I198" i="25"/>
  <c r="U198" i="25"/>
  <c r="V198" i="25" l="1"/>
  <c r="J223" i="17"/>
  <c r="N223" i="17" s="1"/>
  <c r="D200" i="25"/>
  <c r="F200" i="25"/>
  <c r="G225" i="17" s="1"/>
  <c r="O225" i="17" s="1"/>
  <c r="E200" i="25"/>
  <c r="F224" i="17"/>
  <c r="E224" i="17"/>
  <c r="C224" i="17" s="1"/>
  <c r="I199" i="25"/>
  <c r="U199" i="25"/>
  <c r="V199" i="25" l="1"/>
  <c r="J224" i="17"/>
  <c r="N224" i="17" s="1"/>
  <c r="E225" i="17"/>
  <c r="C225" i="17" s="1"/>
  <c r="I200" i="25"/>
  <c r="U200" i="25"/>
  <c r="D201" i="25"/>
  <c r="E201" i="25"/>
  <c r="F201" i="25"/>
  <c r="G226" i="17" s="1"/>
  <c r="O226" i="17" s="1"/>
  <c r="F225" i="17"/>
  <c r="V200" i="25" l="1"/>
  <c r="J225" i="17"/>
  <c r="N225" i="17" s="1"/>
  <c r="F202" i="25"/>
  <c r="G227" i="17" s="1"/>
  <c r="O227" i="17" s="1"/>
  <c r="E202" i="25"/>
  <c r="D202" i="25"/>
  <c r="F226" i="17"/>
  <c r="E226" i="17"/>
  <c r="C226" i="17" s="1"/>
  <c r="U201" i="25"/>
  <c r="I201" i="25"/>
  <c r="E227" i="17" l="1"/>
  <c r="C227" i="17" s="1"/>
  <c r="U202" i="25"/>
  <c r="I202" i="25"/>
  <c r="D203" i="25"/>
  <c r="F203" i="25"/>
  <c r="G228" i="17" s="1"/>
  <c r="O228" i="17" s="1"/>
  <c r="E203" i="25"/>
  <c r="F227" i="17"/>
  <c r="V201" i="25"/>
  <c r="J226" i="17"/>
  <c r="N226" i="17" s="1"/>
  <c r="D204" i="25" l="1"/>
  <c r="E204" i="25"/>
  <c r="F204" i="25"/>
  <c r="G229" i="17" s="1"/>
  <c r="O229" i="17" s="1"/>
  <c r="F228" i="17"/>
  <c r="E228" i="17"/>
  <c r="C228" i="17" s="1"/>
  <c r="U203" i="25"/>
  <c r="I203" i="25"/>
  <c r="V202" i="25"/>
  <c r="J227" i="17"/>
  <c r="N227" i="17" s="1"/>
  <c r="V203" i="25" l="1"/>
  <c r="J228" i="17"/>
  <c r="N228" i="17" s="1"/>
  <c r="D205" i="25"/>
  <c r="E205" i="25"/>
  <c r="F205" i="25"/>
  <c r="G230" i="17" s="1"/>
  <c r="O230" i="17" s="1"/>
  <c r="F229" i="17"/>
  <c r="E229" i="17"/>
  <c r="C229" i="17" s="1"/>
  <c r="U204" i="25"/>
  <c r="I204" i="25"/>
  <c r="D206" i="25" l="1"/>
  <c r="E206" i="25"/>
  <c r="F206" i="25"/>
  <c r="G231" i="17" s="1"/>
  <c r="O231" i="17" s="1"/>
  <c r="F230" i="17"/>
  <c r="E230" i="17"/>
  <c r="C230" i="17" s="1"/>
  <c r="I205" i="25"/>
  <c r="U205" i="25"/>
  <c r="V204" i="25"/>
  <c r="J229" i="17"/>
  <c r="N229" i="17" s="1"/>
  <c r="V205" i="25" l="1"/>
  <c r="J230" i="17"/>
  <c r="N230" i="17" s="1"/>
  <c r="D207" i="25"/>
  <c r="E207" i="25"/>
  <c r="F207" i="25"/>
  <c r="G232" i="17" s="1"/>
  <c r="O232" i="17" s="1"/>
  <c r="F231" i="17"/>
  <c r="E231" i="17"/>
  <c r="C231" i="17" s="1"/>
  <c r="I206" i="25"/>
  <c r="U206" i="25"/>
  <c r="V206" i="25" l="1"/>
  <c r="J231" i="17"/>
  <c r="N231" i="17" s="1"/>
  <c r="E232" i="17"/>
  <c r="C232" i="17" s="1"/>
  <c r="U207" i="25"/>
  <c r="I207" i="25"/>
  <c r="D208" i="25"/>
  <c r="E208" i="25"/>
  <c r="F208" i="25"/>
  <c r="G233" i="17" s="1"/>
  <c r="O233" i="17" s="1"/>
  <c r="F232" i="17"/>
  <c r="E233" i="17" l="1"/>
  <c r="C233" i="17" s="1"/>
  <c r="I208" i="25"/>
  <c r="U208" i="25"/>
  <c r="V207" i="25"/>
  <c r="J232" i="17"/>
  <c r="N232" i="17" s="1"/>
  <c r="E209" i="25"/>
  <c r="F209" i="25"/>
  <c r="G234" i="17" s="1"/>
  <c r="O234" i="17" s="1"/>
  <c r="D209" i="25"/>
  <c r="F233" i="17"/>
  <c r="E234" i="17" l="1"/>
  <c r="C234" i="17" s="1"/>
  <c r="I209" i="25"/>
  <c r="U209" i="25"/>
  <c r="F210" i="25"/>
  <c r="G235" i="17" s="1"/>
  <c r="O235" i="17" s="1"/>
  <c r="E210" i="25"/>
  <c r="D210" i="25"/>
  <c r="F234" i="17"/>
  <c r="V208" i="25"/>
  <c r="J233" i="17"/>
  <c r="N233" i="17" s="1"/>
  <c r="E235" i="17" l="1"/>
  <c r="C235" i="17" s="1"/>
  <c r="I210" i="25"/>
  <c r="U210" i="25"/>
  <c r="V209" i="25"/>
  <c r="J234" i="17"/>
  <c r="N234" i="17" s="1"/>
  <c r="D211" i="25"/>
  <c r="F211" i="25"/>
  <c r="G236" i="17" s="1"/>
  <c r="O236" i="17" s="1"/>
  <c r="E211" i="25"/>
  <c r="F235" i="17"/>
  <c r="E236" i="17" l="1"/>
  <c r="C236" i="17" s="1"/>
  <c r="I211" i="25"/>
  <c r="U211" i="25"/>
  <c r="V210" i="25"/>
  <c r="J235" i="17"/>
  <c r="N235" i="17" s="1"/>
  <c r="D212" i="25"/>
  <c r="E212" i="25"/>
  <c r="F212" i="25"/>
  <c r="G237" i="17" s="1"/>
  <c r="O237" i="17" s="1"/>
  <c r="F236" i="17"/>
  <c r="E237" i="17" l="1"/>
  <c r="C237" i="17" s="1"/>
  <c r="U212" i="25"/>
  <c r="I212" i="25"/>
  <c r="V211" i="25"/>
  <c r="J236" i="17"/>
  <c r="N236" i="17" s="1"/>
  <c r="D213" i="25"/>
  <c r="E213" i="25"/>
  <c r="F213" i="25"/>
  <c r="G238" i="17" s="1"/>
  <c r="O238" i="17" s="1"/>
  <c r="F237" i="17"/>
  <c r="E238" i="17" l="1"/>
  <c r="C238" i="17" s="1"/>
  <c r="U213" i="25"/>
  <c r="I213" i="25"/>
  <c r="D214" i="25"/>
  <c r="E214" i="25"/>
  <c r="F214" i="25"/>
  <c r="G239" i="17" s="1"/>
  <c r="O239" i="17" s="1"/>
  <c r="F238" i="17"/>
  <c r="V212" i="25"/>
  <c r="J237" i="17"/>
  <c r="N237" i="17" s="1"/>
  <c r="E239" i="17" l="1"/>
  <c r="C239" i="17" s="1"/>
  <c r="I214" i="25"/>
  <c r="U214" i="25"/>
  <c r="D215" i="25"/>
  <c r="E215" i="25"/>
  <c r="F215" i="25"/>
  <c r="G240" i="17" s="1"/>
  <c r="O240" i="17" s="1"/>
  <c r="F239" i="17"/>
  <c r="V213" i="25"/>
  <c r="J238" i="17"/>
  <c r="N238" i="17" s="1"/>
  <c r="E240" i="17" l="1"/>
  <c r="C240" i="17" s="1"/>
  <c r="I215" i="25"/>
  <c r="U215" i="25"/>
  <c r="V214" i="25"/>
  <c r="J239" i="17"/>
  <c r="N239" i="17" s="1"/>
  <c r="D216" i="25"/>
  <c r="E216" i="25"/>
  <c r="F216" i="25"/>
  <c r="G241" i="17" s="1"/>
  <c r="O241" i="17" s="1"/>
  <c r="F240" i="17"/>
  <c r="E241" i="17" l="1"/>
  <c r="C241" i="17" s="1"/>
  <c r="I216" i="25"/>
  <c r="U216" i="25"/>
  <c r="V215" i="25"/>
  <c r="J240" i="17"/>
  <c r="N240" i="17" s="1"/>
  <c r="E217" i="25"/>
  <c r="F217" i="25"/>
  <c r="G242" i="17" s="1"/>
  <c r="O242" i="17" s="1"/>
  <c r="D217" i="25"/>
  <c r="F241" i="17"/>
  <c r="F218" i="25" l="1"/>
  <c r="G243" i="17" s="1"/>
  <c r="O243" i="17" s="1"/>
  <c r="E218" i="25"/>
  <c r="D218" i="25"/>
  <c r="F242" i="17"/>
  <c r="V216" i="25"/>
  <c r="J241" i="17"/>
  <c r="N241" i="17" s="1"/>
  <c r="E242" i="17"/>
  <c r="C242" i="17" s="1"/>
  <c r="U217" i="25"/>
  <c r="I217" i="25"/>
  <c r="V217" i="25" l="1"/>
  <c r="J242" i="17"/>
  <c r="N242" i="17" s="1"/>
  <c r="E243" i="17"/>
  <c r="C243" i="17" s="1"/>
  <c r="I218" i="25"/>
  <c r="U218" i="25"/>
  <c r="D219" i="25"/>
  <c r="F219" i="25"/>
  <c r="G244" i="17" s="1"/>
  <c r="O244" i="17" s="1"/>
  <c r="E219" i="25"/>
  <c r="F243" i="17"/>
  <c r="D220" i="25" l="1"/>
  <c r="E220" i="25"/>
  <c r="F220" i="25"/>
  <c r="G245" i="17" s="1"/>
  <c r="O245" i="17" s="1"/>
  <c r="F244" i="17"/>
  <c r="E244" i="17"/>
  <c r="C244" i="17" s="1"/>
  <c r="I219" i="25"/>
  <c r="U219" i="25"/>
  <c r="V218" i="25"/>
  <c r="J243" i="17"/>
  <c r="N243" i="17" s="1"/>
  <c r="V219" i="25" l="1"/>
  <c r="J244" i="17"/>
  <c r="N244" i="17" s="1"/>
  <c r="D221" i="25"/>
  <c r="E221" i="25"/>
  <c r="F221" i="25"/>
  <c r="G246" i="17" s="1"/>
  <c r="O246" i="17" s="1"/>
  <c r="F245" i="17"/>
  <c r="E245" i="17"/>
  <c r="C245" i="17" s="1"/>
  <c r="I220" i="25"/>
  <c r="U220" i="25"/>
  <c r="V220" i="25" l="1"/>
  <c r="J245" i="17"/>
  <c r="N245" i="17" s="1"/>
  <c r="E246" i="17"/>
  <c r="C246" i="17" s="1"/>
  <c r="U221" i="25"/>
  <c r="I221" i="25"/>
  <c r="D222" i="25"/>
  <c r="E222" i="25"/>
  <c r="F222" i="25"/>
  <c r="G247" i="17" s="1"/>
  <c r="O247" i="17" s="1"/>
  <c r="F246" i="17"/>
  <c r="V221" i="25" l="1"/>
  <c r="J246" i="17"/>
  <c r="N246" i="17" s="1"/>
  <c r="E247" i="17"/>
  <c r="C247" i="17" s="1"/>
  <c r="U222" i="25"/>
  <c r="I222" i="25"/>
  <c r="D223" i="25"/>
  <c r="E223" i="25"/>
  <c r="F223" i="25"/>
  <c r="G248" i="17" s="1"/>
  <c r="O248" i="17" s="1"/>
  <c r="F247" i="17"/>
  <c r="D224" i="25" l="1"/>
  <c r="E224" i="25"/>
  <c r="F224" i="25"/>
  <c r="G249" i="17" s="1"/>
  <c r="O249" i="17" s="1"/>
  <c r="F248" i="17"/>
  <c r="V222" i="25"/>
  <c r="J247" i="17"/>
  <c r="N247" i="17" s="1"/>
  <c r="E248" i="17"/>
  <c r="C248" i="17" s="1"/>
  <c r="I223" i="25"/>
  <c r="U223" i="25"/>
  <c r="V223" i="25" l="1"/>
  <c r="J248" i="17"/>
  <c r="N248" i="17" s="1"/>
  <c r="E225" i="25"/>
  <c r="F225" i="25"/>
  <c r="G250" i="17" s="1"/>
  <c r="O250" i="17" s="1"/>
  <c r="D225" i="25"/>
  <c r="F249" i="17"/>
  <c r="E249" i="17"/>
  <c r="C249" i="17" s="1"/>
  <c r="I224" i="25"/>
  <c r="U224" i="25"/>
  <c r="V224" i="25" l="1"/>
  <c r="J249" i="17"/>
  <c r="N249" i="17" s="1"/>
  <c r="F226" i="25"/>
  <c r="G251" i="17" s="1"/>
  <c r="O251" i="17" s="1"/>
  <c r="E226" i="25"/>
  <c r="D226" i="25"/>
  <c r="F250" i="17"/>
  <c r="E250" i="17"/>
  <c r="C250" i="17" s="1"/>
  <c r="I225" i="25"/>
  <c r="U225" i="25"/>
  <c r="V225" i="25" l="1"/>
  <c r="J250" i="17"/>
  <c r="N250" i="17" s="1"/>
  <c r="D227" i="25"/>
  <c r="F227" i="25"/>
  <c r="G252" i="17" s="1"/>
  <c r="O252" i="17" s="1"/>
  <c r="E227" i="25"/>
  <c r="F251" i="17"/>
  <c r="E251" i="17"/>
  <c r="C251" i="17" s="1"/>
  <c r="I226" i="25"/>
  <c r="U226" i="25"/>
  <c r="D228" i="25" l="1"/>
  <c r="E228" i="25"/>
  <c r="F228" i="25"/>
  <c r="G253" i="17" s="1"/>
  <c r="O253" i="17" s="1"/>
  <c r="F252" i="17"/>
  <c r="E252" i="17"/>
  <c r="C252" i="17" s="1"/>
  <c r="I227" i="25"/>
  <c r="U227" i="25"/>
  <c r="V226" i="25"/>
  <c r="J251" i="17"/>
  <c r="N251" i="17" s="1"/>
  <c r="V227" i="25" l="1"/>
  <c r="J252" i="17"/>
  <c r="N252" i="17" s="1"/>
  <c r="D229" i="25"/>
  <c r="E229" i="25"/>
  <c r="F229" i="25"/>
  <c r="G254" i="17" s="1"/>
  <c r="O254" i="17" s="1"/>
  <c r="F253" i="17"/>
  <c r="E253" i="17"/>
  <c r="C253" i="17" s="1"/>
  <c r="I228" i="25"/>
  <c r="U228" i="25"/>
  <c r="E254" i="17" l="1"/>
  <c r="C254" i="17" s="1"/>
  <c r="U229" i="25"/>
  <c r="I229" i="25"/>
  <c r="V228" i="25"/>
  <c r="J253" i="17"/>
  <c r="N253" i="17" s="1"/>
  <c r="D230" i="25"/>
  <c r="E230" i="25"/>
  <c r="F230" i="25"/>
  <c r="G255" i="17" s="1"/>
  <c r="O255" i="17" s="1"/>
  <c r="F254" i="17"/>
  <c r="D231" i="25" l="1"/>
  <c r="E231" i="25"/>
  <c r="F231" i="25"/>
  <c r="G256" i="17" s="1"/>
  <c r="O256" i="17" s="1"/>
  <c r="F255" i="17"/>
  <c r="V229" i="25"/>
  <c r="J254" i="17"/>
  <c r="N254" i="17" s="1"/>
  <c r="E255" i="17"/>
  <c r="C255" i="17" s="1"/>
  <c r="I230" i="25"/>
  <c r="U230" i="25"/>
  <c r="V230" i="25" l="1"/>
  <c r="J255" i="17"/>
  <c r="N255" i="17" s="1"/>
  <c r="D232" i="25"/>
  <c r="E232" i="25"/>
  <c r="F232" i="25"/>
  <c r="G257" i="17" s="1"/>
  <c r="O257" i="17" s="1"/>
  <c r="F256" i="17"/>
  <c r="E256" i="17"/>
  <c r="C256" i="17" s="1"/>
  <c r="I231" i="25"/>
  <c r="U231" i="25"/>
  <c r="V231" i="25" l="1"/>
  <c r="J256" i="17"/>
  <c r="N256" i="17" s="1"/>
  <c r="E233" i="25"/>
  <c r="F233" i="25"/>
  <c r="G258" i="17" s="1"/>
  <c r="O258" i="17" s="1"/>
  <c r="D233" i="25"/>
  <c r="F257" i="17"/>
  <c r="E257" i="17"/>
  <c r="C257" i="17" s="1"/>
  <c r="U232" i="25"/>
  <c r="I232" i="25"/>
  <c r="E258" i="17" l="1"/>
  <c r="C258" i="17" s="1"/>
  <c r="I233" i="25"/>
  <c r="U233" i="25"/>
  <c r="F234" i="25"/>
  <c r="G259" i="17" s="1"/>
  <c r="O259" i="17" s="1"/>
  <c r="E234" i="25"/>
  <c r="D234" i="25"/>
  <c r="F258" i="17"/>
  <c r="V232" i="25"/>
  <c r="J257" i="17"/>
  <c r="N257" i="17" s="1"/>
  <c r="E259" i="17" l="1"/>
  <c r="C259" i="17" s="1"/>
  <c r="I234" i="25"/>
  <c r="U234" i="25"/>
  <c r="D235" i="25"/>
  <c r="F235" i="25"/>
  <c r="G260" i="17" s="1"/>
  <c r="O260" i="17" s="1"/>
  <c r="E235" i="25"/>
  <c r="F259" i="17"/>
  <c r="V233" i="25"/>
  <c r="J258" i="17"/>
  <c r="N258" i="17" s="1"/>
  <c r="E260" i="17" l="1"/>
  <c r="C260" i="17" s="1"/>
  <c r="I235" i="25"/>
  <c r="U235" i="25"/>
  <c r="D236" i="25"/>
  <c r="E236" i="25"/>
  <c r="F236" i="25"/>
  <c r="G261" i="17" s="1"/>
  <c r="O261" i="17" s="1"/>
  <c r="F260" i="17"/>
  <c r="V234" i="25"/>
  <c r="J259" i="17"/>
  <c r="N259" i="17" s="1"/>
  <c r="E261" i="17" l="1"/>
  <c r="C261" i="17" s="1"/>
  <c r="U236" i="25"/>
  <c r="I236" i="25"/>
  <c r="V235" i="25"/>
  <c r="J260" i="17"/>
  <c r="N260" i="17" s="1"/>
  <c r="D237" i="25"/>
  <c r="E237" i="25"/>
  <c r="F237" i="25"/>
  <c r="G262" i="17" s="1"/>
  <c r="O262" i="17" s="1"/>
  <c r="F261" i="17"/>
  <c r="D238" i="25" l="1"/>
  <c r="E238" i="25"/>
  <c r="F238" i="25"/>
  <c r="G263" i="17" s="1"/>
  <c r="O263" i="17" s="1"/>
  <c r="F262" i="17"/>
  <c r="E262" i="17"/>
  <c r="C262" i="17" s="1"/>
  <c r="U237" i="25"/>
  <c r="I237" i="25"/>
  <c r="V236" i="25"/>
  <c r="J261" i="17"/>
  <c r="N261" i="17" s="1"/>
  <c r="V237" i="25" l="1"/>
  <c r="J262" i="17"/>
  <c r="N262" i="17" s="1"/>
  <c r="D239" i="25"/>
  <c r="E239" i="25"/>
  <c r="F239" i="25"/>
  <c r="G264" i="17" s="1"/>
  <c r="O264" i="17" s="1"/>
  <c r="F263" i="17"/>
  <c r="E263" i="17"/>
  <c r="C263" i="17" s="1"/>
  <c r="I238" i="25"/>
  <c r="U238" i="25"/>
  <c r="V238" i="25" l="1"/>
  <c r="J263" i="17"/>
  <c r="N263" i="17" s="1"/>
  <c r="E264" i="17"/>
  <c r="C264" i="17" s="1"/>
  <c r="U239" i="25"/>
  <c r="I239" i="25"/>
  <c r="D240" i="25"/>
  <c r="E240" i="25"/>
  <c r="F240" i="25"/>
  <c r="G265" i="17" s="1"/>
  <c r="O265" i="17" s="1"/>
  <c r="F264" i="17"/>
  <c r="E265" i="17" l="1"/>
  <c r="C265" i="17" s="1"/>
  <c r="I240" i="25"/>
  <c r="U240" i="25"/>
  <c r="E241" i="25"/>
  <c r="F241" i="25"/>
  <c r="G266" i="17" s="1"/>
  <c r="O266" i="17" s="1"/>
  <c r="D241" i="25"/>
  <c r="F265" i="17"/>
  <c r="V239" i="25"/>
  <c r="J264" i="17"/>
  <c r="N264" i="17" s="1"/>
  <c r="E266" i="17" l="1"/>
  <c r="C266" i="17" s="1"/>
  <c r="U241" i="25"/>
  <c r="I241" i="25"/>
  <c r="F242" i="25"/>
  <c r="G267" i="17" s="1"/>
  <c r="O267" i="17" s="1"/>
  <c r="E242" i="25"/>
  <c r="D242" i="25"/>
  <c r="F266" i="17"/>
  <c r="V240" i="25"/>
  <c r="J265" i="17"/>
  <c r="N265" i="17" s="1"/>
  <c r="E267" i="17" l="1"/>
  <c r="C267" i="17" s="1"/>
  <c r="I242" i="25"/>
  <c r="U242" i="25"/>
  <c r="V241" i="25"/>
  <c r="J266" i="17"/>
  <c r="N266" i="17" s="1"/>
  <c r="D243" i="25"/>
  <c r="F243" i="25"/>
  <c r="G268" i="17" s="1"/>
  <c r="O268" i="17" s="1"/>
  <c r="E243" i="25"/>
  <c r="F267" i="17"/>
  <c r="D244" i="25" l="1"/>
  <c r="E244" i="25"/>
  <c r="F244" i="25"/>
  <c r="G269" i="17" s="1"/>
  <c r="O269" i="17" s="1"/>
  <c r="F268" i="17"/>
  <c r="V242" i="25"/>
  <c r="J267" i="17"/>
  <c r="N267" i="17" s="1"/>
  <c r="E268" i="17"/>
  <c r="C268" i="17" s="1"/>
  <c r="U243" i="25"/>
  <c r="I243" i="25"/>
  <c r="D245" i="25" l="1"/>
  <c r="E245" i="25"/>
  <c r="F245" i="25"/>
  <c r="G270" i="17" s="1"/>
  <c r="O270" i="17" s="1"/>
  <c r="F269" i="17"/>
  <c r="V243" i="25"/>
  <c r="J268" i="17"/>
  <c r="N268" i="17" s="1"/>
  <c r="E269" i="17"/>
  <c r="C269" i="17" s="1"/>
  <c r="U244" i="25"/>
  <c r="I244" i="25"/>
  <c r="D246" i="25" l="1"/>
  <c r="E246" i="25"/>
  <c r="F246" i="25"/>
  <c r="G271" i="17" s="1"/>
  <c r="O271" i="17" s="1"/>
  <c r="F270" i="17"/>
  <c r="V244" i="25"/>
  <c r="J269" i="17"/>
  <c r="N269" i="17" s="1"/>
  <c r="E270" i="17"/>
  <c r="C270" i="17" s="1"/>
  <c r="I245" i="25"/>
  <c r="U245" i="25"/>
  <c r="V245" i="25" l="1"/>
  <c r="J270" i="17"/>
  <c r="N270" i="17" s="1"/>
  <c r="D247" i="25"/>
  <c r="E247" i="25"/>
  <c r="F247" i="25"/>
  <c r="G272" i="17" s="1"/>
  <c r="O272" i="17" s="1"/>
  <c r="F271" i="17"/>
  <c r="E271" i="17"/>
  <c r="C271" i="17" s="1"/>
  <c r="I246" i="25"/>
  <c r="U246" i="25"/>
  <c r="D248" i="25" l="1"/>
  <c r="E248" i="25"/>
  <c r="F248" i="25"/>
  <c r="G273" i="17" s="1"/>
  <c r="O273" i="17" s="1"/>
  <c r="F272" i="17"/>
  <c r="V246" i="25"/>
  <c r="J271" i="17"/>
  <c r="N271" i="17" s="1"/>
  <c r="E272" i="17"/>
  <c r="C272" i="17" s="1"/>
  <c r="I247" i="25"/>
  <c r="U247" i="25"/>
  <c r="E249" i="25" l="1"/>
  <c r="F249" i="25"/>
  <c r="G274" i="17" s="1"/>
  <c r="O274" i="17" s="1"/>
  <c r="D249" i="25"/>
  <c r="F273" i="17"/>
  <c r="V247" i="25"/>
  <c r="J272" i="17"/>
  <c r="N272" i="17" s="1"/>
  <c r="E273" i="17"/>
  <c r="C273" i="17" s="1"/>
  <c r="I248" i="25"/>
  <c r="U248" i="25"/>
  <c r="V248" i="25" l="1"/>
  <c r="J273" i="17"/>
  <c r="N273" i="17" s="1"/>
  <c r="E274" i="17"/>
  <c r="C274" i="17" s="1"/>
  <c r="I249" i="25"/>
  <c r="U249" i="25"/>
  <c r="F250" i="25"/>
  <c r="G275" i="17" s="1"/>
  <c r="O275" i="17" s="1"/>
  <c r="E250" i="25"/>
  <c r="D250" i="25"/>
  <c r="F274" i="17"/>
  <c r="E275" i="17" l="1"/>
  <c r="C275" i="17" s="1"/>
  <c r="I250" i="25"/>
  <c r="U250" i="25"/>
  <c r="D251" i="25"/>
  <c r="F251" i="25"/>
  <c r="G276" i="17" s="1"/>
  <c r="O276" i="17" s="1"/>
  <c r="E251" i="25"/>
  <c r="F275" i="17"/>
  <c r="V249" i="25"/>
  <c r="J274" i="17"/>
  <c r="N274" i="17" s="1"/>
  <c r="D252" i="25" l="1"/>
  <c r="E252" i="25"/>
  <c r="F252" i="25"/>
  <c r="G277" i="17" s="1"/>
  <c r="O277" i="17" s="1"/>
  <c r="F276" i="17"/>
  <c r="E276" i="17"/>
  <c r="C276" i="17" s="1"/>
  <c r="U251" i="25"/>
  <c r="I251" i="25"/>
  <c r="V250" i="25"/>
  <c r="J275" i="17"/>
  <c r="N275" i="17" s="1"/>
  <c r="V251" i="25" l="1"/>
  <c r="J276" i="17"/>
  <c r="N276" i="17" s="1"/>
  <c r="D253" i="25"/>
  <c r="E253" i="25"/>
  <c r="F253" i="25"/>
  <c r="G278" i="17" s="1"/>
  <c r="O278" i="17" s="1"/>
  <c r="F277" i="17"/>
  <c r="E277" i="17"/>
  <c r="C277" i="17" s="1"/>
  <c r="U252" i="25"/>
  <c r="I252" i="25"/>
  <c r="E278" i="17" l="1"/>
  <c r="C278" i="17" s="1"/>
  <c r="U253" i="25"/>
  <c r="I253" i="25"/>
  <c r="D254" i="25"/>
  <c r="E254" i="25"/>
  <c r="F254" i="25"/>
  <c r="G279" i="17" s="1"/>
  <c r="O279" i="17" s="1"/>
  <c r="F278" i="17"/>
  <c r="V252" i="25"/>
  <c r="J277" i="17"/>
  <c r="N277" i="17" s="1"/>
  <c r="E279" i="17" l="1"/>
  <c r="C279" i="17" s="1"/>
  <c r="I254" i="25"/>
  <c r="U254" i="25"/>
  <c r="V253" i="25"/>
  <c r="J278" i="17"/>
  <c r="N278" i="17" s="1"/>
  <c r="D255" i="25"/>
  <c r="E255" i="25"/>
  <c r="F255" i="25"/>
  <c r="G280" i="17" s="1"/>
  <c r="O280" i="17" s="1"/>
  <c r="F279" i="17"/>
  <c r="D256" i="25" l="1"/>
  <c r="E256" i="25"/>
  <c r="F256" i="25"/>
  <c r="G281" i="17" s="1"/>
  <c r="O281" i="17" s="1"/>
  <c r="F280" i="17"/>
  <c r="E280" i="17"/>
  <c r="C280" i="17" s="1"/>
  <c r="U255" i="25"/>
  <c r="I255" i="25"/>
  <c r="V254" i="25"/>
  <c r="J279" i="17"/>
  <c r="N279" i="17" s="1"/>
  <c r="V255" i="25" l="1"/>
  <c r="J280" i="17"/>
  <c r="N280" i="17" s="1"/>
  <c r="E257" i="25"/>
  <c r="F257" i="25"/>
  <c r="G282" i="17" s="1"/>
  <c r="O282" i="17" s="1"/>
  <c r="D257" i="25"/>
  <c r="F281" i="17"/>
  <c r="E281" i="17"/>
  <c r="C281" i="17" s="1"/>
  <c r="I256" i="25"/>
  <c r="U256" i="25"/>
  <c r="V256" i="25" l="1"/>
  <c r="J281" i="17"/>
  <c r="N281" i="17" s="1"/>
  <c r="F258" i="25"/>
  <c r="G283" i="17" s="1"/>
  <c r="E258" i="25"/>
  <c r="D258" i="25"/>
  <c r="F282" i="17"/>
  <c r="E282" i="17"/>
  <c r="C282" i="17" s="1"/>
  <c r="I257" i="25"/>
  <c r="U257" i="25"/>
  <c r="F259" i="25" l="1"/>
  <c r="G284" i="17" s="1"/>
  <c r="O284" i="17" s="1"/>
  <c r="D259" i="25"/>
  <c r="V257" i="25"/>
  <c r="J282" i="17"/>
  <c r="N282" i="17" s="1"/>
  <c r="O283" i="17"/>
  <c r="E283" i="17"/>
  <c r="C283" i="17" s="1"/>
  <c r="U258" i="25"/>
  <c r="I258" i="25"/>
  <c r="I14" i="25"/>
  <c r="E259" i="25"/>
  <c r="F283" i="17"/>
  <c r="F23" i="19" l="1"/>
  <c r="O40" i="17"/>
  <c r="I39" i="19" s="1"/>
  <c r="U19" i="25"/>
  <c r="U18" i="25" s="1"/>
  <c r="V14" i="25" s="1"/>
  <c r="L3" i="25" s="1"/>
  <c r="E284" i="17"/>
  <c r="C284" i="17" s="1"/>
  <c r="F22" i="19" s="1"/>
  <c r="I259" i="25"/>
  <c r="U259" i="25"/>
  <c r="V258" i="25"/>
  <c r="J283" i="17"/>
  <c r="C10" i="25"/>
  <c r="E260" i="25"/>
  <c r="E261" i="25" s="1"/>
  <c r="E262" i="25" s="1"/>
  <c r="E263" i="25" s="1"/>
  <c r="E264" i="25" s="1"/>
  <c r="E265" i="25" s="1"/>
  <c r="E266" i="25" s="1"/>
  <c r="E267" i="25" s="1"/>
  <c r="E268" i="25" s="1"/>
  <c r="E269" i="25" s="1"/>
  <c r="E270" i="25" s="1"/>
  <c r="E271" i="25" s="1"/>
  <c r="E272" i="25" s="1"/>
  <c r="E273" i="25" s="1"/>
  <c r="E274" i="25" s="1"/>
  <c r="E275" i="25" s="1"/>
  <c r="E276" i="25" s="1"/>
  <c r="E277" i="25" s="1"/>
  <c r="E278" i="25" s="1"/>
  <c r="E279" i="25" s="1"/>
  <c r="E280" i="25" s="1"/>
  <c r="E281" i="25" s="1"/>
  <c r="E282" i="25" s="1"/>
  <c r="E283" i="25" s="1"/>
  <c r="E284" i="25" s="1"/>
  <c r="E285" i="25" s="1"/>
  <c r="E286" i="25" s="1"/>
  <c r="E287" i="25" s="1"/>
  <c r="E288" i="25" s="1"/>
  <c r="E289" i="25" s="1"/>
  <c r="E290" i="25" s="1"/>
  <c r="E291" i="25" s="1"/>
  <c r="E292" i="25" s="1"/>
  <c r="E293" i="25" s="1"/>
  <c r="E294" i="25" s="1"/>
  <c r="E295" i="25" s="1"/>
  <c r="E296" i="25" s="1"/>
  <c r="E297" i="25" s="1"/>
  <c r="E298" i="25" s="1"/>
  <c r="E299" i="25" s="1"/>
  <c r="E300" i="25" s="1"/>
  <c r="E301" i="25" s="1"/>
  <c r="E302" i="25" s="1"/>
  <c r="E303" i="25" s="1"/>
  <c r="E304" i="25" s="1"/>
  <c r="E305" i="25" s="1"/>
  <c r="E306" i="25" s="1"/>
  <c r="E307" i="25" s="1"/>
  <c r="E308" i="25" s="1"/>
  <c r="E309" i="25" s="1"/>
  <c r="E310" i="25" s="1"/>
  <c r="E311" i="25" s="1"/>
  <c r="E312" i="25" s="1"/>
  <c r="E313" i="25" s="1"/>
  <c r="E314" i="25" s="1"/>
  <c r="E315" i="25" s="1"/>
  <c r="E316" i="25" s="1"/>
  <c r="E317" i="25" s="1"/>
  <c r="E318" i="25" s="1"/>
  <c r="E319" i="25" s="1"/>
  <c r="E320" i="25" s="1"/>
  <c r="E321" i="25" s="1"/>
  <c r="E322" i="25" s="1"/>
  <c r="E323" i="25" s="1"/>
  <c r="E324" i="25" s="1"/>
  <c r="E325" i="25" s="1"/>
  <c r="E326" i="25" s="1"/>
  <c r="E327" i="25" s="1"/>
  <c r="E328" i="25" s="1"/>
  <c r="E329" i="25" s="1"/>
  <c r="E330" i="25" s="1"/>
  <c r="E331" i="25" s="1"/>
  <c r="E332" i="25" s="1"/>
  <c r="E333" i="25" s="1"/>
  <c r="E334" i="25" s="1"/>
  <c r="E335" i="25" s="1"/>
  <c r="E336" i="25" s="1"/>
  <c r="E337" i="25" s="1"/>
  <c r="E338" i="25" s="1"/>
  <c r="E339" i="25" s="1"/>
  <c r="W15" i="20" s="1"/>
  <c r="J20" i="23" s="1"/>
  <c r="F284" i="17"/>
  <c r="C14" i="25" l="1"/>
  <c r="W35" i="20" s="1"/>
  <c r="V259" i="25"/>
  <c r="J284" i="17"/>
  <c r="N284" i="17" s="1"/>
  <c r="W17" i="20"/>
  <c r="J26" i="17"/>
  <c r="I110" i="23"/>
  <c r="J110" i="23" s="1"/>
  <c r="K20" i="23" s="1"/>
  <c r="I387" i="32"/>
  <c r="I121" i="23"/>
  <c r="J121" i="23" s="1"/>
  <c r="I132" i="23"/>
  <c r="J132" i="23" s="1"/>
  <c r="I144" i="23"/>
  <c r="J144" i="23" s="1"/>
  <c r="N283" i="17"/>
  <c r="N40" i="17" s="1"/>
  <c r="F11" i="19"/>
  <c r="F26" i="19" l="1"/>
  <c r="E26" i="17"/>
  <c r="E13" i="17" s="1"/>
  <c r="F13" i="19"/>
  <c r="F27" i="19"/>
  <c r="W34" i="20"/>
  <c r="L350" i="32" s="1"/>
  <c r="L351" i="32"/>
  <c r="P76" i="32"/>
  <c r="J22" i="23"/>
  <c r="W16" i="20"/>
  <c r="F15" i="23" s="1"/>
  <c r="L345" i="32"/>
  <c r="K22" i="23" l="1"/>
  <c r="K389" i="32"/>
  <c r="I362" i="32"/>
  <c r="E36" i="23"/>
  <c r="F36" i="23" s="1"/>
  <c r="G15" i="23" s="1"/>
  <c r="B23" i="23" l="1"/>
  <c r="K362" i="32"/>
  <c r="I389" i="32"/>
  <c r="K379" i="32" l="1"/>
  <c r="C23" i="23"/>
  <c r="I379" i="32" l="1"/>
  <c r="B5" i="23"/>
  <c r="M17" i="32" s="1"/>
  <c r="I13" i="26" l="1"/>
  <c r="C255" i="26" s="1"/>
  <c r="C309" i="26"/>
  <c r="I309" i="26" s="1"/>
  <c r="V309" i="26" s="1"/>
  <c r="C316" i="26"/>
  <c r="I316" i="26" s="1"/>
  <c r="V316" i="26" s="1"/>
  <c r="C324" i="26"/>
  <c r="I324" i="26" s="1"/>
  <c r="V324" i="26" s="1"/>
  <c r="C332" i="26"/>
  <c r="I332" i="26" s="1"/>
  <c r="V332" i="26" s="1"/>
  <c r="C336" i="26"/>
  <c r="I336" i="26" s="1"/>
  <c r="V336" i="26" s="1"/>
  <c r="C337" i="26"/>
  <c r="I337" i="26" s="1"/>
  <c r="V337" i="26" s="1"/>
  <c r="C338" i="26"/>
  <c r="I338" i="26" s="1"/>
  <c r="V338" i="26" s="1"/>
  <c r="C339" i="26"/>
  <c r="I339" i="26" s="1"/>
  <c r="V339" i="26" s="1"/>
  <c r="U336" i="26"/>
  <c r="U337" i="26"/>
  <c r="U338" i="26"/>
  <c r="U339" i="26"/>
  <c r="C329" i="26" l="1"/>
  <c r="C321" i="26"/>
  <c r="C314" i="26"/>
  <c r="C298" i="26"/>
  <c r="C328" i="26"/>
  <c r="I328" i="26" s="1"/>
  <c r="V328" i="26" s="1"/>
  <c r="C320" i="26"/>
  <c r="I320" i="26" s="1"/>
  <c r="V320" i="26" s="1"/>
  <c r="C313" i="26"/>
  <c r="I313" i="26" s="1"/>
  <c r="V313" i="26" s="1"/>
  <c r="C291" i="26"/>
  <c r="U316" i="26"/>
  <c r="U324" i="26"/>
  <c r="C335" i="26"/>
  <c r="C327" i="26"/>
  <c r="C319" i="26"/>
  <c r="C312" i="26"/>
  <c r="I312" i="26" s="1"/>
  <c r="V312" i="26" s="1"/>
  <c r="C285" i="26"/>
  <c r="U332" i="26"/>
  <c r="C334" i="26"/>
  <c r="C326" i="26"/>
  <c r="C318" i="26"/>
  <c r="C311" i="26"/>
  <c r="C279" i="26"/>
  <c r="C333" i="26"/>
  <c r="C325" i="26"/>
  <c r="C317" i="26"/>
  <c r="C310" i="26"/>
  <c r="C272" i="26"/>
  <c r="U309" i="26"/>
  <c r="C331" i="26"/>
  <c r="C323" i="26"/>
  <c r="C308" i="26"/>
  <c r="C330" i="26"/>
  <c r="C322" i="26"/>
  <c r="C315" i="26"/>
  <c r="C306" i="26"/>
  <c r="C303" i="26"/>
  <c r="C295" i="26"/>
  <c r="C289" i="26"/>
  <c r="C283" i="26"/>
  <c r="C276" i="26"/>
  <c r="C270" i="26"/>
  <c r="C302" i="26"/>
  <c r="C294" i="26"/>
  <c r="C288" i="26"/>
  <c r="C282" i="26"/>
  <c r="C275" i="26"/>
  <c r="C269" i="26"/>
  <c r="U313" i="26"/>
  <c r="C301" i="26"/>
  <c r="C293" i="26"/>
  <c r="C287" i="26"/>
  <c r="C274" i="26"/>
  <c r="C264" i="26"/>
  <c r="U320" i="26"/>
  <c r="C307" i="26"/>
  <c r="C300" i="26"/>
  <c r="C292" i="26"/>
  <c r="C286" i="26"/>
  <c r="C281" i="26"/>
  <c r="C256" i="26"/>
  <c r="C299" i="26"/>
  <c r="C280" i="26"/>
  <c r="C273" i="26"/>
  <c r="C251" i="26"/>
  <c r="C305" i="26"/>
  <c r="C297" i="26"/>
  <c r="C290" i="26"/>
  <c r="C284" i="26"/>
  <c r="C278" i="26"/>
  <c r="C304" i="26"/>
  <c r="C296" i="26"/>
  <c r="I296" i="26" s="1"/>
  <c r="V296" i="26" s="1"/>
  <c r="C277" i="26"/>
  <c r="C271" i="26"/>
  <c r="I255" i="26"/>
  <c r="V255" i="26" s="1"/>
  <c r="U255" i="26"/>
  <c r="C265" i="26"/>
  <c r="C254" i="26"/>
  <c r="I254" i="26" s="1"/>
  <c r="V254" i="26" s="1"/>
  <c r="C249" i="26"/>
  <c r="C259" i="26"/>
  <c r="C268" i="26"/>
  <c r="C258" i="26"/>
  <c r="C253" i="26"/>
  <c r="C248" i="26"/>
  <c r="C263" i="26"/>
  <c r="C252" i="26"/>
  <c r="C267" i="26"/>
  <c r="C262" i="26"/>
  <c r="C257" i="26"/>
  <c r="C247" i="26"/>
  <c r="C266" i="26"/>
  <c r="C261" i="26"/>
  <c r="C250" i="26"/>
  <c r="C260" i="26"/>
  <c r="U328" i="26"/>
  <c r="U312" i="26"/>
  <c r="U296" i="26"/>
  <c r="U254" i="26"/>
  <c r="C25" i="26"/>
  <c r="I322" i="26" l="1"/>
  <c r="V322" i="26" s="1"/>
  <c r="U322" i="26"/>
  <c r="I317" i="26"/>
  <c r="V317" i="26" s="1"/>
  <c r="U317" i="26"/>
  <c r="I291" i="26"/>
  <c r="V291" i="26" s="1"/>
  <c r="U291" i="26"/>
  <c r="I330" i="26"/>
  <c r="V330" i="26" s="1"/>
  <c r="U330" i="26"/>
  <c r="I325" i="26"/>
  <c r="V325" i="26" s="1"/>
  <c r="U325" i="26"/>
  <c r="I285" i="26"/>
  <c r="V285" i="26" s="1"/>
  <c r="U285" i="26"/>
  <c r="I308" i="26"/>
  <c r="V308" i="26" s="1"/>
  <c r="U308" i="26"/>
  <c r="I333" i="26"/>
  <c r="V333" i="26" s="1"/>
  <c r="U333" i="26"/>
  <c r="I323" i="26"/>
  <c r="V323" i="26" s="1"/>
  <c r="U323" i="26"/>
  <c r="I279" i="26"/>
  <c r="V279" i="26" s="1"/>
  <c r="U279" i="26"/>
  <c r="I319" i="26"/>
  <c r="V319" i="26" s="1"/>
  <c r="U319" i="26"/>
  <c r="I331" i="26"/>
  <c r="V331" i="26" s="1"/>
  <c r="U331" i="26"/>
  <c r="I311" i="26"/>
  <c r="V311" i="26" s="1"/>
  <c r="U311" i="26"/>
  <c r="I327" i="26"/>
  <c r="V327" i="26" s="1"/>
  <c r="U327" i="26"/>
  <c r="I298" i="26"/>
  <c r="V298" i="26" s="1"/>
  <c r="U298" i="26"/>
  <c r="I318" i="26"/>
  <c r="V318" i="26" s="1"/>
  <c r="U318" i="26"/>
  <c r="I335" i="26"/>
  <c r="V335" i="26" s="1"/>
  <c r="U335" i="26"/>
  <c r="I314" i="26"/>
  <c r="V314" i="26" s="1"/>
  <c r="U314" i="26"/>
  <c r="I306" i="26"/>
  <c r="V306" i="26" s="1"/>
  <c r="U306" i="26"/>
  <c r="I272" i="26"/>
  <c r="V272" i="26" s="1"/>
  <c r="U272" i="26"/>
  <c r="I326" i="26"/>
  <c r="V326" i="26" s="1"/>
  <c r="U326" i="26"/>
  <c r="I321" i="26"/>
  <c r="V321" i="26" s="1"/>
  <c r="U321" i="26"/>
  <c r="I315" i="26"/>
  <c r="V315" i="26" s="1"/>
  <c r="U315" i="26"/>
  <c r="I310" i="26"/>
  <c r="V310" i="26" s="1"/>
  <c r="U310" i="26"/>
  <c r="I334" i="26"/>
  <c r="V334" i="26" s="1"/>
  <c r="U334" i="26"/>
  <c r="I329" i="26"/>
  <c r="V329" i="26" s="1"/>
  <c r="U329" i="26"/>
  <c r="I290" i="26"/>
  <c r="V290" i="26" s="1"/>
  <c r="U290" i="26"/>
  <c r="I281" i="26"/>
  <c r="V281" i="26" s="1"/>
  <c r="U281" i="26"/>
  <c r="I287" i="26"/>
  <c r="V287" i="26" s="1"/>
  <c r="U287" i="26"/>
  <c r="I294" i="26"/>
  <c r="V294" i="26" s="1"/>
  <c r="U294" i="26"/>
  <c r="I297" i="26"/>
  <c r="V297" i="26" s="1"/>
  <c r="U297" i="26"/>
  <c r="I286" i="26"/>
  <c r="V286" i="26" s="1"/>
  <c r="U286" i="26"/>
  <c r="I293" i="26"/>
  <c r="V293" i="26" s="1"/>
  <c r="U293" i="26"/>
  <c r="I302" i="26"/>
  <c r="V302" i="26" s="1"/>
  <c r="U302" i="26"/>
  <c r="I271" i="26"/>
  <c r="V271" i="26" s="1"/>
  <c r="U271" i="26"/>
  <c r="I305" i="26"/>
  <c r="V305" i="26" s="1"/>
  <c r="U305" i="26"/>
  <c r="I292" i="26"/>
  <c r="V292" i="26" s="1"/>
  <c r="U292" i="26"/>
  <c r="I301" i="26"/>
  <c r="V301" i="26" s="1"/>
  <c r="U301" i="26"/>
  <c r="I270" i="26"/>
  <c r="V270" i="26" s="1"/>
  <c r="U270" i="26"/>
  <c r="I277" i="26"/>
  <c r="V277" i="26" s="1"/>
  <c r="U277" i="26"/>
  <c r="I251" i="26"/>
  <c r="V251" i="26" s="1"/>
  <c r="U251" i="26"/>
  <c r="I300" i="26"/>
  <c r="V300" i="26" s="1"/>
  <c r="U300" i="26"/>
  <c r="I276" i="26"/>
  <c r="V276" i="26" s="1"/>
  <c r="U276" i="26"/>
  <c r="I273" i="26"/>
  <c r="V273" i="26" s="1"/>
  <c r="U273" i="26"/>
  <c r="I307" i="26"/>
  <c r="V307" i="26" s="1"/>
  <c r="U307" i="26"/>
  <c r="I269" i="26"/>
  <c r="V269" i="26" s="1"/>
  <c r="U269" i="26"/>
  <c r="I283" i="26"/>
  <c r="V283" i="26" s="1"/>
  <c r="U283" i="26"/>
  <c r="I304" i="26"/>
  <c r="V304" i="26" s="1"/>
  <c r="U304" i="26"/>
  <c r="I280" i="26"/>
  <c r="V280" i="26" s="1"/>
  <c r="U280" i="26"/>
  <c r="I275" i="26"/>
  <c r="V275" i="26" s="1"/>
  <c r="U275" i="26"/>
  <c r="I289" i="26"/>
  <c r="V289" i="26" s="1"/>
  <c r="U289" i="26"/>
  <c r="I278" i="26"/>
  <c r="V278" i="26" s="1"/>
  <c r="U278" i="26"/>
  <c r="I299" i="26"/>
  <c r="V299" i="26" s="1"/>
  <c r="U299" i="26"/>
  <c r="I264" i="26"/>
  <c r="V264" i="26" s="1"/>
  <c r="U264" i="26"/>
  <c r="I282" i="26"/>
  <c r="V282" i="26" s="1"/>
  <c r="U282" i="26"/>
  <c r="I295" i="26"/>
  <c r="V295" i="26" s="1"/>
  <c r="U295" i="26"/>
  <c r="I284" i="26"/>
  <c r="V284" i="26" s="1"/>
  <c r="U284" i="26"/>
  <c r="I256" i="26"/>
  <c r="V256" i="26" s="1"/>
  <c r="U256" i="26"/>
  <c r="I274" i="26"/>
  <c r="V274" i="26" s="1"/>
  <c r="U274" i="26"/>
  <c r="I288" i="26"/>
  <c r="V288" i="26" s="1"/>
  <c r="U288" i="26"/>
  <c r="I303" i="26"/>
  <c r="V303" i="26" s="1"/>
  <c r="U303" i="26"/>
  <c r="U247" i="26"/>
  <c r="I247" i="26"/>
  <c r="V247" i="26" s="1"/>
  <c r="I258" i="26"/>
  <c r="V258" i="26" s="1"/>
  <c r="U258" i="26"/>
  <c r="I257" i="26"/>
  <c r="V257" i="26" s="1"/>
  <c r="U257" i="26"/>
  <c r="I268" i="26"/>
  <c r="V268" i="26" s="1"/>
  <c r="U268" i="26"/>
  <c r="I262" i="26"/>
  <c r="V262" i="26" s="1"/>
  <c r="U262" i="26"/>
  <c r="U259" i="26"/>
  <c r="I259" i="26"/>
  <c r="V259" i="26" s="1"/>
  <c r="I267" i="26"/>
  <c r="V267" i="26" s="1"/>
  <c r="U267" i="26"/>
  <c r="I249" i="26"/>
  <c r="V249" i="26" s="1"/>
  <c r="U249" i="26"/>
  <c r="I252" i="26"/>
  <c r="V252" i="26" s="1"/>
  <c r="U252" i="26"/>
  <c r="I250" i="26"/>
  <c r="V250" i="26" s="1"/>
  <c r="U250" i="26"/>
  <c r="U263" i="26"/>
  <c r="I263" i="26"/>
  <c r="V263" i="26" s="1"/>
  <c r="I265" i="26"/>
  <c r="V265" i="26" s="1"/>
  <c r="U265" i="26"/>
  <c r="I260" i="26"/>
  <c r="V260" i="26" s="1"/>
  <c r="U260" i="26"/>
  <c r="U261" i="26"/>
  <c r="I261" i="26"/>
  <c r="V261" i="26" s="1"/>
  <c r="I248" i="26"/>
  <c r="V248" i="26" s="1"/>
  <c r="U248" i="26"/>
  <c r="I266" i="26"/>
  <c r="V266" i="26" s="1"/>
  <c r="U266" i="26"/>
  <c r="U253" i="26"/>
  <c r="I253" i="26"/>
  <c r="V253" i="26" s="1"/>
  <c r="I25" i="26"/>
  <c r="E25" i="26"/>
  <c r="U25" i="26"/>
  <c r="F26" i="26" l="1"/>
  <c r="D26" i="26"/>
  <c r="C26" i="26" s="1"/>
  <c r="V25" i="26"/>
  <c r="I26" i="26" l="1"/>
  <c r="U26" i="26"/>
  <c r="E26" i="26"/>
  <c r="D27" i="26" l="1"/>
  <c r="C27" i="26" s="1"/>
  <c r="F27" i="26"/>
  <c r="V26" i="26"/>
  <c r="I27" i="26" l="1"/>
  <c r="U27" i="26"/>
  <c r="E27" i="26"/>
  <c r="D28" i="26" l="1"/>
  <c r="C28" i="26" s="1"/>
  <c r="F28" i="26"/>
  <c r="V27" i="26"/>
  <c r="I28" i="26" l="1"/>
  <c r="U28" i="26"/>
  <c r="E28" i="26"/>
  <c r="D29" i="26" l="1"/>
  <c r="C29" i="26" s="1"/>
  <c r="E29" i="26" s="1"/>
  <c r="F29" i="26"/>
  <c r="V28" i="26"/>
  <c r="F30" i="26" l="1"/>
  <c r="D30" i="26"/>
  <c r="C30" i="26" s="1"/>
  <c r="I29" i="26"/>
  <c r="U29" i="26"/>
  <c r="V29" i="26" l="1"/>
  <c r="I30" i="26"/>
  <c r="V30" i="26" s="1"/>
  <c r="U30" i="26"/>
  <c r="E30" i="26"/>
  <c r="D31" i="26" l="1"/>
  <c r="C31" i="26" s="1"/>
  <c r="F31" i="26"/>
  <c r="I31" i="26" l="1"/>
  <c r="V31" i="26" s="1"/>
  <c r="U31" i="26"/>
  <c r="E31" i="26"/>
  <c r="D32" i="26" l="1"/>
  <c r="C32" i="26" s="1"/>
  <c r="F32" i="26"/>
  <c r="I32" i="26" l="1"/>
  <c r="V32" i="26" s="1"/>
  <c r="U32" i="26"/>
  <c r="E32" i="26"/>
  <c r="D33" i="26" l="1"/>
  <c r="C33" i="26" s="1"/>
  <c r="E33" i="26" s="1"/>
  <c r="F33" i="26"/>
  <c r="F34" i="26" l="1"/>
  <c r="D34" i="26"/>
  <c r="C34" i="26" s="1"/>
  <c r="E34" i="26" s="1"/>
  <c r="I33" i="26"/>
  <c r="V33" i="26" s="1"/>
  <c r="U33" i="26"/>
  <c r="I34" i="26" l="1"/>
  <c r="V34" i="26" s="1"/>
  <c r="U34" i="26"/>
  <c r="D35" i="26"/>
  <c r="C35" i="26" s="1"/>
  <c r="E35" i="26" s="1"/>
  <c r="F35" i="26"/>
  <c r="D36" i="26" l="1"/>
  <c r="C36" i="26" s="1"/>
  <c r="F36" i="26"/>
  <c r="I35" i="26"/>
  <c r="V35" i="26" s="1"/>
  <c r="U35" i="26"/>
  <c r="I36" i="26" l="1"/>
  <c r="V36" i="26" s="1"/>
  <c r="U36" i="26"/>
  <c r="E36" i="26"/>
  <c r="D37" i="26" l="1"/>
  <c r="C37" i="26" s="1"/>
  <c r="E37" i="26" s="1"/>
  <c r="F37" i="26"/>
  <c r="F38" i="26" l="1"/>
  <c r="D38" i="26"/>
  <c r="C38" i="26" s="1"/>
  <c r="I37" i="26"/>
  <c r="V37" i="26" s="1"/>
  <c r="U37" i="26"/>
  <c r="I38" i="26" l="1"/>
  <c r="V38" i="26" s="1"/>
  <c r="U38" i="26"/>
  <c r="E38" i="26"/>
  <c r="D39" i="26" l="1"/>
  <c r="C39" i="26" s="1"/>
  <c r="F39" i="26"/>
  <c r="I39" i="26" l="1"/>
  <c r="V39" i="26" s="1"/>
  <c r="U39" i="26"/>
  <c r="E39" i="26"/>
  <c r="D40" i="26" l="1"/>
  <c r="C40" i="26" s="1"/>
  <c r="F40" i="26"/>
  <c r="I40" i="26" l="1"/>
  <c r="V40" i="26" s="1"/>
  <c r="U40" i="26"/>
  <c r="E40" i="26"/>
  <c r="D41" i="26" l="1"/>
  <c r="C41" i="26" s="1"/>
  <c r="E41" i="26" s="1"/>
  <c r="F41" i="26"/>
  <c r="F42" i="26" l="1"/>
  <c r="D42" i="26"/>
  <c r="C42" i="26" s="1"/>
  <c r="I41" i="26"/>
  <c r="V41" i="26" s="1"/>
  <c r="U41" i="26"/>
  <c r="I42" i="26" l="1"/>
  <c r="V42" i="26" s="1"/>
  <c r="U42" i="26"/>
  <c r="E42" i="26"/>
  <c r="D43" i="26" l="1"/>
  <c r="C43" i="26" s="1"/>
  <c r="F43" i="26"/>
  <c r="I43" i="26" l="1"/>
  <c r="V43" i="26" s="1"/>
  <c r="U43" i="26"/>
  <c r="E43" i="26"/>
  <c r="D44" i="26" l="1"/>
  <c r="C44" i="26" s="1"/>
  <c r="F44" i="26"/>
  <c r="I44" i="26" l="1"/>
  <c r="V44" i="26" s="1"/>
  <c r="U44" i="26"/>
  <c r="E44" i="26"/>
  <c r="D45" i="26" l="1"/>
  <c r="C45" i="26" s="1"/>
  <c r="E45" i="26" s="1"/>
  <c r="F45" i="26"/>
  <c r="F46" i="26" l="1"/>
  <c r="D46" i="26"/>
  <c r="C46" i="26" s="1"/>
  <c r="I45" i="26"/>
  <c r="V45" i="26" s="1"/>
  <c r="U45" i="26"/>
  <c r="I46" i="26" l="1"/>
  <c r="V46" i="26" s="1"/>
  <c r="U46" i="26"/>
  <c r="E46" i="26"/>
  <c r="D47" i="26" l="1"/>
  <c r="C47" i="26" s="1"/>
  <c r="F47" i="26"/>
  <c r="I47" i="26" l="1"/>
  <c r="V47" i="26" s="1"/>
  <c r="U47" i="26"/>
  <c r="E47" i="26"/>
  <c r="D48" i="26" l="1"/>
  <c r="C48" i="26" s="1"/>
  <c r="F48" i="26"/>
  <c r="I48" i="26" l="1"/>
  <c r="V48" i="26" s="1"/>
  <c r="U48" i="26"/>
  <c r="E48" i="26"/>
  <c r="D49" i="26" l="1"/>
  <c r="C49" i="26" s="1"/>
  <c r="E49" i="26" s="1"/>
  <c r="F49" i="26"/>
  <c r="F50" i="26" l="1"/>
  <c r="D50" i="26"/>
  <c r="C50" i="26" s="1"/>
  <c r="I49" i="26"/>
  <c r="V49" i="26" s="1"/>
  <c r="U49" i="26"/>
  <c r="I50" i="26" l="1"/>
  <c r="V50" i="26" s="1"/>
  <c r="U50" i="26"/>
  <c r="E50" i="26"/>
  <c r="D51" i="26" l="1"/>
  <c r="C51" i="26" s="1"/>
  <c r="F51" i="26"/>
  <c r="I51" i="26" l="1"/>
  <c r="V51" i="26" s="1"/>
  <c r="U51" i="26"/>
  <c r="E51" i="26"/>
  <c r="D52" i="26" l="1"/>
  <c r="C52" i="26" s="1"/>
  <c r="F52" i="26"/>
  <c r="I52" i="26" l="1"/>
  <c r="V52" i="26" s="1"/>
  <c r="U52" i="26"/>
  <c r="E52" i="26"/>
  <c r="D53" i="26" l="1"/>
  <c r="C53" i="26" s="1"/>
  <c r="E53" i="26" s="1"/>
  <c r="F53" i="26"/>
  <c r="F54" i="26" l="1"/>
  <c r="D54" i="26"/>
  <c r="C54" i="26" s="1"/>
  <c r="I53" i="26"/>
  <c r="V53" i="26" s="1"/>
  <c r="U53" i="26"/>
  <c r="I54" i="26" l="1"/>
  <c r="V54" i="26" s="1"/>
  <c r="U54" i="26"/>
  <c r="E54" i="26"/>
  <c r="D55" i="26" l="1"/>
  <c r="C55" i="26" s="1"/>
  <c r="F55" i="26"/>
  <c r="I55" i="26" l="1"/>
  <c r="V55" i="26" s="1"/>
  <c r="U55" i="26"/>
  <c r="E55" i="26"/>
  <c r="D56" i="26" l="1"/>
  <c r="C56" i="26" s="1"/>
  <c r="F56" i="26"/>
  <c r="I56" i="26" l="1"/>
  <c r="V56" i="26" s="1"/>
  <c r="U56" i="26"/>
  <c r="E56" i="26"/>
  <c r="D57" i="26" l="1"/>
  <c r="C57" i="26" s="1"/>
  <c r="E57" i="26" s="1"/>
  <c r="F57" i="26"/>
  <c r="F58" i="26" l="1"/>
  <c r="D58" i="26"/>
  <c r="C58" i="26" s="1"/>
  <c r="I57" i="26"/>
  <c r="V57" i="26" s="1"/>
  <c r="U57" i="26"/>
  <c r="I58" i="26" l="1"/>
  <c r="V58" i="26" s="1"/>
  <c r="U58" i="26"/>
  <c r="E58" i="26"/>
  <c r="D59" i="26" l="1"/>
  <c r="C59" i="26" s="1"/>
  <c r="F59" i="26"/>
  <c r="I59" i="26" l="1"/>
  <c r="V59" i="26" s="1"/>
  <c r="U59" i="26"/>
  <c r="E59" i="26"/>
  <c r="D60" i="26" l="1"/>
  <c r="C60" i="26" s="1"/>
  <c r="F60" i="26"/>
  <c r="I60" i="26" l="1"/>
  <c r="V60" i="26" s="1"/>
  <c r="U60" i="26"/>
  <c r="E60" i="26"/>
  <c r="D61" i="26" l="1"/>
  <c r="C61" i="26" s="1"/>
  <c r="E61" i="26" s="1"/>
  <c r="F61" i="26"/>
  <c r="F62" i="26" l="1"/>
  <c r="D62" i="26"/>
  <c r="C62" i="26" s="1"/>
  <c r="I61" i="26"/>
  <c r="V61" i="26" s="1"/>
  <c r="U61" i="26"/>
  <c r="I62" i="26" l="1"/>
  <c r="V62" i="26" s="1"/>
  <c r="U62" i="26"/>
  <c r="E62" i="26"/>
  <c r="D63" i="26" l="1"/>
  <c r="C63" i="26" s="1"/>
  <c r="F63" i="26"/>
  <c r="I63" i="26" l="1"/>
  <c r="V63" i="26" s="1"/>
  <c r="U63" i="26"/>
  <c r="E63" i="26"/>
  <c r="D64" i="26" l="1"/>
  <c r="C64" i="26" s="1"/>
  <c r="F64" i="26"/>
  <c r="I64" i="26" l="1"/>
  <c r="V64" i="26" s="1"/>
  <c r="U64" i="26"/>
  <c r="E64" i="26"/>
  <c r="D65" i="26" l="1"/>
  <c r="C65" i="26" s="1"/>
  <c r="E65" i="26" s="1"/>
  <c r="F65" i="26"/>
  <c r="F66" i="26" l="1"/>
  <c r="D66" i="26"/>
  <c r="C66" i="26" s="1"/>
  <c r="I65" i="26"/>
  <c r="V65" i="26" s="1"/>
  <c r="U65" i="26"/>
  <c r="I66" i="26" l="1"/>
  <c r="V66" i="26" s="1"/>
  <c r="U66" i="26"/>
  <c r="E66" i="26"/>
  <c r="D67" i="26" l="1"/>
  <c r="C67" i="26" s="1"/>
  <c r="F67" i="26"/>
  <c r="I67" i="26" l="1"/>
  <c r="V67" i="26" s="1"/>
  <c r="U67" i="26"/>
  <c r="E67" i="26"/>
  <c r="D68" i="26" l="1"/>
  <c r="C68" i="26" s="1"/>
  <c r="F68" i="26"/>
  <c r="I68" i="26" l="1"/>
  <c r="V68" i="26" s="1"/>
  <c r="U68" i="26"/>
  <c r="E68" i="26"/>
  <c r="D69" i="26" l="1"/>
  <c r="C69" i="26" s="1"/>
  <c r="E69" i="26" s="1"/>
  <c r="F69" i="26"/>
  <c r="F70" i="26" l="1"/>
  <c r="D70" i="26"/>
  <c r="C70" i="26" s="1"/>
  <c r="E70" i="26" s="1"/>
  <c r="I69" i="26"/>
  <c r="V69" i="26" s="1"/>
  <c r="U69" i="26"/>
  <c r="D71" i="26" l="1"/>
  <c r="C71" i="26" s="1"/>
  <c r="F71" i="26"/>
  <c r="I70" i="26"/>
  <c r="V70" i="26" s="1"/>
  <c r="U70" i="26"/>
  <c r="I71" i="26" l="1"/>
  <c r="V71" i="26" s="1"/>
  <c r="U71" i="26"/>
  <c r="E71" i="26"/>
  <c r="D72" i="26" l="1"/>
  <c r="C72" i="26" s="1"/>
  <c r="F72" i="26"/>
  <c r="I72" i="26" l="1"/>
  <c r="V72" i="26" s="1"/>
  <c r="U72" i="26"/>
  <c r="E72" i="26"/>
  <c r="D73" i="26" l="1"/>
  <c r="C73" i="26" s="1"/>
  <c r="F73" i="26"/>
  <c r="E73" i="26"/>
  <c r="F74" i="26" l="1"/>
  <c r="D74" i="26"/>
  <c r="C74" i="26" s="1"/>
  <c r="I73" i="26"/>
  <c r="V73" i="26" s="1"/>
  <c r="U73" i="26"/>
  <c r="I74" i="26" l="1"/>
  <c r="V74" i="26" s="1"/>
  <c r="U74" i="26"/>
  <c r="E74" i="26"/>
  <c r="D75" i="26" l="1"/>
  <c r="C75" i="26" s="1"/>
  <c r="F75" i="26"/>
  <c r="I75" i="26" l="1"/>
  <c r="V75" i="26" s="1"/>
  <c r="U75" i="26"/>
  <c r="E75" i="26"/>
  <c r="D76" i="26" l="1"/>
  <c r="C76" i="26" s="1"/>
  <c r="F76" i="26"/>
  <c r="I76" i="26" l="1"/>
  <c r="V76" i="26" s="1"/>
  <c r="U76" i="26"/>
  <c r="E76" i="26"/>
  <c r="D77" i="26" l="1"/>
  <c r="C77" i="26" s="1"/>
  <c r="E77" i="26" s="1"/>
  <c r="F77" i="26"/>
  <c r="F78" i="26" l="1"/>
  <c r="D78" i="26"/>
  <c r="C78" i="26" s="1"/>
  <c r="I77" i="26"/>
  <c r="V77" i="26" s="1"/>
  <c r="U77" i="26"/>
  <c r="I78" i="26" l="1"/>
  <c r="V78" i="26" s="1"/>
  <c r="U78" i="26"/>
  <c r="E78" i="26"/>
  <c r="F79" i="26" l="1"/>
  <c r="D79" i="26"/>
  <c r="C79" i="26" s="1"/>
  <c r="I79" i="26" l="1"/>
  <c r="V79" i="26" s="1"/>
  <c r="U79" i="26"/>
  <c r="E79" i="26"/>
  <c r="D80" i="26" l="1"/>
  <c r="C80" i="26" s="1"/>
  <c r="F80" i="26"/>
  <c r="I80" i="26" l="1"/>
  <c r="V80" i="26" s="1"/>
  <c r="U80" i="26"/>
  <c r="E80" i="26"/>
  <c r="D81" i="26" l="1"/>
  <c r="C81" i="26" s="1"/>
  <c r="E81" i="26" s="1"/>
  <c r="F81" i="26"/>
  <c r="F82" i="26" l="1"/>
  <c r="D82" i="26"/>
  <c r="C82" i="26" s="1"/>
  <c r="I81" i="26"/>
  <c r="V81" i="26" s="1"/>
  <c r="U81" i="26"/>
  <c r="I82" i="26" l="1"/>
  <c r="V82" i="26" s="1"/>
  <c r="U82" i="26"/>
  <c r="E82" i="26"/>
  <c r="D83" i="26" l="1"/>
  <c r="C83" i="26" s="1"/>
  <c r="F83" i="26"/>
  <c r="I83" i="26" l="1"/>
  <c r="V83" i="26" s="1"/>
  <c r="U83" i="26"/>
  <c r="E83" i="26"/>
  <c r="D84" i="26" l="1"/>
  <c r="C84" i="26" s="1"/>
  <c r="F84" i="26"/>
  <c r="I84" i="26" l="1"/>
  <c r="V84" i="26" s="1"/>
  <c r="U84" i="26"/>
  <c r="E84" i="26"/>
  <c r="D85" i="26" l="1"/>
  <c r="C85" i="26" s="1"/>
  <c r="F85" i="26"/>
  <c r="E85" i="26"/>
  <c r="F86" i="26" l="1"/>
  <c r="D86" i="26"/>
  <c r="C86" i="26" s="1"/>
  <c r="I85" i="26"/>
  <c r="V85" i="26" s="1"/>
  <c r="U85" i="26"/>
  <c r="I86" i="26" l="1"/>
  <c r="V86" i="26" s="1"/>
  <c r="U86" i="26"/>
  <c r="E86" i="26"/>
  <c r="D87" i="26" l="1"/>
  <c r="C87" i="26" s="1"/>
  <c r="F87" i="26"/>
  <c r="I87" i="26" l="1"/>
  <c r="V87" i="26" s="1"/>
  <c r="U87" i="26"/>
  <c r="E87" i="26"/>
  <c r="D88" i="26" l="1"/>
  <c r="C88" i="26" s="1"/>
  <c r="F88" i="26"/>
  <c r="I88" i="26" l="1"/>
  <c r="V88" i="26" s="1"/>
  <c r="U88" i="26"/>
  <c r="E88" i="26"/>
  <c r="D89" i="26" l="1"/>
  <c r="C89" i="26" s="1"/>
  <c r="F89" i="26"/>
  <c r="E89" i="26"/>
  <c r="F90" i="26" l="1"/>
  <c r="D90" i="26"/>
  <c r="C90" i="26" s="1"/>
  <c r="I89" i="26"/>
  <c r="V89" i="26" s="1"/>
  <c r="U89" i="26"/>
  <c r="I90" i="26" l="1"/>
  <c r="V90" i="26" s="1"/>
  <c r="U90" i="26"/>
  <c r="E90" i="26"/>
  <c r="D91" i="26" l="1"/>
  <c r="C91" i="26" s="1"/>
  <c r="F91" i="26"/>
  <c r="I91" i="26" l="1"/>
  <c r="V91" i="26" s="1"/>
  <c r="U91" i="26"/>
  <c r="E91" i="26"/>
  <c r="D92" i="26" l="1"/>
  <c r="C92" i="26" s="1"/>
  <c r="F92" i="26"/>
  <c r="I92" i="26" l="1"/>
  <c r="V92" i="26" s="1"/>
  <c r="U92" i="26"/>
  <c r="E92" i="26"/>
  <c r="D93" i="26" l="1"/>
  <c r="C93" i="26" s="1"/>
  <c r="E93" i="26" s="1"/>
  <c r="F93" i="26"/>
  <c r="F94" i="26" l="1"/>
  <c r="D94" i="26"/>
  <c r="C94" i="26" s="1"/>
  <c r="I93" i="26"/>
  <c r="V93" i="26" s="1"/>
  <c r="U93" i="26"/>
  <c r="I94" i="26" l="1"/>
  <c r="V94" i="26" s="1"/>
  <c r="U94" i="26"/>
  <c r="E94" i="26"/>
  <c r="D95" i="26" l="1"/>
  <c r="C95" i="26" s="1"/>
  <c r="F95" i="26"/>
  <c r="I95" i="26" l="1"/>
  <c r="V95" i="26" s="1"/>
  <c r="U95" i="26"/>
  <c r="E95" i="26"/>
  <c r="D96" i="26" l="1"/>
  <c r="C96" i="26" s="1"/>
  <c r="F96" i="26"/>
  <c r="I96" i="26" l="1"/>
  <c r="V96" i="26" s="1"/>
  <c r="U96" i="26"/>
  <c r="E96" i="26"/>
  <c r="F97" i="26" l="1"/>
  <c r="D97" i="26"/>
  <c r="C97" i="26" s="1"/>
  <c r="I97" i="26" l="1"/>
  <c r="V97" i="26" s="1"/>
  <c r="U97" i="26"/>
  <c r="E97" i="26"/>
  <c r="D98" i="26" l="1"/>
  <c r="C98" i="26" s="1"/>
  <c r="F98" i="26"/>
  <c r="I98" i="26" l="1"/>
  <c r="V98" i="26" s="1"/>
  <c r="U98" i="26"/>
  <c r="E98" i="26"/>
  <c r="D99" i="26" l="1"/>
  <c r="C99" i="26" s="1"/>
  <c r="F99" i="26"/>
  <c r="I99" i="26" l="1"/>
  <c r="V99" i="26" s="1"/>
  <c r="U99" i="26"/>
  <c r="E99" i="26"/>
  <c r="F100" i="26" l="1"/>
  <c r="D100" i="26"/>
  <c r="C100" i="26" s="1"/>
  <c r="I100" i="26" l="1"/>
  <c r="V100" i="26" s="1"/>
  <c r="U100" i="26"/>
  <c r="E100" i="26"/>
  <c r="D101" i="26" l="1"/>
  <c r="C101" i="26" s="1"/>
  <c r="F101" i="26"/>
  <c r="I101" i="26" l="1"/>
  <c r="V101" i="26" s="1"/>
  <c r="U101" i="26"/>
  <c r="E101" i="26"/>
  <c r="D102" i="26" l="1"/>
  <c r="C102" i="26" s="1"/>
  <c r="F102" i="26"/>
  <c r="I102" i="26" l="1"/>
  <c r="V102" i="26" s="1"/>
  <c r="U102" i="26"/>
  <c r="E102" i="26"/>
  <c r="D103" i="26" l="1"/>
  <c r="C103" i="26" s="1"/>
  <c r="F103" i="26"/>
  <c r="I103" i="26" l="1"/>
  <c r="V103" i="26" s="1"/>
  <c r="U103" i="26"/>
  <c r="E103" i="26"/>
  <c r="D104" i="26" l="1"/>
  <c r="C104" i="26" s="1"/>
  <c r="F104" i="26"/>
  <c r="I104" i="26" l="1"/>
  <c r="V104" i="26" s="1"/>
  <c r="U104" i="26"/>
  <c r="E104" i="26"/>
  <c r="F105" i="26" l="1"/>
  <c r="D105" i="26"/>
  <c r="C105" i="26" s="1"/>
  <c r="I105" i="26" l="1"/>
  <c r="V105" i="26" s="1"/>
  <c r="U105" i="26"/>
  <c r="E105" i="26"/>
  <c r="D106" i="26" l="1"/>
  <c r="C106" i="26" s="1"/>
  <c r="F106" i="26"/>
  <c r="I106" i="26" l="1"/>
  <c r="V106" i="26" s="1"/>
  <c r="U106" i="26"/>
  <c r="E106" i="26"/>
  <c r="D107" i="26" l="1"/>
  <c r="C107" i="26" s="1"/>
  <c r="F107" i="26"/>
  <c r="I107" i="26" l="1"/>
  <c r="V107" i="26" s="1"/>
  <c r="U107" i="26"/>
  <c r="E107" i="26"/>
  <c r="F108" i="26" l="1"/>
  <c r="D108" i="26"/>
  <c r="C108" i="26" s="1"/>
  <c r="I108" i="26" l="1"/>
  <c r="V108" i="26" s="1"/>
  <c r="U108" i="26"/>
  <c r="E108" i="26"/>
  <c r="D109" i="26" l="1"/>
  <c r="C109" i="26" s="1"/>
  <c r="F109" i="26"/>
  <c r="I109" i="26" l="1"/>
  <c r="V109" i="26" s="1"/>
  <c r="U109" i="26"/>
  <c r="E109" i="26"/>
  <c r="D110" i="26" l="1"/>
  <c r="C110" i="26" s="1"/>
  <c r="F110" i="26"/>
  <c r="I110" i="26" l="1"/>
  <c r="V110" i="26" s="1"/>
  <c r="U110" i="26"/>
  <c r="E110" i="26"/>
  <c r="D111" i="26" l="1"/>
  <c r="C111" i="26" s="1"/>
  <c r="F111" i="26"/>
  <c r="I111" i="26" l="1"/>
  <c r="V111" i="26" s="1"/>
  <c r="U111" i="26"/>
  <c r="E111" i="26"/>
  <c r="D112" i="26" l="1"/>
  <c r="C112" i="26" s="1"/>
  <c r="F112" i="26"/>
  <c r="I112" i="26" l="1"/>
  <c r="V112" i="26" s="1"/>
  <c r="U112" i="26"/>
  <c r="E112" i="26"/>
  <c r="F113" i="26" l="1"/>
  <c r="D113" i="26"/>
  <c r="C113" i="26" s="1"/>
  <c r="I113" i="26" l="1"/>
  <c r="V113" i="26" s="1"/>
  <c r="U113" i="26"/>
  <c r="E113" i="26"/>
  <c r="D114" i="26" l="1"/>
  <c r="C114" i="26" s="1"/>
  <c r="F114" i="26"/>
  <c r="I114" i="26" l="1"/>
  <c r="V114" i="26" s="1"/>
  <c r="U114" i="26"/>
  <c r="E114" i="26"/>
  <c r="D115" i="26" l="1"/>
  <c r="C115" i="26" s="1"/>
  <c r="F115" i="26"/>
  <c r="I115" i="26" l="1"/>
  <c r="V115" i="26" s="1"/>
  <c r="U115" i="26"/>
  <c r="E115" i="26"/>
  <c r="F116" i="26" l="1"/>
  <c r="D116" i="26"/>
  <c r="C116" i="26" s="1"/>
  <c r="I116" i="26" l="1"/>
  <c r="V116" i="26" s="1"/>
  <c r="U116" i="26"/>
  <c r="E116" i="26"/>
  <c r="D117" i="26" l="1"/>
  <c r="C117" i="26" s="1"/>
  <c r="F117" i="26"/>
  <c r="I117" i="26" l="1"/>
  <c r="V117" i="26" s="1"/>
  <c r="U117" i="26"/>
  <c r="E117" i="26"/>
  <c r="D118" i="26" l="1"/>
  <c r="C118" i="26" s="1"/>
  <c r="F118" i="26"/>
  <c r="I118" i="26" l="1"/>
  <c r="V118" i="26" s="1"/>
  <c r="U118" i="26"/>
  <c r="E118" i="26"/>
  <c r="D119" i="26" l="1"/>
  <c r="C119" i="26" s="1"/>
  <c r="F119" i="26"/>
  <c r="I119" i="26" l="1"/>
  <c r="V119" i="26" s="1"/>
  <c r="U119" i="26"/>
  <c r="E119" i="26"/>
  <c r="D120" i="26" l="1"/>
  <c r="C120" i="26" s="1"/>
  <c r="F120" i="26"/>
  <c r="I120" i="26" l="1"/>
  <c r="V120" i="26" s="1"/>
  <c r="U120" i="26"/>
  <c r="E120" i="26"/>
  <c r="F121" i="26" l="1"/>
  <c r="D121" i="26"/>
  <c r="C121" i="26" s="1"/>
  <c r="I121" i="26" l="1"/>
  <c r="V121" i="26" s="1"/>
  <c r="U121" i="26"/>
  <c r="E121" i="26"/>
  <c r="D122" i="26" l="1"/>
  <c r="C122" i="26" s="1"/>
  <c r="F122" i="26"/>
  <c r="I122" i="26" l="1"/>
  <c r="V122" i="26" s="1"/>
  <c r="U122" i="26"/>
  <c r="E122" i="26"/>
  <c r="D123" i="26" l="1"/>
  <c r="C123" i="26" s="1"/>
  <c r="F123" i="26"/>
  <c r="I123" i="26" l="1"/>
  <c r="V123" i="26" s="1"/>
  <c r="U123" i="26"/>
  <c r="E123" i="26"/>
  <c r="F124" i="26" l="1"/>
  <c r="D124" i="26"/>
  <c r="C124" i="26" s="1"/>
  <c r="I124" i="26" l="1"/>
  <c r="V124" i="26" s="1"/>
  <c r="U124" i="26"/>
  <c r="E124" i="26"/>
  <c r="D125" i="26" l="1"/>
  <c r="C125" i="26" s="1"/>
  <c r="F125" i="26"/>
  <c r="I125" i="26" l="1"/>
  <c r="V125" i="26" s="1"/>
  <c r="U125" i="26"/>
  <c r="E125" i="26"/>
  <c r="D126" i="26" l="1"/>
  <c r="C126" i="26" s="1"/>
  <c r="F126" i="26"/>
  <c r="I126" i="26" l="1"/>
  <c r="V126" i="26" s="1"/>
  <c r="U126" i="26"/>
  <c r="E126" i="26"/>
  <c r="D127" i="26" l="1"/>
  <c r="C127" i="26" s="1"/>
  <c r="F127" i="26"/>
  <c r="I127" i="26" l="1"/>
  <c r="V127" i="26" s="1"/>
  <c r="U127" i="26"/>
  <c r="E127" i="26"/>
  <c r="D128" i="26" l="1"/>
  <c r="C128" i="26" s="1"/>
  <c r="F128" i="26"/>
  <c r="I128" i="26" l="1"/>
  <c r="V128" i="26" s="1"/>
  <c r="U128" i="26"/>
  <c r="E128" i="26"/>
  <c r="F129" i="26" l="1"/>
  <c r="D129" i="26"/>
  <c r="C129" i="26" s="1"/>
  <c r="I129" i="26" l="1"/>
  <c r="V129" i="26" s="1"/>
  <c r="U129" i="26"/>
  <c r="E129" i="26"/>
  <c r="F130" i="26" l="1"/>
  <c r="D130" i="26"/>
  <c r="C130" i="26" s="1"/>
  <c r="I130" i="26" l="1"/>
  <c r="V130" i="26" s="1"/>
  <c r="U130" i="26"/>
  <c r="E130" i="26"/>
  <c r="D131" i="26" l="1"/>
  <c r="C131" i="26" s="1"/>
  <c r="F131" i="26"/>
  <c r="I131" i="26" l="1"/>
  <c r="V131" i="26" s="1"/>
  <c r="U131" i="26"/>
  <c r="E131" i="26"/>
  <c r="F132" i="26" l="1"/>
  <c r="D132" i="26"/>
  <c r="C132" i="26" s="1"/>
  <c r="I132" i="26" l="1"/>
  <c r="V132" i="26" s="1"/>
  <c r="U132" i="26"/>
  <c r="E132" i="26"/>
  <c r="D133" i="26" l="1"/>
  <c r="C133" i="26" s="1"/>
  <c r="F133" i="26"/>
  <c r="I133" i="26" l="1"/>
  <c r="V133" i="26" s="1"/>
  <c r="U133" i="26"/>
  <c r="E133" i="26"/>
  <c r="D134" i="26" l="1"/>
  <c r="C134" i="26" s="1"/>
  <c r="F134" i="26"/>
  <c r="I134" i="26" l="1"/>
  <c r="V134" i="26" s="1"/>
  <c r="U134" i="26"/>
  <c r="E134" i="26"/>
  <c r="D135" i="26" l="1"/>
  <c r="C135" i="26" s="1"/>
  <c r="F135" i="26"/>
  <c r="I135" i="26" l="1"/>
  <c r="V135" i="26" s="1"/>
  <c r="U135" i="26"/>
  <c r="E135" i="26"/>
  <c r="D136" i="26" l="1"/>
  <c r="C136" i="26" s="1"/>
  <c r="F136" i="26"/>
  <c r="I136" i="26" l="1"/>
  <c r="V136" i="26" s="1"/>
  <c r="U136" i="26"/>
  <c r="E136" i="26"/>
  <c r="F137" i="26" l="1"/>
  <c r="D137" i="26"/>
  <c r="C137" i="26" s="1"/>
  <c r="I137" i="26" l="1"/>
  <c r="V137" i="26" s="1"/>
  <c r="U137" i="26"/>
  <c r="E137" i="26"/>
  <c r="F138" i="26" l="1"/>
  <c r="D138" i="26"/>
  <c r="C138" i="26" s="1"/>
  <c r="I138" i="26" l="1"/>
  <c r="V138" i="26" s="1"/>
  <c r="U138" i="26"/>
  <c r="E138" i="26"/>
  <c r="F139" i="26" l="1"/>
  <c r="D139" i="26"/>
  <c r="C139" i="26" s="1"/>
  <c r="I139" i="26" l="1"/>
  <c r="V139" i="26" s="1"/>
  <c r="U139" i="26"/>
  <c r="E139" i="26"/>
  <c r="D140" i="26" l="1"/>
  <c r="C140" i="26" s="1"/>
  <c r="E140" i="26" s="1"/>
  <c r="F140" i="26"/>
  <c r="D141" i="26" l="1"/>
  <c r="C141" i="26" s="1"/>
  <c r="E141" i="26" s="1"/>
  <c r="F141" i="26"/>
  <c r="I140" i="26"/>
  <c r="V140" i="26" s="1"/>
  <c r="U140" i="26"/>
  <c r="D142" i="26" l="1"/>
  <c r="C142" i="26" s="1"/>
  <c r="F142" i="26"/>
  <c r="E142" i="26"/>
  <c r="I141" i="26"/>
  <c r="V141" i="26" s="1"/>
  <c r="U141" i="26"/>
  <c r="F143" i="26" l="1"/>
  <c r="D143" i="26"/>
  <c r="C143" i="26" s="1"/>
  <c r="I142" i="26"/>
  <c r="V142" i="26" s="1"/>
  <c r="U142" i="26"/>
  <c r="U143" i="26" l="1"/>
  <c r="I143" i="26"/>
  <c r="V143" i="26" s="1"/>
  <c r="E143" i="26"/>
  <c r="D144" i="26" l="1"/>
  <c r="C144" i="26" s="1"/>
  <c r="E144" i="26" s="1"/>
  <c r="F144" i="26"/>
  <c r="D145" i="26" l="1"/>
  <c r="C145" i="26" s="1"/>
  <c r="E145" i="26" s="1"/>
  <c r="F145" i="26"/>
  <c r="I144" i="26"/>
  <c r="V144" i="26" s="1"/>
  <c r="U144" i="26"/>
  <c r="D146" i="26" l="1"/>
  <c r="C146" i="26" s="1"/>
  <c r="E146" i="26" s="1"/>
  <c r="F146" i="26"/>
  <c r="I145" i="26"/>
  <c r="V145" i="26" s="1"/>
  <c r="U145" i="26"/>
  <c r="F147" i="26" l="1"/>
  <c r="D147" i="26"/>
  <c r="C147" i="26" s="1"/>
  <c r="I146" i="26"/>
  <c r="V146" i="26" s="1"/>
  <c r="U146" i="26"/>
  <c r="I147" i="26" l="1"/>
  <c r="V147" i="26" s="1"/>
  <c r="U147" i="26"/>
  <c r="E147" i="26"/>
  <c r="D148" i="26" l="1"/>
  <c r="C148" i="26" s="1"/>
  <c r="E148" i="26" s="1"/>
  <c r="F148" i="26"/>
  <c r="D149" i="26" l="1"/>
  <c r="C149" i="26" s="1"/>
  <c r="E149" i="26" s="1"/>
  <c r="F149" i="26"/>
  <c r="I148" i="26"/>
  <c r="V148" i="26" s="1"/>
  <c r="U148" i="26"/>
  <c r="D150" i="26" l="1"/>
  <c r="C150" i="26" s="1"/>
  <c r="E150" i="26" s="1"/>
  <c r="F150" i="26"/>
  <c r="I149" i="26"/>
  <c r="V149" i="26" s="1"/>
  <c r="U149" i="26"/>
  <c r="F151" i="26" l="1"/>
  <c r="D151" i="26"/>
  <c r="C151" i="26" s="1"/>
  <c r="I150" i="26"/>
  <c r="V150" i="26" s="1"/>
  <c r="U150" i="26"/>
  <c r="I151" i="26" l="1"/>
  <c r="V151" i="26" s="1"/>
  <c r="U151" i="26"/>
  <c r="E151" i="26"/>
  <c r="D152" i="26" l="1"/>
  <c r="C152" i="26" s="1"/>
  <c r="E152" i="26" s="1"/>
  <c r="F152" i="26"/>
  <c r="D153" i="26" l="1"/>
  <c r="C153" i="26" s="1"/>
  <c r="E153" i="26" s="1"/>
  <c r="F153" i="26"/>
  <c r="I152" i="26"/>
  <c r="V152" i="26" s="1"/>
  <c r="U152" i="26"/>
  <c r="D154" i="26" l="1"/>
  <c r="C154" i="26" s="1"/>
  <c r="E154" i="26" s="1"/>
  <c r="F154" i="26"/>
  <c r="I153" i="26"/>
  <c r="V153" i="26" s="1"/>
  <c r="U153" i="26"/>
  <c r="F155" i="26" l="1"/>
  <c r="D155" i="26"/>
  <c r="C155" i="26" s="1"/>
  <c r="I154" i="26"/>
  <c r="V154" i="26" s="1"/>
  <c r="U154" i="26"/>
  <c r="I155" i="26" l="1"/>
  <c r="V155" i="26" s="1"/>
  <c r="U155" i="26"/>
  <c r="E155" i="26"/>
  <c r="D156" i="26" l="1"/>
  <c r="C156" i="26" s="1"/>
  <c r="E156" i="26" s="1"/>
  <c r="F156" i="26"/>
  <c r="D157" i="26" l="1"/>
  <c r="C157" i="26" s="1"/>
  <c r="F157" i="26"/>
  <c r="E157" i="26"/>
  <c r="I156" i="26"/>
  <c r="V156" i="26" s="1"/>
  <c r="U156" i="26"/>
  <c r="D158" i="26" l="1"/>
  <c r="C158" i="26" s="1"/>
  <c r="E158" i="26" s="1"/>
  <c r="F158" i="26"/>
  <c r="I157" i="26"/>
  <c r="V157" i="26" s="1"/>
  <c r="U157" i="26"/>
  <c r="F159" i="26" l="1"/>
  <c r="D159" i="26"/>
  <c r="C159" i="26" s="1"/>
  <c r="I158" i="26"/>
  <c r="V158" i="26" s="1"/>
  <c r="U158" i="26"/>
  <c r="I159" i="26" l="1"/>
  <c r="V159" i="26" s="1"/>
  <c r="U159" i="26"/>
  <c r="E159" i="26"/>
  <c r="D160" i="26" l="1"/>
  <c r="C160" i="26" s="1"/>
  <c r="E160" i="26" s="1"/>
  <c r="F160" i="26"/>
  <c r="D161" i="26" l="1"/>
  <c r="C161" i="26" s="1"/>
  <c r="E161" i="26" s="1"/>
  <c r="F161" i="26"/>
  <c r="I160" i="26"/>
  <c r="V160" i="26" s="1"/>
  <c r="U160" i="26"/>
  <c r="D162" i="26" l="1"/>
  <c r="C162" i="26" s="1"/>
  <c r="E162" i="26" s="1"/>
  <c r="F162" i="26"/>
  <c r="I161" i="26"/>
  <c r="V161" i="26" s="1"/>
  <c r="U161" i="26"/>
  <c r="F163" i="26" l="1"/>
  <c r="D163" i="26"/>
  <c r="C163" i="26" s="1"/>
  <c r="I162" i="26"/>
  <c r="V162" i="26" s="1"/>
  <c r="U162" i="26"/>
  <c r="I163" i="26" l="1"/>
  <c r="V163" i="26" s="1"/>
  <c r="U163" i="26"/>
  <c r="E163" i="26"/>
  <c r="D164" i="26" l="1"/>
  <c r="C164" i="26" s="1"/>
  <c r="E164" i="26" s="1"/>
  <c r="F164" i="26"/>
  <c r="D165" i="26" l="1"/>
  <c r="C165" i="26" s="1"/>
  <c r="E165" i="26" s="1"/>
  <c r="F165" i="26"/>
  <c r="I164" i="26"/>
  <c r="V164" i="26" s="1"/>
  <c r="U164" i="26"/>
  <c r="D166" i="26" l="1"/>
  <c r="C166" i="26" s="1"/>
  <c r="E166" i="26" s="1"/>
  <c r="F166" i="26"/>
  <c r="I165" i="26"/>
  <c r="V165" i="26" s="1"/>
  <c r="U165" i="26"/>
  <c r="F167" i="26" l="1"/>
  <c r="D167" i="26"/>
  <c r="C167" i="26" s="1"/>
  <c r="I166" i="26"/>
  <c r="V166" i="26" s="1"/>
  <c r="U166" i="26"/>
  <c r="I167" i="26" l="1"/>
  <c r="V167" i="26" s="1"/>
  <c r="U167" i="26"/>
  <c r="E167" i="26"/>
  <c r="D168" i="26" l="1"/>
  <c r="C168" i="26" s="1"/>
  <c r="E168" i="26" s="1"/>
  <c r="F168" i="26"/>
  <c r="D169" i="26" l="1"/>
  <c r="C169" i="26" s="1"/>
  <c r="F169" i="26"/>
  <c r="E169" i="26"/>
  <c r="I168" i="26"/>
  <c r="V168" i="26" s="1"/>
  <c r="U168" i="26"/>
  <c r="D170" i="26" l="1"/>
  <c r="C170" i="26" s="1"/>
  <c r="E170" i="26" s="1"/>
  <c r="F170" i="26"/>
  <c r="I169" i="26"/>
  <c r="V169" i="26" s="1"/>
  <c r="U169" i="26"/>
  <c r="F171" i="26" l="1"/>
  <c r="D171" i="26"/>
  <c r="C171" i="26" s="1"/>
  <c r="I170" i="26"/>
  <c r="V170" i="26" s="1"/>
  <c r="U170" i="26"/>
  <c r="I171" i="26" l="1"/>
  <c r="V171" i="26" s="1"/>
  <c r="U171" i="26"/>
  <c r="E171" i="26"/>
  <c r="D172" i="26" l="1"/>
  <c r="C172" i="26" s="1"/>
  <c r="E172" i="26" s="1"/>
  <c r="F172" i="26"/>
  <c r="D173" i="26" l="1"/>
  <c r="C173" i="26" s="1"/>
  <c r="E173" i="26" s="1"/>
  <c r="F173" i="26"/>
  <c r="I172" i="26"/>
  <c r="V172" i="26" s="1"/>
  <c r="U172" i="26"/>
  <c r="D174" i="26" l="1"/>
  <c r="C174" i="26" s="1"/>
  <c r="F174" i="26"/>
  <c r="E174" i="26"/>
  <c r="I173" i="26"/>
  <c r="V173" i="26" s="1"/>
  <c r="U173" i="26"/>
  <c r="F175" i="26" l="1"/>
  <c r="D175" i="26"/>
  <c r="C175" i="26" s="1"/>
  <c r="I174" i="26"/>
  <c r="V174" i="26" s="1"/>
  <c r="U174" i="26"/>
  <c r="U175" i="26" l="1"/>
  <c r="I175" i="26"/>
  <c r="V175" i="26" s="1"/>
  <c r="E175" i="26"/>
  <c r="D176" i="26" l="1"/>
  <c r="C176" i="26" s="1"/>
  <c r="F176" i="26"/>
  <c r="E176" i="26"/>
  <c r="D177" i="26" l="1"/>
  <c r="C177" i="26" s="1"/>
  <c r="E177" i="26" s="1"/>
  <c r="F177" i="26"/>
  <c r="I176" i="26"/>
  <c r="V176" i="26" s="1"/>
  <c r="U176" i="26"/>
  <c r="D178" i="26" l="1"/>
  <c r="C178" i="26" s="1"/>
  <c r="E178" i="26" s="1"/>
  <c r="F178" i="26"/>
  <c r="I177" i="26"/>
  <c r="V177" i="26" s="1"/>
  <c r="U177" i="26"/>
  <c r="F179" i="26" l="1"/>
  <c r="D179" i="26"/>
  <c r="C179" i="26" s="1"/>
  <c r="I178" i="26"/>
  <c r="V178" i="26" s="1"/>
  <c r="U178" i="26"/>
  <c r="I179" i="26" l="1"/>
  <c r="V179" i="26" s="1"/>
  <c r="U179" i="26"/>
  <c r="E179" i="26"/>
  <c r="D180" i="26" l="1"/>
  <c r="C180" i="26" s="1"/>
  <c r="E180" i="26" s="1"/>
  <c r="F180" i="26"/>
  <c r="D181" i="26" l="1"/>
  <c r="C181" i="26" s="1"/>
  <c r="F181" i="26"/>
  <c r="E181" i="26"/>
  <c r="I180" i="26"/>
  <c r="V180" i="26" s="1"/>
  <c r="U180" i="26"/>
  <c r="D182" i="26" l="1"/>
  <c r="C182" i="26" s="1"/>
  <c r="E182" i="26" s="1"/>
  <c r="F182" i="26"/>
  <c r="I181" i="26"/>
  <c r="V181" i="26" s="1"/>
  <c r="U181" i="26"/>
  <c r="F183" i="26" l="1"/>
  <c r="D183" i="26"/>
  <c r="C183" i="26" s="1"/>
  <c r="I182" i="26"/>
  <c r="V182" i="26" s="1"/>
  <c r="U182" i="26"/>
  <c r="I183" i="26" l="1"/>
  <c r="V183" i="26" s="1"/>
  <c r="U183" i="26"/>
  <c r="E183" i="26"/>
  <c r="D184" i="26" l="1"/>
  <c r="C184" i="26" s="1"/>
  <c r="E184" i="26" s="1"/>
  <c r="F184" i="26"/>
  <c r="D185" i="26" l="1"/>
  <c r="C185" i="26" s="1"/>
  <c r="F185" i="26"/>
  <c r="E185" i="26"/>
  <c r="I184" i="26"/>
  <c r="V184" i="26" s="1"/>
  <c r="U184" i="26"/>
  <c r="D186" i="26" l="1"/>
  <c r="C186" i="26" s="1"/>
  <c r="E186" i="26" s="1"/>
  <c r="F186" i="26"/>
  <c r="I185" i="26"/>
  <c r="V185" i="26" s="1"/>
  <c r="U185" i="26"/>
  <c r="F187" i="26" l="1"/>
  <c r="D187" i="26"/>
  <c r="C187" i="26" s="1"/>
  <c r="I186" i="26"/>
  <c r="V186" i="26" s="1"/>
  <c r="U186" i="26"/>
  <c r="I187" i="26" l="1"/>
  <c r="V187" i="26" s="1"/>
  <c r="U187" i="26"/>
  <c r="E187" i="26"/>
  <c r="D188" i="26" l="1"/>
  <c r="C188" i="26" s="1"/>
  <c r="E188" i="26" s="1"/>
  <c r="F188" i="26"/>
  <c r="D189" i="26" l="1"/>
  <c r="C189" i="26" s="1"/>
  <c r="E189" i="26" s="1"/>
  <c r="F189" i="26"/>
  <c r="I188" i="26"/>
  <c r="V188" i="26" s="1"/>
  <c r="U188" i="26"/>
  <c r="D190" i="26" l="1"/>
  <c r="C190" i="26" s="1"/>
  <c r="E190" i="26" s="1"/>
  <c r="F190" i="26"/>
  <c r="I189" i="26"/>
  <c r="V189" i="26" s="1"/>
  <c r="U189" i="26"/>
  <c r="F191" i="26" l="1"/>
  <c r="D191" i="26"/>
  <c r="C191" i="26" s="1"/>
  <c r="I190" i="26"/>
  <c r="V190" i="26" s="1"/>
  <c r="U190" i="26"/>
  <c r="I191" i="26" l="1"/>
  <c r="V191" i="26" s="1"/>
  <c r="U191" i="26"/>
  <c r="E191" i="26"/>
  <c r="D192" i="26" l="1"/>
  <c r="C192" i="26" s="1"/>
  <c r="E192" i="26" s="1"/>
  <c r="F192" i="26"/>
  <c r="D193" i="26" l="1"/>
  <c r="C193" i="26" s="1"/>
  <c r="E193" i="26" s="1"/>
  <c r="F193" i="26"/>
  <c r="I192" i="26"/>
  <c r="V192" i="26" s="1"/>
  <c r="U192" i="26"/>
  <c r="D194" i="26" l="1"/>
  <c r="C194" i="26" s="1"/>
  <c r="E194" i="26" s="1"/>
  <c r="F194" i="26"/>
  <c r="I193" i="26"/>
  <c r="V193" i="26" s="1"/>
  <c r="U193" i="26"/>
  <c r="F195" i="26" l="1"/>
  <c r="D195" i="26"/>
  <c r="C195" i="26" s="1"/>
  <c r="I194" i="26"/>
  <c r="V194" i="26" s="1"/>
  <c r="U194" i="26"/>
  <c r="I195" i="26" l="1"/>
  <c r="V195" i="26" s="1"/>
  <c r="U195" i="26"/>
  <c r="E195" i="26"/>
  <c r="D196" i="26" l="1"/>
  <c r="C196" i="26" s="1"/>
  <c r="F196" i="26"/>
  <c r="E196" i="26"/>
  <c r="D197" i="26" l="1"/>
  <c r="C197" i="26" s="1"/>
  <c r="E197" i="26" s="1"/>
  <c r="F197" i="26"/>
  <c r="I196" i="26"/>
  <c r="V196" i="26" s="1"/>
  <c r="U196" i="26"/>
  <c r="D198" i="26" l="1"/>
  <c r="C198" i="26" s="1"/>
  <c r="E198" i="26" s="1"/>
  <c r="F198" i="26"/>
  <c r="I197" i="26"/>
  <c r="V197" i="26" s="1"/>
  <c r="U197" i="26"/>
  <c r="D199" i="26" l="1"/>
  <c r="C199" i="26" s="1"/>
  <c r="F199" i="26"/>
  <c r="I198" i="26"/>
  <c r="V198" i="26" s="1"/>
  <c r="U198" i="26"/>
  <c r="I199" i="26" l="1"/>
  <c r="V199" i="26" s="1"/>
  <c r="U199" i="26"/>
  <c r="E199" i="26"/>
  <c r="F200" i="26" l="1"/>
  <c r="D200" i="26"/>
  <c r="C200" i="26" s="1"/>
  <c r="I200" i="26" l="1"/>
  <c r="V200" i="26" s="1"/>
  <c r="U200" i="26"/>
  <c r="E200" i="26"/>
  <c r="D201" i="26" l="1"/>
  <c r="C201" i="26" s="1"/>
  <c r="F201" i="26"/>
  <c r="I201" i="26" l="1"/>
  <c r="V201" i="26" s="1"/>
  <c r="U201" i="26"/>
  <c r="E201" i="26"/>
  <c r="F202" i="26" l="1"/>
  <c r="D202" i="26"/>
  <c r="C202" i="26" s="1"/>
  <c r="I202" i="26" l="1"/>
  <c r="V202" i="26" s="1"/>
  <c r="U202" i="26"/>
  <c r="E202" i="26"/>
  <c r="D203" i="26" l="1"/>
  <c r="C203" i="26" s="1"/>
  <c r="F203" i="26"/>
  <c r="I203" i="26" l="1"/>
  <c r="V203" i="26" s="1"/>
  <c r="U203" i="26"/>
  <c r="E203" i="26"/>
  <c r="D204" i="26" l="1"/>
  <c r="C204" i="26" s="1"/>
  <c r="F204" i="26"/>
  <c r="I204" i="26" l="1"/>
  <c r="V204" i="26" s="1"/>
  <c r="U204" i="26"/>
  <c r="E204" i="26"/>
  <c r="D205" i="26" l="1"/>
  <c r="C205" i="26" s="1"/>
  <c r="E205" i="26" s="1"/>
  <c r="F205" i="26"/>
  <c r="F206" i="26" l="1"/>
  <c r="D206" i="26"/>
  <c r="C206" i="26" s="1"/>
  <c r="I205" i="26"/>
  <c r="V205" i="26" s="1"/>
  <c r="U205" i="26"/>
  <c r="I206" i="26" l="1"/>
  <c r="V206" i="26" s="1"/>
  <c r="U206" i="26"/>
  <c r="E206" i="26"/>
  <c r="D207" i="26" l="1"/>
  <c r="C207" i="26" s="1"/>
  <c r="F207" i="26"/>
  <c r="I207" i="26" l="1"/>
  <c r="V207" i="26" s="1"/>
  <c r="U207" i="26"/>
  <c r="E207" i="26"/>
  <c r="D208" i="26" l="1"/>
  <c r="C208" i="26" s="1"/>
  <c r="E208" i="26" s="1"/>
  <c r="F208" i="26"/>
  <c r="D209" i="26" l="1"/>
  <c r="C209" i="26" s="1"/>
  <c r="F209" i="26"/>
  <c r="I208" i="26"/>
  <c r="V208" i="26" s="1"/>
  <c r="U208" i="26"/>
  <c r="I209" i="26" l="1"/>
  <c r="V209" i="26" s="1"/>
  <c r="U209" i="26"/>
  <c r="E209" i="26"/>
  <c r="D210" i="26" l="1"/>
  <c r="C210" i="26" s="1"/>
  <c r="F210" i="26"/>
  <c r="I210" i="26" l="1"/>
  <c r="V210" i="26" s="1"/>
  <c r="U210" i="26"/>
  <c r="E210" i="26"/>
  <c r="D211" i="26" l="1"/>
  <c r="C211" i="26" s="1"/>
  <c r="F211" i="26"/>
  <c r="I211" i="26" l="1"/>
  <c r="V211" i="26" s="1"/>
  <c r="U211" i="26"/>
  <c r="E211" i="26"/>
  <c r="D212" i="26" l="1"/>
  <c r="C212" i="26" s="1"/>
  <c r="E212" i="26" s="1"/>
  <c r="F212" i="26"/>
  <c r="F213" i="26" l="1"/>
  <c r="D213" i="26"/>
  <c r="C213" i="26" s="1"/>
  <c r="I212" i="26"/>
  <c r="V212" i="26" s="1"/>
  <c r="U212" i="26"/>
  <c r="I213" i="26" l="1"/>
  <c r="V213" i="26" s="1"/>
  <c r="U213" i="26"/>
  <c r="E213" i="26"/>
  <c r="D214" i="26" l="1"/>
  <c r="C214" i="26" s="1"/>
  <c r="F214" i="26"/>
  <c r="I214" i="26" l="1"/>
  <c r="V214" i="26" s="1"/>
  <c r="U214" i="26"/>
  <c r="E214" i="26"/>
  <c r="F215" i="26" l="1"/>
  <c r="D215" i="26"/>
  <c r="C215" i="26" s="1"/>
  <c r="I215" i="26" l="1"/>
  <c r="V215" i="26" s="1"/>
  <c r="U215" i="26"/>
  <c r="E215" i="26"/>
  <c r="D216" i="26" l="1"/>
  <c r="C216" i="26" s="1"/>
  <c r="F216" i="26"/>
  <c r="I216" i="26" l="1"/>
  <c r="V216" i="26" s="1"/>
  <c r="U216" i="26"/>
  <c r="E216" i="26"/>
  <c r="D217" i="26" l="1"/>
  <c r="C217" i="26" s="1"/>
  <c r="E217" i="26" s="1"/>
  <c r="F217" i="26"/>
  <c r="D218" i="26" l="1"/>
  <c r="C218" i="26" s="1"/>
  <c r="F218" i="26"/>
  <c r="I217" i="26"/>
  <c r="V217" i="26" s="1"/>
  <c r="U217" i="26"/>
  <c r="I218" i="26" l="1"/>
  <c r="V218" i="26" s="1"/>
  <c r="U218" i="26"/>
  <c r="E218" i="26"/>
  <c r="D219" i="26" l="1"/>
  <c r="C219" i="26" s="1"/>
  <c r="F219" i="26"/>
  <c r="I219" i="26" l="1"/>
  <c r="V219" i="26" s="1"/>
  <c r="U219" i="26"/>
  <c r="E219" i="26"/>
  <c r="D220" i="26" l="1"/>
  <c r="C220" i="26" s="1"/>
  <c r="E220" i="26" s="1"/>
  <c r="F220" i="26"/>
  <c r="F221" i="26" l="1"/>
  <c r="D221" i="26"/>
  <c r="C221" i="26" s="1"/>
  <c r="I220" i="26"/>
  <c r="V220" i="26" s="1"/>
  <c r="U220" i="26"/>
  <c r="I221" i="26" l="1"/>
  <c r="V221" i="26" s="1"/>
  <c r="U221" i="26"/>
  <c r="E221" i="26"/>
  <c r="D222" i="26" l="1"/>
  <c r="C222" i="26" s="1"/>
  <c r="F222" i="26"/>
  <c r="I222" i="26" l="1"/>
  <c r="V222" i="26" s="1"/>
  <c r="U222" i="26"/>
  <c r="E222" i="26"/>
  <c r="D223" i="26" l="1"/>
  <c r="C223" i="26" s="1"/>
  <c r="F223" i="26"/>
  <c r="I223" i="26" l="1"/>
  <c r="V223" i="26" s="1"/>
  <c r="U223" i="26"/>
  <c r="E223" i="26"/>
  <c r="D224" i="26" l="1"/>
  <c r="C224" i="26" s="1"/>
  <c r="E224" i="26" s="1"/>
  <c r="F224" i="26"/>
  <c r="F225" i="26" l="1"/>
  <c r="D225" i="26"/>
  <c r="C225" i="26" s="1"/>
  <c r="I224" i="26"/>
  <c r="V224" i="26" s="1"/>
  <c r="U224" i="26"/>
  <c r="I225" i="26" l="1"/>
  <c r="V225" i="26" s="1"/>
  <c r="U225" i="26"/>
  <c r="E225" i="26"/>
  <c r="D226" i="26" l="1"/>
  <c r="C226" i="26" s="1"/>
  <c r="F226" i="26"/>
  <c r="I226" i="26" l="1"/>
  <c r="V226" i="26" s="1"/>
  <c r="U226" i="26"/>
  <c r="E226" i="26"/>
  <c r="D227" i="26" l="1"/>
  <c r="C227" i="26" s="1"/>
  <c r="F227" i="26"/>
  <c r="I227" i="26" l="1"/>
  <c r="V227" i="26" s="1"/>
  <c r="U227" i="26"/>
  <c r="E227" i="26"/>
  <c r="D228" i="26" l="1"/>
  <c r="C228" i="26" s="1"/>
  <c r="E228" i="26" s="1"/>
  <c r="F228" i="26"/>
  <c r="F229" i="26" l="1"/>
  <c r="D229" i="26"/>
  <c r="C229" i="26" s="1"/>
  <c r="I228" i="26"/>
  <c r="V228" i="26" s="1"/>
  <c r="U228" i="26"/>
  <c r="I229" i="26" l="1"/>
  <c r="V229" i="26" s="1"/>
  <c r="U229" i="26"/>
  <c r="E229" i="26"/>
  <c r="D230" i="26" l="1"/>
  <c r="C230" i="26" s="1"/>
  <c r="F230" i="26"/>
  <c r="I230" i="26" l="1"/>
  <c r="V230" i="26" s="1"/>
  <c r="U230" i="26"/>
  <c r="E230" i="26"/>
  <c r="D231" i="26" l="1"/>
  <c r="C231" i="26" s="1"/>
  <c r="F231" i="26"/>
  <c r="I231" i="26" l="1"/>
  <c r="V231" i="26" s="1"/>
  <c r="U231" i="26"/>
  <c r="E231" i="26"/>
  <c r="D232" i="26" l="1"/>
  <c r="C232" i="26" s="1"/>
  <c r="E232" i="26" s="1"/>
  <c r="F232" i="26"/>
  <c r="F233" i="26" l="1"/>
  <c r="D233" i="26"/>
  <c r="C233" i="26" s="1"/>
  <c r="I232" i="26"/>
  <c r="V232" i="26" s="1"/>
  <c r="U232" i="26"/>
  <c r="I233" i="26" l="1"/>
  <c r="V233" i="26" s="1"/>
  <c r="U233" i="26"/>
  <c r="E233" i="26"/>
  <c r="D234" i="26" l="1"/>
  <c r="C234" i="26" s="1"/>
  <c r="F234" i="26"/>
  <c r="I234" i="26" l="1"/>
  <c r="V234" i="26" s="1"/>
  <c r="U234" i="26"/>
  <c r="E234" i="26"/>
  <c r="D235" i="26" l="1"/>
  <c r="C235" i="26" s="1"/>
  <c r="F235" i="26"/>
  <c r="I235" i="26" l="1"/>
  <c r="V235" i="26" s="1"/>
  <c r="U235" i="26"/>
  <c r="E235" i="26"/>
  <c r="D236" i="26" l="1"/>
  <c r="C236" i="26" s="1"/>
  <c r="E236" i="26" s="1"/>
  <c r="F236" i="26"/>
  <c r="F237" i="26" l="1"/>
  <c r="D237" i="26"/>
  <c r="C237" i="26" s="1"/>
  <c r="I236" i="26"/>
  <c r="V236" i="26" s="1"/>
  <c r="U236" i="26"/>
  <c r="I237" i="26" l="1"/>
  <c r="V237" i="26" s="1"/>
  <c r="U237" i="26"/>
  <c r="E237" i="26"/>
  <c r="D238" i="26" l="1"/>
  <c r="C238" i="26" s="1"/>
  <c r="F238" i="26"/>
  <c r="I238" i="26" l="1"/>
  <c r="V238" i="26" s="1"/>
  <c r="U238" i="26"/>
  <c r="E238" i="26"/>
  <c r="D239" i="26" l="1"/>
  <c r="C239" i="26" s="1"/>
  <c r="F239" i="26"/>
  <c r="I239" i="26" l="1"/>
  <c r="V239" i="26" s="1"/>
  <c r="U239" i="26"/>
  <c r="E239" i="26"/>
  <c r="D240" i="26" l="1"/>
  <c r="C240" i="26" s="1"/>
  <c r="E240" i="26" s="1"/>
  <c r="F240" i="26"/>
  <c r="F241" i="26" l="1"/>
  <c r="D241" i="26"/>
  <c r="C241" i="26" s="1"/>
  <c r="I240" i="26"/>
  <c r="V240" i="26" s="1"/>
  <c r="U240" i="26"/>
  <c r="I241" i="26" l="1"/>
  <c r="V241" i="26" s="1"/>
  <c r="U241" i="26"/>
  <c r="E241" i="26"/>
  <c r="D242" i="26" l="1"/>
  <c r="C242" i="26" s="1"/>
  <c r="F242" i="26"/>
  <c r="I242" i="26" l="1"/>
  <c r="V242" i="26" s="1"/>
  <c r="U242" i="26"/>
  <c r="E242" i="26"/>
  <c r="D243" i="26" l="1"/>
  <c r="C243" i="26" s="1"/>
  <c r="F243" i="26"/>
  <c r="I243" i="26" l="1"/>
  <c r="V243" i="26" s="1"/>
  <c r="U243" i="26"/>
  <c r="E243" i="26"/>
  <c r="D244" i="26" l="1"/>
  <c r="C244" i="26" s="1"/>
  <c r="E244" i="26" s="1"/>
  <c r="F244" i="26"/>
  <c r="F245" i="26" l="1"/>
  <c r="D245" i="26"/>
  <c r="C245" i="26" s="1"/>
  <c r="I244" i="26"/>
  <c r="V244" i="26" s="1"/>
  <c r="U244" i="26"/>
  <c r="I245" i="26" l="1"/>
  <c r="V245" i="26" s="1"/>
  <c r="U245" i="26"/>
  <c r="E245" i="26"/>
  <c r="D246" i="26" l="1"/>
  <c r="C246" i="26" s="1"/>
  <c r="F246" i="26"/>
  <c r="I246" i="26" l="1"/>
  <c r="U246" i="26"/>
  <c r="U19" i="26" s="1"/>
  <c r="U18" i="26" s="1"/>
  <c r="V14" i="26" s="1"/>
  <c r="L11" i="26" s="1"/>
  <c r="L9" i="26" s="1"/>
  <c r="E246" i="26"/>
  <c r="E247" i="26" s="1"/>
  <c r="E248" i="26" s="1"/>
  <c r="E249" i="26" s="1"/>
  <c r="E250" i="26" s="1"/>
  <c r="E251" i="26" s="1"/>
  <c r="E252" i="26" s="1"/>
  <c r="E253" i="26" s="1"/>
  <c r="E254" i="26" s="1"/>
  <c r="E255" i="26" s="1"/>
  <c r="E256" i="26" s="1"/>
  <c r="E257" i="26" s="1"/>
  <c r="E258" i="26" s="1"/>
  <c r="E259" i="26" s="1"/>
  <c r="E260" i="26" s="1"/>
  <c r="E261" i="26" s="1"/>
  <c r="E262" i="26" s="1"/>
  <c r="E263" i="26" s="1"/>
  <c r="E264" i="26" s="1"/>
  <c r="E265" i="26" s="1"/>
  <c r="E266" i="26" s="1"/>
  <c r="E267" i="26" s="1"/>
  <c r="E268" i="26" s="1"/>
  <c r="E269" i="26" s="1"/>
  <c r="E270" i="26" s="1"/>
  <c r="E271" i="26" s="1"/>
  <c r="E272" i="26" s="1"/>
  <c r="E273" i="26" s="1"/>
  <c r="E274" i="26" s="1"/>
  <c r="E275" i="26" s="1"/>
  <c r="E276" i="26" s="1"/>
  <c r="E277" i="26" s="1"/>
  <c r="E278" i="26" s="1"/>
  <c r="E279" i="26" s="1"/>
  <c r="E280" i="26" s="1"/>
  <c r="E281" i="26" s="1"/>
  <c r="E282" i="26" s="1"/>
  <c r="E283" i="26" s="1"/>
  <c r="E284" i="26" s="1"/>
  <c r="E285" i="26" s="1"/>
  <c r="E286" i="26" s="1"/>
  <c r="E287" i="26" s="1"/>
  <c r="E288" i="26" s="1"/>
  <c r="E289" i="26" s="1"/>
  <c r="E290" i="26" s="1"/>
  <c r="E291" i="26" s="1"/>
  <c r="E292" i="26" s="1"/>
  <c r="E293" i="26" s="1"/>
  <c r="E294" i="26" s="1"/>
  <c r="E295" i="26" s="1"/>
  <c r="E296" i="26" s="1"/>
  <c r="E297" i="26" s="1"/>
  <c r="E298" i="26" s="1"/>
  <c r="E299" i="26" s="1"/>
  <c r="E300" i="26" s="1"/>
  <c r="E301" i="26" s="1"/>
  <c r="E302" i="26" s="1"/>
  <c r="E303" i="26" s="1"/>
  <c r="E304" i="26" s="1"/>
  <c r="E305" i="26" s="1"/>
  <c r="E306" i="26" s="1"/>
  <c r="E307" i="26" s="1"/>
  <c r="E308" i="26" s="1"/>
  <c r="E309" i="26" s="1"/>
  <c r="E310" i="26" s="1"/>
  <c r="E311" i="26" s="1"/>
  <c r="E312" i="26" s="1"/>
  <c r="E313" i="26" s="1"/>
  <c r="E314" i="26" s="1"/>
  <c r="E315" i="26" s="1"/>
  <c r="E316" i="26" s="1"/>
  <c r="E317" i="26" s="1"/>
  <c r="E318" i="26" s="1"/>
  <c r="E319" i="26" s="1"/>
  <c r="E320" i="26" s="1"/>
  <c r="E321" i="26" s="1"/>
  <c r="E322" i="26" s="1"/>
  <c r="E323" i="26" s="1"/>
  <c r="E324" i="26" s="1"/>
  <c r="E325" i="26" s="1"/>
  <c r="E326" i="26" s="1"/>
  <c r="E327" i="26" s="1"/>
  <c r="E328" i="26" s="1"/>
  <c r="E329" i="26" s="1"/>
  <c r="E330" i="26" s="1"/>
  <c r="E331" i="26" s="1"/>
  <c r="E332" i="26" s="1"/>
  <c r="E333" i="26" s="1"/>
  <c r="E334" i="26" s="1"/>
  <c r="E335" i="26" s="1"/>
  <c r="E336" i="26" s="1"/>
  <c r="E337" i="26" s="1"/>
  <c r="E338" i="26" s="1"/>
  <c r="E339" i="26" s="1"/>
  <c r="V246" i="26" l="1"/>
  <c r="C14" i="26" s="1"/>
  <c r="C10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Jones Lang LaSalle</author>
    <author>JLL</author>
  </authors>
  <commentList>
    <comment ref="AH37" authorId="0" shapeId="0" xr:uid="{F4003CDA-D020-4B14-9FD6-1AB4816E07BF}">
      <text>
        <r>
          <rPr>
            <sz val="9"/>
            <color indexed="81"/>
            <rFont val="Tahoma"/>
            <family val="2"/>
          </rPr>
          <t>Age in percentage of lifetime</t>
        </r>
      </text>
    </comment>
    <comment ref="AQ39" authorId="1" shapeId="0" xr:uid="{C255FB75-5C82-48DF-AD63-170EBBE0241D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Escrever "Sim" para utilizar o fator. Deixe em branco para desconsiderar (o fator será = 1,0)</t>
        </r>
      </text>
    </comment>
    <comment ref="AV39" authorId="1" shapeId="0" xr:uid="{3299E0EE-BE49-4612-BB96-08FC89563830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Para descosinderar as vagas na homogeneização escrever "Sim". Caso contrário apenas deixar em branco.</t>
        </r>
      </text>
    </comment>
    <comment ref="A41" authorId="1" shapeId="0" xr:uid="{55164E7A-0818-46C0-BAC7-0282F005D9F7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Alterar S (Sim) ou N (Não) para incluir/excluir amostras do comparativo.
Não é necessário alterar números e fatores e fórmulas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Ladeira Matos</author>
  </authors>
  <commentList>
    <comment ref="I59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Mais de 500 mil Habitantes</t>
        </r>
      </text>
    </comment>
    <comment ref="I60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Entre 200 - 500 mil.</t>
        </r>
      </text>
    </comment>
    <comment ref="I6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Menos de 200 mil.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Pin Ferronato</author>
  </authors>
  <commentList>
    <comment ref="L72" authorId="0" shapeId="0" xr:uid="{F26E22DC-9043-490E-8DBF-4BE957EC2BC2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&lt;200 pequena
200 ate 500 media
&gt;500 grande</t>
        </r>
      </text>
    </comment>
    <comment ref="F384" authorId="0" shapeId="0" xr:uid="{DE46970B-F23D-4E20-B3BA-5785763CAA44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&lt;200 pequena
200 ate 500 media
&gt;500 grande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<sst xmlns="http://schemas.openxmlformats.org/spreadsheetml/2006/main" count="19430" uniqueCount="11035">
  <si>
    <t>Valor Total do Financiamento</t>
  </si>
  <si>
    <t>Tabela</t>
  </si>
  <si>
    <t>Price</t>
  </si>
  <si>
    <t>IOF</t>
  </si>
  <si>
    <t>TAG</t>
  </si>
  <si>
    <t>Registro</t>
  </si>
  <si>
    <t>Valor Líquido</t>
  </si>
  <si>
    <t>Prazo (Meses)</t>
  </si>
  <si>
    <t>Taxa ao período</t>
  </si>
  <si>
    <t>Primeira Parcela</t>
  </si>
  <si>
    <t>Valor do Imóvel</t>
  </si>
  <si>
    <t>Carência (meses)</t>
  </si>
  <si>
    <t>Mês que não vai pagar</t>
  </si>
  <si>
    <t>Custo Efetivo Total</t>
  </si>
  <si>
    <t>Data</t>
  </si>
  <si>
    <t>Amortização</t>
  </si>
  <si>
    <t>Juros</t>
  </si>
  <si>
    <t>Saldo Devedor</t>
  </si>
  <si>
    <t>Seguro MIP</t>
  </si>
  <si>
    <t>Seguro DFI</t>
  </si>
  <si>
    <t>Taxa ADM</t>
  </si>
  <si>
    <t>Prestação Mensal</t>
  </si>
  <si>
    <t>Saldo Amortizado</t>
  </si>
  <si>
    <t>Tipo de Operação</t>
  </si>
  <si>
    <t>PF</t>
  </si>
  <si>
    <t>Data do Contrato</t>
  </si>
  <si>
    <t>Carência</t>
  </si>
  <si>
    <t>MIP</t>
  </si>
  <si>
    <t>DFI</t>
  </si>
  <si>
    <t>Dias Acumulados</t>
  </si>
  <si>
    <t>Aliquota</t>
  </si>
  <si>
    <t>Dia de Pagamento</t>
  </si>
  <si>
    <t>IOF Ajustado</t>
  </si>
  <si>
    <t>Dias Corridos</t>
  </si>
  <si>
    <t>Pula Parcela</t>
  </si>
  <si>
    <t>nº</t>
  </si>
  <si>
    <t>PJ</t>
  </si>
  <si>
    <t>Operação</t>
  </si>
  <si>
    <t>Mês</t>
  </si>
  <si>
    <t>Seguro</t>
  </si>
  <si>
    <t>ParcelaCalc</t>
  </si>
  <si>
    <t>IOF Alíquota</t>
  </si>
  <si>
    <t>IOF Adicional (0,38%)</t>
  </si>
  <si>
    <t>IOF Total</t>
  </si>
  <si>
    <t>IOF Corrigido</t>
  </si>
  <si>
    <t>SAC</t>
  </si>
  <si>
    <t>Parcela</t>
  </si>
  <si>
    <t>Saldo Dev.</t>
  </si>
  <si>
    <t>PGTO</t>
  </si>
  <si>
    <t>NPV</t>
  </si>
  <si>
    <t>CET</t>
  </si>
  <si>
    <t>Ajuste</t>
  </si>
  <si>
    <t>Taxa a.m.</t>
  </si>
  <si>
    <t>NPV @taxa</t>
  </si>
  <si>
    <t>Diferença</t>
  </si>
  <si>
    <t>Ajuste IOF</t>
  </si>
  <si>
    <t>Ajuste PMT</t>
  </si>
  <si>
    <t>Taxa</t>
  </si>
  <si>
    <t xml:space="preserve">Olá! Tudo bem? </t>
  </si>
  <si>
    <t xml:space="preserve">Elaboramos essa proposta com todo carinho para você! </t>
  </si>
  <si>
    <t xml:space="preserve">Veja se ela não é a sua cara?! </t>
  </si>
  <si>
    <t>Valor bruto</t>
  </si>
  <si>
    <t>Prazo de pagamento (meses)</t>
  </si>
  <si>
    <t>Sistema de Amortização</t>
  </si>
  <si>
    <t>Custo Efetivo Total (A.A.)</t>
  </si>
  <si>
    <t>Mês do ano sem pagar</t>
  </si>
  <si>
    <t>Simulação</t>
  </si>
  <si>
    <t>Resultados</t>
  </si>
  <si>
    <t>LTV</t>
  </si>
  <si>
    <t>Indexador</t>
  </si>
  <si>
    <t>Prazo (meses)</t>
  </si>
  <si>
    <t>Registro (SP)</t>
  </si>
  <si>
    <t>Mês pular parcela</t>
  </si>
  <si>
    <t>Valor Total do Empréstimo</t>
  </si>
  <si>
    <t>Dia do Vencimento</t>
  </si>
  <si>
    <t>Taxa (a.m.)</t>
  </si>
  <si>
    <t>Valor de Avaliação</t>
  </si>
  <si>
    <t>Custo Efetivo Total (CET a.a.)</t>
  </si>
  <si>
    <t>Primeira parcela</t>
  </si>
  <si>
    <t>Dividas Para Quitar</t>
  </si>
  <si>
    <t>Total</t>
  </si>
  <si>
    <t/>
  </si>
  <si>
    <t>Parcelas Mensais</t>
  </si>
  <si>
    <t>Taxa Adm</t>
  </si>
  <si>
    <t>CESH</t>
  </si>
  <si>
    <r>
      <rPr>
        <b/>
        <i/>
        <u/>
        <sz val="9"/>
        <rFont val="Helvetica"/>
      </rPr>
      <t>Disclaimer</t>
    </r>
    <r>
      <rPr>
        <i/>
        <sz val="9"/>
        <rFont val="Helvetica"/>
      </rPr>
      <t>:</t>
    </r>
    <r>
      <rPr>
        <sz val="9"/>
        <rFont val="Helvetica"/>
      </rPr>
      <t xml:space="preserve"> Nosso time de crédito analisou os documentos enviados até a </t>
    </r>
    <r>
      <rPr>
        <b/>
        <sz val="9"/>
        <rFont val="Helvetica"/>
      </rPr>
      <t>presente data</t>
    </r>
    <r>
      <rPr>
        <sz val="9"/>
        <rFont val="Helvetica"/>
      </rPr>
      <t xml:space="preserve"> e fizemos esta proposta especialmente para você, levando em consideração três fatores: </t>
    </r>
    <r>
      <rPr>
        <b/>
        <sz val="9"/>
        <rFont val="Helvetica"/>
      </rPr>
      <t>endividamento, renda mensal e valor do imóvel</t>
    </r>
    <r>
      <rPr>
        <sz val="9"/>
        <rFont val="Helvetica"/>
      </rPr>
      <t>.  Mas, caso ocorra alguma mudança relevante em qualquer um dos pilares citados acima, esta proposta poderá passar por uma reanálise. Não existe </t>
    </r>
    <r>
      <rPr>
        <b/>
        <sz val="9"/>
        <rFont val="Helvetica"/>
      </rPr>
      <t>nenhuma obrigação</t>
    </r>
    <r>
      <rPr>
        <sz val="9"/>
        <rFont val="Helvetica"/>
      </rPr>
      <t> até a efetiva assinatura do contrato, apenas nosso comprometimento em buscar o melhor negócio pra você!</t>
    </r>
  </si>
  <si>
    <t xml:space="preserve">DEVEDOR FIDUCIANTE: </t>
  </si>
  <si>
    <t>_____________________________________________</t>
  </si>
  <si>
    <t>Leandro Menezes Surcin</t>
  </si>
  <si>
    <t>Greice Cristina do Nascimento Surcin</t>
  </si>
  <si>
    <t>DEVEDORES GARANTIDORES:</t>
  </si>
  <si>
    <t>HEBER JEFFERSON SULTANUM</t>
  </si>
  <si>
    <t>ROGÉRIO GONÇALVES GUIMARÃES</t>
  </si>
  <si>
    <t>CÔNJUGE ANUENTE:</t>
  </si>
  <si>
    <t>PATRÍCIA PEREIRA KERSCHBAUM SULTANUM</t>
  </si>
  <si>
    <t>SILVIA LUIZ</t>
  </si>
  <si>
    <t xml:space="preserve">Nome: </t>
  </si>
  <si>
    <t>Nome: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</si>
  <si>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</si>
  <si>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</si>
  <si>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</si>
  <si>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</si>
  <si>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</si>
  <si>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</si>
  <si>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</si>
  <si>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</si>
  <si>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</si>
  <si>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</si>
  <si>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</si>
  <si>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</si>
  <si>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IPCA</t>
  </si>
  <si>
    <t>Nenhum</t>
  </si>
  <si>
    <t>Taxa ao Período</t>
  </si>
  <si>
    <t>Ajuste IOF 2</t>
  </si>
  <si>
    <t>Companheiro</t>
  </si>
  <si>
    <t>Mãe</t>
  </si>
  <si>
    <t>Pai</t>
  </si>
  <si>
    <t>Irmã</t>
  </si>
  <si>
    <t>Nda</t>
  </si>
  <si>
    <t>Irmão</t>
  </si>
  <si>
    <t>Não</t>
  </si>
  <si>
    <t>Cônjuge</t>
  </si>
  <si>
    <t>Sim</t>
  </si>
  <si>
    <t>Tomador</t>
  </si>
  <si>
    <t>Valor de venda de vagas:</t>
  </si>
  <si>
    <t>Valor unitário com vagas</t>
  </si>
  <si>
    <t>Registrado</t>
  </si>
  <si>
    <t>Participação</t>
  </si>
  <si>
    <t>Cap Rate:</t>
  </si>
  <si>
    <t>Valor total com vagas</t>
  </si>
  <si>
    <t>Valor das Vagas</t>
  </si>
  <si>
    <t>Outros</t>
  </si>
  <si>
    <t>Loja</t>
  </si>
  <si>
    <t>Valor máximo</t>
  </si>
  <si>
    <t>Valor mínimo</t>
  </si>
  <si>
    <t>no construction value</t>
  </si>
  <si>
    <t>I</t>
  </si>
  <si>
    <t>between important repairs and no construction value</t>
  </si>
  <si>
    <t>H</t>
  </si>
  <si>
    <t>important repairs</t>
  </si>
  <si>
    <t>G</t>
  </si>
  <si>
    <t>Edifício</t>
  </si>
  <si>
    <t>p/m²</t>
  </si>
  <si>
    <t>Limite superior</t>
  </si>
  <si>
    <t>between important and simple repairs</t>
  </si>
  <si>
    <t>F</t>
  </si>
  <si>
    <t>Limite inferior</t>
  </si>
  <si>
    <t>Simple repairs</t>
  </si>
  <si>
    <t>E</t>
  </si>
  <si>
    <t>Comparativos de Vaga</t>
  </si>
  <si>
    <t>Média saneada</t>
  </si>
  <si>
    <t>between  Regular and simple repairs</t>
  </si>
  <si>
    <t>D</t>
  </si>
  <si>
    <t>-</t>
  </si>
  <si>
    <t>Regular</t>
  </si>
  <si>
    <t>C</t>
  </si>
  <si>
    <t>Avaliando</t>
  </si>
  <si>
    <t>m²</t>
  </si>
  <si>
    <t>Área construída</t>
  </si>
  <si>
    <t xml:space="preserve">between New  and Regular </t>
  </si>
  <si>
    <t>B</t>
  </si>
  <si>
    <t>Idade / conserv.</t>
  </si>
  <si>
    <t>Padrão</t>
  </si>
  <si>
    <t>Local</t>
  </si>
  <si>
    <t>Oferta</t>
  </si>
  <si>
    <t>New</t>
  </si>
  <si>
    <t>A</t>
  </si>
  <si>
    <t>Observação</t>
  </si>
  <si>
    <t>Valor mensalista</t>
  </si>
  <si>
    <t>Telefone</t>
  </si>
  <si>
    <t>Endereço</t>
  </si>
  <si>
    <t>Nº</t>
  </si>
  <si>
    <t>Média aritmética</t>
  </si>
  <si>
    <t>STATE COEFICIENT - "C"</t>
  </si>
  <si>
    <t>N</t>
  </si>
  <si>
    <t>TP</t>
  </si>
  <si>
    <t>D/S</t>
  </si>
  <si>
    <t>Grau de Precisão</t>
  </si>
  <si>
    <t>LCmín  =</t>
  </si>
  <si>
    <t>LCmáx =</t>
  </si>
  <si>
    <t>AMPLITUDE DO INTERVALO</t>
  </si>
  <si>
    <t>LIMITES DE CONFIANÇA</t>
  </si>
  <si>
    <t>El.Inferior</t>
  </si>
  <si>
    <t>El.Superior</t>
  </si>
  <si>
    <t>TESTE DE CHAUVENET</t>
  </si>
  <si>
    <t>X1   =</t>
  </si>
  <si>
    <t>d/s =</t>
  </si>
  <si>
    <t>CV =</t>
  </si>
  <si>
    <t>tp   =</t>
  </si>
  <si>
    <t>S   =</t>
  </si>
  <si>
    <t>n    =</t>
  </si>
  <si>
    <t>X   =</t>
  </si>
  <si>
    <t>ESTATíSTICAS BÁSICAS</t>
  </si>
  <si>
    <t xml:space="preserve">DADOS </t>
  </si>
  <si>
    <t>Comparativos</t>
  </si>
  <si>
    <t>GRAU DE PRECISÃO</t>
  </si>
  <si>
    <t>desconsiderar vagas na homogeneização?</t>
  </si>
  <si>
    <t>Utilizar Fator?</t>
  </si>
  <si>
    <t>Tamanho</t>
  </si>
  <si>
    <t>Absolute Deprec.</t>
  </si>
  <si>
    <t>Factor "K"</t>
  </si>
  <si>
    <t>Coeficient "C"</t>
  </si>
  <si>
    <t>Age in % of lifetime</t>
  </si>
  <si>
    <t>Cond.</t>
  </si>
  <si>
    <t>IPTU</t>
  </si>
  <si>
    <t>Unitário ajustado sem vagas</t>
  </si>
  <si>
    <t>Unitário ajustado com vagas</t>
  </si>
  <si>
    <t>Fator Oferta</t>
  </si>
  <si>
    <t>Unitário sem vagas</t>
  </si>
  <si>
    <t>Total sem vagas</t>
  </si>
  <si>
    <t>Valor saneado</t>
  </si>
  <si>
    <t>Valor homog.</t>
  </si>
  <si>
    <t>Fator total</t>
  </si>
  <si>
    <t>Homogeneização</t>
  </si>
  <si>
    <t>Relative depreciation Factor</t>
  </si>
  <si>
    <t>FATORES DE DEPRECIAÇÃO</t>
  </si>
  <si>
    <t>Conservação</t>
  </si>
  <si>
    <t>Idade aparente</t>
  </si>
  <si>
    <t>Término da  construção</t>
  </si>
  <si>
    <t>Fonte de Informação</t>
  </si>
  <si>
    <t>Tipo</t>
  </si>
  <si>
    <t>Outras informações (p/m²)</t>
  </si>
  <si>
    <t>Observações</t>
  </si>
  <si>
    <t>Condição de negociação</t>
  </si>
  <si>
    <t>Preço pedido</t>
  </si>
  <si>
    <t>Valor médio de vagas</t>
  </si>
  <si>
    <t>Relação de vagas/m²</t>
  </si>
  <si>
    <t>Vagas</t>
  </si>
  <si>
    <t>Área Privativa (m²)</t>
  </si>
  <si>
    <t>Área Terreno (m²)</t>
  </si>
  <si>
    <t>Estado</t>
  </si>
  <si>
    <t>Cidade</t>
  </si>
  <si>
    <t>Bairro</t>
  </si>
  <si>
    <t>Andar/ Conj./ Sala</t>
  </si>
  <si>
    <t>Usar? S / N</t>
  </si>
  <si>
    <t>MÉTODO COMPARATIVO DIRETO - CÁLCULO DO VALOR DE VENDA</t>
  </si>
  <si>
    <t>Classe</t>
  </si>
  <si>
    <t>Estado de Conservação</t>
  </si>
  <si>
    <t>Outras</t>
  </si>
  <si>
    <t>Saldo</t>
  </si>
  <si>
    <t>Vida Útil</t>
  </si>
  <si>
    <t>Valor original</t>
  </si>
  <si>
    <t>Alienação Fiduciária</t>
  </si>
  <si>
    <t>CÁLCULOS</t>
  </si>
  <si>
    <t>Grande</t>
  </si>
  <si>
    <t>Mais de 500.000 habitantes</t>
  </si>
  <si>
    <t>PENDÊNCIAS</t>
  </si>
  <si>
    <t>Média</t>
  </si>
  <si>
    <t>200.000 até 500.000 habitantes</t>
  </si>
  <si>
    <t>Pequena</t>
  </si>
  <si>
    <t>Até 200.000 habitantes</t>
  </si>
  <si>
    <t>Desvio Padrão Médio (R$/m²)</t>
  </si>
  <si>
    <t>Classificação Cidades</t>
  </si>
  <si>
    <t>Habitantes</t>
  </si>
  <si>
    <t xml:space="preserve">Cidade </t>
  </si>
  <si>
    <t>Unitário Mínimo (R$/m²)</t>
  </si>
  <si>
    <t>Unitário Máximo (R$/m²)</t>
  </si>
  <si>
    <t>Unitário Médio Ofertado (R$/m²)</t>
  </si>
  <si>
    <t>Unitário Médio Pedido (R$/m²)</t>
  </si>
  <si>
    <t>Nome</t>
  </si>
  <si>
    <t>INDICADORES DA ANÁLISE</t>
  </si>
  <si>
    <t>Área Terreno</t>
  </si>
  <si>
    <t>Limite superior (+10%)</t>
  </si>
  <si>
    <t>Area Real</t>
  </si>
  <si>
    <t>Limite inferior (-10%)</t>
  </si>
  <si>
    <t>Área (IPTU)</t>
  </si>
  <si>
    <t>Valor Analista</t>
  </si>
  <si>
    <t>Recente</t>
  </si>
  <si>
    <t>Área (Matrícula)</t>
  </si>
  <si>
    <t>Avaliador</t>
  </si>
  <si>
    <t>Valor Laudo</t>
  </si>
  <si>
    <t>Complemento</t>
  </si>
  <si>
    <t>Logistica</t>
  </si>
  <si>
    <t>Valor Informado</t>
  </si>
  <si>
    <t>Comentários Adicionais</t>
  </si>
  <si>
    <t>R$/m²</t>
  </si>
  <si>
    <t>VALORES DO IMÓVEL</t>
  </si>
  <si>
    <t>CARACTERÍSTICAS GERAIS</t>
  </si>
  <si>
    <t>Soma Para Quitar</t>
  </si>
  <si>
    <t>EMAIL</t>
  </si>
  <si>
    <t>TELEFONE</t>
  </si>
  <si>
    <t>CONTATO</t>
  </si>
  <si>
    <t>CEP</t>
  </si>
  <si>
    <t>UF</t>
  </si>
  <si>
    <t>CIDADE</t>
  </si>
  <si>
    <t>BAIRRO</t>
  </si>
  <si>
    <t>Check</t>
  </si>
  <si>
    <t>COMPLEMENTO</t>
  </si>
  <si>
    <t>Imóvel</t>
  </si>
  <si>
    <t>NÚMERO</t>
  </si>
  <si>
    <t>RUA/AVENIDA</t>
  </si>
  <si>
    <t>PARTICIPAÇÃO</t>
  </si>
  <si>
    <t>ENDEREÇO</t>
  </si>
  <si>
    <t>DEVEDOR 3</t>
  </si>
  <si>
    <t>DEVEDOR 2</t>
  </si>
  <si>
    <t>ÓRGÃO EMISSOR</t>
  </si>
  <si>
    <t>AGENCIA</t>
  </si>
  <si>
    <t>DEVEDOR 1</t>
  </si>
  <si>
    <t>C/C</t>
  </si>
  <si>
    <t>RENDA</t>
  </si>
  <si>
    <t>TIPO</t>
  </si>
  <si>
    <t>BANCO</t>
  </si>
  <si>
    <t>IDENTIDADE</t>
  </si>
  <si>
    <t>CPF</t>
  </si>
  <si>
    <t>REGIME DE CASAMENTO (SE FOR CASADO)</t>
  </si>
  <si>
    <t>TITULAR</t>
  </si>
  <si>
    <t>VALOR DE AVALIAÇÃO</t>
  </si>
  <si>
    <t>ESTADO CIVIL</t>
  </si>
  <si>
    <t>ANEXO II</t>
  </si>
  <si>
    <t>ESTADO</t>
  </si>
  <si>
    <t>PROFISSÃO</t>
  </si>
  <si>
    <t>NACIONALIDADE</t>
  </si>
  <si>
    <t>Nº RGI</t>
  </si>
  <si>
    <t>DATA DE NASCIMENTO</t>
  </si>
  <si>
    <t>ANEXO I</t>
  </si>
  <si>
    <t>LIVRO</t>
  </si>
  <si>
    <t>MATRÍCULA</t>
  </si>
  <si>
    <t>NOME</t>
  </si>
  <si>
    <t>ANO</t>
  </si>
  <si>
    <t>REGISTRO AQUISIÇÃO</t>
  </si>
  <si>
    <t>MÊS</t>
  </si>
  <si>
    <t>Nº CONTRIBUINTE</t>
  </si>
  <si>
    <t>DIA</t>
  </si>
  <si>
    <t>IMÓVEL</t>
  </si>
  <si>
    <t>Nº CONTRATO</t>
  </si>
  <si>
    <t>CONTRATO</t>
  </si>
  <si>
    <t>PRAZO</t>
  </si>
  <si>
    <t>ESCROW</t>
  </si>
  <si>
    <t>VALOR</t>
  </si>
  <si>
    <t>SÉRIE</t>
  </si>
  <si>
    <t>PRIMEIRO ENCARGO</t>
  </si>
  <si>
    <t>CCI</t>
  </si>
  <si>
    <t>GESTÃO</t>
  </si>
  <si>
    <t>DEVEDOR</t>
  </si>
  <si>
    <t xml:space="preserve">VALOR </t>
  </si>
  <si>
    <t>VALOR PARCELA</t>
  </si>
  <si>
    <t>VALOR LÍQUIDO</t>
  </si>
  <si>
    <t>DÍVIDA IMÓVEL</t>
  </si>
  <si>
    <t>DÍVIDA 3</t>
  </si>
  <si>
    <t>REGISTRO</t>
  </si>
  <si>
    <t>TAC</t>
  </si>
  <si>
    <t>TEO</t>
  </si>
  <si>
    <t>JUROS EFETIVO</t>
  </si>
  <si>
    <t>DÍVIDA 2</t>
  </si>
  <si>
    <t>JUROS NOMINAL</t>
  </si>
  <si>
    <t>VENCIMENTO 1ª PRESTAÇÃO</t>
  </si>
  <si>
    <t>DATA DO TÉRMINO</t>
  </si>
  <si>
    <t>Nº DE PRESTAÇÕES</t>
  </si>
  <si>
    <t>DÍVIDA 1</t>
  </si>
  <si>
    <t>VALOR BRUTO</t>
  </si>
  <si>
    <t>DÍVIDAS</t>
  </si>
  <si>
    <t>EMPRÉSTIMO</t>
  </si>
  <si>
    <t>TO</t>
  </si>
  <si>
    <t>SE</t>
  </si>
  <si>
    <t>SP</t>
  </si>
  <si>
    <t>SC</t>
  </si>
  <si>
    <t>RR</t>
  </si>
  <si>
    <t>RO</t>
  </si>
  <si>
    <t>RS</t>
  </si>
  <si>
    <t>RN</t>
  </si>
  <si>
    <t>RJ</t>
  </si>
  <si>
    <t>PI</t>
  </si>
  <si>
    <t>PE</t>
  </si>
  <si>
    <t>PR</t>
  </si>
  <si>
    <t>PB</t>
  </si>
  <si>
    <t>PA</t>
  </si>
  <si>
    <t>MG</t>
  </si>
  <si>
    <t>MS</t>
  </si>
  <si>
    <t>MT</t>
  </si>
  <si>
    <t>MA</t>
  </si>
  <si>
    <t>GO</t>
  </si>
  <si>
    <t>ES</t>
  </si>
  <si>
    <t>DF</t>
  </si>
  <si>
    <t>CE</t>
  </si>
  <si>
    <t>BA</t>
  </si>
  <si>
    <t>AM</t>
  </si>
  <si>
    <t>AP</t>
  </si>
  <si>
    <t>Não tem</t>
  </si>
  <si>
    <t>IGPM</t>
  </si>
  <si>
    <t>AL</t>
  </si>
  <si>
    <t>Tem</t>
  </si>
  <si>
    <t>AC</t>
  </si>
  <si>
    <t>Outro</t>
  </si>
  <si>
    <t>Logística</t>
  </si>
  <si>
    <t>Arrolamento de bens</t>
  </si>
  <si>
    <t>Comercial</t>
  </si>
  <si>
    <t>Usufruto</t>
  </si>
  <si>
    <t>Sala Comercial</t>
  </si>
  <si>
    <t>Indisponibilidade</t>
  </si>
  <si>
    <t>Casa</t>
  </si>
  <si>
    <t>Penhora</t>
  </si>
  <si>
    <t>Apartamento</t>
  </si>
  <si>
    <t>Divorciado</t>
  </si>
  <si>
    <t>Aposentado/Pensionista</t>
  </si>
  <si>
    <t>Viúvo</t>
  </si>
  <si>
    <t>Superior</t>
  </si>
  <si>
    <t>Logístico</t>
  </si>
  <si>
    <t>Liberal/Empresário</t>
  </si>
  <si>
    <t>União Estável</t>
  </si>
  <si>
    <t>Médio</t>
  </si>
  <si>
    <t>Funcionário Público</t>
  </si>
  <si>
    <t>Casado</t>
  </si>
  <si>
    <t>Fundamental</t>
  </si>
  <si>
    <t>Residencial</t>
  </si>
  <si>
    <t>CLT</t>
  </si>
  <si>
    <t>Solteiro</t>
  </si>
  <si>
    <t>Fiduciante</t>
  </si>
  <si>
    <t>Coluna1</t>
  </si>
  <si>
    <t>Coluna2</t>
  </si>
  <si>
    <t>Situação</t>
  </si>
  <si>
    <t>Financiamento de Automóvel</t>
  </si>
  <si>
    <t>Financiamento de Imóvel</t>
  </si>
  <si>
    <t>Cartão de crédito</t>
  </si>
  <si>
    <t>Cheque especial</t>
  </si>
  <si>
    <t xml:space="preserve">Crédito Pessoal s/ Consignação </t>
  </si>
  <si>
    <t>Crédito Pessoal</t>
  </si>
  <si>
    <t>Limite</t>
  </si>
  <si>
    <t>Valor a quitar</t>
  </si>
  <si>
    <t>Em dia</t>
  </si>
  <si>
    <t>Judicial</t>
  </si>
  <si>
    <t>REFIN/PEFIN</t>
  </si>
  <si>
    <t>Protesto</t>
  </si>
  <si>
    <t>Acima 365 dias</t>
  </si>
  <si>
    <t>Até 365 dias</t>
  </si>
  <si>
    <t>Até 30 dias</t>
  </si>
  <si>
    <t>Prejuízo</t>
  </si>
  <si>
    <t>Vencido</t>
  </si>
  <si>
    <t>PARTICIPANTES</t>
  </si>
  <si>
    <t>REGUA DE RENEGOCIAÇÃO</t>
  </si>
  <si>
    <t>RATING</t>
  </si>
  <si>
    <t>QUITAR DÍVIDAS</t>
  </si>
  <si>
    <t xml:space="preserve">DEVEDORES SOLIDÁRIOS </t>
  </si>
  <si>
    <t>SOBRE LAUDOS</t>
  </si>
  <si>
    <t>QUEM  NÃO É  ELEGÍVEL</t>
  </si>
  <si>
    <t>LOCALIDADES (Política)</t>
  </si>
  <si>
    <t>PRAZO DAS OP</t>
  </si>
  <si>
    <t>Outros Ônus?</t>
  </si>
  <si>
    <t>Saldo Atual (A.F)</t>
  </si>
  <si>
    <t>Valor Original (A.F.)</t>
  </si>
  <si>
    <t>Está Alienado?</t>
  </si>
  <si>
    <t>A.T (IPTU)</t>
  </si>
  <si>
    <t>A.T (Matrícula)</t>
  </si>
  <si>
    <t>A.C.. (IPTU)</t>
  </si>
  <si>
    <t>Idade Aparente</t>
  </si>
  <si>
    <t>A.C.. (Matrícula)</t>
  </si>
  <si>
    <t>Bom</t>
  </si>
  <si>
    <t>N° Matrícula</t>
  </si>
  <si>
    <t>Péssimo</t>
  </si>
  <si>
    <t>Logradouro</t>
  </si>
  <si>
    <t>Valor do laudo Pontte</t>
  </si>
  <si>
    <t>São Paulo</t>
  </si>
  <si>
    <t>Laudo do Imóvel?</t>
  </si>
  <si>
    <t>Valor  (cliente)</t>
  </si>
  <si>
    <t>Fotos do Imóvel?</t>
  </si>
  <si>
    <t>Tipo de Imóvel</t>
  </si>
  <si>
    <t>Quitar</t>
  </si>
  <si>
    <t>CET a.a.</t>
  </si>
  <si>
    <t>CET a.m.</t>
  </si>
  <si>
    <t>Taxa de Juros a.a.</t>
  </si>
  <si>
    <t>Taxa de Juros a.m.</t>
  </si>
  <si>
    <t>Relação com tomador</t>
  </si>
  <si>
    <t>CPF/CNPJ</t>
  </si>
  <si>
    <t>Baixa AF Existente</t>
  </si>
  <si>
    <t>Tipo de Tabela</t>
  </si>
  <si>
    <t xml:space="preserve">Anuentes </t>
  </si>
  <si>
    <t>Alerta</t>
  </si>
  <si>
    <t>Limite Disponível</t>
  </si>
  <si>
    <t>Renda Total</t>
  </si>
  <si>
    <t>Idade  máxima</t>
  </si>
  <si>
    <t>Endividamento Possível</t>
  </si>
  <si>
    <t>Prazo e Custo da Dívida</t>
  </si>
  <si>
    <t>Sobra na Mão</t>
  </si>
  <si>
    <t>Novo Empréstimo - HE</t>
  </si>
  <si>
    <t>Saldo após quitação</t>
  </si>
  <si>
    <t>Dívidas atuais p/ quitação</t>
  </si>
  <si>
    <t>André da Silva</t>
  </si>
  <si>
    <t>Endividamento Atual</t>
  </si>
  <si>
    <t>Taxa de Gestão</t>
  </si>
  <si>
    <t>Custos de Registro</t>
  </si>
  <si>
    <t>5</t>
  </si>
  <si>
    <t>João da Silva</t>
  </si>
  <si>
    <t>Limite Bacen</t>
  </si>
  <si>
    <t>Renda apurada</t>
  </si>
  <si>
    <t>Data de Nascimento</t>
  </si>
  <si>
    <t>PF/PJ</t>
  </si>
  <si>
    <t>Participantes</t>
  </si>
  <si>
    <t>Alavancagem</t>
  </si>
  <si>
    <t>Tarifas e Encargos</t>
  </si>
  <si>
    <t>▲ % Dívidas Totais em 360 dias</t>
  </si>
  <si>
    <t>Renda Total Informada</t>
  </si>
  <si>
    <t>▲ % Dívidas Totais em 180 dias</t>
  </si>
  <si>
    <t>Primeira PMT</t>
  </si>
  <si>
    <t>Pular PMT</t>
  </si>
  <si>
    <t>▲ % Dívidas Totais em 90 dias</t>
  </si>
  <si>
    <t>Comp. Renda PMT</t>
  </si>
  <si>
    <t>Renda Bruto</t>
  </si>
  <si>
    <t>LTV Estressado</t>
  </si>
  <si>
    <t>Score Serasa</t>
  </si>
  <si>
    <t>Classe Colateral</t>
  </si>
  <si>
    <t>% Dívidas &gt; 365 dias</t>
  </si>
  <si>
    <t>Renda Líquido</t>
  </si>
  <si>
    <t>LTV Líquido</t>
  </si>
  <si>
    <t>3 - 5 anos</t>
  </si>
  <si>
    <t>Tempo</t>
  </si>
  <si>
    <t>Operação na ...</t>
  </si>
  <si>
    <t>% Dívidas  30-365 dias</t>
  </si>
  <si>
    <t>Imóvel Líquido</t>
  </si>
  <si>
    <t>LTV Bruto</t>
  </si>
  <si>
    <t>Fonte de Renda</t>
  </si>
  <si>
    <t>Tipo de Amortização</t>
  </si>
  <si>
    <t>% Dívidas &lt; 30 dias</t>
  </si>
  <si>
    <t>Imóvel Bruto</t>
  </si>
  <si>
    <t>Valor Imóvel (após amostragem)</t>
  </si>
  <si>
    <t>Escolaride</t>
  </si>
  <si>
    <t>Prazo</t>
  </si>
  <si>
    <t>Valor Líquido Aprovado</t>
  </si>
  <si>
    <t>Filhos</t>
  </si>
  <si>
    <t>Qtde e-CPF</t>
  </si>
  <si>
    <t>Valor  Solicitado</t>
  </si>
  <si>
    <t>Valor Bruto</t>
  </si>
  <si>
    <t xml:space="preserve">Casado </t>
  </si>
  <si>
    <t>Estado Civil</t>
  </si>
  <si>
    <t>KPI´s</t>
  </si>
  <si>
    <t>Limites</t>
  </si>
  <si>
    <t>Valores</t>
  </si>
  <si>
    <t>Link Pipefy</t>
  </si>
  <si>
    <t>Holerite</t>
  </si>
  <si>
    <t>Comentários:</t>
  </si>
  <si>
    <t>PROPONENTE 5</t>
  </si>
  <si>
    <t>PROPONENTE 4</t>
  </si>
  <si>
    <t>PROPONENTE 3</t>
  </si>
  <si>
    <t>PROPONENTE 2</t>
  </si>
  <si>
    <t>PROPONENTE 1</t>
  </si>
  <si>
    <t>EXTRATO</t>
  </si>
  <si>
    <t>Pessimo</t>
  </si>
  <si>
    <t>Ruim</t>
  </si>
  <si>
    <t>Excelente</t>
  </si>
  <si>
    <t>Scoring</t>
  </si>
  <si>
    <t>Estado do Imóvel</t>
  </si>
  <si>
    <t>LTV Logistica</t>
  </si>
  <si>
    <t>LTV comercial</t>
  </si>
  <si>
    <t>LTV casa</t>
  </si>
  <si>
    <t>LTV apartamento</t>
  </si>
  <si>
    <t>Cheque Especial</t>
  </si>
  <si>
    <t>Home Equity</t>
  </si>
  <si>
    <t>Diretor</t>
  </si>
  <si>
    <t>Aquisição de imóveis</t>
  </si>
  <si>
    <t>X</t>
  </si>
  <si>
    <t>Gerente</t>
  </si>
  <si>
    <t>Aquisição de veículos</t>
  </si>
  <si>
    <t>Coordenador</t>
  </si>
  <si>
    <t>Rotativo de cartão de crédito</t>
  </si>
  <si>
    <t>Analista</t>
  </si>
  <si>
    <t>Metragem</t>
  </si>
  <si>
    <t>Modalidades de Empréstimo (R$)</t>
  </si>
  <si>
    <t>Se assalariado - Nível do cargo</t>
  </si>
  <si>
    <t>Quantidade de Prejuizo dividido pelo valor do imovel</t>
  </si>
  <si>
    <t>Apenas para análise de dados</t>
  </si>
  <si>
    <t>Maximo que podemos</t>
  </si>
  <si>
    <t>Outros compositores de renda</t>
  </si>
  <si>
    <t>Prejuizo</t>
  </si>
  <si>
    <t>Quantida de vencido dividido pelo valor do imovel</t>
  </si>
  <si>
    <t>Idade</t>
  </si>
  <si>
    <t>Tipologia</t>
  </si>
  <si>
    <t>Viuvo</t>
  </si>
  <si>
    <t xml:space="preserve">Histórico AF </t>
  </si>
  <si>
    <t>1 - Limite disponível divido pelo valor aprovado do cliente.</t>
  </si>
  <si>
    <t>União estavel</t>
  </si>
  <si>
    <t>&gt; 10 anos</t>
  </si>
  <si>
    <t>Limite disponível Bacen - Total aprovado1</t>
  </si>
  <si>
    <t>* Limite disponível divido pelo risco total do cliente.Infos do relatório bacen</t>
  </si>
  <si>
    <t>Até 2 anos</t>
  </si>
  <si>
    <t>P/ Profissional Liberal e Empresário - Tempo de Empresa</t>
  </si>
  <si>
    <t>* Definição pelo número de funcionários: Até 100 funcionários pequeno, entre 100 e 500 médio e acima de 500 grande.</t>
  </si>
  <si>
    <t>Limite disponível Bacen - Risco Total*</t>
  </si>
  <si>
    <t>Rating</t>
  </si>
  <si>
    <t>Rating - Pilar GI</t>
  </si>
  <si>
    <t>Pequeno</t>
  </si>
  <si>
    <t>P/ Assalariado - Tipo Empregador*</t>
  </si>
  <si>
    <t>Tipo de Emprego</t>
  </si>
  <si>
    <t>Pontuação Serasa</t>
  </si>
  <si>
    <t>Rating - Pilar HC</t>
  </si>
  <si>
    <t>Órgão Público Est/Mun</t>
  </si>
  <si>
    <t>Órgão Público Federal</t>
  </si>
  <si>
    <t>Empregador</t>
  </si>
  <si>
    <t>Rating Pilar SED + HI</t>
  </si>
  <si>
    <t>Nenhuma</t>
  </si>
  <si>
    <t>Rating - Pilar SED</t>
  </si>
  <si>
    <t>Comprometimento de Renda</t>
  </si>
  <si>
    <t>Escolaridade</t>
  </si>
  <si>
    <t>Rating GI</t>
  </si>
  <si>
    <t>Rating - SED + HI</t>
  </si>
  <si>
    <t>Limite Bacen - Total Aprovado</t>
  </si>
  <si>
    <t>C-</t>
  </si>
  <si>
    <t xml:space="preserve">LTV </t>
  </si>
  <si>
    <t>Limite Bacen - Risco Total</t>
  </si>
  <si>
    <t>C+</t>
  </si>
  <si>
    <t>B-</t>
  </si>
  <si>
    <t>Apartamento/Casa</t>
  </si>
  <si>
    <t>B+</t>
  </si>
  <si>
    <t>Estado de Conservação do Imóvel</t>
  </si>
  <si>
    <t>A+</t>
  </si>
  <si>
    <t>Pilar GI</t>
  </si>
  <si>
    <t>Pilar SED + HC</t>
  </si>
  <si>
    <t>Localização Garantia</t>
  </si>
  <si>
    <r>
      <t xml:space="preserve">Rating </t>
    </r>
    <r>
      <rPr>
        <b/>
        <sz val="9"/>
        <rFont val="Calibri"/>
        <family val="2"/>
        <scheme val="minor"/>
      </rPr>
      <t>(Matriz)</t>
    </r>
  </si>
  <si>
    <t>Pilar - GI (Garantia Imobiliária)</t>
  </si>
  <si>
    <t>Pilar - HC (Histórico de Crédito)</t>
  </si>
  <si>
    <t>Pilar SED (Sócio-Econômico Demográfico)</t>
  </si>
  <si>
    <t>Rating Bônus</t>
  </si>
  <si>
    <t>Ratings + são definidas pelo analista</t>
  </si>
  <si>
    <t>Taxa final</t>
  </si>
  <si>
    <t>+</t>
  </si>
  <si>
    <t>Ranting Final Analista</t>
  </si>
  <si>
    <t>Rating Final Modelo</t>
  </si>
  <si>
    <t>Régua de Renegociação</t>
  </si>
  <si>
    <t>Rating Vs Taxas</t>
  </si>
  <si>
    <t>Bônus?</t>
  </si>
  <si>
    <t>Estrutura</t>
  </si>
  <si>
    <r>
      <t>Resumo:</t>
    </r>
    <r>
      <rPr>
        <i/>
        <sz val="10"/>
        <color theme="1"/>
        <rFont val="Calibri"/>
        <family val="2"/>
        <scheme val="minor"/>
      </rPr>
      <t xml:space="preserve"> </t>
    </r>
  </si>
  <si>
    <t>Crédito</t>
  </si>
  <si>
    <t>Cliente</t>
  </si>
  <si>
    <t>Valor m²</t>
  </si>
  <si>
    <t>Metragem:</t>
  </si>
  <si>
    <t>Valor Imóvel</t>
  </si>
  <si>
    <t>Imóvel:</t>
  </si>
  <si>
    <t>Link Maps:</t>
  </si>
  <si>
    <t>Link Torre:</t>
  </si>
  <si>
    <t>OK</t>
  </si>
  <si>
    <t>Laudo Antigo</t>
  </si>
  <si>
    <t>Valor do laudo anterior</t>
  </si>
  <si>
    <t>Término da Construção</t>
  </si>
  <si>
    <t>Algum dos participantes tem restrição no Serasa?</t>
  </si>
  <si>
    <t>Restrição Serasa</t>
  </si>
  <si>
    <t>Prazo (Contrato)</t>
  </si>
  <si>
    <t>Se Funcionário Público</t>
  </si>
  <si>
    <t>Se CLT - Empregador</t>
  </si>
  <si>
    <t>Se fonte de renda for PJ</t>
  </si>
  <si>
    <t>Segmento</t>
  </si>
  <si>
    <t>Margem</t>
  </si>
  <si>
    <t>PROPONENTE 6</t>
  </si>
  <si>
    <t xml:space="preserve">BRL </t>
  </si>
  <si>
    <t>2018
Act</t>
  </si>
  <si>
    <t>2019
Act</t>
  </si>
  <si>
    <t>SG&amp;A</t>
  </si>
  <si>
    <t>EBITDA</t>
  </si>
  <si>
    <t>D&amp;A</t>
  </si>
  <si>
    <t>EBIT</t>
  </si>
  <si>
    <t>EBT</t>
  </si>
  <si>
    <t>2020
Act</t>
  </si>
  <si>
    <t>Vendas</t>
  </si>
  <si>
    <t>Outras Receitas</t>
  </si>
  <si>
    <t>Receita Bruta</t>
  </si>
  <si>
    <t>Receita Líquida</t>
  </si>
  <si>
    <t>Deduções</t>
  </si>
  <si>
    <t>CMV</t>
  </si>
  <si>
    <t>Lucro Bruto</t>
  </si>
  <si>
    <t>Despesas Fin.</t>
  </si>
  <si>
    <t>Outros Resulados</t>
  </si>
  <si>
    <t>Impostos</t>
  </si>
  <si>
    <t>Resultado Líquido</t>
  </si>
  <si>
    <t>%</t>
  </si>
  <si>
    <t>Links - Amostras</t>
  </si>
  <si>
    <t>Descrição</t>
  </si>
  <si>
    <t>60 - 240m (más cliente pode amortizar em qualquer período)</t>
  </si>
  <si>
    <t xml:space="preserve">Seção V da Política de Crédito + Material "Originação - Exceções" </t>
  </si>
  <si>
    <r>
      <t>Proprietários do</t>
    </r>
    <r>
      <rPr>
        <i/>
        <sz val="11"/>
        <color rgb="FF7030A0"/>
        <rFont val="Calibri"/>
        <family val="2"/>
        <scheme val="minor"/>
      </rPr>
      <t xml:space="preserve"> </t>
    </r>
    <r>
      <rPr>
        <i/>
        <sz val="11"/>
        <color rgb="FF7030A0"/>
        <rFont val="Calibri"/>
        <family val="2"/>
      </rPr>
      <t xml:space="preserve">collateralI </t>
    </r>
    <r>
      <rPr>
        <sz val="11"/>
        <color rgb="FF7030A0"/>
        <rFont val="Calibri"/>
        <family val="2"/>
      </rPr>
      <t xml:space="preserve">da operação, serão os devedores principais do contrato, podem ou não contribuir com renda, obrigatóriamente, inclusos na análise de endividamento (Bacen, Serasa e Neoway) </t>
    </r>
  </si>
  <si>
    <t>Serão compositores de renda que surpotarão a operação, obrigatóriamente, inclusos na análise de endividamento (Bacen, Serasa e Neoway)</t>
  </si>
  <si>
    <t>Seguir Política e Matriz de decisão (localidades fora da política) - Material "Originação - Exceções"</t>
  </si>
  <si>
    <t>Propor a Quitação de Dívidas: Vencidas/Prejuízo (Bacen), informadas no Relatório Serasa (REFIN, PEFIN e Protestos); Adimplentes, quando o cliente solicita ou para enquadramento no limite de endividameto global</t>
  </si>
  <si>
    <t>Para imóveis incorporados: Laudo Digital - documentos (Matrícula, IPTU e fotos (opcional)); Para demais imóveis: Laudo com Vistoria - documentos (IPTU, Matrícula e contato para agendamento)</t>
  </si>
  <si>
    <t>DEVEDORES FIDUCIANTES</t>
  </si>
  <si>
    <t>Bônus pela qualidade da operação ou por concorrência</t>
  </si>
  <si>
    <t>Listar na Tabela "Participantes" em ordem decrescente (+ velho p/ + novo)</t>
  </si>
  <si>
    <t>DATAS (CONTRATO)</t>
  </si>
  <si>
    <t>Data de Liquidação (Jurídico); Data das Parcelas (CX)</t>
  </si>
  <si>
    <t>COMPROMETIMENTO DE RENDA - PMT</t>
  </si>
  <si>
    <t>35% -SAC; 30% - Price</t>
  </si>
  <si>
    <t>ATUALIZAÇÃO BACEN</t>
  </si>
  <si>
    <t>Na Etapa "Ajstes Finais" Atualizar os Bacens dos participantes (arquivo e simulador) e em caso de desenquadramento do endividamento será necessário reajustar a operação (informar - Crédito, CX e Jur.)</t>
  </si>
  <si>
    <t>ATUALIZAÇÃO DÍVIDAS A QUITAR</t>
  </si>
  <si>
    <t>Em  "Ajustes Finais" solicitar a CX, especificando: credor, contrato e saldo devedor atualizado. Preferencialmente, Registrato (tipo de relatório Bacen, detalhando as dívidas por Instituições Financeiras e produto)</t>
  </si>
  <si>
    <t>ENDIVIDAMENTO</t>
  </si>
  <si>
    <t>Modelo que "precifica"  a taxa da operação  através das informações do imóvel e dos participantes da operação inseridas neste simulador, são classificadas em 3 pilares: (SED, HC e Imóvel). Entrtanto nenhum modelo é perfeito , por isso existe o "Rating Analista" para calibrar a sensibilidade de alguma varíavel que "escapou" do modelo  (ajustar no +/-)</t>
  </si>
  <si>
    <t>FATURAMENTO</t>
  </si>
  <si>
    <r>
      <t>É o "</t>
    </r>
    <r>
      <rPr>
        <sz val="11"/>
        <color rgb="FF7030A0"/>
        <rFont val="Calibri"/>
        <family val="2"/>
      </rPr>
      <t>file´",  (salário ou resultado após custos e despesas)</t>
    </r>
  </si>
  <si>
    <t>Recurso a deduzir custos, despesas e impostos, geralmente PJ´s  e autônomos. Utilizamos o conceito "aplicar a margem" (% de desconto sobre o faturamento) p/ obeter o "filé"</t>
  </si>
  <si>
    <t>E-CPF</t>
  </si>
  <si>
    <t>Assinatura digital - solicitar a quantidade ao (Jurídico/CX)</t>
  </si>
  <si>
    <t xml:space="preserve">Poderemos desconsiderar:
Fin. de auto (adimplente), quando este não for significativamente grande comparado a operação;
Cartão de crédito: curtíssimo prazo (30 dias) </t>
  </si>
  <si>
    <r>
      <t xml:space="preserve">Quando algum dos 3 pilares (renda, endividamento e colateral) não estiver robusto ou for passivo de </t>
    </r>
    <r>
      <rPr>
        <i/>
        <sz val="11"/>
        <color rgb="FF7030A0"/>
        <rFont val="Calibri"/>
        <family val="2"/>
      </rPr>
      <t xml:space="preserve">waiver, </t>
    </r>
    <r>
      <rPr>
        <sz val="11"/>
        <color rgb="FF7030A0"/>
        <rFont val="Calibri"/>
        <family val="2"/>
      </rPr>
      <t>deveremos ser mais conservadores com o LTV</t>
    </r>
  </si>
  <si>
    <t>Botão</t>
  </si>
  <si>
    <t>Texto Botão</t>
  </si>
  <si>
    <t>Organograma</t>
  </si>
  <si>
    <t>ID</t>
  </si>
  <si>
    <t>1. Registro com valor declarado - Fonte: ARISP</t>
  </si>
  <si>
    <t>DISCRIMINAÇÃO (R$)</t>
  </si>
  <si>
    <t>Oficial</t>
  </si>
  <si>
    <t>Registro Civil</t>
  </si>
  <si>
    <t>Tribunal de Justiça</t>
  </si>
  <si>
    <t>Ministério Público</t>
  </si>
  <si>
    <t>Município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</si>
  <si>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</si>
  <si>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</si>
  <si>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</si>
  <si>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</si>
  <si>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</si>
  <si>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</si>
  <si>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</si>
  <si>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</si>
  <si>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</si>
  <si>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</si>
  <si>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</si>
  <si>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</si>
  <si>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</si>
  <si>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</si>
  <si>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</si>
  <si>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</si>
  <si>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</si>
  <si>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</si>
  <si>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</si>
  <si>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</si>
  <si>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</si>
  <si>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</si>
  <si>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</si>
  <si>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</si>
  <si>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</si>
  <si>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</si>
  <si>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</si>
  <si>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</si>
  <si>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</si>
  <si>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</si>
  <si>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</si>
  <si>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</si>
  <si>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</si>
  <si>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</si>
  <si>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</si>
  <si>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</si>
  <si>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</si>
  <si>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</si>
  <si>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</si>
  <si>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</si>
  <si>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</si>
  <si>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</si>
  <si>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</si>
  <si>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</si>
  <si>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</si>
  <si>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</si>
  <si>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</si>
  <si>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Estrutura:</t>
  </si>
  <si>
    <t>CONSIDERAÇÕES FINAIS</t>
  </si>
  <si>
    <t>Status Serasa</t>
  </si>
  <si>
    <t>Escreva aqui o modelo de rating analista</t>
  </si>
  <si>
    <t>Rating Analista</t>
  </si>
  <si>
    <t>Modelo de Rating</t>
  </si>
  <si>
    <t>CARACTERÍSTICAS DA OPERAÇÃO (MODELO DE RATING GLOBAL)</t>
  </si>
  <si>
    <t>Vamos quitar</t>
  </si>
  <si>
    <t>Valor</t>
  </si>
  <si>
    <t>Fixo mensal</t>
  </si>
  <si>
    <t xml:space="preserve">INFORMAÇÕES ADICIONAIS </t>
  </si>
  <si>
    <t xml:space="preserve"> </t>
  </si>
  <si>
    <t>CLIENTES - PARTICIPANTES</t>
  </si>
  <si>
    <t>Avaliador:</t>
  </si>
  <si>
    <t>Valor Laudo:</t>
  </si>
  <si>
    <t>Endereço:</t>
  </si>
  <si>
    <t>Tipo:</t>
  </si>
  <si>
    <t>IMÓVEL 01</t>
  </si>
  <si>
    <t>GARANTIAS - RESUMO DOS IMÓVEIS</t>
  </si>
  <si>
    <t>Rating Modelo</t>
  </si>
  <si>
    <t xml:space="preserve">Comentários: </t>
  </si>
  <si>
    <t>Proprietários:</t>
  </si>
  <si>
    <t>Proprietário (s):</t>
  </si>
  <si>
    <t>Originador</t>
  </si>
  <si>
    <t>IMÓVEL E LOCALIZAÇÃO</t>
  </si>
  <si>
    <t>Fachada</t>
  </si>
  <si>
    <t>Mapa</t>
  </si>
  <si>
    <t>Obervações</t>
  </si>
  <si>
    <t>Renda Proponente 1</t>
  </si>
  <si>
    <t>Variável</t>
  </si>
  <si>
    <t>Perfil</t>
  </si>
  <si>
    <t>Composição da Renda</t>
  </si>
  <si>
    <t>Renda Proponente 2</t>
  </si>
  <si>
    <t>Margem Líq.</t>
  </si>
  <si>
    <t>EMPRESAS</t>
  </si>
  <si>
    <t>ENDIVIDAMENTO - BACEN</t>
  </si>
  <si>
    <t>ENDIVIDAMENTO - OUTRAS PENDÊNCIAS</t>
  </si>
  <si>
    <t>RESUMO</t>
  </si>
  <si>
    <t>Anuente</t>
  </si>
  <si>
    <t>ESTRUTURA - GLOBAL</t>
  </si>
  <si>
    <t>Solidário</t>
  </si>
  <si>
    <t>Nota: (1) Caso a tabela usada seja a SAC, o valor da PMT refere-se a primeira parcela. O valor não considera seguros e custos de cobrança</t>
  </si>
  <si>
    <t>Link:</t>
  </si>
  <si>
    <t>CONDIÇÕES COMERCIAIS APROVADAS - VALORES</t>
  </si>
  <si>
    <t>Average</t>
  </si>
  <si>
    <t>Passos Básicos</t>
  </si>
  <si>
    <t>1 - Inputs - estrutura básica da operação</t>
  </si>
  <si>
    <t>3- Colateral - Análise de preço</t>
  </si>
  <si>
    <t>Aba do excel</t>
  </si>
  <si>
    <t>Passo</t>
  </si>
  <si>
    <t xml:space="preserve">2- Colateral - preenchimento das informações das documentações (IPTU, Matrícula, fotos, etc.) </t>
  </si>
  <si>
    <t>Inputs</t>
  </si>
  <si>
    <t>Colateral</t>
  </si>
  <si>
    <t>4- Renda - Apuração e análise da renda</t>
  </si>
  <si>
    <t>Renda</t>
  </si>
  <si>
    <t xml:space="preserve">5- Endividamento - Preenchimento do endividamento BACEN </t>
  </si>
  <si>
    <t>6- Endividamento - Preenchimento do endividamento Serasa/outras pendências (Protestos, REFINs, PEFINs, Açoes, etc.)</t>
  </si>
  <si>
    <t>7- Ajustes de rating SED e HC</t>
  </si>
  <si>
    <t>8 - Mini relatórios</t>
  </si>
  <si>
    <t>Relatório Aprovação</t>
  </si>
  <si>
    <t>Dicas Para um bom relatório de aprovação: Para o relatório de aprovação temos 3 "mini textos" principais: Sobre o imóvel, sobre o cliente (renda, endividamento, contexto da operação) e por último estrutura geral da operação (valor disponibilizado, rating, etc.)</t>
  </si>
  <si>
    <t>Imóvel:  Tipologia do imóvel, bairro, cidade/estado, situar o leitor mais ou menos onde fica ("próximo ao centro da cidade"; " ~x km da via tal ou bairro, ou ponto de referencia relevante"). Falar um pouco sobre a composição da região (perfil residencial, comercial, boa infraestrutura, etc.). Falar da sua percepção e análise do preço da garantia. detalhes sobre matrícula, IPTU, diferenças na documentação ou outras documentações que podem impactar o imóvel (regime de casamento). Qualquer outra informação relevante sobre o imóvel que pode estar nos comentários ou soltas.</t>
  </si>
  <si>
    <t>Cliente: Sobre a cliente + "renda" e como foi apurada. Endividamento bacen. Serasa. Aspectos relevantes sobre a estrutura e informações que podem estar soltas nos comentários. Endividamento do bacen (não precisa colocar exatamente cada coisa que ela tem, mas as coisas relevantes. Ex: Se estiver tudo em dia pode simplesmente colocar  que tem endividamento mas está tudo m dia. Serasa (score e apontamentos). Objetivo da Operação (se tiver). Outras informações relevantes para o caso.</t>
  </si>
  <si>
    <t>Resumo: Aspectos relevantes da operação, não precisa ser todos (Ex: valor disponibilizado, rating, etc. e o por que montamos dessa forma, argumentos favoráveis e coisas não tão favoráveis)</t>
  </si>
  <si>
    <t xml:space="preserve">Finalizei </t>
  </si>
  <si>
    <t>Perguntas:</t>
  </si>
  <si>
    <t>1 - Analisei todos os aspectos do imóvel? (qual será o imóvel, áreas, possíveis impeditivos no imóvel, partilhas, proprietários, alienações (status e saldo), preço, etc.)</t>
  </si>
  <si>
    <t>2 - Analisei a renda da operação? (entendi a origem dos recursos, conversa com a história e elementos fornecidos pelo cliente, além do meu entendimento sobre a atividade, segue as políticas da empresa, comporta a operação, chequei outros elementos como: IR, parcelas mensais de endividamento, etc. que corroborem com o contexto. Segui os direcionamento internos da área de crédito para aceitação/apuração de renda)</t>
  </si>
  <si>
    <t>3 - Analisei o endividamento? (Inclui todas as dívidas BACEN e Serasa de todos os envolvidos na operação, entendi quais serão efetivamente os participantes da operação e os demais que estão assciados aos participantes</t>
  </si>
  <si>
    <t>4- Ajustei os aspectos do modelo? (SED e HC de acordo com o contexto montado da operação</t>
  </si>
  <si>
    <t>Margem %</t>
  </si>
  <si>
    <t>(19) População judicial do município de Terra Nova do Norte - MT: entre10189 e 13584 habitantes. Processo Judicial nº 1000001-91.2019.4.01.3603 (2ª Vara federal Cível e Criminal da SSJ de Sinop-MT).</t>
  </si>
  <si>
    <t>(18) População judicial do município de  Santa Tereza do Oeste - PR: 10.471 habitantes. Processo Judicial nº 5012452-12.2018.4.04.7005 (Seção Judiciária do Paraná - Plantão JFPR).</t>
  </si>
  <si>
    <t>(17) População judicial do município de Vera Cruz - BA: entre 44.149 a 50.940 habitantes. Processo Judicial nº 8000464-59.2018.8.05.0124 (Vara dos Feitos Relativos às Relações de Consumo, Cíveis e Comerciais, Registros Públicos e Acidentes de Trabalho e Juizado Especial Adjunto da Comarca de Itaparica).</t>
  </si>
  <si>
    <t>(16) População judicial do município de Souto Soares - BA: entre 16.981 e 23.772. Processo Judicial nº005709-76.2018.4.01.3312 (1ª Vara  de Irecê).</t>
  </si>
  <si>
    <t>(15) População judicial do município de Rodelas - BA: entre 10.189 a 13.584 habitantes. Processo Judicial nº 1002950-09.2019.4.01.3306 (Procuradoria Federal no Estado da Bahia, Núcleo Finalístico Ambiental).</t>
  </si>
  <si>
    <t>(14) População judicial do município Ibiassucê-BA: entre 10.189 e 13.584 habitantes. Processo Judicial  nº 1018608-53.2017.4.01.3400 (14ª VARA FEDERAL CÍVEL DA SJDF).</t>
  </si>
  <si>
    <t>(13) População judicial do município de Heliópolis - BA: entre 13.585 e 16.980. Processo Judicial nº 1000198-98.2018.4.01.3306 (Subseção Judiciária de Paulo Afonso-BA).</t>
  </si>
  <si>
    <t>(12) População judicial do município de Euclides da Cunha - BA: entre 61.129 a 71.316 habitantes. Processo Judicial nº 1000719-43.2018.401.3306 (Vara Federal Cível e Criminal da SSJ DE Paulo Afonso).</t>
  </si>
  <si>
    <t>(11) População judicial do município Coronel João Sá-BA: 17.422 habitantes. Processo Judicial nº 0002222-53.2017.4.01.3306 - Vara Única de Paulo Afonso-BA.</t>
  </si>
  <si>
    <t>(10) População judicial do município de Banzaê - BA: entre 13.585 e 16.980. Processo Judicial nº1000229-21.2018.4.01.3306 (Vara Cívil e Criminal da SSJ de Paulo Afonso-BA).</t>
  </si>
  <si>
    <t>(9) População judicial do município de Amargosa - BA: entre 37.357 e 44.148. Processo Judicial  nº 1022005-86.2018.4.01.3400- (5ª VF/SJDF).</t>
  </si>
  <si>
    <t>(8) População judicial do município de Adustina - BA: entre 16.981 e 23.772. Processo Judicial nº 1000197-16.2018.4.01.3306 (Vara Cívil e Criminal da SSJ de Paulo Afonso-BA).</t>
  </si>
  <si>
    <t>(7) População judicial do município de São Gonçalo do Amarante-RN: entre 101.881 e 115.464 habitantes. Processo Judicial nº: 0813188-75.2017.4.05.8400 (4ª Vara Federal - RN).</t>
  </si>
  <si>
    <t>(6) População judicial do município de Paço do Lumiar - MA: superior a 156.216 habitantes. Processo Judicial nº13916-98.2017.4.01.3700 - Seção Judiciária do Maranhão- MA.</t>
  </si>
  <si>
    <t>(5) População judicial do município de Jacareacanga-PA: 41.487 habitantes. Processo Judicial nº 798-41.2011.4.01.3902, Seção Judiciária de Itaituba-PA.</t>
  </si>
  <si>
    <t>(4) População judicial do município de Urucará-AM: entre 16.981 e 23.772 habitantes. Parecer de Força Executória nº 00004/2017/NUCOB-GEAC/PFAM/PGF/AGU, em trâmite na 3ª VF/AM.</t>
  </si>
  <si>
    <t>(3) População judicial do município de Santa Isabel do Rio Negro-AM: entre 23.773 e 30.564 habitantes. Parecer de Força Executória nº 00007/2017/NUCOB-GEAC/PFAM/PGF/AGU, em trâmite na 3ª VF/AM.</t>
  </si>
  <si>
    <t>(2) População judicial do município de Manaquiri-AM: entre 30.565 e 37.356 habitantes. Parecer de Força Executória nº 00010/2017/NUCOB-GEAC/PFAM/PGF/AGU, em trâmite na 3ª VF/AM.</t>
  </si>
  <si>
    <t>(1) População judicial do município de Porto Velho-RO: 494.013 habitantes. Processo Judicial nº 12316-40.2016.4.01.4100 - Seção Judiciária de Rondônia.</t>
  </si>
  <si>
    <t>Notas:</t>
  </si>
  <si>
    <t>Fonte: IBGE. Diretoria de Pesquisas - DPE -  Coordenação de População e Indicadores Sociais - COPIS.</t>
  </si>
  <si>
    <t>Brasília</t>
  </si>
  <si>
    <t>00108</t>
  </si>
  <si>
    <t>Vila Propício</t>
  </si>
  <si>
    <t>22302</t>
  </si>
  <si>
    <t>Vila Boa</t>
  </si>
  <si>
    <t>22203</t>
  </si>
  <si>
    <t>Vicentinópolis</t>
  </si>
  <si>
    <t>22054</t>
  </si>
  <si>
    <t>Vianópolis</t>
  </si>
  <si>
    <t>22005</t>
  </si>
  <si>
    <t>Varjão</t>
  </si>
  <si>
    <t>21908</t>
  </si>
  <si>
    <t>Valparaíso de Goiás</t>
  </si>
  <si>
    <t>21858</t>
  </si>
  <si>
    <t>Urutaí</t>
  </si>
  <si>
    <t>21809</t>
  </si>
  <si>
    <t>Uruana</t>
  </si>
  <si>
    <t>21700</t>
  </si>
  <si>
    <t>Uruaçu</t>
  </si>
  <si>
    <t>21601</t>
  </si>
  <si>
    <t>Uirapuru</t>
  </si>
  <si>
    <t>21577</t>
  </si>
  <si>
    <t>Turvelândia</t>
  </si>
  <si>
    <t>21551</t>
  </si>
  <si>
    <t>Turvânia</t>
  </si>
  <si>
    <t>21502</t>
  </si>
  <si>
    <t>Trombas</t>
  </si>
  <si>
    <t>21452</t>
  </si>
  <si>
    <t>Trindade</t>
  </si>
  <si>
    <t>21403</t>
  </si>
  <si>
    <t>Três Ranchos</t>
  </si>
  <si>
    <t>21304</t>
  </si>
  <si>
    <t>Terezópolis de Goiás</t>
  </si>
  <si>
    <t>21197</t>
  </si>
  <si>
    <t>Teresina de Goiás</t>
  </si>
  <si>
    <t>21080</t>
  </si>
  <si>
    <t>Taquaral de Goiás</t>
  </si>
  <si>
    <t>21007</t>
  </si>
  <si>
    <t>Sítio d'Abadia</t>
  </si>
  <si>
    <t>20702</t>
  </si>
  <si>
    <t>Simolândia</t>
  </si>
  <si>
    <t>20686</t>
  </si>
  <si>
    <t>Silvânia</t>
  </si>
  <si>
    <t>20603</t>
  </si>
  <si>
    <t>Serranópolis</t>
  </si>
  <si>
    <t>20504</t>
  </si>
  <si>
    <t>Senador Canedo</t>
  </si>
  <si>
    <t>20454</t>
  </si>
  <si>
    <t>São Simão</t>
  </si>
  <si>
    <t>20405</t>
  </si>
  <si>
    <t>São Patrício</t>
  </si>
  <si>
    <t>20280</t>
  </si>
  <si>
    <t>São Miguel do Passa Quatro</t>
  </si>
  <si>
    <t>20264</t>
  </si>
  <si>
    <t>São Miguel do Araguaia</t>
  </si>
  <si>
    <t>20207</t>
  </si>
  <si>
    <t>São Luiz do Norte</t>
  </si>
  <si>
    <t>20157</t>
  </si>
  <si>
    <t>São Luís de Montes Belos</t>
  </si>
  <si>
    <t>20108</t>
  </si>
  <si>
    <t>São João da Paraúna</t>
  </si>
  <si>
    <t>20058</t>
  </si>
  <si>
    <t>São João d'Aliança</t>
  </si>
  <si>
    <t>20009</t>
  </si>
  <si>
    <t>São Francisco de Goiás</t>
  </si>
  <si>
    <t>19902</t>
  </si>
  <si>
    <t>São Domingos</t>
  </si>
  <si>
    <t>19803</t>
  </si>
  <si>
    <t>Santo Antônio do Descoberto</t>
  </si>
  <si>
    <t>19753</t>
  </si>
  <si>
    <t>Santo Antônio de Goiás</t>
  </si>
  <si>
    <t>19738</t>
  </si>
  <si>
    <t>Santo Antônio da Barra</t>
  </si>
  <si>
    <t>19712</t>
  </si>
  <si>
    <t>Santa Terezinha de Goiás</t>
  </si>
  <si>
    <t>19704</t>
  </si>
  <si>
    <t>Santa Tereza de Goiás</t>
  </si>
  <si>
    <t>19605</t>
  </si>
  <si>
    <t>Santa Rosa de Goiás</t>
  </si>
  <si>
    <t>19506</t>
  </si>
  <si>
    <t>Santa Rita do Novo Destino</t>
  </si>
  <si>
    <t>19456</t>
  </si>
  <si>
    <t>Santa Rita do Araguaia</t>
  </si>
  <si>
    <t>19407</t>
  </si>
  <si>
    <t>Santa Isabel</t>
  </si>
  <si>
    <t>19357</t>
  </si>
  <si>
    <t>Santa Helena de Goiás</t>
  </si>
  <si>
    <t>19308</t>
  </si>
  <si>
    <t>Santa Fé de Goiás</t>
  </si>
  <si>
    <t>19258</t>
  </si>
  <si>
    <t>Santa Cruz de Goiás</t>
  </si>
  <si>
    <t>19209</t>
  </si>
  <si>
    <t>Santa Bárbara de Goiás</t>
  </si>
  <si>
    <t>19100</t>
  </si>
  <si>
    <t>Sanclerlândia</t>
  </si>
  <si>
    <t>19001</t>
  </si>
  <si>
    <t>Rubiataba</t>
  </si>
  <si>
    <t>18904</t>
  </si>
  <si>
    <t>Rio Verde</t>
  </si>
  <si>
    <t>18805</t>
  </si>
  <si>
    <t>Rio Quente</t>
  </si>
  <si>
    <t>18789</t>
  </si>
  <si>
    <t>Rianápolis</t>
  </si>
  <si>
    <t>18706</t>
  </si>
  <si>
    <t>Rialma</t>
  </si>
  <si>
    <t>18607</t>
  </si>
  <si>
    <t>Quirinópolis</t>
  </si>
  <si>
    <t>18508</t>
  </si>
  <si>
    <t>Professor Jamil</t>
  </si>
  <si>
    <t>18391</t>
  </si>
  <si>
    <t>Posse</t>
  </si>
  <si>
    <t>18300</t>
  </si>
  <si>
    <t>Portelândia</t>
  </si>
  <si>
    <t>18102</t>
  </si>
  <si>
    <t>Porteirão</t>
  </si>
  <si>
    <t>18052</t>
  </si>
  <si>
    <t>Porangatu</t>
  </si>
  <si>
    <t>18003</t>
  </si>
  <si>
    <t>Pontalina</t>
  </si>
  <si>
    <t>17708</t>
  </si>
  <si>
    <t>Planaltina</t>
  </si>
  <si>
    <t>17609</t>
  </si>
  <si>
    <t>Pires do Rio</t>
  </si>
  <si>
    <t>17401</t>
  </si>
  <si>
    <t>Pirenópolis</t>
  </si>
  <si>
    <t>17302</t>
  </si>
  <si>
    <t>Piranhas</t>
  </si>
  <si>
    <t>17203</t>
  </si>
  <si>
    <t>Piracanjuba</t>
  </si>
  <si>
    <t>17104</t>
  </si>
  <si>
    <t>Pilar de Goiás</t>
  </si>
  <si>
    <t>16908</t>
  </si>
  <si>
    <t>Petrolina de Goiás</t>
  </si>
  <si>
    <t>16809</t>
  </si>
  <si>
    <t>Perolândia</t>
  </si>
  <si>
    <t>16452</t>
  </si>
  <si>
    <t>Paraúna</t>
  </si>
  <si>
    <t>16403</t>
  </si>
  <si>
    <t>Paranaiguara</t>
  </si>
  <si>
    <t>16304</t>
  </si>
  <si>
    <t>Panamá</t>
  </si>
  <si>
    <t>16007</t>
  </si>
  <si>
    <t>Palminópolis</t>
  </si>
  <si>
    <t>15900</t>
  </si>
  <si>
    <t>Palmelo</t>
  </si>
  <si>
    <t>15801</t>
  </si>
  <si>
    <t>Palmeiras de Goiás</t>
  </si>
  <si>
    <t>15702</t>
  </si>
  <si>
    <t>Palestina de Goiás</t>
  </si>
  <si>
    <t>15652</t>
  </si>
  <si>
    <t>Padre Bernardo</t>
  </si>
  <si>
    <t>15603</t>
  </si>
  <si>
    <t>Ouvidor</t>
  </si>
  <si>
    <t>15504</t>
  </si>
  <si>
    <t>Ouro Verde de Goiás</t>
  </si>
  <si>
    <t>15405</t>
  </si>
  <si>
    <t>Orizona</t>
  </si>
  <si>
    <t>15306</t>
  </si>
  <si>
    <t>Novo Planalto</t>
  </si>
  <si>
    <t>15256</t>
  </si>
  <si>
    <t>Novo Gama</t>
  </si>
  <si>
    <t>15231</t>
  </si>
  <si>
    <t>Novo Brasil</t>
  </si>
  <si>
    <t>15207</t>
  </si>
  <si>
    <t>Nova Veneza</t>
  </si>
  <si>
    <t>15009</t>
  </si>
  <si>
    <t>Nova Roma</t>
  </si>
  <si>
    <t>14903</t>
  </si>
  <si>
    <t>Nova Iguaçu de Goiás</t>
  </si>
  <si>
    <t>14879</t>
  </si>
  <si>
    <t>Nova Glória</t>
  </si>
  <si>
    <t>14861</t>
  </si>
  <si>
    <t>Nova Crixás</t>
  </si>
  <si>
    <t>14838</t>
  </si>
  <si>
    <t>Nova Aurora</t>
  </si>
  <si>
    <t>14804</t>
  </si>
  <si>
    <t>Nova América</t>
  </si>
  <si>
    <t>14705</t>
  </si>
  <si>
    <t>Niquelândia</t>
  </si>
  <si>
    <t>14606</t>
  </si>
  <si>
    <t>Nerópolis</t>
  </si>
  <si>
    <t>14507</t>
  </si>
  <si>
    <t>Nazário</t>
  </si>
  <si>
    <t>14408</t>
  </si>
  <si>
    <t>Mutunópolis</t>
  </si>
  <si>
    <t>14101</t>
  </si>
  <si>
    <t>Mundo Novo</t>
  </si>
  <si>
    <t>14051</t>
  </si>
  <si>
    <t>Mozarlândia</t>
  </si>
  <si>
    <t>14002</t>
  </si>
  <si>
    <t>Mossâmedes</t>
  </si>
  <si>
    <t>13905</t>
  </si>
  <si>
    <t>Morro Agudo de Goiás</t>
  </si>
  <si>
    <t>13855</t>
  </si>
  <si>
    <t>Morrinhos</t>
  </si>
  <si>
    <t>13806</t>
  </si>
  <si>
    <t>Montividiu do Norte</t>
  </si>
  <si>
    <t>13772</t>
  </si>
  <si>
    <t>Montividiu</t>
  </si>
  <si>
    <t>13756</t>
  </si>
  <si>
    <t>Montes Claros de Goiás</t>
  </si>
  <si>
    <t>13707</t>
  </si>
  <si>
    <t>Monte Alegre de Goiás</t>
  </si>
  <si>
    <t>13509</t>
  </si>
  <si>
    <t>Moiporá</t>
  </si>
  <si>
    <t>13400</t>
  </si>
  <si>
    <t>Mineiros</t>
  </si>
  <si>
    <t>13103</t>
  </si>
  <si>
    <t>Minaçu</t>
  </si>
  <si>
    <t>13087</t>
  </si>
  <si>
    <t>Mimoso de Goiás</t>
  </si>
  <si>
    <t>13053</t>
  </si>
  <si>
    <t>Maurilândia</t>
  </si>
  <si>
    <t>13004</t>
  </si>
  <si>
    <t>Matrinchã</t>
  </si>
  <si>
    <t>12956</t>
  </si>
  <si>
    <t>Marzagão</t>
  </si>
  <si>
    <t>12907</t>
  </si>
  <si>
    <t>Mara Rosa</t>
  </si>
  <si>
    <t>12808</t>
  </si>
  <si>
    <t>Mambaí</t>
  </si>
  <si>
    <t>12709</t>
  </si>
  <si>
    <t>Mairipotaba</t>
  </si>
  <si>
    <t>12600</t>
  </si>
  <si>
    <t>Luziânia</t>
  </si>
  <si>
    <t>12501</t>
  </si>
  <si>
    <t>Leopoldo de Bulhões</t>
  </si>
  <si>
    <t>12303</t>
  </si>
  <si>
    <t>Lagoa Santa</t>
  </si>
  <si>
    <t>12253</t>
  </si>
  <si>
    <t>Jussara</t>
  </si>
  <si>
    <t>12204</t>
  </si>
  <si>
    <t>Joviânia</t>
  </si>
  <si>
    <t>12105</t>
  </si>
  <si>
    <t>Jesúpolis</t>
  </si>
  <si>
    <t>12055</t>
  </si>
  <si>
    <t>Jaupaci</t>
  </si>
  <si>
    <t>12006</t>
  </si>
  <si>
    <t>Jataí</t>
  </si>
  <si>
    <t>11909</t>
  </si>
  <si>
    <t>Jaraguá</t>
  </si>
  <si>
    <t>11800</t>
  </si>
  <si>
    <t>Jandaia</t>
  </si>
  <si>
    <t>11701</t>
  </si>
  <si>
    <t>Ivolândia</t>
  </si>
  <si>
    <t>11602</t>
  </si>
  <si>
    <t>Itumbiara</t>
  </si>
  <si>
    <t>11503</t>
  </si>
  <si>
    <t>Itauçu</t>
  </si>
  <si>
    <t>11404</t>
  </si>
  <si>
    <t>Itarumã</t>
  </si>
  <si>
    <t>11305</t>
  </si>
  <si>
    <t>Itapuranga</t>
  </si>
  <si>
    <t>11206</t>
  </si>
  <si>
    <t>Itapirapuã</t>
  </si>
  <si>
    <t>11008</t>
  </si>
  <si>
    <t>Itapaci</t>
  </si>
  <si>
    <t>10901</t>
  </si>
  <si>
    <t>Itajá</t>
  </si>
  <si>
    <t>10802</t>
  </si>
  <si>
    <t>Itaguaru</t>
  </si>
  <si>
    <t>10604</t>
  </si>
  <si>
    <t>Itaguari</t>
  </si>
  <si>
    <t>10562</t>
  </si>
  <si>
    <t>Itaberaí</t>
  </si>
  <si>
    <t>10406</t>
  </si>
  <si>
    <t>Israelândia</t>
  </si>
  <si>
    <t>10307</t>
  </si>
  <si>
    <t>Iporá</t>
  </si>
  <si>
    <t>10208</t>
  </si>
  <si>
    <t>Ipiranga de Goiás</t>
  </si>
  <si>
    <t>10158</t>
  </si>
  <si>
    <t>Ipameri</t>
  </si>
  <si>
    <t>10109</t>
  </si>
  <si>
    <t>Inhumas</t>
  </si>
  <si>
    <t>10000</t>
  </si>
  <si>
    <t>Indiara</t>
  </si>
  <si>
    <t>09952</t>
  </si>
  <si>
    <t>Inaciolândia</t>
  </si>
  <si>
    <t>09937</t>
  </si>
  <si>
    <t>Iaciara</t>
  </si>
  <si>
    <t>09903</t>
  </si>
  <si>
    <t>Hidrolina</t>
  </si>
  <si>
    <t>09804</t>
  </si>
  <si>
    <t>Hidrolândia</t>
  </si>
  <si>
    <t>09705</t>
  </si>
  <si>
    <t>Heitoraí</t>
  </si>
  <si>
    <t>09606</t>
  </si>
  <si>
    <t>Guarinos</t>
  </si>
  <si>
    <t>09457</t>
  </si>
  <si>
    <t>Guarani de Goiás</t>
  </si>
  <si>
    <t>09408</t>
  </si>
  <si>
    <t>Guaraíta</t>
  </si>
  <si>
    <t>09291</t>
  </si>
  <si>
    <t>Guapó</t>
  </si>
  <si>
    <t>09200</t>
  </si>
  <si>
    <t>Gouvelândia</t>
  </si>
  <si>
    <t>09150</t>
  </si>
  <si>
    <t>Goiatuba</t>
  </si>
  <si>
    <t>09101</t>
  </si>
  <si>
    <t>Goiás</t>
  </si>
  <si>
    <t>08905</t>
  </si>
  <si>
    <t>Goianira</t>
  </si>
  <si>
    <t>08806</t>
  </si>
  <si>
    <t>Goiânia</t>
  </si>
  <si>
    <t>08707</t>
  </si>
  <si>
    <t>Goianésia</t>
  </si>
  <si>
    <t>08608</t>
  </si>
  <si>
    <t>Goiandira</t>
  </si>
  <si>
    <t>08509</t>
  </si>
  <si>
    <t>Goianápolis</t>
  </si>
  <si>
    <t>08400</t>
  </si>
  <si>
    <t>Divinópolis de Goiás</t>
  </si>
  <si>
    <t>08301</t>
  </si>
  <si>
    <t>Gameleira de Goiás</t>
  </si>
  <si>
    <t>08152</t>
  </si>
  <si>
    <t>Formoso</t>
  </si>
  <si>
    <t>08103</t>
  </si>
  <si>
    <t>Formosa</t>
  </si>
  <si>
    <t>08004</t>
  </si>
  <si>
    <t>Flores de Goiás</t>
  </si>
  <si>
    <t>07907</t>
  </si>
  <si>
    <t>Firminópolis</t>
  </si>
  <si>
    <t>07808</t>
  </si>
  <si>
    <t>Fazenda Nova</t>
  </si>
  <si>
    <t>07600</t>
  </si>
  <si>
    <t>Faina</t>
  </si>
  <si>
    <t>07535</t>
  </si>
  <si>
    <t>Estrela do Norte</t>
  </si>
  <si>
    <t>07501</t>
  </si>
  <si>
    <t>Edéia</t>
  </si>
  <si>
    <t>07402</t>
  </si>
  <si>
    <t>Edealina</t>
  </si>
  <si>
    <t>07352</t>
  </si>
  <si>
    <t>Doverlândia</t>
  </si>
  <si>
    <t>07253</t>
  </si>
  <si>
    <t>Diorama</t>
  </si>
  <si>
    <t>07105</t>
  </si>
  <si>
    <t>Davinópolis</t>
  </si>
  <si>
    <t>06909</t>
  </si>
  <si>
    <t>Damolândia</t>
  </si>
  <si>
    <t>06800</t>
  </si>
  <si>
    <t>Damianópolis</t>
  </si>
  <si>
    <t>06701</t>
  </si>
  <si>
    <t>Cumari</t>
  </si>
  <si>
    <t>06602</t>
  </si>
  <si>
    <t>Cromínia</t>
  </si>
  <si>
    <t>06503</t>
  </si>
  <si>
    <t>Crixás</t>
  </si>
  <si>
    <t>06404</t>
  </si>
  <si>
    <t>Cristianópolis</t>
  </si>
  <si>
    <t>06305</t>
  </si>
  <si>
    <t>Cristalina</t>
  </si>
  <si>
    <t>06206</t>
  </si>
  <si>
    <t>Corumbaíba</t>
  </si>
  <si>
    <t>05901</t>
  </si>
  <si>
    <t>Corumbá de Goiás</t>
  </si>
  <si>
    <t>05802</t>
  </si>
  <si>
    <t>Córrego do Ouro</t>
  </si>
  <si>
    <t>05703</t>
  </si>
  <si>
    <t>Colinas do Sul</t>
  </si>
  <si>
    <t>05521</t>
  </si>
  <si>
    <t>Cocalzinho de Goiás</t>
  </si>
  <si>
    <t>05513</t>
  </si>
  <si>
    <t>Cidade Ocidental</t>
  </si>
  <si>
    <t>05497</t>
  </si>
  <si>
    <t>Chapadão do Céu</t>
  </si>
  <si>
    <t>05471</t>
  </si>
  <si>
    <t>Cezarina</t>
  </si>
  <si>
    <t>05455</t>
  </si>
  <si>
    <t>Ceres</t>
  </si>
  <si>
    <t>05406</t>
  </si>
  <si>
    <t>Cavalcante</t>
  </si>
  <si>
    <t>05307</t>
  </si>
  <si>
    <t>Caturaí</t>
  </si>
  <si>
    <t>05208</t>
  </si>
  <si>
    <t>Catalão</t>
  </si>
  <si>
    <t>05109</t>
  </si>
  <si>
    <t>Castelândia</t>
  </si>
  <si>
    <t>05059</t>
  </si>
  <si>
    <t>Carmo do Rio Verde</t>
  </si>
  <si>
    <t>05000</t>
  </si>
  <si>
    <t>Campos Verdes</t>
  </si>
  <si>
    <t>04953</t>
  </si>
  <si>
    <t>Campos Belos</t>
  </si>
  <si>
    <t>04904</t>
  </si>
  <si>
    <t>Campo Limpo de Goiás</t>
  </si>
  <si>
    <t>04854</t>
  </si>
  <si>
    <t>Campo Alegre de Goiás</t>
  </si>
  <si>
    <t>04805</t>
  </si>
  <si>
    <t>Campinorte</t>
  </si>
  <si>
    <t>04706</t>
  </si>
  <si>
    <t>Campinaçu</t>
  </si>
  <si>
    <t>04656</t>
  </si>
  <si>
    <t>Campestre de Goiás</t>
  </si>
  <si>
    <t>04607</t>
  </si>
  <si>
    <t>Caldazinha</t>
  </si>
  <si>
    <t>04557</t>
  </si>
  <si>
    <t>Caldas Novas</t>
  </si>
  <si>
    <t>04508</t>
  </si>
  <si>
    <t>Caiapônia</t>
  </si>
  <si>
    <t>04409</t>
  </si>
  <si>
    <t>Caçu</t>
  </si>
  <si>
    <t>04300</t>
  </si>
  <si>
    <t>Cachoeira Dourada</t>
  </si>
  <si>
    <t>04250</t>
  </si>
  <si>
    <t>Cachoeira de Goiás</t>
  </si>
  <si>
    <t>04201</t>
  </si>
  <si>
    <t>Cachoeira Alta</t>
  </si>
  <si>
    <t>04102</t>
  </si>
  <si>
    <t>Cabeceiras</t>
  </si>
  <si>
    <t>04003</t>
  </si>
  <si>
    <t>Buritinópolis</t>
  </si>
  <si>
    <t>03962</t>
  </si>
  <si>
    <t>Buriti de Goiás</t>
  </si>
  <si>
    <t>03939</t>
  </si>
  <si>
    <t>Buriti Alegre</t>
  </si>
  <si>
    <t>03906</t>
  </si>
  <si>
    <t>Britânia</t>
  </si>
  <si>
    <t>03807</t>
  </si>
  <si>
    <t>Brazabrantes</t>
  </si>
  <si>
    <t>03609</t>
  </si>
  <si>
    <t>Bonópolis</t>
  </si>
  <si>
    <t>03575</t>
  </si>
  <si>
    <t>Bonfinópolis</t>
  </si>
  <si>
    <t>03559</t>
  </si>
  <si>
    <t>Bom Jesus de Goiás</t>
  </si>
  <si>
    <t>03500</t>
  </si>
  <si>
    <t>Bom Jardim de Goiás</t>
  </si>
  <si>
    <t>03401</t>
  </si>
  <si>
    <t>Bela Vista de Goiás</t>
  </si>
  <si>
    <t>03302</t>
  </si>
  <si>
    <t>Barro Alto</t>
  </si>
  <si>
    <t>03203</t>
  </si>
  <si>
    <t>Baliza</t>
  </si>
  <si>
    <t>03104</t>
  </si>
  <si>
    <t>Avelinópolis</t>
  </si>
  <si>
    <t>02809</t>
  </si>
  <si>
    <t>Aurilândia</t>
  </si>
  <si>
    <t>02601</t>
  </si>
  <si>
    <t>Aruanã</t>
  </si>
  <si>
    <t>02502</t>
  </si>
  <si>
    <t>Arenópolis</t>
  </si>
  <si>
    <t>02353</t>
  </si>
  <si>
    <t>Araguapaz</t>
  </si>
  <si>
    <t>02155</t>
  </si>
  <si>
    <t>Aragoiânia</t>
  </si>
  <si>
    <t>01801</t>
  </si>
  <si>
    <t>Aragarças</t>
  </si>
  <si>
    <t>01702</t>
  </si>
  <si>
    <t>Araçu</t>
  </si>
  <si>
    <t>01603</t>
  </si>
  <si>
    <t>Aporé</t>
  </si>
  <si>
    <t>01504</t>
  </si>
  <si>
    <t>Aparecida do Rio Doce</t>
  </si>
  <si>
    <t>01454</t>
  </si>
  <si>
    <t>Aparecida de Goiânia</t>
  </si>
  <si>
    <t>01405</t>
  </si>
  <si>
    <t>Anicuns</t>
  </si>
  <si>
    <t>01306</t>
  </si>
  <si>
    <t>Anhanguera</t>
  </si>
  <si>
    <t>01207</t>
  </si>
  <si>
    <t>Anápolis</t>
  </si>
  <si>
    <t>01108</t>
  </si>
  <si>
    <t>Amorinópolis</t>
  </si>
  <si>
    <t>00902</t>
  </si>
  <si>
    <t>Americano do Brasil</t>
  </si>
  <si>
    <t>00852</t>
  </si>
  <si>
    <t>Amaralina</t>
  </si>
  <si>
    <t>00829</t>
  </si>
  <si>
    <t>Alvorada do Norte</t>
  </si>
  <si>
    <t>00803</t>
  </si>
  <si>
    <t>Alto Paraíso de Goiás</t>
  </si>
  <si>
    <t>00605</t>
  </si>
  <si>
    <t>Alto Horizonte</t>
  </si>
  <si>
    <t>00555</t>
  </si>
  <si>
    <t>Aloândia</t>
  </si>
  <si>
    <t>00506</t>
  </si>
  <si>
    <t>Alexânia</t>
  </si>
  <si>
    <t>00308</t>
  </si>
  <si>
    <t>Águas Lindas de Goiás</t>
  </si>
  <si>
    <t>00258</t>
  </si>
  <si>
    <t>Água Limpa</t>
  </si>
  <si>
    <t>00209</t>
  </si>
  <si>
    <t>Água Fria de Goiás</t>
  </si>
  <si>
    <t>00175</t>
  </si>
  <si>
    <t>Adelândia</t>
  </si>
  <si>
    <t>00159</t>
  </si>
  <si>
    <t>Acreúna</t>
  </si>
  <si>
    <t>00134</t>
  </si>
  <si>
    <t>Abadiânia</t>
  </si>
  <si>
    <t>00100</t>
  </si>
  <si>
    <t>Abadia de Goiás</t>
  </si>
  <si>
    <t>00050</t>
  </si>
  <si>
    <t>Nova Monte Verde</t>
  </si>
  <si>
    <t>08956</t>
  </si>
  <si>
    <t>Nova Maringá</t>
  </si>
  <si>
    <t>08907</t>
  </si>
  <si>
    <t>Nova Marilândia</t>
  </si>
  <si>
    <t>08857</t>
  </si>
  <si>
    <t>Nova Guarita</t>
  </si>
  <si>
    <t>08808</t>
  </si>
  <si>
    <t>Vila Rica</t>
  </si>
  <si>
    <t>08600</t>
  </si>
  <si>
    <t>Vera</t>
  </si>
  <si>
    <t>08501</t>
  </si>
  <si>
    <t>Várzea Grande</t>
  </si>
  <si>
    <t>08402</t>
  </si>
  <si>
    <t>Vale de São Domingos</t>
  </si>
  <si>
    <t>08352</t>
  </si>
  <si>
    <t>União do Sul</t>
  </si>
  <si>
    <t>08303</t>
  </si>
  <si>
    <t>Torixoréu</t>
  </si>
  <si>
    <t>08204</t>
  </si>
  <si>
    <t>Tesouro</t>
  </si>
  <si>
    <t>08105</t>
  </si>
  <si>
    <r>
      <t>9667</t>
    </r>
    <r>
      <rPr>
        <b/>
        <vertAlign val="superscript"/>
        <sz val="11"/>
        <rFont val="Arial"/>
        <family val="2"/>
      </rPr>
      <t xml:space="preserve"> (19)</t>
    </r>
  </si>
  <si>
    <t>Terra Nova do Norte</t>
  </si>
  <si>
    <t>08055</t>
  </si>
  <si>
    <t>Tapurah</t>
  </si>
  <si>
    <t>08006</t>
  </si>
  <si>
    <t>Tangará da Serra</t>
  </si>
  <si>
    <t>07958</t>
  </si>
  <si>
    <t>Tabaporã</t>
  </si>
  <si>
    <t>07941</t>
  </si>
  <si>
    <t>Sorriso</t>
  </si>
  <si>
    <t>07925</t>
  </si>
  <si>
    <t>Sinop</t>
  </si>
  <si>
    <t>07909</t>
  </si>
  <si>
    <t>Serra Nova Dourada</t>
  </si>
  <si>
    <t>07883</t>
  </si>
  <si>
    <t>Sapezal</t>
  </si>
  <si>
    <t>07875</t>
  </si>
  <si>
    <t>São Félix do Araguaia</t>
  </si>
  <si>
    <t>07859</t>
  </si>
  <si>
    <t>Santo Antônio do Leverger</t>
  </si>
  <si>
    <t>07800</t>
  </si>
  <si>
    <t>Santo Antônio do Leste</t>
  </si>
  <si>
    <t>07792</t>
  </si>
  <si>
    <t>Santa Terezinha</t>
  </si>
  <si>
    <t>07776</t>
  </si>
  <si>
    <t>Santa Rita do Trivelato</t>
  </si>
  <si>
    <t>07768</t>
  </si>
  <si>
    <t>Salto do Céu</t>
  </si>
  <si>
    <t>07750</t>
  </si>
  <si>
    <t>Santa Cruz do Xingu</t>
  </si>
  <si>
    <t>07743</t>
  </si>
  <si>
    <t>Rosário Oeste</t>
  </si>
  <si>
    <t>07701</t>
  </si>
  <si>
    <t>Rondonópolis</t>
  </si>
  <si>
    <t>07602</t>
  </si>
  <si>
    <t>Rondolândia</t>
  </si>
  <si>
    <t>07578</t>
  </si>
  <si>
    <t>São Pedro da Cipa</t>
  </si>
  <si>
    <t>07404</t>
  </si>
  <si>
    <t>São José do Xingu</t>
  </si>
  <si>
    <t>07354</t>
  </si>
  <si>
    <t>São José do Rio Claro</t>
  </si>
  <si>
    <t>07305</t>
  </si>
  <si>
    <t>São José do Povo</t>
  </si>
  <si>
    <t>07297</t>
  </si>
  <si>
    <t>Santo Afonso</t>
  </si>
  <si>
    <t>07263</t>
  </si>
  <si>
    <t>Santa Carmem</t>
  </si>
  <si>
    <t>07248</t>
  </si>
  <si>
    <t>Rio Branco</t>
  </si>
  <si>
    <t>07206</t>
  </si>
  <si>
    <t>Ribeirãozinho</t>
  </si>
  <si>
    <t>07198</t>
  </si>
  <si>
    <t>Ribeirão Cascalheira</t>
  </si>
  <si>
    <t>07180</t>
  </si>
  <si>
    <t>Reserva do Cabaçal</t>
  </si>
  <si>
    <t>07156</t>
  </si>
  <si>
    <t>São José dos Quatro Marcos</t>
  </si>
  <si>
    <t>07107</t>
  </si>
  <si>
    <t>Querência</t>
  </si>
  <si>
    <t>07065</t>
  </si>
  <si>
    <t>Primavera do Leste</t>
  </si>
  <si>
    <t>07040</t>
  </si>
  <si>
    <t>Poxoréu</t>
  </si>
  <si>
    <t>07008</t>
  </si>
  <si>
    <t>Porto Estrela</t>
  </si>
  <si>
    <t>06851</t>
  </si>
  <si>
    <t>Porto Esperidião</t>
  </si>
  <si>
    <t>06828</t>
  </si>
  <si>
    <t>Porto dos Gaúchos</t>
  </si>
  <si>
    <t>06802</t>
  </si>
  <si>
    <t>Porto Alegre do Norte</t>
  </si>
  <si>
    <t>06778</t>
  </si>
  <si>
    <t>Pontes e Lacerda</t>
  </si>
  <si>
    <t>06752</t>
  </si>
  <si>
    <t>Ponte Branca</t>
  </si>
  <si>
    <t>06703</t>
  </si>
  <si>
    <t>Pontal do Araguaia</t>
  </si>
  <si>
    <t>06653</t>
  </si>
  <si>
    <t>Poconé</t>
  </si>
  <si>
    <t>06505</t>
  </si>
  <si>
    <t>Planalto da Serra</t>
  </si>
  <si>
    <t>06455</t>
  </si>
  <si>
    <t>Peixoto de Azevedo</t>
  </si>
  <si>
    <t>06422</t>
  </si>
  <si>
    <t>Pedra Preta</t>
  </si>
  <si>
    <t>06372</t>
  </si>
  <si>
    <t>Novo Santo Antônio</t>
  </si>
  <si>
    <t>06315</t>
  </si>
  <si>
    <t>Paranatinga</t>
  </si>
  <si>
    <t>06307</t>
  </si>
  <si>
    <t>Paranaíta</t>
  </si>
  <si>
    <t>06299</t>
  </si>
  <si>
    <t>Novo São Joaquim</t>
  </si>
  <si>
    <t>06281</t>
  </si>
  <si>
    <t>Novo Horizonte do Norte</t>
  </si>
  <si>
    <t>06273</t>
  </si>
  <si>
    <t>Novo Mundo</t>
  </si>
  <si>
    <t>06265</t>
  </si>
  <si>
    <t>Nova Xavantina</t>
  </si>
  <si>
    <t>06257</t>
  </si>
  <si>
    <t>Nova Ubiratã</t>
  </si>
  <si>
    <t>06240</t>
  </si>
  <si>
    <t>Nova Olímpia</t>
  </si>
  <si>
    <t>06232</t>
  </si>
  <si>
    <t>Nova Mutum</t>
  </si>
  <si>
    <t>06224</t>
  </si>
  <si>
    <t>Nova Canaã do Norte</t>
  </si>
  <si>
    <t>06216</t>
  </si>
  <si>
    <t>Nova Brasilândia</t>
  </si>
  <si>
    <t>06208</t>
  </si>
  <si>
    <t>Nova Santa Helena</t>
  </si>
  <si>
    <t>06190</t>
  </si>
  <si>
    <t>Nova Lacerda</t>
  </si>
  <si>
    <t>06182</t>
  </si>
  <si>
    <t>Nova Nazaré</t>
  </si>
  <si>
    <t>06174</t>
  </si>
  <si>
    <t>Nova Bandeirantes</t>
  </si>
  <si>
    <t>06158</t>
  </si>
  <si>
    <t>Nossa Senhora do Livramento</t>
  </si>
  <si>
    <t>06109</t>
  </si>
  <si>
    <t>Nortelândia</t>
  </si>
  <si>
    <t>06000</t>
  </si>
  <si>
    <t>Nobres</t>
  </si>
  <si>
    <t>05903</t>
  </si>
  <si>
    <t>Mirassol d'Oeste</t>
  </si>
  <si>
    <t>05622</t>
  </si>
  <si>
    <t>Matupá</t>
  </si>
  <si>
    <t>05606</t>
  </si>
  <si>
    <t>Marcelândia</t>
  </si>
  <si>
    <t>05580</t>
  </si>
  <si>
    <t>Vila Bela da Santíssima Trindade</t>
  </si>
  <si>
    <t>05507</t>
  </si>
  <si>
    <t>Luciara</t>
  </si>
  <si>
    <t>05309</t>
  </si>
  <si>
    <t>Lucas do Rio Verde</t>
  </si>
  <si>
    <t>05259</t>
  </si>
  <si>
    <t>Lambari D'Oeste</t>
  </si>
  <si>
    <t>05234</t>
  </si>
  <si>
    <t>Juscimeira</t>
  </si>
  <si>
    <t>05200</t>
  </si>
  <si>
    <t>Juruena</t>
  </si>
  <si>
    <t>05176</t>
  </si>
  <si>
    <t>Juína</t>
  </si>
  <si>
    <t>05150</t>
  </si>
  <si>
    <t>Juara</t>
  </si>
  <si>
    <t>05101</t>
  </si>
  <si>
    <t>Jauru</t>
  </si>
  <si>
    <t>05002</t>
  </si>
  <si>
    <t>Jangada</t>
  </si>
  <si>
    <t>04906</t>
  </si>
  <si>
    <t>Jaciara</t>
  </si>
  <si>
    <t>04807</t>
  </si>
  <si>
    <t>Itiquira</t>
  </si>
  <si>
    <t>04609</t>
  </si>
  <si>
    <t>Itaúba</t>
  </si>
  <si>
    <t>04559</t>
  </si>
  <si>
    <t>Itanhangá</t>
  </si>
  <si>
    <t>04542</t>
  </si>
  <si>
    <t>Ipiranga do Norte</t>
  </si>
  <si>
    <t>04526</t>
  </si>
  <si>
    <t>Indiavaí</t>
  </si>
  <si>
    <t>04500</t>
  </si>
  <si>
    <t>Guiratinga</t>
  </si>
  <si>
    <t>04203</t>
  </si>
  <si>
    <t>Guarantã do Norte</t>
  </si>
  <si>
    <t>04104</t>
  </si>
  <si>
    <t>Glória D'Oeste</t>
  </si>
  <si>
    <t>03957</t>
  </si>
  <si>
    <t>General Carneiro</t>
  </si>
  <si>
    <t>03908</t>
  </si>
  <si>
    <t>Gaúcha do Norte</t>
  </si>
  <si>
    <t>03858</t>
  </si>
  <si>
    <t>Figueirópolis D'Oeste</t>
  </si>
  <si>
    <t>03809</t>
  </si>
  <si>
    <t>Feliz Natal</t>
  </si>
  <si>
    <t>03700</t>
  </si>
  <si>
    <t>Dom Aquino</t>
  </si>
  <si>
    <t>03601</t>
  </si>
  <si>
    <t>Diamantino</t>
  </si>
  <si>
    <t>03502</t>
  </si>
  <si>
    <t>Denise</t>
  </si>
  <si>
    <t>03452</t>
  </si>
  <si>
    <t>Curvelândia</t>
  </si>
  <si>
    <t>03437</t>
  </si>
  <si>
    <t>Cuiabá</t>
  </si>
  <si>
    <t>03403</t>
  </si>
  <si>
    <t>Cotriguaçu</t>
  </si>
  <si>
    <t>03379</t>
  </si>
  <si>
    <t>Conquista D'Oeste</t>
  </si>
  <si>
    <t>03361</t>
  </si>
  <si>
    <t>Confresa</t>
  </si>
  <si>
    <t>03353</t>
  </si>
  <si>
    <t>Comodoro</t>
  </si>
  <si>
    <t>03304</t>
  </si>
  <si>
    <t>Colniza</t>
  </si>
  <si>
    <t>03254</t>
  </si>
  <si>
    <t>Colíder</t>
  </si>
  <si>
    <t>03205</t>
  </si>
  <si>
    <t>Cocalinho</t>
  </si>
  <si>
    <t>03106</t>
  </si>
  <si>
    <t>Cláudia</t>
  </si>
  <si>
    <t>03056</t>
  </si>
  <si>
    <t>Chapada dos Guimarães</t>
  </si>
  <si>
    <t>03007</t>
  </si>
  <si>
    <t>Castanheira</t>
  </si>
  <si>
    <t>02850</t>
  </si>
  <si>
    <t>Carlinda</t>
  </si>
  <si>
    <t>02793</t>
  </si>
  <si>
    <t>Canarana</t>
  </si>
  <si>
    <t>02702</t>
  </si>
  <si>
    <t>Canabrava do Norte</t>
  </si>
  <si>
    <t>02694</t>
  </si>
  <si>
    <t>Campos de Júlio</t>
  </si>
  <si>
    <t>02686</t>
  </si>
  <si>
    <t>Campo Verde</t>
  </si>
  <si>
    <t>02678</t>
  </si>
  <si>
    <t>Campo Novo do Parecis</t>
  </si>
  <si>
    <t>02637</t>
  </si>
  <si>
    <t>Campinápolis</t>
  </si>
  <si>
    <t>02603</t>
  </si>
  <si>
    <t>Cáceres</t>
  </si>
  <si>
    <t>02504</t>
  </si>
  <si>
    <t>Brasnorte</t>
  </si>
  <si>
    <t>01902</t>
  </si>
  <si>
    <t>Bom Jesus do Araguaia</t>
  </si>
  <si>
    <t>01852</t>
  </si>
  <si>
    <t>Barra do Garças</t>
  </si>
  <si>
    <t>01803</t>
  </si>
  <si>
    <t>Barra do Bugres</t>
  </si>
  <si>
    <t>01704</t>
  </si>
  <si>
    <t>Barão de Melgaço</t>
  </si>
  <si>
    <t>01605</t>
  </si>
  <si>
    <t>Aripuanã</t>
  </si>
  <si>
    <t>01407</t>
  </si>
  <si>
    <t>Arenápolis</t>
  </si>
  <si>
    <t>01308</t>
  </si>
  <si>
    <t>Araputanga</t>
  </si>
  <si>
    <t>01258</t>
  </si>
  <si>
    <t>Araguainha</t>
  </si>
  <si>
    <t>01209</t>
  </si>
  <si>
    <t>Araguaiana</t>
  </si>
  <si>
    <t>01001</t>
  </si>
  <si>
    <t>Apiacás</t>
  </si>
  <si>
    <t>00805</t>
  </si>
  <si>
    <t>Alto Taquari</t>
  </si>
  <si>
    <t>00607</t>
  </si>
  <si>
    <t>Alto Paraguai</t>
  </si>
  <si>
    <t>00508</t>
  </si>
  <si>
    <t>Alto Garças</t>
  </si>
  <si>
    <t>00409</t>
  </si>
  <si>
    <t>Alto Boa Vista</t>
  </si>
  <si>
    <t>00359</t>
  </si>
  <si>
    <t>Alto Araguaia</t>
  </si>
  <si>
    <t>00300</t>
  </si>
  <si>
    <t>Alta Floresta</t>
  </si>
  <si>
    <t>00250</t>
  </si>
  <si>
    <t>Água Boa</t>
  </si>
  <si>
    <t>00201</t>
  </si>
  <si>
    <t>Acorizal</t>
  </si>
  <si>
    <t>00102</t>
  </si>
  <si>
    <t>Vicentina</t>
  </si>
  <si>
    <t>08404</t>
  </si>
  <si>
    <t>Três Lagoas</t>
  </si>
  <si>
    <t>08305</t>
  </si>
  <si>
    <t>Terenos</t>
  </si>
  <si>
    <t>08008</t>
  </si>
  <si>
    <t>Taquarussu</t>
  </si>
  <si>
    <t>07976</t>
  </si>
  <si>
    <t>Tacuru</t>
  </si>
  <si>
    <t>07950</t>
  </si>
  <si>
    <t>Sonora</t>
  </si>
  <si>
    <t>07935</t>
  </si>
  <si>
    <t>Sidrolândia</t>
  </si>
  <si>
    <t>07901</t>
  </si>
  <si>
    <t>Selvíria</t>
  </si>
  <si>
    <t>07802</t>
  </si>
  <si>
    <t>Sete Quedas</t>
  </si>
  <si>
    <t>07703</t>
  </si>
  <si>
    <t>São Gabriel do Oeste</t>
  </si>
  <si>
    <t>07695</t>
  </si>
  <si>
    <t>Santa Rita do Pardo</t>
  </si>
  <si>
    <t>07554</t>
  </si>
  <si>
    <t>Rochedo</t>
  </si>
  <si>
    <t>07505</t>
  </si>
  <si>
    <t>Rio Verde de Mato Grosso</t>
  </si>
  <si>
    <t>07406</t>
  </si>
  <si>
    <t>Rio Negro</t>
  </si>
  <si>
    <t>07307</t>
  </si>
  <si>
    <t>Rio Brilhante</t>
  </si>
  <si>
    <t>07208</t>
  </si>
  <si>
    <t>Ribas do Rio Pardo</t>
  </si>
  <si>
    <t>07109</t>
  </si>
  <si>
    <t>Porto Murtinho</t>
  </si>
  <si>
    <t>06903</t>
  </si>
  <si>
    <t>Ponta Porã</t>
  </si>
  <si>
    <t>06606</t>
  </si>
  <si>
    <t>Pedro Gomes</t>
  </si>
  <si>
    <t>06408</t>
  </si>
  <si>
    <t>Paranhos</t>
  </si>
  <si>
    <t>06358</t>
  </si>
  <si>
    <t>Paranaíba</t>
  </si>
  <si>
    <t>06309</t>
  </si>
  <si>
    <t>Paraíso das Águas</t>
  </si>
  <si>
    <t>06275</t>
  </si>
  <si>
    <t>Novo Horizonte do Sul</t>
  </si>
  <si>
    <t>06259</t>
  </si>
  <si>
    <t>Nova Andradina</t>
  </si>
  <si>
    <t>06200</t>
  </si>
  <si>
    <t>Nova Alvorada do Sul</t>
  </si>
  <si>
    <t>06002</t>
  </si>
  <si>
    <t>Nioaque</t>
  </si>
  <si>
    <t>05806</t>
  </si>
  <si>
    <t>Naviraí</t>
  </si>
  <si>
    <t>05707</t>
  </si>
  <si>
    <t>05681</t>
  </si>
  <si>
    <t>Miranda</t>
  </si>
  <si>
    <t>05608</t>
  </si>
  <si>
    <t>Maracaju</t>
  </si>
  <si>
    <t>05400</t>
  </si>
  <si>
    <t>Laguna Carapã</t>
  </si>
  <si>
    <t>05251</t>
  </si>
  <si>
    <t>Ladário</t>
  </si>
  <si>
    <t>05202</t>
  </si>
  <si>
    <t>Juti</t>
  </si>
  <si>
    <t>05152</t>
  </si>
  <si>
    <t>Jateí</t>
  </si>
  <si>
    <t>05103</t>
  </si>
  <si>
    <t>Jardim</t>
  </si>
  <si>
    <t>05004</t>
  </si>
  <si>
    <t>Jaraguari</t>
  </si>
  <si>
    <t>04908</t>
  </si>
  <si>
    <t>Japorã</t>
  </si>
  <si>
    <t>04809</t>
  </si>
  <si>
    <t>Ivinhema</t>
  </si>
  <si>
    <t>04700</t>
  </si>
  <si>
    <t>Itaquiraí</t>
  </si>
  <si>
    <t>04601</t>
  </si>
  <si>
    <t>Itaporã</t>
  </si>
  <si>
    <t>04502</t>
  </si>
  <si>
    <t>Inocência</t>
  </si>
  <si>
    <t>04403</t>
  </si>
  <si>
    <t>Iguatemi</t>
  </si>
  <si>
    <t>04304</t>
  </si>
  <si>
    <t>Guia Lopes da Laguna</t>
  </si>
  <si>
    <t>04106</t>
  </si>
  <si>
    <t>Glória de Dourados</t>
  </si>
  <si>
    <t>04007</t>
  </si>
  <si>
    <t>Figueirão</t>
  </si>
  <si>
    <t>03900</t>
  </si>
  <si>
    <t>Fátima do Sul</t>
  </si>
  <si>
    <t>03801</t>
  </si>
  <si>
    <t>Eldorado</t>
  </si>
  <si>
    <t>03751</t>
  </si>
  <si>
    <t>Dourados</t>
  </si>
  <si>
    <t>03702</t>
  </si>
  <si>
    <t>Douradina</t>
  </si>
  <si>
    <t>03504</t>
  </si>
  <si>
    <t>Dois Irmãos do Buriti</t>
  </si>
  <si>
    <t>03488</t>
  </si>
  <si>
    <t>Deodápolis</t>
  </si>
  <si>
    <t>03454</t>
  </si>
  <si>
    <t>Coxim</t>
  </si>
  <si>
    <t>03306</t>
  </si>
  <si>
    <t>Costa Rica</t>
  </si>
  <si>
    <t>03256</t>
  </si>
  <si>
    <t>Corumbá</t>
  </si>
  <si>
    <t>03207</t>
  </si>
  <si>
    <t>Coronel Sapucaia</t>
  </si>
  <si>
    <t>03157</t>
  </si>
  <si>
    <t>Corguinho</t>
  </si>
  <si>
    <t>03108</t>
  </si>
  <si>
    <t>Chapadão do Sul</t>
  </si>
  <si>
    <t>02951</t>
  </si>
  <si>
    <t>Cassilândia</t>
  </si>
  <si>
    <t>02902</t>
  </si>
  <si>
    <t>Caracol</t>
  </si>
  <si>
    <t>02803</t>
  </si>
  <si>
    <t>Campo Grande</t>
  </si>
  <si>
    <t>02704</t>
  </si>
  <si>
    <t>Camapuã</t>
  </si>
  <si>
    <t>02605</t>
  </si>
  <si>
    <t>Caarapó</t>
  </si>
  <si>
    <t>02407</t>
  </si>
  <si>
    <t>Brasilândia</t>
  </si>
  <si>
    <t>02308</t>
  </si>
  <si>
    <t>Bonito</t>
  </si>
  <si>
    <t>02209</t>
  </si>
  <si>
    <t>Bodoquena</t>
  </si>
  <si>
    <t>02159</t>
  </si>
  <si>
    <t>Bela Vista</t>
  </si>
  <si>
    <t>02100</t>
  </si>
  <si>
    <t>Batayporã</t>
  </si>
  <si>
    <t>02001</t>
  </si>
  <si>
    <t>Bataguassu</t>
  </si>
  <si>
    <t>01904</t>
  </si>
  <si>
    <t>Bandeirantes</t>
  </si>
  <si>
    <t>01508</t>
  </si>
  <si>
    <t>Aral Moreira</t>
  </si>
  <si>
    <t>01243</t>
  </si>
  <si>
    <t>Aquidauana</t>
  </si>
  <si>
    <t>01102</t>
  </si>
  <si>
    <t>Aparecida do Taboado</t>
  </si>
  <si>
    <t>01003</t>
  </si>
  <si>
    <t>Antônio João</t>
  </si>
  <si>
    <t>00906</t>
  </si>
  <si>
    <t>Angélica</t>
  </si>
  <si>
    <t>00856</t>
  </si>
  <si>
    <t>Anaurilândia</t>
  </si>
  <si>
    <t>00807</t>
  </si>
  <si>
    <t>Anastácio</t>
  </si>
  <si>
    <t>00708</t>
  </si>
  <si>
    <t>Amambai</t>
  </si>
  <si>
    <t>00609</t>
  </si>
  <si>
    <t>Alcinópolis</t>
  </si>
  <si>
    <t>00252</t>
  </si>
  <si>
    <t>Água Clara</t>
  </si>
  <si>
    <t>00203</t>
  </si>
  <si>
    <t>Xangri-lá</t>
  </si>
  <si>
    <t>23804</t>
  </si>
  <si>
    <t>Westfália</t>
  </si>
  <si>
    <t>23770</t>
  </si>
  <si>
    <t>Vitória das Missões</t>
  </si>
  <si>
    <t>23754</t>
  </si>
  <si>
    <t>Vista Gaúcha</t>
  </si>
  <si>
    <t>23705</t>
  </si>
  <si>
    <t>Vista Alegre do Prata</t>
  </si>
  <si>
    <t>23606</t>
  </si>
  <si>
    <t>Vista Alegre</t>
  </si>
  <si>
    <t>23507</t>
  </si>
  <si>
    <t>Vila Nova do Sul</t>
  </si>
  <si>
    <t>23457</t>
  </si>
  <si>
    <t>Vila Maria</t>
  </si>
  <si>
    <t>23408</t>
  </si>
  <si>
    <t>Vila Lângaro</t>
  </si>
  <si>
    <t>23358</t>
  </si>
  <si>
    <t>Vila Flores</t>
  </si>
  <si>
    <t>23309</t>
  </si>
  <si>
    <t>Victor Graeff</t>
  </si>
  <si>
    <t>23200</t>
  </si>
  <si>
    <t>Vicente Dutra</t>
  </si>
  <si>
    <t>23101</t>
  </si>
  <si>
    <t>Viamão</t>
  </si>
  <si>
    <t>23002</t>
  </si>
  <si>
    <t>Viadutos</t>
  </si>
  <si>
    <t>22905</t>
  </si>
  <si>
    <t>Vespasiano Corrêa</t>
  </si>
  <si>
    <t>22855</t>
  </si>
  <si>
    <t>Veranópolis</t>
  </si>
  <si>
    <t>22806</t>
  </si>
  <si>
    <t>Vera Cruz</t>
  </si>
  <si>
    <t>22707</t>
  </si>
  <si>
    <t>Venâncio Aires</t>
  </si>
  <si>
    <t>22608</t>
  </si>
  <si>
    <t>Vanini</t>
  </si>
  <si>
    <t>22558</t>
  </si>
  <si>
    <t>Vale Real</t>
  </si>
  <si>
    <t>22541</t>
  </si>
  <si>
    <t>Vale do Sol</t>
  </si>
  <si>
    <t>22533</t>
  </si>
  <si>
    <t>Vale Verde</t>
  </si>
  <si>
    <t>22525</t>
  </si>
  <si>
    <t>Vacaria</t>
  </si>
  <si>
    <t>22509</t>
  </si>
  <si>
    <t>Uruguaiana</t>
  </si>
  <si>
    <t>22400</t>
  </si>
  <si>
    <t>Unistalda</t>
  </si>
  <si>
    <t>22376</t>
  </si>
  <si>
    <t>União da Serra</t>
  </si>
  <si>
    <t>22350</t>
  </si>
  <si>
    <t>Ubiretama</t>
  </si>
  <si>
    <t>22343</t>
  </si>
  <si>
    <t>Turuçu</t>
  </si>
  <si>
    <t>22327</t>
  </si>
  <si>
    <t>Tuparendi</t>
  </si>
  <si>
    <t>22301</t>
  </si>
  <si>
    <t>Tupandi</t>
  </si>
  <si>
    <t>22251</t>
  </si>
  <si>
    <t>Tupanciretã</t>
  </si>
  <si>
    <t>22202</t>
  </si>
  <si>
    <t>Tupanci do Sul</t>
  </si>
  <si>
    <t>22186</t>
  </si>
  <si>
    <t>Tunas</t>
  </si>
  <si>
    <t>22152</t>
  </si>
  <si>
    <t>Tucunduva</t>
  </si>
  <si>
    <t>22103</t>
  </si>
  <si>
    <t>Triunfo</t>
  </si>
  <si>
    <t>22004</t>
  </si>
  <si>
    <t>Trindade do Sul</t>
  </si>
  <si>
    <t>21956</t>
  </si>
  <si>
    <t>Três Passos</t>
  </si>
  <si>
    <t>21907</t>
  </si>
  <si>
    <t>Três Palmeiras</t>
  </si>
  <si>
    <t>21857</t>
  </si>
  <si>
    <t>Três Forquilhas</t>
  </si>
  <si>
    <t>21832</t>
  </si>
  <si>
    <t>Três de Maio</t>
  </si>
  <si>
    <t>21808</t>
  </si>
  <si>
    <t>Três Coroas</t>
  </si>
  <si>
    <t>21709</t>
  </si>
  <si>
    <t>Três Cachoeiras</t>
  </si>
  <si>
    <t>21667</t>
  </si>
  <si>
    <t>Três Arroios</t>
  </si>
  <si>
    <t>21634</t>
  </si>
  <si>
    <t>Travesseiro</t>
  </si>
  <si>
    <t>21626</t>
  </si>
  <si>
    <t>Tramandaí</t>
  </si>
  <si>
    <t>21600</t>
  </si>
  <si>
    <t>Torres</t>
  </si>
  <si>
    <t>21501</t>
  </si>
  <si>
    <t>Toropi</t>
  </si>
  <si>
    <t>21493</t>
  </si>
  <si>
    <t>Tiradentes do Sul</t>
  </si>
  <si>
    <t>21477</t>
  </si>
  <si>
    <t>Tio Hugo</t>
  </si>
  <si>
    <t>21469</t>
  </si>
  <si>
    <t>Teutônia</t>
  </si>
  <si>
    <t>21451</t>
  </si>
  <si>
    <t>Terra de Areia</t>
  </si>
  <si>
    <t>21436</t>
  </si>
  <si>
    <t>Tenente Portela</t>
  </si>
  <si>
    <t>21402</t>
  </si>
  <si>
    <t>Tavares</t>
  </si>
  <si>
    <t>21352</t>
  </si>
  <si>
    <t>Taquaruçu do Sul</t>
  </si>
  <si>
    <t>21329</t>
  </si>
  <si>
    <t>Taquari</t>
  </si>
  <si>
    <t>21303</t>
  </si>
  <si>
    <t>Taquara</t>
  </si>
  <si>
    <t>21204</t>
  </si>
  <si>
    <t>Tapes</t>
  </si>
  <si>
    <t>21105</t>
  </si>
  <si>
    <t>Tapera</t>
  </si>
  <si>
    <t>21006</t>
  </si>
  <si>
    <t>Tapejara</t>
  </si>
  <si>
    <t>20909</t>
  </si>
  <si>
    <t>Tabaí</t>
  </si>
  <si>
    <t>20859</t>
  </si>
  <si>
    <t>Soledade</t>
  </si>
  <si>
    <t>20800</t>
  </si>
  <si>
    <t>Sobradinho</t>
  </si>
  <si>
    <t>20701</t>
  </si>
  <si>
    <t>Sinimbu</t>
  </si>
  <si>
    <t>20677</t>
  </si>
  <si>
    <t>Silveira Martins</t>
  </si>
  <si>
    <t>20651</t>
  </si>
  <si>
    <t>Severiano de Almeida</t>
  </si>
  <si>
    <t>20602</t>
  </si>
  <si>
    <t>Sete de Setembro</t>
  </si>
  <si>
    <t>20578</t>
  </si>
  <si>
    <t>Sertão Santana</t>
  </si>
  <si>
    <t>20552</t>
  </si>
  <si>
    <t>Sertão</t>
  </si>
  <si>
    <t>20503</t>
  </si>
  <si>
    <t>Sério</t>
  </si>
  <si>
    <t>20453</t>
  </si>
  <si>
    <t>Serafina Corrêa</t>
  </si>
  <si>
    <t>20404</t>
  </si>
  <si>
    <t>Sentinela do Sul</t>
  </si>
  <si>
    <t>20354</t>
  </si>
  <si>
    <t>Senador Salgado Filho</t>
  </si>
  <si>
    <t>20321</t>
  </si>
  <si>
    <t>Selbach</t>
  </si>
  <si>
    <t>20305</t>
  </si>
  <si>
    <t>Segredo</t>
  </si>
  <si>
    <t>20263</t>
  </si>
  <si>
    <t>Sede Nova</t>
  </si>
  <si>
    <t>20230</t>
  </si>
  <si>
    <t>Seberi</t>
  </si>
  <si>
    <t>20206</t>
  </si>
  <si>
    <t>Sarandi</t>
  </si>
  <si>
    <t>20107</t>
  </si>
  <si>
    <t>Sapucaia do Sul</t>
  </si>
  <si>
    <t>20008</t>
  </si>
  <si>
    <t>Sapiranga</t>
  </si>
  <si>
    <t>19901</t>
  </si>
  <si>
    <t>São Vicente do Sul</t>
  </si>
  <si>
    <t>19802</t>
  </si>
  <si>
    <t>São Vendelino</t>
  </si>
  <si>
    <t>19752</t>
  </si>
  <si>
    <t>São Valério do Sul</t>
  </si>
  <si>
    <t>19737</t>
  </si>
  <si>
    <t>São Valentim do Sul</t>
  </si>
  <si>
    <t>19711</t>
  </si>
  <si>
    <t>São Valentim</t>
  </si>
  <si>
    <t>19703</t>
  </si>
  <si>
    <t>São Sepé</t>
  </si>
  <si>
    <t>19604</t>
  </si>
  <si>
    <t>São Sebastião do Caí</t>
  </si>
  <si>
    <t>19505</t>
  </si>
  <si>
    <t>São Pedro do Sul</t>
  </si>
  <si>
    <t>19406</t>
  </si>
  <si>
    <t>São Pedro do Butiá</t>
  </si>
  <si>
    <t>19372</t>
  </si>
  <si>
    <t>São Pedro das Missões</t>
  </si>
  <si>
    <t>19364</t>
  </si>
  <si>
    <t>São Pedro da Serra</t>
  </si>
  <si>
    <t>19356</t>
  </si>
  <si>
    <t>São Paulo das Missões</t>
  </si>
  <si>
    <t>19307</t>
  </si>
  <si>
    <t>São Nicolau</t>
  </si>
  <si>
    <t>19208</t>
  </si>
  <si>
    <t>São Miguel das Missões</t>
  </si>
  <si>
    <t>19158</t>
  </si>
  <si>
    <t>São Martinho da Serra</t>
  </si>
  <si>
    <t>19125</t>
  </si>
  <si>
    <t>São Martinho</t>
  </si>
  <si>
    <t>19109</t>
  </si>
  <si>
    <t>São Marcos</t>
  </si>
  <si>
    <t>19000</t>
  </si>
  <si>
    <t>São Luiz Gonzaga</t>
  </si>
  <si>
    <t>18903</t>
  </si>
  <si>
    <t>São Lourenço do Sul</t>
  </si>
  <si>
    <t>18804</t>
  </si>
  <si>
    <t>São Leopoldo</t>
  </si>
  <si>
    <t>18705</t>
  </si>
  <si>
    <t>São José dos Ausentes</t>
  </si>
  <si>
    <t>18622</t>
  </si>
  <si>
    <t>São José do Sul</t>
  </si>
  <si>
    <t>18614</t>
  </si>
  <si>
    <t>São José do Ouro</t>
  </si>
  <si>
    <t>18606</t>
  </si>
  <si>
    <t>São José do Norte</t>
  </si>
  <si>
    <t>18507</t>
  </si>
  <si>
    <t>São José do Inhacorá</t>
  </si>
  <si>
    <t>18499</t>
  </si>
  <si>
    <t>São José do Hortêncio</t>
  </si>
  <si>
    <t>18481</t>
  </si>
  <si>
    <t>São José do Herval</t>
  </si>
  <si>
    <t>18465</t>
  </si>
  <si>
    <t>São José das Missões</t>
  </si>
  <si>
    <t>18457</t>
  </si>
  <si>
    <t>São Jorge</t>
  </si>
  <si>
    <t>18440</t>
  </si>
  <si>
    <t>São João do Polêsine</t>
  </si>
  <si>
    <t>18432</t>
  </si>
  <si>
    <t>São João da Urtiga</t>
  </si>
  <si>
    <t>18424</t>
  </si>
  <si>
    <t>São Jerônimo</t>
  </si>
  <si>
    <t>18408</t>
  </si>
  <si>
    <t>São Gabriel</t>
  </si>
  <si>
    <t>18309</t>
  </si>
  <si>
    <t>São Francisco de Paula</t>
  </si>
  <si>
    <t>18200</t>
  </si>
  <si>
    <t>São Francisco de Assis</t>
  </si>
  <si>
    <t>18101</t>
  </si>
  <si>
    <t>São Domingos do Sul</t>
  </si>
  <si>
    <t>18051</t>
  </si>
  <si>
    <t>São Borja</t>
  </si>
  <si>
    <t>18002</t>
  </si>
  <si>
    <t>Santo Expedito do Sul</t>
  </si>
  <si>
    <t>17954</t>
  </si>
  <si>
    <t>Santo Cristo</t>
  </si>
  <si>
    <t>17905</t>
  </si>
  <si>
    <t>Santo Augusto</t>
  </si>
  <si>
    <t>17806</t>
  </si>
  <si>
    <t>Santo Antônio do Planalto</t>
  </si>
  <si>
    <t>17756</t>
  </si>
  <si>
    <t>Santo Antônio das Missões</t>
  </si>
  <si>
    <t>17707</t>
  </si>
  <si>
    <t>Santo Antônio da Patrulha</t>
  </si>
  <si>
    <t>17608</t>
  </si>
  <si>
    <t>Santo Antônio do Palma</t>
  </si>
  <si>
    <t>17558</t>
  </si>
  <si>
    <t>Santo Ângelo</t>
  </si>
  <si>
    <t>17509</t>
  </si>
  <si>
    <t>Santiago</t>
  </si>
  <si>
    <t>17400</t>
  </si>
  <si>
    <t>Santa Vitória do Palmar</t>
  </si>
  <si>
    <t>17301</t>
  </si>
  <si>
    <t>Santa Tereza</t>
  </si>
  <si>
    <t>17251</t>
  </si>
  <si>
    <t>Santa Rosa</t>
  </si>
  <si>
    <t>17202</t>
  </si>
  <si>
    <t>Sant'Ana do Livramento</t>
  </si>
  <si>
    <t>17103</t>
  </si>
  <si>
    <t>Santana da Boa Vista</t>
  </si>
  <si>
    <t>17004</t>
  </si>
  <si>
    <t>Santa Margarida do Sul</t>
  </si>
  <si>
    <t>16972</t>
  </si>
  <si>
    <t>Santa Maria do Herval</t>
  </si>
  <si>
    <t>16956</t>
  </si>
  <si>
    <t>Santa Maria</t>
  </si>
  <si>
    <t>16907</t>
  </si>
  <si>
    <t>Santa Cruz do Sul</t>
  </si>
  <si>
    <t>16808</t>
  </si>
  <si>
    <t>Santa Clara do Sul</t>
  </si>
  <si>
    <t>16758</t>
  </si>
  <si>
    <t>Santa Cecília do Sul</t>
  </si>
  <si>
    <t>16733</t>
  </si>
  <si>
    <t>Santa Bárbara do Sul</t>
  </si>
  <si>
    <t>16709</t>
  </si>
  <si>
    <t>Sananduva</t>
  </si>
  <si>
    <t>16600</t>
  </si>
  <si>
    <t>Salvador do Sul</t>
  </si>
  <si>
    <t>16501</t>
  </si>
  <si>
    <t>Salvador das Missões</t>
  </si>
  <si>
    <t>16477</t>
  </si>
  <si>
    <t>Salto do Jacuí</t>
  </si>
  <si>
    <t>16451</t>
  </si>
  <si>
    <t>Saldanha Marinho</t>
  </si>
  <si>
    <t>16436</t>
  </si>
  <si>
    <t>Sagrada Família</t>
  </si>
  <si>
    <t>16428</t>
  </si>
  <si>
    <t>Rosário do Sul</t>
  </si>
  <si>
    <t>16402</t>
  </si>
  <si>
    <t>Roque Gonzales</t>
  </si>
  <si>
    <t>16303</t>
  </si>
  <si>
    <t>Rondinha</t>
  </si>
  <si>
    <t>16204</t>
  </si>
  <si>
    <t>Ronda Alta</t>
  </si>
  <si>
    <t>16105</t>
  </si>
  <si>
    <t>Rolante</t>
  </si>
  <si>
    <t>16006</t>
  </si>
  <si>
    <t>Rolador</t>
  </si>
  <si>
    <t>15958</t>
  </si>
  <si>
    <t>Rodeio Bonito</t>
  </si>
  <si>
    <t>15909</t>
  </si>
  <si>
    <t>Roca Sales</t>
  </si>
  <si>
    <t>15800</t>
  </si>
  <si>
    <t>Riozinho</t>
  </si>
  <si>
    <t>15750</t>
  </si>
  <si>
    <t>Rio Pardo</t>
  </si>
  <si>
    <t>15701</t>
  </si>
  <si>
    <t>Rio Grande</t>
  </si>
  <si>
    <t>15602</t>
  </si>
  <si>
    <t>Rio dos Índios</t>
  </si>
  <si>
    <t>15552</t>
  </si>
  <si>
    <t>Restinga Sêca</t>
  </si>
  <si>
    <t>15503</t>
  </si>
  <si>
    <t>Relvado</t>
  </si>
  <si>
    <t>15453</t>
  </si>
  <si>
    <t>Redentora</t>
  </si>
  <si>
    <t>15404</t>
  </si>
  <si>
    <t>Quinze de Novembro</t>
  </si>
  <si>
    <t>15354</t>
  </si>
  <si>
    <t>Quevedos</t>
  </si>
  <si>
    <t>15321</t>
  </si>
  <si>
    <t>Quatro Irmãos</t>
  </si>
  <si>
    <t>15313</t>
  </si>
  <si>
    <t>Quaraí</t>
  </si>
  <si>
    <t>15305</t>
  </si>
  <si>
    <t>Putinga</t>
  </si>
  <si>
    <t>15206</t>
  </si>
  <si>
    <t>Protásio Alves</t>
  </si>
  <si>
    <t>15172</t>
  </si>
  <si>
    <t>Progresso</t>
  </si>
  <si>
    <t>15156</t>
  </si>
  <si>
    <t>Presidente Lucena</t>
  </si>
  <si>
    <t>15149</t>
  </si>
  <si>
    <t>Pouso Novo</t>
  </si>
  <si>
    <t>15131</t>
  </si>
  <si>
    <t>Porto Xavier</t>
  </si>
  <si>
    <t>15107</t>
  </si>
  <si>
    <t>Porto Vera Cruz</t>
  </si>
  <si>
    <t>15073</t>
  </si>
  <si>
    <t>Porto Mauá</t>
  </si>
  <si>
    <t>15057</t>
  </si>
  <si>
    <t>Porto Lucena</t>
  </si>
  <si>
    <t>15008</t>
  </si>
  <si>
    <t>Porto Alegre</t>
  </si>
  <si>
    <t>14902</t>
  </si>
  <si>
    <t>Portão</t>
  </si>
  <si>
    <t>14803</t>
  </si>
  <si>
    <t>Ponte Preta</t>
  </si>
  <si>
    <t>14787</t>
  </si>
  <si>
    <t>Pontão</t>
  </si>
  <si>
    <t>14779</t>
  </si>
  <si>
    <t>Poço das Antas</t>
  </si>
  <si>
    <t>14753</t>
  </si>
  <si>
    <t>Planalto</t>
  </si>
  <si>
    <t>14704</t>
  </si>
  <si>
    <t>Piratini</t>
  </si>
  <si>
    <t>14605</t>
  </si>
  <si>
    <t>Pirapó</t>
  </si>
  <si>
    <t>14555</t>
  </si>
  <si>
    <t>Pinto Bandeira</t>
  </si>
  <si>
    <t>14548</t>
  </si>
  <si>
    <t>Pinheiro Machado</t>
  </si>
  <si>
    <t>14506</t>
  </si>
  <si>
    <t>Pinheirinho do Vale</t>
  </si>
  <si>
    <t>14498</t>
  </si>
  <si>
    <t>Pinhal Grande</t>
  </si>
  <si>
    <t>14472</t>
  </si>
  <si>
    <t>Pinhal da Serra</t>
  </si>
  <si>
    <t>14464</t>
  </si>
  <si>
    <t>Pinhal</t>
  </si>
  <si>
    <t>14456</t>
  </si>
  <si>
    <t>Picada Café</t>
  </si>
  <si>
    <t>14423</t>
  </si>
  <si>
    <t>Pelotas</t>
  </si>
  <si>
    <t>14407</t>
  </si>
  <si>
    <t>Pejuçara</t>
  </si>
  <si>
    <t>14308</t>
  </si>
  <si>
    <t>Pedro Osório</t>
  </si>
  <si>
    <t>14209</t>
  </si>
  <si>
    <t>Pedras Altas</t>
  </si>
  <si>
    <t>14175</t>
  </si>
  <si>
    <t>Paverama</t>
  </si>
  <si>
    <t>14159</t>
  </si>
  <si>
    <t>Paulo Bento</t>
  </si>
  <si>
    <t>14134</t>
  </si>
  <si>
    <t>Passo Fundo</t>
  </si>
  <si>
    <t>14100</t>
  </si>
  <si>
    <t>Passo do Sobrado</t>
  </si>
  <si>
    <t>14076</t>
  </si>
  <si>
    <t>Passa Sete</t>
  </si>
  <si>
    <t>14068</t>
  </si>
  <si>
    <t>Parobé</t>
  </si>
  <si>
    <t>14050</t>
  </si>
  <si>
    <t>Pareci Novo</t>
  </si>
  <si>
    <t>14035</t>
  </si>
  <si>
    <t>Paraíso do Sul</t>
  </si>
  <si>
    <t>14027</t>
  </si>
  <si>
    <t>Paraí</t>
  </si>
  <si>
    <t>14001</t>
  </si>
  <si>
    <t>Pantano Grande</t>
  </si>
  <si>
    <t>13953</t>
  </si>
  <si>
    <t>Panambi</t>
  </si>
  <si>
    <t>13904</t>
  </si>
  <si>
    <t>Palmitinho</t>
  </si>
  <si>
    <t>13805</t>
  </si>
  <si>
    <t>Palmeira das Missões</t>
  </si>
  <si>
    <t>13706</t>
  </si>
  <si>
    <t>Palmares do Sul</t>
  </si>
  <si>
    <t>13656</t>
  </si>
  <si>
    <t>Paim Filho</t>
  </si>
  <si>
    <t>13607</t>
  </si>
  <si>
    <t>Osório</t>
  </si>
  <si>
    <t>13508</t>
  </si>
  <si>
    <t>Novo Barreiro</t>
  </si>
  <si>
    <t>13490</t>
  </si>
  <si>
    <t>Novo Xingu</t>
  </si>
  <si>
    <t>13466</t>
  </si>
  <si>
    <t>Novo Tiradentes</t>
  </si>
  <si>
    <t>13441</t>
  </si>
  <si>
    <t>Novo Machado</t>
  </si>
  <si>
    <t>13425</t>
  </si>
  <si>
    <t>Novo Hamburgo</t>
  </si>
  <si>
    <t>13409</t>
  </si>
  <si>
    <t>Novo Cabrais</t>
  </si>
  <si>
    <t>13391</t>
  </si>
  <si>
    <t>Nova Santa Rita</t>
  </si>
  <si>
    <t>13375</t>
  </si>
  <si>
    <t>Nova Roma do Sul</t>
  </si>
  <si>
    <t>13359</t>
  </si>
  <si>
    <t>Nova Ramada</t>
  </si>
  <si>
    <t>13334</t>
  </si>
  <si>
    <t>Nova Prata</t>
  </si>
  <si>
    <t>13300</t>
  </si>
  <si>
    <t>Nova Petrópolis</t>
  </si>
  <si>
    <t>13201</t>
  </si>
  <si>
    <t>Nova Palma</t>
  </si>
  <si>
    <t>13102</t>
  </si>
  <si>
    <t>Nova Pádua</t>
  </si>
  <si>
    <t>13086</t>
  </si>
  <si>
    <t>Nova Hartz</t>
  </si>
  <si>
    <t>13060</t>
  </si>
  <si>
    <t>Nova Esperança do Sul</t>
  </si>
  <si>
    <t>13037</t>
  </si>
  <si>
    <t>Nova Candelária</t>
  </si>
  <si>
    <t>13011</t>
  </si>
  <si>
    <t>Nova Bréscia</t>
  </si>
  <si>
    <t>13003</t>
  </si>
  <si>
    <t>Nova Boa Vista</t>
  </si>
  <si>
    <t>12955</t>
  </si>
  <si>
    <t>Nova Bassano</t>
  </si>
  <si>
    <t>12906</t>
  </si>
  <si>
    <t>Nova Araçá</t>
  </si>
  <si>
    <t>12807</t>
  </si>
  <si>
    <t>Nova Alvorada</t>
  </si>
  <si>
    <t>12757</t>
  </si>
  <si>
    <t>Nonoai</t>
  </si>
  <si>
    <t>12708</t>
  </si>
  <si>
    <t>Nicolau Vergueiro</t>
  </si>
  <si>
    <t>12674</t>
  </si>
  <si>
    <t>Não-Me-Toque</t>
  </si>
  <si>
    <t>12658</t>
  </si>
  <si>
    <t>Muliterno</t>
  </si>
  <si>
    <t>12625</t>
  </si>
  <si>
    <t>Muitos Capões</t>
  </si>
  <si>
    <t>12617</t>
  </si>
  <si>
    <t>Muçum</t>
  </si>
  <si>
    <t>12609</t>
  </si>
  <si>
    <t>Mostardas</t>
  </si>
  <si>
    <t>12500</t>
  </si>
  <si>
    <t>Morro Reuter</t>
  </si>
  <si>
    <t>12476</t>
  </si>
  <si>
    <t>Morro Redondo</t>
  </si>
  <si>
    <t>12450</t>
  </si>
  <si>
    <t>Morrinhos do Sul</t>
  </si>
  <si>
    <t>12443</t>
  </si>
  <si>
    <t>Mormaço</t>
  </si>
  <si>
    <t>12427</t>
  </si>
  <si>
    <t>Montenegro</t>
  </si>
  <si>
    <t>12401</t>
  </si>
  <si>
    <t>Monte Belo do Sul</t>
  </si>
  <si>
    <t>12385</t>
  </si>
  <si>
    <t>Monte Alegre dos Campos</t>
  </si>
  <si>
    <t>12377</t>
  </si>
  <si>
    <t>Montauri</t>
  </si>
  <si>
    <t>12351</t>
  </si>
  <si>
    <t>Miraguaí</t>
  </si>
  <si>
    <t>12302</t>
  </si>
  <si>
    <t>Minas do Leão</t>
  </si>
  <si>
    <t>12252</t>
  </si>
  <si>
    <t>Maximiliano de Almeida</t>
  </si>
  <si>
    <t>12203</t>
  </si>
  <si>
    <t>Mato Queimado</t>
  </si>
  <si>
    <t>12179</t>
  </si>
  <si>
    <t>Mato Leitão</t>
  </si>
  <si>
    <t>12153</t>
  </si>
  <si>
    <t>Mato Castelhano</t>
  </si>
  <si>
    <t>12138</t>
  </si>
  <si>
    <t>Mata</t>
  </si>
  <si>
    <t>12104</t>
  </si>
  <si>
    <t>Marques de Souza</t>
  </si>
  <si>
    <t>12054</t>
  </si>
  <si>
    <t>Mariano Moro</t>
  </si>
  <si>
    <t>12005</t>
  </si>
  <si>
    <t>Mariana Pimentel</t>
  </si>
  <si>
    <t>11981</t>
  </si>
  <si>
    <t>Marcelino Ramos</t>
  </si>
  <si>
    <t>11908</t>
  </si>
  <si>
    <t>Marau</t>
  </si>
  <si>
    <t>11809</t>
  </si>
  <si>
    <t>Maratá</t>
  </si>
  <si>
    <t>11791</t>
  </si>
  <si>
    <t>Maquiné</t>
  </si>
  <si>
    <t>11775</t>
  </si>
  <si>
    <t>Manoel Viana</t>
  </si>
  <si>
    <t>11759</t>
  </si>
  <si>
    <t>Mampituba</t>
  </si>
  <si>
    <t>11734</t>
  </si>
  <si>
    <t>Maçambará</t>
  </si>
  <si>
    <t>11718</t>
  </si>
  <si>
    <t>Machadinho</t>
  </si>
  <si>
    <t>11700</t>
  </si>
  <si>
    <t>Linha Nova</t>
  </si>
  <si>
    <t>11643</t>
  </si>
  <si>
    <t>Lindolfo Collor</t>
  </si>
  <si>
    <t>11627</t>
  </si>
  <si>
    <t>Liberato Salzano</t>
  </si>
  <si>
    <t>11601</t>
  </si>
  <si>
    <t>Lavras do Sul</t>
  </si>
  <si>
    <t>11502</t>
  </si>
  <si>
    <t>Lajeado do Bugre</t>
  </si>
  <si>
    <t>11429</t>
  </si>
  <si>
    <t>Lajeado</t>
  </si>
  <si>
    <t>11403</t>
  </si>
  <si>
    <t>Lagoa Vermelha</t>
  </si>
  <si>
    <t>11304</t>
  </si>
  <si>
    <t>Lagoa dos Três Cantos</t>
  </si>
  <si>
    <t>11270</t>
  </si>
  <si>
    <t>Lagoão</t>
  </si>
  <si>
    <t>11254</t>
  </si>
  <si>
    <t>Lagoa Bonita do Sul</t>
  </si>
  <si>
    <t>11239</t>
  </si>
  <si>
    <t>Júlio de Castilhos</t>
  </si>
  <si>
    <t>11205</t>
  </si>
  <si>
    <t>Jóia</t>
  </si>
  <si>
    <t>11155</t>
  </si>
  <si>
    <t>Jari</t>
  </si>
  <si>
    <t>11130</t>
  </si>
  <si>
    <t>Jaquirana</t>
  </si>
  <si>
    <t>11122</t>
  </si>
  <si>
    <t>Jaguari</t>
  </si>
  <si>
    <t>11106</t>
  </si>
  <si>
    <t>Jaguarão</t>
  </si>
  <si>
    <t>11007</t>
  </si>
  <si>
    <t>Jacutinga</t>
  </si>
  <si>
    <t>10900</t>
  </si>
  <si>
    <t>Jacuizinho</t>
  </si>
  <si>
    <t>10876</t>
  </si>
  <si>
    <t>Jaboticaba</t>
  </si>
  <si>
    <t>10850</t>
  </si>
  <si>
    <t>Ivoti</t>
  </si>
  <si>
    <t>10801</t>
  </si>
  <si>
    <t>Ivorá</t>
  </si>
  <si>
    <t>10751</t>
  </si>
  <si>
    <t>Itatiba do Sul</t>
  </si>
  <si>
    <t>10702</t>
  </si>
  <si>
    <t>Itati</t>
  </si>
  <si>
    <t>10652</t>
  </si>
  <si>
    <t>Itaqui</t>
  </si>
  <si>
    <t>10603</t>
  </si>
  <si>
    <t>Itapuca</t>
  </si>
  <si>
    <t>10579</t>
  </si>
  <si>
    <t>Itacurubi</t>
  </si>
  <si>
    <t>10553</t>
  </si>
  <si>
    <t>Itaara</t>
  </si>
  <si>
    <t>10538</t>
  </si>
  <si>
    <t>Iraí</t>
  </si>
  <si>
    <t>10504</t>
  </si>
  <si>
    <t>Ipiranga do Sul</t>
  </si>
  <si>
    <t>10462</t>
  </si>
  <si>
    <t>Ipê</t>
  </si>
  <si>
    <t>10439</t>
  </si>
  <si>
    <t>Inhacorá</t>
  </si>
  <si>
    <t>10413</t>
  </si>
  <si>
    <t>Independência</t>
  </si>
  <si>
    <t>10405</t>
  </si>
  <si>
    <t>Imigrante</t>
  </si>
  <si>
    <t>10363</t>
  </si>
  <si>
    <t>Imbé</t>
  </si>
  <si>
    <t>10330</t>
  </si>
  <si>
    <t>Ilópolis</t>
  </si>
  <si>
    <t>10306</t>
  </si>
  <si>
    <t>Ijuí</t>
  </si>
  <si>
    <t>10207</t>
  </si>
  <si>
    <t>Igrejinha</t>
  </si>
  <si>
    <t>10108</t>
  </si>
  <si>
    <t>Ibirubá</t>
  </si>
  <si>
    <t>10009</t>
  </si>
  <si>
    <t>Ibirapuitã</t>
  </si>
  <si>
    <t>09951</t>
  </si>
  <si>
    <t>Ibiraiaras</t>
  </si>
  <si>
    <t>09902</t>
  </si>
  <si>
    <t>Ibiaçá</t>
  </si>
  <si>
    <t>09803</t>
  </si>
  <si>
    <t>Ibarama</t>
  </si>
  <si>
    <t>09753</t>
  </si>
  <si>
    <t>Humaitá</t>
  </si>
  <si>
    <t>09704</t>
  </si>
  <si>
    <t>Hulha Negra</t>
  </si>
  <si>
    <t>09654</t>
  </si>
  <si>
    <t>Horizontina</t>
  </si>
  <si>
    <t>09605</t>
  </si>
  <si>
    <t>Herveiras</t>
  </si>
  <si>
    <t>09571</t>
  </si>
  <si>
    <t>Harmonia</t>
  </si>
  <si>
    <t>09555</t>
  </si>
  <si>
    <t>Guarani das Missões</t>
  </si>
  <si>
    <t>09506</t>
  </si>
  <si>
    <t>Guaporé</t>
  </si>
  <si>
    <t>09407</t>
  </si>
  <si>
    <t>Guaíba</t>
  </si>
  <si>
    <t>09308</t>
  </si>
  <si>
    <t>Guabiju</t>
  </si>
  <si>
    <t>09258</t>
  </si>
  <si>
    <t>Gravataí</t>
  </si>
  <si>
    <t>09209</t>
  </si>
  <si>
    <t>Gramado Xavier</t>
  </si>
  <si>
    <t>09159</t>
  </si>
  <si>
    <t>Gramado dos Loureiros</t>
  </si>
  <si>
    <t>09126</t>
  </si>
  <si>
    <t>Gramado</t>
  </si>
  <si>
    <t>09100</t>
  </si>
  <si>
    <t>Glorinha</t>
  </si>
  <si>
    <t>09050</t>
  </si>
  <si>
    <t>Giruá</t>
  </si>
  <si>
    <t>09001</t>
  </si>
  <si>
    <t>Getúlio Vargas</t>
  </si>
  <si>
    <t>08904</t>
  </si>
  <si>
    <t>Gentil</t>
  </si>
  <si>
    <t>08854</t>
  </si>
  <si>
    <t>General Câmara</t>
  </si>
  <si>
    <t>08805</t>
  </si>
  <si>
    <t>Gaurama</t>
  </si>
  <si>
    <t>08706</t>
  </si>
  <si>
    <t>Garruchos</t>
  </si>
  <si>
    <t>08656</t>
  </si>
  <si>
    <t>Garibaldi</t>
  </si>
  <si>
    <t>08607</t>
  </si>
  <si>
    <t>Frederico Westphalen</t>
  </si>
  <si>
    <t>08508</t>
  </si>
  <si>
    <t>Fortaleza dos Valos</t>
  </si>
  <si>
    <t>08458</t>
  </si>
  <si>
    <t>Forquetinha</t>
  </si>
  <si>
    <t>08433</t>
  </si>
  <si>
    <t>Formigueiro</t>
  </si>
  <si>
    <t>08409</t>
  </si>
  <si>
    <t>Fontoura Xavier</t>
  </si>
  <si>
    <t>08300</t>
  </si>
  <si>
    <t>Floriano Peixoto</t>
  </si>
  <si>
    <t>08250</t>
  </si>
  <si>
    <t>Flores da Cunha</t>
  </si>
  <si>
    <t>08201</t>
  </si>
  <si>
    <t>Feliz</t>
  </si>
  <si>
    <t>08102</t>
  </si>
  <si>
    <t>Fazenda Vilanova</t>
  </si>
  <si>
    <t>08078</t>
  </si>
  <si>
    <t>Faxinalzinho</t>
  </si>
  <si>
    <t>08052</t>
  </si>
  <si>
    <t>Faxinal do Soturno</t>
  </si>
  <si>
    <t>08003</t>
  </si>
  <si>
    <t>Farroupilha</t>
  </si>
  <si>
    <t>07906</t>
  </si>
  <si>
    <t>Fagundes Varela</t>
  </si>
  <si>
    <t>07864</t>
  </si>
  <si>
    <t>Eugênio de Castro</t>
  </si>
  <si>
    <t>07831</t>
  </si>
  <si>
    <t>Estrela Velha</t>
  </si>
  <si>
    <t>07815</t>
  </si>
  <si>
    <t>Estrela</t>
  </si>
  <si>
    <t>07807</t>
  </si>
  <si>
    <t>Esteio</t>
  </si>
  <si>
    <t>07708</t>
  </si>
  <si>
    <t>Estância Velha</t>
  </si>
  <si>
    <t>07609</t>
  </si>
  <si>
    <t>Estação</t>
  </si>
  <si>
    <t>07559</t>
  </si>
  <si>
    <t>Espumoso</t>
  </si>
  <si>
    <t>07500</t>
  </si>
  <si>
    <t>Esperança do Sul</t>
  </si>
  <si>
    <t>07450</t>
  </si>
  <si>
    <t>Esmeralda</t>
  </si>
  <si>
    <t>07401</t>
  </si>
  <si>
    <t>Erval Seco</t>
  </si>
  <si>
    <t>07302</t>
  </si>
  <si>
    <t>Erval Grande</t>
  </si>
  <si>
    <t>07203</t>
  </si>
  <si>
    <t>Herval</t>
  </si>
  <si>
    <t>07104</t>
  </si>
  <si>
    <t>Ernestina</t>
  </si>
  <si>
    <t>07054</t>
  </si>
  <si>
    <t>Erechim</t>
  </si>
  <si>
    <t>07005</t>
  </si>
  <si>
    <t>Erebango</t>
  </si>
  <si>
    <t>06973</t>
  </si>
  <si>
    <t>Entre Rios do Sul</t>
  </si>
  <si>
    <t>06957</t>
  </si>
  <si>
    <t>Entre-Ijuís</t>
  </si>
  <si>
    <t>06932</t>
  </si>
  <si>
    <t>Engenho Velho</t>
  </si>
  <si>
    <t>06924</t>
  </si>
  <si>
    <t>Encruzilhada do Sul</t>
  </si>
  <si>
    <t>06908</t>
  </si>
  <si>
    <t>Encantado</t>
  </si>
  <si>
    <t>06809</t>
  </si>
  <si>
    <t>Eldorado do Sul</t>
  </si>
  <si>
    <t>06767</t>
  </si>
  <si>
    <t>Doutor Ricardo</t>
  </si>
  <si>
    <t>06759</t>
  </si>
  <si>
    <t>Doutor Maurício Cardoso</t>
  </si>
  <si>
    <t>06734</t>
  </si>
  <si>
    <t>Dona Francisca</t>
  </si>
  <si>
    <t>06700</t>
  </si>
  <si>
    <t>Dom Pedrito</t>
  </si>
  <si>
    <t>06601</t>
  </si>
  <si>
    <t>Dom Pedro de Alcântara</t>
  </si>
  <si>
    <t>06551</t>
  </si>
  <si>
    <t>Dom Feliciano</t>
  </si>
  <si>
    <t>06502</t>
  </si>
  <si>
    <t>Dois Lajeados</t>
  </si>
  <si>
    <t>06452</t>
  </si>
  <si>
    <t>Dois Irmãos das Missões</t>
  </si>
  <si>
    <t>06429</t>
  </si>
  <si>
    <t>Dois Irmãos</t>
  </si>
  <si>
    <t>06403</t>
  </si>
  <si>
    <t>Dilermando de Aguiar</t>
  </si>
  <si>
    <t>06379</t>
  </si>
  <si>
    <t>Dezesseis de Novembro</t>
  </si>
  <si>
    <t>06353</t>
  </si>
  <si>
    <t>Derrubadas</t>
  </si>
  <si>
    <t>06320</t>
  </si>
  <si>
    <t>David Canabarro</t>
  </si>
  <si>
    <t>06304</t>
  </si>
  <si>
    <t>Cruzeiro do Sul</t>
  </si>
  <si>
    <t>06205</t>
  </si>
  <si>
    <t>Cruzaltense</t>
  </si>
  <si>
    <t>06130</t>
  </si>
  <si>
    <t>Cruz Alta</t>
  </si>
  <si>
    <t>06106</t>
  </si>
  <si>
    <t>Cristal do Sul</t>
  </si>
  <si>
    <t>06072</t>
  </si>
  <si>
    <t>Cristal</t>
  </si>
  <si>
    <t>06056</t>
  </si>
  <si>
    <t>Crissiumal</t>
  </si>
  <si>
    <t>06007</t>
  </si>
  <si>
    <t>Coxilha</t>
  </si>
  <si>
    <t>05975</t>
  </si>
  <si>
    <t>Cotiporã</t>
  </si>
  <si>
    <t>05959</t>
  </si>
  <si>
    <t>Coronel Pilar</t>
  </si>
  <si>
    <t>05934</t>
  </si>
  <si>
    <t>Coronel Bicaco</t>
  </si>
  <si>
    <t>05900</t>
  </si>
  <si>
    <t>Coronel Barros</t>
  </si>
  <si>
    <t>05871</t>
  </si>
  <si>
    <t>Coqueiros do Sul</t>
  </si>
  <si>
    <t>05850</t>
  </si>
  <si>
    <t>Coqueiro Baixo</t>
  </si>
  <si>
    <t>05835</t>
  </si>
  <si>
    <t>Constantina</t>
  </si>
  <si>
    <t>05801</t>
  </si>
  <si>
    <t>Condor</t>
  </si>
  <si>
    <t>05702</t>
  </si>
  <si>
    <t>Colorado</t>
  </si>
  <si>
    <t>05603</t>
  </si>
  <si>
    <t>Colinas</t>
  </si>
  <si>
    <t>05587</t>
  </si>
  <si>
    <t>Ciríaco</t>
  </si>
  <si>
    <t>05504</t>
  </si>
  <si>
    <t>Cidreira</t>
  </si>
  <si>
    <t>05454</t>
  </si>
  <si>
    <t>Chuvisca</t>
  </si>
  <si>
    <t>05447</t>
  </si>
  <si>
    <t>Chuí</t>
  </si>
  <si>
    <t>05439</t>
  </si>
  <si>
    <t>Chiapetta</t>
  </si>
  <si>
    <t>05405</t>
  </si>
  <si>
    <t>Charrua</t>
  </si>
  <si>
    <t>05371</t>
  </si>
  <si>
    <t>Charqueadas</t>
  </si>
  <si>
    <t>05355</t>
  </si>
  <si>
    <t>Chapada</t>
  </si>
  <si>
    <t>05306</t>
  </si>
  <si>
    <t>Cerro Largo</t>
  </si>
  <si>
    <t>05207</t>
  </si>
  <si>
    <t>Cerro Grande do Sul</t>
  </si>
  <si>
    <t>05173</t>
  </si>
  <si>
    <t>Cerro Grande</t>
  </si>
  <si>
    <t>05157</t>
  </si>
  <si>
    <t>Cerro Branco</t>
  </si>
  <si>
    <t>05132</t>
  </si>
  <si>
    <t>Cerrito</t>
  </si>
  <si>
    <t>05124</t>
  </si>
  <si>
    <t>Centenário</t>
  </si>
  <si>
    <t>05116</t>
  </si>
  <si>
    <t>Caxias do Sul</t>
  </si>
  <si>
    <t>05108</t>
  </si>
  <si>
    <t>Catuípe</t>
  </si>
  <si>
    <t>05009</t>
  </si>
  <si>
    <t>Caseiros</t>
  </si>
  <si>
    <t>04952</t>
  </si>
  <si>
    <t>Casca</t>
  </si>
  <si>
    <t>04903</t>
  </si>
  <si>
    <t>Carlos Gomes</t>
  </si>
  <si>
    <t>04853</t>
  </si>
  <si>
    <t>Carlos Barbosa</t>
  </si>
  <si>
    <t>04804</t>
  </si>
  <si>
    <t>Caraá</t>
  </si>
  <si>
    <t>04713</t>
  </si>
  <si>
    <t>Carazinho</t>
  </si>
  <si>
    <t>04705</t>
  </si>
  <si>
    <t>Capitão</t>
  </si>
  <si>
    <t>04697</t>
  </si>
  <si>
    <t>Capela de Santana</t>
  </si>
  <si>
    <t>04689</t>
  </si>
  <si>
    <t>Capivari do Sul</t>
  </si>
  <si>
    <t>04671</t>
  </si>
  <si>
    <t>Capão do Leão</t>
  </si>
  <si>
    <t>04663</t>
  </si>
  <si>
    <t>Capão do Cipó</t>
  </si>
  <si>
    <t>04655</t>
  </si>
  <si>
    <t>Capão da Canoa</t>
  </si>
  <si>
    <t>04630</t>
  </si>
  <si>
    <t>Capão Bonito do Sul</t>
  </si>
  <si>
    <t>04622</t>
  </si>
  <si>
    <t>Canudos do Vale</t>
  </si>
  <si>
    <t>04614</t>
  </si>
  <si>
    <t>Canoas</t>
  </si>
  <si>
    <t>04606</t>
  </si>
  <si>
    <t>Canguçu</t>
  </si>
  <si>
    <t>04507</t>
  </si>
  <si>
    <t>Canela</t>
  </si>
  <si>
    <t>04408</t>
  </si>
  <si>
    <t>Candiota</t>
  </si>
  <si>
    <t>04358</t>
  </si>
  <si>
    <t>Cândido Godói</t>
  </si>
  <si>
    <t>04309</t>
  </si>
  <si>
    <t>Candelária</t>
  </si>
  <si>
    <t>04200</t>
  </si>
  <si>
    <t>Campos Borges</t>
  </si>
  <si>
    <t>04101</t>
  </si>
  <si>
    <t>Campo Novo</t>
  </si>
  <si>
    <t>04002</t>
  </si>
  <si>
    <t>Campo Bom</t>
  </si>
  <si>
    <t>03905</t>
  </si>
  <si>
    <t>Campinas do Sul</t>
  </si>
  <si>
    <t>03806</t>
  </si>
  <si>
    <t>Campina das Missões</t>
  </si>
  <si>
    <t>03707</t>
  </si>
  <si>
    <t>Campestre da Serra</t>
  </si>
  <si>
    <t>03673</t>
  </si>
  <si>
    <t>Cambará do Sul</t>
  </si>
  <si>
    <t>03608</t>
  </si>
  <si>
    <t>Camargo</t>
  </si>
  <si>
    <t>03558</t>
  </si>
  <si>
    <t>Camaquã</t>
  </si>
  <si>
    <t>03509</t>
  </si>
  <si>
    <t>Caiçara</t>
  </si>
  <si>
    <t>03400</t>
  </si>
  <si>
    <t>Caibaté</t>
  </si>
  <si>
    <t>03301</t>
  </si>
  <si>
    <t>Cacique Doble</t>
  </si>
  <si>
    <t>03202</t>
  </si>
  <si>
    <t>Cachoeirinha</t>
  </si>
  <si>
    <t>03103</t>
  </si>
  <si>
    <t>Cachoeira do Sul</t>
  </si>
  <si>
    <t>03004</t>
  </si>
  <si>
    <t>Cacequi</t>
  </si>
  <si>
    <t>02907</t>
  </si>
  <si>
    <t>Caçapava do Sul</t>
  </si>
  <si>
    <t>02808</t>
  </si>
  <si>
    <t>Butiá</t>
  </si>
  <si>
    <t>02709</t>
  </si>
  <si>
    <t>Brochier</t>
  </si>
  <si>
    <t>02659</t>
  </si>
  <si>
    <t>Braga</t>
  </si>
  <si>
    <t>02600</t>
  </si>
  <si>
    <t>Bozano</t>
  </si>
  <si>
    <t>02584</t>
  </si>
  <si>
    <t>Bossoroca</t>
  </si>
  <si>
    <t>02501</t>
  </si>
  <si>
    <t>Boqueirão do Leão</t>
  </si>
  <si>
    <t>02451</t>
  </si>
  <si>
    <t>Bom Retiro do Sul</t>
  </si>
  <si>
    <t>02402</t>
  </si>
  <si>
    <t>Bom Progresso</t>
  </si>
  <si>
    <t>02378</t>
  </si>
  <si>
    <t>Bom Princípio</t>
  </si>
  <si>
    <t>02352</t>
  </si>
  <si>
    <t>Bom Jesus</t>
  </si>
  <si>
    <t>02303</t>
  </si>
  <si>
    <t>Boa Vista do Sul</t>
  </si>
  <si>
    <t>02253</t>
  </si>
  <si>
    <t>Boa Vista do Incra</t>
  </si>
  <si>
    <t>02238</t>
  </si>
  <si>
    <t>Boa Vista do Cadeado</t>
  </si>
  <si>
    <t>02220</t>
  </si>
  <si>
    <t>Boa Vista do Buricá</t>
  </si>
  <si>
    <t>02204</t>
  </si>
  <si>
    <t>Boa Vista das Missões</t>
  </si>
  <si>
    <t>02154</t>
  </si>
  <si>
    <t>Bento Gonçalves</t>
  </si>
  <si>
    <t>02105</t>
  </si>
  <si>
    <t>Benjamin Constant do Sul</t>
  </si>
  <si>
    <t>02055</t>
  </si>
  <si>
    <t>Barros Cassal</t>
  </si>
  <si>
    <t>02006</t>
  </si>
  <si>
    <t>Barra Funda</t>
  </si>
  <si>
    <t>01958</t>
  </si>
  <si>
    <t>Barra do Rio Azul</t>
  </si>
  <si>
    <t>01925</t>
  </si>
  <si>
    <t>Barra do Ribeiro</t>
  </si>
  <si>
    <t>01909</t>
  </si>
  <si>
    <t>Barra do Quaraí</t>
  </si>
  <si>
    <t>01875</t>
  </si>
  <si>
    <t>Barra do Guarita</t>
  </si>
  <si>
    <t>01859</t>
  </si>
  <si>
    <t>Barracão</t>
  </si>
  <si>
    <t>01800</t>
  </si>
  <si>
    <t>Barão do Triunfo</t>
  </si>
  <si>
    <t>01750</t>
  </si>
  <si>
    <t>Barão de Cotegipe</t>
  </si>
  <si>
    <t>01701</t>
  </si>
  <si>
    <t>Barão</t>
  </si>
  <si>
    <t>01651</t>
  </si>
  <si>
    <t>Balneário Pinhal</t>
  </si>
  <si>
    <t>01636</t>
  </si>
  <si>
    <t>Bagé</t>
  </si>
  <si>
    <t>01602</t>
  </si>
  <si>
    <t>Áurea</t>
  </si>
  <si>
    <t>01552</t>
  </si>
  <si>
    <t>Augusto Pestana</t>
  </si>
  <si>
    <t>01503</t>
  </si>
  <si>
    <t>Arvorezinha</t>
  </si>
  <si>
    <t>01404</t>
  </si>
  <si>
    <t>Arroio Grande</t>
  </si>
  <si>
    <t>01305</t>
  </si>
  <si>
    <t>Arroio do Tigre</t>
  </si>
  <si>
    <t>01206</t>
  </si>
  <si>
    <t>Arroio dos Ratos</t>
  </si>
  <si>
    <t>01107</t>
  </si>
  <si>
    <t>Arroio do Padre</t>
  </si>
  <si>
    <t>01073</t>
  </si>
  <si>
    <t>Arroio do Sal</t>
  </si>
  <si>
    <t>01057</t>
  </si>
  <si>
    <t>Arroio do Meio</t>
  </si>
  <si>
    <t>01008</t>
  </si>
  <si>
    <t>Aratiba</t>
  </si>
  <si>
    <t>00901</t>
  </si>
  <si>
    <t>Araricá</t>
  </si>
  <si>
    <t>00877</t>
  </si>
  <si>
    <t>Arambaré</t>
  </si>
  <si>
    <t>00851</t>
  </si>
  <si>
    <t>Antônio Prado</t>
  </si>
  <si>
    <t>00802</t>
  </si>
  <si>
    <t>Anta Gorda</t>
  </si>
  <si>
    <t>00703</t>
  </si>
  <si>
    <t>André da Rocha</t>
  </si>
  <si>
    <t>00661</t>
  </si>
  <si>
    <t>Ametista do Sul</t>
  </si>
  <si>
    <t>00646</t>
  </si>
  <si>
    <t>Amaral Ferrador</t>
  </si>
  <si>
    <t>00638</t>
  </si>
  <si>
    <t>Alvorada</t>
  </si>
  <si>
    <t>00604</t>
  </si>
  <si>
    <t>Alto Feliz</t>
  </si>
  <si>
    <t>00570</t>
  </si>
  <si>
    <t>Alto Alegre</t>
  </si>
  <si>
    <t>00554</t>
  </si>
  <si>
    <t>Alpestre</t>
  </si>
  <si>
    <t>00505</t>
  </si>
  <si>
    <t>Almirante Tamandaré do Sul</t>
  </si>
  <si>
    <t>00471</t>
  </si>
  <si>
    <t>Alegria</t>
  </si>
  <si>
    <t>00455</t>
  </si>
  <si>
    <t>Alegrete</t>
  </si>
  <si>
    <t>00406</t>
  </si>
  <si>
    <t>Alecrim</t>
  </si>
  <si>
    <t>00307</t>
  </si>
  <si>
    <t>Ajuricaba</t>
  </si>
  <si>
    <t>00208</t>
  </si>
  <si>
    <t>Agudo</t>
  </si>
  <si>
    <t>00109</t>
  </si>
  <si>
    <t>Água Santa</t>
  </si>
  <si>
    <t>00059</t>
  </si>
  <si>
    <t>Aceguá</t>
  </si>
  <si>
    <t>00034</t>
  </si>
  <si>
    <t>Balneário Rincão</t>
  </si>
  <si>
    <t>20000</t>
  </si>
  <si>
    <t>Zortéa</t>
  </si>
  <si>
    <t>19853</t>
  </si>
  <si>
    <t>Xaxim</t>
  </si>
  <si>
    <t>19705</t>
  </si>
  <si>
    <t>Xavantina</t>
  </si>
  <si>
    <t>19606</t>
  </si>
  <si>
    <t>Xanxerê</t>
  </si>
  <si>
    <t>19507</t>
  </si>
  <si>
    <t>Witmarsum</t>
  </si>
  <si>
    <t>19408</t>
  </si>
  <si>
    <t>Vitor Meireles</t>
  </si>
  <si>
    <t>19358</t>
  </si>
  <si>
    <t>Videira</t>
  </si>
  <si>
    <t>19309</t>
  </si>
  <si>
    <t>Vidal Ramos</t>
  </si>
  <si>
    <t>19200</t>
  </si>
  <si>
    <t>Vargem Bonita</t>
  </si>
  <si>
    <t>19176</t>
  </si>
  <si>
    <t>Vargem</t>
  </si>
  <si>
    <t>19150</t>
  </si>
  <si>
    <t>Vargeão</t>
  </si>
  <si>
    <t>19101</t>
  </si>
  <si>
    <t>Urussanga</t>
  </si>
  <si>
    <t>19002</t>
  </si>
  <si>
    <t>Urupema</t>
  </si>
  <si>
    <t>18954</t>
  </si>
  <si>
    <t>Urubici</t>
  </si>
  <si>
    <t>18905</t>
  </si>
  <si>
    <t>União do Oeste</t>
  </si>
  <si>
    <t>18855</t>
  </si>
  <si>
    <t>Turvo</t>
  </si>
  <si>
    <t>18806</t>
  </si>
  <si>
    <t>Tunápolis</t>
  </si>
  <si>
    <t>18756</t>
  </si>
  <si>
    <t>Tubarão</t>
  </si>
  <si>
    <t>18707</t>
  </si>
  <si>
    <t>Trombudo Central</t>
  </si>
  <si>
    <t>18608</t>
  </si>
  <si>
    <t>Treze Tílias</t>
  </si>
  <si>
    <t>18509</t>
  </si>
  <si>
    <t>Treze de Maio</t>
  </si>
  <si>
    <t>18400</t>
  </si>
  <si>
    <t>Treviso</t>
  </si>
  <si>
    <t>18350</t>
  </si>
  <si>
    <t>Três Barras</t>
  </si>
  <si>
    <t>18301</t>
  </si>
  <si>
    <t>Timbó Grande</t>
  </si>
  <si>
    <t>18251</t>
  </si>
  <si>
    <t>Timbó</t>
  </si>
  <si>
    <t>18202</t>
  </si>
  <si>
    <t>Timbé do Sul</t>
  </si>
  <si>
    <t>18103</t>
  </si>
  <si>
    <t>Tijucas</t>
  </si>
  <si>
    <t>18004</t>
  </si>
  <si>
    <t>Tigrinhos</t>
  </si>
  <si>
    <t>17956</t>
  </si>
  <si>
    <t>Tangará</t>
  </si>
  <si>
    <t>17907</t>
  </si>
  <si>
    <t>Taió</t>
  </si>
  <si>
    <t>17808</t>
  </si>
  <si>
    <t>Sul Brasil</t>
  </si>
  <si>
    <t>17758</t>
  </si>
  <si>
    <t>Sombrio</t>
  </si>
  <si>
    <t>17709</t>
  </si>
  <si>
    <t>Siderópolis</t>
  </si>
  <si>
    <t>17600</t>
  </si>
  <si>
    <t>Serra Alta</t>
  </si>
  <si>
    <t>17550</t>
  </si>
  <si>
    <t>Seara</t>
  </si>
  <si>
    <t>17501</t>
  </si>
  <si>
    <t>Schroeder</t>
  </si>
  <si>
    <t>17402</t>
  </si>
  <si>
    <t>Saudades</t>
  </si>
  <si>
    <t>17303</t>
  </si>
  <si>
    <t>São Pedro de Alcântara</t>
  </si>
  <si>
    <t>17253</t>
  </si>
  <si>
    <t>São Miguel do Oeste</t>
  </si>
  <si>
    <t>17204</t>
  </si>
  <si>
    <t>São Miguel da Boa Vista</t>
  </si>
  <si>
    <t>17154</t>
  </si>
  <si>
    <t>17105</t>
  </si>
  <si>
    <t>São Ludgero</t>
  </si>
  <si>
    <t>17006</t>
  </si>
  <si>
    <t>São Lourenço do Oeste</t>
  </si>
  <si>
    <t>16909</t>
  </si>
  <si>
    <t>São José do Cerrito</t>
  </si>
  <si>
    <t>16800</t>
  </si>
  <si>
    <t>São José do Cedro</t>
  </si>
  <si>
    <t>16701</t>
  </si>
  <si>
    <t>São José</t>
  </si>
  <si>
    <t>16602</t>
  </si>
  <si>
    <t>São Joaquim</t>
  </si>
  <si>
    <t>16503</t>
  </si>
  <si>
    <t>São João do Sul</t>
  </si>
  <si>
    <t>16404</t>
  </si>
  <si>
    <t>São João do Itaperiú</t>
  </si>
  <si>
    <t>16354</t>
  </si>
  <si>
    <t>São João Batista</t>
  </si>
  <si>
    <t>16305</t>
  </si>
  <si>
    <t>São João do Oeste</t>
  </si>
  <si>
    <t>16255</t>
  </si>
  <si>
    <t>São Francisco do Sul</t>
  </si>
  <si>
    <t>16206</t>
  </si>
  <si>
    <t>16107</t>
  </si>
  <si>
    <t>São Cristovão do Sul</t>
  </si>
  <si>
    <t>16057</t>
  </si>
  <si>
    <t>São Carlos</t>
  </si>
  <si>
    <t>16008</t>
  </si>
  <si>
    <t>São Bonifácio</t>
  </si>
  <si>
    <t>15901</t>
  </si>
  <si>
    <t>São Bento do Sul</t>
  </si>
  <si>
    <t>15802</t>
  </si>
  <si>
    <t>São Bernardino</t>
  </si>
  <si>
    <t>15752</t>
  </si>
  <si>
    <t>Santo Amaro da Imperatriz</t>
  </si>
  <si>
    <t>15703</t>
  </si>
  <si>
    <t>Santiago do Sul</t>
  </si>
  <si>
    <t>15695</t>
  </si>
  <si>
    <t>Santa Terezinha do Progresso</t>
  </si>
  <si>
    <t>15687</t>
  </si>
  <si>
    <t>15679</t>
  </si>
  <si>
    <t>Santa Rosa do Sul</t>
  </si>
  <si>
    <t>15653</t>
  </si>
  <si>
    <t>Santa Rosa de Lima</t>
  </si>
  <si>
    <t>15604</t>
  </si>
  <si>
    <t>Santa Helena</t>
  </si>
  <si>
    <t>15554</t>
  </si>
  <si>
    <t>Santa Cecília</t>
  </si>
  <si>
    <t>15505</t>
  </si>
  <si>
    <t>Sangão</t>
  </si>
  <si>
    <t>15455</t>
  </si>
  <si>
    <t>Salto Veloso</t>
  </si>
  <si>
    <t>15406</t>
  </si>
  <si>
    <t>Saltinho</t>
  </si>
  <si>
    <t>15356</t>
  </si>
  <si>
    <t>Salete</t>
  </si>
  <si>
    <t>15307</t>
  </si>
  <si>
    <t>Romelândia</t>
  </si>
  <si>
    <t>15208</t>
  </si>
  <si>
    <t>Rodeio</t>
  </si>
  <si>
    <t>15109</t>
  </si>
  <si>
    <t>Riqueza</t>
  </si>
  <si>
    <t>15075</t>
  </si>
  <si>
    <t>Rio Rufino</t>
  </si>
  <si>
    <t>15059</t>
  </si>
  <si>
    <t>Rio Negrinho</t>
  </si>
  <si>
    <t>15000</t>
  </si>
  <si>
    <t>Rio Fortuna</t>
  </si>
  <si>
    <t>14904</t>
  </si>
  <si>
    <t>Rio do Sul</t>
  </si>
  <si>
    <t>14805</t>
  </si>
  <si>
    <t>Rio dos Cedros</t>
  </si>
  <si>
    <t>14706</t>
  </si>
  <si>
    <t>Rio do Oeste</t>
  </si>
  <si>
    <t>14607</t>
  </si>
  <si>
    <t>Rio do Campo</t>
  </si>
  <si>
    <t>14508</t>
  </si>
  <si>
    <t>Rio das Antas</t>
  </si>
  <si>
    <t>14409</t>
  </si>
  <si>
    <t>Rancho Queimado</t>
  </si>
  <si>
    <t>14300</t>
  </si>
  <si>
    <t>Quilombo</t>
  </si>
  <si>
    <t>14201</t>
  </si>
  <si>
    <t>Princesa</t>
  </si>
  <si>
    <t>14151</t>
  </si>
  <si>
    <t>Presidente Nereu</t>
  </si>
  <si>
    <t>14102</t>
  </si>
  <si>
    <t>Presidente Getúlio</t>
  </si>
  <si>
    <t>14003</t>
  </si>
  <si>
    <t>Presidente Castello Branco</t>
  </si>
  <si>
    <t>13906</t>
  </si>
  <si>
    <t>Praia Grande</t>
  </si>
  <si>
    <t>13807</t>
  </si>
  <si>
    <t>Pouso Redondo</t>
  </si>
  <si>
    <t>13708</t>
  </si>
  <si>
    <t>Porto União</t>
  </si>
  <si>
    <t>13609</t>
  </si>
  <si>
    <t>Porto Belo</t>
  </si>
  <si>
    <t>13500</t>
  </si>
  <si>
    <t>Ponte Serrada</t>
  </si>
  <si>
    <t>13401</t>
  </si>
  <si>
    <t>Ponte Alta do Norte</t>
  </si>
  <si>
    <t>13351</t>
  </si>
  <si>
    <t>Ponte Alta</t>
  </si>
  <si>
    <t>13302</t>
  </si>
  <si>
    <t>Pomerode</t>
  </si>
  <si>
    <t>13203</t>
  </si>
  <si>
    <t>Planalto Alegre</t>
  </si>
  <si>
    <t>13153</t>
  </si>
  <si>
    <t>Piratuba</t>
  </si>
  <si>
    <t>13104</t>
  </si>
  <si>
    <t>Pinheiro Preto</t>
  </si>
  <si>
    <t>13005</t>
  </si>
  <si>
    <t>Pinhalzinho</t>
  </si>
  <si>
    <t>12908</t>
  </si>
  <si>
    <t>Balneário Piçarras</t>
  </si>
  <si>
    <t>12809</t>
  </si>
  <si>
    <t>Petrolândia</t>
  </si>
  <si>
    <t>12700</t>
  </si>
  <si>
    <t>Pescaria Brava</t>
  </si>
  <si>
    <t>12650</t>
  </si>
  <si>
    <t>Peritiba</t>
  </si>
  <si>
    <t>12601</t>
  </si>
  <si>
    <t>Penha</t>
  </si>
  <si>
    <t>12502</t>
  </si>
  <si>
    <t>Pedras Grandes</t>
  </si>
  <si>
    <t>12403</t>
  </si>
  <si>
    <t>Paulo Lopes</t>
  </si>
  <si>
    <t>12304</t>
  </si>
  <si>
    <t>Passos Maia</t>
  </si>
  <si>
    <t>12270</t>
  </si>
  <si>
    <t>Passo de Torres</t>
  </si>
  <si>
    <t>12254</t>
  </si>
  <si>
    <t>Paraíso</t>
  </si>
  <si>
    <t>12239</t>
  </si>
  <si>
    <t>Papanduva</t>
  </si>
  <si>
    <t>12205</t>
  </si>
  <si>
    <t>Palmitos</t>
  </si>
  <si>
    <t>12106</t>
  </si>
  <si>
    <t>Palmeira</t>
  </si>
  <si>
    <t>12056</t>
  </si>
  <si>
    <t>Palma Sola</t>
  </si>
  <si>
    <t>12007</t>
  </si>
  <si>
    <t>Palhoça</t>
  </si>
  <si>
    <t>11900</t>
  </si>
  <si>
    <t>Painel</t>
  </si>
  <si>
    <t>11892</t>
  </si>
  <si>
    <t>Paial</t>
  </si>
  <si>
    <t>11876</t>
  </si>
  <si>
    <t>Ouro Verde</t>
  </si>
  <si>
    <t>11850</t>
  </si>
  <si>
    <t>Ouro</t>
  </si>
  <si>
    <t>11801</t>
  </si>
  <si>
    <t>Otacílio Costa</t>
  </si>
  <si>
    <t>11751</t>
  </si>
  <si>
    <t>Orleans</t>
  </si>
  <si>
    <t>11702</t>
  </si>
  <si>
    <t>Novo Horizonte</t>
  </si>
  <si>
    <t>11652</t>
  </si>
  <si>
    <t>11603</t>
  </si>
  <si>
    <t>Nova Trento</t>
  </si>
  <si>
    <t>11504</t>
  </si>
  <si>
    <t>Nova Itaberaba</t>
  </si>
  <si>
    <t>11454</t>
  </si>
  <si>
    <t>Nova Erechim</t>
  </si>
  <si>
    <t>11405</t>
  </si>
  <si>
    <t>Navegantes</t>
  </si>
  <si>
    <t>11306</t>
  </si>
  <si>
    <t>Morro Grande</t>
  </si>
  <si>
    <t>11256</t>
  </si>
  <si>
    <t>Morro da Fumaça</t>
  </si>
  <si>
    <t>11207</t>
  </si>
  <si>
    <t>Monte Castelo</t>
  </si>
  <si>
    <t>11108</t>
  </si>
  <si>
    <t>Monte Carlo</t>
  </si>
  <si>
    <t>11058</t>
  </si>
  <si>
    <t>Mondaí</t>
  </si>
  <si>
    <t>11009</t>
  </si>
  <si>
    <t>Modelo</t>
  </si>
  <si>
    <t>10902</t>
  </si>
  <si>
    <t>Mirim Doce</t>
  </si>
  <si>
    <t>10852</t>
  </si>
  <si>
    <t>Meleiro</t>
  </si>
  <si>
    <t>10803</t>
  </si>
  <si>
    <t>Matos Costa</t>
  </si>
  <si>
    <t>10704</t>
  </si>
  <si>
    <t>Massaranduba</t>
  </si>
  <si>
    <t>10605</t>
  </si>
  <si>
    <t>Marema</t>
  </si>
  <si>
    <t>10555</t>
  </si>
  <si>
    <t>Maravilha</t>
  </si>
  <si>
    <t>10506</t>
  </si>
  <si>
    <t>Maracajá</t>
  </si>
  <si>
    <t>10407</t>
  </si>
  <si>
    <t>Major Vieira</t>
  </si>
  <si>
    <t>10308</t>
  </si>
  <si>
    <t>Major Gercino</t>
  </si>
  <si>
    <t>10209</t>
  </si>
  <si>
    <t>Mafra</t>
  </si>
  <si>
    <t>10100</t>
  </si>
  <si>
    <t>Macieira</t>
  </si>
  <si>
    <t>10050</t>
  </si>
  <si>
    <t>Luzerna</t>
  </si>
  <si>
    <t>10035</t>
  </si>
  <si>
    <t>Luiz Alves</t>
  </si>
  <si>
    <t>10001</t>
  </si>
  <si>
    <t>Lontras</t>
  </si>
  <si>
    <t>09904</t>
  </si>
  <si>
    <t>Lindóia do Sul</t>
  </si>
  <si>
    <t>09854</t>
  </si>
  <si>
    <t>Leoberto Leal</t>
  </si>
  <si>
    <t>09805</t>
  </si>
  <si>
    <t>Lebon Régis</t>
  </si>
  <si>
    <t>09706</t>
  </si>
  <si>
    <t>Lauro Muller</t>
  </si>
  <si>
    <t>09607</t>
  </si>
  <si>
    <t>Laurentino</t>
  </si>
  <si>
    <t>09508</t>
  </si>
  <si>
    <t>Lajeado Grande</t>
  </si>
  <si>
    <t>09458</t>
  </si>
  <si>
    <t>Laguna</t>
  </si>
  <si>
    <t>09409</t>
  </si>
  <si>
    <t>Lages</t>
  </si>
  <si>
    <t>09300</t>
  </si>
  <si>
    <t>Lacerdópolis</t>
  </si>
  <si>
    <t>09201</t>
  </si>
  <si>
    <t>Jupiá</t>
  </si>
  <si>
    <t>09177</t>
  </si>
  <si>
    <t>José Boiteux</t>
  </si>
  <si>
    <t>09151</t>
  </si>
  <si>
    <t>Joinville</t>
  </si>
  <si>
    <t>09102</t>
  </si>
  <si>
    <t>Joaçaba</t>
  </si>
  <si>
    <t>09003</t>
  </si>
  <si>
    <t>Jardinópolis</t>
  </si>
  <si>
    <t>08955</t>
  </si>
  <si>
    <t>Jaraguá do Sul</t>
  </si>
  <si>
    <t>08906</t>
  </si>
  <si>
    <t>Jaguaruna</t>
  </si>
  <si>
    <t>08807</t>
  </si>
  <si>
    <t>Jacinto Machado</t>
  </si>
  <si>
    <t>08708</t>
  </si>
  <si>
    <t>Jaborá</t>
  </si>
  <si>
    <t>08609</t>
  </si>
  <si>
    <t>Ituporanga</t>
  </si>
  <si>
    <t>08500</t>
  </si>
  <si>
    <t>Itapoá</t>
  </si>
  <si>
    <t>08450</t>
  </si>
  <si>
    <t>Itapiranga</t>
  </si>
  <si>
    <t>08401</t>
  </si>
  <si>
    <t>Itapema</t>
  </si>
  <si>
    <t>08302</t>
  </si>
  <si>
    <t>Itajaí</t>
  </si>
  <si>
    <t>08203</t>
  </si>
  <si>
    <t>Itaiópolis</t>
  </si>
  <si>
    <t>08104</t>
  </si>
  <si>
    <t>Itá</t>
  </si>
  <si>
    <t>08005</t>
  </si>
  <si>
    <t>Irineópolis</t>
  </si>
  <si>
    <t>07908</t>
  </si>
  <si>
    <t>Irati</t>
  </si>
  <si>
    <t>07858</t>
  </si>
  <si>
    <t>Irani</t>
  </si>
  <si>
    <t>07809</t>
  </si>
  <si>
    <t>Iraceminha</t>
  </si>
  <si>
    <t>07759</t>
  </si>
  <si>
    <t>Ipumirim</t>
  </si>
  <si>
    <t>07700</t>
  </si>
  <si>
    <t>Ipuaçu</t>
  </si>
  <si>
    <t>07684</t>
  </si>
  <si>
    <t>Iporã do Oeste</t>
  </si>
  <si>
    <t>07650</t>
  </si>
  <si>
    <t>Ipira</t>
  </si>
  <si>
    <t>07601</t>
  </si>
  <si>
    <t>Iomerê</t>
  </si>
  <si>
    <t>07577</t>
  </si>
  <si>
    <t>Indaial</t>
  </si>
  <si>
    <t>07502</t>
  </si>
  <si>
    <t>Imbuia</t>
  </si>
  <si>
    <t>07403</t>
  </si>
  <si>
    <t>Imbituba</t>
  </si>
  <si>
    <t>07304</t>
  </si>
  <si>
    <t>Imaruí</t>
  </si>
  <si>
    <t>07205</t>
  </si>
  <si>
    <t>Ilhota</t>
  </si>
  <si>
    <t>07106</t>
  </si>
  <si>
    <t>Içara</t>
  </si>
  <si>
    <t>07007</t>
  </si>
  <si>
    <t>Ibirama</t>
  </si>
  <si>
    <t>06900</t>
  </si>
  <si>
    <t>Ibicaré</t>
  </si>
  <si>
    <t>06801</t>
  </si>
  <si>
    <t>Ibiam</t>
  </si>
  <si>
    <t>06751</t>
  </si>
  <si>
    <t>Herval d'Oeste</t>
  </si>
  <si>
    <t>06702</t>
  </si>
  <si>
    <t>Guatambú</t>
  </si>
  <si>
    <t>06652</t>
  </si>
  <si>
    <t>Guarujá do Sul</t>
  </si>
  <si>
    <t>06603</t>
  </si>
  <si>
    <t>Guaramirim</t>
  </si>
  <si>
    <t>06504</t>
  </si>
  <si>
    <t>Guaraciaba</t>
  </si>
  <si>
    <t>06405</t>
  </si>
  <si>
    <t>Guabiruba</t>
  </si>
  <si>
    <t>06306</t>
  </si>
  <si>
    <t>Gravatal</t>
  </si>
  <si>
    <t>06207</t>
  </si>
  <si>
    <t>Grão Pará</t>
  </si>
  <si>
    <t>06108</t>
  </si>
  <si>
    <t>Governador Celso Ramos</t>
  </si>
  <si>
    <t>06009</t>
  </si>
  <si>
    <t>Gaspar</t>
  </si>
  <si>
    <t>05902</t>
  </si>
  <si>
    <t>Garuva</t>
  </si>
  <si>
    <t>05803</t>
  </si>
  <si>
    <t>Garopaba</t>
  </si>
  <si>
    <t>05704</t>
  </si>
  <si>
    <t>Galvão</t>
  </si>
  <si>
    <t>05605</t>
  </si>
  <si>
    <t>Frei Rogério</t>
  </si>
  <si>
    <t>05555</t>
  </si>
  <si>
    <t>Fraiburgo</t>
  </si>
  <si>
    <t>05506</t>
  </si>
  <si>
    <t>Forquilhinha</t>
  </si>
  <si>
    <t>05456</t>
  </si>
  <si>
    <t>Formosa do Sul</t>
  </si>
  <si>
    <t>05431</t>
  </si>
  <si>
    <t>Florianópolis</t>
  </si>
  <si>
    <t>05407</t>
  </si>
  <si>
    <t>Flor do Sertão</t>
  </si>
  <si>
    <t>05357</t>
  </si>
  <si>
    <t>Faxinal dos Guedes</t>
  </si>
  <si>
    <t>05308</t>
  </si>
  <si>
    <t>Erval Velho</t>
  </si>
  <si>
    <t>05209</t>
  </si>
  <si>
    <t>Ermo</t>
  </si>
  <si>
    <t>05191</t>
  </si>
  <si>
    <t>Entre Rios</t>
  </si>
  <si>
    <t>05175</t>
  </si>
  <si>
    <t>Doutor Pedrinho</t>
  </si>
  <si>
    <t>05159</t>
  </si>
  <si>
    <t>Dona Emma</t>
  </si>
  <si>
    <t>05100</t>
  </si>
  <si>
    <t>Dionísio Cerqueira</t>
  </si>
  <si>
    <t>05001</t>
  </si>
  <si>
    <t>Descanso</t>
  </si>
  <si>
    <t>04905</t>
  </si>
  <si>
    <t>Curitibanos</t>
  </si>
  <si>
    <t>04806</t>
  </si>
  <si>
    <t>Cunhataí</t>
  </si>
  <si>
    <t>04756</t>
  </si>
  <si>
    <t>Cunha Porã</t>
  </si>
  <si>
    <t>04707</t>
  </si>
  <si>
    <t>Criciúma</t>
  </si>
  <si>
    <t>04608</t>
  </si>
  <si>
    <t>Correia Pinto</t>
  </si>
  <si>
    <t>04558</t>
  </si>
  <si>
    <t>Corupá</t>
  </si>
  <si>
    <t>04509</t>
  </si>
  <si>
    <t>Coronel Martins</t>
  </si>
  <si>
    <t>04459</t>
  </si>
  <si>
    <t>Coronel Freitas</t>
  </si>
  <si>
    <t>04400</t>
  </si>
  <si>
    <t>Cordilheira Alta</t>
  </si>
  <si>
    <t>04350</t>
  </si>
  <si>
    <t>Concórdia</t>
  </si>
  <si>
    <t>04301</t>
  </si>
  <si>
    <t>Cocal do Sul</t>
  </si>
  <si>
    <t>04251</t>
  </si>
  <si>
    <t>Chapecó</t>
  </si>
  <si>
    <t>04202</t>
  </si>
  <si>
    <t>Chapadão do Lageado</t>
  </si>
  <si>
    <t>04194</t>
  </si>
  <si>
    <t>Cerro Negro</t>
  </si>
  <si>
    <t>04178</t>
  </si>
  <si>
    <t>Celso Ramos</t>
  </si>
  <si>
    <t>04152</t>
  </si>
  <si>
    <t>Caxambu do Sul</t>
  </si>
  <si>
    <t>04103</t>
  </si>
  <si>
    <t>Catanduvas</t>
  </si>
  <si>
    <t>04004</t>
  </si>
  <si>
    <t>Capivari de Baixo</t>
  </si>
  <si>
    <t>03956</t>
  </si>
  <si>
    <t>Capinzal</t>
  </si>
  <si>
    <t>03907</t>
  </si>
  <si>
    <t>Canoinhas</t>
  </si>
  <si>
    <t>03808</t>
  </si>
  <si>
    <t>Canelinha</t>
  </si>
  <si>
    <t>03709</t>
  </si>
  <si>
    <t>Campos Novos</t>
  </si>
  <si>
    <t>03600</t>
  </si>
  <si>
    <t>Campo Erê</t>
  </si>
  <si>
    <t>03501</t>
  </si>
  <si>
    <t>Campo Belo do Sul</t>
  </si>
  <si>
    <t>03402</t>
  </si>
  <si>
    <t>Campo Alegre</t>
  </si>
  <si>
    <t>03303</t>
  </si>
  <si>
    <t>Capão Alto</t>
  </si>
  <si>
    <t>03253</t>
  </si>
  <si>
    <t>Camboriú</t>
  </si>
  <si>
    <t>03204</t>
  </si>
  <si>
    <t>Calmon</t>
  </si>
  <si>
    <t>03154</t>
  </si>
  <si>
    <t>Caibi</t>
  </si>
  <si>
    <t>03105</t>
  </si>
  <si>
    <t>Caçador</t>
  </si>
  <si>
    <t>03006</t>
  </si>
  <si>
    <t>Brusque</t>
  </si>
  <si>
    <t>02909</t>
  </si>
  <si>
    <t>Brunópolis</t>
  </si>
  <si>
    <t>02875</t>
  </si>
  <si>
    <t>Braço do Trombudo</t>
  </si>
  <si>
    <t>02859</t>
  </si>
  <si>
    <t>Braço do Norte</t>
  </si>
  <si>
    <t>02800</t>
  </si>
  <si>
    <t>Botuverá</t>
  </si>
  <si>
    <t>02701</t>
  </si>
  <si>
    <t>Bom Retiro</t>
  </si>
  <si>
    <t>02602</t>
  </si>
  <si>
    <t>Bom Jesus do Oeste</t>
  </si>
  <si>
    <t>02578</t>
  </si>
  <si>
    <t>02537</t>
  </si>
  <si>
    <t>Bom Jardim da Serra</t>
  </si>
  <si>
    <t>02503</t>
  </si>
  <si>
    <t>Bombinhas</t>
  </si>
  <si>
    <t>02453</t>
  </si>
  <si>
    <t>Bocaina do Sul</t>
  </si>
  <si>
    <t>02438</t>
  </si>
  <si>
    <t>Blumenau</t>
  </si>
  <si>
    <t>02404</t>
  </si>
  <si>
    <t>Biguaçu</t>
  </si>
  <si>
    <t>02305</t>
  </si>
  <si>
    <t>Benedito Novo</t>
  </si>
  <si>
    <t>02206</t>
  </si>
  <si>
    <t>Belmonte</t>
  </si>
  <si>
    <t>02156</t>
  </si>
  <si>
    <t>Bela Vista do Toldo</t>
  </si>
  <si>
    <t>02131</t>
  </si>
  <si>
    <t>Barra Velha</t>
  </si>
  <si>
    <t>02107</t>
  </si>
  <si>
    <t>Barra Bonita</t>
  </si>
  <si>
    <t>02099</t>
  </si>
  <si>
    <t>Bandeirante</t>
  </si>
  <si>
    <t>02081</t>
  </si>
  <si>
    <t>Balneário Gaivota</t>
  </si>
  <si>
    <t>02073</t>
  </si>
  <si>
    <t>Balneário Barra do Sul</t>
  </si>
  <si>
    <t>02057</t>
  </si>
  <si>
    <t>Balneário Camboriú</t>
  </si>
  <si>
    <t>02008</t>
  </si>
  <si>
    <t>Balneário Arroio do Silva</t>
  </si>
  <si>
    <t>01950</t>
  </si>
  <si>
    <t>Aurora</t>
  </si>
  <si>
    <t>01901</t>
  </si>
  <si>
    <t>Atalanta</t>
  </si>
  <si>
    <t>01802</t>
  </si>
  <si>
    <t>Ascurra</t>
  </si>
  <si>
    <t>01703</t>
  </si>
  <si>
    <t>Arvoredo</t>
  </si>
  <si>
    <t>01653</t>
  </si>
  <si>
    <t>Arroio Trinta</t>
  </si>
  <si>
    <t>01604</t>
  </si>
  <si>
    <t>Armazém</t>
  </si>
  <si>
    <t>01505</t>
  </si>
  <si>
    <t>Araranguá</t>
  </si>
  <si>
    <t>01406</t>
  </si>
  <si>
    <t>Araquari</t>
  </si>
  <si>
    <t>01307</t>
  </si>
  <si>
    <t>Arabutã</t>
  </si>
  <si>
    <t>01273</t>
  </si>
  <si>
    <t>Apiúna</t>
  </si>
  <si>
    <t>01257</t>
  </si>
  <si>
    <t>Antônio Carlos</t>
  </si>
  <si>
    <t>01208</t>
  </si>
  <si>
    <t>Anitápolis</t>
  </si>
  <si>
    <t>01109</t>
  </si>
  <si>
    <t>Anita Garibaldi</t>
  </si>
  <si>
    <t>01000</t>
  </si>
  <si>
    <t>Angelina</t>
  </si>
  <si>
    <t>00903</t>
  </si>
  <si>
    <t>Anchieta</t>
  </si>
  <si>
    <t>00804</t>
  </si>
  <si>
    <t>Alto Bela Vista</t>
  </si>
  <si>
    <t>00754</t>
  </si>
  <si>
    <t>Alfredo Wagner</t>
  </si>
  <si>
    <t>00705</t>
  </si>
  <si>
    <t>Águas Mornas</t>
  </si>
  <si>
    <t>00606</t>
  </si>
  <si>
    <t>Águas Frias</t>
  </si>
  <si>
    <t>00556</t>
  </si>
  <si>
    <t>Águas de Chapecó</t>
  </si>
  <si>
    <t>00507</t>
  </si>
  <si>
    <t>Água Doce</t>
  </si>
  <si>
    <t>00408</t>
  </si>
  <si>
    <t>Agronômica</t>
  </si>
  <si>
    <t>00309</t>
  </si>
  <si>
    <t>Agrolândia</t>
  </si>
  <si>
    <t>00200</t>
  </si>
  <si>
    <t>Abelardo Luz</t>
  </si>
  <si>
    <t>00101</t>
  </si>
  <si>
    <t>Abdon Batista</t>
  </si>
  <si>
    <t>00051</t>
  </si>
  <si>
    <t>Xambrê</t>
  </si>
  <si>
    <t>28807</t>
  </si>
  <si>
    <t>Vitorino</t>
  </si>
  <si>
    <t>28708</t>
  </si>
  <si>
    <t>Virmond</t>
  </si>
  <si>
    <t>28658</t>
  </si>
  <si>
    <t>Doutor Ulysses</t>
  </si>
  <si>
    <t>28633</t>
  </si>
  <si>
    <t>Alto Paraíso</t>
  </si>
  <si>
    <t>28625</t>
  </si>
  <si>
    <t>Verê</t>
  </si>
  <si>
    <t>28609</t>
  </si>
  <si>
    <t>Vera Cruz do Oeste</t>
  </si>
  <si>
    <t>28559</t>
  </si>
  <si>
    <t>Ventania</t>
  </si>
  <si>
    <t>28534</t>
  </si>
  <si>
    <t>Wenceslau Braz</t>
  </si>
  <si>
    <t>28500</t>
  </si>
  <si>
    <t>Uraí</t>
  </si>
  <si>
    <t>28401</t>
  </si>
  <si>
    <t>Uniflor</t>
  </si>
  <si>
    <t>28302</t>
  </si>
  <si>
    <t>União da Vitória</t>
  </si>
  <si>
    <t>28203</t>
  </si>
  <si>
    <t>Umuarama</t>
  </si>
  <si>
    <t>28104</t>
  </si>
  <si>
    <t>Ubiratã</t>
  </si>
  <si>
    <t>28005</t>
  </si>
  <si>
    <t>27965</t>
  </si>
  <si>
    <t>Tupãssi</t>
  </si>
  <si>
    <t>27957</t>
  </si>
  <si>
    <t>Tuneiras do Oeste</t>
  </si>
  <si>
    <t>27908</t>
  </si>
  <si>
    <t>Tunas do Paraná</t>
  </si>
  <si>
    <t>27882</t>
  </si>
  <si>
    <t>Três Barras do Paraná</t>
  </si>
  <si>
    <t>27858</t>
  </si>
  <si>
    <t>Tomazina</t>
  </si>
  <si>
    <t>27809</t>
  </si>
  <si>
    <t>Toledo</t>
  </si>
  <si>
    <t>27700</t>
  </si>
  <si>
    <t>Tijucas do Sul</t>
  </si>
  <si>
    <t>27601</t>
  </si>
  <si>
    <t>Tibagi</t>
  </si>
  <si>
    <t>27502</t>
  </si>
  <si>
    <t>Terra Roxa</t>
  </si>
  <si>
    <t>27403</t>
  </si>
  <si>
    <t>Terra Rica</t>
  </si>
  <si>
    <t>27304</t>
  </si>
  <si>
    <t>Terra Boa</t>
  </si>
  <si>
    <t>27205</t>
  </si>
  <si>
    <t>Telêmaco Borba</t>
  </si>
  <si>
    <t>27106</t>
  </si>
  <si>
    <t>Teixeira Soares</t>
  </si>
  <si>
    <t>27007</t>
  </si>
  <si>
    <t>Tapira</t>
  </si>
  <si>
    <t>26900</t>
  </si>
  <si>
    <t>26801</t>
  </si>
  <si>
    <t>Tamboara</t>
  </si>
  <si>
    <t>26702</t>
  </si>
  <si>
    <t>Tamarana</t>
  </si>
  <si>
    <t>26678</t>
  </si>
  <si>
    <t>Sulina</t>
  </si>
  <si>
    <t>26652</t>
  </si>
  <si>
    <t>Siqueira Campos</t>
  </si>
  <si>
    <t>26603</t>
  </si>
  <si>
    <t>Sertanópolis</t>
  </si>
  <si>
    <t>26504</t>
  </si>
  <si>
    <t>Sertaneja</t>
  </si>
  <si>
    <t>26405</t>
  </si>
  <si>
    <t>Serranópolis do Iguaçu</t>
  </si>
  <si>
    <t>26355</t>
  </si>
  <si>
    <t>Sengés</t>
  </si>
  <si>
    <t>26306</t>
  </si>
  <si>
    <t>Saudade do Iguaçu</t>
  </si>
  <si>
    <t>26272</t>
  </si>
  <si>
    <t>26256</t>
  </si>
  <si>
    <t>Sapopema</t>
  </si>
  <si>
    <t>26207</t>
  </si>
  <si>
    <t>São Tomé</t>
  </si>
  <si>
    <t>26108</t>
  </si>
  <si>
    <t>São Sebastião da Amoreira</t>
  </si>
  <si>
    <t>26009</t>
  </si>
  <si>
    <t>São Pedro do Paraná</t>
  </si>
  <si>
    <t>25902</t>
  </si>
  <si>
    <t>São Pedro do Ivaí</t>
  </si>
  <si>
    <t>25803</t>
  </si>
  <si>
    <t>São Pedro do Iguaçu</t>
  </si>
  <si>
    <t>25753</t>
  </si>
  <si>
    <t>São Miguel do Iguaçu</t>
  </si>
  <si>
    <t>25704</t>
  </si>
  <si>
    <t>São Mateus do Sul</t>
  </si>
  <si>
    <t>25605</t>
  </si>
  <si>
    <t>São Manoel do Paraná</t>
  </si>
  <si>
    <t>25555</t>
  </si>
  <si>
    <t>São José dos Pinhais</t>
  </si>
  <si>
    <t>25506</t>
  </si>
  <si>
    <t>São José das Palmeiras</t>
  </si>
  <si>
    <t>25456</t>
  </si>
  <si>
    <t>São José da Boa Vista</t>
  </si>
  <si>
    <t>25407</t>
  </si>
  <si>
    <t>São Jorge do Patrocínio</t>
  </si>
  <si>
    <t>25357</t>
  </si>
  <si>
    <t>São Jorge do Ivaí</t>
  </si>
  <si>
    <t>25308</t>
  </si>
  <si>
    <t>São Jorge d'Oeste</t>
  </si>
  <si>
    <t>25209</t>
  </si>
  <si>
    <t>São João do Triunfo</t>
  </si>
  <si>
    <t>25100</t>
  </si>
  <si>
    <t>São João do Ivaí</t>
  </si>
  <si>
    <t>25001</t>
  </si>
  <si>
    <t>São João do Caiuá</t>
  </si>
  <si>
    <t>24905</t>
  </si>
  <si>
    <t>São João</t>
  </si>
  <si>
    <t>24806</t>
  </si>
  <si>
    <t>São Jerônimo da Serra</t>
  </si>
  <si>
    <t>24707</t>
  </si>
  <si>
    <t>São Carlos do Ivaí</t>
  </si>
  <si>
    <t>24608</t>
  </si>
  <si>
    <t>Santo Inácio</t>
  </si>
  <si>
    <t>24509</t>
  </si>
  <si>
    <t>Santo Antônio do Sudoeste</t>
  </si>
  <si>
    <t>24400</t>
  </si>
  <si>
    <t>Santo Antônio do Paraíso</t>
  </si>
  <si>
    <t>24301</t>
  </si>
  <si>
    <t>Santo Antônio do Caiuá</t>
  </si>
  <si>
    <t>24202</t>
  </si>
  <si>
    <t>Santo Antônio da Platina</t>
  </si>
  <si>
    <t>24103</t>
  </si>
  <si>
    <t>Santa Terezinha de Itaipu</t>
  </si>
  <si>
    <t>24053</t>
  </si>
  <si>
    <r>
      <t>10139</t>
    </r>
    <r>
      <rPr>
        <b/>
        <vertAlign val="superscript"/>
        <sz val="11"/>
        <rFont val="Arial"/>
        <family val="2"/>
      </rPr>
      <t xml:space="preserve"> (18)</t>
    </r>
  </si>
  <si>
    <t>Santa Tereza do Oeste</t>
  </si>
  <si>
    <t>24020</t>
  </si>
  <si>
    <t>Santana do Itararé</t>
  </si>
  <si>
    <t>24004</t>
  </si>
  <si>
    <t>Santa Mônica</t>
  </si>
  <si>
    <t>23956</t>
  </si>
  <si>
    <t>Santa Mariana</t>
  </si>
  <si>
    <t>23907</t>
  </si>
  <si>
    <t>Santa Maria do Oeste</t>
  </si>
  <si>
    <t>23857</t>
  </si>
  <si>
    <t>Santa Lúcia</t>
  </si>
  <si>
    <t>23824</t>
  </si>
  <si>
    <t>Santa Izabel do Oeste</t>
  </si>
  <si>
    <t>23808</t>
  </si>
  <si>
    <t>Santa Isabel do Ivaí</t>
  </si>
  <si>
    <t>23709</t>
  </si>
  <si>
    <t>Santa Inês</t>
  </si>
  <si>
    <t>23600</t>
  </si>
  <si>
    <t>23501</t>
  </si>
  <si>
    <t>Santa Fé</t>
  </si>
  <si>
    <t>23402</t>
  </si>
  <si>
    <t>Santa Cruz de Monte Castelo</t>
  </si>
  <si>
    <t>23303</t>
  </si>
  <si>
    <t>Santa Cecília do Pavão</t>
  </si>
  <si>
    <t>23204</t>
  </si>
  <si>
    <t>Santa Amélia</t>
  </si>
  <si>
    <t>23105</t>
  </si>
  <si>
    <t>Salto do Lontra</t>
  </si>
  <si>
    <t>23006</t>
  </si>
  <si>
    <t>Salto do Itararé</t>
  </si>
  <si>
    <t>22909</t>
  </si>
  <si>
    <t>Salgado Filho</t>
  </si>
  <si>
    <t>22800</t>
  </si>
  <si>
    <t>Sabáudia</t>
  </si>
  <si>
    <t>22701</t>
  </si>
  <si>
    <t>Rosário do Ivaí</t>
  </si>
  <si>
    <t>22651</t>
  </si>
  <si>
    <t>Rondon</t>
  </si>
  <si>
    <t>22602</t>
  </si>
  <si>
    <t>Roncador</t>
  </si>
  <si>
    <t>22503</t>
  </si>
  <si>
    <t>Rolândia</t>
  </si>
  <si>
    <t>22404</t>
  </si>
  <si>
    <t>22305</t>
  </si>
  <si>
    <t>Rio Branco do Sul</t>
  </si>
  <si>
    <t>22206</t>
  </si>
  <si>
    <t>Rio Branco do Ivaí</t>
  </si>
  <si>
    <t>22172</t>
  </si>
  <si>
    <t>Rio Bonito do Iguaçu</t>
  </si>
  <si>
    <t>22156</t>
  </si>
  <si>
    <t>Rio Bom</t>
  </si>
  <si>
    <t>22107</t>
  </si>
  <si>
    <t>Rio Azul</t>
  </si>
  <si>
    <t>22008</t>
  </si>
  <si>
    <t>Ribeirão do Pinhal</t>
  </si>
  <si>
    <t>21901</t>
  </si>
  <si>
    <t>Ribeirão Claro</t>
  </si>
  <si>
    <t>21802</t>
  </si>
  <si>
    <t>Reserva do Iguaçu</t>
  </si>
  <si>
    <t>21752</t>
  </si>
  <si>
    <t>Reserva</t>
  </si>
  <si>
    <t>21703</t>
  </si>
  <si>
    <t>Renascença</t>
  </si>
  <si>
    <t>21604</t>
  </si>
  <si>
    <t>Rebouças</t>
  </si>
  <si>
    <t>21505</t>
  </si>
  <si>
    <t>Realeza</t>
  </si>
  <si>
    <t>21406</t>
  </si>
  <si>
    <t>Rancho Alegre D'Oeste</t>
  </si>
  <si>
    <t>21356</t>
  </si>
  <si>
    <t>Rancho Alegre</t>
  </si>
  <si>
    <t>21307</t>
  </si>
  <si>
    <t>Ramilândia</t>
  </si>
  <si>
    <t>21257</t>
  </si>
  <si>
    <t>Quitandinha</t>
  </si>
  <si>
    <t>21208</t>
  </si>
  <si>
    <t>Quinta do Sol</t>
  </si>
  <si>
    <t>21109</t>
  </si>
  <si>
    <t>Querência do Norte</t>
  </si>
  <si>
    <t>21000</t>
  </si>
  <si>
    <t>Quedas do Iguaçu</t>
  </si>
  <si>
    <t>20903</t>
  </si>
  <si>
    <t>Quatro Pontes</t>
  </si>
  <si>
    <t>20853</t>
  </si>
  <si>
    <t>Quatro Barras</t>
  </si>
  <si>
    <t>20804</t>
  </si>
  <si>
    <t>Quatiguá</t>
  </si>
  <si>
    <t>20705</t>
  </si>
  <si>
    <t>Quarto Centenário</t>
  </si>
  <si>
    <t>20655</t>
  </si>
  <si>
    <t>Prudentópolis</t>
  </si>
  <si>
    <t>20606</t>
  </si>
  <si>
    <t>Primeiro de Maio</t>
  </si>
  <si>
    <t>20507</t>
  </si>
  <si>
    <t>Presidente Castelo Branco</t>
  </si>
  <si>
    <t>20408</t>
  </si>
  <si>
    <t>Pranchita</t>
  </si>
  <si>
    <t>20358</t>
  </si>
  <si>
    <t>Prado Ferreira</t>
  </si>
  <si>
    <t>20333</t>
  </si>
  <si>
    <t>Porto Vitória</t>
  </si>
  <si>
    <t>20309</t>
  </si>
  <si>
    <t>Porto Rico</t>
  </si>
  <si>
    <t>20200</t>
  </si>
  <si>
    <t>Porto Barreiro</t>
  </si>
  <si>
    <t>20150</t>
  </si>
  <si>
    <t>Porto Amazonas</t>
  </si>
  <si>
    <t>20101</t>
  </si>
  <si>
    <t>Porecatu</t>
  </si>
  <si>
    <t>20002</t>
  </si>
  <si>
    <t>Pontal do Paraná</t>
  </si>
  <si>
    <t>19954</t>
  </si>
  <si>
    <t>Ponta Grossa</t>
  </si>
  <si>
    <t>19905</t>
  </si>
  <si>
    <t>19806</t>
  </si>
  <si>
    <t>Planaltina do Paraná</t>
  </si>
  <si>
    <t>19707</t>
  </si>
  <si>
    <t>Pitangueiras</t>
  </si>
  <si>
    <t>19657</t>
  </si>
  <si>
    <t>Pitanga</t>
  </si>
  <si>
    <t>19608</t>
  </si>
  <si>
    <t>Piraquara</t>
  </si>
  <si>
    <t>19509</t>
  </si>
  <si>
    <t>Piraí do Sul</t>
  </si>
  <si>
    <t>19400</t>
  </si>
  <si>
    <t>Pinhão</t>
  </si>
  <si>
    <t>19301</t>
  </si>
  <si>
    <t>Pinhal de São Bento</t>
  </si>
  <si>
    <t>19251</t>
  </si>
  <si>
    <t>Pinhalão</t>
  </si>
  <si>
    <t>19202</t>
  </si>
  <si>
    <t>Pinhais</t>
  </si>
  <si>
    <t>19152</t>
  </si>
  <si>
    <t>Piên</t>
  </si>
  <si>
    <t>19103</t>
  </si>
  <si>
    <t>Pérola d'Oeste</t>
  </si>
  <si>
    <t>19004</t>
  </si>
  <si>
    <t>Pérola</t>
  </si>
  <si>
    <t>18907</t>
  </si>
  <si>
    <t>Perobal</t>
  </si>
  <si>
    <t>18857</t>
  </si>
  <si>
    <t>Peabiru</t>
  </si>
  <si>
    <t>18808</t>
  </si>
  <si>
    <t>Paulo Frontin</t>
  </si>
  <si>
    <t>18709</t>
  </si>
  <si>
    <t>Paula Freitas</t>
  </si>
  <si>
    <t>18600</t>
  </si>
  <si>
    <t>Pato Branco</t>
  </si>
  <si>
    <t>18501</t>
  </si>
  <si>
    <t>Pato Bragado</t>
  </si>
  <si>
    <t>18451</t>
  </si>
  <si>
    <t>Paranavaí</t>
  </si>
  <si>
    <t>18402</t>
  </si>
  <si>
    <t>Paranapoema</t>
  </si>
  <si>
    <t>18303</t>
  </si>
  <si>
    <t>Paranaguá</t>
  </si>
  <si>
    <t>18204</t>
  </si>
  <si>
    <t>Paranacity</t>
  </si>
  <si>
    <t>18105</t>
  </si>
  <si>
    <t>Paraíso do Norte</t>
  </si>
  <si>
    <t>18006</t>
  </si>
  <si>
    <t>Palotina</t>
  </si>
  <si>
    <t>17909</t>
  </si>
  <si>
    <t>Palmital</t>
  </si>
  <si>
    <t>17800</t>
  </si>
  <si>
    <t>17701</t>
  </si>
  <si>
    <t>Palmas</t>
  </si>
  <si>
    <t>17602</t>
  </si>
  <si>
    <t>Paiçandu</t>
  </si>
  <si>
    <t>17503</t>
  </si>
  <si>
    <t>Ouro Verde do Oeste</t>
  </si>
  <si>
    <t>17453</t>
  </si>
  <si>
    <t>Ourizona</t>
  </si>
  <si>
    <t>17404</t>
  </si>
  <si>
    <t>Ortigueira</t>
  </si>
  <si>
    <t>17305</t>
  </si>
  <si>
    <t>Novo Itacolomi</t>
  </si>
  <si>
    <t>17297</t>
  </si>
  <si>
    <t>Nova Tebas</t>
  </si>
  <si>
    <t>17271</t>
  </si>
  <si>
    <t>Nova Prata do Iguaçu</t>
  </si>
  <si>
    <t>17255</t>
  </si>
  <si>
    <t>Nova Santa Rosa</t>
  </si>
  <si>
    <t>17222</t>
  </si>
  <si>
    <t>Nova Santa Bárbara</t>
  </si>
  <si>
    <t>17214</t>
  </si>
  <si>
    <t>17206</t>
  </si>
  <si>
    <t>Nova Londrina</t>
  </si>
  <si>
    <t>17107</t>
  </si>
  <si>
    <t>Nova Laranjeiras</t>
  </si>
  <si>
    <t>17057</t>
  </si>
  <si>
    <t>Nova Fátima</t>
  </si>
  <si>
    <t>17008</t>
  </si>
  <si>
    <t>Nova Esperança do Sudoeste</t>
  </si>
  <si>
    <t>16950</t>
  </si>
  <si>
    <t>Nova Esperança</t>
  </si>
  <si>
    <t>16901</t>
  </si>
  <si>
    <t>Nova Cantu</t>
  </si>
  <si>
    <t>16802</t>
  </si>
  <si>
    <t>16703</t>
  </si>
  <si>
    <t>Nova América da Colina</t>
  </si>
  <si>
    <t>16604</t>
  </si>
  <si>
    <t>Nova Aliança do Ivaí</t>
  </si>
  <si>
    <t>16505</t>
  </si>
  <si>
    <t>Nossa Senhora das Graças</t>
  </si>
  <si>
    <t>16406</t>
  </si>
  <si>
    <t>Munhoz de Melo</t>
  </si>
  <si>
    <t>16307</t>
  </si>
  <si>
    <t>Morretes</t>
  </si>
  <si>
    <t>16208</t>
  </si>
  <si>
    <t>Moreira Sales</t>
  </si>
  <si>
    <t>16109</t>
  </si>
  <si>
    <t>Missal</t>
  </si>
  <si>
    <t>16059</t>
  </si>
  <si>
    <t>Miraselva</t>
  </si>
  <si>
    <t>16000</t>
  </si>
  <si>
    <t>Mirador</t>
  </si>
  <si>
    <t>15903</t>
  </si>
  <si>
    <t>Mercedes</t>
  </si>
  <si>
    <t>15853</t>
  </si>
  <si>
    <t>Medianeira</t>
  </si>
  <si>
    <t>15804</t>
  </si>
  <si>
    <t>Mauá da Serra</t>
  </si>
  <si>
    <t>15754</t>
  </si>
  <si>
    <t>Mato Rico</t>
  </si>
  <si>
    <t>15739</t>
  </si>
  <si>
    <t>Matinhos</t>
  </si>
  <si>
    <t>15705</t>
  </si>
  <si>
    <t>Matelândia</t>
  </si>
  <si>
    <t>15606</t>
  </si>
  <si>
    <t>Marumbi</t>
  </si>
  <si>
    <t>15507</t>
  </si>
  <si>
    <t>Marquinho</t>
  </si>
  <si>
    <t>15457</t>
  </si>
  <si>
    <t>Marmeleiro</t>
  </si>
  <si>
    <t>15408</t>
  </si>
  <si>
    <t>Maripá</t>
  </si>
  <si>
    <t>15358</t>
  </si>
  <si>
    <t>Mariópolis</t>
  </si>
  <si>
    <t>15309</t>
  </si>
  <si>
    <t>Maringá</t>
  </si>
  <si>
    <t>15200</t>
  </si>
  <si>
    <t>Mariluz</t>
  </si>
  <si>
    <t>15101</t>
  </si>
  <si>
    <t>Marilena</t>
  </si>
  <si>
    <t>15002</t>
  </si>
  <si>
    <t>Marilândia do Sul</t>
  </si>
  <si>
    <t>14906</t>
  </si>
  <si>
    <t>Marialva</t>
  </si>
  <si>
    <t>14807</t>
  </si>
  <si>
    <t>Maria Helena</t>
  </si>
  <si>
    <t>14708</t>
  </si>
  <si>
    <t>Marechal Cândido Rondon</t>
  </si>
  <si>
    <t>14609</t>
  </si>
  <si>
    <t>Manoel Ribas</t>
  </si>
  <si>
    <t>14500</t>
  </si>
  <si>
    <t>Mangueirinha</t>
  </si>
  <si>
    <t>14401</t>
  </si>
  <si>
    <t>Manfrinópolis</t>
  </si>
  <si>
    <t>14351</t>
  </si>
  <si>
    <t>Mandirituba</t>
  </si>
  <si>
    <t>14302</t>
  </si>
  <si>
    <t>Mandaguari</t>
  </si>
  <si>
    <t>14203</t>
  </si>
  <si>
    <t>Mandaguaçu</t>
  </si>
  <si>
    <t>14104</t>
  </si>
  <si>
    <t>Mamborê</t>
  </si>
  <si>
    <t>14005</t>
  </si>
  <si>
    <t>Mallet</t>
  </si>
  <si>
    <t>13908</t>
  </si>
  <si>
    <t>Lupionópolis</t>
  </si>
  <si>
    <t>13809</t>
  </si>
  <si>
    <t>Lunardelli</t>
  </si>
  <si>
    <t>13759</t>
  </si>
  <si>
    <t>Luiziana</t>
  </si>
  <si>
    <t>13734</t>
  </si>
  <si>
    <t>Londrina</t>
  </si>
  <si>
    <t>13700</t>
  </si>
  <si>
    <t>Lobato</t>
  </si>
  <si>
    <t>13601</t>
  </si>
  <si>
    <t>Loanda</t>
  </si>
  <si>
    <t>13502</t>
  </si>
  <si>
    <t>Lindoeste</t>
  </si>
  <si>
    <t>13452</t>
  </si>
  <si>
    <t>Lidianópolis</t>
  </si>
  <si>
    <t>13429</t>
  </si>
  <si>
    <t>Leópolis</t>
  </si>
  <si>
    <t>13403</t>
  </si>
  <si>
    <t>Laranjeiras do Sul</t>
  </si>
  <si>
    <t>13304</t>
  </si>
  <si>
    <t>Laranjal</t>
  </si>
  <si>
    <t>13254</t>
  </si>
  <si>
    <t>Lapa</t>
  </si>
  <si>
    <t>13205</t>
  </si>
  <si>
    <t>Kaloré</t>
  </si>
  <si>
    <t>13106</t>
  </si>
  <si>
    <t>13007</t>
  </si>
  <si>
    <t>Juranda</t>
  </si>
  <si>
    <t>12959</t>
  </si>
  <si>
    <t>Jundiaí do Sul</t>
  </si>
  <si>
    <t>12900</t>
  </si>
  <si>
    <t>Joaquim Távora</t>
  </si>
  <si>
    <t>12801</t>
  </si>
  <si>
    <t>Jesuítas</t>
  </si>
  <si>
    <t>12751</t>
  </si>
  <si>
    <t>Jataizinho</t>
  </si>
  <si>
    <t>12702</t>
  </si>
  <si>
    <t>Jardim Olinda</t>
  </si>
  <si>
    <t>12603</t>
  </si>
  <si>
    <t>Jardim Alegre</t>
  </si>
  <si>
    <t>12504</t>
  </si>
  <si>
    <t>Japurá</t>
  </si>
  <si>
    <t>12405</t>
  </si>
  <si>
    <t>Japira</t>
  </si>
  <si>
    <t>12306</t>
  </si>
  <si>
    <t>Janiópolis</t>
  </si>
  <si>
    <t>12207</t>
  </si>
  <si>
    <t>Jandaia do Sul</t>
  </si>
  <si>
    <t>12108</t>
  </si>
  <si>
    <t>Jaguariaíva</t>
  </si>
  <si>
    <t>12009</t>
  </si>
  <si>
    <t>Jaguapitã</t>
  </si>
  <si>
    <t>11902</t>
  </si>
  <si>
    <t>Jacarezinho</t>
  </si>
  <si>
    <t>11803</t>
  </si>
  <si>
    <t>Jaboti</t>
  </si>
  <si>
    <t>11704</t>
  </si>
  <si>
    <t>Ivatuba</t>
  </si>
  <si>
    <t>11605</t>
  </si>
  <si>
    <t>Ivaté</t>
  </si>
  <si>
    <t>11555</t>
  </si>
  <si>
    <t>Ivaiporã</t>
  </si>
  <si>
    <t>11506</t>
  </si>
  <si>
    <t>Ivaí</t>
  </si>
  <si>
    <t>11407</t>
  </si>
  <si>
    <t>Itaúna do Sul</t>
  </si>
  <si>
    <t>11308</t>
  </si>
  <si>
    <t>Itaperuçu</t>
  </si>
  <si>
    <t>11258</t>
  </si>
  <si>
    <t>Itapejara d'Oeste</t>
  </si>
  <si>
    <t>11209</t>
  </si>
  <si>
    <t>Itambé</t>
  </si>
  <si>
    <t>11100</t>
  </si>
  <si>
    <t>Itambaracá</t>
  </si>
  <si>
    <t>11001</t>
  </si>
  <si>
    <t>Itaipulândia</t>
  </si>
  <si>
    <t>10953</t>
  </si>
  <si>
    <t>Itaguajé</t>
  </si>
  <si>
    <t>10904</t>
  </si>
  <si>
    <t>Iretama</t>
  </si>
  <si>
    <t>10805</t>
  </si>
  <si>
    <t>10706</t>
  </si>
  <si>
    <t>Iracema do Oeste</t>
  </si>
  <si>
    <t>10656</t>
  </si>
  <si>
    <t>Iporã</t>
  </si>
  <si>
    <t>10607</t>
  </si>
  <si>
    <t>Ipiranga</t>
  </si>
  <si>
    <t>10508</t>
  </si>
  <si>
    <t>Indianópolis</t>
  </si>
  <si>
    <t>10409</t>
  </si>
  <si>
    <t>Inajá</t>
  </si>
  <si>
    <t>10300</t>
  </si>
  <si>
    <t>Inácio Martins</t>
  </si>
  <si>
    <t>10201</t>
  </si>
  <si>
    <t>Imbituva</t>
  </si>
  <si>
    <t>10102</t>
  </si>
  <si>
    <t>Imbaú</t>
  </si>
  <si>
    <t>10078</t>
  </si>
  <si>
    <t>Iguatu</t>
  </si>
  <si>
    <t>10052</t>
  </si>
  <si>
    <t>Iguaraçu</t>
  </si>
  <si>
    <t>10003</t>
  </si>
  <si>
    <t>Icaraíma</t>
  </si>
  <si>
    <t>09906</t>
  </si>
  <si>
    <t>Ibiporã</t>
  </si>
  <si>
    <t>09807</t>
  </si>
  <si>
    <t>Ibema</t>
  </si>
  <si>
    <t>09757</t>
  </si>
  <si>
    <t>Ibaiti</t>
  </si>
  <si>
    <t>09708</t>
  </si>
  <si>
    <t>Honório Serpa</t>
  </si>
  <si>
    <t>09658</t>
  </si>
  <si>
    <t>Guaratuba</t>
  </si>
  <si>
    <t>09609</t>
  </si>
  <si>
    <t>Guaraqueçaba</t>
  </si>
  <si>
    <t>09500</t>
  </si>
  <si>
    <t>Guarapuava</t>
  </si>
  <si>
    <t>09401</t>
  </si>
  <si>
    <t>Guaraniaçu</t>
  </si>
  <si>
    <t>09302</t>
  </si>
  <si>
    <t>Guaraci</t>
  </si>
  <si>
    <t>09203</t>
  </si>
  <si>
    <t>Guaporema</t>
  </si>
  <si>
    <t>09104</t>
  </si>
  <si>
    <t>Guapirama</t>
  </si>
  <si>
    <t>09005</t>
  </si>
  <si>
    <t>Guamiranga</t>
  </si>
  <si>
    <t>08957</t>
  </si>
  <si>
    <t>Guairaçá</t>
  </si>
  <si>
    <t>08908</t>
  </si>
  <si>
    <t>Guaíra</t>
  </si>
  <si>
    <t>08809</t>
  </si>
  <si>
    <t>Grandes Rios</t>
  </si>
  <si>
    <t>08700</t>
  </si>
  <si>
    <t>Goioxim</t>
  </si>
  <si>
    <t>08650</t>
  </si>
  <si>
    <t>Goioerê</t>
  </si>
  <si>
    <t>08601</t>
  </si>
  <si>
    <t>Godoy Moreira</t>
  </si>
  <si>
    <t>08551</t>
  </si>
  <si>
    <t>08502</t>
  </si>
  <si>
    <t>Foz do Jordão</t>
  </si>
  <si>
    <t>08452</t>
  </si>
  <si>
    <t>Francisco Beltrão</t>
  </si>
  <si>
    <t>08403</t>
  </si>
  <si>
    <t>Francisco Alves</t>
  </si>
  <si>
    <t>08320</t>
  </si>
  <si>
    <t>Foz do Iguaçu</t>
  </si>
  <si>
    <t>08304</t>
  </si>
  <si>
    <t>Formosa do Oeste</t>
  </si>
  <si>
    <t>08205</t>
  </si>
  <si>
    <t>Flórida</t>
  </si>
  <si>
    <t>08106</t>
  </si>
  <si>
    <t>Florestópolis</t>
  </si>
  <si>
    <t>08007</t>
  </si>
  <si>
    <t>Floresta</t>
  </si>
  <si>
    <t>07900</t>
  </si>
  <si>
    <t>Flor da Serra do Sul</t>
  </si>
  <si>
    <t>07850</t>
  </si>
  <si>
    <t>Floraí</t>
  </si>
  <si>
    <t>07801</t>
  </si>
  <si>
    <t>Figueira</t>
  </si>
  <si>
    <t>07751</t>
  </si>
  <si>
    <t>Fernandes Pinheiro</t>
  </si>
  <si>
    <t>07736</t>
  </si>
  <si>
    <t>Fênix</t>
  </si>
  <si>
    <t>07702</t>
  </si>
  <si>
    <t>Fazenda Rio Grande</t>
  </si>
  <si>
    <t>07652</t>
  </si>
  <si>
    <t>Faxinal</t>
  </si>
  <si>
    <t>07603</t>
  </si>
  <si>
    <t>Farol</t>
  </si>
  <si>
    <t>07553</t>
  </si>
  <si>
    <t>Espigão Alto do Iguaçu</t>
  </si>
  <si>
    <t>07546</t>
  </si>
  <si>
    <t>Entre Rios do Oeste</t>
  </si>
  <si>
    <t>07538</t>
  </si>
  <si>
    <t>Esperança Nova</t>
  </si>
  <si>
    <t>07520</t>
  </si>
  <si>
    <t>Engenheiro Beltrão</t>
  </si>
  <si>
    <t>07504</t>
  </si>
  <si>
    <t>Enéas Marques</t>
  </si>
  <si>
    <t>07405</t>
  </si>
  <si>
    <t>Doutor Camargo</t>
  </si>
  <si>
    <t>07306</t>
  </si>
  <si>
    <t>07256</t>
  </si>
  <si>
    <t>Dois Vizinhos</t>
  </si>
  <si>
    <t>07207</t>
  </si>
  <si>
    <t>Diamante D'Oeste</t>
  </si>
  <si>
    <t>07157</t>
  </si>
  <si>
    <t>Diamante do Sul</t>
  </si>
  <si>
    <t>07124</t>
  </si>
  <si>
    <t>Diamante do Norte</t>
  </si>
  <si>
    <t>07108</t>
  </si>
  <si>
    <t>Curiúva</t>
  </si>
  <si>
    <t>07009</t>
  </si>
  <si>
    <t>Curitiba</t>
  </si>
  <si>
    <t>06902</t>
  </si>
  <si>
    <t>Cruzmaltina</t>
  </si>
  <si>
    <t>06852</t>
  </si>
  <si>
    <t>Cruz Machado</t>
  </si>
  <si>
    <t>06803</t>
  </si>
  <si>
    <t>06704</t>
  </si>
  <si>
    <t>Cruzeiro do Oeste</t>
  </si>
  <si>
    <t>06605</t>
  </si>
  <si>
    <t>Cruzeiro do Iguaçu</t>
  </si>
  <si>
    <t>06571</t>
  </si>
  <si>
    <t>Corumbataí do Sul</t>
  </si>
  <si>
    <t>06555</t>
  </si>
  <si>
    <t>Coronel Vivida</t>
  </si>
  <si>
    <t>06506</t>
  </si>
  <si>
    <t>Coronel Domingos Soares</t>
  </si>
  <si>
    <t>06456</t>
  </si>
  <si>
    <t>Cornélio Procópio</t>
  </si>
  <si>
    <t>06407</t>
  </si>
  <si>
    <t>Corbélia</t>
  </si>
  <si>
    <t>06308</t>
  </si>
  <si>
    <t>Contenda</t>
  </si>
  <si>
    <t>06209</t>
  </si>
  <si>
    <t>Conselheiro Mairinck</t>
  </si>
  <si>
    <t>06100</t>
  </si>
  <si>
    <t>Congonhinhas</t>
  </si>
  <si>
    <t>06001</t>
  </si>
  <si>
    <t>05904</t>
  </si>
  <si>
    <t>Colombo</t>
  </si>
  <si>
    <t>05805</t>
  </si>
  <si>
    <t>Clevelândia</t>
  </si>
  <si>
    <t>05706</t>
  </si>
  <si>
    <t>Cidade Gaúcha</t>
  </si>
  <si>
    <t>05607</t>
  </si>
  <si>
    <t>Cianorte</t>
  </si>
  <si>
    <t>05508</t>
  </si>
  <si>
    <t>Chopinzinho</t>
  </si>
  <si>
    <t>05409</t>
  </si>
  <si>
    <t>Céu Azul</t>
  </si>
  <si>
    <t>05300</t>
  </si>
  <si>
    <t>Cerro Azul</t>
  </si>
  <si>
    <t>05201</t>
  </si>
  <si>
    <t>Centenário do Sul</t>
  </si>
  <si>
    <t>05102</t>
  </si>
  <si>
    <t>05003</t>
  </si>
  <si>
    <t>Castro</t>
  </si>
  <si>
    <t>04907</t>
  </si>
  <si>
    <t>Cascavel</t>
  </si>
  <si>
    <t>04808</t>
  </si>
  <si>
    <t>Carlópolis</t>
  </si>
  <si>
    <t>04709</t>
  </si>
  <si>
    <t>Carambeí</t>
  </si>
  <si>
    <t>04659</t>
  </si>
  <si>
    <t>Capitão Leônidas Marques</t>
  </si>
  <si>
    <t>04600</t>
  </si>
  <si>
    <t>Capanema</t>
  </si>
  <si>
    <t>04501</t>
  </si>
  <si>
    <t>Cantagalo</t>
  </si>
  <si>
    <t>04451</t>
  </si>
  <si>
    <t>Candói</t>
  </si>
  <si>
    <t>04428</t>
  </si>
  <si>
    <t>Cândido de Abreu</t>
  </si>
  <si>
    <t>04402</t>
  </si>
  <si>
    <t>Campo Mourão</t>
  </si>
  <si>
    <t>04303</t>
  </si>
  <si>
    <t>Campo Magro</t>
  </si>
  <si>
    <t>04253</t>
  </si>
  <si>
    <t>Campo Largo</t>
  </si>
  <si>
    <t>04204</t>
  </si>
  <si>
    <t>Campo do Tenente</t>
  </si>
  <si>
    <t>04105</t>
  </si>
  <si>
    <t>Campo Bonito</t>
  </si>
  <si>
    <t>04055</t>
  </si>
  <si>
    <t>Campina Grande do Sul</t>
  </si>
  <si>
    <t>04006</t>
  </si>
  <si>
    <t>Campina do Simão</t>
  </si>
  <si>
    <t>03958</t>
  </si>
  <si>
    <t>Campina da Lagoa</t>
  </si>
  <si>
    <t>03909</t>
  </si>
  <si>
    <t>Cambira</t>
  </si>
  <si>
    <t>03800</t>
  </si>
  <si>
    <t>Cambé</t>
  </si>
  <si>
    <t>03701</t>
  </si>
  <si>
    <t>Cambará</t>
  </si>
  <si>
    <t>03602</t>
  </si>
  <si>
    <t>Califórnia</t>
  </si>
  <si>
    <t>03503</t>
  </si>
  <si>
    <t>Cafezal do Sul</t>
  </si>
  <si>
    <t>03479</t>
  </si>
  <si>
    <t>Cafelândia</t>
  </si>
  <si>
    <t>03453</t>
  </si>
  <si>
    <t>Cafeara</t>
  </si>
  <si>
    <t>03404</t>
  </si>
  <si>
    <t>Brasilândia do Sul</t>
  </si>
  <si>
    <t>03370</t>
  </si>
  <si>
    <t>Braganey</t>
  </si>
  <si>
    <t>03354</t>
  </si>
  <si>
    <t>Borrazópolis</t>
  </si>
  <si>
    <t>03305</t>
  </si>
  <si>
    <t>Bom Sucesso do Sul</t>
  </si>
  <si>
    <t>03222</t>
  </si>
  <si>
    <t>Bom Sucesso</t>
  </si>
  <si>
    <t>03206</t>
  </si>
  <si>
    <t>Bom Jesus do Sul</t>
  </si>
  <si>
    <t>03156</t>
  </si>
  <si>
    <t>Bocaiúva do Sul</t>
  </si>
  <si>
    <t>03107</t>
  </si>
  <si>
    <t>Boa Vista da Aparecida</t>
  </si>
  <si>
    <t>03057</t>
  </si>
  <si>
    <t>Boa Ventura de São Roque</t>
  </si>
  <si>
    <t>03040</t>
  </si>
  <si>
    <t>Boa Esperança do Iguaçu</t>
  </si>
  <si>
    <t>03024</t>
  </si>
  <si>
    <t>Boa Esperança</t>
  </si>
  <si>
    <t>03008</t>
  </si>
  <si>
    <t>Bituruna</t>
  </si>
  <si>
    <t>02901</t>
  </si>
  <si>
    <t>Bela Vista do Paraíso</t>
  </si>
  <si>
    <t>02802</t>
  </si>
  <si>
    <t>Bela Vista da Caroba</t>
  </si>
  <si>
    <t>02752</t>
  </si>
  <si>
    <t>Barra do Jacaré</t>
  </si>
  <si>
    <t>02703</t>
  </si>
  <si>
    <t>02604</t>
  </si>
  <si>
    <t>Barbosa Ferraz</t>
  </si>
  <si>
    <t>02505</t>
  </si>
  <si>
    <t>02406</t>
  </si>
  <si>
    <t>Balsa Nova</t>
  </si>
  <si>
    <t>02307</t>
  </si>
  <si>
    <t>Atalaia</t>
  </si>
  <si>
    <t>02208</t>
  </si>
  <si>
    <t>Astorga</t>
  </si>
  <si>
    <t>02109</t>
  </si>
  <si>
    <t>Assis Chateaubriand</t>
  </si>
  <si>
    <t>02000</t>
  </si>
  <si>
    <t>Assaí</t>
  </si>
  <si>
    <t>01903</t>
  </si>
  <si>
    <t>Ariranha do Ivaí</t>
  </si>
  <si>
    <t>01853</t>
  </si>
  <si>
    <t>Araucária</t>
  </si>
  <si>
    <t>01804</t>
  </si>
  <si>
    <t>Araruna</t>
  </si>
  <si>
    <t>01705</t>
  </si>
  <si>
    <t>Arapuã</t>
  </si>
  <si>
    <t>01655</t>
  </si>
  <si>
    <t>Arapoti</t>
  </si>
  <si>
    <t>01606</t>
  </si>
  <si>
    <t>Arapongas</t>
  </si>
  <si>
    <t>01507</t>
  </si>
  <si>
    <t>Apucarana</t>
  </si>
  <si>
    <t>01408</t>
  </si>
  <si>
    <t>Antônio Olinto</t>
  </si>
  <si>
    <t>01309</t>
  </si>
  <si>
    <t>Antonina</t>
  </si>
  <si>
    <t>01200</t>
  </si>
  <si>
    <t>Ângulo</t>
  </si>
  <si>
    <t>01150</t>
  </si>
  <si>
    <t>Andirá</t>
  </si>
  <si>
    <t>01101</t>
  </si>
  <si>
    <t>Anahy</t>
  </si>
  <si>
    <t>01051</t>
  </si>
  <si>
    <t>Ampére</t>
  </si>
  <si>
    <t>01002</t>
  </si>
  <si>
    <t>Amaporã</t>
  </si>
  <si>
    <t>00905</t>
  </si>
  <si>
    <t>Alvorada do Sul</t>
  </si>
  <si>
    <t>00806</t>
  </si>
  <si>
    <t>Alto Piquiri</t>
  </si>
  <si>
    <t>00707</t>
  </si>
  <si>
    <t>Alto Paraná</t>
  </si>
  <si>
    <t>00608</t>
  </si>
  <si>
    <t>Altônia</t>
  </si>
  <si>
    <t>00509</t>
  </si>
  <si>
    <t>Altamira do Paraná</t>
  </si>
  <si>
    <t>00459</t>
  </si>
  <si>
    <t>Almirante Tamandaré</t>
  </si>
  <si>
    <t>00400</t>
  </si>
  <si>
    <t>Agudos do Sul</t>
  </si>
  <si>
    <t>00301</t>
  </si>
  <si>
    <t>Adrianópolis</t>
  </si>
  <si>
    <t>00202</t>
  </si>
  <si>
    <t>Abatiá</t>
  </si>
  <si>
    <t>00103</t>
  </si>
  <si>
    <t>Estiva Gerbi</t>
  </si>
  <si>
    <t>57303</t>
  </si>
  <si>
    <t>Chavantes</t>
  </si>
  <si>
    <t>57204</t>
  </si>
  <si>
    <t>Zacarias</t>
  </si>
  <si>
    <t>57154</t>
  </si>
  <si>
    <t>Votuporanga</t>
  </si>
  <si>
    <t>57105</t>
  </si>
  <si>
    <t>Votorantim</t>
  </si>
  <si>
    <t>57006</t>
  </si>
  <si>
    <t>Vitória Brasil</t>
  </si>
  <si>
    <t>56958</t>
  </si>
  <si>
    <t>Vista Alegre do Alto</t>
  </si>
  <si>
    <t>56909</t>
  </si>
  <si>
    <t>Viradouro</t>
  </si>
  <si>
    <t>56800</t>
  </si>
  <si>
    <t>Vinhedo</t>
  </si>
  <si>
    <t>56701</t>
  </si>
  <si>
    <t>56602</t>
  </si>
  <si>
    <t>Várzea Paulista</t>
  </si>
  <si>
    <t>56503</t>
  </si>
  <si>
    <t>Vargem Grande Paulista</t>
  </si>
  <si>
    <t>56453</t>
  </si>
  <si>
    <t>Vargem Grande do Sul</t>
  </si>
  <si>
    <t>56404</t>
  </si>
  <si>
    <t>56354</t>
  </si>
  <si>
    <t>Valparaíso</t>
  </si>
  <si>
    <t>56305</t>
  </si>
  <si>
    <t>Valinhos</t>
  </si>
  <si>
    <t>56206</t>
  </si>
  <si>
    <t>Valentim Gentil</t>
  </si>
  <si>
    <t>56107</t>
  </si>
  <si>
    <t>Urupês</t>
  </si>
  <si>
    <t>56008</t>
  </si>
  <si>
    <t>Uru</t>
  </si>
  <si>
    <t>55901</t>
  </si>
  <si>
    <t>Urânia</t>
  </si>
  <si>
    <t>55802</t>
  </si>
  <si>
    <t>União Paulista</t>
  </si>
  <si>
    <t>55703</t>
  </si>
  <si>
    <t>Uchoa</t>
  </si>
  <si>
    <t>55604</t>
  </si>
  <si>
    <t>Ubirajara</t>
  </si>
  <si>
    <t>55505</t>
  </si>
  <si>
    <t>Ubatuba</t>
  </si>
  <si>
    <t>55406</t>
  </si>
  <si>
    <t>Ubarana</t>
  </si>
  <si>
    <t>55356</t>
  </si>
  <si>
    <t>Turmalina</t>
  </si>
  <si>
    <t>55307</t>
  </si>
  <si>
    <t>Turiúba</t>
  </si>
  <si>
    <t>55208</t>
  </si>
  <si>
    <t>Tupi Paulista</t>
  </si>
  <si>
    <t>55109</t>
  </si>
  <si>
    <t>Tupã</t>
  </si>
  <si>
    <t>55000</t>
  </si>
  <si>
    <t>Tuiuti</t>
  </si>
  <si>
    <t>54953</t>
  </si>
  <si>
    <t>Três Fronteiras</t>
  </si>
  <si>
    <t>54904</t>
  </si>
  <si>
    <t>Tremembé</t>
  </si>
  <si>
    <t>54805</t>
  </si>
  <si>
    <t>Trabiju</t>
  </si>
  <si>
    <t>54755</t>
  </si>
  <si>
    <t>Torrinha</t>
  </si>
  <si>
    <t>54706</t>
  </si>
  <si>
    <t>Torre de Pedra</t>
  </si>
  <si>
    <t>54656</t>
  </si>
  <si>
    <t>Timburi</t>
  </si>
  <si>
    <t>54607</t>
  </si>
  <si>
    <t>Tietê</t>
  </si>
  <si>
    <t>54508</t>
  </si>
  <si>
    <t>54409</t>
  </si>
  <si>
    <t>Teodoro Sampaio</t>
  </si>
  <si>
    <t>54300</t>
  </si>
  <si>
    <t>Tejupá</t>
  </si>
  <si>
    <t>54201</t>
  </si>
  <si>
    <t>Taubaté</t>
  </si>
  <si>
    <t>54102</t>
  </si>
  <si>
    <t>Tatuí</t>
  </si>
  <si>
    <t>54003</t>
  </si>
  <si>
    <t>Tarumã</t>
  </si>
  <si>
    <t>53955</t>
  </si>
  <si>
    <t>Tarabai</t>
  </si>
  <si>
    <t>53906</t>
  </si>
  <si>
    <t>Taquarivaí</t>
  </si>
  <si>
    <t>53856</t>
  </si>
  <si>
    <t>Taquarituba</t>
  </si>
  <si>
    <t>53807</t>
  </si>
  <si>
    <t>Taquaritinga</t>
  </si>
  <si>
    <t>53708</t>
  </si>
  <si>
    <t>Taquaral</t>
  </si>
  <si>
    <t>53658</t>
  </si>
  <si>
    <t>Tapiratiba</t>
  </si>
  <si>
    <t>53609</t>
  </si>
  <si>
    <t>Tapiraí</t>
  </si>
  <si>
    <t>53500</t>
  </si>
  <si>
    <t>Tanabi</t>
  </si>
  <si>
    <t>53401</t>
  </si>
  <si>
    <t>Tambaú</t>
  </si>
  <si>
    <t>53302</t>
  </si>
  <si>
    <t>Taiúva</t>
  </si>
  <si>
    <t>53203</t>
  </si>
  <si>
    <t>Taiaçu</t>
  </si>
  <si>
    <t>53104</t>
  </si>
  <si>
    <t>Taguaí</t>
  </si>
  <si>
    <t>53005</t>
  </si>
  <si>
    <t>Taciba</t>
  </si>
  <si>
    <t>52908</t>
  </si>
  <si>
    <t>Taboão da Serra</t>
  </si>
  <si>
    <t>52809</t>
  </si>
  <si>
    <t>Tabatinga</t>
  </si>
  <si>
    <t>52700</t>
  </si>
  <si>
    <t>Tabapuã</t>
  </si>
  <si>
    <t>52601</t>
  </si>
  <si>
    <t>Suzanápolis</t>
  </si>
  <si>
    <t>52551</t>
  </si>
  <si>
    <t>Suzano</t>
  </si>
  <si>
    <t>52502</t>
  </si>
  <si>
    <t>Sumaré</t>
  </si>
  <si>
    <t>52403</t>
  </si>
  <si>
    <t>Sud Mennucci</t>
  </si>
  <si>
    <t>52304</t>
  </si>
  <si>
    <t>Sorocaba</t>
  </si>
  <si>
    <t>52205</t>
  </si>
  <si>
    <t>Socorro</t>
  </si>
  <si>
    <t>52106</t>
  </si>
  <si>
    <t>Silveiras</t>
  </si>
  <si>
    <t>52007</t>
  </si>
  <si>
    <t>Severínia</t>
  </si>
  <si>
    <t>51900</t>
  </si>
  <si>
    <t>Sete Barras</t>
  </si>
  <si>
    <t>51801</t>
  </si>
  <si>
    <t>Sertãozinho</t>
  </si>
  <si>
    <t>51702</t>
  </si>
  <si>
    <t>Serra Negra</t>
  </si>
  <si>
    <t>51603</t>
  </si>
  <si>
    <t>Serrana</t>
  </si>
  <si>
    <t>51504</t>
  </si>
  <si>
    <t>Serra Azul</t>
  </si>
  <si>
    <t>51405</t>
  </si>
  <si>
    <t>Sebastianópolis do Sul</t>
  </si>
  <si>
    <t>51306</t>
  </si>
  <si>
    <t>Sarutaiá</t>
  </si>
  <si>
    <t>51207</t>
  </si>
  <si>
    <t>Sarapuí</t>
  </si>
  <si>
    <t>51108</t>
  </si>
  <si>
    <t>São Vicente</t>
  </si>
  <si>
    <t>51009</t>
  </si>
  <si>
    <t>50902</t>
  </si>
  <si>
    <t>São Sebastião da Grama</t>
  </si>
  <si>
    <t>50803</t>
  </si>
  <si>
    <t>São Sebastião</t>
  </si>
  <si>
    <t>50704</t>
  </si>
  <si>
    <t>São Roque</t>
  </si>
  <si>
    <t>50605</t>
  </si>
  <si>
    <t>São Pedro do Turvo</t>
  </si>
  <si>
    <t>50506</t>
  </si>
  <si>
    <t>São Pedro</t>
  </si>
  <si>
    <t>50407</t>
  </si>
  <si>
    <t>50308</t>
  </si>
  <si>
    <t>São Miguel Arcanjo</t>
  </si>
  <si>
    <t>50209</t>
  </si>
  <si>
    <t>São Manuel</t>
  </si>
  <si>
    <t>50100</t>
  </si>
  <si>
    <t>São Luís do Paraitinga</t>
  </si>
  <si>
    <t>50001</t>
  </si>
  <si>
    <t>São Lourenço da Serra</t>
  </si>
  <si>
    <t>49953</t>
  </si>
  <si>
    <t>São José dos Campos</t>
  </si>
  <si>
    <t>49904</t>
  </si>
  <si>
    <t>São José do Rio Preto</t>
  </si>
  <si>
    <t>49805</t>
  </si>
  <si>
    <t>São José do Rio Pardo</t>
  </si>
  <si>
    <t>49706</t>
  </si>
  <si>
    <t>São José do Barreiro</t>
  </si>
  <si>
    <t>49607</t>
  </si>
  <si>
    <t>São José da Bela Vista</t>
  </si>
  <si>
    <t>49508</t>
  </si>
  <si>
    <t>São Joaquim da Barra</t>
  </si>
  <si>
    <t>49409</t>
  </si>
  <si>
    <t>São João do Pau d'Alho</t>
  </si>
  <si>
    <t>49300</t>
  </si>
  <si>
    <t>São João de Iracema</t>
  </si>
  <si>
    <t>49250</t>
  </si>
  <si>
    <t>São João das Duas Pontes</t>
  </si>
  <si>
    <t>49201</t>
  </si>
  <si>
    <t>São João da Boa Vista</t>
  </si>
  <si>
    <t>49102</t>
  </si>
  <si>
    <t>São Francisco</t>
  </si>
  <si>
    <t>49003</t>
  </si>
  <si>
    <t>48906</t>
  </si>
  <si>
    <t>São Caetano do Sul</t>
  </si>
  <si>
    <t>48807</t>
  </si>
  <si>
    <t>São Bernardo do Campo</t>
  </si>
  <si>
    <t>48708</t>
  </si>
  <si>
    <t>São Bento do Sapucaí</t>
  </si>
  <si>
    <t>48609</t>
  </si>
  <si>
    <t>Santos</t>
  </si>
  <si>
    <t>48500</t>
  </si>
  <si>
    <t>Santópolis do Aguapeí</t>
  </si>
  <si>
    <t>48401</t>
  </si>
  <si>
    <t>Santo Expedito</t>
  </si>
  <si>
    <t>48302</t>
  </si>
  <si>
    <t>Santo Antônio do Pinhal</t>
  </si>
  <si>
    <t>48203</t>
  </si>
  <si>
    <t>Santo Antônio do Jardim</t>
  </si>
  <si>
    <t>48104</t>
  </si>
  <si>
    <t>Santo Antônio do Aracanguá</t>
  </si>
  <si>
    <t>48054</t>
  </si>
  <si>
    <t>Santo Antônio de Posse</t>
  </si>
  <si>
    <t>48005</t>
  </si>
  <si>
    <t>Santo Antônio da Alegria</t>
  </si>
  <si>
    <t>47908</t>
  </si>
  <si>
    <t>Santo André</t>
  </si>
  <si>
    <t>47809</t>
  </si>
  <si>
    <t>Santo Anastácio</t>
  </si>
  <si>
    <t>47700</t>
  </si>
  <si>
    <t>Santa Salete</t>
  </si>
  <si>
    <t>47650</t>
  </si>
  <si>
    <t>Santa Rosa de Viterbo</t>
  </si>
  <si>
    <t>47601</t>
  </si>
  <si>
    <t>Santa Rita do Passa Quatro</t>
  </si>
  <si>
    <t>47502</t>
  </si>
  <si>
    <t>Santa Rita d'Oeste</t>
  </si>
  <si>
    <t>47403</t>
  </si>
  <si>
    <t>Santana de Parnaíba</t>
  </si>
  <si>
    <t>47304</t>
  </si>
  <si>
    <t>Santana da Ponte Pensa</t>
  </si>
  <si>
    <t>47205</t>
  </si>
  <si>
    <t>Santa Mercedes</t>
  </si>
  <si>
    <t>47106</t>
  </si>
  <si>
    <t>Santa Maria da Serra</t>
  </si>
  <si>
    <t>47007</t>
  </si>
  <si>
    <t>46900</t>
  </si>
  <si>
    <t>46801</t>
  </si>
  <si>
    <t>Santa Gertrudes</t>
  </si>
  <si>
    <t>46702</t>
  </si>
  <si>
    <t>Santa Fé do Sul</t>
  </si>
  <si>
    <t>46603</t>
  </si>
  <si>
    <t>Santa Ernestina</t>
  </si>
  <si>
    <t>46504</t>
  </si>
  <si>
    <t>Santa Cruz do Rio Pardo</t>
  </si>
  <si>
    <t>46405</t>
  </si>
  <si>
    <t>Santa Cruz das Palmeiras</t>
  </si>
  <si>
    <t>46306</t>
  </si>
  <si>
    <t>Santa Cruz da Esperança</t>
  </si>
  <si>
    <t>46256</t>
  </si>
  <si>
    <t>Santa Cruz da Conceição</t>
  </si>
  <si>
    <t>46207</t>
  </si>
  <si>
    <t>Santa Clara d'Oeste</t>
  </si>
  <si>
    <t>46108</t>
  </si>
  <si>
    <t>Santa Branca</t>
  </si>
  <si>
    <t>46009</t>
  </si>
  <si>
    <t>Santa Bárbara d'Oeste</t>
  </si>
  <si>
    <t>45803</t>
  </si>
  <si>
    <t>Santa Albertina</t>
  </si>
  <si>
    <t>45704</t>
  </si>
  <si>
    <t>Santa Adélia</t>
  </si>
  <si>
    <t>45605</t>
  </si>
  <si>
    <t>Sandovalina</t>
  </si>
  <si>
    <t>45506</t>
  </si>
  <si>
    <t>Salto Grande</t>
  </si>
  <si>
    <t>45407</t>
  </si>
  <si>
    <t>Salto de Pirapora</t>
  </si>
  <si>
    <t>45308</t>
  </si>
  <si>
    <t>Salto</t>
  </si>
  <si>
    <t>45209</t>
  </si>
  <si>
    <t>45159</t>
  </si>
  <si>
    <t>Salmourão</t>
  </si>
  <si>
    <t>45100</t>
  </si>
  <si>
    <t>Salesópolis</t>
  </si>
  <si>
    <t>45001</t>
  </si>
  <si>
    <t>Sales Oliveira</t>
  </si>
  <si>
    <t>44905</t>
  </si>
  <si>
    <t>Sales</t>
  </si>
  <si>
    <t>44806</t>
  </si>
  <si>
    <t>Sagres</t>
  </si>
  <si>
    <t>44707</t>
  </si>
  <si>
    <t>Sabino</t>
  </si>
  <si>
    <t>44608</t>
  </si>
  <si>
    <t>Rubinéia</t>
  </si>
  <si>
    <t>44509</t>
  </si>
  <si>
    <t>Rubiácea</t>
  </si>
  <si>
    <t>44400</t>
  </si>
  <si>
    <t>Roseira</t>
  </si>
  <si>
    <t>44301</t>
  </si>
  <si>
    <t>Rosana</t>
  </si>
  <si>
    <t>44251</t>
  </si>
  <si>
    <t>Riolândia</t>
  </si>
  <si>
    <t>44202</t>
  </si>
  <si>
    <t>Rio Grande da Serra</t>
  </si>
  <si>
    <t>44103</t>
  </si>
  <si>
    <t>Rio das Pedras</t>
  </si>
  <si>
    <t>44004</t>
  </si>
  <si>
    <t>Rio Claro</t>
  </si>
  <si>
    <t>43907</t>
  </si>
  <si>
    <t>Rinópolis</t>
  </si>
  <si>
    <t>43808</t>
  </si>
  <si>
    <t>Rincão</t>
  </si>
  <si>
    <t>43709</t>
  </si>
  <si>
    <t>Rifaina</t>
  </si>
  <si>
    <t>43600</t>
  </si>
  <si>
    <t>Riversul</t>
  </si>
  <si>
    <t>43501</t>
  </si>
  <si>
    <t>Ribeirão Preto</t>
  </si>
  <si>
    <t>43402</t>
  </si>
  <si>
    <t>Ribeirão Pires</t>
  </si>
  <si>
    <t>43303</t>
  </si>
  <si>
    <t>Ribeirão Grande</t>
  </si>
  <si>
    <t>43253</t>
  </si>
  <si>
    <t>Ribeirão dos Índios</t>
  </si>
  <si>
    <t>43238</t>
  </si>
  <si>
    <t>Ribeirão do Sul</t>
  </si>
  <si>
    <t>43204</t>
  </si>
  <si>
    <t>Ribeirão Corrente</t>
  </si>
  <si>
    <t>43105</t>
  </si>
  <si>
    <t>Ribeirão Branco</t>
  </si>
  <si>
    <t>43006</t>
  </si>
  <si>
    <t>Ribeirão Bonito</t>
  </si>
  <si>
    <t>42909</t>
  </si>
  <si>
    <t>Ribeira</t>
  </si>
  <si>
    <t>42800</t>
  </si>
  <si>
    <t>Restinga</t>
  </si>
  <si>
    <t>42701</t>
  </si>
  <si>
    <t>42602</t>
  </si>
  <si>
    <t>Reginópolis</t>
  </si>
  <si>
    <t>42503</t>
  </si>
  <si>
    <t>Regente Feijó</t>
  </si>
  <si>
    <t>42404</t>
  </si>
  <si>
    <t>Redenção da Serra</t>
  </si>
  <si>
    <t>42305</t>
  </si>
  <si>
    <t>Rancharia</t>
  </si>
  <si>
    <t>42206</t>
  </si>
  <si>
    <t>Rafard</t>
  </si>
  <si>
    <t>42107</t>
  </si>
  <si>
    <t>Quintana</t>
  </si>
  <si>
    <t>42008</t>
  </si>
  <si>
    <t>Queluz</t>
  </si>
  <si>
    <t>41901</t>
  </si>
  <si>
    <t>Queiroz</t>
  </si>
  <si>
    <t>41802</t>
  </si>
  <si>
    <t>Quatá</t>
  </si>
  <si>
    <t>41703</t>
  </si>
  <si>
    <t>Quadra</t>
  </si>
  <si>
    <t>41653</t>
  </si>
  <si>
    <t>Promissão</t>
  </si>
  <si>
    <t>41604</t>
  </si>
  <si>
    <t>Presidente Venceslau</t>
  </si>
  <si>
    <t>41505</t>
  </si>
  <si>
    <t>Presidente Prudente</t>
  </si>
  <si>
    <t>41406</t>
  </si>
  <si>
    <t>Presidente Epitácio</t>
  </si>
  <si>
    <t>41307</t>
  </si>
  <si>
    <t>Presidente Bernardes</t>
  </si>
  <si>
    <t>41208</t>
  </si>
  <si>
    <t>Presidente Alves</t>
  </si>
  <si>
    <t>41109</t>
  </si>
  <si>
    <t>Pratânia</t>
  </si>
  <si>
    <t>41059</t>
  </si>
  <si>
    <t>41000</t>
  </si>
  <si>
    <t>Pradópolis</t>
  </si>
  <si>
    <t>40903</t>
  </si>
  <si>
    <t>Pracinha</t>
  </si>
  <si>
    <t>40853</t>
  </si>
  <si>
    <t>Potirendaba</t>
  </si>
  <si>
    <t>40804</t>
  </si>
  <si>
    <t>Potim</t>
  </si>
  <si>
    <t>40754</t>
  </si>
  <si>
    <t>Porto Ferreira</t>
  </si>
  <si>
    <t>40705</t>
  </si>
  <si>
    <t>Porto Feliz</t>
  </si>
  <si>
    <t>40606</t>
  </si>
  <si>
    <t>Porangaba</t>
  </si>
  <si>
    <t>40507</t>
  </si>
  <si>
    <t>Populina</t>
  </si>
  <si>
    <t>40408</t>
  </si>
  <si>
    <t>Pontes Gestal</t>
  </si>
  <si>
    <t>40309</t>
  </si>
  <si>
    <t>Pontalinda</t>
  </si>
  <si>
    <t>40259</t>
  </si>
  <si>
    <t>Pontal</t>
  </si>
  <si>
    <t>40200</t>
  </si>
  <si>
    <t>Pongaí</t>
  </si>
  <si>
    <t>40101</t>
  </si>
  <si>
    <t>Pompéia</t>
  </si>
  <si>
    <t>40002</t>
  </si>
  <si>
    <t>Poloni</t>
  </si>
  <si>
    <t>39905</t>
  </si>
  <si>
    <t>Poá</t>
  </si>
  <si>
    <t>39806</t>
  </si>
  <si>
    <t>Platina</t>
  </si>
  <si>
    <t>39707</t>
  </si>
  <si>
    <t>39608</t>
  </si>
  <si>
    <t>39509</t>
  </si>
  <si>
    <t>Piratininga</t>
  </si>
  <si>
    <t>39400</t>
  </si>
  <si>
    <t>Pirassununga</t>
  </si>
  <si>
    <t>39301</t>
  </si>
  <si>
    <t>Pirapozinho</t>
  </si>
  <si>
    <t>39202</t>
  </si>
  <si>
    <t>Pirapora do Bom Jesus</t>
  </si>
  <si>
    <t>39103</t>
  </si>
  <si>
    <t>Pirangi</t>
  </si>
  <si>
    <t>39004</t>
  </si>
  <si>
    <t>Pirajuí</t>
  </si>
  <si>
    <t>38907</t>
  </si>
  <si>
    <t>Piraju</t>
  </si>
  <si>
    <t>38808</t>
  </si>
  <si>
    <t>Piracicaba</t>
  </si>
  <si>
    <t>38709</t>
  </si>
  <si>
    <t>Piracaia</t>
  </si>
  <si>
    <t>38600</t>
  </si>
  <si>
    <t>Piquete</t>
  </si>
  <si>
    <t>38501</t>
  </si>
  <si>
    <t>Piquerobi</t>
  </si>
  <si>
    <t>38303</t>
  </si>
  <si>
    <t>38204</t>
  </si>
  <si>
    <t>Pindorama</t>
  </si>
  <si>
    <t>38105</t>
  </si>
  <si>
    <t>Pindamonhangaba</t>
  </si>
  <si>
    <t>38006</t>
  </si>
  <si>
    <t>Pilar do Sul</t>
  </si>
  <si>
    <t>37909</t>
  </si>
  <si>
    <t>Piedade</t>
  </si>
  <si>
    <t>37800</t>
  </si>
  <si>
    <t>Piacatu</t>
  </si>
  <si>
    <t>37701</t>
  </si>
  <si>
    <t>Peruíbe</t>
  </si>
  <si>
    <t>37602</t>
  </si>
  <si>
    <t>Pereiras</t>
  </si>
  <si>
    <t>37503</t>
  </si>
  <si>
    <t>Pereira Barreto</t>
  </si>
  <si>
    <t>37404</t>
  </si>
  <si>
    <t>Penápolis</t>
  </si>
  <si>
    <t>37305</t>
  </si>
  <si>
    <t>Pedro de Toledo</t>
  </si>
  <si>
    <t>37206</t>
  </si>
  <si>
    <t>Pedrinhas Paulista</t>
  </si>
  <si>
    <t>37156</t>
  </si>
  <si>
    <t>Pedreira</t>
  </si>
  <si>
    <t>37107</t>
  </si>
  <si>
    <t>Pedregulho</t>
  </si>
  <si>
    <t>37008</t>
  </si>
  <si>
    <t>Pedranópolis</t>
  </si>
  <si>
    <t>36901</t>
  </si>
  <si>
    <t>Pedra Bela</t>
  </si>
  <si>
    <t>36802</t>
  </si>
  <si>
    <t>Pederneiras</t>
  </si>
  <si>
    <t>36703</t>
  </si>
  <si>
    <t>Paulo de Faria</t>
  </si>
  <si>
    <t>36604</t>
  </si>
  <si>
    <t>Paulistânia</t>
  </si>
  <si>
    <t>36570</t>
  </si>
  <si>
    <t>Paulínia</t>
  </si>
  <si>
    <t>36505</t>
  </si>
  <si>
    <t>Paulicéia</t>
  </si>
  <si>
    <t>36406</t>
  </si>
  <si>
    <t>Patrocínio Paulista</t>
  </si>
  <si>
    <t>36307</t>
  </si>
  <si>
    <t>Parisi</t>
  </si>
  <si>
    <t>36257</t>
  </si>
  <si>
    <t>Pariquera-Açu</t>
  </si>
  <si>
    <t>36208</t>
  </si>
  <si>
    <t>Pardinho</t>
  </si>
  <si>
    <t>36109</t>
  </si>
  <si>
    <t>Parapuã</t>
  </si>
  <si>
    <t>36000</t>
  </si>
  <si>
    <t>Paranapuã</t>
  </si>
  <si>
    <t>35903</t>
  </si>
  <si>
    <t>Paranapanema</t>
  </si>
  <si>
    <t>35804</t>
  </si>
  <si>
    <t>35705</t>
  </si>
  <si>
    <t>Paraibuna</t>
  </si>
  <si>
    <t>35606</t>
  </si>
  <si>
    <t>Paraguaçu Paulista</t>
  </si>
  <si>
    <t>35507</t>
  </si>
  <si>
    <t>Panorama</t>
  </si>
  <si>
    <t>35408</t>
  </si>
  <si>
    <t>35309</t>
  </si>
  <si>
    <t>Palmeira d'Oeste</t>
  </si>
  <si>
    <t>35200</t>
  </si>
  <si>
    <t>Palmares Paulista</t>
  </si>
  <si>
    <t>35101</t>
  </si>
  <si>
    <t>Palestina</t>
  </si>
  <si>
    <t>35002</t>
  </si>
  <si>
    <t>Pacaembu</t>
  </si>
  <si>
    <t>34906</t>
  </si>
  <si>
    <t>34807</t>
  </si>
  <si>
    <t>Ouroeste</t>
  </si>
  <si>
    <t>34757</t>
  </si>
  <si>
    <t>Ourinhos</t>
  </si>
  <si>
    <t>34708</t>
  </si>
  <si>
    <t>Osvaldo Cruz</t>
  </si>
  <si>
    <t>34609</t>
  </si>
  <si>
    <t>Oscar Bressane</t>
  </si>
  <si>
    <t>34500</t>
  </si>
  <si>
    <t>Osasco</t>
  </si>
  <si>
    <t>34401</t>
  </si>
  <si>
    <t>Orlândia</t>
  </si>
  <si>
    <t>34302</t>
  </si>
  <si>
    <t>Orindiúva</t>
  </si>
  <si>
    <t>34203</t>
  </si>
  <si>
    <t>Oriente</t>
  </si>
  <si>
    <t>34104</t>
  </si>
  <si>
    <t>Onda Verde</t>
  </si>
  <si>
    <t>34005</t>
  </si>
  <si>
    <t>Olímpia</t>
  </si>
  <si>
    <t>33908</t>
  </si>
  <si>
    <t>Óleo</t>
  </si>
  <si>
    <t>33809</t>
  </si>
  <si>
    <t>Ocauçu</t>
  </si>
  <si>
    <t>33700</t>
  </si>
  <si>
    <t>Nuporanga</t>
  </si>
  <si>
    <t>33601</t>
  </si>
  <si>
    <t>33502</t>
  </si>
  <si>
    <t>Nova Odessa</t>
  </si>
  <si>
    <t>33403</t>
  </si>
  <si>
    <t>Nova Luzitânia</t>
  </si>
  <si>
    <t>33304</t>
  </si>
  <si>
    <t>Novais</t>
  </si>
  <si>
    <t>33254</t>
  </si>
  <si>
    <t>Nova Independência</t>
  </si>
  <si>
    <t>33205</t>
  </si>
  <si>
    <t>Nova Guataporanga</t>
  </si>
  <si>
    <t>33106</t>
  </si>
  <si>
    <t>Nova Granada</t>
  </si>
  <si>
    <t>33007</t>
  </si>
  <si>
    <t>Nova Europa</t>
  </si>
  <si>
    <t>32900</t>
  </si>
  <si>
    <t>Nova Castilho</t>
  </si>
  <si>
    <t>32868</t>
  </si>
  <si>
    <t>Nova Canaã Paulista</t>
  </si>
  <si>
    <t>32843</t>
  </si>
  <si>
    <t>Nova Campina</t>
  </si>
  <si>
    <t>32827</t>
  </si>
  <si>
    <t>Nova Aliança</t>
  </si>
  <si>
    <t>32801</t>
  </si>
  <si>
    <t>Nipoã</t>
  </si>
  <si>
    <t>32702</t>
  </si>
  <si>
    <t>Nhandeara</t>
  </si>
  <si>
    <t>32603</t>
  </si>
  <si>
    <t>Neves Paulista</t>
  </si>
  <si>
    <t>32504</t>
  </si>
  <si>
    <t>Nazaré Paulista</t>
  </si>
  <si>
    <t>32405</t>
  </si>
  <si>
    <t>Natividade da Serra</t>
  </si>
  <si>
    <t>32306</t>
  </si>
  <si>
    <t>Narandiba</t>
  </si>
  <si>
    <t>32207</t>
  </si>
  <si>
    <t>Nantes</t>
  </si>
  <si>
    <t>32157</t>
  </si>
  <si>
    <t>Murutinga do Sul</t>
  </si>
  <si>
    <t>32108</t>
  </si>
  <si>
    <t>Motuca</t>
  </si>
  <si>
    <t>32058</t>
  </si>
  <si>
    <t>Morungaba</t>
  </si>
  <si>
    <t>32009</t>
  </si>
  <si>
    <t>Morro Agudo</t>
  </si>
  <si>
    <t>31902</t>
  </si>
  <si>
    <t>Monte Mor</t>
  </si>
  <si>
    <t>31803</t>
  </si>
  <si>
    <t>Monteiro Lobato</t>
  </si>
  <si>
    <t>31704</t>
  </si>
  <si>
    <t>31605</t>
  </si>
  <si>
    <t>Monte Azul Paulista</t>
  </si>
  <si>
    <t>31506</t>
  </si>
  <si>
    <t>Monte Aprazível</t>
  </si>
  <si>
    <t>31407</t>
  </si>
  <si>
    <t>Monte Alto</t>
  </si>
  <si>
    <t>31308</t>
  </si>
  <si>
    <t>Monte Alegre do Sul</t>
  </si>
  <si>
    <t>31209</t>
  </si>
  <si>
    <t>Mongaguá</t>
  </si>
  <si>
    <t>31100</t>
  </si>
  <si>
    <t>Monções</t>
  </si>
  <si>
    <t>31001</t>
  </si>
  <si>
    <t>Mombuca</t>
  </si>
  <si>
    <t>30904</t>
  </si>
  <si>
    <t>Mogi Mirim</t>
  </si>
  <si>
    <t>30805</t>
  </si>
  <si>
    <t>Mogi Guaçu</t>
  </si>
  <si>
    <t>30706</t>
  </si>
  <si>
    <t>Mogi das Cruzes</t>
  </si>
  <si>
    <t>30607</t>
  </si>
  <si>
    <t>Mococa</t>
  </si>
  <si>
    <t>30508</t>
  </si>
  <si>
    <t>Mirassolândia</t>
  </si>
  <si>
    <t>30409</t>
  </si>
  <si>
    <t>Mirassol</t>
  </si>
  <si>
    <t>30300</t>
  </si>
  <si>
    <t>Mirante do Paranapanema</t>
  </si>
  <si>
    <t>30201</t>
  </si>
  <si>
    <t>Mirandópolis</t>
  </si>
  <si>
    <t>30102</t>
  </si>
  <si>
    <t>Mira Estrela</t>
  </si>
  <si>
    <t>30003</t>
  </si>
  <si>
    <t>Miracatu</t>
  </si>
  <si>
    <t>29906</t>
  </si>
  <si>
    <t>Mineiros do Tietê</t>
  </si>
  <si>
    <t>29807</t>
  </si>
  <si>
    <t>Miguelópolis</t>
  </si>
  <si>
    <t>29708</t>
  </si>
  <si>
    <t>Mesópolis</t>
  </si>
  <si>
    <t>29658</t>
  </si>
  <si>
    <t>Meridiano</t>
  </si>
  <si>
    <t>29609</t>
  </si>
  <si>
    <t>Mendonça</t>
  </si>
  <si>
    <t>29500</t>
  </si>
  <si>
    <t>Mauá</t>
  </si>
  <si>
    <t>29401</t>
  </si>
  <si>
    <t>Matão</t>
  </si>
  <si>
    <t>29302</t>
  </si>
  <si>
    <t>Martinópolis</t>
  </si>
  <si>
    <t>29203</t>
  </si>
  <si>
    <t>Marinópolis</t>
  </si>
  <si>
    <t>29104</t>
  </si>
  <si>
    <t>Marília</t>
  </si>
  <si>
    <t>29005</t>
  </si>
  <si>
    <t>Mariápolis</t>
  </si>
  <si>
    <t>28908</t>
  </si>
  <si>
    <t>Marapoama</t>
  </si>
  <si>
    <t>28858</t>
  </si>
  <si>
    <t>Maracaí</t>
  </si>
  <si>
    <t>28809</t>
  </si>
  <si>
    <t>Marabá Paulista</t>
  </si>
  <si>
    <t>28700</t>
  </si>
  <si>
    <t>Manduri</t>
  </si>
  <si>
    <t>28601</t>
  </si>
  <si>
    <t>Mairiporã</t>
  </si>
  <si>
    <t>28502</t>
  </si>
  <si>
    <t>Mairinque</t>
  </si>
  <si>
    <t>28403</t>
  </si>
  <si>
    <t>Magda</t>
  </si>
  <si>
    <t>28304</t>
  </si>
  <si>
    <t>Macedônia</t>
  </si>
  <si>
    <t>28205</t>
  </si>
  <si>
    <t>Macaubal</t>
  </si>
  <si>
    <t>28106</t>
  </si>
  <si>
    <t>Macatuba</t>
  </si>
  <si>
    <t>28007</t>
  </si>
  <si>
    <t>Lutécia</t>
  </si>
  <si>
    <t>27900</t>
  </si>
  <si>
    <t>Lupércio</t>
  </si>
  <si>
    <t>27801</t>
  </si>
  <si>
    <t>Luiziânia</t>
  </si>
  <si>
    <t>27702</t>
  </si>
  <si>
    <t>Luís Antônio</t>
  </si>
  <si>
    <t>27603</t>
  </si>
  <si>
    <t>Lucianópolis</t>
  </si>
  <si>
    <t>27504</t>
  </si>
  <si>
    <t>Lucélia</t>
  </si>
  <si>
    <t>27405</t>
  </si>
  <si>
    <t>Louveira</t>
  </si>
  <si>
    <t>27306</t>
  </si>
  <si>
    <t>Lourdes</t>
  </si>
  <si>
    <t>27256</t>
  </si>
  <si>
    <t>Lorena</t>
  </si>
  <si>
    <t>27207</t>
  </si>
  <si>
    <t>Lins</t>
  </si>
  <si>
    <t>27108</t>
  </si>
  <si>
    <t>Lindóia</t>
  </si>
  <si>
    <t>27009</t>
  </si>
  <si>
    <t>Limeira</t>
  </si>
  <si>
    <t>26902</t>
  </si>
  <si>
    <t>Lençóis Paulista</t>
  </si>
  <si>
    <t>26803</t>
  </si>
  <si>
    <t>Leme</t>
  </si>
  <si>
    <t>26704</t>
  </si>
  <si>
    <t>Lavrinhas</t>
  </si>
  <si>
    <t>26605</t>
  </si>
  <si>
    <t>Lavínia</t>
  </si>
  <si>
    <t>26506</t>
  </si>
  <si>
    <t>Laranjal Paulista</t>
  </si>
  <si>
    <t>26407</t>
  </si>
  <si>
    <t>Lagoinha</t>
  </si>
  <si>
    <t>26308</t>
  </si>
  <si>
    <t>Juquitiba</t>
  </si>
  <si>
    <t>26209</t>
  </si>
  <si>
    <t>Juquiá</t>
  </si>
  <si>
    <t>26100</t>
  </si>
  <si>
    <t>Junqueirópolis</t>
  </si>
  <si>
    <t>26001</t>
  </si>
  <si>
    <t>Jundiaí</t>
  </si>
  <si>
    <t>25904</t>
  </si>
  <si>
    <t>Jumirim</t>
  </si>
  <si>
    <t>25854</t>
  </si>
  <si>
    <t>Júlio Mesquita</t>
  </si>
  <si>
    <t>25805</t>
  </si>
  <si>
    <t>José Bonifácio</t>
  </si>
  <si>
    <t>25706</t>
  </si>
  <si>
    <t>João Ramalho</t>
  </si>
  <si>
    <t>25607</t>
  </si>
  <si>
    <t>Joanópolis</t>
  </si>
  <si>
    <t>25508</t>
  </si>
  <si>
    <t>Jeriquara</t>
  </si>
  <si>
    <t>25409</t>
  </si>
  <si>
    <t>Jaú</t>
  </si>
  <si>
    <t>25300</t>
  </si>
  <si>
    <t>Jarinu</t>
  </si>
  <si>
    <t>25201</t>
  </si>
  <si>
    <t>25102</t>
  </si>
  <si>
    <t>Jandira</t>
  </si>
  <si>
    <t>25003</t>
  </si>
  <si>
    <t>Jambeiro</t>
  </si>
  <si>
    <t>24907</t>
  </si>
  <si>
    <t>Jales</t>
  </si>
  <si>
    <t>24808</t>
  </si>
  <si>
    <t>Jaguariúna</t>
  </si>
  <si>
    <t>24709</t>
  </si>
  <si>
    <t>Jacupiranga</t>
  </si>
  <si>
    <t>24600</t>
  </si>
  <si>
    <t>Jaci</t>
  </si>
  <si>
    <t>24501</t>
  </si>
  <si>
    <t>Jacareí</t>
  </si>
  <si>
    <t>24402</t>
  </si>
  <si>
    <t>Jaboticabal</t>
  </si>
  <si>
    <t>24303</t>
  </si>
  <si>
    <t>Jaborandi</t>
  </si>
  <si>
    <t>24204</t>
  </si>
  <si>
    <t>Ituverava</t>
  </si>
  <si>
    <t>24105</t>
  </si>
  <si>
    <t>Itupeva</t>
  </si>
  <si>
    <t>24006</t>
  </si>
  <si>
    <t>Itu</t>
  </si>
  <si>
    <t>23909</t>
  </si>
  <si>
    <t>Itobi</t>
  </si>
  <si>
    <t>23800</t>
  </si>
  <si>
    <t>Itirapuã</t>
  </si>
  <si>
    <t>23701</t>
  </si>
  <si>
    <t>Itirapina</t>
  </si>
  <si>
    <t>23602</t>
  </si>
  <si>
    <t>Itatinga</t>
  </si>
  <si>
    <t>23503</t>
  </si>
  <si>
    <t>Itatiba</t>
  </si>
  <si>
    <t>23404</t>
  </si>
  <si>
    <t>Itariri</t>
  </si>
  <si>
    <t>23305</t>
  </si>
  <si>
    <t>Itararé</t>
  </si>
  <si>
    <t>23206</t>
  </si>
  <si>
    <t>Itaquaquecetuba</t>
  </si>
  <si>
    <t>23107</t>
  </si>
  <si>
    <t>Itapura</t>
  </si>
  <si>
    <t>23008</t>
  </si>
  <si>
    <t>Itapuí</t>
  </si>
  <si>
    <t>22901</t>
  </si>
  <si>
    <t>Itaporanga</t>
  </si>
  <si>
    <t>22802</t>
  </si>
  <si>
    <t>Itápolis</t>
  </si>
  <si>
    <t>22703</t>
  </si>
  <si>
    <t>Itapirapuã Paulista</t>
  </si>
  <si>
    <t>22653</t>
  </si>
  <si>
    <t>Itapira</t>
  </si>
  <si>
    <t>22604</t>
  </si>
  <si>
    <t>Itapevi</t>
  </si>
  <si>
    <t>22505</t>
  </si>
  <si>
    <t>Itapeva</t>
  </si>
  <si>
    <t>22406</t>
  </si>
  <si>
    <t>Itapetininga</t>
  </si>
  <si>
    <t>22307</t>
  </si>
  <si>
    <t>Itapecerica da Serra</t>
  </si>
  <si>
    <t>22208</t>
  </si>
  <si>
    <t>Itaóca</t>
  </si>
  <si>
    <t>22158</t>
  </si>
  <si>
    <t>Itanhaém</t>
  </si>
  <si>
    <t>22109</t>
  </si>
  <si>
    <t>Itaju</t>
  </si>
  <si>
    <t>22000</t>
  </si>
  <si>
    <t>Itajobi</t>
  </si>
  <si>
    <t>21903</t>
  </si>
  <si>
    <t>Itaí</t>
  </si>
  <si>
    <t>21804</t>
  </si>
  <si>
    <t>Itaberá</t>
  </si>
  <si>
    <t>21705</t>
  </si>
  <si>
    <t>Irapuru</t>
  </si>
  <si>
    <t>21606</t>
  </si>
  <si>
    <t>Irapuã</t>
  </si>
  <si>
    <t>21507</t>
  </si>
  <si>
    <t>Iracemápolis</t>
  </si>
  <si>
    <t>21408</t>
  </si>
  <si>
    <t>Ipuã</t>
  </si>
  <si>
    <t>21309</t>
  </si>
  <si>
    <t>Iporanga</t>
  </si>
  <si>
    <t>21200</t>
  </si>
  <si>
    <t>Ipiguá</t>
  </si>
  <si>
    <t>21150</t>
  </si>
  <si>
    <t>Ipeúna</t>
  </si>
  <si>
    <t>21101</t>
  </si>
  <si>
    <t>Iperó</t>
  </si>
  <si>
    <t>21002</t>
  </si>
  <si>
    <t>Ipaussu</t>
  </si>
  <si>
    <t>20905</t>
  </si>
  <si>
    <t>Inúbia Paulista</t>
  </si>
  <si>
    <t>20806</t>
  </si>
  <si>
    <t>Indiaporã</t>
  </si>
  <si>
    <t>20707</t>
  </si>
  <si>
    <t>Indiana</t>
  </si>
  <si>
    <t>20608</t>
  </si>
  <si>
    <t>Indaiatuba</t>
  </si>
  <si>
    <t>20509</t>
  </si>
  <si>
    <t>Ilha Solteira</t>
  </si>
  <si>
    <t>20442</t>
  </si>
  <si>
    <t>Ilha Comprida</t>
  </si>
  <si>
    <t>20426</t>
  </si>
  <si>
    <t>Ilhabela</t>
  </si>
  <si>
    <t>20400</t>
  </si>
  <si>
    <t>Iguape</t>
  </si>
  <si>
    <t>20301</t>
  </si>
  <si>
    <t>Igaratá</t>
  </si>
  <si>
    <t>20202</t>
  </si>
  <si>
    <t>Igarapava</t>
  </si>
  <si>
    <t>20103</t>
  </si>
  <si>
    <t>Igaraçu do Tietê</t>
  </si>
  <si>
    <t>20004</t>
  </si>
  <si>
    <t>Iepê</t>
  </si>
  <si>
    <t>19907</t>
  </si>
  <si>
    <t>Icém</t>
  </si>
  <si>
    <t>19808</t>
  </si>
  <si>
    <t>Ibiúna</t>
  </si>
  <si>
    <t>19709</t>
  </si>
  <si>
    <t>Ibitinga</t>
  </si>
  <si>
    <t>19600</t>
  </si>
  <si>
    <t>Ibirarema</t>
  </si>
  <si>
    <t>19501</t>
  </si>
  <si>
    <t>Ibirá</t>
  </si>
  <si>
    <t>19402</t>
  </si>
  <si>
    <t>Ibaté</t>
  </si>
  <si>
    <t>19303</t>
  </si>
  <si>
    <t>Iaras</t>
  </si>
  <si>
    <t>19253</t>
  </si>
  <si>
    <t>Iacri</t>
  </si>
  <si>
    <t>19204</t>
  </si>
  <si>
    <t>Iacanga</t>
  </si>
  <si>
    <t>19105</t>
  </si>
  <si>
    <t>Hortolândia</t>
  </si>
  <si>
    <t>19071</t>
  </si>
  <si>
    <t>Holambra</t>
  </si>
  <si>
    <t>19055</t>
  </si>
  <si>
    <t>Herculândia</t>
  </si>
  <si>
    <t>19006</t>
  </si>
  <si>
    <t>Guzolândia</t>
  </si>
  <si>
    <t>18909</t>
  </si>
  <si>
    <t>Guatapará</t>
  </si>
  <si>
    <t>18859</t>
  </si>
  <si>
    <t>Guarulhos</t>
  </si>
  <si>
    <t>18800</t>
  </si>
  <si>
    <t>Guarujá</t>
  </si>
  <si>
    <t>18701</t>
  </si>
  <si>
    <t>Guariba</t>
  </si>
  <si>
    <t>18602</t>
  </si>
  <si>
    <t>Guareí</t>
  </si>
  <si>
    <t>18503</t>
  </si>
  <si>
    <t>Guaratinguetá</t>
  </si>
  <si>
    <t>18404</t>
  </si>
  <si>
    <t>Guararema</t>
  </si>
  <si>
    <t>18305</t>
  </si>
  <si>
    <t>Guararapes</t>
  </si>
  <si>
    <t>18206</t>
  </si>
  <si>
    <t>Guarantã</t>
  </si>
  <si>
    <t>18107</t>
  </si>
  <si>
    <t>Guarani d'Oeste</t>
  </si>
  <si>
    <t>18008</t>
  </si>
  <si>
    <t>17901</t>
  </si>
  <si>
    <t>Guaraçaí</t>
  </si>
  <si>
    <t>17802</t>
  </si>
  <si>
    <t>Guará</t>
  </si>
  <si>
    <t>17703</t>
  </si>
  <si>
    <t>Guapiara</t>
  </si>
  <si>
    <t>17604</t>
  </si>
  <si>
    <t>Guapiaçu</t>
  </si>
  <si>
    <t>17505</t>
  </si>
  <si>
    <t>17406</t>
  </si>
  <si>
    <t>Guaimbê</t>
  </si>
  <si>
    <t>17307</t>
  </si>
  <si>
    <t>Guaiçara</t>
  </si>
  <si>
    <t>17208</t>
  </si>
  <si>
    <t>Glicério</t>
  </si>
  <si>
    <t>17109</t>
  </si>
  <si>
    <t>Getulina</t>
  </si>
  <si>
    <t>17000</t>
  </si>
  <si>
    <t>General Salgado</t>
  </si>
  <si>
    <t>16903</t>
  </si>
  <si>
    <t>Gavião Peixoto</t>
  </si>
  <si>
    <t>16853</t>
  </si>
  <si>
    <t>Gastão Vidigal</t>
  </si>
  <si>
    <t>16804</t>
  </si>
  <si>
    <t>Garça</t>
  </si>
  <si>
    <t>16705</t>
  </si>
  <si>
    <t>Gália</t>
  </si>
  <si>
    <t>16606</t>
  </si>
  <si>
    <t>Gabriel Monteiro</t>
  </si>
  <si>
    <t>16507</t>
  </si>
  <si>
    <t>Franco da Rocha</t>
  </si>
  <si>
    <t>16408</t>
  </si>
  <si>
    <t>Francisco Morato</t>
  </si>
  <si>
    <t>16309</t>
  </si>
  <si>
    <t>Franca</t>
  </si>
  <si>
    <t>16200</t>
  </si>
  <si>
    <t>Florínia</t>
  </si>
  <si>
    <t>16101</t>
  </si>
  <si>
    <t>Flórida Paulista</t>
  </si>
  <si>
    <t>16002</t>
  </si>
  <si>
    <t>Floreal</t>
  </si>
  <si>
    <t>15905</t>
  </si>
  <si>
    <t>Flora Rica</t>
  </si>
  <si>
    <t>15806</t>
  </si>
  <si>
    <t>Ferraz de Vasconcelos</t>
  </si>
  <si>
    <t>15707</t>
  </si>
  <si>
    <t>Fernão</t>
  </si>
  <si>
    <t>15657</t>
  </si>
  <si>
    <t>Fernando Prestes</t>
  </si>
  <si>
    <t>15608</t>
  </si>
  <si>
    <t>Fernandópolis</t>
  </si>
  <si>
    <t>15509</t>
  </si>
  <si>
    <t>Fartura</t>
  </si>
  <si>
    <t>15400</t>
  </si>
  <si>
    <t>Euclides da Cunha Paulista</t>
  </si>
  <si>
    <t>15350</t>
  </si>
  <si>
    <t>15301</t>
  </si>
  <si>
    <t>Estrela d'Oeste</t>
  </si>
  <si>
    <t>15202</t>
  </si>
  <si>
    <t>Espírito Santo do Turvo</t>
  </si>
  <si>
    <t>15194</t>
  </si>
  <si>
    <t>Espírito Santo do Pinhal</t>
  </si>
  <si>
    <t>15186</t>
  </si>
  <si>
    <t>Engenheiro Coelho</t>
  </si>
  <si>
    <t>15152</t>
  </si>
  <si>
    <t>Emilianópolis</t>
  </si>
  <si>
    <t>15129</t>
  </si>
  <si>
    <t>Embu-Guaçu</t>
  </si>
  <si>
    <t>15103</t>
  </si>
  <si>
    <t>Embu das Artes</t>
  </si>
  <si>
    <t>15004</t>
  </si>
  <si>
    <t>Embaúba</t>
  </si>
  <si>
    <t>14957</t>
  </si>
  <si>
    <t>Elisiário</t>
  </si>
  <si>
    <t>14924</t>
  </si>
  <si>
    <t>Elias Fausto</t>
  </si>
  <si>
    <t>14908</t>
  </si>
  <si>
    <t>14809</t>
  </si>
  <si>
    <t>Echaporã</t>
  </si>
  <si>
    <t>14700</t>
  </si>
  <si>
    <t>Dumont</t>
  </si>
  <si>
    <t>14601</t>
  </si>
  <si>
    <t>Duartina</t>
  </si>
  <si>
    <t>14502</t>
  </si>
  <si>
    <t>Dracena</t>
  </si>
  <si>
    <t>14403</t>
  </si>
  <si>
    <t>Dourado</t>
  </si>
  <si>
    <t>14304</t>
  </si>
  <si>
    <t>Dolcinópolis</t>
  </si>
  <si>
    <t>14205</t>
  </si>
  <si>
    <t>Dois Córregos</t>
  </si>
  <si>
    <t>14106</t>
  </si>
  <si>
    <t>Dobrada</t>
  </si>
  <si>
    <t>14007</t>
  </si>
  <si>
    <t>Divinolândia</t>
  </si>
  <si>
    <t>13900</t>
  </si>
  <si>
    <t>Dirce Reis</t>
  </si>
  <si>
    <t>13850</t>
  </si>
  <si>
    <t>Diadema</t>
  </si>
  <si>
    <t>13801</t>
  </si>
  <si>
    <t>Descalvado</t>
  </si>
  <si>
    <t>13702</t>
  </si>
  <si>
    <t>Cunha</t>
  </si>
  <si>
    <t>13603</t>
  </si>
  <si>
    <t>Cubatão</t>
  </si>
  <si>
    <t>13504</t>
  </si>
  <si>
    <t>Cruzeiro</t>
  </si>
  <si>
    <t>13405</t>
  </si>
  <si>
    <t>Cruzália</t>
  </si>
  <si>
    <t>13306</t>
  </si>
  <si>
    <t>Cristais Paulista</t>
  </si>
  <si>
    <t>13207</t>
  </si>
  <si>
    <t>Cravinhos</t>
  </si>
  <si>
    <t>13108</t>
  </si>
  <si>
    <t>Cotia</t>
  </si>
  <si>
    <t>13009</t>
  </si>
  <si>
    <t>Cosmorama</t>
  </si>
  <si>
    <t>12902</t>
  </si>
  <si>
    <t>Cosmópolis</t>
  </si>
  <si>
    <t>12803</t>
  </si>
  <si>
    <t>Corumbataí</t>
  </si>
  <si>
    <t>12704</t>
  </si>
  <si>
    <t>Coronel Macedo</t>
  </si>
  <si>
    <t>12605</t>
  </si>
  <si>
    <t>Coroados</t>
  </si>
  <si>
    <t>12506</t>
  </si>
  <si>
    <t>Cordeirópolis</t>
  </si>
  <si>
    <t>12407</t>
  </si>
  <si>
    <t>Conchas</t>
  </si>
  <si>
    <t>12308</t>
  </si>
  <si>
    <t>Conchal</t>
  </si>
  <si>
    <t>12209</t>
  </si>
  <si>
    <t>Colômbia</t>
  </si>
  <si>
    <t>12100</t>
  </si>
  <si>
    <t>Colina</t>
  </si>
  <si>
    <t>12001</t>
  </si>
  <si>
    <t>Clementina</t>
  </si>
  <si>
    <t>11904</t>
  </si>
  <si>
    <t>Charqueada</t>
  </si>
  <si>
    <t>11706</t>
  </si>
  <si>
    <t>Cesário Lange</t>
  </si>
  <si>
    <t>11607</t>
  </si>
  <si>
    <t>Cerquilho</t>
  </si>
  <si>
    <t>11508</t>
  </si>
  <si>
    <t>Cerqueira César</t>
  </si>
  <si>
    <t>11409</t>
  </si>
  <si>
    <t>Cedral</t>
  </si>
  <si>
    <t>11300</t>
  </si>
  <si>
    <t>Catiguá</t>
  </si>
  <si>
    <t>11201</t>
  </si>
  <si>
    <t>Catanduva</t>
  </si>
  <si>
    <t>11102</t>
  </si>
  <si>
    <t>Castilho</t>
  </si>
  <si>
    <t>11003</t>
  </si>
  <si>
    <t>Cássia dos Coqueiros</t>
  </si>
  <si>
    <t>10906</t>
  </si>
  <si>
    <t>Casa Branca</t>
  </si>
  <si>
    <t>10807</t>
  </si>
  <si>
    <t>Cardoso</t>
  </si>
  <si>
    <t>10708</t>
  </si>
  <si>
    <t>Carapicuíba</t>
  </si>
  <si>
    <t>10609</t>
  </si>
  <si>
    <t>Caraguatatuba</t>
  </si>
  <si>
    <t>10500</t>
  </si>
  <si>
    <t>Capivari</t>
  </si>
  <si>
    <t>10401</t>
  </si>
  <si>
    <t>Capela do Alto</t>
  </si>
  <si>
    <t>10302</t>
  </si>
  <si>
    <t>Capão Bonito</t>
  </si>
  <si>
    <t>10203</t>
  </si>
  <si>
    <t>Canitar</t>
  </si>
  <si>
    <t>10153</t>
  </si>
  <si>
    <t>Cândido Rodrigues</t>
  </si>
  <si>
    <t>10104</t>
  </si>
  <si>
    <t>Cândido Mota</t>
  </si>
  <si>
    <t>10005</t>
  </si>
  <si>
    <t>Canas</t>
  </si>
  <si>
    <t>09957</t>
  </si>
  <si>
    <t>Cananéia</t>
  </si>
  <si>
    <t>09908</t>
  </si>
  <si>
    <t>Campos Novos Paulista</t>
  </si>
  <si>
    <t>09809</t>
  </si>
  <si>
    <t>Campos do Jordão</t>
  </si>
  <si>
    <t>09700</t>
  </si>
  <si>
    <t>Campo Limpo Paulista</t>
  </si>
  <si>
    <t>09601</t>
  </si>
  <si>
    <t>Campinas</t>
  </si>
  <si>
    <t>09502</t>
  </si>
  <si>
    <t>Campina do Monte Alegre</t>
  </si>
  <si>
    <t>09452</t>
  </si>
  <si>
    <t>Cajuru</t>
  </si>
  <si>
    <t>09403</t>
  </si>
  <si>
    <t>Cajobi</t>
  </si>
  <si>
    <t>09304</t>
  </si>
  <si>
    <t>Cajati</t>
  </si>
  <si>
    <t>09254</t>
  </si>
  <si>
    <t>Cajamar</t>
  </si>
  <si>
    <t>09205</t>
  </si>
  <si>
    <t>Caiuá</t>
  </si>
  <si>
    <t>09106</t>
  </si>
  <si>
    <t>Caieiras</t>
  </si>
  <si>
    <t>09007</t>
  </si>
  <si>
    <t>Caiabu</t>
  </si>
  <si>
    <t>08900</t>
  </si>
  <si>
    <t>08801</t>
  </si>
  <si>
    <t>Caconde</t>
  </si>
  <si>
    <t>08702</t>
  </si>
  <si>
    <t>Cachoeira Paulista</t>
  </si>
  <si>
    <t>08603</t>
  </si>
  <si>
    <t>Caçapava</t>
  </si>
  <si>
    <t>08504</t>
  </si>
  <si>
    <t>Cabreúva</t>
  </si>
  <si>
    <t>08405</t>
  </si>
  <si>
    <t>Cabrália Paulista</t>
  </si>
  <si>
    <t>08306</t>
  </si>
  <si>
    <t>Buritizal</t>
  </si>
  <si>
    <t>08207</t>
  </si>
  <si>
    <t>Buritama</t>
  </si>
  <si>
    <t>08108</t>
  </si>
  <si>
    <t>Buri</t>
  </si>
  <si>
    <t>08009</t>
  </si>
  <si>
    <t>Brotas</t>
  </si>
  <si>
    <t>07902</t>
  </si>
  <si>
    <t>Brodowski</t>
  </si>
  <si>
    <t>07803</t>
  </si>
  <si>
    <t>Brejo Alegre</t>
  </si>
  <si>
    <t>07753</t>
  </si>
  <si>
    <t>Braúna</t>
  </si>
  <si>
    <t>07704</t>
  </si>
  <si>
    <t>Bragança Paulista</t>
  </si>
  <si>
    <t>07605</t>
  </si>
  <si>
    <t>Botucatu</t>
  </si>
  <si>
    <t>07506</t>
  </si>
  <si>
    <t>Borebi</t>
  </si>
  <si>
    <t>07456</t>
  </si>
  <si>
    <t>Borborema</t>
  </si>
  <si>
    <t>07407</t>
  </si>
  <si>
    <t>Boracéia</t>
  </si>
  <si>
    <t>07308</t>
  </si>
  <si>
    <t>Borá</t>
  </si>
  <si>
    <t>07209</t>
  </si>
  <si>
    <t>Bom Sucesso de Itararé</t>
  </si>
  <si>
    <t>07159</t>
  </si>
  <si>
    <t>Bom Jesus dos Perdões</t>
  </si>
  <si>
    <t>07100</t>
  </si>
  <si>
    <t>Boituva</t>
  </si>
  <si>
    <t>07001</t>
  </si>
  <si>
    <t>Bofete</t>
  </si>
  <si>
    <t>06904</t>
  </si>
  <si>
    <t>Bocaina</t>
  </si>
  <si>
    <t>06805</t>
  </si>
  <si>
    <t>Boa Esperança do Sul</t>
  </si>
  <si>
    <t>06706</t>
  </si>
  <si>
    <t>Biritiba-Mirim</t>
  </si>
  <si>
    <t>06607</t>
  </si>
  <si>
    <t>Birigui</t>
  </si>
  <si>
    <t>06508</t>
  </si>
  <si>
    <t>Bilac</t>
  </si>
  <si>
    <t>06409</t>
  </si>
  <si>
    <t>Bertioga</t>
  </si>
  <si>
    <t>06359</t>
  </si>
  <si>
    <t>Bernardino de Campos</t>
  </si>
  <si>
    <t>06300</t>
  </si>
  <si>
    <t>Bento de Abreu</t>
  </si>
  <si>
    <t>06201</t>
  </si>
  <si>
    <t>Bebedouro</t>
  </si>
  <si>
    <t>06102</t>
  </si>
  <si>
    <t>Bauru</t>
  </si>
  <si>
    <t>06003</t>
  </si>
  <si>
    <t>Batatais</t>
  </si>
  <si>
    <t>05906</t>
  </si>
  <si>
    <t>Bastos</t>
  </si>
  <si>
    <t>05807</t>
  </si>
  <si>
    <t>Barueri</t>
  </si>
  <si>
    <t>05708</t>
  </si>
  <si>
    <t>Barrinha</t>
  </si>
  <si>
    <t>05609</t>
  </si>
  <si>
    <t>Barretos</t>
  </si>
  <si>
    <t>05500</t>
  </si>
  <si>
    <t>Barra do Turvo</t>
  </si>
  <si>
    <t>05401</t>
  </si>
  <si>
    <t>Barra do Chapéu</t>
  </si>
  <si>
    <t>05351</t>
  </si>
  <si>
    <t>05302</t>
  </si>
  <si>
    <t>Bariri</t>
  </si>
  <si>
    <t>05203</t>
  </si>
  <si>
    <t>Barbosa</t>
  </si>
  <si>
    <t>05104</t>
  </si>
  <si>
    <t>Barão de Antonina</t>
  </si>
  <si>
    <t>05005</t>
  </si>
  <si>
    <t>Bananal</t>
  </si>
  <si>
    <t>04909</t>
  </si>
  <si>
    <t>Bálsamo</t>
  </si>
  <si>
    <t>04800</t>
  </si>
  <si>
    <t>Balbinos</t>
  </si>
  <si>
    <t>04701</t>
  </si>
  <si>
    <t>Bady Bassitt</t>
  </si>
  <si>
    <t>04602</t>
  </si>
  <si>
    <t>Avaré</t>
  </si>
  <si>
    <t>04503</t>
  </si>
  <si>
    <t>Avanhandava</t>
  </si>
  <si>
    <t>04404</t>
  </si>
  <si>
    <t>Avaí</t>
  </si>
  <si>
    <t>04305</t>
  </si>
  <si>
    <t>Auriflama</t>
  </si>
  <si>
    <t>04206</t>
  </si>
  <si>
    <t>Atibaia</t>
  </si>
  <si>
    <t>04107</t>
  </si>
  <si>
    <t>Assis</t>
  </si>
  <si>
    <t>04008</t>
  </si>
  <si>
    <t>Aspásia</t>
  </si>
  <si>
    <t>03950</t>
  </si>
  <si>
    <t>Arujá</t>
  </si>
  <si>
    <t>03901</t>
  </si>
  <si>
    <t>Artur Nogueira</t>
  </si>
  <si>
    <t>03802</t>
  </si>
  <si>
    <t>Ariranha</t>
  </si>
  <si>
    <t>03703</t>
  </si>
  <si>
    <t>Areiópolis</t>
  </si>
  <si>
    <t>03604</t>
  </si>
  <si>
    <t>Areias</t>
  </si>
  <si>
    <t>03505</t>
  </si>
  <si>
    <t>Arealva</t>
  </si>
  <si>
    <t>03406</t>
  </si>
  <si>
    <t>Arco-Íris</t>
  </si>
  <si>
    <t>03356</t>
  </si>
  <si>
    <t>Araras</t>
  </si>
  <si>
    <t>03307</t>
  </si>
  <si>
    <t>Araraquara</t>
  </si>
  <si>
    <t>03208</t>
  </si>
  <si>
    <t>Arapeí</t>
  </si>
  <si>
    <t>03158</t>
  </si>
  <si>
    <t>Arandu</t>
  </si>
  <si>
    <t>03109</t>
  </si>
  <si>
    <t>Aramina</t>
  </si>
  <si>
    <t>03000</t>
  </si>
  <si>
    <t>Araçoiaba da Serra</t>
  </si>
  <si>
    <t>02903</t>
  </si>
  <si>
    <t>Araçatuba</t>
  </si>
  <si>
    <t>02804</t>
  </si>
  <si>
    <t>Araçariguama</t>
  </si>
  <si>
    <t>02754</t>
  </si>
  <si>
    <t>Apiaí</t>
  </si>
  <si>
    <t>02705</t>
  </si>
  <si>
    <t>Aparecida d'Oeste</t>
  </si>
  <si>
    <t>02606</t>
  </si>
  <si>
    <t>Aparecida</t>
  </si>
  <si>
    <t>02507</t>
  </si>
  <si>
    <t>Anhumas</t>
  </si>
  <si>
    <t>02408</t>
  </si>
  <si>
    <t>Anhembi</t>
  </si>
  <si>
    <t>02309</t>
  </si>
  <si>
    <t>Angatuba</t>
  </si>
  <si>
    <t>02200</t>
  </si>
  <si>
    <t>Andradina</t>
  </si>
  <si>
    <t>02101</t>
  </si>
  <si>
    <t>Analândia</t>
  </si>
  <si>
    <t>02002</t>
  </si>
  <si>
    <t>Amparo</t>
  </si>
  <si>
    <t>01905</t>
  </si>
  <si>
    <t>Américo de Campos</t>
  </si>
  <si>
    <t>01806</t>
  </si>
  <si>
    <t>Américo Brasiliense</t>
  </si>
  <si>
    <t>01707</t>
  </si>
  <si>
    <t>Americana</t>
  </si>
  <si>
    <t>01608</t>
  </si>
  <si>
    <t>Alvinlândia</t>
  </si>
  <si>
    <t>01509</t>
  </si>
  <si>
    <t>Álvaro de Carvalho</t>
  </si>
  <si>
    <t>01400</t>
  </si>
  <si>
    <t>Álvares Machado</t>
  </si>
  <si>
    <t>01301</t>
  </si>
  <si>
    <t>Álvares Florence</t>
  </si>
  <si>
    <t>01202</t>
  </si>
  <si>
    <t>Alumínio</t>
  </si>
  <si>
    <t>01152</t>
  </si>
  <si>
    <t>01103</t>
  </si>
  <si>
    <t>Altinópolis</t>
  </si>
  <si>
    <t>01004</t>
  </si>
  <si>
    <t>Altair</t>
  </si>
  <si>
    <t>00907</t>
  </si>
  <si>
    <t>Alfredo Marcondes</t>
  </si>
  <si>
    <t>00808</t>
  </si>
  <si>
    <t>Alambari</t>
  </si>
  <si>
    <t>00758</t>
  </si>
  <si>
    <t>Agudos</t>
  </si>
  <si>
    <t>00709</t>
  </si>
  <si>
    <t>Águas de São Pedro</t>
  </si>
  <si>
    <t>00600</t>
  </si>
  <si>
    <t>Águas de Santa Bárbara</t>
  </si>
  <si>
    <t>00550</t>
  </si>
  <si>
    <t>Águas de Lindóia</t>
  </si>
  <si>
    <t>00501</t>
  </si>
  <si>
    <t>Águas da Prata</t>
  </si>
  <si>
    <t>00402</t>
  </si>
  <si>
    <t>Aguaí</t>
  </si>
  <si>
    <t>00303</t>
  </si>
  <si>
    <t>Adolfo</t>
  </si>
  <si>
    <t>00204</t>
  </si>
  <si>
    <t>Adamantina</t>
  </si>
  <si>
    <t>00105</t>
  </si>
  <si>
    <t>Volta Redonda</t>
  </si>
  <si>
    <t>Vassouras</t>
  </si>
  <si>
    <t>Varre-Sai</t>
  </si>
  <si>
    <t>06156</t>
  </si>
  <si>
    <t>Valença</t>
  </si>
  <si>
    <t>06107</t>
  </si>
  <si>
    <t>Três Rios</t>
  </si>
  <si>
    <t>06008</t>
  </si>
  <si>
    <t>Trajano de Moraes</t>
  </si>
  <si>
    <t>Teresópolis</t>
  </si>
  <si>
    <t>Tanguá</t>
  </si>
  <si>
    <t>05752</t>
  </si>
  <si>
    <t>Sumidouro</t>
  </si>
  <si>
    <t>Silva Jardim</t>
  </si>
  <si>
    <t>05604</t>
  </si>
  <si>
    <t>Seropédica</t>
  </si>
  <si>
    <t>05554</t>
  </si>
  <si>
    <t>Saquarema</t>
  </si>
  <si>
    <t>05505</t>
  </si>
  <si>
    <t>Sapucaia</t>
  </si>
  <si>
    <t>São Sebastião do Alto</t>
  </si>
  <si>
    <t>São Pedro da Aldeia</t>
  </si>
  <si>
    <t>São José do Vale do Rio Preto</t>
  </si>
  <si>
    <t>05158</t>
  </si>
  <si>
    <t>São José de Ubá</t>
  </si>
  <si>
    <t>05133</t>
  </si>
  <si>
    <t>São João de Meriti</t>
  </si>
  <si>
    <t>São João da Barra</t>
  </si>
  <si>
    <t>São Gonçalo</t>
  </si>
  <si>
    <t>São Fidélis</t>
  </si>
  <si>
    <t>São Francisco de Itabapoana</t>
  </si>
  <si>
    <t>04755</t>
  </si>
  <si>
    <t>Santo Antônio de Pádua</t>
  </si>
  <si>
    <t>Santa Maria Madalena</t>
  </si>
  <si>
    <t>Rio de Janeiro</t>
  </si>
  <si>
    <t>Rio das Ostras</t>
  </si>
  <si>
    <t>04524</t>
  </si>
  <si>
    <t>Rio das Flores</t>
  </si>
  <si>
    <t>Rio Bonito</t>
  </si>
  <si>
    <t>Resende</t>
  </si>
  <si>
    <t>Quissamã</t>
  </si>
  <si>
    <t>04151</t>
  </si>
  <si>
    <t>Queimados</t>
  </si>
  <si>
    <t>04144</t>
  </si>
  <si>
    <t>Quatis</t>
  </si>
  <si>
    <t>04128</t>
  </si>
  <si>
    <t>Porto Real</t>
  </si>
  <si>
    <t>04110</t>
  </si>
  <si>
    <t>Porciúncula</t>
  </si>
  <si>
    <t>Piraí</t>
  </si>
  <si>
    <t>Pinheiral</t>
  </si>
  <si>
    <t>03955</t>
  </si>
  <si>
    <t>Petrópolis</t>
  </si>
  <si>
    <t>Paty do Alferes</t>
  </si>
  <si>
    <t>03856</t>
  </si>
  <si>
    <t>Paraty</t>
  </si>
  <si>
    <t>Paraíba do Sul</t>
  </si>
  <si>
    <t>03708</t>
  </si>
  <si>
    <t>Paracambi</t>
  </si>
  <si>
    <t>Nova Iguaçu</t>
  </si>
  <si>
    <t>Nova Friburgo</t>
  </si>
  <si>
    <t>Niterói</t>
  </si>
  <si>
    <t>Nilópolis</t>
  </si>
  <si>
    <t>Natividade</t>
  </si>
  <si>
    <t>Miracema</t>
  </si>
  <si>
    <t>03005</t>
  </si>
  <si>
    <t>Miguel Pereira</t>
  </si>
  <si>
    <t>02908</t>
  </si>
  <si>
    <t>Mesquita</t>
  </si>
  <si>
    <t>02858</t>
  </si>
  <si>
    <t>Mendes</t>
  </si>
  <si>
    <t>Maricá</t>
  </si>
  <si>
    <t>02700</t>
  </si>
  <si>
    <t>Mangaratiba</t>
  </si>
  <si>
    <t>Magé</t>
  </si>
  <si>
    <t>Macuco</t>
  </si>
  <si>
    <t>02452</t>
  </si>
  <si>
    <t>Macaé</t>
  </si>
  <si>
    <t>02403</t>
  </si>
  <si>
    <t>Laje do Muriaé</t>
  </si>
  <si>
    <t>02304</t>
  </si>
  <si>
    <t>Japeri</t>
  </si>
  <si>
    <t>02270</t>
  </si>
  <si>
    <t>Itatiaia</t>
  </si>
  <si>
    <t>02254</t>
  </si>
  <si>
    <t>Itaperuna</t>
  </si>
  <si>
    <t>02205</t>
  </si>
  <si>
    <t>Itaocara</t>
  </si>
  <si>
    <t>02106</t>
  </si>
  <si>
    <t>Italva</t>
  </si>
  <si>
    <t>02056</t>
  </si>
  <si>
    <t>Itaguaí</t>
  </si>
  <si>
    <t>02007</t>
  </si>
  <si>
    <t>Itaboraí</t>
  </si>
  <si>
    <t>01900</t>
  </si>
  <si>
    <t>Iguaba Grande</t>
  </si>
  <si>
    <t>01876</t>
  </si>
  <si>
    <t>Guapimirim</t>
  </si>
  <si>
    <t>01850</t>
  </si>
  <si>
    <t>Engenheiro Paulo de Frontin</t>
  </si>
  <si>
    <t>Duque de Caxias</t>
  </si>
  <si>
    <t>Duas Barras</t>
  </si>
  <si>
    <t>Cordeiro</t>
  </si>
  <si>
    <t>Conceição de Macabu</t>
  </si>
  <si>
    <t>Casimiro de Abreu</t>
  </si>
  <si>
    <t>Carmo</t>
  </si>
  <si>
    <t>Cardoso Moreira</t>
  </si>
  <si>
    <t>01157</t>
  </si>
  <si>
    <t>Campos dos Goytacazes</t>
  </si>
  <si>
    <t>01009</t>
  </si>
  <si>
    <t>Comendador Levy Gasparian</t>
  </si>
  <si>
    <t>00951</t>
  </si>
  <si>
    <t>Carapebus</t>
  </si>
  <si>
    <t>00936</t>
  </si>
  <si>
    <t>Cambuci</t>
  </si>
  <si>
    <t>Cachoeiras de Macacu</t>
  </si>
  <si>
    <t>Cabo Frio</t>
  </si>
  <si>
    <t>00704</t>
  </si>
  <si>
    <t>Bom Jesus do Itabapoana</t>
  </si>
  <si>
    <t>Bom Jardim</t>
  </si>
  <si>
    <t>Belford Roxo</t>
  </si>
  <si>
    <t>00456</t>
  </si>
  <si>
    <t>Barra Mansa</t>
  </si>
  <si>
    <t>00407</t>
  </si>
  <si>
    <t>Barra do Piraí</t>
  </si>
  <si>
    <t>Arraial do Cabo</t>
  </si>
  <si>
    <t>Armação dos Búzios</t>
  </si>
  <si>
    <t>00233</t>
  </si>
  <si>
    <t>Areal</t>
  </si>
  <si>
    <t>00225</t>
  </si>
  <si>
    <t>Araruama</t>
  </si>
  <si>
    <t>Aperibé</t>
  </si>
  <si>
    <t>Angra dos Reis</t>
  </si>
  <si>
    <t>Vitória</t>
  </si>
  <si>
    <t>Vila Velha</t>
  </si>
  <si>
    <t>Vila Valério</t>
  </si>
  <si>
    <t>Vila Pavão</t>
  </si>
  <si>
    <t>Viana</t>
  </si>
  <si>
    <t>Venda Nova do Imigrante</t>
  </si>
  <si>
    <t>05069</t>
  </si>
  <si>
    <t>Vargem Alta</t>
  </si>
  <si>
    <t>05036</t>
  </si>
  <si>
    <t>Sooretama</t>
  </si>
  <si>
    <t>05010</t>
  </si>
  <si>
    <t>Serra</t>
  </si>
  <si>
    <t>São Roque do Canaã</t>
  </si>
  <si>
    <t>04955</t>
  </si>
  <si>
    <t>São Mateus</t>
  </si>
  <si>
    <t>São José do Calçado</t>
  </si>
  <si>
    <t>São Gabriel da Palha</t>
  </si>
  <si>
    <t>04708</t>
  </si>
  <si>
    <t>São Domingos do Norte</t>
  </si>
  <si>
    <t>04658</t>
  </si>
  <si>
    <t>Santa Teresa</t>
  </si>
  <si>
    <t>Santa Maria de Jetibá</t>
  </si>
  <si>
    <t>Santa Leopoldina</t>
  </si>
  <si>
    <t>Rio Novo do Sul</t>
  </si>
  <si>
    <t>04401</t>
  </si>
  <si>
    <t>Rio Bananal</t>
  </si>
  <si>
    <t>04351</t>
  </si>
  <si>
    <t>Presidente Kennedy</t>
  </si>
  <si>
    <t>04302</t>
  </si>
  <si>
    <t>Ponto Belo</t>
  </si>
  <si>
    <t>04252</t>
  </si>
  <si>
    <t>Piúma</t>
  </si>
  <si>
    <t>Pinheiros</t>
  </si>
  <si>
    <t>Pedro Canário</t>
  </si>
  <si>
    <t>04054</t>
  </si>
  <si>
    <t>Pancas</t>
  </si>
  <si>
    <t>04005</t>
  </si>
  <si>
    <t>Nova Venécia</t>
  </si>
  <si>
    <t>Muqui</t>
  </si>
  <si>
    <t>Muniz Freire</t>
  </si>
  <si>
    <t>Mucurici</t>
  </si>
  <si>
    <t>Montanha</t>
  </si>
  <si>
    <t>Mimoso do Sul</t>
  </si>
  <si>
    <t>Marilândia</t>
  </si>
  <si>
    <t>Marechal Floriano</t>
  </si>
  <si>
    <t>03346</t>
  </si>
  <si>
    <t>Marataízes</t>
  </si>
  <si>
    <t>03320</t>
  </si>
  <si>
    <t>Mantenópolis</t>
  </si>
  <si>
    <t>Linhares</t>
  </si>
  <si>
    <t>Laranja da Terra</t>
  </si>
  <si>
    <t>03163</t>
  </si>
  <si>
    <t>João Neiva</t>
  </si>
  <si>
    <t>03130</t>
  </si>
  <si>
    <t>Jerônimo Monteiro</t>
  </si>
  <si>
    <t>Jaguaré</t>
  </si>
  <si>
    <t>Iúna</t>
  </si>
  <si>
    <t>Itarana</t>
  </si>
  <si>
    <t>02900</t>
  </si>
  <si>
    <t>Itapemirim</t>
  </si>
  <si>
    <t>02801</t>
  </si>
  <si>
    <t>Itaguaçu</t>
  </si>
  <si>
    <t>Irupi</t>
  </si>
  <si>
    <t>02652</t>
  </si>
  <si>
    <t>Iconha</t>
  </si>
  <si>
    <t>Ibitirama</t>
  </si>
  <si>
    <t>02553</t>
  </si>
  <si>
    <t>Ibiraçu</t>
  </si>
  <si>
    <t>Ibatiba</t>
  </si>
  <si>
    <t>02454</t>
  </si>
  <si>
    <t>Guarapari</t>
  </si>
  <si>
    <t>02405</t>
  </si>
  <si>
    <t>Guaçuí</t>
  </si>
  <si>
    <t>02306</t>
  </si>
  <si>
    <t>Governador Lindenberg</t>
  </si>
  <si>
    <t>02256</t>
  </si>
  <si>
    <t>Fundão</t>
  </si>
  <si>
    <t>02207</t>
  </si>
  <si>
    <t>Ecoporanga</t>
  </si>
  <si>
    <t>02108</t>
  </si>
  <si>
    <t>Dores do Rio Preto</t>
  </si>
  <si>
    <t>02009</t>
  </si>
  <si>
    <t>Domingos Martins</t>
  </si>
  <si>
    <t>Divino de São Lourenço</t>
  </si>
  <si>
    <t>Conceição do Castelo</t>
  </si>
  <si>
    <t>Conceição da Barra</t>
  </si>
  <si>
    <t>Colatina</t>
  </si>
  <si>
    <t>01506</t>
  </si>
  <si>
    <t>Castelo</t>
  </si>
  <si>
    <t>Cariacica</t>
  </si>
  <si>
    <t>Cachoeiro de Itapemirim</t>
  </si>
  <si>
    <t>Brejetuba</t>
  </si>
  <si>
    <t>01159</t>
  </si>
  <si>
    <t>Bom Jesus do Norte</t>
  </si>
  <si>
    <t>01100</t>
  </si>
  <si>
    <t>Barra de São Francisco</t>
  </si>
  <si>
    <t>00904</t>
  </si>
  <si>
    <t>Baixo Guandu</t>
  </si>
  <si>
    <t>Atilio Vivacqua</t>
  </si>
  <si>
    <t>00706</t>
  </si>
  <si>
    <t>Aracruz</t>
  </si>
  <si>
    <t>Apiacá</t>
  </si>
  <si>
    <t>Alto Rio Novo</t>
  </si>
  <si>
    <t>Alfredo Chaves</t>
  </si>
  <si>
    <t>Alegre</t>
  </si>
  <si>
    <t>Água Doce do Norte</t>
  </si>
  <si>
    <t>00169</t>
  </si>
  <si>
    <t>Águia Branca</t>
  </si>
  <si>
    <t>00136</t>
  </si>
  <si>
    <t>Afonso Cláudio</t>
  </si>
  <si>
    <t>72202</t>
  </si>
  <si>
    <t>Volta Grande</t>
  </si>
  <si>
    <t>72103</t>
  </si>
  <si>
    <t>Visconde do Rio Branco</t>
  </si>
  <si>
    <t>72004</t>
  </si>
  <si>
    <t>Virgolândia</t>
  </si>
  <si>
    <t>71907</t>
  </si>
  <si>
    <t>Virginópolis</t>
  </si>
  <si>
    <t>71808</t>
  </si>
  <si>
    <t>Virgínia</t>
  </si>
  <si>
    <t>71709</t>
  </si>
  <si>
    <t>Virgem da Lapa</t>
  </si>
  <si>
    <t>71600</t>
  </si>
  <si>
    <t>Mathias Lobato</t>
  </si>
  <si>
    <t>71501</t>
  </si>
  <si>
    <t>Vieiras</t>
  </si>
  <si>
    <t>71402</t>
  </si>
  <si>
    <t>Viçosa</t>
  </si>
  <si>
    <t>71303</t>
  </si>
  <si>
    <t>Vespasiano</t>
  </si>
  <si>
    <t>71204</t>
  </si>
  <si>
    <t>Vermelho Novo</t>
  </si>
  <si>
    <t>71154</t>
  </si>
  <si>
    <t>Veríssimo</t>
  </si>
  <si>
    <t>71105</t>
  </si>
  <si>
    <t>Veredinha</t>
  </si>
  <si>
    <t>71071</t>
  </si>
  <si>
    <t>Verdelândia</t>
  </si>
  <si>
    <t>71030</t>
  </si>
  <si>
    <t>Vazante</t>
  </si>
  <si>
    <t>71006</t>
  </si>
  <si>
    <t>Varzelândia</t>
  </si>
  <si>
    <t>70909</t>
  </si>
  <si>
    <t>Várzea da Palma</t>
  </si>
  <si>
    <t>70800</t>
  </si>
  <si>
    <t>Varjão de Minas</t>
  </si>
  <si>
    <t>70750</t>
  </si>
  <si>
    <t>Varginha</t>
  </si>
  <si>
    <t>70701</t>
  </si>
  <si>
    <t>Vargem Grande do Rio Pardo</t>
  </si>
  <si>
    <t>70651</t>
  </si>
  <si>
    <t>70602</t>
  </si>
  <si>
    <t>Vargem Alegre</t>
  </si>
  <si>
    <t>70578</t>
  </si>
  <si>
    <t>Urucuia</t>
  </si>
  <si>
    <t>70529</t>
  </si>
  <si>
    <t>Urucânia</t>
  </si>
  <si>
    <t>70503</t>
  </si>
  <si>
    <t>Uruana de Minas</t>
  </si>
  <si>
    <t>70479</t>
  </si>
  <si>
    <t>União de Minas</t>
  </si>
  <si>
    <t>70438</t>
  </si>
  <si>
    <t>Unaí</t>
  </si>
  <si>
    <t>70404</t>
  </si>
  <si>
    <t>Umburatiba</t>
  </si>
  <si>
    <t>70305</t>
  </si>
  <si>
    <t>Uberlândia</t>
  </si>
  <si>
    <t>70206</t>
  </si>
  <si>
    <t>Uberaba</t>
  </si>
  <si>
    <t>70107</t>
  </si>
  <si>
    <t>Ubaporanga</t>
  </si>
  <si>
    <t>70057</t>
  </si>
  <si>
    <t>Ubaí</t>
  </si>
  <si>
    <t>70008</t>
  </si>
  <si>
    <t>Ubá</t>
  </si>
  <si>
    <t>69901</t>
  </si>
  <si>
    <t>Turvolândia</t>
  </si>
  <si>
    <t>69802</t>
  </si>
  <si>
    <t>69703</t>
  </si>
  <si>
    <t>Tupaciguara</t>
  </si>
  <si>
    <t>69604</t>
  </si>
  <si>
    <t>Tumiritinga</t>
  </si>
  <si>
    <t>69505</t>
  </si>
  <si>
    <t>Três Pontas</t>
  </si>
  <si>
    <t>69406</t>
  </si>
  <si>
    <t>Três Marias</t>
  </si>
  <si>
    <t>69356</t>
  </si>
  <si>
    <t>Três Corações</t>
  </si>
  <si>
    <t>69307</t>
  </si>
  <si>
    <t>Tombos</t>
  </si>
  <si>
    <t>69208</t>
  </si>
  <si>
    <t>69109</t>
  </si>
  <si>
    <t>Tocos do Moji</t>
  </si>
  <si>
    <t>69059</t>
  </si>
  <si>
    <t>Tocantins</t>
  </si>
  <si>
    <t>69000</t>
  </si>
  <si>
    <t>Tiros</t>
  </si>
  <si>
    <t>68903</t>
  </si>
  <si>
    <t>Tiradentes</t>
  </si>
  <si>
    <t>68804</t>
  </si>
  <si>
    <t>Timóteo</t>
  </si>
  <si>
    <t>68705</t>
  </si>
  <si>
    <t>Teófilo Otoni</t>
  </si>
  <si>
    <t>68606</t>
  </si>
  <si>
    <t>Teixeiras</t>
  </si>
  <si>
    <t>68507</t>
  </si>
  <si>
    <t>Tarumirim</t>
  </si>
  <si>
    <t>68408</t>
  </si>
  <si>
    <t>Taquaraçu de Minas</t>
  </si>
  <si>
    <t>68309</t>
  </si>
  <si>
    <t>68200</t>
  </si>
  <si>
    <t>68101</t>
  </si>
  <si>
    <t>Taparuba</t>
  </si>
  <si>
    <t>68051</t>
  </si>
  <si>
    <t>Taiobeiras</t>
  </si>
  <si>
    <t>68002</t>
  </si>
  <si>
    <t>Tabuleiro</t>
  </si>
  <si>
    <t>67905</t>
  </si>
  <si>
    <t>Soledade de Minas</t>
  </si>
  <si>
    <t>67806</t>
  </si>
  <si>
    <t>Sobrália</t>
  </si>
  <si>
    <t>67707</t>
  </si>
  <si>
    <t>Simonésia</t>
  </si>
  <si>
    <t>67608</t>
  </si>
  <si>
    <t>Simão Pereira</t>
  </si>
  <si>
    <t>67509</t>
  </si>
  <si>
    <t>Silvianópolis</t>
  </si>
  <si>
    <t>67400</t>
  </si>
  <si>
    <t>Silveirânia</t>
  </si>
  <si>
    <t>67301</t>
  </si>
  <si>
    <t>Sete Lagoas</t>
  </si>
  <si>
    <t>67202</t>
  </si>
  <si>
    <t>Serro</t>
  </si>
  <si>
    <t>67103</t>
  </si>
  <si>
    <t>Serranos</t>
  </si>
  <si>
    <t>67004</t>
  </si>
  <si>
    <t>Serranópolis de Minas</t>
  </si>
  <si>
    <t>66956</t>
  </si>
  <si>
    <t>Serrania</t>
  </si>
  <si>
    <t>66907</t>
  </si>
  <si>
    <t>Serra do Salitre</t>
  </si>
  <si>
    <t>66808</t>
  </si>
  <si>
    <t>Serra dos Aimorés</t>
  </si>
  <si>
    <t>66709</t>
  </si>
  <si>
    <t>Serra da Saudade</t>
  </si>
  <si>
    <t>66600</t>
  </si>
  <si>
    <t>Serra Azul de Minas</t>
  </si>
  <si>
    <t>66501</t>
  </si>
  <si>
    <t>Seritinga</t>
  </si>
  <si>
    <t>66402</t>
  </si>
  <si>
    <t>Sericita</t>
  </si>
  <si>
    <t>66303</t>
  </si>
  <si>
    <t>Senhora dos Remédios</t>
  </si>
  <si>
    <t>66204</t>
  </si>
  <si>
    <t>Senhora do Porto</t>
  </si>
  <si>
    <t>66105</t>
  </si>
  <si>
    <t>Senhora de Oliveira</t>
  </si>
  <si>
    <t>66006</t>
  </si>
  <si>
    <t>Senador Modestino Gonçalves</t>
  </si>
  <si>
    <t>65909</t>
  </si>
  <si>
    <t>Senador José Bento</t>
  </si>
  <si>
    <t>65800</t>
  </si>
  <si>
    <t>Senador Firmino</t>
  </si>
  <si>
    <t>65701</t>
  </si>
  <si>
    <t>Senador Cortes</t>
  </si>
  <si>
    <t>65602</t>
  </si>
  <si>
    <t>Senador Amaral</t>
  </si>
  <si>
    <t>65578</t>
  </si>
  <si>
    <t>Sem-Peixe</t>
  </si>
  <si>
    <t>65560</t>
  </si>
  <si>
    <t>Setubinha</t>
  </si>
  <si>
    <t>65552</t>
  </si>
  <si>
    <t>Sarzedo</t>
  </si>
  <si>
    <t>65537</t>
  </si>
  <si>
    <t>Sardoá</t>
  </si>
  <si>
    <t>65503</t>
  </si>
  <si>
    <t>Sapucaí-Mirim</t>
  </si>
  <si>
    <t>65404</t>
  </si>
  <si>
    <t>São Vicente de Minas</t>
  </si>
  <si>
    <t>65305</t>
  </si>
  <si>
    <t>São Thomé das Letras</t>
  </si>
  <si>
    <t>65206</t>
  </si>
  <si>
    <t>São Tomás de Aquino</t>
  </si>
  <si>
    <t>65107</t>
  </si>
  <si>
    <t>São Tiago</t>
  </si>
  <si>
    <t>65008</t>
  </si>
  <si>
    <t>São Sebastião do Rio Verde</t>
  </si>
  <si>
    <t>64902</t>
  </si>
  <si>
    <t>São Sebastião do Rio Preto</t>
  </si>
  <si>
    <t>64803</t>
  </si>
  <si>
    <t>São Sebastião do Paraíso</t>
  </si>
  <si>
    <t>64704</t>
  </si>
  <si>
    <t>São Sebastião do Oeste</t>
  </si>
  <si>
    <t>64605</t>
  </si>
  <si>
    <t>São Sebastião do Maranhão</t>
  </si>
  <si>
    <t>64506</t>
  </si>
  <si>
    <t>São Sebastião do Anta</t>
  </si>
  <si>
    <t>64472</t>
  </si>
  <si>
    <t>São Sebastião da Vargem Alegre</t>
  </si>
  <si>
    <t>64431</t>
  </si>
  <si>
    <t>São Sebastião da Bela Vista</t>
  </si>
  <si>
    <t>64407</t>
  </si>
  <si>
    <t>São Roque de Minas</t>
  </si>
  <si>
    <t>64308</t>
  </si>
  <si>
    <t>São Romão</t>
  </si>
  <si>
    <t>64209</t>
  </si>
  <si>
    <t>São Pedro do Suaçuí</t>
  </si>
  <si>
    <t>64100</t>
  </si>
  <si>
    <t>São Pedro dos Ferros</t>
  </si>
  <si>
    <t>64001</t>
  </si>
  <si>
    <t>São Pedro da União</t>
  </si>
  <si>
    <t>63904</t>
  </si>
  <si>
    <t>São Miguel do Anta</t>
  </si>
  <si>
    <t>63805</t>
  </si>
  <si>
    <t>São Lourenço</t>
  </si>
  <si>
    <t>63706</t>
  </si>
  <si>
    <t>São José do Mantimento</t>
  </si>
  <si>
    <t>63607</t>
  </si>
  <si>
    <t>São José do Jacuri</t>
  </si>
  <si>
    <t>63508</t>
  </si>
  <si>
    <t>São José do Goiabal</t>
  </si>
  <si>
    <t>63409</t>
  </si>
  <si>
    <t>São José do Divino</t>
  </si>
  <si>
    <t>63300</t>
  </si>
  <si>
    <t>São José do Alegre</t>
  </si>
  <si>
    <t>63201</t>
  </si>
  <si>
    <t>São José da Varginha</t>
  </si>
  <si>
    <t>63102</t>
  </si>
  <si>
    <t>São José da Safira</t>
  </si>
  <si>
    <t>63003</t>
  </si>
  <si>
    <t>São José da Lapa</t>
  </si>
  <si>
    <t>62955</t>
  </si>
  <si>
    <t>São José da Barra</t>
  </si>
  <si>
    <t>62948</t>
  </si>
  <si>
    <t>São Joaquim de Bicas</t>
  </si>
  <si>
    <t>62922</t>
  </si>
  <si>
    <t>São João Nepomuceno</t>
  </si>
  <si>
    <t>62906</t>
  </si>
  <si>
    <t>São João Evangelista</t>
  </si>
  <si>
    <t>62807</t>
  </si>
  <si>
    <t>São João do Paraíso</t>
  </si>
  <si>
    <t>62708</t>
  </si>
  <si>
    <t>São João do Pacuí</t>
  </si>
  <si>
    <t>62658</t>
  </si>
  <si>
    <t>São João do Oriente</t>
  </si>
  <si>
    <t>62609</t>
  </si>
  <si>
    <t>São João do Manteninha</t>
  </si>
  <si>
    <t>62575</t>
  </si>
  <si>
    <t>São João do Manhuaçu</t>
  </si>
  <si>
    <t>62559</t>
  </si>
  <si>
    <t>São João del Rei</t>
  </si>
  <si>
    <t>62500</t>
  </si>
  <si>
    <t>São João das Missões</t>
  </si>
  <si>
    <t>62450</t>
  </si>
  <si>
    <t>São João da Ponte</t>
  </si>
  <si>
    <t>62401</t>
  </si>
  <si>
    <t>São João da Mata</t>
  </si>
  <si>
    <t>62302</t>
  </si>
  <si>
    <t>São João da Lagoa</t>
  </si>
  <si>
    <t>62252</t>
  </si>
  <si>
    <t>São João Batista do Glória</t>
  </si>
  <si>
    <t>62203</t>
  </si>
  <si>
    <t>São Gotardo</t>
  </si>
  <si>
    <t>62104</t>
  </si>
  <si>
    <t>São Gonçalo do Sapucaí</t>
  </si>
  <si>
    <t>62005</t>
  </si>
  <si>
    <t>São Gonçalo do Rio Abaixo</t>
  </si>
  <si>
    <t>61908</t>
  </si>
  <si>
    <t>São Gonçalo do Pará</t>
  </si>
  <si>
    <t>61809</t>
  </si>
  <si>
    <t>São Gonçalo do Abaeté</t>
  </si>
  <si>
    <t>61700</t>
  </si>
  <si>
    <t>São Geraldo do Baixio</t>
  </si>
  <si>
    <t>61650</t>
  </si>
  <si>
    <t>São Geraldo da Piedade</t>
  </si>
  <si>
    <t>61601</t>
  </si>
  <si>
    <t>São Geraldo</t>
  </si>
  <si>
    <t>61502</t>
  </si>
  <si>
    <t>São Francisco do Glória</t>
  </si>
  <si>
    <t>61403</t>
  </si>
  <si>
    <t>São Francisco de Sales</t>
  </si>
  <si>
    <t>61304</t>
  </si>
  <si>
    <t>61205</t>
  </si>
  <si>
    <t>61106</t>
  </si>
  <si>
    <t>São Félix de Minas</t>
  </si>
  <si>
    <t>61056</t>
  </si>
  <si>
    <t>São Domingos do Prata</t>
  </si>
  <si>
    <t>61007</t>
  </si>
  <si>
    <t>São Domingos das Dores</t>
  </si>
  <si>
    <t>60959</t>
  </si>
  <si>
    <t>São Brás do Suaçuí</t>
  </si>
  <si>
    <t>60900</t>
  </si>
  <si>
    <t>São Bento Abade</t>
  </si>
  <si>
    <t>60801</t>
  </si>
  <si>
    <t>Santos Dumont</t>
  </si>
  <si>
    <t>60702</t>
  </si>
  <si>
    <t>Santo Hipólito</t>
  </si>
  <si>
    <t>60603</t>
  </si>
  <si>
    <t>Santo Antônio do Rio Abaixo</t>
  </si>
  <si>
    <t>60504</t>
  </si>
  <si>
    <t>Santo Antônio do Retiro</t>
  </si>
  <si>
    <t>60454</t>
  </si>
  <si>
    <t>Santo Antônio do Monte</t>
  </si>
  <si>
    <t>60405</t>
  </si>
  <si>
    <t>Santo Antônio do Jacinto</t>
  </si>
  <si>
    <t>60306</t>
  </si>
  <si>
    <t>Santo Antônio do Itambé</t>
  </si>
  <si>
    <t>60207</t>
  </si>
  <si>
    <t>Santo Antônio do Grama</t>
  </si>
  <si>
    <t>60108</t>
  </si>
  <si>
    <t>Santo Antônio do Aventureiro</t>
  </si>
  <si>
    <t>60009</t>
  </si>
  <si>
    <t>Santo Antônio do Amparo</t>
  </si>
  <si>
    <t>59902</t>
  </si>
  <si>
    <t>Santa Vitória</t>
  </si>
  <si>
    <t>59803</t>
  </si>
  <si>
    <t>Santa Rosa da Serra</t>
  </si>
  <si>
    <t>59704</t>
  </si>
  <si>
    <t>Santa Rita do Sapucaí</t>
  </si>
  <si>
    <t>59605</t>
  </si>
  <si>
    <t>Santa Rita do Itueto</t>
  </si>
  <si>
    <t>59506</t>
  </si>
  <si>
    <t>Santa Rita de Ibitipoca</t>
  </si>
  <si>
    <t>59407</t>
  </si>
  <si>
    <t>Santa Rita de Minas</t>
  </si>
  <si>
    <t>59357</t>
  </si>
  <si>
    <t>Santa Rita de Jacutinga</t>
  </si>
  <si>
    <t>59308</t>
  </si>
  <si>
    <t>Santa Rita de Caldas</t>
  </si>
  <si>
    <t>59209</t>
  </si>
  <si>
    <t>Santana dos Montes</t>
  </si>
  <si>
    <t>59100</t>
  </si>
  <si>
    <t>Santana do Riacho</t>
  </si>
  <si>
    <t>59001</t>
  </si>
  <si>
    <t>Santana do Paraíso</t>
  </si>
  <si>
    <t>58953</t>
  </si>
  <si>
    <t>Santana do Manhuaçu</t>
  </si>
  <si>
    <t>58904</t>
  </si>
  <si>
    <t>Santana do Jacaré</t>
  </si>
  <si>
    <t>58805</t>
  </si>
  <si>
    <t>Santana do Garambéu</t>
  </si>
  <si>
    <t>58706</t>
  </si>
  <si>
    <t>Santana do Deserto</t>
  </si>
  <si>
    <t>58607</t>
  </si>
  <si>
    <t>Santana de Pirapama</t>
  </si>
  <si>
    <t>58508</t>
  </si>
  <si>
    <t>Santana de Cataguases</t>
  </si>
  <si>
    <t>58409</t>
  </si>
  <si>
    <t>Santana da Vargem</t>
  </si>
  <si>
    <t>58300</t>
  </si>
  <si>
    <t>Santa Maria do Suaçuí</t>
  </si>
  <si>
    <t>58201</t>
  </si>
  <si>
    <t>Santa Maria do Salto</t>
  </si>
  <si>
    <t>58102</t>
  </si>
  <si>
    <t>Santa Maria de Itabira</t>
  </si>
  <si>
    <t>58003</t>
  </si>
  <si>
    <t>Santa Margarida</t>
  </si>
  <si>
    <t>57906</t>
  </si>
  <si>
    <t>Santa Luzia</t>
  </si>
  <si>
    <t>57807</t>
  </si>
  <si>
    <t>Santa Juliana</t>
  </si>
  <si>
    <t>57708</t>
  </si>
  <si>
    <t>Santa Helena de Minas</t>
  </si>
  <si>
    <t>57658</t>
  </si>
  <si>
    <t>Santa Fé de Minas</t>
  </si>
  <si>
    <t>57609</t>
  </si>
  <si>
    <t>Santa Efigênia de Minas</t>
  </si>
  <si>
    <t>57500</t>
  </si>
  <si>
    <t>Santa Cruz do Escalvado</t>
  </si>
  <si>
    <t>57401</t>
  </si>
  <si>
    <t>Santa Cruz de Salinas</t>
  </si>
  <si>
    <t>57377</t>
  </si>
  <si>
    <t>Santa Cruz de Minas</t>
  </si>
  <si>
    <t>57336</t>
  </si>
  <si>
    <t>Santa Bárbara do Tugúrio</t>
  </si>
  <si>
    <t>57302</t>
  </si>
  <si>
    <t>Santa Bárbara do Monte Verde</t>
  </si>
  <si>
    <t>57278</t>
  </si>
  <si>
    <t>Santa Bárbara do Leste</t>
  </si>
  <si>
    <t>57252</t>
  </si>
  <si>
    <t>Santa Bárbara</t>
  </si>
  <si>
    <t>57203</t>
  </si>
  <si>
    <t>Salto da Divisa</t>
  </si>
  <si>
    <t>57104</t>
  </si>
  <si>
    <t>Salinas</t>
  </si>
  <si>
    <t>57005</t>
  </si>
  <si>
    <t>Sacramento</t>
  </si>
  <si>
    <t>56908</t>
  </si>
  <si>
    <t>Sabinópolis</t>
  </si>
  <si>
    <t>56809</t>
  </si>
  <si>
    <t>Sabará</t>
  </si>
  <si>
    <t>56700</t>
  </si>
  <si>
    <t>Rubim</t>
  </si>
  <si>
    <t>56601</t>
  </si>
  <si>
    <t>Rubelita</t>
  </si>
  <si>
    <t>56502</t>
  </si>
  <si>
    <t>Rosário da Limeira</t>
  </si>
  <si>
    <t>56452</t>
  </si>
  <si>
    <t>Romaria</t>
  </si>
  <si>
    <t>56403</t>
  </si>
  <si>
    <t>Rodeiro</t>
  </si>
  <si>
    <t>56304</t>
  </si>
  <si>
    <t>Rochedo de Minas</t>
  </si>
  <si>
    <t>56205</t>
  </si>
  <si>
    <t>Ritápolis</t>
  </si>
  <si>
    <t>56106</t>
  </si>
  <si>
    <t>Rio Vermelho</t>
  </si>
  <si>
    <t>56007</t>
  </si>
  <si>
    <t>Rio Preto</t>
  </si>
  <si>
    <t>55900</t>
  </si>
  <si>
    <t>Rio Pomba</t>
  </si>
  <si>
    <t>55801</t>
  </si>
  <si>
    <t>Rio Piracicaba</t>
  </si>
  <si>
    <t>55702</t>
  </si>
  <si>
    <t>Rio Pardo de Minas</t>
  </si>
  <si>
    <t>55603</t>
  </si>
  <si>
    <t>Rio Paranaíba</t>
  </si>
  <si>
    <t>55504</t>
  </si>
  <si>
    <t>Rio Novo</t>
  </si>
  <si>
    <t>55405</t>
  </si>
  <si>
    <t>Rio Manso</t>
  </si>
  <si>
    <t>55306</t>
  </si>
  <si>
    <t>Rio Espera</t>
  </si>
  <si>
    <t>55207</t>
  </si>
  <si>
    <t>Rio do Prado</t>
  </si>
  <si>
    <t>55108</t>
  </si>
  <si>
    <t>Rio Doce</t>
  </si>
  <si>
    <t>55009</t>
  </si>
  <si>
    <t>Rio Casca</t>
  </si>
  <si>
    <t>54903</t>
  </si>
  <si>
    <t>Rio Acima</t>
  </si>
  <si>
    <t>54804</t>
  </si>
  <si>
    <t>Ribeirão Vermelho</t>
  </si>
  <si>
    <t>54705</t>
  </si>
  <si>
    <t>Ribeirão das Neves</t>
  </si>
  <si>
    <t>54606</t>
  </si>
  <si>
    <t>Riacho dos Machados</t>
  </si>
  <si>
    <t>54507</t>
  </si>
  <si>
    <t>Riachinho</t>
  </si>
  <si>
    <t>54457</t>
  </si>
  <si>
    <t>Ressaquinha</t>
  </si>
  <si>
    <t>54408</t>
  </si>
  <si>
    <t>Resplendor</t>
  </si>
  <si>
    <t>54309</t>
  </si>
  <si>
    <t>Resende Costa</t>
  </si>
  <si>
    <t>54200</t>
  </si>
  <si>
    <t>Reduto</t>
  </si>
  <si>
    <t>54150</t>
  </si>
  <si>
    <t>Recreio</t>
  </si>
  <si>
    <t>54101</t>
  </si>
  <si>
    <t>Raul Soares</t>
  </si>
  <si>
    <t>54002</t>
  </si>
  <si>
    <t>Raposos</t>
  </si>
  <si>
    <t>53905</t>
  </si>
  <si>
    <t>Queluzito</t>
  </si>
  <si>
    <t>53806</t>
  </si>
  <si>
    <t>Quartel Geral</t>
  </si>
  <si>
    <t>53707</t>
  </si>
  <si>
    <t>Prudente de Morais</t>
  </si>
  <si>
    <t>53608</t>
  </si>
  <si>
    <t>Alto Jequitibá</t>
  </si>
  <si>
    <t>53509</t>
  </si>
  <si>
    <t>Presidente Olegário</t>
  </si>
  <si>
    <t>53400</t>
  </si>
  <si>
    <t>Presidente Kubitschek</t>
  </si>
  <si>
    <t>53301</t>
  </si>
  <si>
    <t>Presidente Juscelino</t>
  </si>
  <si>
    <t>53202</t>
  </si>
  <si>
    <t>53103</t>
  </si>
  <si>
    <t>Pratinha</t>
  </si>
  <si>
    <t>53004</t>
  </si>
  <si>
    <t>Pratápolis</t>
  </si>
  <si>
    <t>52907</t>
  </si>
  <si>
    <t>Prata</t>
  </si>
  <si>
    <t>52808</t>
  </si>
  <si>
    <t>Prados</t>
  </si>
  <si>
    <t>52709</t>
  </si>
  <si>
    <t>Pouso Alto</t>
  </si>
  <si>
    <t>52600</t>
  </si>
  <si>
    <t>Pouso Alegre</t>
  </si>
  <si>
    <t>52501</t>
  </si>
  <si>
    <t>Poté</t>
  </si>
  <si>
    <t>52402</t>
  </si>
  <si>
    <t>Porto Firme</t>
  </si>
  <si>
    <t>52303</t>
  </si>
  <si>
    <t>Porteirinha</t>
  </si>
  <si>
    <t>52204</t>
  </si>
  <si>
    <t>Ponto dos Volantes</t>
  </si>
  <si>
    <t>52170</t>
  </si>
  <si>
    <t>Ponto Chique</t>
  </si>
  <si>
    <t>52131</t>
  </si>
  <si>
    <t>Ponte Nova</t>
  </si>
  <si>
    <t>52105</t>
  </si>
  <si>
    <t>Pompéu</t>
  </si>
  <si>
    <t>52006</t>
  </si>
  <si>
    <t>Pocrane</t>
  </si>
  <si>
    <t>51909</t>
  </si>
  <si>
    <t>Poços de Caldas</t>
  </si>
  <si>
    <t>51800</t>
  </si>
  <si>
    <t>Poço Fundo</t>
  </si>
  <si>
    <t>51701</t>
  </si>
  <si>
    <t>Planura</t>
  </si>
  <si>
    <t>51602</t>
  </si>
  <si>
    <t>Piumhi</t>
  </si>
  <si>
    <t>51503</t>
  </si>
  <si>
    <t>Pitangui</t>
  </si>
  <si>
    <t>51404</t>
  </si>
  <si>
    <t>Piraúba</t>
  </si>
  <si>
    <t>51305</t>
  </si>
  <si>
    <t>Pirapora</t>
  </si>
  <si>
    <t>51206</t>
  </si>
  <si>
    <t>Pirapetinga</t>
  </si>
  <si>
    <t>51107</t>
  </si>
  <si>
    <t>Piranguinho</t>
  </si>
  <si>
    <t>51008</t>
  </si>
  <si>
    <t>Piranguçu</t>
  </si>
  <si>
    <t>50901</t>
  </si>
  <si>
    <t>Piranga</t>
  </si>
  <si>
    <t>50802</t>
  </si>
  <si>
    <t>Pirajuba</t>
  </si>
  <si>
    <t>50703</t>
  </si>
  <si>
    <t>Piracema</t>
  </si>
  <si>
    <t>50604</t>
  </si>
  <si>
    <t>Pintópolis</t>
  </si>
  <si>
    <t>50570</t>
  </si>
  <si>
    <t>Pingo-d'Água</t>
  </si>
  <si>
    <t>50539</t>
  </si>
  <si>
    <t>Pimenta</t>
  </si>
  <si>
    <t>50505</t>
  </si>
  <si>
    <t>Piedade dos Gerais</t>
  </si>
  <si>
    <t>50406</t>
  </si>
  <si>
    <t>Piedade do Rio Grande</t>
  </si>
  <si>
    <t>50307</t>
  </si>
  <si>
    <t>Piedade de Ponte Nova</t>
  </si>
  <si>
    <t>50208</t>
  </si>
  <si>
    <t>Piedade de Caratinga</t>
  </si>
  <si>
    <t>50158</t>
  </si>
  <si>
    <t>Piau</t>
  </si>
  <si>
    <t>50109</t>
  </si>
  <si>
    <t>Pescador</t>
  </si>
  <si>
    <t>50000</t>
  </si>
  <si>
    <t>Periquito</t>
  </si>
  <si>
    <t>49952</t>
  </si>
  <si>
    <t>Perdões</t>
  </si>
  <si>
    <t>49903</t>
  </si>
  <si>
    <t>Perdizes</t>
  </si>
  <si>
    <t>49804</t>
  </si>
  <si>
    <t>Perdigão</t>
  </si>
  <si>
    <t>49705</t>
  </si>
  <si>
    <t>Pequi</t>
  </si>
  <si>
    <t>49606</t>
  </si>
  <si>
    <t>Pequeri</t>
  </si>
  <si>
    <t>49507</t>
  </si>
  <si>
    <t>Pedro Teixeira</t>
  </si>
  <si>
    <t>49408</t>
  </si>
  <si>
    <t>Pedro Leopoldo</t>
  </si>
  <si>
    <t>49309</t>
  </si>
  <si>
    <t>Pedrinópolis</t>
  </si>
  <si>
    <t>49200</t>
  </si>
  <si>
    <t>Pedras de Maria da Cruz</t>
  </si>
  <si>
    <t>49150</t>
  </si>
  <si>
    <t>Pedralva</t>
  </si>
  <si>
    <t>49101</t>
  </si>
  <si>
    <t>Pedra Dourada</t>
  </si>
  <si>
    <t>49002</t>
  </si>
  <si>
    <t>Pedra do Indaiá</t>
  </si>
  <si>
    <t>48905</t>
  </si>
  <si>
    <t>Pedra do Anta</t>
  </si>
  <si>
    <t>48806</t>
  </si>
  <si>
    <t>Pedra Bonita</t>
  </si>
  <si>
    <t>48756</t>
  </si>
  <si>
    <t>Pedra Azul</t>
  </si>
  <si>
    <t>48707</t>
  </si>
  <si>
    <t>Peçanha</t>
  </si>
  <si>
    <t>48608</t>
  </si>
  <si>
    <t>Pavão</t>
  </si>
  <si>
    <t>48509</t>
  </si>
  <si>
    <t>Paulistas</t>
  </si>
  <si>
    <t>48400</t>
  </si>
  <si>
    <t>Paula Cândido</t>
  </si>
  <si>
    <t>48301</t>
  </si>
  <si>
    <t>Patrocínio do Muriaé</t>
  </si>
  <si>
    <t>48202</t>
  </si>
  <si>
    <t>Patrocínio</t>
  </si>
  <si>
    <t>48103</t>
  </si>
  <si>
    <t>Patos de Minas</t>
  </si>
  <si>
    <t>48004</t>
  </si>
  <si>
    <t>Patis</t>
  </si>
  <si>
    <t>47956</t>
  </si>
  <si>
    <t>Passos</t>
  </si>
  <si>
    <t>47907</t>
  </si>
  <si>
    <t>Passa-Vinte</t>
  </si>
  <si>
    <t>47808</t>
  </si>
  <si>
    <t>Passa Tempo</t>
  </si>
  <si>
    <t>47709</t>
  </si>
  <si>
    <t>Passa Quatro</t>
  </si>
  <si>
    <t>47600</t>
  </si>
  <si>
    <t>Passabém</t>
  </si>
  <si>
    <t>47501</t>
  </si>
  <si>
    <t>Paraopeba</t>
  </si>
  <si>
    <t>47402</t>
  </si>
  <si>
    <t>Paraisópolis</t>
  </si>
  <si>
    <t>47303</t>
  </si>
  <si>
    <t>Paraguaçu</t>
  </si>
  <si>
    <t>47204</t>
  </si>
  <si>
    <t>Pará de Minas</t>
  </si>
  <si>
    <t>47105</t>
  </si>
  <si>
    <t>Paracatu</t>
  </si>
  <si>
    <t>47006</t>
  </si>
  <si>
    <t>Papagaios</t>
  </si>
  <si>
    <t>46909</t>
  </si>
  <si>
    <t>Palmópolis</t>
  </si>
  <si>
    <t>46750</t>
  </si>
  <si>
    <t>Palma</t>
  </si>
  <si>
    <t>46701</t>
  </si>
  <si>
    <t>Paiva</t>
  </si>
  <si>
    <t>46602</t>
  </si>
  <si>
    <t>Pai Pedro</t>
  </si>
  <si>
    <t>46552</t>
  </si>
  <si>
    <t>Pains</t>
  </si>
  <si>
    <t>46503</t>
  </si>
  <si>
    <t>Paineiras</t>
  </si>
  <si>
    <t>46404</t>
  </si>
  <si>
    <t>Padre Paraíso</t>
  </si>
  <si>
    <t>46305</t>
  </si>
  <si>
    <t>Padre Carvalho</t>
  </si>
  <si>
    <t>46255</t>
  </si>
  <si>
    <t>Ouro Verde de Minas</t>
  </si>
  <si>
    <t>46206</t>
  </si>
  <si>
    <t>Ouro Preto</t>
  </si>
  <si>
    <t>46107</t>
  </si>
  <si>
    <t>Ouro Fino</t>
  </si>
  <si>
    <t>46008</t>
  </si>
  <si>
    <t>Ouro Branco</t>
  </si>
  <si>
    <t>45901</t>
  </si>
  <si>
    <t>Orizânia</t>
  </si>
  <si>
    <t>45877</t>
  </si>
  <si>
    <t>Oratórios</t>
  </si>
  <si>
    <t>45851</t>
  </si>
  <si>
    <t>Onça de Pitangui</t>
  </si>
  <si>
    <t>45802</t>
  </si>
  <si>
    <t>Oliveira Fortes</t>
  </si>
  <si>
    <t>45703</t>
  </si>
  <si>
    <t>Oliveira</t>
  </si>
  <si>
    <t>45604</t>
  </si>
  <si>
    <t>Olímpio Noronha</t>
  </si>
  <si>
    <t>45505</t>
  </si>
  <si>
    <t>Olhos-d'Água</t>
  </si>
  <si>
    <t>45455</t>
  </si>
  <si>
    <t>Olaria</t>
  </si>
  <si>
    <t>45406</t>
  </si>
  <si>
    <t>Novorizonte</t>
  </si>
  <si>
    <t>45372</t>
  </si>
  <si>
    <t>Novo Oriente de Minas</t>
  </si>
  <si>
    <t>45356</t>
  </si>
  <si>
    <t>Novo Cruzeiro</t>
  </si>
  <si>
    <t>45307</t>
  </si>
  <si>
    <t>Nova Serrana</t>
  </si>
  <si>
    <t>45208</t>
  </si>
  <si>
    <t>Nova Resende</t>
  </si>
  <si>
    <t>45109</t>
  </si>
  <si>
    <t>Nova Porteirinha</t>
  </si>
  <si>
    <t>45059</t>
  </si>
  <si>
    <t>Nova Ponte</t>
  </si>
  <si>
    <t>45000</t>
  </si>
  <si>
    <t>Nova Módica</t>
  </si>
  <si>
    <t>44904</t>
  </si>
  <si>
    <t>Nova Lima</t>
  </si>
  <si>
    <t>44805</t>
  </si>
  <si>
    <t>Nova Era</t>
  </si>
  <si>
    <t>44706</t>
  </si>
  <si>
    <t>Nova Belém</t>
  </si>
  <si>
    <t>44672</t>
  </si>
  <si>
    <t>Ninheira</t>
  </si>
  <si>
    <t>44656</t>
  </si>
  <si>
    <t>Nepomuceno</t>
  </si>
  <si>
    <t>44607</t>
  </si>
  <si>
    <t>Nazareno</t>
  </si>
  <si>
    <t>44508</t>
  </si>
  <si>
    <t>Natércia</t>
  </si>
  <si>
    <t>44409</t>
  </si>
  <si>
    <t>Natalândia</t>
  </si>
  <si>
    <t>44375</t>
  </si>
  <si>
    <t>Naque</t>
  </si>
  <si>
    <t>44359</t>
  </si>
  <si>
    <t>Nanuque</t>
  </si>
  <si>
    <t>44300</t>
  </si>
  <si>
    <t>Nacip Raydan</t>
  </si>
  <si>
    <t>44201</t>
  </si>
  <si>
    <t>Muzambinho</t>
  </si>
  <si>
    <t>44102</t>
  </si>
  <si>
    <t>Mutum</t>
  </si>
  <si>
    <t>44003</t>
  </si>
  <si>
    <t>Muriaé</t>
  </si>
  <si>
    <t>43906</t>
  </si>
  <si>
    <t>Munhoz</t>
  </si>
  <si>
    <t>43807</t>
  </si>
  <si>
    <t>Morro do Pilar</t>
  </si>
  <si>
    <t>43708</t>
  </si>
  <si>
    <t>Morro da Garça</t>
  </si>
  <si>
    <t>43609</t>
  </si>
  <si>
    <t>Morada Nova de Minas</t>
  </si>
  <si>
    <t>43500</t>
  </si>
  <si>
    <t>Montezuma</t>
  </si>
  <si>
    <t>43450</t>
  </si>
  <si>
    <t>Monte Sião</t>
  </si>
  <si>
    <t>43401</t>
  </si>
  <si>
    <t>Montes Claros</t>
  </si>
  <si>
    <t>43302</t>
  </si>
  <si>
    <t>Monte Santo de Minas</t>
  </si>
  <si>
    <t>43203</t>
  </si>
  <si>
    <t>Monte Formoso</t>
  </si>
  <si>
    <t>43153</t>
  </si>
  <si>
    <t>Monte Carmelo</t>
  </si>
  <si>
    <t>43104</t>
  </si>
  <si>
    <t>Monte Belo</t>
  </si>
  <si>
    <t>43005</t>
  </si>
  <si>
    <t>Monte Azul</t>
  </si>
  <si>
    <t>42908</t>
  </si>
  <si>
    <t>Monte Alegre de Minas</t>
  </si>
  <si>
    <t>42809</t>
  </si>
  <si>
    <t>Montalvânia</t>
  </si>
  <si>
    <t>42700</t>
  </si>
  <si>
    <t>Monsenhor Paulo</t>
  </si>
  <si>
    <t>42601</t>
  </si>
  <si>
    <t>Monjolos</t>
  </si>
  <si>
    <t>42502</t>
  </si>
  <si>
    <t>Moema</t>
  </si>
  <si>
    <t>42403</t>
  </si>
  <si>
    <t>Moeda</t>
  </si>
  <si>
    <t>42304</t>
  </si>
  <si>
    <t>Miravânia</t>
  </si>
  <si>
    <t>42254</t>
  </si>
  <si>
    <t>Miraí</t>
  </si>
  <si>
    <t>42205</t>
  </si>
  <si>
    <t>Miradouro</t>
  </si>
  <si>
    <t>42106</t>
  </si>
  <si>
    <t>Mirabela</t>
  </si>
  <si>
    <t>42007</t>
  </si>
  <si>
    <t>Minduri</t>
  </si>
  <si>
    <t>41900</t>
  </si>
  <si>
    <t>Minas Novas</t>
  </si>
  <si>
    <t>41801</t>
  </si>
  <si>
    <t>41702</t>
  </si>
  <si>
    <t>Mercês</t>
  </si>
  <si>
    <t>41603</t>
  </si>
  <si>
    <t>Mendes Pimentel</t>
  </si>
  <si>
    <t>41504</t>
  </si>
  <si>
    <t>Medina</t>
  </si>
  <si>
    <t>41405</t>
  </si>
  <si>
    <t>Medeiros</t>
  </si>
  <si>
    <t>41306</t>
  </si>
  <si>
    <t>Matutina</t>
  </si>
  <si>
    <t>41207</t>
  </si>
  <si>
    <t>Matozinhos</t>
  </si>
  <si>
    <t>41108</t>
  </si>
  <si>
    <t>Mato Verde</t>
  </si>
  <si>
    <t>41009</t>
  </si>
  <si>
    <t>Matipó</t>
  </si>
  <si>
    <t>40902</t>
  </si>
  <si>
    <t>Matias Cardoso</t>
  </si>
  <si>
    <t>40852</t>
  </si>
  <si>
    <t>Matias Barbosa</t>
  </si>
  <si>
    <t>40803</t>
  </si>
  <si>
    <t>Mateus Leme</t>
  </si>
  <si>
    <t>40704</t>
  </si>
  <si>
    <t>Materlândia</t>
  </si>
  <si>
    <t>40605</t>
  </si>
  <si>
    <t>Mata Verde</t>
  </si>
  <si>
    <t>40555</t>
  </si>
  <si>
    <t>Martins Soares</t>
  </si>
  <si>
    <t>40530</t>
  </si>
  <si>
    <t>Martinho Campos</t>
  </si>
  <si>
    <t>40506</t>
  </si>
  <si>
    <t>Marmelópolis</t>
  </si>
  <si>
    <t>40407</t>
  </si>
  <si>
    <t>Marliéria</t>
  </si>
  <si>
    <t>40308</t>
  </si>
  <si>
    <t>Maripá de Minas</t>
  </si>
  <si>
    <t>40209</t>
  </si>
  <si>
    <t>Mário Campos</t>
  </si>
  <si>
    <t>40159</t>
  </si>
  <si>
    <t>Marilac</t>
  </si>
  <si>
    <t>40100</t>
  </si>
  <si>
    <t>Mariana</t>
  </si>
  <si>
    <t>40001</t>
  </si>
  <si>
    <t>Maria da Fé</t>
  </si>
  <si>
    <t>39904</t>
  </si>
  <si>
    <t>Mar de Espanha</t>
  </si>
  <si>
    <t>39805</t>
  </si>
  <si>
    <t>Maravilhas</t>
  </si>
  <si>
    <t>39706</t>
  </si>
  <si>
    <t>Mantena</t>
  </si>
  <si>
    <t>39607</t>
  </si>
  <si>
    <t>Manhumirim</t>
  </si>
  <si>
    <t>39508</t>
  </si>
  <si>
    <t>Manhuaçu</t>
  </si>
  <si>
    <t>39409</t>
  </si>
  <si>
    <t>Manga</t>
  </si>
  <si>
    <t>39300</t>
  </si>
  <si>
    <t>Mamonas</t>
  </si>
  <si>
    <t>39250</t>
  </si>
  <si>
    <t>Malacacheta</t>
  </si>
  <si>
    <t>39201</t>
  </si>
  <si>
    <t>Madre de Deus de Minas</t>
  </si>
  <si>
    <t>39102</t>
  </si>
  <si>
    <t>Machado</t>
  </si>
  <si>
    <t>39003</t>
  </si>
  <si>
    <t>Machacalis</t>
  </si>
  <si>
    <t>38906</t>
  </si>
  <si>
    <t>Luz</t>
  </si>
  <si>
    <t>38807</t>
  </si>
  <si>
    <t>Luminárias</t>
  </si>
  <si>
    <t>38708</t>
  </si>
  <si>
    <t>Luislândia</t>
  </si>
  <si>
    <t>38682</t>
  </si>
  <si>
    <t>Luisburgo</t>
  </si>
  <si>
    <t>38674</t>
  </si>
  <si>
    <t>Lontra</t>
  </si>
  <si>
    <t>38658</t>
  </si>
  <si>
    <t>Limeira do Oeste</t>
  </si>
  <si>
    <t>38625</t>
  </si>
  <si>
    <t>Lima Duarte</t>
  </si>
  <si>
    <t>38609</t>
  </si>
  <si>
    <t>Liberdade</t>
  </si>
  <si>
    <t>38500</t>
  </si>
  <si>
    <t>Leopoldina</t>
  </si>
  <si>
    <t>38401</t>
  </si>
  <si>
    <t>Leme do Prado</t>
  </si>
  <si>
    <t>38351</t>
  </si>
  <si>
    <t>Leandro Ferreira</t>
  </si>
  <si>
    <t>38302</t>
  </si>
  <si>
    <t>Lavras</t>
  </si>
  <si>
    <t>38203</t>
  </si>
  <si>
    <t>Lassance</t>
  </si>
  <si>
    <t>38104</t>
  </si>
  <si>
    <t>38005</t>
  </si>
  <si>
    <t>Lamim</t>
  </si>
  <si>
    <t>37908</t>
  </si>
  <si>
    <t>Lambari</t>
  </si>
  <si>
    <t>37809</t>
  </si>
  <si>
    <t>Lajinha</t>
  </si>
  <si>
    <t>37700</t>
  </si>
  <si>
    <t>37601</t>
  </si>
  <si>
    <t>Lagoa Grande</t>
  </si>
  <si>
    <t>37536</t>
  </si>
  <si>
    <t>Lagoa Formosa</t>
  </si>
  <si>
    <t>37502</t>
  </si>
  <si>
    <t>Lagoa Dourada</t>
  </si>
  <si>
    <t>37403</t>
  </si>
  <si>
    <t>Lagoa dos Patos</t>
  </si>
  <si>
    <t>37304</t>
  </si>
  <si>
    <t>Lagoa da Prata</t>
  </si>
  <si>
    <t>37205</t>
  </si>
  <si>
    <t>Lagamar</t>
  </si>
  <si>
    <t>37106</t>
  </si>
  <si>
    <t>Ladainha</t>
  </si>
  <si>
    <t>37007</t>
  </si>
  <si>
    <t>Juvenília</t>
  </si>
  <si>
    <t>36959</t>
  </si>
  <si>
    <t>Juruaia</t>
  </si>
  <si>
    <t>36900</t>
  </si>
  <si>
    <t>Juramento</t>
  </si>
  <si>
    <t>36801</t>
  </si>
  <si>
    <t>Juiz de Fora</t>
  </si>
  <si>
    <t>36702</t>
  </si>
  <si>
    <t>Juatuba</t>
  </si>
  <si>
    <t>36652</t>
  </si>
  <si>
    <t>Nova União</t>
  </si>
  <si>
    <t>36603</t>
  </si>
  <si>
    <t>Josenópolis</t>
  </si>
  <si>
    <t>36579</t>
  </si>
  <si>
    <t>José Raydan</t>
  </si>
  <si>
    <t>36553</t>
  </si>
  <si>
    <t>José Gonçalves de Minas</t>
  </si>
  <si>
    <t>36520</t>
  </si>
  <si>
    <t>Jordânia</t>
  </si>
  <si>
    <t>36504</t>
  </si>
  <si>
    <t>Joaquim Felício</t>
  </si>
  <si>
    <t>36405</t>
  </si>
  <si>
    <t>João Pinheiro</t>
  </si>
  <si>
    <t>36306</t>
  </si>
  <si>
    <t>João Monlevade</t>
  </si>
  <si>
    <t>36207</t>
  </si>
  <si>
    <t>Joanésia</t>
  </si>
  <si>
    <t>36108</t>
  </si>
  <si>
    <t>Joaíma</t>
  </si>
  <si>
    <t>36009</t>
  </si>
  <si>
    <t>Jesuânia</t>
  </si>
  <si>
    <t>35902</t>
  </si>
  <si>
    <t>Jequitinhonha</t>
  </si>
  <si>
    <t>35803</t>
  </si>
  <si>
    <t>Jequitibá</t>
  </si>
  <si>
    <t>35704</t>
  </si>
  <si>
    <t>Jequitaí</t>
  </si>
  <si>
    <t>35605</t>
  </si>
  <si>
    <t>Jequeri</t>
  </si>
  <si>
    <t>35506</t>
  </si>
  <si>
    <t>Jenipapo de Minas</t>
  </si>
  <si>
    <t>35456</t>
  </si>
  <si>
    <t>Jeceaba</t>
  </si>
  <si>
    <t>35407</t>
  </si>
  <si>
    <t>Japonvar</t>
  </si>
  <si>
    <t>35357</t>
  </si>
  <si>
    <t>Japaraíba</t>
  </si>
  <si>
    <t>35308</t>
  </si>
  <si>
    <t>Januária</t>
  </si>
  <si>
    <t>35209</t>
  </si>
  <si>
    <t>Janaúba</t>
  </si>
  <si>
    <t>35100</t>
  </si>
  <si>
    <t>Jampruca</t>
  </si>
  <si>
    <t>35076</t>
  </si>
  <si>
    <t>Jaíba</t>
  </si>
  <si>
    <t>35050</t>
  </si>
  <si>
    <t>Jaguaraçu</t>
  </si>
  <si>
    <t>35001</t>
  </si>
  <si>
    <t>34905</t>
  </si>
  <si>
    <t>Jacuí</t>
  </si>
  <si>
    <t>34806</t>
  </si>
  <si>
    <t>Jacinto</t>
  </si>
  <si>
    <t>34707</t>
  </si>
  <si>
    <t>Jaboticatubas</t>
  </si>
  <si>
    <t>34608</t>
  </si>
  <si>
    <t>Itutinga</t>
  </si>
  <si>
    <t>34509</t>
  </si>
  <si>
    <t>Iturama</t>
  </si>
  <si>
    <t>34400</t>
  </si>
  <si>
    <t>Itumirim</t>
  </si>
  <si>
    <t>34301</t>
  </si>
  <si>
    <t>Ituiutaba</t>
  </si>
  <si>
    <t>34202</t>
  </si>
  <si>
    <t>Itueta</t>
  </si>
  <si>
    <t>34103</t>
  </si>
  <si>
    <t>Itinga</t>
  </si>
  <si>
    <t>34004</t>
  </si>
  <si>
    <t>Itaverava</t>
  </si>
  <si>
    <t>33907</t>
  </si>
  <si>
    <t>Itaúna</t>
  </si>
  <si>
    <t>33808</t>
  </si>
  <si>
    <t>Itaú de Minas</t>
  </si>
  <si>
    <t>33758</t>
  </si>
  <si>
    <t>Itatiaiuçu</t>
  </si>
  <si>
    <t>33709</t>
  </si>
  <si>
    <t>33600</t>
  </si>
  <si>
    <t>Itapecerica</t>
  </si>
  <si>
    <t>33501</t>
  </si>
  <si>
    <t>Itapagipe</t>
  </si>
  <si>
    <t>33402</t>
  </si>
  <si>
    <t>Itaobim</t>
  </si>
  <si>
    <t>33303</t>
  </si>
  <si>
    <t>Itanhomi</t>
  </si>
  <si>
    <t>33204</t>
  </si>
  <si>
    <t>Itanhandu</t>
  </si>
  <si>
    <t>33105</t>
  </si>
  <si>
    <t>Itamonte</t>
  </si>
  <si>
    <t>33006</t>
  </si>
  <si>
    <t>Itamogi</t>
  </si>
  <si>
    <t>32909</t>
  </si>
  <si>
    <t>Itambé do Mato Dentro</t>
  </si>
  <si>
    <t>32800</t>
  </si>
  <si>
    <t>Itambacuri</t>
  </si>
  <si>
    <t>32701</t>
  </si>
  <si>
    <t>Itamarati de Minas</t>
  </si>
  <si>
    <t>32602</t>
  </si>
  <si>
    <t>Itamarandiba</t>
  </si>
  <si>
    <t>32503</t>
  </si>
  <si>
    <t>Itajubá</t>
  </si>
  <si>
    <t>32404</t>
  </si>
  <si>
    <t>Itaipé</t>
  </si>
  <si>
    <t>32305</t>
  </si>
  <si>
    <t>Itaguara</t>
  </si>
  <si>
    <t>32206</t>
  </si>
  <si>
    <t>Itacarambi</t>
  </si>
  <si>
    <t>32107</t>
  </si>
  <si>
    <t>Itacambira</t>
  </si>
  <si>
    <t>32008</t>
  </si>
  <si>
    <t>Itabirito</t>
  </si>
  <si>
    <t>31901</t>
  </si>
  <si>
    <t>Itabirinha</t>
  </si>
  <si>
    <t>31802</t>
  </si>
  <si>
    <t>Itabira</t>
  </si>
  <si>
    <t>31703</t>
  </si>
  <si>
    <t>Iraí de Minas</t>
  </si>
  <si>
    <t>31604</t>
  </si>
  <si>
    <t>Ipuiúna</t>
  </si>
  <si>
    <t>31505</t>
  </si>
  <si>
    <t>Ipiaçu</t>
  </si>
  <si>
    <t>31406</t>
  </si>
  <si>
    <t>Ipatinga</t>
  </si>
  <si>
    <t>31307</t>
  </si>
  <si>
    <t>Ipanema</t>
  </si>
  <si>
    <t>31208</t>
  </si>
  <si>
    <t>Ipaba</t>
  </si>
  <si>
    <t>31158</t>
  </si>
  <si>
    <t>Inimutaba</t>
  </si>
  <si>
    <t>31109</t>
  </si>
  <si>
    <t>Inhaúma</t>
  </si>
  <si>
    <t>31000</t>
  </si>
  <si>
    <t>Inhapim</t>
  </si>
  <si>
    <t>30903</t>
  </si>
  <si>
    <t>Ingaí</t>
  </si>
  <si>
    <t>30804</t>
  </si>
  <si>
    <t>30705</t>
  </si>
  <si>
    <t>Indaiabira</t>
  </si>
  <si>
    <t>30655</t>
  </si>
  <si>
    <t>Inconfidentes</t>
  </si>
  <si>
    <t>30606</t>
  </si>
  <si>
    <t>Imbé de Minas</t>
  </si>
  <si>
    <t>30556</t>
  </si>
  <si>
    <t>Ilicínea</t>
  </si>
  <si>
    <t>30507</t>
  </si>
  <si>
    <t>Ijaci</t>
  </si>
  <si>
    <t>30408</t>
  </si>
  <si>
    <t>Iguatama</t>
  </si>
  <si>
    <t>30309</t>
  </si>
  <si>
    <t>Igaratinga</t>
  </si>
  <si>
    <t>30200</t>
  </si>
  <si>
    <t>Igarapé</t>
  </si>
  <si>
    <t>30101</t>
  </si>
  <si>
    <t>Icaraí de Minas</t>
  </si>
  <si>
    <t>30051</t>
  </si>
  <si>
    <t>Ibituruna</t>
  </si>
  <si>
    <t>30002</t>
  </si>
  <si>
    <t>Ibitiúra de Minas</t>
  </si>
  <si>
    <t>29905</t>
  </si>
  <si>
    <t>Ibirité</t>
  </si>
  <si>
    <t>29806</t>
  </si>
  <si>
    <t>Ibiraci</t>
  </si>
  <si>
    <t>29707</t>
  </si>
  <si>
    <t>Ibiracatu</t>
  </si>
  <si>
    <t>29657</t>
  </si>
  <si>
    <t>Ibiaí</t>
  </si>
  <si>
    <t>29608</t>
  </si>
  <si>
    <t>Ibiá</t>
  </si>
  <si>
    <t>29509</t>
  </si>
  <si>
    <t>Ibertioga</t>
  </si>
  <si>
    <t>29400</t>
  </si>
  <si>
    <t>Iapu</t>
  </si>
  <si>
    <t>29301</t>
  </si>
  <si>
    <t>Heliodora</t>
  </si>
  <si>
    <t>29202</t>
  </si>
  <si>
    <t>Gurinhatã</t>
  </si>
  <si>
    <t>29103</t>
  </si>
  <si>
    <t>Guiricema</t>
  </si>
  <si>
    <t>29004</t>
  </si>
  <si>
    <t>Guimarânia</t>
  </si>
  <si>
    <t>28907</t>
  </si>
  <si>
    <t>Guidoval</t>
  </si>
  <si>
    <t>28808</t>
  </si>
  <si>
    <t>Guaxupé</t>
  </si>
  <si>
    <t>28709</t>
  </si>
  <si>
    <t>Guarda-Mor</t>
  </si>
  <si>
    <t>28600</t>
  </si>
  <si>
    <t>Guarará</t>
  </si>
  <si>
    <t>28501</t>
  </si>
  <si>
    <t>Guarani</t>
  </si>
  <si>
    <t>28402</t>
  </si>
  <si>
    <t>Guaranésia</t>
  </si>
  <si>
    <t>28303</t>
  </si>
  <si>
    <t>Guaraciama</t>
  </si>
  <si>
    <t>28253</t>
  </si>
  <si>
    <t>28204</t>
  </si>
  <si>
    <t>Guapé</t>
  </si>
  <si>
    <t>28105</t>
  </si>
  <si>
    <t>Guanhães</t>
  </si>
  <si>
    <t>28006</t>
  </si>
  <si>
    <t>Grupiara</t>
  </si>
  <si>
    <t>27909</t>
  </si>
  <si>
    <t>Grão Mogol</t>
  </si>
  <si>
    <t>27800</t>
  </si>
  <si>
    <t>Governador Valadares</t>
  </si>
  <si>
    <t>27701</t>
  </si>
  <si>
    <t>Gouveia</t>
  </si>
  <si>
    <t>27602</t>
  </si>
  <si>
    <t>Gonzaga</t>
  </si>
  <si>
    <t>27503</t>
  </si>
  <si>
    <t>Gonçalves</t>
  </si>
  <si>
    <t>27404</t>
  </si>
  <si>
    <t>Goianá</t>
  </si>
  <si>
    <t>27388</t>
  </si>
  <si>
    <t>Goiabeira</t>
  </si>
  <si>
    <t>27370</t>
  </si>
  <si>
    <t>Glaucilândia</t>
  </si>
  <si>
    <t>27354</t>
  </si>
  <si>
    <t>Gameleiras</t>
  </si>
  <si>
    <t>27339</t>
  </si>
  <si>
    <t>Galiléia</t>
  </si>
  <si>
    <t>27305</t>
  </si>
  <si>
    <t>Funilândia</t>
  </si>
  <si>
    <t>27206</t>
  </si>
  <si>
    <t>Frutal</t>
  </si>
  <si>
    <t>27107</t>
  </si>
  <si>
    <t>Fruta de Leite</t>
  </si>
  <si>
    <t>27073</t>
  </si>
  <si>
    <t>Fronteira dos Vales</t>
  </si>
  <si>
    <t>27057</t>
  </si>
  <si>
    <t>Fronteira</t>
  </si>
  <si>
    <t>27008</t>
  </si>
  <si>
    <t>Frei Lagonegro</t>
  </si>
  <si>
    <t>26950</t>
  </si>
  <si>
    <t>Frei Inocêncio</t>
  </si>
  <si>
    <t>26901</t>
  </si>
  <si>
    <t>Frei Gaspar</t>
  </si>
  <si>
    <t>26802</t>
  </si>
  <si>
    <t>Franciscópolis</t>
  </si>
  <si>
    <t>26752</t>
  </si>
  <si>
    <t>Francisco Sá</t>
  </si>
  <si>
    <t>26703</t>
  </si>
  <si>
    <t>Francisco Dumont</t>
  </si>
  <si>
    <t>26604</t>
  </si>
  <si>
    <t>Francisco Badaró</t>
  </si>
  <si>
    <t>26505</t>
  </si>
  <si>
    <t>Fortuna de Minas</t>
  </si>
  <si>
    <t>26406</t>
  </si>
  <si>
    <t>Fortaleza de Minas</t>
  </si>
  <si>
    <t>26307</t>
  </si>
  <si>
    <t>26208</t>
  </si>
  <si>
    <t>Formiga</t>
  </si>
  <si>
    <t>26109</t>
  </si>
  <si>
    <t>Florestal</t>
  </si>
  <si>
    <t>26000</t>
  </si>
  <si>
    <t>Fervedouro</t>
  </si>
  <si>
    <t>25952</t>
  </si>
  <si>
    <t>Ferros</t>
  </si>
  <si>
    <t>25903</t>
  </si>
  <si>
    <t>Fernandes Tourinho</t>
  </si>
  <si>
    <t>25804</t>
  </si>
  <si>
    <t>Felixlândia</t>
  </si>
  <si>
    <t>25705</t>
  </si>
  <si>
    <t>Felisburgo</t>
  </si>
  <si>
    <t>25606</t>
  </si>
  <si>
    <t>São Gonçalo do Rio Preto</t>
  </si>
  <si>
    <t>25507</t>
  </si>
  <si>
    <t>Felício dos Santos</t>
  </si>
  <si>
    <t>25408</t>
  </si>
  <si>
    <t>Faria Lemos</t>
  </si>
  <si>
    <t>25309</t>
  </si>
  <si>
    <t>Fama</t>
  </si>
  <si>
    <t>25200</t>
  </si>
  <si>
    <t>Extrema</t>
  </si>
  <si>
    <t>25101</t>
  </si>
  <si>
    <t>Ewbank da Câmara</t>
  </si>
  <si>
    <t>25002</t>
  </si>
  <si>
    <t>Eugenópolis</t>
  </si>
  <si>
    <t>24906</t>
  </si>
  <si>
    <t>Estrela do Sul</t>
  </si>
  <si>
    <t>24807</t>
  </si>
  <si>
    <t>Estrela do Indaiá</t>
  </si>
  <si>
    <t>24708</t>
  </si>
  <si>
    <t>Estrela Dalva</t>
  </si>
  <si>
    <t>24609</t>
  </si>
  <si>
    <t>Estiva</t>
  </si>
  <si>
    <t>24500</t>
  </si>
  <si>
    <t>Espírito Santo do Dourado</t>
  </si>
  <si>
    <t>24401</t>
  </si>
  <si>
    <t>Espinosa</t>
  </si>
  <si>
    <t>24302</t>
  </si>
  <si>
    <t>Espera Feliz</t>
  </si>
  <si>
    <t>24203</t>
  </si>
  <si>
    <t>Esmeraldas</t>
  </si>
  <si>
    <t>24104</t>
  </si>
  <si>
    <t>Ervália</t>
  </si>
  <si>
    <t>24005</t>
  </si>
  <si>
    <t>Entre Rios de Minas</t>
  </si>
  <si>
    <t>23908</t>
  </si>
  <si>
    <t>Entre Folhas</t>
  </si>
  <si>
    <t>23858</t>
  </si>
  <si>
    <t>Engenheiro Navarro</t>
  </si>
  <si>
    <t>23809</t>
  </si>
  <si>
    <t>Engenheiro Caldas</t>
  </si>
  <si>
    <t>23700</t>
  </si>
  <si>
    <t>Elói Mendes</t>
  </si>
  <si>
    <t>23601</t>
  </si>
  <si>
    <t>Durandé</t>
  </si>
  <si>
    <t>23528</t>
  </si>
  <si>
    <t>Douradoquara</t>
  </si>
  <si>
    <t>23502</t>
  </si>
  <si>
    <t>Doresópolis</t>
  </si>
  <si>
    <t>23403</t>
  </si>
  <si>
    <t>Dores do Turvo</t>
  </si>
  <si>
    <t>23304</t>
  </si>
  <si>
    <t>Dores do Indaiá</t>
  </si>
  <si>
    <t>23205</t>
  </si>
  <si>
    <t>Dores de Guanhães</t>
  </si>
  <si>
    <t>23106</t>
  </si>
  <si>
    <t>Dores de Campos</t>
  </si>
  <si>
    <t>23007</t>
  </si>
  <si>
    <t>Dona Eusébia</t>
  </si>
  <si>
    <t>22900</t>
  </si>
  <si>
    <t>Dom Viçoso</t>
  </si>
  <si>
    <t>22801</t>
  </si>
  <si>
    <t>Dom Silvério</t>
  </si>
  <si>
    <t>22702</t>
  </si>
  <si>
    <t>Dom Joaquim</t>
  </si>
  <si>
    <t>22603</t>
  </si>
  <si>
    <t>Dom Cavati</t>
  </si>
  <si>
    <t>22504</t>
  </si>
  <si>
    <t>Dom Bosco</t>
  </si>
  <si>
    <t>22470</t>
  </si>
  <si>
    <t>Divisópolis</t>
  </si>
  <si>
    <t>22454</t>
  </si>
  <si>
    <t>Divisa Nova</t>
  </si>
  <si>
    <t>22405</t>
  </si>
  <si>
    <t>Divisa Alegre</t>
  </si>
  <si>
    <t>22355</t>
  </si>
  <si>
    <t>Divinópolis</t>
  </si>
  <si>
    <t>22306</t>
  </si>
  <si>
    <t>Divinolândia de Minas</t>
  </si>
  <si>
    <t>22207</t>
  </si>
  <si>
    <t>Divino das Laranjeiras</t>
  </si>
  <si>
    <t>22108</t>
  </si>
  <si>
    <t>Divino</t>
  </si>
  <si>
    <t>22009</t>
  </si>
  <si>
    <t>Divinésia</t>
  </si>
  <si>
    <t>21902</t>
  </si>
  <si>
    <t>Dionísio</t>
  </si>
  <si>
    <t>21803</t>
  </si>
  <si>
    <t>Diogo de Vasconcelos</t>
  </si>
  <si>
    <t>21704</t>
  </si>
  <si>
    <t>Diamantina</t>
  </si>
  <si>
    <t>21605</t>
  </si>
  <si>
    <t>Desterro do Melo</t>
  </si>
  <si>
    <t>21506</t>
  </si>
  <si>
    <t>Desterro de Entre Rios</t>
  </si>
  <si>
    <t>21407</t>
  </si>
  <si>
    <t>Descoberto</t>
  </si>
  <si>
    <t>21308</t>
  </si>
  <si>
    <t>Delta</t>
  </si>
  <si>
    <t>21258</t>
  </si>
  <si>
    <t>Delfinópolis</t>
  </si>
  <si>
    <t>21209</t>
  </si>
  <si>
    <t>Delfim Moreira</t>
  </si>
  <si>
    <t>21100</t>
  </si>
  <si>
    <t>Datas</t>
  </si>
  <si>
    <t>21001</t>
  </si>
  <si>
    <t>Curvelo</t>
  </si>
  <si>
    <t>20904</t>
  </si>
  <si>
    <t>Curral de Dentro</t>
  </si>
  <si>
    <t>20870</t>
  </si>
  <si>
    <t>Cuparaque</t>
  </si>
  <si>
    <t>20839</t>
  </si>
  <si>
    <t>Cruzília</t>
  </si>
  <si>
    <t>20805</t>
  </si>
  <si>
    <t>Cruzeiro da Fortaleza</t>
  </si>
  <si>
    <t>20706</t>
  </si>
  <si>
    <t>Crucilândia</t>
  </si>
  <si>
    <t>20607</t>
  </si>
  <si>
    <t>Cristina</t>
  </si>
  <si>
    <t>20508</t>
  </si>
  <si>
    <t>Cristiano Otoni</t>
  </si>
  <si>
    <t>20409</t>
  </si>
  <si>
    <t>Cristália</t>
  </si>
  <si>
    <t>20300</t>
  </si>
  <si>
    <t>Cristais</t>
  </si>
  <si>
    <t>20201</t>
  </si>
  <si>
    <t>Crisólita</t>
  </si>
  <si>
    <t>20151</t>
  </si>
  <si>
    <t>Couto de Magalhães de Minas</t>
  </si>
  <si>
    <t>20102</t>
  </si>
  <si>
    <t>Córrego Novo</t>
  </si>
  <si>
    <t>20003</t>
  </si>
  <si>
    <t>Córrego Fundo</t>
  </si>
  <si>
    <t>19955</t>
  </si>
  <si>
    <t>Córrego do Bom Jesus</t>
  </si>
  <si>
    <t>19906</t>
  </si>
  <si>
    <t>Córrego Danta</t>
  </si>
  <si>
    <t>19807</t>
  </si>
  <si>
    <t>Coronel Xavier Chaves</t>
  </si>
  <si>
    <t>19708</t>
  </si>
  <si>
    <t>Coronel Pacheco</t>
  </si>
  <si>
    <t>19609</t>
  </si>
  <si>
    <t>Coronel Murta</t>
  </si>
  <si>
    <t>19500</t>
  </si>
  <si>
    <t>Coronel Fabriciano</t>
  </si>
  <si>
    <t>19401</t>
  </si>
  <si>
    <t>Coromandel</t>
  </si>
  <si>
    <t>19302</t>
  </si>
  <si>
    <t>Coroaci</t>
  </si>
  <si>
    <t>19203</t>
  </si>
  <si>
    <t>Corinto</t>
  </si>
  <si>
    <t>19104</t>
  </si>
  <si>
    <t>Cordislândia</t>
  </si>
  <si>
    <t>19005</t>
  </si>
  <si>
    <t>Cordisburgo</t>
  </si>
  <si>
    <t>18908</t>
  </si>
  <si>
    <t>Coração de Jesus</t>
  </si>
  <si>
    <t>18809</t>
  </si>
  <si>
    <t>Coqueiral</t>
  </si>
  <si>
    <t>18700</t>
  </si>
  <si>
    <t>Contagem</t>
  </si>
  <si>
    <t>18601</t>
  </si>
  <si>
    <t>Consolação</t>
  </si>
  <si>
    <t>18502</t>
  </si>
  <si>
    <t>Conselheiro Pena</t>
  </si>
  <si>
    <t>18403</t>
  </si>
  <si>
    <t>Conselheiro Lafaiete</t>
  </si>
  <si>
    <t>18304</t>
  </si>
  <si>
    <t>Conquista</t>
  </si>
  <si>
    <t>18205</t>
  </si>
  <si>
    <t>Congonhas do Norte</t>
  </si>
  <si>
    <t>18106</t>
  </si>
  <si>
    <t>Congonhas</t>
  </si>
  <si>
    <t>18007</t>
  </si>
  <si>
    <t>Congonhal</t>
  </si>
  <si>
    <t>17900</t>
  </si>
  <si>
    <t>Confins</t>
  </si>
  <si>
    <t>17876</t>
  </si>
  <si>
    <t>Cônego Marinho</t>
  </si>
  <si>
    <t>17836</t>
  </si>
  <si>
    <t>Conceição dos Ouros</t>
  </si>
  <si>
    <t>17801</t>
  </si>
  <si>
    <t>Conceição do Rio Verde</t>
  </si>
  <si>
    <t>17702</t>
  </si>
  <si>
    <t>Conceição do Pará</t>
  </si>
  <si>
    <t>17603</t>
  </si>
  <si>
    <t>Conceição do Mato Dentro</t>
  </si>
  <si>
    <t>17504</t>
  </si>
  <si>
    <t>Conceição de Ipanema</t>
  </si>
  <si>
    <t>17405</t>
  </si>
  <si>
    <t>Conceição das Alagoas</t>
  </si>
  <si>
    <t>17306</t>
  </si>
  <si>
    <t>Conceição das Pedras</t>
  </si>
  <si>
    <t>17207</t>
  </si>
  <si>
    <t>Conceição da Aparecida</t>
  </si>
  <si>
    <t>17108</t>
  </si>
  <si>
    <t>Comercinho</t>
  </si>
  <si>
    <t>17009</t>
  </si>
  <si>
    <t>Comendador Gomes</t>
  </si>
  <si>
    <t>16902</t>
  </si>
  <si>
    <t>Coluna</t>
  </si>
  <si>
    <t>16803</t>
  </si>
  <si>
    <t>Coimbra</t>
  </si>
  <si>
    <t>16704</t>
  </si>
  <si>
    <t>Cláudio</t>
  </si>
  <si>
    <t>16605</t>
  </si>
  <si>
    <t>Claro dos Poções</t>
  </si>
  <si>
    <t>16506</t>
  </si>
  <si>
    <t>Claraval</t>
  </si>
  <si>
    <t>16407</t>
  </si>
  <si>
    <t>Cipotânea</t>
  </si>
  <si>
    <t>16308</t>
  </si>
  <si>
    <t>Chiador</t>
  </si>
  <si>
    <t>16209</t>
  </si>
  <si>
    <t>Chapada Gaúcha</t>
  </si>
  <si>
    <t>16159</t>
  </si>
  <si>
    <t>Chapada do Norte</t>
  </si>
  <si>
    <t>16100</t>
  </si>
  <si>
    <t>Chalé</t>
  </si>
  <si>
    <t>16001</t>
  </si>
  <si>
    <t>Chácara</t>
  </si>
  <si>
    <t>15904</t>
  </si>
  <si>
    <t>Centralina</t>
  </si>
  <si>
    <t>15805</t>
  </si>
  <si>
    <t>Central de Minas</t>
  </si>
  <si>
    <t>15706</t>
  </si>
  <si>
    <t>Cedro do Abaeté</t>
  </si>
  <si>
    <t>15607</t>
  </si>
  <si>
    <t>Caxambu</t>
  </si>
  <si>
    <t>15508</t>
  </si>
  <si>
    <t>Catuti</t>
  </si>
  <si>
    <t>15474</t>
  </si>
  <si>
    <t>Catuji</t>
  </si>
  <si>
    <t>15458</t>
  </si>
  <si>
    <t>Catas Altas da Noruega</t>
  </si>
  <si>
    <t>15409</t>
  </si>
  <si>
    <t>Catas Altas</t>
  </si>
  <si>
    <t>15359</t>
  </si>
  <si>
    <t>Cataguases</t>
  </si>
  <si>
    <t>15300</t>
  </si>
  <si>
    <t>Conceição da Barra de Minas</t>
  </si>
  <si>
    <t>15201</t>
  </si>
  <si>
    <t>Cássia</t>
  </si>
  <si>
    <t>15102</t>
  </si>
  <si>
    <t>Cascalho Rico</t>
  </si>
  <si>
    <t>15003</t>
  </si>
  <si>
    <t>Casa Grande</t>
  </si>
  <si>
    <t>14907</t>
  </si>
  <si>
    <t>Carvalhos</t>
  </si>
  <si>
    <t>14808</t>
  </si>
  <si>
    <t>Carvalhópolis</t>
  </si>
  <si>
    <t>14709</t>
  </si>
  <si>
    <t>Carrancas</t>
  </si>
  <si>
    <t>14600</t>
  </si>
  <si>
    <t>Carneirinho</t>
  </si>
  <si>
    <t>14550</t>
  </si>
  <si>
    <t>Carmópolis de Minas</t>
  </si>
  <si>
    <t>14501</t>
  </si>
  <si>
    <t>Carmo do Rio Claro</t>
  </si>
  <si>
    <t>14402</t>
  </si>
  <si>
    <t>Carmo do Paranaíba</t>
  </si>
  <si>
    <t>14303</t>
  </si>
  <si>
    <t>Carmo do Cajuru</t>
  </si>
  <si>
    <t>14204</t>
  </si>
  <si>
    <t>Carmo de Minas</t>
  </si>
  <si>
    <t>14105</t>
  </si>
  <si>
    <t>Carmo da Mata</t>
  </si>
  <si>
    <t>14006</t>
  </si>
  <si>
    <t>Carmo da Cachoeira</t>
  </si>
  <si>
    <t>13909</t>
  </si>
  <si>
    <t>Carmésia</t>
  </si>
  <si>
    <t>13800</t>
  </si>
  <si>
    <t>Carlos Chagas</t>
  </si>
  <si>
    <t>13701</t>
  </si>
  <si>
    <t>Careaçu</t>
  </si>
  <si>
    <t>13602</t>
  </si>
  <si>
    <t>Carbonita</t>
  </si>
  <si>
    <t>13503</t>
  </si>
  <si>
    <t>Caratinga</t>
  </si>
  <si>
    <t>13404</t>
  </si>
  <si>
    <t>Carangola</t>
  </si>
  <si>
    <t>13305</t>
  </si>
  <si>
    <t>Carandaí</t>
  </si>
  <si>
    <t>13206</t>
  </si>
  <si>
    <t>Caranaíba</t>
  </si>
  <si>
    <t>13107</t>
  </si>
  <si>
    <t>Caraí</t>
  </si>
  <si>
    <t>13008</t>
  </si>
  <si>
    <t>Caputira</t>
  </si>
  <si>
    <t>12901</t>
  </si>
  <si>
    <t>Capitólio</t>
  </si>
  <si>
    <t>12802</t>
  </si>
  <si>
    <t>Capitão Enéas</t>
  </si>
  <si>
    <t>12703</t>
  </si>
  <si>
    <t>Capitão Andrade</t>
  </si>
  <si>
    <t>12653</t>
  </si>
  <si>
    <t>Capinópolis</t>
  </si>
  <si>
    <t>12604</t>
  </si>
  <si>
    <t>Capim Branco</t>
  </si>
  <si>
    <t>12505</t>
  </si>
  <si>
    <t>Capetinga</t>
  </si>
  <si>
    <t>12406</t>
  </si>
  <si>
    <t>Capelinha</t>
  </si>
  <si>
    <t>12307</t>
  </si>
  <si>
    <t>Capela Nova</t>
  </si>
  <si>
    <t>12208</t>
  </si>
  <si>
    <t>Caparaó</t>
  </si>
  <si>
    <t>12109</t>
  </si>
  <si>
    <t>12059</t>
  </si>
  <si>
    <t>Candeias</t>
  </si>
  <si>
    <t>12000</t>
  </si>
  <si>
    <t>Cana Verde</t>
  </si>
  <si>
    <t>11903</t>
  </si>
  <si>
    <t>Canápolis</t>
  </si>
  <si>
    <t>11804</t>
  </si>
  <si>
    <t>Canaã</t>
  </si>
  <si>
    <t>11705</t>
  </si>
  <si>
    <t>Campos Gerais</t>
  </si>
  <si>
    <t>11606</t>
  </si>
  <si>
    <t>Campos Altos</t>
  </si>
  <si>
    <t>11507</t>
  </si>
  <si>
    <t>Campo Florido</t>
  </si>
  <si>
    <t>11408</t>
  </si>
  <si>
    <t>Campo do Meio</t>
  </si>
  <si>
    <t>11309</t>
  </si>
  <si>
    <t>Campo Belo</t>
  </si>
  <si>
    <t>11200</t>
  </si>
  <si>
    <t>Campo Azul</t>
  </si>
  <si>
    <t>11150</t>
  </si>
  <si>
    <t>Campina Verde</t>
  </si>
  <si>
    <t>11101</t>
  </si>
  <si>
    <t>Campestre</t>
  </si>
  <si>
    <t>11002</t>
  </si>
  <si>
    <t>Campanha</t>
  </si>
  <si>
    <t>10905</t>
  </si>
  <si>
    <t>Campanário</t>
  </si>
  <si>
    <t>10806</t>
  </si>
  <si>
    <t>Cambuquira</t>
  </si>
  <si>
    <t>10707</t>
  </si>
  <si>
    <t>Cambuí</t>
  </si>
  <si>
    <t>10608</t>
  </si>
  <si>
    <t>Camanducaia</t>
  </si>
  <si>
    <t>10509</t>
  </si>
  <si>
    <t>Camacho</t>
  </si>
  <si>
    <t>10400</t>
  </si>
  <si>
    <t>Caldas</t>
  </si>
  <si>
    <t>10301</t>
  </si>
  <si>
    <t>Cajuri</t>
  </si>
  <si>
    <t>10202</t>
  </si>
  <si>
    <t>Caiana</t>
  </si>
  <si>
    <t>10103</t>
  </si>
  <si>
    <t>Caeté</t>
  </si>
  <si>
    <t>10004</t>
  </si>
  <si>
    <t>Caetanópolis</t>
  </si>
  <si>
    <t>09907</t>
  </si>
  <si>
    <t>09808</t>
  </si>
  <si>
    <t>Cachoeira de Minas</t>
  </si>
  <si>
    <t>09709</t>
  </si>
  <si>
    <t>Cachoeira da Prata</t>
  </si>
  <si>
    <t>09600</t>
  </si>
  <si>
    <t>Cabo Verde</t>
  </si>
  <si>
    <t>09501</t>
  </si>
  <si>
    <t>Cabeceira Grande</t>
  </si>
  <si>
    <t>09451</t>
  </si>
  <si>
    <t>Buritizeiro</t>
  </si>
  <si>
    <t>09402</t>
  </si>
  <si>
    <t>Buritis</t>
  </si>
  <si>
    <t>09303</t>
  </si>
  <si>
    <t>Bugre</t>
  </si>
  <si>
    <t>09253</t>
  </si>
  <si>
    <t>Buenópolis</t>
  </si>
  <si>
    <t>09204</t>
  </si>
  <si>
    <t>Bueno Brandão</t>
  </si>
  <si>
    <t>09105</t>
  </si>
  <si>
    <t>Brumadinho</t>
  </si>
  <si>
    <t>09006</t>
  </si>
  <si>
    <t>Brazópolis</t>
  </si>
  <si>
    <t>08909</t>
  </si>
  <si>
    <t>Braúnas</t>
  </si>
  <si>
    <t>08800</t>
  </si>
  <si>
    <t>Brás Pires</t>
  </si>
  <si>
    <t>08701</t>
  </si>
  <si>
    <t>Brasília de Minas</t>
  </si>
  <si>
    <t>08602</t>
  </si>
  <si>
    <t>Brasilândia de Minas</t>
  </si>
  <si>
    <t>08552</t>
  </si>
  <si>
    <t>Botumirim</t>
  </si>
  <si>
    <t>08503</t>
  </si>
  <si>
    <t>Botelhos</t>
  </si>
  <si>
    <t>Borda da Mata</t>
  </si>
  <si>
    <t>Bonito de Minas</t>
  </si>
  <si>
    <t>08255</t>
  </si>
  <si>
    <t>Bonfinópolis de Minas</t>
  </si>
  <si>
    <t>08206</t>
  </si>
  <si>
    <t>Bonfim</t>
  </si>
  <si>
    <t>08107</t>
  </si>
  <si>
    <t>Bom Repouso</t>
  </si>
  <si>
    <t>Bom Jesus do Galho</t>
  </si>
  <si>
    <t>Bom Jesus do Amparo</t>
  </si>
  <si>
    <t>Bom Jesus da Penha</t>
  </si>
  <si>
    <t>07604</t>
  </si>
  <si>
    <t>Bom Jardim de Minas</t>
  </si>
  <si>
    <t>Bom Despacho</t>
  </si>
  <si>
    <t>Bocaiúva</t>
  </si>
  <si>
    <t>Bocaina de Minas</t>
  </si>
  <si>
    <t>Biquinhas</t>
  </si>
  <si>
    <t>07000</t>
  </si>
  <si>
    <t>Bicas</t>
  </si>
  <si>
    <t>Bias Fortes</t>
  </si>
  <si>
    <t>06804</t>
  </si>
  <si>
    <t>Betim</t>
  </si>
  <si>
    <t>06705</t>
  </si>
  <si>
    <t>Berizal</t>
  </si>
  <si>
    <t>06655</t>
  </si>
  <si>
    <t>Bertópolis</t>
  </si>
  <si>
    <t>Berilo</t>
  </si>
  <si>
    <t>06507</t>
  </si>
  <si>
    <t>Belo Vale</t>
  </si>
  <si>
    <t>Belo Oriente</t>
  </si>
  <si>
    <t>Belo Horizonte</t>
  </si>
  <si>
    <t>Belmiro Braga</t>
  </si>
  <si>
    <t>06101</t>
  </si>
  <si>
    <t>Bela Vista de Minas</t>
  </si>
  <si>
    <t>Barroso</t>
  </si>
  <si>
    <t>05905</t>
  </si>
  <si>
    <t>Barra Longa</t>
  </si>
  <si>
    <t>Barbacena</t>
  </si>
  <si>
    <t>Barão de Monte Alto</t>
  </si>
  <si>
    <t>05509</t>
  </si>
  <si>
    <t>Barão de Cocais</t>
  </si>
  <si>
    <t>Bandeira do Sul</t>
  </si>
  <si>
    <t>05301</t>
  </si>
  <si>
    <t>Bandeira</t>
  </si>
  <si>
    <t>Bambuí</t>
  </si>
  <si>
    <t>Baldim</t>
  </si>
  <si>
    <t>Baependi</t>
  </si>
  <si>
    <t>Augusto de Lima</t>
  </si>
  <si>
    <t>Ataléia</t>
  </si>
  <si>
    <t>Astolfo Dutra</t>
  </si>
  <si>
    <t>Arinos</t>
  </si>
  <si>
    <t>Aricanduva</t>
  </si>
  <si>
    <t>04452</t>
  </si>
  <si>
    <t>Argirita</t>
  </si>
  <si>
    <t>Areado</t>
  </si>
  <si>
    <t>Arcos</t>
  </si>
  <si>
    <t>04205</t>
  </si>
  <si>
    <t>Arceburgo</t>
  </si>
  <si>
    <t>Araxá</t>
  </si>
  <si>
    <t>Araújos</t>
  </si>
  <si>
    <t>Arapuá</t>
  </si>
  <si>
    <t>Araporã</t>
  </si>
  <si>
    <t>Araponga</t>
  </si>
  <si>
    <t>Arantina</t>
  </si>
  <si>
    <t>03603</t>
  </si>
  <si>
    <t>Araguari</t>
  </si>
  <si>
    <t>Araçuaí</t>
  </si>
  <si>
    <t>03405</t>
  </si>
  <si>
    <t>Aracitaba</t>
  </si>
  <si>
    <t>Araçaí</t>
  </si>
  <si>
    <t>Antônio Prado de Minas</t>
  </si>
  <si>
    <t>Antônio Dias</t>
  </si>
  <si>
    <t>03009</t>
  </si>
  <si>
    <t>Angelândia</t>
  </si>
  <si>
    <t>02852</t>
  </si>
  <si>
    <t>Andrelândia</t>
  </si>
  <si>
    <t>Cachoeira de Pajeú</t>
  </si>
  <si>
    <t>Andradas</t>
  </si>
  <si>
    <t>Amparo do Serra</t>
  </si>
  <si>
    <t>02506</t>
  </si>
  <si>
    <t>Alvorada de Minas</t>
  </si>
  <si>
    <t>Alvinópolis</t>
  </si>
  <si>
    <t>Alvarenga</t>
  </si>
  <si>
    <t>Alto Rio Doce</t>
  </si>
  <si>
    <t>Alto Caparaó</t>
  </si>
  <si>
    <t>02050</t>
  </si>
  <si>
    <t>Alterosa</t>
  </si>
  <si>
    <t>Alpinópolis</t>
  </si>
  <si>
    <t>Alpercata</t>
  </si>
  <si>
    <t>01805</t>
  </si>
  <si>
    <t>Almenara</t>
  </si>
  <si>
    <t>01706</t>
  </si>
  <si>
    <t>Alfredo Vasconcelos</t>
  </si>
  <si>
    <t>01631</t>
  </si>
  <si>
    <t>Alfenas</t>
  </si>
  <si>
    <t>01607</t>
  </si>
  <si>
    <t>Além Paraíba</t>
  </si>
  <si>
    <t>Albertina</t>
  </si>
  <si>
    <t>01409</t>
  </si>
  <si>
    <t>Alagoa</t>
  </si>
  <si>
    <t>01300</t>
  </si>
  <si>
    <t>Aiuruoca</t>
  </si>
  <si>
    <t>01201</t>
  </si>
  <si>
    <t>Aimorés</t>
  </si>
  <si>
    <t>Águas Vermelhas</t>
  </si>
  <si>
    <t>Águas Formosas</t>
  </si>
  <si>
    <t>Aguanil</t>
  </si>
  <si>
    <t>Água Comprida</t>
  </si>
  <si>
    <t>Açucena</t>
  </si>
  <si>
    <t>00500</t>
  </si>
  <si>
    <t>Acaiaca</t>
  </si>
  <si>
    <t>00401</t>
  </si>
  <si>
    <t>Abre Campo</t>
  </si>
  <si>
    <t>00302</t>
  </si>
  <si>
    <t>Abaeté</t>
  </si>
  <si>
    <t>Abadia dos Dourados</t>
  </si>
  <si>
    <t>00104</t>
  </si>
  <si>
    <t>Xique-Xique</t>
  </si>
  <si>
    <t>33604</t>
  </si>
  <si>
    <t>Wenceslau Guimarães</t>
  </si>
  <si>
    <t>33505</t>
  </si>
  <si>
    <t>Wanderley</t>
  </si>
  <si>
    <t>33455</t>
  </si>
  <si>
    <t>Wagner</t>
  </si>
  <si>
    <t>33406</t>
  </si>
  <si>
    <t>Vitória da Conquista</t>
  </si>
  <si>
    <t>33307</t>
  </si>
  <si>
    <t>Vereda</t>
  </si>
  <si>
    <t>33257</t>
  </si>
  <si>
    <r>
      <t xml:space="preserve">43223 </t>
    </r>
    <r>
      <rPr>
        <b/>
        <vertAlign val="superscript"/>
        <sz val="11"/>
        <rFont val="Arial"/>
        <family val="2"/>
      </rPr>
      <t>(17)</t>
    </r>
  </si>
  <si>
    <t>33208</t>
  </si>
  <si>
    <t>Varzedo</t>
  </si>
  <si>
    <t>33174</t>
  </si>
  <si>
    <t>Várzea Nova</t>
  </si>
  <si>
    <t>33158</t>
  </si>
  <si>
    <t>Várzea do Poço</t>
  </si>
  <si>
    <t>33109</t>
  </si>
  <si>
    <t>Várzea da Roça</t>
  </si>
  <si>
    <t>33059</t>
  </si>
  <si>
    <t>Valente</t>
  </si>
  <si>
    <t>33000</t>
  </si>
  <si>
    <t>32903</t>
  </si>
  <si>
    <t>Utinga</t>
  </si>
  <si>
    <t>32804</t>
  </si>
  <si>
    <t>Uruçuca</t>
  </si>
  <si>
    <t>32705</t>
  </si>
  <si>
    <t>Urandi</t>
  </si>
  <si>
    <t>32606</t>
  </si>
  <si>
    <t>Una</t>
  </si>
  <si>
    <t>32507</t>
  </si>
  <si>
    <t>Umburanas</t>
  </si>
  <si>
    <t>32457</t>
  </si>
  <si>
    <t>Uibaí</t>
  </si>
  <si>
    <t>32408</t>
  </si>
  <si>
    <t>Ubatã</t>
  </si>
  <si>
    <t>32309</t>
  </si>
  <si>
    <t>Ubaitaba</t>
  </si>
  <si>
    <t>32200</t>
  </si>
  <si>
    <t>Ubaíra</t>
  </si>
  <si>
    <t>32101</t>
  </si>
  <si>
    <t>Uauá</t>
  </si>
  <si>
    <t>32002</t>
  </si>
  <si>
    <t>Tucano</t>
  </si>
  <si>
    <t>31905</t>
  </si>
  <si>
    <t>Tremedal</t>
  </si>
  <si>
    <t>31806</t>
  </si>
  <si>
    <t>Terra Nova</t>
  </si>
  <si>
    <t>31707</t>
  </si>
  <si>
    <t>Teolândia</t>
  </si>
  <si>
    <t>31608</t>
  </si>
  <si>
    <t>Teofilândia</t>
  </si>
  <si>
    <t>31509</t>
  </si>
  <si>
    <t>31400</t>
  </si>
  <si>
    <t>Teixeira de Freitas</t>
  </si>
  <si>
    <t>31350</t>
  </si>
  <si>
    <t>Tapiramutá</t>
  </si>
  <si>
    <t>31301</t>
  </si>
  <si>
    <t>Taperoá</t>
  </si>
  <si>
    <t>31202</t>
  </si>
  <si>
    <t>Tanquinho</t>
  </si>
  <si>
    <t>31103</t>
  </si>
  <si>
    <t>Tanque Novo</t>
  </si>
  <si>
    <t>31053</t>
  </si>
  <si>
    <t>Tanhaçu</t>
  </si>
  <si>
    <t>31004</t>
  </si>
  <si>
    <t>Tabocas do Brejo Velho</t>
  </si>
  <si>
    <t>30907</t>
  </si>
  <si>
    <r>
      <t>16979</t>
    </r>
    <r>
      <rPr>
        <b/>
        <vertAlign val="superscript"/>
        <sz val="11"/>
        <rFont val="Arial"/>
        <family val="2"/>
      </rPr>
      <t xml:space="preserve"> (16)</t>
    </r>
  </si>
  <si>
    <t>Souto Soares</t>
  </si>
  <si>
    <t>30808</t>
  </si>
  <si>
    <t>30774</t>
  </si>
  <si>
    <t>Sítio do Quinto</t>
  </si>
  <si>
    <t>30766</t>
  </si>
  <si>
    <t>Sítio do Mato</t>
  </si>
  <si>
    <t>30758</t>
  </si>
  <si>
    <t>Simões Filho</t>
  </si>
  <si>
    <t>30709</t>
  </si>
  <si>
    <t>Serrolândia</t>
  </si>
  <si>
    <t>30600</t>
  </si>
  <si>
    <t>Serrinha</t>
  </si>
  <si>
    <t>30501</t>
  </si>
  <si>
    <t>Serra Preta</t>
  </si>
  <si>
    <t>30402</t>
  </si>
  <si>
    <t>Serra Dourada</t>
  </si>
  <si>
    <t>30303</t>
  </si>
  <si>
    <t>Sento Sé</t>
  </si>
  <si>
    <t>30204</t>
  </si>
  <si>
    <t>Serra do Ramalho</t>
  </si>
  <si>
    <t>30154</t>
  </si>
  <si>
    <t>Senhor do Bonfim</t>
  </si>
  <si>
    <t>30105</t>
  </si>
  <si>
    <t>Sebastião Laranjeiras</t>
  </si>
  <si>
    <t>30006</t>
  </si>
  <si>
    <t>Seabra</t>
  </si>
  <si>
    <t>29909</t>
  </si>
  <si>
    <t>Saúde</t>
  </si>
  <si>
    <t>29800</t>
  </si>
  <si>
    <t>Saubara</t>
  </si>
  <si>
    <t>29750</t>
  </si>
  <si>
    <t>Sátiro Dias</t>
  </si>
  <si>
    <t>29701</t>
  </si>
  <si>
    <t>Sapeaçu</t>
  </si>
  <si>
    <t>29602</t>
  </si>
  <si>
    <t>São Sebastião do Passé</t>
  </si>
  <si>
    <t>29503</t>
  </si>
  <si>
    <t>São Miguel das Matas</t>
  </si>
  <si>
    <t>29404</t>
  </si>
  <si>
    <t>São José do Jacuípe</t>
  </si>
  <si>
    <t>29370</t>
  </si>
  <si>
    <t>São José da Vitória</t>
  </si>
  <si>
    <t>29354</t>
  </si>
  <si>
    <t>São Gonçalo dos Campos</t>
  </si>
  <si>
    <t>29305</t>
  </si>
  <si>
    <t>29255</t>
  </si>
  <si>
    <t>São Francisco do Conde</t>
  </si>
  <si>
    <t>29206</t>
  </si>
  <si>
    <t>São Felipe</t>
  </si>
  <si>
    <t>29107</t>
  </si>
  <si>
    <t>São Félix do Coribe</t>
  </si>
  <si>
    <t>29057</t>
  </si>
  <si>
    <t>São Félix</t>
  </si>
  <si>
    <t>29008</t>
  </si>
  <si>
    <t>28950</t>
  </si>
  <si>
    <t>São Desidério</t>
  </si>
  <si>
    <t>28901</t>
  </si>
  <si>
    <t>Santo Estêvão</t>
  </si>
  <si>
    <t>28802</t>
  </si>
  <si>
    <t>Santo Antônio de Jesus</t>
  </si>
  <si>
    <t>28703</t>
  </si>
  <si>
    <t>Santo Amaro</t>
  </si>
  <si>
    <t>28604</t>
  </si>
  <si>
    <t>Santa Teresinha</t>
  </si>
  <si>
    <t>28505</t>
  </si>
  <si>
    <t>Santa Rita de Cássia</t>
  </si>
  <si>
    <t>28406</t>
  </si>
  <si>
    <t>Santanópolis</t>
  </si>
  <si>
    <t>28307</t>
  </si>
  <si>
    <t>Santana</t>
  </si>
  <si>
    <t>28208</t>
  </si>
  <si>
    <t>Santa Maria da Vitória</t>
  </si>
  <si>
    <t>28109</t>
  </si>
  <si>
    <t>28059</t>
  </si>
  <si>
    <t>Santaluz</t>
  </si>
  <si>
    <t>28000</t>
  </si>
  <si>
    <t>27903</t>
  </si>
  <si>
    <t>Santa Cruz da Vitória</t>
  </si>
  <si>
    <t>27804</t>
  </si>
  <si>
    <t>Santa Cruz Cabrália</t>
  </si>
  <si>
    <t>27705</t>
  </si>
  <si>
    <t>Santa Brígida</t>
  </si>
  <si>
    <t>27606</t>
  </si>
  <si>
    <t>27507</t>
  </si>
  <si>
    <t>Salvador</t>
  </si>
  <si>
    <t>27408</t>
  </si>
  <si>
    <t>Salinas da Margarida</t>
  </si>
  <si>
    <t>27309</t>
  </si>
  <si>
    <t>Ruy Barbosa</t>
  </si>
  <si>
    <t>27200</t>
  </si>
  <si>
    <r>
      <t>9331</t>
    </r>
    <r>
      <rPr>
        <b/>
        <vertAlign val="superscript"/>
        <sz val="11"/>
        <rFont val="Arial"/>
        <family val="2"/>
      </rPr>
      <t xml:space="preserve"> (15)</t>
    </r>
  </si>
  <si>
    <t>Rodelas</t>
  </si>
  <si>
    <t>27101</t>
  </si>
  <si>
    <t>Rio Real</t>
  </si>
  <si>
    <t>27002</t>
  </si>
  <si>
    <t>Rio do Pires</t>
  </si>
  <si>
    <t>26905</t>
  </si>
  <si>
    <t>Rio do Antônio</t>
  </si>
  <si>
    <t>26806</t>
  </si>
  <si>
    <t>Rio de Contas</t>
  </si>
  <si>
    <t>26707</t>
  </si>
  <si>
    <t>Ribeirão do Largo</t>
  </si>
  <si>
    <t>26657</t>
  </si>
  <si>
    <t>Ribeira do Pombal</t>
  </si>
  <si>
    <t>26608</t>
  </si>
  <si>
    <t>Ribeira do Amparo</t>
  </si>
  <si>
    <t>26509</t>
  </si>
  <si>
    <t>Riacho de Santana</t>
  </si>
  <si>
    <t>26400</t>
  </si>
  <si>
    <t>Riachão do Jacuípe</t>
  </si>
  <si>
    <t>26301</t>
  </si>
  <si>
    <t>Riachão das Neves</t>
  </si>
  <si>
    <t>26202</t>
  </si>
  <si>
    <t>Retirolândia</t>
  </si>
  <si>
    <t>26103</t>
  </si>
  <si>
    <t>Remanso</t>
  </si>
  <si>
    <t>26004</t>
  </si>
  <si>
    <t>Rafael Jambeiro</t>
  </si>
  <si>
    <t>25956</t>
  </si>
  <si>
    <t>Quixabeira</t>
  </si>
  <si>
    <t>25931</t>
  </si>
  <si>
    <t>Quijingue</t>
  </si>
  <si>
    <t>25907</t>
  </si>
  <si>
    <t>Queimadas</t>
  </si>
  <si>
    <t>25808</t>
  </si>
  <si>
    <t>Presidente Tancredo Neves</t>
  </si>
  <si>
    <t>25758</t>
  </si>
  <si>
    <t>Presidente Jânio Quadros</t>
  </si>
  <si>
    <t>25709</t>
  </si>
  <si>
    <t>Presidente Dutra</t>
  </si>
  <si>
    <t>25600</t>
  </si>
  <si>
    <t>Prado</t>
  </si>
  <si>
    <t>25501</t>
  </si>
  <si>
    <t>Potiraguá</t>
  </si>
  <si>
    <t>25402</t>
  </si>
  <si>
    <t>Porto Seguro</t>
  </si>
  <si>
    <t>25303</t>
  </si>
  <si>
    <t>Ponto Novo</t>
  </si>
  <si>
    <t>25253</t>
  </si>
  <si>
    <t>Pojuca</t>
  </si>
  <si>
    <t>25204</t>
  </si>
  <si>
    <t>Poções</t>
  </si>
  <si>
    <t>25105</t>
  </si>
  <si>
    <t>25006</t>
  </si>
  <si>
    <t>Planaltino</t>
  </si>
  <si>
    <t>24900</t>
  </si>
  <si>
    <t>Piritiba</t>
  </si>
  <si>
    <t>24801</t>
  </si>
  <si>
    <t>Piripá</t>
  </si>
  <si>
    <t>24702</t>
  </si>
  <si>
    <t>Piraí do Norte</t>
  </si>
  <si>
    <t>24678</t>
  </si>
  <si>
    <t>Pintadas</t>
  </si>
  <si>
    <t>24652</t>
  </si>
  <si>
    <t>Pindobaçu</t>
  </si>
  <si>
    <t>24603</t>
  </si>
  <si>
    <t>Pindaí</t>
  </si>
  <si>
    <t>24504</t>
  </si>
  <si>
    <t>Pilão Arcado</t>
  </si>
  <si>
    <t>24405</t>
  </si>
  <si>
    <t>Piatã</t>
  </si>
  <si>
    <t>24306</t>
  </si>
  <si>
    <t>Pedro Alexandre</t>
  </si>
  <si>
    <t>24207</t>
  </si>
  <si>
    <t>Pedrão</t>
  </si>
  <si>
    <t>24108</t>
  </si>
  <si>
    <t>Pé de Serra</t>
  </si>
  <si>
    <t>24058</t>
  </si>
  <si>
    <t>Paulo Afonso</t>
  </si>
  <si>
    <t>24009</t>
  </si>
  <si>
    <t>Pau Brasil</t>
  </si>
  <si>
    <t>23902</t>
  </si>
  <si>
    <t>Paripiranga</t>
  </si>
  <si>
    <t>23803</t>
  </si>
  <si>
    <t>Paratinga</t>
  </si>
  <si>
    <t>23704</t>
  </si>
  <si>
    <t>Paramirim</t>
  </si>
  <si>
    <t>23605</t>
  </si>
  <si>
    <t>Palmeiras</t>
  </si>
  <si>
    <t>23506</t>
  </si>
  <si>
    <t>Palmas de Monte Alto</t>
  </si>
  <si>
    <t>23407</t>
  </si>
  <si>
    <t>Ourolândia</t>
  </si>
  <si>
    <t>23357</t>
  </si>
  <si>
    <t>Ouriçangas</t>
  </si>
  <si>
    <t>23308</t>
  </si>
  <si>
    <t>Oliveira dos Brejinhos</t>
  </si>
  <si>
    <t>23209</t>
  </si>
  <si>
    <t>Olindina</t>
  </si>
  <si>
    <t>23100</t>
  </si>
  <si>
    <t>Novo Triunfo</t>
  </si>
  <si>
    <t>23050</t>
  </si>
  <si>
    <t>23035</t>
  </si>
  <si>
    <t>Nova Viçosa</t>
  </si>
  <si>
    <t>23001</t>
  </si>
  <si>
    <t>Nova Soure</t>
  </si>
  <si>
    <t>22904</t>
  </si>
  <si>
    <t>Nova Redenção</t>
  </si>
  <si>
    <t>22854</t>
  </si>
  <si>
    <t>Nova Itarana</t>
  </si>
  <si>
    <t>22805</t>
  </si>
  <si>
    <t>Nova Ibiá</t>
  </si>
  <si>
    <t>22755</t>
  </si>
  <si>
    <t>22730</t>
  </si>
  <si>
    <t>Nova Canaã</t>
  </si>
  <si>
    <t>22706</t>
  </si>
  <si>
    <t>Nordestina</t>
  </si>
  <si>
    <t>22656</t>
  </si>
  <si>
    <t>Nilo Peçanha</t>
  </si>
  <si>
    <t>22607</t>
  </si>
  <si>
    <t>Nazaré</t>
  </si>
  <si>
    <t>22508</t>
  </si>
  <si>
    <t>Mutuípe</t>
  </si>
  <si>
    <t>22409</t>
  </si>
  <si>
    <t>Muritiba</t>
  </si>
  <si>
    <t>22300</t>
  </si>
  <si>
    <t>Muquém de São Francisco</t>
  </si>
  <si>
    <t>22250</t>
  </si>
  <si>
    <t>Muniz Ferreira</t>
  </si>
  <si>
    <t>22201</t>
  </si>
  <si>
    <t>22102</t>
  </si>
  <si>
    <t>Mulungu do Morro</t>
  </si>
  <si>
    <t>22052</t>
  </si>
  <si>
    <t>Mucuri</t>
  </si>
  <si>
    <t>22003</t>
  </si>
  <si>
    <t>Mucugê</t>
  </si>
  <si>
    <t>21906</t>
  </si>
  <si>
    <t>Mortugaba</t>
  </si>
  <si>
    <t>21807</t>
  </si>
  <si>
    <t>Morro do Chapéu</t>
  </si>
  <si>
    <t>21708</t>
  </si>
  <si>
    <t>Morpará</t>
  </si>
  <si>
    <t>21609</t>
  </si>
  <si>
    <t>Monte Santo</t>
  </si>
  <si>
    <t>21500</t>
  </si>
  <si>
    <t>Mirante</t>
  </si>
  <si>
    <t>21450</t>
  </si>
  <si>
    <t>Mirangaba</t>
  </si>
  <si>
    <t>21401</t>
  </si>
  <si>
    <t>Milagres</t>
  </si>
  <si>
    <t>21302</t>
  </si>
  <si>
    <t>Miguel Calmon</t>
  </si>
  <si>
    <t>21203</t>
  </si>
  <si>
    <t>Medeiros Neto</t>
  </si>
  <si>
    <t>21104</t>
  </si>
  <si>
    <t>Matina</t>
  </si>
  <si>
    <t>21054</t>
  </si>
  <si>
    <t>Mata de São João</t>
  </si>
  <si>
    <t>21005</t>
  </si>
  <si>
    <t>Mascote</t>
  </si>
  <si>
    <t>20908</t>
  </si>
  <si>
    <t>Marcionílio Souza</t>
  </si>
  <si>
    <t>20809</t>
  </si>
  <si>
    <t>Maraú</t>
  </si>
  <si>
    <t>20700</t>
  </si>
  <si>
    <t>Maragogipe</t>
  </si>
  <si>
    <t>20601</t>
  </si>
  <si>
    <t>Maracás</t>
  </si>
  <si>
    <t>20502</t>
  </si>
  <si>
    <t>Mansidão</t>
  </si>
  <si>
    <t>20452</t>
  </si>
  <si>
    <t>Manoel Vitorino</t>
  </si>
  <si>
    <t>20403</t>
  </si>
  <si>
    <t>Malhada de Pedras</t>
  </si>
  <si>
    <t>20304</t>
  </si>
  <si>
    <t>Malhada</t>
  </si>
  <si>
    <t>20205</t>
  </si>
  <si>
    <t>Mairi</t>
  </si>
  <si>
    <t>20106</t>
  </si>
  <si>
    <t>Maiquinique</t>
  </si>
  <si>
    <t>20007</t>
  </si>
  <si>
    <t>Maetinga</t>
  </si>
  <si>
    <t>19959</t>
  </si>
  <si>
    <t>Madre de Deus</t>
  </si>
  <si>
    <t>19926</t>
  </si>
  <si>
    <t>Macururé</t>
  </si>
  <si>
    <t>19900</t>
  </si>
  <si>
    <t>Macaúbas</t>
  </si>
  <si>
    <t>19801</t>
  </si>
  <si>
    <t>Macarani</t>
  </si>
  <si>
    <t>19702</t>
  </si>
  <si>
    <t>Macajuba</t>
  </si>
  <si>
    <t>19603</t>
  </si>
  <si>
    <t>Luís Eduardo Magalhães</t>
  </si>
  <si>
    <t>19553</t>
  </si>
  <si>
    <t>Livramento de Nossa Senhora</t>
  </si>
  <si>
    <t>19504</t>
  </si>
  <si>
    <t>Licínio de Almeida</t>
  </si>
  <si>
    <t>19405</t>
  </si>
  <si>
    <t>Lençóis</t>
  </si>
  <si>
    <t>19306</t>
  </si>
  <si>
    <t>Lauro de Freitas</t>
  </si>
  <si>
    <t>19207</t>
  </si>
  <si>
    <t>Lapão</t>
  </si>
  <si>
    <t>19157</t>
  </si>
  <si>
    <t>Lamarão</t>
  </si>
  <si>
    <t>19108</t>
  </si>
  <si>
    <t>Lajedo do Tabocal</t>
  </si>
  <si>
    <t>19058</t>
  </si>
  <si>
    <t>Lajedinho</t>
  </si>
  <si>
    <t>19009</t>
  </si>
  <si>
    <t>Lajedão</t>
  </si>
  <si>
    <t>18902</t>
  </si>
  <si>
    <t>Laje</t>
  </si>
  <si>
    <t>18803</t>
  </si>
  <si>
    <t>Lagoa Real</t>
  </si>
  <si>
    <t>18753</t>
  </si>
  <si>
    <t>Lafaiete Coutinho</t>
  </si>
  <si>
    <t>18704</t>
  </si>
  <si>
    <t>Jussiape</t>
  </si>
  <si>
    <t>18605</t>
  </si>
  <si>
    <t>Jussari</t>
  </si>
  <si>
    <t>18555</t>
  </si>
  <si>
    <t>18506</t>
  </si>
  <si>
    <t>Jucuruçu</t>
  </si>
  <si>
    <t>18456</t>
  </si>
  <si>
    <t>Juazeiro</t>
  </si>
  <si>
    <t>18407</t>
  </si>
  <si>
    <t>João Dourado</t>
  </si>
  <si>
    <t>18357</t>
  </si>
  <si>
    <t>Jitaúna</t>
  </si>
  <si>
    <t>18308</t>
  </si>
  <si>
    <t>Jiquiriçá</t>
  </si>
  <si>
    <t>18209</t>
  </si>
  <si>
    <t>Jeremoabo</t>
  </si>
  <si>
    <t>18100</t>
  </si>
  <si>
    <t>Jequié</t>
  </si>
  <si>
    <t>18001</t>
  </si>
  <si>
    <t>Jandaíra</t>
  </si>
  <si>
    <t>17904</t>
  </si>
  <si>
    <t>Jaguaripe</t>
  </si>
  <si>
    <t>17805</t>
  </si>
  <si>
    <t>Jaguarari</t>
  </si>
  <si>
    <t>17706</t>
  </si>
  <si>
    <t>Jaguaquara</t>
  </si>
  <si>
    <t>17607</t>
  </si>
  <si>
    <t>Jacobina</t>
  </si>
  <si>
    <t>17508</t>
  </si>
  <si>
    <t>Jacaraci</t>
  </si>
  <si>
    <t>17409</t>
  </si>
  <si>
    <t>17359</t>
  </si>
  <si>
    <t>Iuiú</t>
  </si>
  <si>
    <t>17334</t>
  </si>
  <si>
    <t>Ituberá</t>
  </si>
  <si>
    <t>17300</t>
  </si>
  <si>
    <t>Ituaçu</t>
  </si>
  <si>
    <t>17201</t>
  </si>
  <si>
    <t>Itororó</t>
  </si>
  <si>
    <t>17102</t>
  </si>
  <si>
    <t>Itiúba</t>
  </si>
  <si>
    <t>17003</t>
  </si>
  <si>
    <t>Itiruçu</t>
  </si>
  <si>
    <t>16906</t>
  </si>
  <si>
    <t>Itatim</t>
  </si>
  <si>
    <t>16856</t>
  </si>
  <si>
    <t>Itarantim</t>
  </si>
  <si>
    <t>16807</t>
  </si>
  <si>
    <t>Itaquara</t>
  </si>
  <si>
    <t>16708</t>
  </si>
  <si>
    <t>Itapitanga</t>
  </si>
  <si>
    <t>16609</t>
  </si>
  <si>
    <t>Itapicuru</t>
  </si>
  <si>
    <t>16500</t>
  </si>
  <si>
    <t>Itapetinga</t>
  </si>
  <si>
    <t>16401</t>
  </si>
  <si>
    <t>Itapebi</t>
  </si>
  <si>
    <t>16302</t>
  </si>
  <si>
    <t>Itapé</t>
  </si>
  <si>
    <t>16203</t>
  </si>
  <si>
    <t>Itaparica</t>
  </si>
  <si>
    <t>16104</t>
  </si>
  <si>
    <t>Itanhém</t>
  </si>
  <si>
    <t>16005</t>
  </si>
  <si>
    <t>Itanagra</t>
  </si>
  <si>
    <t>15908</t>
  </si>
  <si>
    <t>15809</t>
  </si>
  <si>
    <t>Itamari</t>
  </si>
  <si>
    <t>15700</t>
  </si>
  <si>
    <t>Itamaraju</t>
  </si>
  <si>
    <t>15601</t>
  </si>
  <si>
    <t>Itajuípe</t>
  </si>
  <si>
    <t>15502</t>
  </si>
  <si>
    <t>Itaju do Colônia</t>
  </si>
  <si>
    <t>15403</t>
  </si>
  <si>
    <t>Itaguaçu da Bahia</t>
  </si>
  <si>
    <t>15353</t>
  </si>
  <si>
    <t>Itagimirim</t>
  </si>
  <si>
    <t>15304</t>
  </si>
  <si>
    <t>Itagibá</t>
  </si>
  <si>
    <t>15205</t>
  </si>
  <si>
    <t>Itagi</t>
  </si>
  <si>
    <t>15106</t>
  </si>
  <si>
    <t>Itaeté</t>
  </si>
  <si>
    <t>15007</t>
  </si>
  <si>
    <t>Itacaré</t>
  </si>
  <si>
    <t>14901</t>
  </si>
  <si>
    <t>Itabuna</t>
  </si>
  <si>
    <t>14802</t>
  </si>
  <si>
    <t>Itaberaba</t>
  </si>
  <si>
    <t>14703</t>
  </si>
  <si>
    <t>Itabela</t>
  </si>
  <si>
    <t>14653</t>
  </si>
  <si>
    <t>Irecê</t>
  </si>
  <si>
    <t>14604</t>
  </si>
  <si>
    <t>Irará</t>
  </si>
  <si>
    <t>14505</t>
  </si>
  <si>
    <t>Iraquara</t>
  </si>
  <si>
    <t>14406</t>
  </si>
  <si>
    <t>Iramaia</t>
  </si>
  <si>
    <t>14307</t>
  </si>
  <si>
    <t>Irajuba</t>
  </si>
  <si>
    <t>14208</t>
  </si>
  <si>
    <t>Ipupiara</t>
  </si>
  <si>
    <t>14109</t>
  </si>
  <si>
    <t>Ipirá</t>
  </si>
  <si>
    <t>14000</t>
  </si>
  <si>
    <t>Ipiaú</t>
  </si>
  <si>
    <t>13903</t>
  </si>
  <si>
    <t>Ipecaetá</t>
  </si>
  <si>
    <t>13804</t>
  </si>
  <si>
    <t>Inhambupe</t>
  </si>
  <si>
    <t>13705</t>
  </si>
  <si>
    <t>Ilhéus</t>
  </si>
  <si>
    <t>13606</t>
  </si>
  <si>
    <t>Iguaí</t>
  </si>
  <si>
    <t>13507</t>
  </si>
  <si>
    <t>Igrapiúna</t>
  </si>
  <si>
    <t>13457</t>
  </si>
  <si>
    <t>Igaporã</t>
  </si>
  <si>
    <t>13408</t>
  </si>
  <si>
    <t>Ichu</t>
  </si>
  <si>
    <t>13309</t>
  </si>
  <si>
    <t>Ibotirama</t>
  </si>
  <si>
    <t>13200</t>
  </si>
  <si>
    <t>Ibititá</t>
  </si>
  <si>
    <t>13101</t>
  </si>
  <si>
    <t>Ibitiara</t>
  </si>
  <si>
    <t>13002</t>
  </si>
  <si>
    <t>Ibirataia</t>
  </si>
  <si>
    <t>12905</t>
  </si>
  <si>
    <t>Ibirapuã</t>
  </si>
  <si>
    <t>12806</t>
  </si>
  <si>
    <t>Ibirapitanga</t>
  </si>
  <si>
    <t>12707</t>
  </si>
  <si>
    <t>Ibiquera</t>
  </si>
  <si>
    <t>12608</t>
  </si>
  <si>
    <t>Ibipitanga</t>
  </si>
  <si>
    <t>12509</t>
  </si>
  <si>
    <t>Ibipeba</t>
  </si>
  <si>
    <t>12400</t>
  </si>
  <si>
    <t>Ibicuí</t>
  </si>
  <si>
    <t>12301</t>
  </si>
  <si>
    <t>Ibicoara</t>
  </si>
  <si>
    <t>12202</t>
  </si>
  <si>
    <t>Ibicaraí</t>
  </si>
  <si>
    <t>12103</t>
  </si>
  <si>
    <r>
      <t>9224</t>
    </r>
    <r>
      <rPr>
        <b/>
        <vertAlign val="superscript"/>
        <sz val="11"/>
        <rFont val="Arial"/>
        <family val="2"/>
      </rPr>
      <t xml:space="preserve"> (14)</t>
    </r>
  </si>
  <si>
    <t>Ibiassucê</t>
  </si>
  <si>
    <t>12004</t>
  </si>
  <si>
    <t>Iaçu</t>
  </si>
  <si>
    <t>11907</t>
  </si>
  <si>
    <r>
      <t xml:space="preserve">13031 </t>
    </r>
    <r>
      <rPr>
        <b/>
        <vertAlign val="superscript"/>
        <sz val="11"/>
        <rFont val="Arial"/>
        <family val="2"/>
      </rPr>
      <t>(13)</t>
    </r>
  </si>
  <si>
    <t>Heliópolis</t>
  </si>
  <si>
    <t>11857</t>
  </si>
  <si>
    <t>Guaratinga</t>
  </si>
  <si>
    <t>11808</t>
  </si>
  <si>
    <t>Guanambi</t>
  </si>
  <si>
    <t>11709</t>
  </si>
  <si>
    <t>Guajeru</t>
  </si>
  <si>
    <t>11659</t>
  </si>
  <si>
    <t>Governador Mangabeira</t>
  </si>
  <si>
    <t>11600</t>
  </si>
  <si>
    <t>Gongogi</t>
  </si>
  <si>
    <t>11501</t>
  </si>
  <si>
    <t>Glória</t>
  </si>
  <si>
    <t>11402</t>
  </si>
  <si>
    <t>Gentio do Ouro</t>
  </si>
  <si>
    <t>11303</t>
  </si>
  <si>
    <t>Gavião</t>
  </si>
  <si>
    <t>11253</t>
  </si>
  <si>
    <t>Gandu</t>
  </si>
  <si>
    <t>11204</t>
  </si>
  <si>
    <t>Formosa do Rio Preto</t>
  </si>
  <si>
    <t>11105</t>
  </si>
  <si>
    <t>Floresta Azul</t>
  </si>
  <si>
    <t>11006</t>
  </si>
  <si>
    <t>Firmino Alves</t>
  </si>
  <si>
    <t>10909</t>
  </si>
  <si>
    <t>Filadélfia</t>
  </si>
  <si>
    <t>10859</t>
  </si>
  <si>
    <t>Feira de Santana</t>
  </si>
  <si>
    <t>10800</t>
  </si>
  <si>
    <t>Feira da Mata</t>
  </si>
  <si>
    <t>10776</t>
  </si>
  <si>
    <t>Fátima</t>
  </si>
  <si>
    <t>10750</t>
  </si>
  <si>
    <t>Eunápolis</t>
  </si>
  <si>
    <t>10727</t>
  </si>
  <si>
    <r>
      <t>60585</t>
    </r>
    <r>
      <rPr>
        <b/>
        <vertAlign val="superscript"/>
        <sz val="11"/>
        <rFont val="Arial"/>
        <family val="2"/>
      </rPr>
      <t xml:space="preserve"> (12)</t>
    </r>
  </si>
  <si>
    <t>Euclides da Cunha</t>
  </si>
  <si>
    <t>10701</t>
  </si>
  <si>
    <t>Esplanada</t>
  </si>
  <si>
    <t>10602</t>
  </si>
  <si>
    <t>10503</t>
  </si>
  <si>
    <t>Encruzilhada</t>
  </si>
  <si>
    <t>10404</t>
  </si>
  <si>
    <t>Elísio Medrado</t>
  </si>
  <si>
    <t>10305</t>
  </si>
  <si>
    <t>Dom Macedo Costa</t>
  </si>
  <si>
    <t>10206</t>
  </si>
  <si>
    <t>Dom Basílio</t>
  </si>
  <si>
    <t>10107</t>
  </si>
  <si>
    <t>Dias d'Ávila</t>
  </si>
  <si>
    <t>10057</t>
  </si>
  <si>
    <t>Dário Meira</t>
  </si>
  <si>
    <t>10008</t>
  </si>
  <si>
    <t>Curaçá</t>
  </si>
  <si>
    <t>09901</t>
  </si>
  <si>
    <t>Cruz das Almas</t>
  </si>
  <si>
    <t>09802</t>
  </si>
  <si>
    <t>Cristópolis</t>
  </si>
  <si>
    <t>09703</t>
  </si>
  <si>
    <t>Crisópolis</t>
  </si>
  <si>
    <t>09604</t>
  </si>
  <si>
    <t>Cravolândia</t>
  </si>
  <si>
    <t>09505</t>
  </si>
  <si>
    <t>Cotegipe</t>
  </si>
  <si>
    <t>09406</t>
  </si>
  <si>
    <t>Correntina</t>
  </si>
  <si>
    <t>09307</t>
  </si>
  <si>
    <r>
      <t>15895</t>
    </r>
    <r>
      <rPr>
        <b/>
        <vertAlign val="superscript"/>
        <sz val="11"/>
        <rFont val="Arial"/>
        <family val="2"/>
      </rPr>
      <t xml:space="preserve"> (11)</t>
    </r>
  </si>
  <si>
    <t>Coronel João Sá</t>
  </si>
  <si>
    <t>09208</t>
  </si>
  <si>
    <t>Coribe</t>
  </si>
  <si>
    <t>09109</t>
  </si>
  <si>
    <t>Cordeiros</t>
  </si>
  <si>
    <t>09000</t>
  </si>
  <si>
    <t>Coração de Maria</t>
  </si>
  <si>
    <t>08903</t>
  </si>
  <si>
    <t>Contendas do Sincorá</t>
  </si>
  <si>
    <t>08804</t>
  </si>
  <si>
    <t>Condeúba</t>
  </si>
  <si>
    <t>08705</t>
  </si>
  <si>
    <t>Conde</t>
  </si>
  <si>
    <t>08606</t>
  </si>
  <si>
    <t>Conceição do Jacuípe</t>
  </si>
  <si>
    <t>08507</t>
  </si>
  <si>
    <t>Conceição do Coité</t>
  </si>
  <si>
    <t>08408</t>
  </si>
  <si>
    <t>Conceição do Almeida</t>
  </si>
  <si>
    <t>08309</t>
  </si>
  <si>
    <t>Conceição da Feira</t>
  </si>
  <si>
    <t>08200</t>
  </si>
  <si>
    <t>Cocos</t>
  </si>
  <si>
    <t>08101</t>
  </si>
  <si>
    <t>Coaraci</t>
  </si>
  <si>
    <t>08002</t>
  </si>
  <si>
    <t>Cipó</t>
  </si>
  <si>
    <t>07905</t>
  </si>
  <si>
    <t>Cícero Dantas</t>
  </si>
  <si>
    <t>07806</t>
  </si>
  <si>
    <t>Chorrochó</t>
  </si>
  <si>
    <t>07707</t>
  </si>
  <si>
    <t>Central</t>
  </si>
  <si>
    <t>07608</t>
  </si>
  <si>
    <t>Caturama</t>
  </si>
  <si>
    <t>07558</t>
  </si>
  <si>
    <t>Catu</t>
  </si>
  <si>
    <t>07509</t>
  </si>
  <si>
    <t>Catolândia</t>
  </si>
  <si>
    <t>07400</t>
  </si>
  <si>
    <t>Castro Alves</t>
  </si>
  <si>
    <t>07301</t>
  </si>
  <si>
    <t>Casa Nova</t>
  </si>
  <si>
    <t>07202</t>
  </si>
  <si>
    <t>Carinhanha</t>
  </si>
  <si>
    <t>07103</t>
  </si>
  <si>
    <t>Cardeal da Silva</t>
  </si>
  <si>
    <t>07004</t>
  </si>
  <si>
    <t>Caravelas</t>
  </si>
  <si>
    <t>06907</t>
  </si>
  <si>
    <t>Caraíbas</t>
  </si>
  <si>
    <t>06899</t>
  </si>
  <si>
    <t>Capim Grosso</t>
  </si>
  <si>
    <t>06873</t>
  </si>
  <si>
    <t>Capela do Alto Alegre</t>
  </si>
  <si>
    <t>06857</t>
  </si>
  <si>
    <t>Canudos</t>
  </si>
  <si>
    <t>06824</t>
  </si>
  <si>
    <t>Cansanção</t>
  </si>
  <si>
    <t>06808</t>
  </si>
  <si>
    <t>Cândido Sales</t>
  </si>
  <si>
    <t>06709</t>
  </si>
  <si>
    <t>Candiba</t>
  </si>
  <si>
    <t>06600</t>
  </si>
  <si>
    <t>06501</t>
  </si>
  <si>
    <t>Candeal</t>
  </si>
  <si>
    <t>06402</t>
  </si>
  <si>
    <t>Canavieiras</t>
  </si>
  <si>
    <t>06303</t>
  </si>
  <si>
    <t>06204</t>
  </si>
  <si>
    <t>06105</t>
  </si>
  <si>
    <t>Campo Formoso</t>
  </si>
  <si>
    <t>06006</t>
  </si>
  <si>
    <t>Campo Alegre de Lourdes</t>
  </si>
  <si>
    <t>05909</t>
  </si>
  <si>
    <t>Camamu</t>
  </si>
  <si>
    <t>05800</t>
  </si>
  <si>
    <t>Camaçari</t>
  </si>
  <si>
    <t>05701</t>
  </si>
  <si>
    <t>Camacan</t>
  </si>
  <si>
    <t>05602</t>
  </si>
  <si>
    <t>Caldeirão Grande</t>
  </si>
  <si>
    <t>05503</t>
  </si>
  <si>
    <t>Cairu</t>
  </si>
  <si>
    <t>05404</t>
  </si>
  <si>
    <t>Cafarnaum</t>
  </si>
  <si>
    <t>05305</t>
  </si>
  <si>
    <t>Caetité</t>
  </si>
  <si>
    <t>05206</t>
  </si>
  <si>
    <t>Caetanos</t>
  </si>
  <si>
    <t>05156</t>
  </si>
  <si>
    <t>Caém</t>
  </si>
  <si>
    <t>05107</t>
  </si>
  <si>
    <t>Caculé</t>
  </si>
  <si>
    <t>05008</t>
  </si>
  <si>
    <t>Cachoeira</t>
  </si>
  <si>
    <t>04902</t>
  </si>
  <si>
    <t>Cabaceiras do Paraguaçu</t>
  </si>
  <si>
    <t>04852</t>
  </si>
  <si>
    <t>Caatiba</t>
  </si>
  <si>
    <t>04803</t>
  </si>
  <si>
    <t>Buritirama</t>
  </si>
  <si>
    <t>04753</t>
  </si>
  <si>
    <t>Buerarema</t>
  </si>
  <si>
    <t>04704</t>
  </si>
  <si>
    <t>Brumado</t>
  </si>
  <si>
    <t>04605</t>
  </si>
  <si>
    <t>Brotas de Macaúbas</t>
  </si>
  <si>
    <t>04506</t>
  </si>
  <si>
    <t>Brejolândia</t>
  </si>
  <si>
    <t>04407</t>
  </si>
  <si>
    <t>Brejões</t>
  </si>
  <si>
    <t>04308</t>
  </si>
  <si>
    <t>Botuporã</t>
  </si>
  <si>
    <t>04209</t>
  </si>
  <si>
    <t>Boquira</t>
  </si>
  <si>
    <t>04100</t>
  </si>
  <si>
    <t>04050</t>
  </si>
  <si>
    <t>Boninal</t>
  </si>
  <si>
    <t>04001</t>
  </si>
  <si>
    <t>Bom Jesus da Serra</t>
  </si>
  <si>
    <t>03953</t>
  </si>
  <si>
    <t>Bom Jesus da Lapa</t>
  </si>
  <si>
    <t>03904</t>
  </si>
  <si>
    <t>Boa Vista do Tupim</t>
  </si>
  <si>
    <t>03805</t>
  </si>
  <si>
    <t>Boa Nova</t>
  </si>
  <si>
    <t>03706</t>
  </si>
  <si>
    <t>Biritinga</t>
  </si>
  <si>
    <t>03607</t>
  </si>
  <si>
    <t>Belo Campo</t>
  </si>
  <si>
    <t>03508</t>
  </si>
  <si>
    <t>03409</t>
  </si>
  <si>
    <t>Barro Preto</t>
  </si>
  <si>
    <t>03300</t>
  </si>
  <si>
    <t>Barrocas</t>
  </si>
  <si>
    <t>03276</t>
  </si>
  <si>
    <t>03235</t>
  </si>
  <si>
    <t>Barreiras</t>
  </si>
  <si>
    <t>03201</t>
  </si>
  <si>
    <t>Barra do Rocha</t>
  </si>
  <si>
    <t>03102</t>
  </si>
  <si>
    <t>Barra do Mendes</t>
  </si>
  <si>
    <t>03003</t>
  </si>
  <si>
    <t>Barra do Choça</t>
  </si>
  <si>
    <t>02906</t>
  </si>
  <si>
    <t>Barra da Estiva</t>
  </si>
  <si>
    <t>02807</t>
  </si>
  <si>
    <t>Barra</t>
  </si>
  <si>
    <t>02708</t>
  </si>
  <si>
    <r>
      <t xml:space="preserve">13229 </t>
    </r>
    <r>
      <rPr>
        <b/>
        <vertAlign val="superscript"/>
        <sz val="11"/>
        <rFont val="Arial"/>
        <family val="2"/>
      </rPr>
      <t>(10)</t>
    </r>
  </si>
  <si>
    <t>Banzaê</t>
  </si>
  <si>
    <t>02658</t>
  </si>
  <si>
    <t>Baixa Grande</t>
  </si>
  <si>
    <t>02609</t>
  </si>
  <si>
    <t>Baianópolis</t>
  </si>
  <si>
    <t>02500</t>
  </si>
  <si>
    <t>Aurelino Leal</t>
  </si>
  <si>
    <t>02401</t>
  </si>
  <si>
    <t>Aratuípe</t>
  </si>
  <si>
    <t>02302</t>
  </si>
  <si>
    <t>Arataca</t>
  </si>
  <si>
    <t>02252</t>
  </si>
  <si>
    <t>Aramari</t>
  </si>
  <si>
    <t>02203</t>
  </si>
  <si>
    <t>Araci</t>
  </si>
  <si>
    <t>02104</t>
  </si>
  <si>
    <t>Araças</t>
  </si>
  <si>
    <t>02054</t>
  </si>
  <si>
    <t>Aracatu</t>
  </si>
  <si>
    <t>02005</t>
  </si>
  <si>
    <t>Apuarema</t>
  </si>
  <si>
    <t>01957</t>
  </si>
  <si>
    <t>Aporá</t>
  </si>
  <si>
    <t>01908</t>
  </si>
  <si>
    <t>Antônio Gonçalves</t>
  </si>
  <si>
    <t>01809</t>
  </si>
  <si>
    <t>Antônio Cardoso</t>
  </si>
  <si>
    <t>01700</t>
  </si>
  <si>
    <t>Antas</t>
  </si>
  <si>
    <t>01601</t>
  </si>
  <si>
    <t>Anguera</t>
  </si>
  <si>
    <t>01502</t>
  </si>
  <si>
    <t>Angical</t>
  </si>
  <si>
    <t>01403</t>
  </si>
  <si>
    <t>Andorinha</t>
  </si>
  <si>
    <t>01353</t>
  </si>
  <si>
    <t>Andaraí</t>
  </si>
  <si>
    <t>01304</t>
  </si>
  <si>
    <t>Anagé</t>
  </si>
  <si>
    <t>01205</t>
  </si>
  <si>
    <t>América Dourada</t>
  </si>
  <si>
    <t>01155</t>
  </si>
  <si>
    <t>Amélia Rodrigues</t>
  </si>
  <si>
    <t>01106</t>
  </si>
  <si>
    <r>
      <t xml:space="preserve">37241 </t>
    </r>
    <r>
      <rPr>
        <b/>
        <vertAlign val="superscript"/>
        <sz val="11"/>
        <rFont val="Arial"/>
        <family val="2"/>
      </rPr>
      <t>(9)</t>
    </r>
  </si>
  <si>
    <t>Amargosa</t>
  </si>
  <si>
    <t>01007</t>
  </si>
  <si>
    <t>Almadina</t>
  </si>
  <si>
    <t>00900</t>
  </si>
  <si>
    <t>Alcobaça</t>
  </si>
  <si>
    <t>00801</t>
  </si>
  <si>
    <t>Alagoinhas</t>
  </si>
  <si>
    <t>00702</t>
  </si>
  <si>
    <t>Aiquara</t>
  </si>
  <si>
    <t>00603</t>
  </si>
  <si>
    <t>Érico Cardoso</t>
  </si>
  <si>
    <t>00504</t>
  </si>
  <si>
    <t>Água Fria</t>
  </si>
  <si>
    <t>00405</t>
  </si>
  <si>
    <r>
      <t xml:space="preserve">17040 </t>
    </r>
    <r>
      <rPr>
        <b/>
        <vertAlign val="superscript"/>
        <sz val="11"/>
        <rFont val="Arial"/>
        <family val="2"/>
      </rPr>
      <t>(8)</t>
    </r>
  </si>
  <si>
    <t>Adustina</t>
  </si>
  <si>
    <t>00355</t>
  </si>
  <si>
    <t>Acajutiba</t>
  </si>
  <si>
    <t>00306</t>
  </si>
  <si>
    <t>Abaré</t>
  </si>
  <si>
    <t>00207</t>
  </si>
  <si>
    <t>Abaíra</t>
  </si>
  <si>
    <t>Umbaúba</t>
  </si>
  <si>
    <t>Tomar do Geru</t>
  </si>
  <si>
    <t>Tobias Barreto</t>
  </si>
  <si>
    <t>Telha</t>
  </si>
  <si>
    <t>07303</t>
  </si>
  <si>
    <t>Siriri</t>
  </si>
  <si>
    <t>07204</t>
  </si>
  <si>
    <t>Simão Dias</t>
  </si>
  <si>
    <t>São Miguel do Aleixo</t>
  </si>
  <si>
    <t>07006</t>
  </si>
  <si>
    <t>São Cristóvão</t>
  </si>
  <si>
    <t>Santo Amaro das Brotas</t>
  </si>
  <si>
    <t>Santana do São Francisco</t>
  </si>
  <si>
    <t>Santa Luzia do Itanhy</t>
  </si>
  <si>
    <t>Salgado</t>
  </si>
  <si>
    <t>Rosário do Catete</t>
  </si>
  <si>
    <t>Ribeirópolis</t>
  </si>
  <si>
    <t>Riachuelo</t>
  </si>
  <si>
    <t>Riachão do Dantas</t>
  </si>
  <si>
    <t>Propriá</t>
  </si>
  <si>
    <t>Porto da Folha</t>
  </si>
  <si>
    <t>Poço Verde</t>
  </si>
  <si>
    <t>Poço Redondo</t>
  </si>
  <si>
    <t>Pirambu</t>
  </si>
  <si>
    <t>Pedrinhas</t>
  </si>
  <si>
    <t>Pedra Mole</t>
  </si>
  <si>
    <t>Pacatuba</t>
  </si>
  <si>
    <t>Nossa Senhora do Socorro</t>
  </si>
  <si>
    <t>Nossa Senhora de Lourdes</t>
  </si>
  <si>
    <t>Nossa Senhora das Dores</t>
  </si>
  <si>
    <t>Nossa Senhora da Glória</t>
  </si>
  <si>
    <t>Nossa Senhora Aparecida</t>
  </si>
  <si>
    <t>04458</t>
  </si>
  <si>
    <t>Neópolis</t>
  </si>
  <si>
    <t>Muribeca</t>
  </si>
  <si>
    <t>Monte Alegre de Sergipe</t>
  </si>
  <si>
    <t>Moita Bonita</t>
  </si>
  <si>
    <t>Maruim</t>
  </si>
  <si>
    <t>Malhador</t>
  </si>
  <si>
    <t>Malhada dos Bois</t>
  </si>
  <si>
    <t>Macambira</t>
  </si>
  <si>
    <t>Laranjeiras</t>
  </si>
  <si>
    <t>Lagarto</t>
  </si>
  <si>
    <t>Japoatã</t>
  </si>
  <si>
    <t>Japaratuba</t>
  </si>
  <si>
    <t>Itaporanga d'Ajuda</t>
  </si>
  <si>
    <t>Itabi</t>
  </si>
  <si>
    <t>Itabaianinha</t>
  </si>
  <si>
    <t>Itabaiana</t>
  </si>
  <si>
    <t>Indiaroba</t>
  </si>
  <si>
    <t>Ilha das Flores</t>
  </si>
  <si>
    <t>Graccho Cardoso</t>
  </si>
  <si>
    <t>General Maynard</t>
  </si>
  <si>
    <t>Gararu</t>
  </si>
  <si>
    <t>Frei Paulo</t>
  </si>
  <si>
    <t>Feira Nova</t>
  </si>
  <si>
    <t>Estância</t>
  </si>
  <si>
    <t>Divina Pastora</t>
  </si>
  <si>
    <t>Cumbe</t>
  </si>
  <si>
    <t>Cristinápolis</t>
  </si>
  <si>
    <t>Cedro de São João</t>
  </si>
  <si>
    <t>Carmópolis</t>
  </si>
  <si>
    <t>Carira</t>
  </si>
  <si>
    <t>Capela</t>
  </si>
  <si>
    <t>Canindé de São Francisco</t>
  </si>
  <si>
    <t>Canhoba</t>
  </si>
  <si>
    <t>Campo do Brito</t>
  </si>
  <si>
    <t>Brejo Grande</t>
  </si>
  <si>
    <t>Boquim</t>
  </si>
  <si>
    <t>00670</t>
  </si>
  <si>
    <t>Barra dos Coqueiros</t>
  </si>
  <si>
    <t>Areia Branca</t>
  </si>
  <si>
    <t>Arauá</t>
  </si>
  <si>
    <t>Aracaju</t>
  </si>
  <si>
    <t>Aquidabã</t>
  </si>
  <si>
    <t>Amparo de São Francisco</t>
  </si>
  <si>
    <t>09400</t>
  </si>
  <si>
    <t>União dos Palmares</t>
  </si>
  <si>
    <t>09301</t>
  </si>
  <si>
    <t>Traipu</t>
  </si>
  <si>
    <t>09202</t>
  </si>
  <si>
    <t>Teotônio Vilela</t>
  </si>
  <si>
    <t>09152</t>
  </si>
  <si>
    <t>Taquarana</t>
  </si>
  <si>
    <t>09103</t>
  </si>
  <si>
    <t>Tanque d'Arca</t>
  </si>
  <si>
    <t>09004</t>
  </si>
  <si>
    <t>Senador Rui Palmeira</t>
  </si>
  <si>
    <t>Satuba</t>
  </si>
  <si>
    <t>São Miguel dos Milagres</t>
  </si>
  <si>
    <t>08709</t>
  </si>
  <si>
    <t>São Miguel dos Campos</t>
  </si>
  <si>
    <t>São Luís do Quitunde</t>
  </si>
  <si>
    <t>São José da Tapera</t>
  </si>
  <si>
    <t>São José da Laje</t>
  </si>
  <si>
    <t>São Brás</t>
  </si>
  <si>
    <t>Santana do Mundaú</t>
  </si>
  <si>
    <t>Santana do Ipanema</t>
  </si>
  <si>
    <t>Santa Luzia do Norte</t>
  </si>
  <si>
    <t>Roteiro</t>
  </si>
  <si>
    <t>Rio Largo</t>
  </si>
  <si>
    <t>Quebrangulo</t>
  </si>
  <si>
    <t>Porto Real do Colégio</t>
  </si>
  <si>
    <t>07503</t>
  </si>
  <si>
    <t>Porto de Pedras</t>
  </si>
  <si>
    <t>Porto Calvo</t>
  </si>
  <si>
    <t>Poço das Trincheiras</t>
  </si>
  <si>
    <t>Pindoba</t>
  </si>
  <si>
    <t>Pilar</t>
  </si>
  <si>
    <t>06901</t>
  </si>
  <si>
    <t>Piaçabuçu</t>
  </si>
  <si>
    <t>Penedo</t>
  </si>
  <si>
    <t>Paulo Jacinto</t>
  </si>
  <si>
    <t>06604</t>
  </si>
  <si>
    <t>Passo de Camaragibe</t>
  </si>
  <si>
    <t>Paripueira</t>
  </si>
  <si>
    <t>06448</t>
  </si>
  <si>
    <t>Pariconha</t>
  </si>
  <si>
    <t>Pão de Açúcar</t>
  </si>
  <si>
    <t>06406</t>
  </si>
  <si>
    <t>Palmeira dos Índios</t>
  </si>
  <si>
    <t>Olivença</t>
  </si>
  <si>
    <t>Olho d'Água Grande</t>
  </si>
  <si>
    <t>Olho d'Água do Casado</t>
  </si>
  <si>
    <t>05804</t>
  </si>
  <si>
    <t>Olho d'Água das Flores</t>
  </si>
  <si>
    <t>05705</t>
  </si>
  <si>
    <t>Novo Lino</t>
  </si>
  <si>
    <t>Murici</t>
  </si>
  <si>
    <t>Monteirópolis</t>
  </si>
  <si>
    <t>05408</t>
  </si>
  <si>
    <t>Minador do Negrão</t>
  </si>
  <si>
    <t>Messias</t>
  </si>
  <si>
    <t>Matriz de Camaragibe</t>
  </si>
  <si>
    <t>Mata Grande</t>
  </si>
  <si>
    <t>Mar Vermelho</t>
  </si>
  <si>
    <t>Maribondo</t>
  </si>
  <si>
    <t>Marechal Deodoro</t>
  </si>
  <si>
    <t>Maragogi</t>
  </si>
  <si>
    <t>Major Isidoro</t>
  </si>
  <si>
    <t>Maceió</t>
  </si>
  <si>
    <t>Limoeiro de Anadia</t>
  </si>
  <si>
    <t>Lagoa da Canoa</t>
  </si>
  <si>
    <t>Junqueiro</t>
  </si>
  <si>
    <t>Jundiá</t>
  </si>
  <si>
    <t>Joaquim Gomes</t>
  </si>
  <si>
    <t>Jequiá da Praia</t>
  </si>
  <si>
    <t>03759</t>
  </si>
  <si>
    <t>Jaramataia</t>
  </si>
  <si>
    <t>Japaratinga</t>
  </si>
  <si>
    <t>Jacuípe</t>
  </si>
  <si>
    <t>Jacaré dos Homens</t>
  </si>
  <si>
    <t>Inhapi</t>
  </si>
  <si>
    <t>Igreja Nova</t>
  </si>
  <si>
    <t>Igaci</t>
  </si>
  <si>
    <t>Ibateguara</t>
  </si>
  <si>
    <t>Girau do Ponciano</t>
  </si>
  <si>
    <t>Flexeiras</t>
  </si>
  <si>
    <t>Feliz Deserto</t>
  </si>
  <si>
    <t>Feira Grande</t>
  </si>
  <si>
    <t>Estrela de Alagoas</t>
  </si>
  <si>
    <t>Dois Riachos</t>
  </si>
  <si>
    <t>Delmiro Gouveia</t>
  </si>
  <si>
    <t>Craíbas</t>
  </si>
  <si>
    <t>02355</t>
  </si>
  <si>
    <t>Coruripe</t>
  </si>
  <si>
    <t>Coqueiro Seco</t>
  </si>
  <si>
    <t>Colônia Leopoldina</t>
  </si>
  <si>
    <t>Coité do Nóia</t>
  </si>
  <si>
    <t>Chã Preta</t>
  </si>
  <si>
    <t>Carneiros</t>
  </si>
  <si>
    <t>Canapi</t>
  </si>
  <si>
    <t>01357</t>
  </si>
  <si>
    <t>Cajueiro</t>
  </si>
  <si>
    <t>Cacimbinhas</t>
  </si>
  <si>
    <t>Branquinha</t>
  </si>
  <si>
    <t>Boca da Mata</t>
  </si>
  <si>
    <t>Belo Monte</t>
  </si>
  <si>
    <t>Belém</t>
  </si>
  <si>
    <t>Batalha</t>
  </si>
  <si>
    <t>Barra de São Miguel</t>
  </si>
  <si>
    <t>Barra de Santo Antônio</t>
  </si>
  <si>
    <t>Arapiraca</t>
  </si>
  <si>
    <t>Anadia</t>
  </si>
  <si>
    <t>Água Branca</t>
  </si>
  <si>
    <t>Xexéu</t>
  </si>
  <si>
    <t>Vitória de Santo Antão</t>
  </si>
  <si>
    <t>Vicência</t>
  </si>
  <si>
    <t>Vertentes</t>
  </si>
  <si>
    <t>Vertente do Lério</t>
  </si>
  <si>
    <t>16183</t>
  </si>
  <si>
    <t>Verdejante</t>
  </si>
  <si>
    <t>Venturosa</t>
  </si>
  <si>
    <t>Tuparetama</t>
  </si>
  <si>
    <t>Tupanatinga</t>
  </si>
  <si>
    <t>Tracunhaém</t>
  </si>
  <si>
    <t>Toritama</t>
  </si>
  <si>
    <t>Timbaúba</t>
  </si>
  <si>
    <t>Terezinha</t>
  </si>
  <si>
    <t>Taquaritinga do Norte</t>
  </si>
  <si>
    <t>Tamandaré</t>
  </si>
  <si>
    <t>14857</t>
  </si>
  <si>
    <t>Tacaratu</t>
  </si>
  <si>
    <t>Tacaimbó</t>
  </si>
  <si>
    <t>Tabira</t>
  </si>
  <si>
    <t>Surubim</t>
  </si>
  <si>
    <t>Solidão</t>
  </si>
  <si>
    <t>Moreilândia</t>
  </si>
  <si>
    <t>Sirinhaém</t>
  </si>
  <si>
    <t>Sertânia</t>
  </si>
  <si>
    <t>Serrita</t>
  </si>
  <si>
    <t>Serra Talhada</t>
  </si>
  <si>
    <t>São Vicente Ferrer</t>
  </si>
  <si>
    <t>São Lourenço da Mata</t>
  </si>
  <si>
    <t>São José do Egito</t>
  </si>
  <si>
    <t>São José do Belmonte</t>
  </si>
  <si>
    <t>São José da Coroa Grande</t>
  </si>
  <si>
    <t>São Joaquim do Monte</t>
  </si>
  <si>
    <t>São Caitano</t>
  </si>
  <si>
    <t>São Bento do Una</t>
  </si>
  <si>
    <t>São Benedito do Sul</t>
  </si>
  <si>
    <t>Santa Maria do Cambucá</t>
  </si>
  <si>
    <t>Santa Maria da Boa Vista</t>
  </si>
  <si>
    <t>Santa Filomena</t>
  </si>
  <si>
    <t>12554</t>
  </si>
  <si>
    <t>Santa Cruz do Capibaribe</t>
  </si>
  <si>
    <t>Santa Cruz da Baixa Verde</t>
  </si>
  <si>
    <t>12471</t>
  </si>
  <si>
    <t>Santa Cruz</t>
  </si>
  <si>
    <t>12455</t>
  </si>
  <si>
    <t>Sanharó</t>
  </si>
  <si>
    <t>Saloá</t>
  </si>
  <si>
    <t>Salgueiro</t>
  </si>
  <si>
    <t>Salgadinho</t>
  </si>
  <si>
    <t>Sairé</t>
  </si>
  <si>
    <t>Rio Formoso</t>
  </si>
  <si>
    <t>Ribeirão</t>
  </si>
  <si>
    <t>Riacho das Almas</t>
  </si>
  <si>
    <t>Recife</t>
  </si>
  <si>
    <t>Quixaba</t>
  </si>
  <si>
    <t>11533</t>
  </si>
  <si>
    <t>Quipapá</t>
  </si>
  <si>
    <t>Primavera</t>
  </si>
  <si>
    <t>Pombos</t>
  </si>
  <si>
    <t>Poção</t>
  </si>
  <si>
    <t>Petrolina</t>
  </si>
  <si>
    <t>Pesqueira</t>
  </si>
  <si>
    <t>Pedra</t>
  </si>
  <si>
    <t>Paulista</t>
  </si>
  <si>
    <t>Paudalho</t>
  </si>
  <si>
    <t>Passira</t>
  </si>
  <si>
    <t>Parnamirim</t>
  </si>
  <si>
    <t>Paranatama</t>
  </si>
  <si>
    <t>Panelas</t>
  </si>
  <si>
    <t>Palmeirina</t>
  </si>
  <si>
    <t>Palmares</t>
  </si>
  <si>
    <t>Ouricuri</t>
  </si>
  <si>
    <t>Orocó</t>
  </si>
  <si>
    <t>Orobó</t>
  </si>
  <si>
    <t>Olinda</t>
  </si>
  <si>
    <t>Nazaré da Mata</t>
  </si>
  <si>
    <t>Moreno</t>
  </si>
  <si>
    <t>Mirandiba</t>
  </si>
  <si>
    <t>Maraial</t>
  </si>
  <si>
    <t>Manari</t>
  </si>
  <si>
    <t>09154</t>
  </si>
  <si>
    <t>Machados</t>
  </si>
  <si>
    <t>Macaparana</t>
  </si>
  <si>
    <t>Limoeiro</t>
  </si>
  <si>
    <t>Lajedo</t>
  </si>
  <si>
    <t>08750</t>
  </si>
  <si>
    <t>Lagoa dos Gatos</t>
  </si>
  <si>
    <t>Lagoa do Ouro</t>
  </si>
  <si>
    <t>Lagoa de Itaenga</t>
  </si>
  <si>
    <t>Lagoa do Carro</t>
  </si>
  <si>
    <t>08453</t>
  </si>
  <si>
    <t>Jurema</t>
  </si>
  <si>
    <t>Jupi</t>
  </si>
  <si>
    <t>Jucati</t>
  </si>
  <si>
    <t>Joaquim Nabuco</t>
  </si>
  <si>
    <t>João Alfredo</t>
  </si>
  <si>
    <t>Jatobá</t>
  </si>
  <si>
    <t>08057</t>
  </si>
  <si>
    <t>Jataúba</t>
  </si>
  <si>
    <t>Jaqueira</t>
  </si>
  <si>
    <t>Jaboatão dos Guararapes</t>
  </si>
  <si>
    <t>Itaquitinga</t>
  </si>
  <si>
    <t>Itapissuma</t>
  </si>
  <si>
    <t>07752</t>
  </si>
  <si>
    <t>Itapetim</t>
  </si>
  <si>
    <t>07653</t>
  </si>
  <si>
    <t>Ilha de Itamaracá</t>
  </si>
  <si>
    <t>Itaíba</t>
  </si>
  <si>
    <t>Itacuruba</t>
  </si>
  <si>
    <t>Ipubi</t>
  </si>
  <si>
    <t>Ipojuca</t>
  </si>
  <si>
    <t>Ingazeira</t>
  </si>
  <si>
    <t>Iguaracy</t>
  </si>
  <si>
    <t>Igarassu</t>
  </si>
  <si>
    <t>Ibirajuba</t>
  </si>
  <si>
    <t>Ibimirim</t>
  </si>
  <si>
    <t>Iati</t>
  </si>
  <si>
    <t>Gravatá</t>
  </si>
  <si>
    <t>Granito</t>
  </si>
  <si>
    <t>Goiana</t>
  </si>
  <si>
    <t>Glória do Goitá</t>
  </si>
  <si>
    <t>Garanhuns</t>
  </si>
  <si>
    <t>Gameleira</t>
  </si>
  <si>
    <t>Frei Miguelinho</t>
  </si>
  <si>
    <t>Flores</t>
  </si>
  <si>
    <t>Ferreiros</t>
  </si>
  <si>
    <t>Fernando de Noronha</t>
  </si>
  <si>
    <t>05459</t>
  </si>
  <si>
    <t>Exu</t>
  </si>
  <si>
    <t>Escada</t>
  </si>
  <si>
    <t>Dormentes</t>
  </si>
  <si>
    <t>Custódia</t>
  </si>
  <si>
    <t>Cupira</t>
  </si>
  <si>
    <t>Cumaru</t>
  </si>
  <si>
    <t>Cortês</t>
  </si>
  <si>
    <t>Correntes</t>
  </si>
  <si>
    <t>Condado</t>
  </si>
  <si>
    <t>Chã Grande</t>
  </si>
  <si>
    <t>Chã de Alegria</t>
  </si>
  <si>
    <t>Cedro</t>
  </si>
  <si>
    <t>Catende</t>
  </si>
  <si>
    <t>Casinhas</t>
  </si>
  <si>
    <t>04155</t>
  </si>
  <si>
    <t>Caruaru</t>
  </si>
  <si>
    <t>Carpina</t>
  </si>
  <si>
    <t>Carnaubeira da Penha</t>
  </si>
  <si>
    <t>03926</t>
  </si>
  <si>
    <t>Carnaíba</t>
  </si>
  <si>
    <t>Capoeiras</t>
  </si>
  <si>
    <t>Canhotinho</t>
  </si>
  <si>
    <t>Camutanga</t>
  </si>
  <si>
    <t>Camocim de São Félix</t>
  </si>
  <si>
    <t>Camaragibe</t>
  </si>
  <si>
    <t>Calumbi</t>
  </si>
  <si>
    <t>Calçado</t>
  </si>
  <si>
    <t>Caetés</t>
  </si>
  <si>
    <t>Cabrobó</t>
  </si>
  <si>
    <t>Cabo de Santo Agostinho</t>
  </si>
  <si>
    <t>Buíque</t>
  </si>
  <si>
    <t>Buenos Aires</t>
  </si>
  <si>
    <t>Brejo da Madre de Deus</t>
  </si>
  <si>
    <t>Brejinho</t>
  </si>
  <si>
    <t>Brejão</t>
  </si>
  <si>
    <t>Bom Conselho</t>
  </si>
  <si>
    <t>Bodocó</t>
  </si>
  <si>
    <t>Bezerros</t>
  </si>
  <si>
    <t>Betânia</t>
  </si>
  <si>
    <t>Belo Jardim</t>
  </si>
  <si>
    <t>Belém do São Francisco</t>
  </si>
  <si>
    <t>Belém de Maria</t>
  </si>
  <si>
    <t>Barreiros</t>
  </si>
  <si>
    <t>Barra de Guabiraba</t>
  </si>
  <si>
    <t>Arcoverde</t>
  </si>
  <si>
    <t>Araripina</t>
  </si>
  <si>
    <t>Araçoiaba</t>
  </si>
  <si>
    <t>01052</t>
  </si>
  <si>
    <t>Angelim</t>
  </si>
  <si>
    <t>Amaraji</t>
  </si>
  <si>
    <t>Altinho</t>
  </si>
  <si>
    <t>Aliança</t>
  </si>
  <si>
    <t>Alagoinha</t>
  </si>
  <si>
    <t>Águas Belas</t>
  </si>
  <si>
    <t>Água Preta</t>
  </si>
  <si>
    <t>Agrestina</t>
  </si>
  <si>
    <t>Afrânio</t>
  </si>
  <si>
    <t>Afogados da Ingazeira</t>
  </si>
  <si>
    <t>Abreu e Lima</t>
  </si>
  <si>
    <t>00054</t>
  </si>
  <si>
    <t>Zabelê</t>
  </si>
  <si>
    <t>17407</t>
  </si>
  <si>
    <t>Vieirópolis</t>
  </si>
  <si>
    <t>17209</t>
  </si>
  <si>
    <t>Várzea</t>
  </si>
  <si>
    <t>17100</t>
  </si>
  <si>
    <t>Umbuzeiro</t>
  </si>
  <si>
    <t>17001</t>
  </si>
  <si>
    <t>Uiraúna</t>
  </si>
  <si>
    <t>16904</t>
  </si>
  <si>
    <t>16805</t>
  </si>
  <si>
    <t>Tenório</t>
  </si>
  <si>
    <t>16755</t>
  </si>
  <si>
    <t>Teixeira</t>
  </si>
  <si>
    <t>16706</t>
  </si>
  <si>
    <t>16607</t>
  </si>
  <si>
    <t>16508</t>
  </si>
  <si>
    <t>Tacima</t>
  </si>
  <si>
    <t>16409</t>
  </si>
  <si>
    <t>Sumé</t>
  </si>
  <si>
    <t>16300</t>
  </si>
  <si>
    <t>Sousa</t>
  </si>
  <si>
    <t>16201</t>
  </si>
  <si>
    <t>Sossêgo</t>
  </si>
  <si>
    <t>16151</t>
  </si>
  <si>
    <t>16102</t>
  </si>
  <si>
    <t>Solânea</t>
  </si>
  <si>
    <t>16003</t>
  </si>
  <si>
    <t>Sobrado</t>
  </si>
  <si>
    <t>15971</t>
  </si>
  <si>
    <t>15930</t>
  </si>
  <si>
    <t>Serraria</t>
  </si>
  <si>
    <t>15906</t>
  </si>
  <si>
    <t>Serra Redonda</t>
  </si>
  <si>
    <t>15807</t>
  </si>
  <si>
    <t>Serra Grande</t>
  </si>
  <si>
    <t>15708</t>
  </si>
  <si>
    <t>Serra da Raiz</t>
  </si>
  <si>
    <t>15609</t>
  </si>
  <si>
    <t>Serra Branca</t>
  </si>
  <si>
    <t>15500</t>
  </si>
  <si>
    <t>São Vicente do Seridó</t>
  </si>
  <si>
    <t>15401</t>
  </si>
  <si>
    <t>Sapé</t>
  </si>
  <si>
    <t>15302</t>
  </si>
  <si>
    <t>São Sebastião do Umbuzeiro</t>
  </si>
  <si>
    <t>15203</t>
  </si>
  <si>
    <t>São Sebastião de Lagoa de Roça</t>
  </si>
  <si>
    <t>15104</t>
  </si>
  <si>
    <t>São Miguel de Taipu</t>
  </si>
  <si>
    <t>15005</t>
  </si>
  <si>
    <t>São Mamede</t>
  </si>
  <si>
    <t>14909</t>
  </si>
  <si>
    <t>São José dos Cordeiros</t>
  </si>
  <si>
    <t>14800</t>
  </si>
  <si>
    <t>São José do Sabugi</t>
  </si>
  <si>
    <t>14701</t>
  </si>
  <si>
    <t>São José do Brejo do Cruz</t>
  </si>
  <si>
    <t>14651</t>
  </si>
  <si>
    <t>São José do Bonfim</t>
  </si>
  <si>
    <t>14602</t>
  </si>
  <si>
    <t>São José de Princesa</t>
  </si>
  <si>
    <t>14552</t>
  </si>
  <si>
    <t>São José de Piranhas</t>
  </si>
  <si>
    <t>14503</t>
  </si>
  <si>
    <t>São José dos Ramos</t>
  </si>
  <si>
    <t>14453</t>
  </si>
  <si>
    <t>São José de Espinharas</t>
  </si>
  <si>
    <t>14404</t>
  </si>
  <si>
    <t>São José de Caiana</t>
  </si>
  <si>
    <t>14305</t>
  </si>
  <si>
    <t>São José da Lagoa Tapada</t>
  </si>
  <si>
    <t>14206</t>
  </si>
  <si>
    <t>São João do Tigre</t>
  </si>
  <si>
    <t>14107</t>
  </si>
  <si>
    <t>São João do Cariri</t>
  </si>
  <si>
    <t>14008</t>
  </si>
  <si>
    <t>13984</t>
  </si>
  <si>
    <t>13968</t>
  </si>
  <si>
    <t>São Domingos do Cariri</t>
  </si>
  <si>
    <t>13943</t>
  </si>
  <si>
    <t>São Bentinho</t>
  </si>
  <si>
    <t>13927</t>
  </si>
  <si>
    <t>São Bento</t>
  </si>
  <si>
    <t>13901</t>
  </si>
  <si>
    <t>13851</t>
  </si>
  <si>
    <t>13802</t>
  </si>
  <si>
    <t>Santa Rita</t>
  </si>
  <si>
    <t>13703</t>
  </si>
  <si>
    <t>Joca Claudino</t>
  </si>
  <si>
    <t>13653</t>
  </si>
  <si>
    <t>Santana dos Garrotes</t>
  </si>
  <si>
    <t>13604</t>
  </si>
  <si>
    <t>Santana de Mangueira</t>
  </si>
  <si>
    <t>13505</t>
  </si>
  <si>
    <t>13406</t>
  </si>
  <si>
    <t>13356</t>
  </si>
  <si>
    <t>13307</t>
  </si>
  <si>
    <t>13208</t>
  </si>
  <si>
    <t>13158</t>
  </si>
  <si>
    <t>Salgado de São Félix</t>
  </si>
  <si>
    <t>13109</t>
  </si>
  <si>
    <t>13000</t>
  </si>
  <si>
    <t>Rio Tinto</t>
  </si>
  <si>
    <t>12903</t>
  </si>
  <si>
    <t>Riacho dos Cavalos</t>
  </si>
  <si>
    <t>12804</t>
  </si>
  <si>
    <t>Riacho de Santo Antônio</t>
  </si>
  <si>
    <t>12788</t>
  </si>
  <si>
    <t>Riachão do Poço</t>
  </si>
  <si>
    <t>12762</t>
  </si>
  <si>
    <t>Riachão do Bacamarte</t>
  </si>
  <si>
    <t>12754</t>
  </si>
  <si>
    <t>Riachão</t>
  </si>
  <si>
    <t>12747</t>
  </si>
  <si>
    <t>Pedro Régis</t>
  </si>
  <si>
    <t>12721</t>
  </si>
  <si>
    <t>Remígio</t>
  </si>
  <si>
    <t>12705</t>
  </si>
  <si>
    <t>12606</t>
  </si>
  <si>
    <t>12507</t>
  </si>
  <si>
    <t>Puxinanã</t>
  </si>
  <si>
    <t>12408</t>
  </si>
  <si>
    <t>Princesa Isabel</t>
  </si>
  <si>
    <t>12309</t>
  </si>
  <si>
    <t>12200</t>
  </si>
  <si>
    <t>Pombal</t>
  </si>
  <si>
    <t>12101</t>
  </si>
  <si>
    <t>Poço de José de Moura</t>
  </si>
  <si>
    <t>12077</t>
  </si>
  <si>
    <t>Poço Dantas</t>
  </si>
  <si>
    <t>12036</t>
  </si>
  <si>
    <t>Pocinhos</t>
  </si>
  <si>
    <t>12002</t>
  </si>
  <si>
    <t>Pitimbu</t>
  </si>
  <si>
    <t>11905</t>
  </si>
  <si>
    <t>Pirpirituba</t>
  </si>
  <si>
    <t>11806</t>
  </si>
  <si>
    <t>Pilõezinhos</t>
  </si>
  <si>
    <t>11707</t>
  </si>
  <si>
    <t>Pilões</t>
  </si>
  <si>
    <t>11608</t>
  </si>
  <si>
    <t>11509</t>
  </si>
  <si>
    <t>Picuí</t>
  </si>
  <si>
    <t>11400</t>
  </si>
  <si>
    <t>Piancó</t>
  </si>
  <si>
    <t>11301</t>
  </si>
  <si>
    <t>Pedras de Fogo</t>
  </si>
  <si>
    <t>11202</t>
  </si>
  <si>
    <t>Pedra Lavrada</t>
  </si>
  <si>
    <t>11103</t>
  </si>
  <si>
    <t>Pedra Branca</t>
  </si>
  <si>
    <t>11004</t>
  </si>
  <si>
    <t>10907</t>
  </si>
  <si>
    <t>Patos</t>
  </si>
  <si>
    <t>10808</t>
  </si>
  <si>
    <t>Passagem</t>
  </si>
  <si>
    <t>10709</t>
  </si>
  <si>
    <t>Parari</t>
  </si>
  <si>
    <t>10659</t>
  </si>
  <si>
    <t>Ouro Velho</t>
  </si>
  <si>
    <t>10600</t>
  </si>
  <si>
    <t>Olivedos</t>
  </si>
  <si>
    <t>10501</t>
  </si>
  <si>
    <t>Olho d'Água</t>
  </si>
  <si>
    <t>10402</t>
  </si>
  <si>
    <t>Nova Palmeira</t>
  </si>
  <si>
    <t>10303</t>
  </si>
  <si>
    <t>Nova Olinda</t>
  </si>
  <si>
    <t>10204</t>
  </si>
  <si>
    <t>Nova Floresta</t>
  </si>
  <si>
    <t>10105</t>
  </si>
  <si>
    <t>Nazarezinho</t>
  </si>
  <si>
    <t>10006</t>
  </si>
  <si>
    <t>Natuba</t>
  </si>
  <si>
    <t>09909</t>
  </si>
  <si>
    <t>Mulungu</t>
  </si>
  <si>
    <t>09800</t>
  </si>
  <si>
    <t>Monteiro</t>
  </si>
  <si>
    <t>09701</t>
  </si>
  <si>
    <t>Monte Horebe</t>
  </si>
  <si>
    <t>09602</t>
  </si>
  <si>
    <t>Montadas</t>
  </si>
  <si>
    <t>09503</t>
  </si>
  <si>
    <t>Mogeiro</t>
  </si>
  <si>
    <t>09404</t>
  </si>
  <si>
    <t>Maturéia</t>
  </si>
  <si>
    <t>09396</t>
  </si>
  <si>
    <t>Mato Grosso</t>
  </si>
  <si>
    <t>09370</t>
  </si>
  <si>
    <t>Matinhas</t>
  </si>
  <si>
    <t>09339</t>
  </si>
  <si>
    <t>Mataraca</t>
  </si>
  <si>
    <t>09305</t>
  </si>
  <si>
    <t>09206</t>
  </si>
  <si>
    <t>Marizópolis</t>
  </si>
  <si>
    <t>09156</t>
  </si>
  <si>
    <t>Mari</t>
  </si>
  <si>
    <t>09107</t>
  </si>
  <si>
    <t>Marcação</t>
  </si>
  <si>
    <t>09057</t>
  </si>
  <si>
    <t>Manaíra</t>
  </si>
  <si>
    <t>09008</t>
  </si>
  <si>
    <t>Mamanguape</t>
  </si>
  <si>
    <t>08901</t>
  </si>
  <si>
    <t>Malta</t>
  </si>
  <si>
    <t>08802</t>
  </si>
  <si>
    <t>Mãe d'Água</t>
  </si>
  <si>
    <t>08703</t>
  </si>
  <si>
    <t>Lucena</t>
  </si>
  <si>
    <t>08604</t>
  </si>
  <si>
    <t>08554</t>
  </si>
  <si>
    <t>Livramento</t>
  </si>
  <si>
    <t>08505</t>
  </si>
  <si>
    <t>Lastro</t>
  </si>
  <si>
    <t>08406</t>
  </si>
  <si>
    <t>Lagoa Seca</t>
  </si>
  <si>
    <t>08307</t>
  </si>
  <si>
    <t>Lagoa de Dentro</t>
  </si>
  <si>
    <t>08208</t>
  </si>
  <si>
    <t>Lagoa</t>
  </si>
  <si>
    <t>08109</t>
  </si>
  <si>
    <t>Juru</t>
  </si>
  <si>
    <t>08000</t>
  </si>
  <si>
    <t>Juripiranga</t>
  </si>
  <si>
    <t>07903</t>
  </si>
  <si>
    <t>Junco do Seridó</t>
  </si>
  <si>
    <t>07804</t>
  </si>
  <si>
    <t>Juazeirinho</t>
  </si>
  <si>
    <t>07705</t>
  </si>
  <si>
    <t>Juarez Távora</t>
  </si>
  <si>
    <t>07606</t>
  </si>
  <si>
    <t>João Pessoa</t>
  </si>
  <si>
    <t>07507</t>
  </si>
  <si>
    <t>Jericó</t>
  </si>
  <si>
    <t>07408</t>
  </si>
  <si>
    <t>Jacaraú</t>
  </si>
  <si>
    <t>07309</t>
  </si>
  <si>
    <t>Itatuba</t>
  </si>
  <si>
    <t>07200</t>
  </si>
  <si>
    <t>Itapororoca</t>
  </si>
  <si>
    <t>07101</t>
  </si>
  <si>
    <t>07002</t>
  </si>
  <si>
    <t>06905</t>
  </si>
  <si>
    <t>Ingá</t>
  </si>
  <si>
    <t>06806</t>
  </si>
  <si>
    <t>Imaculada</t>
  </si>
  <si>
    <t>06707</t>
  </si>
  <si>
    <t>Ibiara</t>
  </si>
  <si>
    <t>06608</t>
  </si>
  <si>
    <t>Gurjão</t>
  </si>
  <si>
    <t>06509</t>
  </si>
  <si>
    <t>Gurinhém</t>
  </si>
  <si>
    <t>06400</t>
  </si>
  <si>
    <t>Guarabira</t>
  </si>
  <si>
    <t>06301</t>
  </si>
  <si>
    <t>Gado Bravo</t>
  </si>
  <si>
    <t>06251</t>
  </si>
  <si>
    <t>Frei Martinho</t>
  </si>
  <si>
    <t>06202</t>
  </si>
  <si>
    <t>Fagundes</t>
  </si>
  <si>
    <t>06103</t>
  </si>
  <si>
    <t>Esperança</t>
  </si>
  <si>
    <t>06004</t>
  </si>
  <si>
    <t>Emas</t>
  </si>
  <si>
    <t>05907</t>
  </si>
  <si>
    <t>Duas Estradas</t>
  </si>
  <si>
    <t>05808</t>
  </si>
  <si>
    <t>Dona Inês</t>
  </si>
  <si>
    <t>05709</t>
  </si>
  <si>
    <t>Diamante</t>
  </si>
  <si>
    <t>05600</t>
  </si>
  <si>
    <t>Vista Serrana</t>
  </si>
  <si>
    <t>05501</t>
  </si>
  <si>
    <t>Desterro</t>
  </si>
  <si>
    <t>05402</t>
  </si>
  <si>
    <t>Damião</t>
  </si>
  <si>
    <t>05352</t>
  </si>
  <si>
    <t>Curral Velho</t>
  </si>
  <si>
    <t>05303</t>
  </si>
  <si>
    <t>Curral de Cima</t>
  </si>
  <si>
    <t>05279</t>
  </si>
  <si>
    <t>Cuité de Mamanguape</t>
  </si>
  <si>
    <t>05238</t>
  </si>
  <si>
    <t>Cuitegi</t>
  </si>
  <si>
    <t>05204</t>
  </si>
  <si>
    <t>Cuité</t>
  </si>
  <si>
    <t>05105</t>
  </si>
  <si>
    <t>Cubati</t>
  </si>
  <si>
    <t>05006</t>
  </si>
  <si>
    <t>Cruz do Espírito Santo</t>
  </si>
  <si>
    <t>04900</t>
  </si>
  <si>
    <t>Coxixola</t>
  </si>
  <si>
    <t>04850</t>
  </si>
  <si>
    <t>Coremas</t>
  </si>
  <si>
    <t>04801</t>
  </si>
  <si>
    <t>Congo</t>
  </si>
  <si>
    <t>04702</t>
  </si>
  <si>
    <t>04603</t>
  </si>
  <si>
    <t>04504</t>
  </si>
  <si>
    <t>Conceição</t>
  </si>
  <si>
    <t>04405</t>
  </si>
  <si>
    <t>Caturité</t>
  </si>
  <si>
    <t>04355</t>
  </si>
  <si>
    <t>Catolé do Rocha</t>
  </si>
  <si>
    <t>04306</t>
  </si>
  <si>
    <t>Catingueira</t>
  </si>
  <si>
    <t>04207</t>
  </si>
  <si>
    <t>Casserengue</t>
  </si>
  <si>
    <t>04157</t>
  </si>
  <si>
    <t>Carrapateira</t>
  </si>
  <si>
    <t>04108</t>
  </si>
  <si>
    <t>Caraúbas</t>
  </si>
  <si>
    <t>04074</t>
  </si>
  <si>
    <t>Capim</t>
  </si>
  <si>
    <t>04033</t>
  </si>
  <si>
    <t>Campina Grande</t>
  </si>
  <si>
    <t>04009</t>
  </si>
  <si>
    <t>Camalaú</t>
  </si>
  <si>
    <t>03902</t>
  </si>
  <si>
    <t>Caldas Brandão</t>
  </si>
  <si>
    <t>03803</t>
  </si>
  <si>
    <t>Cajazeirinhas</t>
  </si>
  <si>
    <t>03753</t>
  </si>
  <si>
    <t>Cajazeiras</t>
  </si>
  <si>
    <t>03704</t>
  </si>
  <si>
    <t>03605</t>
  </si>
  <si>
    <t>Cacimbas</t>
  </si>
  <si>
    <t>03555</t>
  </si>
  <si>
    <t>Cacimba de Dentro</t>
  </si>
  <si>
    <t>03506</t>
  </si>
  <si>
    <t>Cacimba de Areia</t>
  </si>
  <si>
    <t>03407</t>
  </si>
  <si>
    <t>Cachoeira dos Índios</t>
  </si>
  <si>
    <t>03308</t>
  </si>
  <si>
    <t>Cabedelo</t>
  </si>
  <si>
    <t>03209</t>
  </si>
  <si>
    <t>Cabaceiras</t>
  </si>
  <si>
    <t>03100</t>
  </si>
  <si>
    <t>Caaporã</t>
  </si>
  <si>
    <t>03001</t>
  </si>
  <si>
    <t>Brejo dos Santos</t>
  </si>
  <si>
    <t>02904</t>
  </si>
  <si>
    <t>Brejo do Cruz</t>
  </si>
  <si>
    <t>02805</t>
  </si>
  <si>
    <t>02706</t>
  </si>
  <si>
    <t>Igaracy</t>
  </si>
  <si>
    <t>02607</t>
  </si>
  <si>
    <t>Boqueirão</t>
  </si>
  <si>
    <t>02508</t>
  </si>
  <si>
    <t>Bonito de Santa Fé</t>
  </si>
  <si>
    <t>02409</t>
  </si>
  <si>
    <t>02300</t>
  </si>
  <si>
    <t>02201</t>
  </si>
  <si>
    <t>Boa Vista</t>
  </si>
  <si>
    <t>02151</t>
  </si>
  <si>
    <t>Boa Ventura</t>
  </si>
  <si>
    <t>02102</t>
  </si>
  <si>
    <t>Bernardino Batista</t>
  </si>
  <si>
    <t>02052</t>
  </si>
  <si>
    <t>Belém do Brejo do Cruz</t>
  </si>
  <si>
    <t>02003</t>
  </si>
  <si>
    <t>01906</t>
  </si>
  <si>
    <t>Bayeux</t>
  </si>
  <si>
    <t>01807</t>
  </si>
  <si>
    <t>01708</t>
  </si>
  <si>
    <t>Barra de Santa Rosa</t>
  </si>
  <si>
    <t>01609</t>
  </si>
  <si>
    <t>Barra de Santana</t>
  </si>
  <si>
    <t>01575</t>
  </si>
  <si>
    <t>Baraúna</t>
  </si>
  <si>
    <t>01534</t>
  </si>
  <si>
    <t>Bananeiras</t>
  </si>
  <si>
    <t>01500</t>
  </si>
  <si>
    <t>Baía da Traição</t>
  </si>
  <si>
    <t>01401</t>
  </si>
  <si>
    <t>Assunção</t>
  </si>
  <si>
    <t>01351</t>
  </si>
  <si>
    <t>Aroeiras</t>
  </si>
  <si>
    <t>01302</t>
  </si>
  <si>
    <t>Areial</t>
  </si>
  <si>
    <t>01203</t>
  </si>
  <si>
    <t>Areia de Baraúnas</t>
  </si>
  <si>
    <t>01153</t>
  </si>
  <si>
    <t>Areia</t>
  </si>
  <si>
    <t>01104</t>
  </si>
  <si>
    <t>01005</t>
  </si>
  <si>
    <t>Arara</t>
  </si>
  <si>
    <t>00908</t>
  </si>
  <si>
    <t>Araçagi</t>
  </si>
  <si>
    <t>00809</t>
  </si>
  <si>
    <t>00775</t>
  </si>
  <si>
    <t>00734</t>
  </si>
  <si>
    <t>São João do Rio do Peixe</t>
  </si>
  <si>
    <t>00700</t>
  </si>
  <si>
    <t>Alhandra</t>
  </si>
  <si>
    <t>00601</t>
  </si>
  <si>
    <t>Algodão de Jandaíra</t>
  </si>
  <si>
    <t>00577</t>
  </si>
  <si>
    <t>Alcantil</t>
  </si>
  <si>
    <t>00536</t>
  </si>
  <si>
    <t>00502</t>
  </si>
  <si>
    <t>Alagoa Nova</t>
  </si>
  <si>
    <t>00403</t>
  </si>
  <si>
    <t>Alagoa Grande</t>
  </si>
  <si>
    <t>00304</t>
  </si>
  <si>
    <t>Aguiar</t>
  </si>
  <si>
    <t>00205</t>
  </si>
  <si>
    <t>00106</t>
  </si>
  <si>
    <t>Vila Flor</t>
  </si>
  <si>
    <t>Venha-Ver</t>
  </si>
  <si>
    <t>Upanema</t>
  </si>
  <si>
    <t>Umarizal</t>
  </si>
  <si>
    <t>Triunfo Potiguar</t>
  </si>
  <si>
    <t>Touros</t>
  </si>
  <si>
    <t>Timbaúba dos Batistas</t>
  </si>
  <si>
    <t>Tibau do Sul</t>
  </si>
  <si>
    <t>Tenente Laurentino Cruz</t>
  </si>
  <si>
    <t>Tenente Ananias</t>
  </si>
  <si>
    <t>Taipu</t>
  </si>
  <si>
    <t>Taboleiro Grande</t>
  </si>
  <si>
    <t>Sítio Novo</t>
  </si>
  <si>
    <t>Severiano Melo</t>
  </si>
  <si>
    <t>Serrinha dos Pintos</t>
  </si>
  <si>
    <t>13557</t>
  </si>
  <si>
    <t>Serra Negra do Norte</t>
  </si>
  <si>
    <t>Serra do Mel</t>
  </si>
  <si>
    <t>Serra de São Bento</t>
  </si>
  <si>
    <t>Senador Georgino Avelino</t>
  </si>
  <si>
    <t>Senador Elói de Souza</t>
  </si>
  <si>
    <t>São Rafael</t>
  </si>
  <si>
    <t>São Paulo do Potengi</t>
  </si>
  <si>
    <t>São Miguel do Gostoso</t>
  </si>
  <si>
    <t>12559</t>
  </si>
  <si>
    <t>São Miguel</t>
  </si>
  <si>
    <t>São José do Seridó</t>
  </si>
  <si>
    <t>São José do Campestre</t>
  </si>
  <si>
    <t>São José de Mipibu</t>
  </si>
  <si>
    <t>São João do Sabugi</t>
  </si>
  <si>
    <r>
      <t xml:space="preserve">102400 </t>
    </r>
    <r>
      <rPr>
        <b/>
        <vertAlign val="superscript"/>
        <sz val="11"/>
        <rFont val="Arial"/>
        <family val="2"/>
      </rPr>
      <t>(7)</t>
    </r>
  </si>
  <si>
    <t>São Gonçalo do Amarante</t>
  </si>
  <si>
    <t>São Francisco do Oeste</t>
  </si>
  <si>
    <t>São Fernando</t>
  </si>
  <si>
    <t>São Bento do Trairí</t>
  </si>
  <si>
    <t>São Bento do Norte</t>
  </si>
  <si>
    <t>Santo Antônio</t>
  </si>
  <si>
    <t>Santana do Seridó</t>
  </si>
  <si>
    <t>Santana do Matos</t>
  </si>
  <si>
    <t>Tibau</t>
  </si>
  <si>
    <t>11056</t>
  </si>
  <si>
    <t>Rodolfo Fernandes</t>
  </si>
  <si>
    <t>Riacho da Cruz</t>
  </si>
  <si>
    <t>Rafael Godeiro</t>
  </si>
  <si>
    <t>Rafael Fernandes</t>
  </si>
  <si>
    <t>Pureza</t>
  </si>
  <si>
    <t>Serra Caiada</t>
  </si>
  <si>
    <t>Porto do Mangue</t>
  </si>
  <si>
    <t>10256</t>
  </si>
  <si>
    <t>Portalegre</t>
  </si>
  <si>
    <t>Poço Branco</t>
  </si>
  <si>
    <t>Pendências</t>
  </si>
  <si>
    <t>Pedro Velho</t>
  </si>
  <si>
    <t>Pedro Avelino</t>
  </si>
  <si>
    <t>Pedra Grande</t>
  </si>
  <si>
    <t>Pau dos Ferros</t>
  </si>
  <si>
    <t>09332</t>
  </si>
  <si>
    <t>Patu</t>
  </si>
  <si>
    <t>Passa e Fica</t>
  </si>
  <si>
    <t>Rio do Fogo</t>
  </si>
  <si>
    <t>08953</t>
  </si>
  <si>
    <t>Parelhas</t>
  </si>
  <si>
    <t>Parazinho</t>
  </si>
  <si>
    <t>Paraú</t>
  </si>
  <si>
    <t>Paraná</t>
  </si>
  <si>
    <t>Olho-d'Água do Borges</t>
  </si>
  <si>
    <t>Nova Cruz</t>
  </si>
  <si>
    <t>Nísia Floresta</t>
  </si>
  <si>
    <t>Natal</t>
  </si>
  <si>
    <t>Mossoró</t>
  </si>
  <si>
    <t>Monte das Gameleiras</t>
  </si>
  <si>
    <t>Monte Alegre</t>
  </si>
  <si>
    <t>Montanhas</t>
  </si>
  <si>
    <t>Messias Targino</t>
  </si>
  <si>
    <t>Maxaranguape</t>
  </si>
  <si>
    <t>Martins</t>
  </si>
  <si>
    <t>Marcelino Vieira</t>
  </si>
  <si>
    <t>Major Sales</t>
  </si>
  <si>
    <t>07252</t>
  </si>
  <si>
    <t>Macau</t>
  </si>
  <si>
    <t>Macaíba</t>
  </si>
  <si>
    <t>Luís Gomes</t>
  </si>
  <si>
    <t>Lucrécia</t>
  </si>
  <si>
    <t>Lajes Pintadas</t>
  </si>
  <si>
    <t>Lajes</t>
  </si>
  <si>
    <t>Lagoa Salgada</t>
  </si>
  <si>
    <t>Lagoa Nova</t>
  </si>
  <si>
    <t>Lagoa de Velhos</t>
  </si>
  <si>
    <t>Lagoa de Pedras</t>
  </si>
  <si>
    <t>Lagoa d'Anta</t>
  </si>
  <si>
    <t>06155</t>
  </si>
  <si>
    <t>Jucurutu</t>
  </si>
  <si>
    <t>José da Penha</t>
  </si>
  <si>
    <t>João Dias</t>
  </si>
  <si>
    <t>João Câmara</t>
  </si>
  <si>
    <t>Jardim do Seridó</t>
  </si>
  <si>
    <t>Jardim de Piranhas</t>
  </si>
  <si>
    <t>Jardim de Angicos</t>
  </si>
  <si>
    <t>Japi</t>
  </si>
  <si>
    <t>Januário Cicco</t>
  </si>
  <si>
    <t>Janduís</t>
  </si>
  <si>
    <t>Jaçanã</t>
  </si>
  <si>
    <t>Itaú</t>
  </si>
  <si>
    <t>Ipueira</t>
  </si>
  <si>
    <t>Ipanguaçu</t>
  </si>
  <si>
    <t>Ielmo Marinho</t>
  </si>
  <si>
    <t>Guamaré</t>
  </si>
  <si>
    <t>Grossos</t>
  </si>
  <si>
    <t>Governador Dix-Sept Rosado</t>
  </si>
  <si>
    <t>Goianinha</t>
  </si>
  <si>
    <t>Galinhos</t>
  </si>
  <si>
    <t>Frutuoso Gomes</t>
  </si>
  <si>
    <t>Francisco Dantas</t>
  </si>
  <si>
    <t>Florânia</t>
  </si>
  <si>
    <t>Fernando Pedroza</t>
  </si>
  <si>
    <t>03756</t>
  </si>
  <si>
    <t>Felipe Guerra</t>
  </si>
  <si>
    <t>Extremoz</t>
  </si>
  <si>
    <t>Espírito Santo</t>
  </si>
  <si>
    <t>Equador</t>
  </si>
  <si>
    <t>Encanto</t>
  </si>
  <si>
    <t>03251</t>
  </si>
  <si>
    <t>Doutor Severiano</t>
  </si>
  <si>
    <t>Currais Novos</t>
  </si>
  <si>
    <t>Cruzeta</t>
  </si>
  <si>
    <t>Coronel João Pessoa</t>
  </si>
  <si>
    <t>Coronel Ezequiel</t>
  </si>
  <si>
    <t>Cerro Corá</t>
  </si>
  <si>
    <t>Ceará-Mirim</t>
  </si>
  <si>
    <t>Carnaubais</t>
  </si>
  <si>
    <t>Carnaúba dos Dantas</t>
  </si>
  <si>
    <t>Canguaretama</t>
  </si>
  <si>
    <t>Campo Redondo</t>
  </si>
  <si>
    <t>Caicó</t>
  </si>
  <si>
    <t>Caiçara do Rio do Vento</t>
  </si>
  <si>
    <t>Caiçara do Norte</t>
  </si>
  <si>
    <t>Bodó</t>
  </si>
  <si>
    <t>Bento Fernandes</t>
  </si>
  <si>
    <t>Barcelona</t>
  </si>
  <si>
    <t>01453</t>
  </si>
  <si>
    <t>Baía Formosa</t>
  </si>
  <si>
    <t>Augusto Severo</t>
  </si>
  <si>
    <t>Arês</t>
  </si>
  <si>
    <t>Apodi</t>
  </si>
  <si>
    <t>Antônio Martins</t>
  </si>
  <si>
    <t>Angicos</t>
  </si>
  <si>
    <t>Alto do Rodrigues</t>
  </si>
  <si>
    <t>Almino Afonso</t>
  </si>
  <si>
    <t>Alexandria</t>
  </si>
  <si>
    <t>Água Nova</t>
  </si>
  <si>
    <t>Afonso Bezerra</t>
  </si>
  <si>
    <t>Açu</t>
  </si>
  <si>
    <t>Acari</t>
  </si>
  <si>
    <t>Viçosa do Ceará</t>
  </si>
  <si>
    <t>Várzea Alegre</t>
  </si>
  <si>
    <t>Varjota</t>
  </si>
  <si>
    <t>13955</t>
  </si>
  <si>
    <t>Uruoca</t>
  </si>
  <si>
    <t>Uruburetama</t>
  </si>
  <si>
    <t>Umirim</t>
  </si>
  <si>
    <t>13757</t>
  </si>
  <si>
    <t>Umari</t>
  </si>
  <si>
    <t>Ubajara</t>
  </si>
  <si>
    <t>Tururu</t>
  </si>
  <si>
    <t>13559</t>
  </si>
  <si>
    <t>Trairi</t>
  </si>
  <si>
    <t>Tianguá</t>
  </si>
  <si>
    <t>Tejuçuoca</t>
  </si>
  <si>
    <t>Tauá</t>
  </si>
  <si>
    <t>Tarrafas</t>
  </si>
  <si>
    <t>13252</t>
  </si>
  <si>
    <t>Tamboril</t>
  </si>
  <si>
    <t>Tabuleiro do Norte</t>
  </si>
  <si>
    <t>Solonópole</t>
  </si>
  <si>
    <t>Sobral</t>
  </si>
  <si>
    <t>Senador Sá</t>
  </si>
  <si>
    <t>Senador Pompeu</t>
  </si>
  <si>
    <t>São Luís do Curu</t>
  </si>
  <si>
    <t>São João do Jaguaribe</t>
  </si>
  <si>
    <t>São Benedito</t>
  </si>
  <si>
    <t>Santa Quitéria</t>
  </si>
  <si>
    <t>Santana do Cariri</t>
  </si>
  <si>
    <t>Santana do Acaraú</t>
  </si>
  <si>
    <t>Salitre</t>
  </si>
  <si>
    <t>11959</t>
  </si>
  <si>
    <t>Saboeiro</t>
  </si>
  <si>
    <t>Russas</t>
  </si>
  <si>
    <t>Reriutaba</t>
  </si>
  <si>
    <t>Redenção</t>
  </si>
  <si>
    <t>Quixeré</t>
  </si>
  <si>
    <t>Quixeramobim</t>
  </si>
  <si>
    <t>Quixelô</t>
  </si>
  <si>
    <t>11355</t>
  </si>
  <si>
    <t>Quixadá</t>
  </si>
  <si>
    <t>Quiterianópolis</t>
  </si>
  <si>
    <t>11264</t>
  </si>
  <si>
    <t>Potiretama</t>
  </si>
  <si>
    <t>11231</t>
  </si>
  <si>
    <t>Potengi</t>
  </si>
  <si>
    <t>Porteiras</t>
  </si>
  <si>
    <t>Poranga</t>
  </si>
  <si>
    <t>Pires Ferreira</t>
  </si>
  <si>
    <t>10951</t>
  </si>
  <si>
    <t>Piquet Carneiro</t>
  </si>
  <si>
    <t>Pindoretama</t>
  </si>
  <si>
    <t>Pereiro</t>
  </si>
  <si>
    <t>Pentecoste</t>
  </si>
  <si>
    <t>Penaforte</t>
  </si>
  <si>
    <t>Paramoti</t>
  </si>
  <si>
    <t>Parambu</t>
  </si>
  <si>
    <t>Paraipaba</t>
  </si>
  <si>
    <t>10258</t>
  </si>
  <si>
    <t>Paracuru</t>
  </si>
  <si>
    <t>Palmácia</t>
  </si>
  <si>
    <t>Palhano</t>
  </si>
  <si>
    <t>Pacujá</t>
  </si>
  <si>
    <t>Pacoti</t>
  </si>
  <si>
    <t>Pacajus</t>
  </si>
  <si>
    <t>Orós</t>
  </si>
  <si>
    <t>Ocara</t>
  </si>
  <si>
    <t>Novo Oriente</t>
  </si>
  <si>
    <t>Nova Russas</t>
  </si>
  <si>
    <t>Mucambo</t>
  </si>
  <si>
    <t>Moraújo</t>
  </si>
  <si>
    <t>Morada Nova</t>
  </si>
  <si>
    <t>Monsenhor Tabosa</t>
  </si>
  <si>
    <t>Mombaça</t>
  </si>
  <si>
    <t>Missão Velha</t>
  </si>
  <si>
    <t>Miraíma</t>
  </si>
  <si>
    <t>08377</t>
  </si>
  <si>
    <t>Milhã</t>
  </si>
  <si>
    <t>08351</t>
  </si>
  <si>
    <t>Meruoca</t>
  </si>
  <si>
    <t>Mauriti</t>
  </si>
  <si>
    <t>Massapê</t>
  </si>
  <si>
    <t>Martinópole</t>
  </si>
  <si>
    <t>Marco</t>
  </si>
  <si>
    <t>Maranguape</t>
  </si>
  <si>
    <t>Maracanaú</t>
  </si>
  <si>
    <t>Madalena</t>
  </si>
  <si>
    <t>07635</t>
  </si>
  <si>
    <t>Limoeiro do Norte</t>
  </si>
  <si>
    <t>Lavras da Mangabeira</t>
  </si>
  <si>
    <t>Jucás</t>
  </si>
  <si>
    <t>Juazeiro do Norte</t>
  </si>
  <si>
    <t>Jijoca de Jericoacoara</t>
  </si>
  <si>
    <t>07254</t>
  </si>
  <si>
    <t>Jati</t>
  </si>
  <si>
    <t>Jaguaruana</t>
  </si>
  <si>
    <t>Jaguaribe</t>
  </si>
  <si>
    <t>Jaguaribara</t>
  </si>
  <si>
    <t>Jaguaretama</t>
  </si>
  <si>
    <t>Itatira</t>
  </si>
  <si>
    <t>Itarema</t>
  </si>
  <si>
    <t>06553</t>
  </si>
  <si>
    <t>Itapiúna</t>
  </si>
  <si>
    <t>Itapipoca</t>
  </si>
  <si>
    <t>Itapajé</t>
  </si>
  <si>
    <t>Itaitinga</t>
  </si>
  <si>
    <t>06256</t>
  </si>
  <si>
    <t>Itaiçaba</t>
  </si>
  <si>
    <t>Irauçuba</t>
  </si>
  <si>
    <t>Iracema</t>
  </si>
  <si>
    <t>Ipueiras</t>
  </si>
  <si>
    <t>Ipu</t>
  </si>
  <si>
    <t>Ipaumirim</t>
  </si>
  <si>
    <t>Ipaporanga</t>
  </si>
  <si>
    <t>05654</t>
  </si>
  <si>
    <t>Icó</t>
  </si>
  <si>
    <t>Icapuí</t>
  </si>
  <si>
    <t>Ibicuitinga</t>
  </si>
  <si>
    <t>05332</t>
  </si>
  <si>
    <t>Ibiapina</t>
  </si>
  <si>
    <t>Ibaretama</t>
  </si>
  <si>
    <t>05266</t>
  </si>
  <si>
    <t>Horizonte</t>
  </si>
  <si>
    <t>05233</t>
  </si>
  <si>
    <t>Guaramiranga</t>
  </si>
  <si>
    <t>Guaraciaba do Norte</t>
  </si>
  <si>
    <t>Guaiúba</t>
  </si>
  <si>
    <t>04954</t>
  </si>
  <si>
    <t>Groaíras</t>
  </si>
  <si>
    <t>Granjeiro</t>
  </si>
  <si>
    <t>Granja</t>
  </si>
  <si>
    <t>Graça</t>
  </si>
  <si>
    <t>04657</t>
  </si>
  <si>
    <t>General Sampaio</t>
  </si>
  <si>
    <t>Frecheirinha</t>
  </si>
  <si>
    <t>Fortim</t>
  </si>
  <si>
    <t>Fortaleza</t>
  </si>
  <si>
    <t>Forquilha</t>
  </si>
  <si>
    <t>Farias Brito</t>
  </si>
  <si>
    <t>Eusébio</t>
  </si>
  <si>
    <t>04285</t>
  </si>
  <si>
    <t>Ererê</t>
  </si>
  <si>
    <t>04277</t>
  </si>
  <si>
    <t>Deputado Irapuan Pinheiro</t>
  </si>
  <si>
    <t>04269</t>
  </si>
  <si>
    <t>Cruz</t>
  </si>
  <si>
    <t>Croatá</t>
  </si>
  <si>
    <t>04236</t>
  </si>
  <si>
    <t>Crato</t>
  </si>
  <si>
    <t>Crateús</t>
  </si>
  <si>
    <t>Coreaú</t>
  </si>
  <si>
    <t>Chorozinho</t>
  </si>
  <si>
    <t>Choró</t>
  </si>
  <si>
    <t>03931</t>
  </si>
  <si>
    <t>Chaval</t>
  </si>
  <si>
    <t>Caucaia</t>
  </si>
  <si>
    <t>Catunda</t>
  </si>
  <si>
    <t>03659</t>
  </si>
  <si>
    <t>Catarina</t>
  </si>
  <si>
    <t>Carnaubal</t>
  </si>
  <si>
    <t>Cariús</t>
  </si>
  <si>
    <t>Caririaçu</t>
  </si>
  <si>
    <t>Cariré</t>
  </si>
  <si>
    <t>Caridade</t>
  </si>
  <si>
    <t>Capistrano</t>
  </si>
  <si>
    <t>Canindé</t>
  </si>
  <si>
    <t>Campos Sales</t>
  </si>
  <si>
    <t>Camocim</t>
  </si>
  <si>
    <t>Brejo Santo</t>
  </si>
  <si>
    <t>Boa Viagem</t>
  </si>
  <si>
    <t>Bela Cruz</t>
  </si>
  <si>
    <t>Beberibe</t>
  </si>
  <si>
    <t>Baturité</t>
  </si>
  <si>
    <t>Barroquinha</t>
  </si>
  <si>
    <t>Barro</t>
  </si>
  <si>
    <t>Barreira</t>
  </si>
  <si>
    <t>Barbalha</t>
  </si>
  <si>
    <t>Banabuiú</t>
  </si>
  <si>
    <t>01851</t>
  </si>
  <si>
    <t>Baixio</t>
  </si>
  <si>
    <t>Assaré</t>
  </si>
  <si>
    <t>Arneiroz</t>
  </si>
  <si>
    <t>Aratuba</t>
  </si>
  <si>
    <t>Araripe</t>
  </si>
  <si>
    <t>Ararendá</t>
  </si>
  <si>
    <t>Aracoiaba</t>
  </si>
  <si>
    <t>Aracati</t>
  </si>
  <si>
    <t>Aquiraz</t>
  </si>
  <si>
    <t>Apuiarés</t>
  </si>
  <si>
    <t>Antonina do Norte</t>
  </si>
  <si>
    <t>Amontada</t>
  </si>
  <si>
    <t>Alto Santo</t>
  </si>
  <si>
    <t>Altaneira</t>
  </si>
  <si>
    <t>Alcântaras</t>
  </si>
  <si>
    <t>Aiuaba</t>
  </si>
  <si>
    <t>Acopiara</t>
  </si>
  <si>
    <t>Acaraú</t>
  </si>
  <si>
    <t>Acarape</t>
  </si>
  <si>
    <t>00150</t>
  </si>
  <si>
    <t>Abaiara</t>
  </si>
  <si>
    <t>Wall Ferraz</t>
  </si>
  <si>
    <t>Vila Nova do Piauí</t>
  </si>
  <si>
    <t>Vera Mendes</t>
  </si>
  <si>
    <t>Várzea Branca</t>
  </si>
  <si>
    <t>11357</t>
  </si>
  <si>
    <t>Valença do Piauí</t>
  </si>
  <si>
    <t>Uruçuí</t>
  </si>
  <si>
    <t>União</t>
  </si>
  <si>
    <t>Teresina</t>
  </si>
  <si>
    <t>Tanque do Piauí</t>
  </si>
  <si>
    <t>10979</t>
  </si>
  <si>
    <t>Tamboril do Piauí</t>
  </si>
  <si>
    <t>Sussuapara</t>
  </si>
  <si>
    <t>10938</t>
  </si>
  <si>
    <t>Socorro do Piauí</t>
  </si>
  <si>
    <t>Simplício Mendes</t>
  </si>
  <si>
    <t>Simões</t>
  </si>
  <si>
    <t>Sigefredo Pacheco</t>
  </si>
  <si>
    <t>Sebastião Leal</t>
  </si>
  <si>
    <t>10631</t>
  </si>
  <si>
    <t>Sebastião Barros</t>
  </si>
  <si>
    <t>10623</t>
  </si>
  <si>
    <t>São Raimundo Nonato</t>
  </si>
  <si>
    <t>São Pedro do Piauí</t>
  </si>
  <si>
    <t>São Miguel do Tapuio</t>
  </si>
  <si>
    <t>São Miguel do Fidalgo</t>
  </si>
  <si>
    <t>10391</t>
  </si>
  <si>
    <t>São Miguel da Baixa Grande</t>
  </si>
  <si>
    <t>10383</t>
  </si>
  <si>
    <t>São Luis do Piauí</t>
  </si>
  <si>
    <t>10375</t>
  </si>
  <si>
    <t>São Lourenço do Piauí</t>
  </si>
  <si>
    <t>10359</t>
  </si>
  <si>
    <t>São Julião</t>
  </si>
  <si>
    <t>São José do Piauí</t>
  </si>
  <si>
    <t>São José do Peixe</t>
  </si>
  <si>
    <t>São João do Piauí</t>
  </si>
  <si>
    <t>São João do Arraial</t>
  </si>
  <si>
    <t>09971</t>
  </si>
  <si>
    <t>São João da Varjota</t>
  </si>
  <si>
    <t>09955</t>
  </si>
  <si>
    <t>São João da Serra</t>
  </si>
  <si>
    <t>São João da Fronteira</t>
  </si>
  <si>
    <t>09872</t>
  </si>
  <si>
    <t>São João da Canabrava</t>
  </si>
  <si>
    <t>09856</t>
  </si>
  <si>
    <t>São Gonçalo do Piauí</t>
  </si>
  <si>
    <t>São Gonçalo do Gurguéia</t>
  </si>
  <si>
    <t>São Francisco do Piauí</t>
  </si>
  <si>
    <t>São Francisco de Assis do Piauí</t>
  </si>
  <si>
    <t>São Félix do Piauí</t>
  </si>
  <si>
    <t>São Braz do Piauí</t>
  </si>
  <si>
    <t>09559</t>
  </si>
  <si>
    <t>Santo Inácio do Piauí</t>
  </si>
  <si>
    <t>Santo Antônio dos Milagres</t>
  </si>
  <si>
    <t>09450</t>
  </si>
  <si>
    <t>Santo Antônio de Lisboa</t>
  </si>
  <si>
    <t>Santa Rosa do Piauí</t>
  </si>
  <si>
    <t>09377</t>
  </si>
  <si>
    <t>Santana do Piauí</t>
  </si>
  <si>
    <t>09351</t>
  </si>
  <si>
    <t>Santa Luz</t>
  </si>
  <si>
    <t>Santa Cruz dos Milagres</t>
  </si>
  <si>
    <t>09153</t>
  </si>
  <si>
    <t>Santa Cruz do Piauí</t>
  </si>
  <si>
    <t>Rio Grande do Piauí</t>
  </si>
  <si>
    <t>Ribeiro Gonçalves</t>
  </si>
  <si>
    <t>Ribeira do Piauí</t>
  </si>
  <si>
    <t>08874</t>
  </si>
  <si>
    <t>Riacho Frio</t>
  </si>
  <si>
    <t>08858</t>
  </si>
  <si>
    <t>Regeneração</t>
  </si>
  <si>
    <t>Redenção do Gurguéia</t>
  </si>
  <si>
    <t>Queimada Nova</t>
  </si>
  <si>
    <t>Prata do Piauí</t>
  </si>
  <si>
    <t>Porto Alegre do Piauí</t>
  </si>
  <si>
    <t>Porto</t>
  </si>
  <si>
    <t>Piripiri</t>
  </si>
  <si>
    <t>Piracuruca</t>
  </si>
  <si>
    <t>Pio IX</t>
  </si>
  <si>
    <t>Pimenteiras</t>
  </si>
  <si>
    <t>Picos</t>
  </si>
  <si>
    <t>07959</t>
  </si>
  <si>
    <t>Pedro Laurentino</t>
  </si>
  <si>
    <t>07934</t>
  </si>
  <si>
    <t>Pedro II</t>
  </si>
  <si>
    <t>Pavussu</t>
  </si>
  <si>
    <t>Paulistana</t>
  </si>
  <si>
    <t>Pau D'Arco do Piauí</t>
  </si>
  <si>
    <t>07793</t>
  </si>
  <si>
    <t>Patos do Piauí</t>
  </si>
  <si>
    <t>07777</t>
  </si>
  <si>
    <t>Passagem Franca do Piauí</t>
  </si>
  <si>
    <t>Parnaíba</t>
  </si>
  <si>
    <t>Parnaguá</t>
  </si>
  <si>
    <t>Paquetá</t>
  </si>
  <si>
    <t>Palmeirais</t>
  </si>
  <si>
    <t>Palmeira do Piauí</t>
  </si>
  <si>
    <t>Pajeú do Piauí</t>
  </si>
  <si>
    <t>07355</t>
  </si>
  <si>
    <t>Paes Landim</t>
  </si>
  <si>
    <t>Padre Marcos</t>
  </si>
  <si>
    <t>Olho D'Água do Piauí</t>
  </si>
  <si>
    <t>Oeiras</t>
  </si>
  <si>
    <t>06951</t>
  </si>
  <si>
    <t>Novo Oriente do Piauí</t>
  </si>
  <si>
    <t>Nossa Senhora dos Remédios</t>
  </si>
  <si>
    <t>Nossa Senhora de Nazaré</t>
  </si>
  <si>
    <t>06753</t>
  </si>
  <si>
    <t>Nazária</t>
  </si>
  <si>
    <t>06720</t>
  </si>
  <si>
    <t>Nazaré do Piauí</t>
  </si>
  <si>
    <t>Murici dos Portelas</t>
  </si>
  <si>
    <t>06696</t>
  </si>
  <si>
    <t>Morro do Chapéu do Piauí</t>
  </si>
  <si>
    <t>06670</t>
  </si>
  <si>
    <t>Morro Cabeça no Tempo</t>
  </si>
  <si>
    <t>06654</t>
  </si>
  <si>
    <t>Monte Alegre do Piauí</t>
  </si>
  <si>
    <t>Monsenhor Hipólito</t>
  </si>
  <si>
    <t>Monsenhor Gil</t>
  </si>
  <si>
    <t>Milton Brandão</t>
  </si>
  <si>
    <t>06357</t>
  </si>
  <si>
    <t>Miguel Leão</t>
  </si>
  <si>
    <t>Miguel Alves</t>
  </si>
  <si>
    <t>Matias Olímpio</t>
  </si>
  <si>
    <t>Massapê do Piauí</t>
  </si>
  <si>
    <t>06050</t>
  </si>
  <si>
    <t>Marcos Parente</t>
  </si>
  <si>
    <t>Marcolândia</t>
  </si>
  <si>
    <t>05953</t>
  </si>
  <si>
    <t>Manoel Emídio</t>
  </si>
  <si>
    <t>Madeiro</t>
  </si>
  <si>
    <t>05854</t>
  </si>
  <si>
    <t>Luzilândia</t>
  </si>
  <si>
    <t>Luís Correia</t>
  </si>
  <si>
    <t>Landri Sales</t>
  </si>
  <si>
    <t>Lagoa do Sítio</t>
  </si>
  <si>
    <t>05599</t>
  </si>
  <si>
    <t>Lagoa do Piauí</t>
  </si>
  <si>
    <t>05581</t>
  </si>
  <si>
    <t>Lagoa de São Francisco</t>
  </si>
  <si>
    <t>05573</t>
  </si>
  <si>
    <t>Lagoa do Barro do Piauí</t>
  </si>
  <si>
    <t>05565</t>
  </si>
  <si>
    <t>Lagoa Alegre</t>
  </si>
  <si>
    <t>05557</t>
  </si>
  <si>
    <t>Lagoinha do Piauí</t>
  </si>
  <si>
    <t>05540</t>
  </si>
  <si>
    <t>05532</t>
  </si>
  <si>
    <t>Júlio Borges</t>
  </si>
  <si>
    <t>05524</t>
  </si>
  <si>
    <t>Juazeiro do Piauí</t>
  </si>
  <si>
    <t>05516</t>
  </si>
  <si>
    <t>José de Freitas</t>
  </si>
  <si>
    <t>Joca Marques</t>
  </si>
  <si>
    <t>05458</t>
  </si>
  <si>
    <t>Joaquim Pires</t>
  </si>
  <si>
    <t>João Costa</t>
  </si>
  <si>
    <t>05359</t>
  </si>
  <si>
    <t>Jerumenha</t>
  </si>
  <si>
    <t>Jatobá do Piauí</t>
  </si>
  <si>
    <t>05276</t>
  </si>
  <si>
    <t>Jardim do Mulato</t>
  </si>
  <si>
    <t>05250</t>
  </si>
  <si>
    <t>Jaicós</t>
  </si>
  <si>
    <t>Jacobina do Piauí</t>
  </si>
  <si>
    <t>05151</t>
  </si>
  <si>
    <t>Itaueira</t>
  </si>
  <si>
    <t>Itainópolis</t>
  </si>
  <si>
    <t>Isaías Coelho</t>
  </si>
  <si>
    <t>Ipiranga do Piauí</t>
  </si>
  <si>
    <t>Inhuma</t>
  </si>
  <si>
    <t>Ilha Grande</t>
  </si>
  <si>
    <t>Hugo Napoleão</t>
  </si>
  <si>
    <t>Guaribas</t>
  </si>
  <si>
    <t>04550</t>
  </si>
  <si>
    <t>Guadalupe</t>
  </si>
  <si>
    <t>Gilbués</t>
  </si>
  <si>
    <t>Geminiano</t>
  </si>
  <si>
    <t>04352</t>
  </si>
  <si>
    <t>Fronteiras</t>
  </si>
  <si>
    <t>Francisco Santos</t>
  </si>
  <si>
    <t>Francisco Macedo</t>
  </si>
  <si>
    <t>04154</t>
  </si>
  <si>
    <t>Francisco Ayres</t>
  </si>
  <si>
    <t>Francinópolis</t>
  </si>
  <si>
    <t>Floriano</t>
  </si>
  <si>
    <t>Floresta do Piauí</t>
  </si>
  <si>
    <t>03859</t>
  </si>
  <si>
    <t>Flores do Piauí</t>
  </si>
  <si>
    <t>Fartura do Piauí</t>
  </si>
  <si>
    <t>03750</t>
  </si>
  <si>
    <t>Esperantina</t>
  </si>
  <si>
    <t>Eliseu Martins</t>
  </si>
  <si>
    <t>Elesbão Veloso</t>
  </si>
  <si>
    <t>Dom Inocêncio</t>
  </si>
  <si>
    <t>Domingos Mourão</t>
  </si>
  <si>
    <t>03420</t>
  </si>
  <si>
    <t>Dom Expedito Lopes</t>
  </si>
  <si>
    <t>Dirceu Arcoverde</t>
  </si>
  <si>
    <t>Demerval Lobão</t>
  </si>
  <si>
    <t>Curral Novo do Piauí</t>
  </si>
  <si>
    <t>03271</t>
  </si>
  <si>
    <t>Curralinhos</t>
  </si>
  <si>
    <t>03255</t>
  </si>
  <si>
    <t>Currais</t>
  </si>
  <si>
    <t>03230</t>
  </si>
  <si>
    <t>Curimatá</t>
  </si>
  <si>
    <t>Cristino Castro</t>
  </si>
  <si>
    <t>Cristalândia do Piauí</t>
  </si>
  <si>
    <t>Corrente</t>
  </si>
  <si>
    <t>Coronel José Dias</t>
  </si>
  <si>
    <t>02851</t>
  </si>
  <si>
    <t>Conceição do Canindé</t>
  </si>
  <si>
    <t>Colônia do Piauí</t>
  </si>
  <si>
    <t>02778</t>
  </si>
  <si>
    <t>Colônia do Gurguéia</t>
  </si>
  <si>
    <t>Coivaras</t>
  </si>
  <si>
    <t>02737</t>
  </si>
  <si>
    <t>Cocal dos Alves</t>
  </si>
  <si>
    <t>02729</t>
  </si>
  <si>
    <t>Cocal de Telha</t>
  </si>
  <si>
    <t>02711</t>
  </si>
  <si>
    <t>Cocal</t>
  </si>
  <si>
    <t>Caxingó</t>
  </si>
  <si>
    <t>02653</t>
  </si>
  <si>
    <t>Castelo do Piauí</t>
  </si>
  <si>
    <t>Caridade do Piauí</t>
  </si>
  <si>
    <t>02554</t>
  </si>
  <si>
    <t>Caraúbas do Piauí</t>
  </si>
  <si>
    <t>02539</t>
  </si>
  <si>
    <t>Capitão Gervásio Oliveira</t>
  </si>
  <si>
    <t>02455</t>
  </si>
  <si>
    <t>Capitão de Campos</t>
  </si>
  <si>
    <t>Canto do Buriti</t>
  </si>
  <si>
    <t>Canavieira</t>
  </si>
  <si>
    <t>02251</t>
  </si>
  <si>
    <t>Campo Maior</t>
  </si>
  <si>
    <t>Campo Largo do Piauí</t>
  </si>
  <si>
    <t>02174</t>
  </si>
  <si>
    <t>Campo Grande do Piauí</t>
  </si>
  <si>
    <t>02133</t>
  </si>
  <si>
    <t>Campo Alegre do Fidalgo</t>
  </si>
  <si>
    <t>02117</t>
  </si>
  <si>
    <t>Campinas do Piauí</t>
  </si>
  <si>
    <t>Caldeirão Grande do Piauí</t>
  </si>
  <si>
    <t>02091</t>
  </si>
  <si>
    <t>Cajueiro da Praia</t>
  </si>
  <si>
    <t>02083</t>
  </si>
  <si>
    <t>Cajazeiras do Piauí</t>
  </si>
  <si>
    <t>02075</t>
  </si>
  <si>
    <t>Cabeceiras do Piauí</t>
  </si>
  <si>
    <t>02059</t>
  </si>
  <si>
    <t>Buriti dos Montes</t>
  </si>
  <si>
    <t>02026</t>
  </si>
  <si>
    <t>Buriti dos Lopes</t>
  </si>
  <si>
    <t>Brejo do Piauí</t>
  </si>
  <si>
    <t>01988</t>
  </si>
  <si>
    <t>Brasileira</t>
  </si>
  <si>
    <t>01960</t>
  </si>
  <si>
    <t>Boqueirão do Piauí</t>
  </si>
  <si>
    <t>01945</t>
  </si>
  <si>
    <t>Bonfim do Piauí</t>
  </si>
  <si>
    <t>01929</t>
  </si>
  <si>
    <t>Bom Princípio do Piauí</t>
  </si>
  <si>
    <t>01919</t>
  </si>
  <si>
    <t>Boa Hora</t>
  </si>
  <si>
    <t>01770</t>
  </si>
  <si>
    <t>Betânia do Piauí</t>
  </si>
  <si>
    <t>01739</t>
  </si>
  <si>
    <t>Bertolínia</t>
  </si>
  <si>
    <t>Beneditinos</t>
  </si>
  <si>
    <t>Belém do Piauí</t>
  </si>
  <si>
    <t>01572</t>
  </si>
  <si>
    <t>Bela Vista do Piauí</t>
  </si>
  <si>
    <t>01556</t>
  </si>
  <si>
    <t>Barro Duro</t>
  </si>
  <si>
    <t>Barreiras do Piauí</t>
  </si>
  <si>
    <t>Barras</t>
  </si>
  <si>
    <t>Barra D'Alcântara</t>
  </si>
  <si>
    <t>01176</t>
  </si>
  <si>
    <t>Baixa Grande do Ribeiro</t>
  </si>
  <si>
    <t>Avelino Lopes</t>
  </si>
  <si>
    <t>Assunção do Piauí</t>
  </si>
  <si>
    <t>Arraial</t>
  </si>
  <si>
    <t>Aroeiras do Itaim</t>
  </si>
  <si>
    <t>00954</t>
  </si>
  <si>
    <t>Aroazes</t>
  </si>
  <si>
    <t>Antônio Almeida</t>
  </si>
  <si>
    <t>Anísio de Abreu</t>
  </si>
  <si>
    <t>Angical do Piauí</t>
  </si>
  <si>
    <t>Amarante</t>
  </si>
  <si>
    <t>Alvorada do Gurguéia</t>
  </si>
  <si>
    <t>Altos</t>
  </si>
  <si>
    <t>Alto Longá</t>
  </si>
  <si>
    <t>Alegrete do Piauí</t>
  </si>
  <si>
    <t>00277</t>
  </si>
  <si>
    <t>Alagoinha do Piauí</t>
  </si>
  <si>
    <t>00251</t>
  </si>
  <si>
    <t>Agricolândia</t>
  </si>
  <si>
    <t>Acauã</t>
  </si>
  <si>
    <t>00053</t>
  </si>
  <si>
    <t>Zé Doca</t>
  </si>
  <si>
    <t>Vitorino Freire</t>
  </si>
  <si>
    <t>Vitória do Mearim</t>
  </si>
  <si>
    <t>Vila Nova dos Martírios</t>
  </si>
  <si>
    <t>12852</t>
  </si>
  <si>
    <t>Vargem Grande</t>
  </si>
  <si>
    <t>Urbano Santos</t>
  </si>
  <si>
    <t>Tutóia</t>
  </si>
  <si>
    <t>Turilândia</t>
  </si>
  <si>
    <t>12456</t>
  </si>
  <si>
    <t>Turiaçu</t>
  </si>
  <si>
    <t>Tuntum</t>
  </si>
  <si>
    <t>Tufilândia</t>
  </si>
  <si>
    <t>12274</t>
  </si>
  <si>
    <t>Trizidela do Vale</t>
  </si>
  <si>
    <t>12233</t>
  </si>
  <si>
    <t>Timon</t>
  </si>
  <si>
    <t>Timbiras</t>
  </si>
  <si>
    <t>Tasso Fragoso</t>
  </si>
  <si>
    <t>Sucupira do Riachão</t>
  </si>
  <si>
    <t>11953</t>
  </si>
  <si>
    <t>Sucupira do Norte</t>
  </si>
  <si>
    <t>11805</t>
  </si>
  <si>
    <t>Serrano do Maranhão</t>
  </si>
  <si>
    <t>11789</t>
  </si>
  <si>
    <t>Senador La Rocque</t>
  </si>
  <si>
    <t>11763</t>
  </si>
  <si>
    <t>Senador Alexandre Costa</t>
  </si>
  <si>
    <t>11748</t>
  </si>
  <si>
    <t>Satubinha</t>
  </si>
  <si>
    <t>11722</t>
  </si>
  <si>
    <t>São Roberto</t>
  </si>
  <si>
    <t>11672</t>
  </si>
  <si>
    <t>São Raimundo do Doca Bezerra</t>
  </si>
  <si>
    <t>11631</t>
  </si>
  <si>
    <t>São Raimundo das Mangabeiras</t>
  </si>
  <si>
    <t>São Pedro dos Crentes</t>
  </si>
  <si>
    <t>11573</t>
  </si>
  <si>
    <t>São Pedro da Água Branca</t>
  </si>
  <si>
    <t>11532</t>
  </si>
  <si>
    <t>São Mateus do Maranhão</t>
  </si>
  <si>
    <t>São Luís Gonzaga do Maranhão</t>
  </si>
  <si>
    <t>São Luís</t>
  </si>
  <si>
    <t>São José dos Basílios</t>
  </si>
  <si>
    <t>11250</t>
  </si>
  <si>
    <t>São José de Ribamar</t>
  </si>
  <si>
    <t>São João dos Patos</t>
  </si>
  <si>
    <t>São João do Soter</t>
  </si>
  <si>
    <t>11078</t>
  </si>
  <si>
    <t>11052</t>
  </si>
  <si>
    <t>São João do Carú</t>
  </si>
  <si>
    <t>11029</t>
  </si>
  <si>
    <t>São Francisco do Maranhão</t>
  </si>
  <si>
    <t>São Francisco do Brejão</t>
  </si>
  <si>
    <t>10856</t>
  </si>
  <si>
    <t>São Félix de Balsas</t>
  </si>
  <si>
    <t>São Domingos do Maranhão</t>
  </si>
  <si>
    <t>São Domingos do Azeitão</t>
  </si>
  <si>
    <t>10658</t>
  </si>
  <si>
    <t>São Bernardo</t>
  </si>
  <si>
    <t>São Benedito do Rio Preto</t>
  </si>
  <si>
    <t>Santo Antônio dos Lopes</t>
  </si>
  <si>
    <t>Santo Amaro do Maranhão</t>
  </si>
  <si>
    <t>10278</t>
  </si>
  <si>
    <t>Santana do Maranhão</t>
  </si>
  <si>
    <t>10237</t>
  </si>
  <si>
    <t>Santa Quitéria do Maranhão</t>
  </si>
  <si>
    <t>Santa Luzia do Paruá</t>
  </si>
  <si>
    <t>10039</t>
  </si>
  <si>
    <t>Santa Filomena do Maranhão</t>
  </si>
  <si>
    <t>09759</t>
  </si>
  <si>
    <t>Sambaíba</t>
  </si>
  <si>
    <t>Rosário</t>
  </si>
  <si>
    <t>Ribamar Fiquene</t>
  </si>
  <si>
    <t>09551</t>
  </si>
  <si>
    <t>Raposa</t>
  </si>
  <si>
    <t>Primeira Cruz</t>
  </si>
  <si>
    <t>Presidente Vargas</t>
  </si>
  <si>
    <t>Presidente Sarney</t>
  </si>
  <si>
    <t>09270</t>
  </si>
  <si>
    <t>Presidente Médici</t>
  </si>
  <si>
    <t>09239</t>
  </si>
  <si>
    <t>Porto Rico do Maranhão</t>
  </si>
  <si>
    <t>09056</t>
  </si>
  <si>
    <t>Porto Franco</t>
  </si>
  <si>
    <t>Poção de Pedras</t>
  </si>
  <si>
    <t>Pirapemas</t>
  </si>
  <si>
    <t>Pio XII</t>
  </si>
  <si>
    <t>Pinheiro</t>
  </si>
  <si>
    <t>Pindaré-Mirim</t>
  </si>
  <si>
    <t>Peritoró</t>
  </si>
  <si>
    <t>08454</t>
  </si>
  <si>
    <t>Peri Mirim</t>
  </si>
  <si>
    <t>Penalva</t>
  </si>
  <si>
    <t>Pedro do Rosário</t>
  </si>
  <si>
    <t>08256</t>
  </si>
  <si>
    <t>Pedreiras</t>
  </si>
  <si>
    <t>Paulo Ramos</t>
  </si>
  <si>
    <t>Paulino Neves</t>
  </si>
  <si>
    <t>08058</t>
  </si>
  <si>
    <t>Pastos Bons</t>
  </si>
  <si>
    <t>Passagem Franca</t>
  </si>
  <si>
    <t>Parnarama</t>
  </si>
  <si>
    <t>Paraibano</t>
  </si>
  <si>
    <t>Palmeirândia</t>
  </si>
  <si>
    <r>
      <t>122197</t>
    </r>
    <r>
      <rPr>
        <b/>
        <vertAlign val="superscript"/>
        <sz val="11"/>
        <rFont val="Arial"/>
        <family val="2"/>
      </rPr>
      <t xml:space="preserve"> (6)</t>
    </r>
  </si>
  <si>
    <t>Paço do Lumiar</t>
  </si>
  <si>
    <t>Olinda Nova do Maranhão</t>
  </si>
  <si>
    <t>Olho d'Água das Cunhãs</t>
  </si>
  <si>
    <t>Nova Olinda do Maranhão</t>
  </si>
  <si>
    <t>07357</t>
  </si>
  <si>
    <t>Nova Iorque</t>
  </si>
  <si>
    <t>Nova Colinas</t>
  </si>
  <si>
    <t>07258</t>
  </si>
  <si>
    <t>Nina Rodrigues</t>
  </si>
  <si>
    <t>Morros</t>
  </si>
  <si>
    <t>Montes Altos</t>
  </si>
  <si>
    <t>Monção</t>
  </si>
  <si>
    <t>Mirinzal</t>
  </si>
  <si>
    <t>Miranda do Norte</t>
  </si>
  <si>
    <t>06755</t>
  </si>
  <si>
    <t>Milagres do Maranhão</t>
  </si>
  <si>
    <t>06672</t>
  </si>
  <si>
    <t>Matões do Norte</t>
  </si>
  <si>
    <t>06631</t>
  </si>
  <si>
    <t>Matões</t>
  </si>
  <si>
    <t>Matinha</t>
  </si>
  <si>
    <t>Mata Roma</t>
  </si>
  <si>
    <t>Maranhãozinho</t>
  </si>
  <si>
    <t>06375</t>
  </si>
  <si>
    <t>Marajá do Sena</t>
  </si>
  <si>
    <t>Maracaçumé</t>
  </si>
  <si>
    <t>06326</t>
  </si>
  <si>
    <t>Magalhães de Almeida</t>
  </si>
  <si>
    <t>Luís Domingues</t>
  </si>
  <si>
    <t>Loreto</t>
  </si>
  <si>
    <t>Lima Campos</t>
  </si>
  <si>
    <t>Lajeado Novo</t>
  </si>
  <si>
    <t>05989</t>
  </si>
  <si>
    <t>Lagoa Grande do Maranhão</t>
  </si>
  <si>
    <t>05963</t>
  </si>
  <si>
    <t>Lago dos Rodrigues</t>
  </si>
  <si>
    <t>05948</t>
  </si>
  <si>
    <t>Lagoa do Mato</t>
  </si>
  <si>
    <t>05922</t>
  </si>
  <si>
    <t>Lago Verde</t>
  </si>
  <si>
    <t>Lago do Junco</t>
  </si>
  <si>
    <t>Lago da Pedra</t>
  </si>
  <si>
    <t>Junco do Maranhão</t>
  </si>
  <si>
    <t>05658</t>
  </si>
  <si>
    <t>Joselândia</t>
  </si>
  <si>
    <t>João Lisboa</t>
  </si>
  <si>
    <t>Jenipapo dos Vieiras</t>
  </si>
  <si>
    <t>05476</t>
  </si>
  <si>
    <t>05450</t>
  </si>
  <si>
    <t>Itinga do Maranhão</t>
  </si>
  <si>
    <t>05427</t>
  </si>
  <si>
    <t>Itapecuru Mirim</t>
  </si>
  <si>
    <t>Itaipava do Grajaú</t>
  </si>
  <si>
    <t>Imperatriz</t>
  </si>
  <si>
    <t>Igarapé Grande</t>
  </si>
  <si>
    <t>Igarapé do Meio</t>
  </si>
  <si>
    <t>05153</t>
  </si>
  <si>
    <t>Icatu</t>
  </si>
  <si>
    <t>Humberto de Campos</t>
  </si>
  <si>
    <t>Guimarães</t>
  </si>
  <si>
    <t>Grajaú</t>
  </si>
  <si>
    <t>Graça Aranha</t>
  </si>
  <si>
    <t>Governador Nunes Freire</t>
  </si>
  <si>
    <t>04677</t>
  </si>
  <si>
    <t>Governador Newton Bello</t>
  </si>
  <si>
    <t>04651</t>
  </si>
  <si>
    <t>Governador Luiz Rocha</t>
  </si>
  <si>
    <t>04628</t>
  </si>
  <si>
    <t>Governador Eugênio Barros</t>
  </si>
  <si>
    <t>Governador Edison Lobão</t>
  </si>
  <si>
    <t>04552</t>
  </si>
  <si>
    <t>Governador Archer</t>
  </si>
  <si>
    <t>Gonçalves Dias</t>
  </si>
  <si>
    <t>Godofredo Viana</t>
  </si>
  <si>
    <t>Fortuna</t>
  </si>
  <si>
    <t>Fortaleza dos Nogueiras</t>
  </si>
  <si>
    <t>Formosa da Serra Negra</t>
  </si>
  <si>
    <t>04099</t>
  </si>
  <si>
    <t>Fernando Falcão</t>
  </si>
  <si>
    <t>04081</t>
  </si>
  <si>
    <t>Feira Nova do Maranhão</t>
  </si>
  <si>
    <t>04073</t>
  </si>
  <si>
    <t>Estreito</t>
  </si>
  <si>
    <t>04057</t>
  </si>
  <si>
    <t>Esperantinópolis</t>
  </si>
  <si>
    <t>Duque Bacelar</t>
  </si>
  <si>
    <t>Dom Pedro</t>
  </si>
  <si>
    <t>03752</t>
  </si>
  <si>
    <t>Cururupu</t>
  </si>
  <si>
    <t>Coroatá</t>
  </si>
  <si>
    <t>Conceição do Lago-Açu</t>
  </si>
  <si>
    <t>03554</t>
  </si>
  <si>
    <t>Coelho Neto</t>
  </si>
  <si>
    <t>Codó</t>
  </si>
  <si>
    <t>Cidelândia</t>
  </si>
  <si>
    <t>03257</t>
  </si>
  <si>
    <t>Chapadinha</t>
  </si>
  <si>
    <t>Centro Novo do Maranhão</t>
  </si>
  <si>
    <t>03174</t>
  </si>
  <si>
    <t>Centro do Guilherme</t>
  </si>
  <si>
    <t>Central do Maranhão</t>
  </si>
  <si>
    <t>03125</t>
  </si>
  <si>
    <t>Caxias</t>
  </si>
  <si>
    <t>Carutapera</t>
  </si>
  <si>
    <t>Carolina</t>
  </si>
  <si>
    <t>Capinzal do Norte</t>
  </si>
  <si>
    <t>Cantanhede</t>
  </si>
  <si>
    <t>Cândido Mendes</t>
  </si>
  <si>
    <t>Campestre do Maranhão</t>
  </si>
  <si>
    <t>02556</t>
  </si>
  <si>
    <t>Cajari</t>
  </si>
  <si>
    <t>Cajapió</t>
  </si>
  <si>
    <t>Cachoeira Grande</t>
  </si>
  <si>
    <t>02374</t>
  </si>
  <si>
    <t>Buritirana</t>
  </si>
  <si>
    <t>02358</t>
  </si>
  <si>
    <t>Buriticupu</t>
  </si>
  <si>
    <t>02325</t>
  </si>
  <si>
    <t>Buriti Bravo</t>
  </si>
  <si>
    <t>Buriti</t>
  </si>
  <si>
    <t>Brejo de Areia</t>
  </si>
  <si>
    <t>02150</t>
  </si>
  <si>
    <t>Brejo</t>
  </si>
  <si>
    <t>Bom Lugar</t>
  </si>
  <si>
    <t>02077</t>
  </si>
  <si>
    <t>Bom Jesus das Selvas</t>
  </si>
  <si>
    <t>02036</t>
  </si>
  <si>
    <t>Boa Vista do Gurupi</t>
  </si>
  <si>
    <t>01970</t>
  </si>
  <si>
    <t>Bernardo do Mearim</t>
  </si>
  <si>
    <t>01939</t>
  </si>
  <si>
    <t>Bequimão</t>
  </si>
  <si>
    <t>Benedito Leite</t>
  </si>
  <si>
    <t>Bela Vista do Maranhão</t>
  </si>
  <si>
    <t>01772</t>
  </si>
  <si>
    <t>Belágua</t>
  </si>
  <si>
    <t>01731</t>
  </si>
  <si>
    <t>Barreirinhas</t>
  </si>
  <si>
    <t>Barra do Corda</t>
  </si>
  <si>
    <t>Barão de Grajaú</t>
  </si>
  <si>
    <t>Balsas</t>
  </si>
  <si>
    <t>Bacurituba</t>
  </si>
  <si>
    <t>01350</t>
  </si>
  <si>
    <t>Bacuri</t>
  </si>
  <si>
    <t>Bacabeira</t>
  </si>
  <si>
    <t>01251</t>
  </si>
  <si>
    <t>Bacabal</t>
  </si>
  <si>
    <t>Axixá</t>
  </si>
  <si>
    <t>Arari</t>
  </si>
  <si>
    <t>Arame</t>
  </si>
  <si>
    <t>00956</t>
  </si>
  <si>
    <t>Araioses</t>
  </si>
  <si>
    <t>Araguanã</t>
  </si>
  <si>
    <t>00873</t>
  </si>
  <si>
    <t>Apicum-Açu</t>
  </si>
  <si>
    <t>00832</t>
  </si>
  <si>
    <t>Anapurus</t>
  </si>
  <si>
    <t>Anajatuba</t>
  </si>
  <si>
    <t>Amarante do Maranhão</t>
  </si>
  <si>
    <t>Amapá do Maranhão</t>
  </si>
  <si>
    <t>Alto Parnaíba</t>
  </si>
  <si>
    <t>Alto Alegre do Pindaré</t>
  </si>
  <si>
    <t>00477</t>
  </si>
  <si>
    <t>Alto Alegre do Maranhão</t>
  </si>
  <si>
    <t>00436</t>
  </si>
  <si>
    <t>Altamira do Maranhão</t>
  </si>
  <si>
    <t>Aldeias Altas</t>
  </si>
  <si>
    <t>Alcântara</t>
  </si>
  <si>
    <t>Água Doce do Maranhão</t>
  </si>
  <si>
    <t>00154</t>
  </si>
  <si>
    <t>Afonso Cunha</t>
  </si>
  <si>
    <t>Açailândia</t>
  </si>
  <si>
    <t>00055</t>
  </si>
  <si>
    <t>Xambioá</t>
  </si>
  <si>
    <t>Wanderlândia</t>
  </si>
  <si>
    <t>22081</t>
  </si>
  <si>
    <t>Tupiratins</t>
  </si>
  <si>
    <t>Tupirama</t>
  </si>
  <si>
    <t>Tocantinópolis</t>
  </si>
  <si>
    <t>Tocantínia</t>
  </si>
  <si>
    <t>Talismã</t>
  </si>
  <si>
    <t>20978</t>
  </si>
  <si>
    <t>Taipas do Tocantins</t>
  </si>
  <si>
    <t>20937</t>
  </si>
  <si>
    <t>Taguatinga</t>
  </si>
  <si>
    <t>Sucupira</t>
  </si>
  <si>
    <t>Sítio Novo do Tocantins</t>
  </si>
  <si>
    <t>Silvanópolis</t>
  </si>
  <si>
    <t>São Valério</t>
  </si>
  <si>
    <t>20499</t>
  </si>
  <si>
    <t>São Sebastião do Tocantins</t>
  </si>
  <si>
    <t>São Salvador do Tocantins</t>
  </si>
  <si>
    <t>20259</t>
  </si>
  <si>
    <t>São Miguel do Tocantins</t>
  </si>
  <si>
    <t>São Félix do Tocantins</t>
  </si>
  <si>
    <t>São Bento do Tocantins</t>
  </si>
  <si>
    <t>Santa Terezinha do Tocantins</t>
  </si>
  <si>
    <t>Santa Tereza do Tocantins</t>
  </si>
  <si>
    <t>Santa Rosa do Tocantins</t>
  </si>
  <si>
    <t>Santa Rita do Tocantins</t>
  </si>
  <si>
    <t>18899</t>
  </si>
  <si>
    <t>Santa Maria do Tocantins</t>
  </si>
  <si>
    <t>18881</t>
  </si>
  <si>
    <t>Santa Fé do Araguaia</t>
  </si>
  <si>
    <t>18865</t>
  </si>
  <si>
    <t>Sandolândia</t>
  </si>
  <si>
    <t>18840</t>
  </si>
  <si>
    <t>Sampaio</t>
  </si>
  <si>
    <t>Rio Sono</t>
  </si>
  <si>
    <t>18758</t>
  </si>
  <si>
    <t>Rio dos Bois</t>
  </si>
  <si>
    <t>Rio da Conceição</t>
  </si>
  <si>
    <t>18659</t>
  </si>
  <si>
    <t>18550</t>
  </si>
  <si>
    <t>Recursolândia</t>
  </si>
  <si>
    <t>Pugmil</t>
  </si>
  <si>
    <t>Praia Norte</t>
  </si>
  <si>
    <t>Porto Nacional</t>
  </si>
  <si>
    <t>Porto Alegre do Tocantins</t>
  </si>
  <si>
    <t>Ponte Alta do Tocantins</t>
  </si>
  <si>
    <t>Ponte Alta do Bom Jesus</t>
  </si>
  <si>
    <t>Pium</t>
  </si>
  <si>
    <t>Piraquê</t>
  </si>
  <si>
    <t>Pindorama do Tocantins</t>
  </si>
  <si>
    <t>Colméia</t>
  </si>
  <si>
    <t>Pequizeiro</t>
  </si>
  <si>
    <t>16653</t>
  </si>
  <si>
    <t>Peixe</t>
  </si>
  <si>
    <t>Pedro Afonso</t>
  </si>
  <si>
    <t>Pau D'Arco</t>
  </si>
  <si>
    <t>Paranã</t>
  </si>
  <si>
    <t>Paraíso do Tocantins</t>
  </si>
  <si>
    <t>Palmeirópolis</t>
  </si>
  <si>
    <t>Palmeirante</t>
  </si>
  <si>
    <t>Oliveira de Fátima</t>
  </si>
  <si>
    <t>Novo Jardim</t>
  </si>
  <si>
    <t>15259</t>
  </si>
  <si>
    <t>Novo Alegre</t>
  </si>
  <si>
    <t>15150</t>
  </si>
  <si>
    <t>Novo Acordo</t>
  </si>
  <si>
    <t>Nova Rosalândia</t>
  </si>
  <si>
    <t>14880</t>
  </si>
  <si>
    <t>Muricilândia</t>
  </si>
  <si>
    <t>13957</t>
  </si>
  <si>
    <t>Palmeiras do Tocantins</t>
  </si>
  <si>
    <t>Monte Santo do Tocantins</t>
  </si>
  <si>
    <t>Monte do Carmo</t>
  </si>
  <si>
    <t>Miranorte</t>
  </si>
  <si>
    <t>Miracema do Tocantins</t>
  </si>
  <si>
    <t>Maurilândia do Tocantins</t>
  </si>
  <si>
    <t>Mateiros</t>
  </si>
  <si>
    <t>Marianópolis do Tocantins</t>
  </si>
  <si>
    <t>Luzinópolis</t>
  </si>
  <si>
    <t>12454</t>
  </si>
  <si>
    <t>Lizarda</t>
  </si>
  <si>
    <t>Lavandeira</t>
  </si>
  <si>
    <t>12157</t>
  </si>
  <si>
    <t>Lagoa do Tocantins</t>
  </si>
  <si>
    <t>11951</t>
  </si>
  <si>
    <t>Lagoa da Confusão</t>
  </si>
  <si>
    <t>Juarina</t>
  </si>
  <si>
    <t>Jaú do Tocantins</t>
  </si>
  <si>
    <t>Itaporã do Tocantins</t>
  </si>
  <si>
    <t>Itapiratins</t>
  </si>
  <si>
    <t>Itaguatins</t>
  </si>
  <si>
    <t>Itacajá</t>
  </si>
  <si>
    <t>Gurupi</t>
  </si>
  <si>
    <t>Guaraí</t>
  </si>
  <si>
    <t>Goiatins</t>
  </si>
  <si>
    <t>Goianorte</t>
  </si>
  <si>
    <t>Fortaleza do Tabocão</t>
  </si>
  <si>
    <t>08254</t>
  </si>
  <si>
    <t>Formoso do Araguaia</t>
  </si>
  <si>
    <t>Figueirópolis</t>
  </si>
  <si>
    <t>Dueré</t>
  </si>
  <si>
    <t>Dois Irmãos do Tocantins</t>
  </si>
  <si>
    <t>Divinópolis do Tocantins</t>
  </si>
  <si>
    <t>Dianópolis</t>
  </si>
  <si>
    <t>Darcinópolis</t>
  </si>
  <si>
    <t>Crixás do Tocantins</t>
  </si>
  <si>
    <t>06258</t>
  </si>
  <si>
    <t>Cristalândia</t>
  </si>
  <si>
    <t>Couto Magalhães</t>
  </si>
  <si>
    <t>Conceição do Tocantins</t>
  </si>
  <si>
    <t>Combinado</t>
  </si>
  <si>
    <t>Colinas do Tocantins</t>
  </si>
  <si>
    <t>Chapada da Natividade</t>
  </si>
  <si>
    <t>Chapada de Areia</t>
  </si>
  <si>
    <t>Caseara</t>
  </si>
  <si>
    <t>Carrasco Bonito</t>
  </si>
  <si>
    <t>03891</t>
  </si>
  <si>
    <t>Carmolândia</t>
  </si>
  <si>
    <t>03883</t>
  </si>
  <si>
    <t>Cariri do Tocantins</t>
  </si>
  <si>
    <t>03867</t>
  </si>
  <si>
    <t>Campos Lindos</t>
  </si>
  <si>
    <t>03842</t>
  </si>
  <si>
    <t>03826</t>
  </si>
  <si>
    <t>Buriti do Tocantins</t>
  </si>
  <si>
    <t>Brejinho de Nazaré</t>
  </si>
  <si>
    <t>Brasilândia do Tocantins</t>
  </si>
  <si>
    <t>Bom Jesus do Tocantins</t>
  </si>
  <si>
    <t>Bernardo Sayão</t>
  </si>
  <si>
    <t>Barrolândia</t>
  </si>
  <si>
    <t>Barra do Ouro</t>
  </si>
  <si>
    <t>03073</t>
  </si>
  <si>
    <t>Bandeirantes do Tocantins</t>
  </si>
  <si>
    <t>Babaçulândia</t>
  </si>
  <si>
    <t>Axixá do Tocantins</t>
  </si>
  <si>
    <t>Aurora do Tocantins</t>
  </si>
  <si>
    <t>Augustinópolis</t>
  </si>
  <si>
    <t>Arraias</t>
  </si>
  <si>
    <t>Arapoema</t>
  </si>
  <si>
    <t>Araguatins</t>
  </si>
  <si>
    <t>02158</t>
  </si>
  <si>
    <t>Araguaína</t>
  </si>
  <si>
    <t>Araguaçu</t>
  </si>
  <si>
    <t>Araguacema</t>
  </si>
  <si>
    <t>Aragominas</t>
  </si>
  <si>
    <t>Aparecida do Rio Negro</t>
  </si>
  <si>
    <t>Angico</t>
  </si>
  <si>
    <t>Ananás</t>
  </si>
  <si>
    <t>Almas</t>
  </si>
  <si>
    <t>Aliança do Tocantins</t>
  </si>
  <si>
    <t>00350</t>
  </si>
  <si>
    <t>Aguiarnópolis</t>
  </si>
  <si>
    <t>Abreulândia</t>
  </si>
  <si>
    <t>Vitória do Jari</t>
  </si>
  <si>
    <t>Tartarugalzinho</t>
  </si>
  <si>
    <t>Pracuúba</t>
  </si>
  <si>
    <t>Porto Grande</t>
  </si>
  <si>
    <t>00535</t>
  </si>
  <si>
    <t>Oiapoque</t>
  </si>
  <si>
    <t>Mazagão</t>
  </si>
  <si>
    <t>Macapá</t>
  </si>
  <si>
    <t>Laranjal do Jari</t>
  </si>
  <si>
    <t>00279</t>
  </si>
  <si>
    <t>Itaubal</t>
  </si>
  <si>
    <t>00253</t>
  </si>
  <si>
    <t>Ferreira Gomes</t>
  </si>
  <si>
    <t>00238</t>
  </si>
  <si>
    <t>Cutias</t>
  </si>
  <si>
    <t>00212</t>
  </si>
  <si>
    <t>Calçoene</t>
  </si>
  <si>
    <t>Pedra Branca do Amapari</t>
  </si>
  <si>
    <t>Amapá</t>
  </si>
  <si>
    <t>Serra do Navio</t>
  </si>
  <si>
    <t>Xinguara</t>
  </si>
  <si>
    <t>08407</t>
  </si>
  <si>
    <t>Vitória do Xingu</t>
  </si>
  <si>
    <t>08357</t>
  </si>
  <si>
    <t>Viseu</t>
  </si>
  <si>
    <t>08308</t>
  </si>
  <si>
    <t>Vigia</t>
  </si>
  <si>
    <t>08209</t>
  </si>
  <si>
    <t>Uruará</t>
  </si>
  <si>
    <t>08159</t>
  </si>
  <si>
    <t>Ulianópolis</t>
  </si>
  <si>
    <t>08126</t>
  </si>
  <si>
    <t>Tucuruí</t>
  </si>
  <si>
    <t>08100</t>
  </si>
  <si>
    <t>Tucumã</t>
  </si>
  <si>
    <t>08084</t>
  </si>
  <si>
    <t>Trairão</t>
  </si>
  <si>
    <t>08050</t>
  </si>
  <si>
    <t>Tracuateua</t>
  </si>
  <si>
    <t>08035</t>
  </si>
  <si>
    <t>Tomé-Açu</t>
  </si>
  <si>
    <t>08001</t>
  </si>
  <si>
    <t>Terra Santa</t>
  </si>
  <si>
    <t>07979</t>
  </si>
  <si>
    <t>Terra Alta</t>
  </si>
  <si>
    <t>07961</t>
  </si>
  <si>
    <t>Tailândia</t>
  </si>
  <si>
    <t>07953</t>
  </si>
  <si>
    <t>Soure</t>
  </si>
  <si>
    <t>07904</t>
  </si>
  <si>
    <t>Senador José Porfírio</t>
  </si>
  <si>
    <t>07805</t>
  </si>
  <si>
    <t>07755</t>
  </si>
  <si>
    <t>São Sebastião da Boa Vista</t>
  </si>
  <si>
    <t>07706</t>
  </si>
  <si>
    <t>São Miguel do Guamá</t>
  </si>
  <si>
    <t>07607</t>
  </si>
  <si>
    <t>São João do Araguaia</t>
  </si>
  <si>
    <t>07508</t>
  </si>
  <si>
    <t>São João de Pirabas</t>
  </si>
  <si>
    <t>07474</t>
  </si>
  <si>
    <t>São João da Ponta</t>
  </si>
  <si>
    <t>07466</t>
  </si>
  <si>
    <t>São Geraldo do Araguaia</t>
  </si>
  <si>
    <t>07458</t>
  </si>
  <si>
    <t>São Francisco do Pará</t>
  </si>
  <si>
    <t>07409</t>
  </si>
  <si>
    <t>São Félix do Xingu</t>
  </si>
  <si>
    <t>07300</t>
  </si>
  <si>
    <t>São Domingos do Capim</t>
  </si>
  <si>
    <t>07201</t>
  </si>
  <si>
    <t>São Domingos do Araguaia</t>
  </si>
  <si>
    <t>07151</t>
  </si>
  <si>
    <t>São Caetano de Odivelas</t>
  </si>
  <si>
    <t>07102</t>
  </si>
  <si>
    <t>Santo Antônio do Tauá</t>
  </si>
  <si>
    <t>07003</t>
  </si>
  <si>
    <t>Santarém Novo</t>
  </si>
  <si>
    <t>06906</t>
  </si>
  <si>
    <t>Santarém</t>
  </si>
  <si>
    <t>06807</t>
  </si>
  <si>
    <t>Santana do Araguaia</t>
  </si>
  <si>
    <t>06708</t>
  </si>
  <si>
    <t>Santa Maria do Pará</t>
  </si>
  <si>
    <t>06609</t>
  </si>
  <si>
    <t>Santa Maria das Barreiras</t>
  </si>
  <si>
    <t>06583</t>
  </si>
  <si>
    <t>Santa Luzia do Pará</t>
  </si>
  <si>
    <t>06559</t>
  </si>
  <si>
    <t>Santa Izabel do Pará</t>
  </si>
  <si>
    <t>06500</t>
  </si>
  <si>
    <t>Santa Cruz do Arari</t>
  </si>
  <si>
    <t>06401</t>
  </si>
  <si>
    <t>Santa Bárbara do Pará</t>
  </si>
  <si>
    <t>06351</t>
  </si>
  <si>
    <t>Salvaterra</t>
  </si>
  <si>
    <t>06302</t>
  </si>
  <si>
    <t>Salinópolis</t>
  </si>
  <si>
    <t>06203</t>
  </si>
  <si>
    <t>Rurópolis</t>
  </si>
  <si>
    <t>06195</t>
  </si>
  <si>
    <t>Rondon do Pará</t>
  </si>
  <si>
    <t>06187</t>
  </si>
  <si>
    <t>Rio Maria</t>
  </si>
  <si>
    <t>06161</t>
  </si>
  <si>
    <t>06138</t>
  </si>
  <si>
    <t>Quatipuru</t>
  </si>
  <si>
    <t>06112</t>
  </si>
  <si>
    <t>06104</t>
  </si>
  <si>
    <t>Prainha</t>
  </si>
  <si>
    <t>06005</t>
  </si>
  <si>
    <t>Porto de Moz</t>
  </si>
  <si>
    <t>05908</t>
  </si>
  <si>
    <t>Portel</t>
  </si>
  <si>
    <t>05809</t>
  </si>
  <si>
    <t>Ponta de Pedras</t>
  </si>
  <si>
    <t>05700</t>
  </si>
  <si>
    <t>Placas</t>
  </si>
  <si>
    <t>05650</t>
  </si>
  <si>
    <t>Piçarra</t>
  </si>
  <si>
    <t>05635</t>
  </si>
  <si>
    <t>Peixe-Boi</t>
  </si>
  <si>
    <t>05601</t>
  </si>
  <si>
    <t>05551</t>
  </si>
  <si>
    <t>Parauapebas</t>
  </si>
  <si>
    <t>05536</t>
  </si>
  <si>
    <t>Paragominas</t>
  </si>
  <si>
    <t>05502</t>
  </si>
  <si>
    <t>Palestina do Pará</t>
  </si>
  <si>
    <t>05494</t>
  </si>
  <si>
    <t>Pacajá</t>
  </si>
  <si>
    <t>05486</t>
  </si>
  <si>
    <t>Ourilândia do Norte</t>
  </si>
  <si>
    <t>05437</t>
  </si>
  <si>
    <t>Ourém</t>
  </si>
  <si>
    <t>05403</t>
  </si>
  <si>
    <t>Oriximiná</t>
  </si>
  <si>
    <t>05304</t>
  </si>
  <si>
    <t>Oeiras do Pará</t>
  </si>
  <si>
    <t>05205</t>
  </si>
  <si>
    <t>Óbidos</t>
  </si>
  <si>
    <t>05106</t>
  </si>
  <si>
    <t>Novo Repartimento</t>
  </si>
  <si>
    <t>05064</t>
  </si>
  <si>
    <t>Novo Progresso</t>
  </si>
  <si>
    <t>05031</t>
  </si>
  <si>
    <t>Nova Timboteua</t>
  </si>
  <si>
    <t>05007</t>
  </si>
  <si>
    <t>Nova Ipixuna</t>
  </si>
  <si>
    <t>04976</t>
  </si>
  <si>
    <t>Nova Esperança do Piriá</t>
  </si>
  <si>
    <t>04950</t>
  </si>
  <si>
    <t>Muaná</t>
  </si>
  <si>
    <t>04901</t>
  </si>
  <si>
    <t>04802</t>
  </si>
  <si>
    <t>Mojuí dos Campos</t>
  </si>
  <si>
    <t>04752</t>
  </si>
  <si>
    <t>Moju</t>
  </si>
  <si>
    <t>04703</t>
  </si>
  <si>
    <t>Mocajuba</t>
  </si>
  <si>
    <t>04604</t>
  </si>
  <si>
    <t>Melgaço</t>
  </si>
  <si>
    <t>04505</t>
  </si>
  <si>
    <t>Medicilândia</t>
  </si>
  <si>
    <t>04455</t>
  </si>
  <si>
    <t>Marituba</t>
  </si>
  <si>
    <t>04422</t>
  </si>
  <si>
    <t>Marapanim</t>
  </si>
  <si>
    <t>04406</t>
  </si>
  <si>
    <t>Maracanã</t>
  </si>
  <si>
    <t>04307</t>
  </si>
  <si>
    <t>Marabá</t>
  </si>
  <si>
    <t>04208</t>
  </si>
  <si>
    <t>Magalhães Barata</t>
  </si>
  <si>
    <t>04109</t>
  </si>
  <si>
    <t>Mãe do Rio</t>
  </si>
  <si>
    <t>04059</t>
  </si>
  <si>
    <t>Limoeiro do Ajuru</t>
  </si>
  <si>
    <t>04000</t>
  </si>
  <si>
    <t>Juruti</t>
  </si>
  <si>
    <t>03903</t>
  </si>
  <si>
    <t>Jacundá</t>
  </si>
  <si>
    <t>03804</t>
  </si>
  <si>
    <r>
      <t>8239</t>
    </r>
    <r>
      <rPr>
        <b/>
        <vertAlign val="superscript"/>
        <sz val="11"/>
        <rFont val="Arial"/>
        <family val="2"/>
      </rPr>
      <t xml:space="preserve"> (5)</t>
    </r>
  </si>
  <si>
    <t>Jacareacanga</t>
  </si>
  <si>
    <t>03754</t>
  </si>
  <si>
    <t>Itupiranga</t>
  </si>
  <si>
    <t>03705</t>
  </si>
  <si>
    <t>Itaituba</t>
  </si>
  <si>
    <t>03606</t>
  </si>
  <si>
    <t>Irituia</t>
  </si>
  <si>
    <t>03507</t>
  </si>
  <si>
    <t>Ipixuna do Pará</t>
  </si>
  <si>
    <t>03457</t>
  </si>
  <si>
    <t>Inhangapi</t>
  </si>
  <si>
    <t>03408</t>
  </si>
  <si>
    <t>Igarapé-Miri</t>
  </si>
  <si>
    <t>03309</t>
  </si>
  <si>
    <t>Igarapé-Açu</t>
  </si>
  <si>
    <t>03200</t>
  </si>
  <si>
    <t>Gurupá</t>
  </si>
  <si>
    <t>03101</t>
  </si>
  <si>
    <t>Goianésia do Pará</t>
  </si>
  <si>
    <t>03093</t>
  </si>
  <si>
    <t>Garrafão do Norte</t>
  </si>
  <si>
    <t>03077</t>
  </si>
  <si>
    <t>Floresta do Araguaia</t>
  </si>
  <si>
    <t>03044</t>
  </si>
  <si>
    <t>Faro</t>
  </si>
  <si>
    <t>03002</t>
  </si>
  <si>
    <t>Eldorado do Carajás</t>
  </si>
  <si>
    <t>02954</t>
  </si>
  <si>
    <t>Dom Eliseu</t>
  </si>
  <si>
    <t>02939</t>
  </si>
  <si>
    <t>Curuçá</t>
  </si>
  <si>
    <t>02905</t>
  </si>
  <si>
    <t>Curuá</t>
  </si>
  <si>
    <t>02855</t>
  </si>
  <si>
    <t>Curralinho</t>
  </si>
  <si>
    <t>02806</t>
  </si>
  <si>
    <t>Curionópolis</t>
  </si>
  <si>
    <t>02772</t>
  </si>
  <si>
    <t>Cumaru do Norte</t>
  </si>
  <si>
    <t>02764</t>
  </si>
  <si>
    <t>Concórdia do Pará</t>
  </si>
  <si>
    <t>02756</t>
  </si>
  <si>
    <t>Conceição do Araguaia</t>
  </si>
  <si>
    <t>02707</t>
  </si>
  <si>
    <t>Colares</t>
  </si>
  <si>
    <t>02608</t>
  </si>
  <si>
    <t>Chaves</t>
  </si>
  <si>
    <t>02509</t>
  </si>
  <si>
    <t>Castanhal</t>
  </si>
  <si>
    <t>02400</t>
  </si>
  <si>
    <t>Capitão Poço</t>
  </si>
  <si>
    <t>02301</t>
  </si>
  <si>
    <t>02202</t>
  </si>
  <si>
    <t>Canaã dos Carajás</t>
  </si>
  <si>
    <t>02152</t>
  </si>
  <si>
    <t>Cametá</t>
  </si>
  <si>
    <t>02103</t>
  </si>
  <si>
    <t>Cachoeira do Arari</t>
  </si>
  <si>
    <t>02004</t>
  </si>
  <si>
    <t>Cachoeira do Piriá</t>
  </si>
  <si>
    <t>01956</t>
  </si>
  <si>
    <t>Bujaru</t>
  </si>
  <si>
    <t>01907</t>
  </si>
  <si>
    <t>Breves</t>
  </si>
  <si>
    <t>01808</t>
  </si>
  <si>
    <t>Breu Branco</t>
  </si>
  <si>
    <t>01782</t>
  </si>
  <si>
    <t>Brejo Grande do Araguaia</t>
  </si>
  <si>
    <t>01758</t>
  </si>
  <si>
    <t>Brasil Novo</t>
  </si>
  <si>
    <t>01725</t>
  </si>
  <si>
    <t>Bragança</t>
  </si>
  <si>
    <t>01709</t>
  </si>
  <si>
    <t>01600</t>
  </si>
  <si>
    <t>01576</t>
  </si>
  <si>
    <t>Benevides</t>
  </si>
  <si>
    <t>01501</t>
  </si>
  <si>
    <t>Belterra</t>
  </si>
  <si>
    <t>01451</t>
  </si>
  <si>
    <t>01402</t>
  </si>
  <si>
    <t>Barcarena</t>
  </si>
  <si>
    <t>01303</t>
  </si>
  <si>
    <t>Bannach</t>
  </si>
  <si>
    <t>01253</t>
  </si>
  <si>
    <t>Baião</t>
  </si>
  <si>
    <t>01204</t>
  </si>
  <si>
    <t>Bagre</t>
  </si>
  <si>
    <t>01105</t>
  </si>
  <si>
    <t>Aveiro</t>
  </si>
  <si>
    <t>01006</t>
  </si>
  <si>
    <t>Aurora do Pará</t>
  </si>
  <si>
    <t>00958</t>
  </si>
  <si>
    <t>Augusto Corrêa</t>
  </si>
  <si>
    <t>00909</t>
  </si>
  <si>
    <t>Anapu</t>
  </si>
  <si>
    <t>00859</t>
  </si>
  <si>
    <t>Ananindeua</t>
  </si>
  <si>
    <t>00800</t>
  </si>
  <si>
    <t>Anajás</t>
  </si>
  <si>
    <t>00701</t>
  </si>
  <si>
    <t>Altamira</t>
  </si>
  <si>
    <t>00602</t>
  </si>
  <si>
    <t>Almeirim</t>
  </si>
  <si>
    <t>00503</t>
  </si>
  <si>
    <t>Alenquer</t>
  </si>
  <si>
    <t>00404</t>
  </si>
  <si>
    <t>Água Azul do Norte</t>
  </si>
  <si>
    <t>00347</t>
  </si>
  <si>
    <t>Afuá</t>
  </si>
  <si>
    <t>00305</t>
  </si>
  <si>
    <t>Acará</t>
  </si>
  <si>
    <t>00206</t>
  </si>
  <si>
    <t>Abel Figueiredo</t>
  </si>
  <si>
    <t>00131</t>
  </si>
  <si>
    <t>Abaetetuba</t>
  </si>
  <si>
    <t>00107</t>
  </si>
  <si>
    <t>Uiramutã</t>
  </si>
  <si>
    <t>São Luiz</t>
  </si>
  <si>
    <t>São João da Baliza</t>
  </si>
  <si>
    <t>Rorainópolis</t>
  </si>
  <si>
    <t>00472</t>
  </si>
  <si>
    <t>Pacaraima</t>
  </si>
  <si>
    <t>Normandia</t>
  </si>
  <si>
    <t>Mucajaí</t>
  </si>
  <si>
    <t>00282</t>
  </si>
  <si>
    <t>Caroebe</t>
  </si>
  <si>
    <t>Caracaraí</t>
  </si>
  <si>
    <t>Cantá</t>
  </si>
  <si>
    <t>Amajari</t>
  </si>
  <si>
    <t>00027</t>
  </si>
  <si>
    <t>Urucurituba</t>
  </si>
  <si>
    <r>
      <t>16256</t>
    </r>
    <r>
      <rPr>
        <b/>
        <vertAlign val="superscript"/>
        <sz val="11"/>
        <rFont val="Arial"/>
        <family val="2"/>
      </rPr>
      <t xml:space="preserve"> (4)</t>
    </r>
  </si>
  <si>
    <t>Urucará</t>
  </si>
  <si>
    <t>Uarini</t>
  </si>
  <si>
    <t>04260</t>
  </si>
  <si>
    <t>Tonantins</t>
  </si>
  <si>
    <t>04237</t>
  </si>
  <si>
    <t>Tefé</t>
  </si>
  <si>
    <t>Tapauá</t>
  </si>
  <si>
    <t>04062</t>
  </si>
  <si>
    <t>Silves</t>
  </si>
  <si>
    <t>São Sebastião do Uatumã</t>
  </si>
  <si>
    <t>São Paulo de Olivença</t>
  </si>
  <si>
    <t>São Gabriel da Cachoeira</t>
  </si>
  <si>
    <t>Santo Antônio do Içá</t>
  </si>
  <si>
    <r>
      <t>25156</t>
    </r>
    <r>
      <rPr>
        <b/>
        <vertAlign val="superscript"/>
        <sz val="11"/>
        <rFont val="Arial"/>
        <family val="2"/>
      </rPr>
      <t xml:space="preserve"> (3)</t>
    </r>
  </si>
  <si>
    <t>Santa Isabel do Rio Negro</t>
  </si>
  <si>
    <t>Rio Preto da Eva</t>
  </si>
  <si>
    <t>03569</t>
  </si>
  <si>
    <t>Presidente Figueiredo</t>
  </si>
  <si>
    <t>03536</t>
  </si>
  <si>
    <t>Pauini</t>
  </si>
  <si>
    <t>Parintins</t>
  </si>
  <si>
    <t>Novo Aripuanã</t>
  </si>
  <si>
    <t>Novo Airão</t>
  </si>
  <si>
    <t>Nova Olinda do Norte</t>
  </si>
  <si>
    <t>Nhamundá</t>
  </si>
  <si>
    <t>Maués</t>
  </si>
  <si>
    <t>Maraã</t>
  </si>
  <si>
    <t>Manicoré</t>
  </si>
  <si>
    <t>Manaus</t>
  </si>
  <si>
    <r>
      <t>32105</t>
    </r>
    <r>
      <rPr>
        <b/>
        <vertAlign val="superscript"/>
        <sz val="11"/>
        <rFont val="Arial"/>
        <family val="2"/>
      </rPr>
      <t xml:space="preserve"> (2)</t>
    </r>
  </si>
  <si>
    <t>Manaquiri</t>
  </si>
  <si>
    <t>Manacapuru</t>
  </si>
  <si>
    <t>Lábrea</t>
  </si>
  <si>
    <t>Jutaí</t>
  </si>
  <si>
    <t>Juruá</t>
  </si>
  <si>
    <t>Itamarati</t>
  </si>
  <si>
    <t>01951</t>
  </si>
  <si>
    <t>Itacoatiara</t>
  </si>
  <si>
    <t>Iranduba</t>
  </si>
  <si>
    <t>Ipixuna</t>
  </si>
  <si>
    <t>Guajará</t>
  </si>
  <si>
    <t>01654</t>
  </si>
  <si>
    <t>Fonte Boa</t>
  </si>
  <si>
    <t>Envira</t>
  </si>
  <si>
    <t>Eirunepé</t>
  </si>
  <si>
    <t>Codajás</t>
  </si>
  <si>
    <t>Coari</t>
  </si>
  <si>
    <t>Careiro da Várzea</t>
  </si>
  <si>
    <t>Careiro</t>
  </si>
  <si>
    <t>Carauari</t>
  </si>
  <si>
    <t>Canutama</t>
  </si>
  <si>
    <t>Caapiranga</t>
  </si>
  <si>
    <t>00839</t>
  </si>
  <si>
    <t>Borba</t>
  </si>
  <si>
    <t>Boca do Acre</t>
  </si>
  <si>
    <t>Boa Vista do Ramos</t>
  </si>
  <si>
    <t>00680</t>
  </si>
  <si>
    <t>Beruri</t>
  </si>
  <si>
    <t>00631</t>
  </si>
  <si>
    <t>Benjamin Constant</t>
  </si>
  <si>
    <t>Barreirinha</t>
  </si>
  <si>
    <t>Barcelos</t>
  </si>
  <si>
    <t>Autazes</t>
  </si>
  <si>
    <t>Atalaia do Norte</t>
  </si>
  <si>
    <t>Apuí</t>
  </si>
  <si>
    <t>00144</t>
  </si>
  <si>
    <t>Anori</t>
  </si>
  <si>
    <t>Anamã</t>
  </si>
  <si>
    <t>00086</t>
  </si>
  <si>
    <t>Amaturá</t>
  </si>
  <si>
    <t>00060</t>
  </si>
  <si>
    <t>Alvarães</t>
  </si>
  <si>
    <t>00029</t>
  </si>
  <si>
    <t>Porto Acre</t>
  </si>
  <si>
    <t>Xapuri</t>
  </si>
  <si>
    <t>Tarauacá</t>
  </si>
  <si>
    <t>Sena Madureira</t>
  </si>
  <si>
    <t>Senador Guiomard</t>
  </si>
  <si>
    <t>00450</t>
  </si>
  <si>
    <t>Santa Rosa do Purus</t>
  </si>
  <si>
    <t>00435</t>
  </si>
  <si>
    <t>Rodrigues Alves</t>
  </si>
  <si>
    <t>00427</t>
  </si>
  <si>
    <t>Porto Walter</t>
  </si>
  <si>
    <t>00393</t>
  </si>
  <si>
    <t>Plácido de Castro</t>
  </si>
  <si>
    <t>00385</t>
  </si>
  <si>
    <t>Marechal Thaumaturgo</t>
  </si>
  <si>
    <t>00351</t>
  </si>
  <si>
    <t>Manoel Urbano</t>
  </si>
  <si>
    <t>00344</t>
  </si>
  <si>
    <t>Mâncio Lima</t>
  </si>
  <si>
    <t>00336</t>
  </si>
  <si>
    <t>Jordão</t>
  </si>
  <si>
    <t>00328</t>
  </si>
  <si>
    <t>Feijó</t>
  </si>
  <si>
    <t>Epitaciolândia</t>
  </si>
  <si>
    <t>Capixaba</t>
  </si>
  <si>
    <t>00179</t>
  </si>
  <si>
    <t>Bujari</t>
  </si>
  <si>
    <t>00138</t>
  </si>
  <si>
    <t>Brasiléia</t>
  </si>
  <si>
    <t>Assis Brasil</t>
  </si>
  <si>
    <t>Acrelândia</t>
  </si>
  <si>
    <t>00013</t>
  </si>
  <si>
    <t>Vale do Paraíso</t>
  </si>
  <si>
    <t>Vale do Anari</t>
  </si>
  <si>
    <t>01757</t>
  </si>
  <si>
    <t>Urupá</t>
  </si>
  <si>
    <t>Theobroma</t>
  </si>
  <si>
    <t>Teixeirópolis</t>
  </si>
  <si>
    <t>01559</t>
  </si>
  <si>
    <t>Seringueiras</t>
  </si>
  <si>
    <t>São Francisco do Guaporé</t>
  </si>
  <si>
    <t>01492</t>
  </si>
  <si>
    <t>São Felipe D'Oeste</t>
  </si>
  <si>
    <t>01484</t>
  </si>
  <si>
    <t>Primavera de Rondônia</t>
  </si>
  <si>
    <t>01476</t>
  </si>
  <si>
    <t>Pimenteiras do Oeste</t>
  </si>
  <si>
    <t>01468</t>
  </si>
  <si>
    <t>Parecis</t>
  </si>
  <si>
    <t>01450</t>
  </si>
  <si>
    <t>01435</t>
  </si>
  <si>
    <t>Monte Negro</t>
  </si>
  <si>
    <t>Mirante da Serra</t>
  </si>
  <si>
    <t>Ministro Andreazza</t>
  </si>
  <si>
    <t>Itapuã do Oeste</t>
  </si>
  <si>
    <t>Governador Jorge Teixeira</t>
  </si>
  <si>
    <t>Cujubim</t>
  </si>
  <si>
    <t>00940</t>
  </si>
  <si>
    <t>Chupinguaia</t>
  </si>
  <si>
    <t>00924</t>
  </si>
  <si>
    <t>Castanheiras</t>
  </si>
  <si>
    <t>Candeias do Jamari</t>
  </si>
  <si>
    <t>Campo Novo de Rondônia</t>
  </si>
  <si>
    <t>Cacaulândia</t>
  </si>
  <si>
    <t>Novo Horizonte do Oeste</t>
  </si>
  <si>
    <t>00452</t>
  </si>
  <si>
    <t>Alto Alegre dos Parecis</t>
  </si>
  <si>
    <t>00379</t>
  </si>
  <si>
    <t>Alvorada D'Oeste</t>
  </si>
  <si>
    <t>00346</t>
  </si>
  <si>
    <t>Nova Mamoré</t>
  </si>
  <si>
    <t>00338</t>
  </si>
  <si>
    <t>São Miguel do Guaporé</t>
  </si>
  <si>
    <t>00320</t>
  </si>
  <si>
    <t>Vilhena</t>
  </si>
  <si>
    <t>Santa Luzia D'Oeste</t>
  </si>
  <si>
    <t>00296</t>
  </si>
  <si>
    <t>Rolim de Moura</t>
  </si>
  <si>
    <t>00288</t>
  </si>
  <si>
    <t>Rio Crespo</t>
  </si>
  <si>
    <t>00262</t>
  </si>
  <si>
    <t>00254</t>
  </si>
  <si>
    <r>
      <t xml:space="preserve">529544 </t>
    </r>
    <r>
      <rPr>
        <b/>
        <vertAlign val="superscript"/>
        <sz val="9"/>
        <rFont val="Arial"/>
        <family val="2"/>
      </rPr>
      <t>(1)</t>
    </r>
  </si>
  <si>
    <t>Porto Velho</t>
  </si>
  <si>
    <t>Pimenta Bueno</t>
  </si>
  <si>
    <t>00189</t>
  </si>
  <si>
    <t>Ouro Preto do Oeste</t>
  </si>
  <si>
    <t>00155</t>
  </si>
  <si>
    <t>Nova Brasilândia D'Oeste</t>
  </si>
  <si>
    <t>00148</t>
  </si>
  <si>
    <t>Machadinho D'Oeste</t>
  </si>
  <si>
    <t>00130</t>
  </si>
  <si>
    <t>Ji-Paraná</t>
  </si>
  <si>
    <t>00122</t>
  </si>
  <si>
    <t>Jaru</t>
  </si>
  <si>
    <t>00114</t>
  </si>
  <si>
    <t>Guajará-Mirim</t>
  </si>
  <si>
    <t>Espigão D'Oeste</t>
  </si>
  <si>
    <t>00098</t>
  </si>
  <si>
    <t>Costa Marques</t>
  </si>
  <si>
    <t>00080</t>
  </si>
  <si>
    <t>Corumbiara</t>
  </si>
  <si>
    <t>00072</t>
  </si>
  <si>
    <t>Colorado do Oeste</t>
  </si>
  <si>
    <t>00064</t>
  </si>
  <si>
    <t>Cerejeiras</t>
  </si>
  <si>
    <t>00056</t>
  </si>
  <si>
    <t>Cacoal</t>
  </si>
  <si>
    <t>00049</t>
  </si>
  <si>
    <t>Cabixi</t>
  </si>
  <si>
    <t>00031</t>
  </si>
  <si>
    <t>Ariquemes</t>
  </si>
  <si>
    <t>00023</t>
  </si>
  <si>
    <t>Alta Floresta D'Oeste</t>
  </si>
  <si>
    <t>00015</t>
  </si>
  <si>
    <t>POPULAÇÃO ESTIMADA</t>
  </si>
  <si>
    <t>NOME DO MUNICÍPIO</t>
  </si>
  <si>
    <t>COD. MUNIC</t>
  </si>
  <si>
    <t>COD. UF</t>
  </si>
  <si>
    <t>ESTIMATIVAS DA POPULAÇÃO RESIDENTE NOS MUNICÍPIOS BRASILEIROS COM DATA DE REFERÊNCIA EM 1º DE JULHO DE 2019</t>
  </si>
  <si>
    <t>Preenchimento Exclusivo do Jurídico</t>
  </si>
  <si>
    <t>Nome Devedor Fiduciante 1</t>
  </si>
  <si>
    <t>CPF Devedor Fiduciante 1</t>
  </si>
  <si>
    <t>Data de Nascimento Devedor Fiduciante 1</t>
  </si>
  <si>
    <t>RG Devedor Fiduciante 1</t>
  </si>
  <si>
    <t>Orgão Emissor Devedor Fiduciante 1</t>
  </si>
  <si>
    <t>Nacionalidade Devedor Fiduciante 1</t>
  </si>
  <si>
    <t>Profissão Devedor Fiduciante 1</t>
  </si>
  <si>
    <t>Estado Civil Devedor Fiduciante 1</t>
  </si>
  <si>
    <t>Regime de Casamento Devedor Fiduciante 1</t>
  </si>
  <si>
    <t>Endereço Devedor Fiduciante 1</t>
  </si>
  <si>
    <t>Complemento Devedor Fiduciante 1</t>
  </si>
  <si>
    <t>Bairro Devedor Fiduciante 1</t>
  </si>
  <si>
    <t>Cidade Devedor Fiduciante 1</t>
  </si>
  <si>
    <t>UF Devedor Fiduciante 1</t>
  </si>
  <si>
    <t>CEP Devedor Fiduciante 1</t>
  </si>
  <si>
    <t>Telefone Devedor Fiduciante 1</t>
  </si>
  <si>
    <t>E-mail Devedor Fiduciante 1</t>
  </si>
  <si>
    <t>Espaço Começo 1</t>
  </si>
  <si>
    <t>Espaço Começo/Meio 1</t>
  </si>
  <si>
    <t>Espaço Meio/ Fim 1</t>
  </si>
  <si>
    <t>Espaço Fim 1</t>
  </si>
  <si>
    <t>Razão Social Devedor Fiduciante 1</t>
  </si>
  <si>
    <t>CNPJ Devedor Fiduciante 1</t>
  </si>
  <si>
    <t>Data de Constituição Devedor Fiduciante 1</t>
  </si>
  <si>
    <t>Registro JUCESP Devedor Fiduciante 1</t>
  </si>
  <si>
    <t>Nome Representante Devedor Fiduciante 1</t>
  </si>
  <si>
    <t>Nome Devedor Fiduciante 2</t>
  </si>
  <si>
    <t>CPF Devedor Fiduciante 2</t>
  </si>
  <si>
    <t>Data de Nascimento Devedor Fiduciante 2</t>
  </si>
  <si>
    <t>RG Devedor Fiduciante 2</t>
  </si>
  <si>
    <t>Orgão Emissor Devedor Fiduciante 2</t>
  </si>
  <si>
    <t>Nacionalidade Devedor Fiduciante 2</t>
  </si>
  <si>
    <t>Profissão Devedor Fiduciante 2</t>
  </si>
  <si>
    <t>Estado Civil Devedor Fiduciante 2</t>
  </si>
  <si>
    <t>Regime de Casamento Devedor Fiduciante 2</t>
  </si>
  <si>
    <t>Endereço Devedor Fiduciante 2</t>
  </si>
  <si>
    <t>Complemento Devedor Fiduciante 2</t>
  </si>
  <si>
    <t>Bairro Devedor Fiduciante 2</t>
  </si>
  <si>
    <t>Cidade Devedor Fiduciante 2</t>
  </si>
  <si>
    <t>UF Devedor Fiduciante 2</t>
  </si>
  <si>
    <t>CEP Devedor Fiduciante 2</t>
  </si>
  <si>
    <t>Telefone Devedor Fiduciante 2</t>
  </si>
  <si>
    <t>E-mail Devedor Fiduciante 2</t>
  </si>
  <si>
    <t>Espaço Começo 2</t>
  </si>
  <si>
    <t>Espaço Começo/Meio 2</t>
  </si>
  <si>
    <t>Espaço Meio/ Fim 2</t>
  </si>
  <si>
    <t>Espaço Fim 2</t>
  </si>
  <si>
    <t>Razão Social Devedor Fiduciante 2</t>
  </si>
  <si>
    <t>CNPJ Devedor Fiduciante 2</t>
  </si>
  <si>
    <t>Data de Constituição Devedor Fiduciante 2</t>
  </si>
  <si>
    <t>Registro JUCESP Devedor Fiduciante 2</t>
  </si>
  <si>
    <t>Nome Representante Devedor Fiduciante 2</t>
  </si>
  <si>
    <t>Nome Devedor Fiduciante 3</t>
  </si>
  <si>
    <t>CPF Devedor Fiduciante 3</t>
  </si>
  <si>
    <t>Data de Nascimento Devedor Fiduciante 3</t>
  </si>
  <si>
    <t>RG Devedor Fiduciante 3</t>
  </si>
  <si>
    <t>Orgão Emissor Devedor Fiduciante 3</t>
  </si>
  <si>
    <t>Nacionalidade Devedor Fiduciante 3</t>
  </si>
  <si>
    <t>Profissão Devedor Fiduciante 3</t>
  </si>
  <si>
    <t>Estado Civil Devedor Fiduciante 3</t>
  </si>
  <si>
    <t>Regime de Casamento Devedor Fiduciante 3</t>
  </si>
  <si>
    <t>Endereço Devedor Fiduciante 3</t>
  </si>
  <si>
    <t>Complemento Devedor Fiduciante 3</t>
  </si>
  <si>
    <t>Bairro Devedor Fiduciante 3</t>
  </si>
  <si>
    <t>Cidade Devedor Fiduciante 3</t>
  </si>
  <si>
    <t>UF Devedor Fiduciante 3</t>
  </si>
  <si>
    <t>CEP Devedor Fiduciante 3</t>
  </si>
  <si>
    <t>Telefone Devedor Fiduciante 3</t>
  </si>
  <si>
    <t>E-mail Devedor Fiduciante 3</t>
  </si>
  <si>
    <t>Espaço Começo 3</t>
  </si>
  <si>
    <t>Espaço Começo/Meio 3</t>
  </si>
  <si>
    <t>Espaço Meio/ Fim 3</t>
  </si>
  <si>
    <t>Espaço Fim 3</t>
  </si>
  <si>
    <t>Razão Social Devedor Fiduciante 3</t>
  </si>
  <si>
    <t>CNPJ Devedor Fiduciante 3</t>
  </si>
  <si>
    <t>Data de Constituição Devedor Fiduciante 3</t>
  </si>
  <si>
    <t>Registro JUCESP Devedor Fiduciante 3</t>
  </si>
  <si>
    <t>Nome Representante Devedor Fiduciante 3</t>
  </si>
  <si>
    <t>Nome Devedor Fiduciante 4</t>
  </si>
  <si>
    <t>CPF Devedor Fiduciante 4</t>
  </si>
  <si>
    <t>Data de Nascimento Devedor Fiduciante 4</t>
  </si>
  <si>
    <t>RG Devedor Fiduciante 4</t>
  </si>
  <si>
    <t>Orgão Emissor Devedor Fiduciante 4</t>
  </si>
  <si>
    <t>Nacionalidade Devedor Fiduciante 4</t>
  </si>
  <si>
    <t>Profissão Devedor Fiduciante 4</t>
  </si>
  <si>
    <t>Estado Civil Devedor Fiduciante 4</t>
  </si>
  <si>
    <t>Regime de Casamento Devedor Fiduciante 4</t>
  </si>
  <si>
    <t>Endereço Devedor Fiduciante 4</t>
  </si>
  <si>
    <t>Complemento Devedor Fiduciante 4</t>
  </si>
  <si>
    <t>Bairro Devedor Fiduciante 4</t>
  </si>
  <si>
    <t>Cidade Devedor Fiduciante 4</t>
  </si>
  <si>
    <t>UF Devedor Fiduciante 4</t>
  </si>
  <si>
    <t>CEP Devedor Fiduciante 4</t>
  </si>
  <si>
    <t>Telefone Devedor Fiduciante 4</t>
  </si>
  <si>
    <t>E-mail Devedor Fiduciante 4</t>
  </si>
  <si>
    <t>Espaço Começo 4</t>
  </si>
  <si>
    <t>Espaço Começo/Meio 4</t>
  </si>
  <si>
    <t>Espaço Meio/ Fim 4</t>
  </si>
  <si>
    <t>Espaço Fim 4</t>
  </si>
  <si>
    <t>Razão Social Devedor Fiduciante 4</t>
  </si>
  <si>
    <t>CNPJ Devedor Fiduciante 4</t>
  </si>
  <si>
    <t>Data de Constituição Devedor Fiduciante 4</t>
  </si>
  <si>
    <t>Registro JUCESP Devedor Fiduciante 4</t>
  </si>
  <si>
    <t>Nome Representante Devedor Fiduciante 4</t>
  </si>
  <si>
    <t>Numero do Registro da Matricula</t>
  </si>
  <si>
    <t>Numero da Matrícula</t>
  </si>
  <si>
    <t>Numero do Livro</t>
  </si>
  <si>
    <t>Numero do Cartório</t>
  </si>
  <si>
    <t>Cidade/Estado do Cartório</t>
  </si>
  <si>
    <t>Numero de Inscrição Cadastral</t>
  </si>
  <si>
    <t>Preenchimento</t>
  </si>
  <si>
    <t>input</t>
  </si>
  <si>
    <t>NomePro1</t>
  </si>
  <si>
    <t>CpfPro1</t>
  </si>
  <si>
    <t>dataNascimento1</t>
  </si>
  <si>
    <t>rg1</t>
  </si>
  <si>
    <t>emissor1</t>
  </si>
  <si>
    <t>nacionalidade1</t>
  </si>
  <si>
    <t>profissao1</t>
  </si>
  <si>
    <t>estadoCivil1</t>
  </si>
  <si>
    <t>regimeCasamento1</t>
  </si>
  <si>
    <t>endereco1</t>
  </si>
  <si>
    <t>complemento1</t>
  </si>
  <si>
    <t>bairro1</t>
  </si>
  <si>
    <t>cidadeDC1</t>
  </si>
  <si>
    <t>uf1</t>
  </si>
  <si>
    <t>cep1</t>
  </si>
  <si>
    <t>telefone1</t>
  </si>
  <si>
    <t>email1</t>
  </si>
  <si>
    <t>cimapf1</t>
  </si>
  <si>
    <t>meiopf1</t>
  </si>
  <si>
    <t>meiucapf1</t>
  </si>
  <si>
    <t>fimpf1</t>
  </si>
  <si>
    <t>razaosocial1</t>
  </si>
  <si>
    <t>enderecocomercial1</t>
  </si>
  <si>
    <t>ComplementoPJ1</t>
  </si>
  <si>
    <t>bairropj1</t>
  </si>
  <si>
    <t>Cidadepj1</t>
  </si>
  <si>
    <t>Ufpj1</t>
  </si>
  <si>
    <t>Ceppj1</t>
  </si>
  <si>
    <t>Cnpj1</t>
  </si>
  <si>
    <t>Dataconst1</t>
  </si>
  <si>
    <t>Registrojucesp1</t>
  </si>
  <si>
    <t>Nomerepresentante1</t>
  </si>
  <si>
    <t>Cpfrepresentante1</t>
  </si>
  <si>
    <t>cimapj1</t>
  </si>
  <si>
    <t>meiopj1</t>
  </si>
  <si>
    <t>meiucapj1</t>
  </si>
  <si>
    <t>fimpj1</t>
  </si>
  <si>
    <t>NomePro2</t>
  </si>
  <si>
    <t>CpfPro2</t>
  </si>
  <si>
    <t>dataNascimento2</t>
  </si>
  <si>
    <t>rg2</t>
  </si>
  <si>
    <t>emissor2</t>
  </si>
  <si>
    <t>nacionalidade2</t>
  </si>
  <si>
    <t>profissao2</t>
  </si>
  <si>
    <t>estadoCivil2</t>
  </si>
  <si>
    <t>regimeCasamento2</t>
  </si>
  <si>
    <t>endereco2</t>
  </si>
  <si>
    <t>complemento2</t>
  </si>
  <si>
    <t>bairro2</t>
  </si>
  <si>
    <t>cidadeDC2</t>
  </si>
  <si>
    <t>uf2</t>
  </si>
  <si>
    <t>cep2</t>
  </si>
  <si>
    <t>telefone2</t>
  </si>
  <si>
    <t>email2</t>
  </si>
  <si>
    <t>cimapf2</t>
  </si>
  <si>
    <t>meiopf2</t>
  </si>
  <si>
    <t>meiucapf2</t>
  </si>
  <si>
    <t>fimpf2</t>
  </si>
  <si>
    <t>razaosocial2</t>
  </si>
  <si>
    <t>enderecocomercial2</t>
  </si>
  <si>
    <t>ComplementoPJ2</t>
  </si>
  <si>
    <t>bairropj2</t>
  </si>
  <si>
    <t>Cidadepj2</t>
  </si>
  <si>
    <t>Ufpj2</t>
  </si>
  <si>
    <t>Ceppj2</t>
  </si>
  <si>
    <t>Cnpj2</t>
  </si>
  <si>
    <t>Dataconst2</t>
  </si>
  <si>
    <t>Registrojucesp2</t>
  </si>
  <si>
    <t>Nomerepresentante2</t>
  </si>
  <si>
    <t>Cpfrepresentante2</t>
  </si>
  <si>
    <t>cimapj2</t>
  </si>
  <si>
    <t>meiopj2</t>
  </si>
  <si>
    <t>meiucapj2</t>
  </si>
  <si>
    <t>fimpj2</t>
  </si>
  <si>
    <t>NomePro3</t>
  </si>
  <si>
    <t>CpfPro3</t>
  </si>
  <si>
    <t>dataNascimento3</t>
  </si>
  <si>
    <t>rg3</t>
  </si>
  <si>
    <t>emissor3</t>
  </si>
  <si>
    <t>nacionalidade3</t>
  </si>
  <si>
    <t>profissao3</t>
  </si>
  <si>
    <t>estadoCivil3</t>
  </si>
  <si>
    <t>regimeCasamento3</t>
  </si>
  <si>
    <t>endereco3</t>
  </si>
  <si>
    <t>complemento3</t>
  </si>
  <si>
    <t>bairro3</t>
  </si>
  <si>
    <t>cidadeDC3</t>
  </si>
  <si>
    <t>uf3</t>
  </si>
  <si>
    <t>cep3</t>
  </si>
  <si>
    <t>telefone3</t>
  </si>
  <si>
    <t>email3</t>
  </si>
  <si>
    <t>cimapf3</t>
  </si>
  <si>
    <t>meiopf3</t>
  </si>
  <si>
    <t>meiucapf3</t>
  </si>
  <si>
    <t>fimpf3</t>
  </si>
  <si>
    <t>razaosocial3</t>
  </si>
  <si>
    <t>enderecocomercial3</t>
  </si>
  <si>
    <t>ComplementoPJ3</t>
  </si>
  <si>
    <t>bairropj3</t>
  </si>
  <si>
    <t>Cidadepj3</t>
  </si>
  <si>
    <t>Ufpj3</t>
  </si>
  <si>
    <t>Ceppj3</t>
  </si>
  <si>
    <t>Cnpj3</t>
  </si>
  <si>
    <t>Dataconst3</t>
  </si>
  <si>
    <t>Registrojucesp3</t>
  </si>
  <si>
    <t>Nomerepresentante3</t>
  </si>
  <si>
    <t>Cpfrepresentante3</t>
  </si>
  <si>
    <t>cimapj3</t>
  </si>
  <si>
    <t>meiopj3</t>
  </si>
  <si>
    <t>meiucapj3</t>
  </si>
  <si>
    <t>fimpj3</t>
  </si>
  <si>
    <t>NomePro4</t>
  </si>
  <si>
    <t>CpfPro4</t>
  </si>
  <si>
    <t>dataNascimento4</t>
  </si>
  <si>
    <t>rg4</t>
  </si>
  <si>
    <t>emissor4</t>
  </si>
  <si>
    <t>nacionalidade4</t>
  </si>
  <si>
    <t>profissao4</t>
  </si>
  <si>
    <t>estadoCivil4</t>
  </si>
  <si>
    <t>regimeCasamento4</t>
  </si>
  <si>
    <t>endereco4</t>
  </si>
  <si>
    <t>complemento4</t>
  </si>
  <si>
    <t>bairro4</t>
  </si>
  <si>
    <t>cidadeDC4</t>
  </si>
  <si>
    <t>uf4</t>
  </si>
  <si>
    <t>cep4</t>
  </si>
  <si>
    <t>telefone4</t>
  </si>
  <si>
    <t>email4</t>
  </si>
  <si>
    <t>cimapf4</t>
  </si>
  <si>
    <t>meiopf4</t>
  </si>
  <si>
    <t>meiucapf4</t>
  </si>
  <si>
    <t>fimpf4</t>
  </si>
  <si>
    <t>razaosocial4</t>
  </si>
  <si>
    <t>enderecocomercial4</t>
  </si>
  <si>
    <t>ComplementoPJ4</t>
  </si>
  <si>
    <t>bairropj4</t>
  </si>
  <si>
    <t>Cidadepj4</t>
  </si>
  <si>
    <t>Ufpj4</t>
  </si>
  <si>
    <t>Ceppj4</t>
  </si>
  <si>
    <t>Cnpj4</t>
  </si>
  <si>
    <t>Dataconst4</t>
  </si>
  <si>
    <t>Registrojucesp4</t>
  </si>
  <si>
    <t>Nomerepresentante4</t>
  </si>
  <si>
    <t>Cpfrepresentante4</t>
  </si>
  <si>
    <t>cimapj4</t>
  </si>
  <si>
    <t>meiopj4</t>
  </si>
  <si>
    <t>meiucapj4</t>
  </si>
  <si>
    <t>fimpj4</t>
  </si>
  <si>
    <t>nRegistro</t>
  </si>
  <si>
    <t>nMatricula</t>
  </si>
  <si>
    <t>nLivro</t>
  </si>
  <si>
    <t>nCartorio</t>
  </si>
  <si>
    <t>CidadeCartorio</t>
  </si>
  <si>
    <t>logradouro</t>
  </si>
  <si>
    <t>bairro</t>
  </si>
  <si>
    <t>cidade</t>
  </si>
  <si>
    <t>estado</t>
  </si>
  <si>
    <t>areaTerreno</t>
  </si>
  <si>
    <t>areaPrivativa</t>
  </si>
  <si>
    <t>vagas</t>
  </si>
  <si>
    <t>valorTotal</t>
  </si>
  <si>
    <t>valorCondominio</t>
  </si>
  <si>
    <t>quartos</t>
  </si>
  <si>
    <t>banheiros</t>
  </si>
  <si>
    <t>andares</t>
  </si>
  <si>
    <t>JSON</t>
  </si>
  <si>
    <t>AUXILIAR</t>
  </si>
  <si>
    <t>Nome Campo</t>
  </si>
  <si>
    <t>Preenchimento Jurídico</t>
  </si>
  <si>
    <t>Nome Devedor Solidário 5</t>
  </si>
  <si>
    <t>NomePro5</t>
  </si>
  <si>
    <t>CPF Devedor Solidário 5</t>
  </si>
  <si>
    <t>CpfPro5</t>
  </si>
  <si>
    <t>Data de Nascimento Devedor Solidário 5</t>
  </si>
  <si>
    <t>dataNascimento5</t>
  </si>
  <si>
    <t>RG Devedor Solidário 5</t>
  </si>
  <si>
    <t>rg5</t>
  </si>
  <si>
    <t>Orgão Emissor Devedor Solidário 5</t>
  </si>
  <si>
    <t>emissor5</t>
  </si>
  <si>
    <t>Nacionalidade Devedor Solidário 5</t>
  </si>
  <si>
    <t>nacionalidade5</t>
  </si>
  <si>
    <t>Profissão Devedor Solidário 5</t>
  </si>
  <si>
    <t>profissao5</t>
  </si>
  <si>
    <t>Estado Civil Devedor Solidário 5</t>
  </si>
  <si>
    <t>estadoCivil5</t>
  </si>
  <si>
    <t>Regime de Casamento Devedor Solidário 5</t>
  </si>
  <si>
    <t>regimeCasamento5</t>
  </si>
  <si>
    <t>Endereço Devedor Solidário 5</t>
  </si>
  <si>
    <t>endereco5</t>
  </si>
  <si>
    <t>Complemento Devedor Solidário 5</t>
  </si>
  <si>
    <t>complemento5</t>
  </si>
  <si>
    <t>Bairro Devedor Solidário 5</t>
  </si>
  <si>
    <t>bairro5</t>
  </si>
  <si>
    <t>Cidade Devedor Solidário 5</t>
  </si>
  <si>
    <t>cidadeDC5</t>
  </si>
  <si>
    <t>UF Devedor Solidário 5</t>
  </si>
  <si>
    <t>uf5</t>
  </si>
  <si>
    <t>CEP Devedor Solidário 5</t>
  </si>
  <si>
    <t>cep5</t>
  </si>
  <si>
    <t>Telefone Devedor Solidário 5</t>
  </si>
  <si>
    <t>telefone5</t>
  </si>
  <si>
    <t>E-mail Devedor Solidário 5</t>
  </si>
  <si>
    <t>email5</t>
  </si>
  <si>
    <t>Espaço Começo 5</t>
  </si>
  <si>
    <t>cimapf5</t>
  </si>
  <si>
    <t>Espaço Começo/Meio 5</t>
  </si>
  <si>
    <t>meiopf5</t>
  </si>
  <si>
    <t>Espaço Meio/ Fim 5</t>
  </si>
  <si>
    <t>meiucapf5</t>
  </si>
  <si>
    <t>Espaço Fim 5</t>
  </si>
  <si>
    <t>fimpf5</t>
  </si>
  <si>
    <t>Razão Social Devedor Solidário 5</t>
  </si>
  <si>
    <t>razaosocial5</t>
  </si>
  <si>
    <t>enderecocomercial5</t>
  </si>
  <si>
    <t>ComplementoPJ5</t>
  </si>
  <si>
    <t>bairropj5</t>
  </si>
  <si>
    <t>Cidadepj5</t>
  </si>
  <si>
    <t>Ufpj5</t>
  </si>
  <si>
    <t>Ceppj5</t>
  </si>
  <si>
    <t>CNPJ Devedor Solidário 5</t>
  </si>
  <si>
    <t>Cnpj5</t>
  </si>
  <si>
    <t>Data de Constituição Devedor Solidário 5</t>
  </si>
  <si>
    <t>Dataconst5</t>
  </si>
  <si>
    <t>Registro JUCESP Devedor Solidário 5</t>
  </si>
  <si>
    <t>Registrojucesp5</t>
  </si>
  <si>
    <t>Nome Representante Devedor Solidário 5</t>
  </si>
  <si>
    <t>Nomerepresentante5</t>
  </si>
  <si>
    <t>Cpfrepresentante5</t>
  </si>
  <si>
    <t>cimapj5</t>
  </si>
  <si>
    <t>meiopj5</t>
  </si>
  <si>
    <t>meiucapj5</t>
  </si>
  <si>
    <t>fimpj5</t>
  </si>
  <si>
    <t>Nome Devedor Solidário 6</t>
  </si>
  <si>
    <t>NomePro6</t>
  </si>
  <si>
    <t>CPF Devedor Solidário 6</t>
  </si>
  <si>
    <t>CpfPro6</t>
  </si>
  <si>
    <t>Data de Nascimento Devedor Solidário 6</t>
  </si>
  <si>
    <t>dataNascimento6</t>
  </si>
  <si>
    <t>RG Devedor Solidário 6</t>
  </si>
  <si>
    <t>rg6</t>
  </si>
  <si>
    <t>Orgão Emissor Devedor Solidário 6</t>
  </si>
  <si>
    <t>emissor6</t>
  </si>
  <si>
    <t>Nacionalidade Devedor Solidário 6</t>
  </si>
  <si>
    <t>nacionalidade6</t>
  </si>
  <si>
    <t>Profissão Devedor Solidário 6</t>
  </si>
  <si>
    <t>profissao6</t>
  </si>
  <si>
    <t>Estado Civil Devedor Solidário 6</t>
  </si>
  <si>
    <t>estadoCivil6</t>
  </si>
  <si>
    <t>Regime de Casamento Devedor Solidário 6</t>
  </si>
  <si>
    <t>regimeCasamento6</t>
  </si>
  <si>
    <t>Endereço Devedor Solidário 6</t>
  </si>
  <si>
    <t>endereco6</t>
  </si>
  <si>
    <t>Complemento Devedor Solidário 6</t>
  </si>
  <si>
    <t>complemento6</t>
  </si>
  <si>
    <t>Bairro Devedor Solidário 6</t>
  </si>
  <si>
    <t>bairro6</t>
  </si>
  <si>
    <t>Cidade Devedor Solidário 6</t>
  </si>
  <si>
    <t>cidadeDC6</t>
  </si>
  <si>
    <t>UF Devedor Solidário 6</t>
  </si>
  <si>
    <t>uf6</t>
  </si>
  <si>
    <t>CEP Devedor Solidário 6</t>
  </si>
  <si>
    <t>cep6</t>
  </si>
  <si>
    <t>Telefone Devedor Solidário 6</t>
  </si>
  <si>
    <t>telefone6</t>
  </si>
  <si>
    <t>E-mail Devedor Solidário 6</t>
  </si>
  <si>
    <t>email6</t>
  </si>
  <si>
    <t>Espaço Começo 6</t>
  </si>
  <si>
    <t>cimapf6</t>
  </si>
  <si>
    <t>Espaço Começo/Meio 6</t>
  </si>
  <si>
    <t>meiopf6</t>
  </si>
  <si>
    <t>Espaço Meio/ Fim 6</t>
  </si>
  <si>
    <t>meiucapf6</t>
  </si>
  <si>
    <t>Espaço Fim 6</t>
  </si>
  <si>
    <t>fimpf6</t>
  </si>
  <si>
    <t>Razão Social Devedor Solidário 6</t>
  </si>
  <si>
    <t>razaosocial6</t>
  </si>
  <si>
    <t>enderecocomercial6</t>
  </si>
  <si>
    <t>ComplementoPJ6</t>
  </si>
  <si>
    <t>bairropj6</t>
  </si>
  <si>
    <t>Cidadepj6</t>
  </si>
  <si>
    <t>Ufpj6</t>
  </si>
  <si>
    <t>Ceppj6</t>
  </si>
  <si>
    <t>CNPJ Devedor Solidário 6</t>
  </si>
  <si>
    <t>Cnpj6</t>
  </si>
  <si>
    <t>Data de Constituição Devedor Solidário 6</t>
  </si>
  <si>
    <t>Dataconst6</t>
  </si>
  <si>
    <t>Registro JUCESP Devedor Solidário 6</t>
  </si>
  <si>
    <t>Registrojucesp6</t>
  </si>
  <si>
    <t>Nome Representante Devedor Solidário 6</t>
  </si>
  <si>
    <t>Nomerepresentante6</t>
  </si>
  <si>
    <t>Cpfrepresentante6</t>
  </si>
  <si>
    <t>cimapj6</t>
  </si>
  <si>
    <t>meiopj6</t>
  </si>
  <si>
    <t>meiucapj6</t>
  </si>
  <si>
    <t>fimpj6</t>
  </si>
  <si>
    <t>Nome Devedor Solidário 7</t>
  </si>
  <si>
    <t>NomePro7</t>
  </si>
  <si>
    <t>CPF Devedor Solidário 7</t>
  </si>
  <si>
    <t>CpfPro7</t>
  </si>
  <si>
    <t>Data de Nascimento Devedor Solidário 7</t>
  </si>
  <si>
    <t>dataNascimento7</t>
  </si>
  <si>
    <t>RG Devedor Solidário 7</t>
  </si>
  <si>
    <t>rg7</t>
  </si>
  <si>
    <t>Orgão Emissor Devedor Solidário 7</t>
  </si>
  <si>
    <t>emissor7</t>
  </si>
  <si>
    <t>Nacionalidade Devedor Solidário 7</t>
  </si>
  <si>
    <t>nacionalidade7</t>
  </si>
  <si>
    <t>Profissão Devedor Solidário 7</t>
  </si>
  <si>
    <t>profissao7</t>
  </si>
  <si>
    <t>Estado Civil Devedor Solidário 7</t>
  </si>
  <si>
    <t>estadoCivil7</t>
  </si>
  <si>
    <t>Regime de Casamento Devedor Solidário 7</t>
  </si>
  <si>
    <t>regimeCasamento7</t>
  </si>
  <si>
    <t>Endereço Devedor Solidário 7</t>
  </si>
  <si>
    <t>endereco7</t>
  </si>
  <si>
    <t>Complemento Devedor Solidário 7</t>
  </si>
  <si>
    <t>complemento7</t>
  </si>
  <si>
    <t>Bairro Devedor Solidário 7</t>
  </si>
  <si>
    <t>bairro7</t>
  </si>
  <si>
    <t>Cidade Devedor Solidário 7</t>
  </si>
  <si>
    <t>cidadeDC7</t>
  </si>
  <si>
    <t>UF Devedor Solidário 7</t>
  </si>
  <si>
    <t>uf7</t>
  </si>
  <si>
    <t>CEP Devedor Solidário 7</t>
  </si>
  <si>
    <t>cep7</t>
  </si>
  <si>
    <t>Telefone Devedor Solidário 7</t>
  </si>
  <si>
    <t>telefone7</t>
  </si>
  <si>
    <t>E-mail Devedor Solidário 7</t>
  </si>
  <si>
    <t>email7</t>
  </si>
  <si>
    <t>Espaço Começo 7</t>
  </si>
  <si>
    <t>cimapf7</t>
  </si>
  <si>
    <t>Espaço Começo/Meio 7</t>
  </si>
  <si>
    <t>meiopf7</t>
  </si>
  <si>
    <t>Espaço Meio/ Fim 7</t>
  </si>
  <si>
    <t>meiucapf7</t>
  </si>
  <si>
    <t>Espaço Fim 7</t>
  </si>
  <si>
    <t>fimpf7</t>
  </si>
  <si>
    <t>Razão Social Devedor Solidário 7</t>
  </si>
  <si>
    <t>razaosocial7</t>
  </si>
  <si>
    <t>enderecocomercial7</t>
  </si>
  <si>
    <t>ComplementoPJ7</t>
  </si>
  <si>
    <t>bairropj7</t>
  </si>
  <si>
    <t>Cidadepj7</t>
  </si>
  <si>
    <t>Ufpj7</t>
  </si>
  <si>
    <t>Ceppj7</t>
  </si>
  <si>
    <t>CNPJ Devedor Solidário 7</t>
  </si>
  <si>
    <t>Cnpj7</t>
  </si>
  <si>
    <t>Data de Constituição Devedor Solidário 7</t>
  </si>
  <si>
    <t>Dataconst7</t>
  </si>
  <si>
    <t>Registro JUCESP Devedor Solidário 7</t>
  </si>
  <si>
    <t>Registrojucesp7</t>
  </si>
  <si>
    <t>Nome Representante Devedor Solidário 7</t>
  </si>
  <si>
    <t>Nomerepresentante7</t>
  </si>
  <si>
    <t>Cpfrepresentante7</t>
  </si>
  <si>
    <t>cimapj7</t>
  </si>
  <si>
    <t>meiopj7</t>
  </si>
  <si>
    <t>meiucapj7</t>
  </si>
  <si>
    <t>fimpj7</t>
  </si>
  <si>
    <t>Nome Devedor Solidário 8</t>
  </si>
  <si>
    <t>NomePro8</t>
  </si>
  <si>
    <t>CPF Devedor Solidário 8</t>
  </si>
  <si>
    <t>CpfPro8</t>
  </si>
  <si>
    <t>Data de Nascimento Devedor Solidário 8</t>
  </si>
  <si>
    <t>dataNascimento8</t>
  </si>
  <si>
    <t>RG Devedor Solidário 8</t>
  </si>
  <si>
    <t>rg8</t>
  </si>
  <si>
    <t>Orgão Emissor Devedor Solidário 8</t>
  </si>
  <si>
    <t>emissor8</t>
  </si>
  <si>
    <t>Nacionalidade Devedor Solidário 8</t>
  </si>
  <si>
    <t>nacionalidade8</t>
  </si>
  <si>
    <t>Profissão Devedor Solidário 8</t>
  </si>
  <si>
    <t>profissao8</t>
  </si>
  <si>
    <t>Estado Civil Devedor Solidário 8</t>
  </si>
  <si>
    <t>estadoCivil8</t>
  </si>
  <si>
    <t>Regime de Casamento Devedor Solidário 8</t>
  </si>
  <si>
    <t>regimeCasamento8</t>
  </si>
  <si>
    <t>Endereço Devedor Solidário 8</t>
  </si>
  <si>
    <t>endereco8</t>
  </si>
  <si>
    <t>Complemento Devedor Solidário 8</t>
  </si>
  <si>
    <t>complemento8</t>
  </si>
  <si>
    <t>Bairro Devedor Solidário 8</t>
  </si>
  <si>
    <t>bairro8</t>
  </si>
  <si>
    <t>Cidade Devedor Solidário 8</t>
  </si>
  <si>
    <t>cidadeDC8</t>
  </si>
  <si>
    <t>UF Devedor Solidário 8</t>
  </si>
  <si>
    <t>uf8</t>
  </si>
  <si>
    <t>CEP Devedor Solidário 8</t>
  </si>
  <si>
    <t>cep8</t>
  </si>
  <si>
    <t>Telefone Devedor Solidário 8</t>
  </si>
  <si>
    <t>telefone8</t>
  </si>
  <si>
    <t>E-mail Devedor Solidário 8</t>
  </si>
  <si>
    <t>email8</t>
  </si>
  <si>
    <t>Espaço Começo 8</t>
  </si>
  <si>
    <t>cimapf8</t>
  </si>
  <si>
    <t>Espaço Começo/Meio 8</t>
  </si>
  <si>
    <t>meiopf8</t>
  </si>
  <si>
    <t>Espaço Meio/ Fim 8</t>
  </si>
  <si>
    <t>meiucapf8</t>
  </si>
  <si>
    <t>Espaço Fim 8</t>
  </si>
  <si>
    <t>fimpf8</t>
  </si>
  <si>
    <t>Razão Social Devedor Solidário 8</t>
  </si>
  <si>
    <t>razaosocial8</t>
  </si>
  <si>
    <t>enderecocomercial8</t>
  </si>
  <si>
    <t>ComplementoPJ8</t>
  </si>
  <si>
    <t>bairropj8</t>
  </si>
  <si>
    <t>Cidadepj8</t>
  </si>
  <si>
    <t>Ufpj8</t>
  </si>
  <si>
    <t>Ceppj8</t>
  </si>
  <si>
    <t>CNPJ Devedor Solidário 8</t>
  </si>
  <si>
    <t>Cnpj8</t>
  </si>
  <si>
    <t>Data de Constituição Devedor Solidário 8</t>
  </si>
  <si>
    <t>Dataconst8</t>
  </si>
  <si>
    <t>Registro JUCESP Devedor Solidário 8</t>
  </si>
  <si>
    <t>Registrojucesp8</t>
  </si>
  <si>
    <t>Nome Representante Devedor Solidário 8</t>
  </si>
  <si>
    <t>Nomerepresentante8</t>
  </si>
  <si>
    <t>Cpfrepresentante8</t>
  </si>
  <si>
    <t>cimapj8</t>
  </si>
  <si>
    <t>meiopj8</t>
  </si>
  <si>
    <t>meiucapj8</t>
  </si>
  <si>
    <t>fimpj8</t>
  </si>
  <si>
    <t>Campo Devedor Solidário</t>
  </si>
  <si>
    <t>devsol</t>
  </si>
  <si>
    <t>Valor Analista :</t>
  </si>
  <si>
    <t>IPESP</t>
  </si>
  <si>
    <t>acima de</t>
  </si>
  <si>
    <t>R VOLUNTARIOS DA PATRIA, 654</t>
  </si>
  <si>
    <t>AGOSTINHO FRANCISCO DE SOUZA</t>
  </si>
  <si>
    <t>011.615.038-62</t>
  </si>
  <si>
    <t>MARIETE DIEGUES DE SOUZA</t>
  </si>
  <si>
    <t>040.429.738-25</t>
  </si>
  <si>
    <t>ELETRO VOLUNTARIOS LTDA</t>
  </si>
  <si>
    <t>59.375.170/0001-01</t>
  </si>
  <si>
    <t>Cartão de crédito - fatura pacr</t>
  </si>
  <si>
    <t>Não possui endividamento</t>
  </si>
  <si>
    <t>TRANSFERENCIA PIX                                            1324137</t>
  </si>
  <si>
    <t>TRANSFERENCIA PIX</t>
  </si>
  <si>
    <t>TED-TRANSF ELET DISPON</t>
  </si>
  <si>
    <t>TRANSF.AUTORIZ.ENTRE C/C</t>
  </si>
  <si>
    <t>RECEBIMENTO FORNECEDOR</t>
  </si>
  <si>
    <t>DEPÓSITO</t>
  </si>
  <si>
    <t>https://www.vivareal.com.br/imovel/sala-comercial-santana-zona-norte-sao-paulo-com-garagem-39m2-venda-RS390000-id-2535878917/</t>
  </si>
  <si>
    <t>S</t>
  </si>
  <si>
    <t>https://www.vivareal.com.br/imovel/sala-comercial-santana-zona-norte-sao-paulo-com-garagem-38m2-venda-RS390000-id-2555089405/</t>
  </si>
  <si>
    <t>Rua Voluntários da Pátria, 2468</t>
  </si>
  <si>
    <t>https://www.vivareal.com.br/imovel/sala-comercial-santana-zona-norte-sao-paulo-com-garagem-45m2-venda-RS590000-id-2561545040/</t>
  </si>
  <si>
    <t>Mesmo prédio</t>
  </si>
  <si>
    <t>https://www.vivareal.com.br/imovel/sala-comercial-santana-zona-norte-sao-paulo-com-garagem-50m2-venda-RS650000-id-2547988206/</t>
  </si>
  <si>
    <t>https://app.pipefy.com/open-cards/528701355</t>
  </si>
  <si>
    <t xml:space="preserve">Cliente é advogado, atua como profissional liberal e atende PF, principalmente nas áreas tributárias e da família. Sua renda pôde ser comprovada através dos extratos PF, nos quais recebe valores que não são fixos, porém com entradas relevantes em todos os meses. O motivo do crédito é quitar dívidas pessoais. </t>
  </si>
  <si>
    <t>IPTU 2022</t>
  </si>
  <si>
    <t>Orgânico</t>
  </si>
  <si>
    <t xml:space="preserve">Imóvel é uma sala comercial (47m²) localizada na Rua Voluntários da Pátria, no bairro de Santana, SP. Está em uma boa região, próxima ao compo de marte, e consideramos que está em bom estado de conservação porém com padrão médio. Após execução do laudo chegamos o valor de avaliação de 376.000,00. </t>
  </si>
  <si>
    <t>Analista: Yasmin Fujii</t>
  </si>
  <si>
    <t>Aprovador: Henrique Scripellitti</t>
  </si>
  <si>
    <t xml:space="preserve">Resumo:  Valor aprovado de 169.200,00, valor adequado ao valor de avaliação de imóvel. Taxa de 0,92% e LTV bruto em 49,26%. Comprometimento de renda em  8,52% e limite disponível de 577k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</si>
</sst>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5" formatCode="&quot;R$&quot;\ #,##0;\-&quot;R$&quot;\ #,##0"/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  <numFmt numFmtId="165" formatCode="0.000%"/>
    <numFmt numFmtId="166" formatCode="0.0000%"/>
    <numFmt numFmtId="167" formatCode="_-&quot;R$&quot;\ * #,##0.0000_-;\-&quot;R$&quot;\ * #,##0.0000_-;_-&quot;R$&quot;\ * &quot;-&quot;????_-;_-@_-"/>
    <numFmt numFmtId="168" formatCode="0.00000000%"/>
    <numFmt numFmtId="169" formatCode="0.00000%"/>
    <numFmt numFmtId="170" formatCode="0.000000%"/>
    <numFmt numFmtId="171" formatCode="_-&quot;R$&quot;\ * #,##0.000_-;\-&quot;R$&quot;\ * #,##0.000_-;_-&quot;R$&quot;\ * &quot;-&quot;??_-;_-@_-"/>
    <numFmt numFmtId="172" formatCode="&quot;R$&quot;\ #,##0.00"/>
    <numFmt numFmtId="173" formatCode="#,##0;\(#,##0\);&quot;-&quot;;@"/>
    <numFmt numFmtId="174" formatCode="_(* #,##0.00_);_(* \(#,##0.00\);_(* &quot;-&quot;??_);_(@_)"/>
    <numFmt numFmtId="175" formatCode="_-&quot;R$&quot;\ * #,##0_-;\-&quot;R$&quot;\ * #,##0_-;_-&quot;R$&quot;\ * &quot;-&quot;??_-;_-@_-"/>
    <numFmt numFmtId="176" formatCode="_-&quot;R$&quot;\ * #,##0.0_-;\-&quot;R$&quot;\ * #,##0.0_-;_-&quot;R$&quot;\ * &quot;-&quot;??_-;_-@_-"/>
    <numFmt numFmtId="177" formatCode="&quot;R$ &quot;#,##0.00_);\(&quot;R$ &quot;#,##0.00\)"/>
    <numFmt numFmtId="178" formatCode="&quot;R$ &quot;#,##0.00_);[Red]\(&quot;R$ &quot;#,##0.00\)"/>
    <numFmt numFmtId="179" formatCode="&quot;R$ &quot;#,##0.00"/>
    <numFmt numFmtId="180" formatCode="0.0%"/>
    <numFmt numFmtId="181" formatCode="_(&quot;R$ &quot;* #,##0.00_);_(&quot;R$ &quot;* \(#,##0.00\);_(&quot;R$ &quot;* &quot;-&quot;??_);_(@_)"/>
    <numFmt numFmtId="182" formatCode="&quot;R$ &quot;#,##0"/>
    <numFmt numFmtId="183" formatCode="0.0"/>
    <numFmt numFmtId="184" formatCode="#,##0.00_);\(#,##0.00\)"/>
    <numFmt numFmtId="185" formatCode="#,##0.0_);\(#,##0.0\)"/>
    <numFmt numFmtId="186" formatCode="[$-416]mmm\-yy;@"/>
    <numFmt numFmtId="187" formatCode="&quot;R$ &quot;#,##0.00;[Red]&quot;R$ &quot;#,##0.00"/>
    <numFmt numFmtId="188" formatCode="_(&quot;R$&quot;* #,##0.00_);_(&quot;R$&quot;* \(#,##0.00\);_(&quot;R$&quot;* &quot;-&quot;??_);_(@_)"/>
    <numFmt numFmtId="189" formatCode="_(* #,##0_);_(* \(#,##0\);_(* &quot;-&quot;??_);_(@_)"/>
    <numFmt numFmtId="190" formatCode="#,##0.00_ ;\-#,##0.00\ "/>
    <numFmt numFmtId="191" formatCode="#,##0.0;\-#,##0.0"/>
    <numFmt numFmtId="192" formatCode="0.0\ &quot;m²&quot;"/>
    <numFmt numFmtId="193" formatCode="#,##0\ &quot;hab&quot;"/>
    <numFmt numFmtId="194" formatCode="0\ &quot;ou mais&quot;"/>
    <numFmt numFmtId="195" formatCode="General\ &quot;anos&quot;"/>
    <numFmt numFmtId="196" formatCode="0.0000000"/>
    <numFmt numFmtId="197" formatCode="_(* #,##0.0_);_(* \(#,##0.0\);_(* &quot;-&quot;?_);@_)"/>
    <numFmt numFmtId="198" formatCode="_(* #,##0_);_(* \(#,##0\);_(* &quot;-&quot;?_);@_)"/>
    <numFmt numFmtId="199" formatCode="##\ &quot;m²&quot;"/>
    <numFmt numFmtId="200" formatCode="_-* #,##0_-;\-* #,##0_-;_-* &quot;-&quot;??_-;_-@_-"/>
    <numFmt numFmtId="201" formatCode="#,##0.0"/>
  </numFmts>
  <fonts count="1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name val="Helvetica"/>
      <family val="2"/>
    </font>
    <font>
      <b/>
      <sz val="11"/>
      <color rgb="FF5C3B6B"/>
      <name val="Helvetica"/>
      <family val="2"/>
    </font>
    <font>
      <sz val="11"/>
      <color rgb="FF5C3B6B"/>
      <name val="Helvetica"/>
      <family val="2"/>
    </font>
    <font>
      <b/>
      <sz val="22"/>
      <color theme="1" tint="0.14999847407452621"/>
      <name val="Helvetica"/>
      <family val="2"/>
    </font>
    <font>
      <sz val="11"/>
      <color theme="1" tint="0.14999847407452621"/>
      <name val="Helvetica"/>
      <family val="2"/>
    </font>
    <font>
      <sz val="16"/>
      <color theme="1" tint="0.14999847407452621"/>
      <name val="Helvetica"/>
      <family val="2"/>
    </font>
    <font>
      <sz val="16"/>
      <color rgb="FF050230"/>
      <name val="Helvetica"/>
      <family val="2"/>
    </font>
    <font>
      <b/>
      <sz val="12"/>
      <color theme="1" tint="0.14999847407452621"/>
      <name val="Helvetica"/>
      <family val="2"/>
    </font>
    <font>
      <b/>
      <sz val="10"/>
      <color rgb="FFFF0000"/>
      <name val="Helvetica"/>
    </font>
    <font>
      <b/>
      <sz val="8"/>
      <color rgb="FFFF0000"/>
      <name val="Helvetica"/>
    </font>
    <font>
      <b/>
      <sz val="11"/>
      <color theme="0"/>
      <name val="Helvetica"/>
      <family val="2"/>
    </font>
    <font>
      <sz val="11"/>
      <color theme="0"/>
      <name val="Helvetica"/>
      <family val="2"/>
    </font>
    <font>
      <b/>
      <sz val="11"/>
      <color theme="1" tint="0.14999847407452621"/>
      <name val="Helvetica"/>
      <family val="2"/>
    </font>
    <font>
      <sz val="9"/>
      <color theme="1"/>
      <name val="Helvetica"/>
      <family val="2"/>
    </font>
    <font>
      <b/>
      <sz val="16"/>
      <color theme="0"/>
      <name val="Helvetica"/>
      <family val="2"/>
    </font>
    <font>
      <b/>
      <sz val="12"/>
      <color theme="0"/>
      <name val="Helvetica"/>
      <family val="2"/>
    </font>
    <font>
      <b/>
      <sz val="14"/>
      <color theme="0"/>
      <name val="Helvetica"/>
      <family val="2"/>
    </font>
    <font>
      <sz val="9"/>
      <name val="Helvetica"/>
    </font>
    <font>
      <b/>
      <i/>
      <u/>
      <sz val="9"/>
      <name val="Helvetica"/>
    </font>
    <font>
      <i/>
      <sz val="9"/>
      <name val="Helvetica"/>
    </font>
    <font>
      <b/>
      <sz val="9"/>
      <name val="Helvetica"/>
    </font>
    <font>
      <sz val="11"/>
      <name val="Times New Roman"/>
      <family val="1"/>
    </font>
    <font>
      <b/>
      <sz val="12"/>
      <color theme="1"/>
      <name val="Helvetica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9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0"/>
      <name val="Garamond"/>
      <family val="1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7030A0"/>
      <name val="Impact"/>
      <family val="2"/>
    </font>
    <font>
      <sz val="9"/>
      <color rgb="FF7030A0"/>
      <name val="Calibri Light"/>
      <family val="2"/>
      <scheme val="major"/>
    </font>
    <font>
      <b/>
      <sz val="9"/>
      <color rgb="FF7030A0"/>
      <name val="Calibri"/>
      <family val="2"/>
      <scheme val="minor"/>
    </font>
    <font>
      <b/>
      <sz val="9"/>
      <color rgb="FF7030A0"/>
      <name val="Calibri Light"/>
      <family val="2"/>
      <scheme val="major"/>
    </font>
    <font>
      <b/>
      <sz val="11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9"/>
      <color rgb="FF7030A0"/>
      <name val="Impact"/>
      <family val="2"/>
    </font>
    <font>
      <sz val="11"/>
      <color theme="0"/>
      <name val="Impact"/>
      <family val="2"/>
    </font>
    <font>
      <b/>
      <i/>
      <u/>
      <sz val="12"/>
      <color rgb="FF7030A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rgb="FF7030A0"/>
      <name val="Calibri Light"/>
      <family val="2"/>
      <scheme val="major"/>
    </font>
    <font>
      <b/>
      <sz val="10"/>
      <color rgb="FF7030A0"/>
      <name val="Calibri Light"/>
      <family val="2"/>
      <scheme val="major"/>
    </font>
    <font>
      <sz val="10"/>
      <color rgb="FF7030A0"/>
      <name val="Impact"/>
      <family val="2"/>
    </font>
    <font>
      <b/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color rgb="FF000000"/>
      <name val="Calibri"/>
      <family val="2"/>
    </font>
    <font>
      <i/>
      <sz val="10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Arial"/>
      <family val="2"/>
    </font>
    <font>
      <i/>
      <sz val="8"/>
      <color theme="1"/>
      <name val="Arial"/>
      <family val="2"/>
    </font>
    <font>
      <i/>
      <sz val="9"/>
      <color theme="1"/>
      <name val="Arial"/>
      <family val="2"/>
    </font>
    <font>
      <sz val="10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trike/>
      <sz val="11"/>
      <name val="Calibri"/>
      <family val="2"/>
      <scheme val="minor"/>
    </font>
    <font>
      <sz val="11"/>
      <color indexed="59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4"/>
      <name val="Calibri"/>
      <family val="2"/>
      <scheme val="minor"/>
    </font>
    <font>
      <sz val="9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i/>
      <sz val="11"/>
      <color rgb="FF7030A0"/>
      <name val="Calibri"/>
      <family val="2"/>
    </font>
    <font>
      <i/>
      <sz val="11"/>
      <color rgb="FF7030A0"/>
      <name val="Calibri"/>
      <family val="2"/>
      <scheme val="minor"/>
    </font>
    <font>
      <sz val="11"/>
      <color rgb="FF7030A0"/>
      <name val="Calibri"/>
      <family val="2"/>
    </font>
    <font>
      <b/>
      <sz val="12"/>
      <color rgb="FF092147"/>
      <name val="Arial"/>
      <family val="2"/>
    </font>
    <font>
      <sz val="8"/>
      <color rgb="FF092147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theme="1" tint="0.249977111117893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2"/>
      <color rgb="FF5C3B6B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0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249977111117893"/>
      <name val="Calibri"/>
      <family val="2"/>
    </font>
    <font>
      <sz val="11"/>
      <color theme="1" tint="0.249977111117893"/>
      <name val="Calibri"/>
      <family val="2"/>
      <scheme val="minor"/>
    </font>
    <font>
      <sz val="12"/>
      <color rgb="FF5C3B6B"/>
      <name val="Calibri"/>
      <family val="2"/>
      <scheme val="minor"/>
    </font>
    <font>
      <sz val="11"/>
      <color theme="1" tint="0.249977111117893"/>
      <name val="Helvetica"/>
      <family val="3"/>
    </font>
    <font>
      <b/>
      <sz val="11"/>
      <color rgb="FF5C3B6B"/>
      <name val="Helvetica"/>
      <family val="3"/>
    </font>
    <font>
      <b/>
      <sz val="12"/>
      <color theme="1"/>
      <name val="Calibri"/>
      <family val="2"/>
      <scheme val="minor"/>
    </font>
    <font>
      <b/>
      <sz val="12"/>
      <color rgb="FF5C3B6B"/>
      <name val="Helvetica"/>
      <family val="2"/>
    </font>
    <font>
      <sz val="12"/>
      <color theme="1"/>
      <name val="Calibri"/>
      <family val="2"/>
      <scheme val="minor"/>
    </font>
    <font>
      <sz val="11"/>
      <color rgb="FF5C3B6B"/>
      <name val="Helvetica"/>
      <family val="3"/>
    </font>
    <font>
      <sz val="11"/>
      <color rgb="FFFF0000"/>
      <name val="Helvetica"/>
      <family val="2"/>
    </font>
    <font>
      <b/>
      <sz val="16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color rgb="FF5C3B6B"/>
      <name val="Helvetica"/>
      <family val="3"/>
    </font>
    <font>
      <sz val="8"/>
      <color rgb="FF7030A0"/>
      <name val="Impact"/>
      <family val="2"/>
    </font>
    <font>
      <sz val="10"/>
      <color rgb="FF3C1A56"/>
      <name val="Calibri"/>
      <family val="2"/>
      <scheme val="minor"/>
    </font>
    <font>
      <sz val="11"/>
      <color rgb="FF3C1A56"/>
      <name val="Calibri Light"/>
      <family val="2"/>
      <scheme val="major"/>
    </font>
    <font>
      <sz val="11"/>
      <color rgb="FF3C1A56"/>
      <name val="Impact"/>
      <family val="2"/>
    </font>
    <font>
      <sz val="9"/>
      <color rgb="FF3C1A56"/>
      <name val="Calibri Light"/>
      <family val="2"/>
      <scheme val="major"/>
    </font>
    <font>
      <sz val="9"/>
      <color rgb="FF3C1A56"/>
      <name val="Calibri"/>
      <family val="2"/>
      <scheme val="minor"/>
    </font>
    <font>
      <sz val="12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b/>
      <vertAlign val="superscript"/>
      <sz val="11"/>
      <name val="Arial"/>
      <family val="2"/>
    </font>
    <font>
      <b/>
      <vertAlign val="superscript"/>
      <sz val="9"/>
      <name val="Arial"/>
      <family val="2"/>
    </font>
    <font>
      <b/>
      <sz val="11"/>
      <color indexed="9"/>
      <name val="Arial"/>
      <family val="2"/>
    </font>
    <font>
      <b/>
      <u/>
      <sz val="11"/>
      <color theme="0"/>
      <name val="Calibri"/>
      <family val="2"/>
      <scheme val="minor"/>
    </font>
    <font>
      <b/>
      <sz val="18"/>
      <color rgb="FF000000"/>
      <name val="Calibri"/>
      <family val="2"/>
    </font>
    <font>
      <sz val="10"/>
      <color rgb="FF7030A0"/>
      <name val="Calibri "/>
    </font>
    <font>
      <b/>
      <sz val="10"/>
      <color rgb="FF436301"/>
      <name val="Arial"/>
      <family val="2"/>
    </font>
    <font>
      <sz val="10"/>
      <color rgb="FF436301"/>
      <name val="Arial"/>
      <family val="2"/>
    </font>
    <font>
      <sz val="10"/>
      <color theme="2" tint="-0.749992370372631"/>
      <name val="Releway"/>
    </font>
  </fonts>
  <fills count="5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461A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E3E3E3"/>
        <bgColor indexed="64"/>
      </patternFill>
    </fill>
    <fill>
      <patternFill patternType="solid">
        <fgColor rgb="FF9D9D9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E56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C3C3B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gray125">
        <bgColor theme="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3E7F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CCB5D9"/>
        <bgColor indexed="64"/>
      </patternFill>
    </fill>
    <fill>
      <patternFill patternType="solid">
        <fgColor rgb="FFB095BD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F8F3F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rgb="FF99CCF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3DDBE"/>
        <bgColor indexed="64"/>
      </patternFill>
    </fill>
    <fill>
      <patternFill patternType="solid">
        <fgColor rgb="FFE4C9FF"/>
        <bgColor indexed="64"/>
      </patternFill>
    </fill>
  </fills>
  <borders count="2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A461A3"/>
      </bottom>
      <diagonal/>
    </border>
    <border>
      <left/>
      <right/>
      <top/>
      <bottom style="thick">
        <color rgb="FFA461A3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rgb="FFA461A3"/>
      </top>
      <bottom style="thin">
        <color theme="0" tint="-0.499984740745262"/>
      </bottom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9"/>
      </top>
      <bottom/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indexed="9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/>
      <bottom style="thin">
        <color theme="2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 style="thin">
        <color rgb="FF7030A0"/>
      </top>
      <bottom style="medium">
        <color rgb="FF7030A0"/>
      </bottom>
      <diagonal/>
    </border>
    <border>
      <left style="thin">
        <color rgb="FF7030A0"/>
      </left>
      <right/>
      <top style="thin">
        <color rgb="FF7030A0"/>
      </top>
      <bottom style="double">
        <color rgb="FF7030A0"/>
      </bottom>
      <diagonal/>
    </border>
    <border>
      <left/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/>
      <right style="thin">
        <color rgb="FF7030A0"/>
      </right>
      <top/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/>
      <bottom style="medium">
        <color rgb="FF7030A0"/>
      </bottom>
      <diagonal/>
    </border>
    <border>
      <left/>
      <right/>
      <top style="medium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 style="thin">
        <color rgb="FF7030A0"/>
      </top>
      <bottom style="thin">
        <color rgb="FF7030A0"/>
      </bottom>
      <diagonal/>
    </border>
    <border>
      <left style="thin">
        <color rgb="FF7030A0"/>
      </left>
      <right/>
      <top style="thin">
        <color rgb="FF7030A0"/>
      </top>
      <bottom style="thin">
        <color rgb="FF7030A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mediumDashed">
        <color indexed="64"/>
      </left>
      <right style="thin">
        <color theme="0" tint="-0.249977111117893"/>
      </right>
      <top style="mediumDashed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Dashed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Dashed">
        <color indexed="64"/>
      </right>
      <top/>
      <bottom/>
      <diagonal/>
    </border>
    <border>
      <left style="thin">
        <color theme="0" tint="-0.249977111117893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 style="mediumDashed">
        <color theme="1"/>
      </right>
      <top style="mediumDashed">
        <color theme="1"/>
      </top>
      <bottom/>
      <diagonal/>
    </border>
    <border>
      <left style="mediumDashed">
        <color theme="1"/>
      </left>
      <right/>
      <top/>
      <bottom/>
      <diagonal/>
    </border>
    <border>
      <left style="mediumDashed">
        <color theme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/>
      <right style="thin">
        <color indexed="64"/>
      </right>
      <top style="thick">
        <color auto="1"/>
      </top>
      <bottom style="thin">
        <color indexed="64"/>
      </bottom>
      <diagonal/>
    </border>
    <border>
      <left style="mediumDashed">
        <color theme="1"/>
      </left>
      <right/>
      <top style="mediumDashed">
        <color theme="1"/>
      </top>
      <bottom style="thin">
        <color indexed="64"/>
      </bottom>
      <diagonal/>
    </border>
    <border>
      <left/>
      <right/>
      <top style="mediumDashed">
        <color theme="1"/>
      </top>
      <bottom style="thin">
        <color indexed="64"/>
      </bottom>
      <diagonal/>
    </border>
    <border>
      <left/>
      <right style="mediumDashed">
        <color theme="1"/>
      </right>
      <top style="mediumDashed">
        <color theme="1"/>
      </top>
      <bottom style="thin">
        <color indexed="64"/>
      </bottom>
      <diagonal/>
    </border>
    <border>
      <left style="mediumDashed">
        <color theme="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Dashed">
        <color theme="1"/>
      </right>
      <top/>
      <bottom/>
      <diagonal/>
    </border>
    <border>
      <left style="mediumDashed">
        <color theme="1"/>
      </left>
      <right style="thin">
        <color theme="0" tint="-0.249977111117893"/>
      </right>
      <top/>
      <bottom style="mediumDashed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Dashed">
        <color theme="1"/>
      </bottom>
      <diagonal/>
    </border>
    <border>
      <left style="thin">
        <color theme="0" tint="-0.249977111117893"/>
      </left>
      <right style="mediumDashed">
        <color theme="1"/>
      </right>
      <top/>
      <bottom style="mediumDashed">
        <color theme="1"/>
      </bottom>
      <diagonal/>
    </border>
    <border>
      <left style="mediumDashed">
        <color theme="0" tint="-0.34998626667073579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 style="medium">
        <color rgb="FFFFFF00"/>
      </left>
      <right/>
      <top style="medium">
        <color rgb="FFFFFF00"/>
      </top>
      <bottom/>
      <diagonal/>
    </border>
    <border>
      <left/>
      <right/>
      <top style="medium">
        <color rgb="FFFFFF00"/>
      </top>
      <bottom/>
      <diagonal/>
    </border>
    <border>
      <left/>
      <right style="medium">
        <color rgb="FFFFFF00"/>
      </right>
      <top style="medium">
        <color rgb="FFFFFF00"/>
      </top>
      <bottom/>
      <diagonal/>
    </border>
    <border>
      <left style="medium">
        <color rgb="FFFFFF00"/>
      </left>
      <right/>
      <top/>
      <bottom style="medium">
        <color rgb="FFFFFF00"/>
      </bottom>
      <diagonal/>
    </border>
    <border>
      <left/>
      <right/>
      <top/>
      <bottom style="medium">
        <color rgb="FFFFFF00"/>
      </bottom>
      <diagonal/>
    </border>
    <border>
      <left/>
      <right style="medium">
        <color rgb="FFFFFF00"/>
      </right>
      <top/>
      <bottom style="medium">
        <color rgb="FFFFFF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mediumDashed">
        <color theme="1"/>
      </bottom>
      <diagonal/>
    </border>
    <border>
      <left style="thin">
        <color theme="0" tint="-0.249977111117893"/>
      </left>
      <right/>
      <top/>
      <bottom style="thin">
        <color indexed="9"/>
      </bottom>
      <diagonal/>
    </border>
    <border>
      <left style="thin">
        <color theme="0" tint="-0.249977111117893"/>
      </left>
      <right/>
      <top style="thin">
        <color indexed="9"/>
      </top>
      <bottom/>
      <diagonal/>
    </border>
    <border>
      <left style="thin">
        <color theme="0" tint="-0.249977111117893"/>
      </left>
      <right/>
      <top/>
      <bottom style="mediumDashed">
        <color indexed="64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 style="thin">
        <color theme="0" tint="-0.249977111117893"/>
      </left>
      <right style="mediumDashed">
        <color theme="1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 style="thin">
        <color theme="0" tint="-0.249977111117893"/>
      </left>
      <right/>
      <top style="medium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indexed="9"/>
      </bottom>
      <diagonal/>
    </border>
    <border>
      <left/>
      <right style="thin">
        <color theme="0" tint="-0.249977111117893"/>
      </right>
      <top style="medium">
        <color theme="0" tint="-0.249977111117893"/>
      </top>
      <bottom style="thin">
        <color indexed="9"/>
      </bottom>
      <diagonal/>
    </border>
    <border>
      <left style="thin">
        <color theme="0" tint="-0.249977111117893"/>
      </left>
      <right/>
      <top style="medium">
        <color theme="0" tint="-0.249977111117893"/>
      </top>
      <bottom style="thin">
        <color indexed="9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indexed="9"/>
      </bottom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1"/>
      </right>
      <top/>
      <bottom/>
      <diagonal/>
    </border>
    <border>
      <left style="thin">
        <color theme="1"/>
      </left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B095BD"/>
      </bottom>
      <diagonal/>
    </border>
    <border>
      <left/>
      <right style="thin">
        <color rgb="FFB095BD"/>
      </right>
      <top/>
      <bottom style="thin">
        <color rgb="FFB095BD"/>
      </bottom>
      <diagonal/>
    </border>
    <border>
      <left style="thin">
        <color rgb="FFB095BD"/>
      </left>
      <right/>
      <top/>
      <bottom style="thin">
        <color rgb="FFB095BD"/>
      </bottom>
      <diagonal/>
    </border>
    <border>
      <left/>
      <right style="thin">
        <color rgb="FFB095BD"/>
      </right>
      <top/>
      <bottom/>
      <diagonal/>
    </border>
    <border>
      <left style="thin">
        <color rgb="FFB095BD"/>
      </left>
      <right/>
      <top/>
      <bottom/>
      <diagonal/>
    </border>
    <border>
      <left/>
      <right style="thin">
        <color rgb="FFB095BD"/>
      </right>
      <top style="thin">
        <color rgb="FFB095BD"/>
      </top>
      <bottom/>
      <diagonal/>
    </border>
    <border>
      <left/>
      <right/>
      <top style="thin">
        <color rgb="FFB095BD"/>
      </top>
      <bottom/>
      <diagonal/>
    </border>
    <border>
      <left style="thin">
        <color rgb="FFB095BD"/>
      </left>
      <right/>
      <top style="thin">
        <color rgb="FFB095BD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rgb="FFF8F3FB"/>
      </left>
      <right/>
      <top style="thin">
        <color rgb="FFF8F3FB"/>
      </top>
      <bottom/>
      <diagonal/>
    </border>
    <border>
      <left/>
      <right/>
      <top style="thin">
        <color rgb="FFF8F3FB"/>
      </top>
      <bottom/>
      <diagonal/>
    </border>
    <border>
      <left style="thin">
        <color rgb="FFF8F3FB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rgb="FF7030A0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</borders>
  <cellStyleXfs count="3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3" fontId="4" fillId="8" borderId="0" applyFont="0" applyFill="0" applyBorder="0" applyAlignment="0" applyProtection="0"/>
    <xf numFmtId="0" fontId="39" fillId="10" borderId="29" applyNumberFormat="0" applyAlignment="0" applyProtection="0"/>
    <xf numFmtId="0" fontId="41" fillId="0" borderId="0"/>
    <xf numFmtId="0" fontId="41" fillId="0" borderId="0"/>
    <xf numFmtId="0" fontId="42" fillId="0" borderId="0"/>
    <xf numFmtId="174" fontId="41" fillId="0" borderId="0" applyFont="0" applyFill="0" applyBorder="0" applyAlignment="0" applyProtection="0"/>
    <xf numFmtId="0" fontId="41" fillId="0" borderId="0"/>
    <xf numFmtId="181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3" fillId="0" borderId="0"/>
    <xf numFmtId="0" fontId="41" fillId="0" borderId="0"/>
    <xf numFmtId="174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188" fontId="41" fillId="0" borderId="0" applyFont="0" applyFill="0" applyBorder="0" applyAlignment="0" applyProtection="0"/>
    <xf numFmtId="188" fontId="4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25" borderId="65" applyNumberFormat="0" applyFont="0" applyAlignment="0" applyProtection="0"/>
    <xf numFmtId="0" fontId="48" fillId="0" borderId="0" applyNumberFormat="0" applyFill="0" applyBorder="0" applyAlignment="0" applyProtection="0"/>
    <xf numFmtId="0" fontId="41" fillId="0" borderId="0"/>
    <xf numFmtId="0" fontId="41" fillId="0" borderId="0"/>
  </cellStyleXfs>
  <cellXfs count="1274">
    <xf numFmtId="0" fontId="0" fillId="0" borderId="0" xfId="0"/>
    <xf numFmtId="0" fontId="2" fillId="0" borderId="1" xfId="0" applyFont="1" applyBorder="1" applyAlignment="1">
      <alignment horizontal="center"/>
    </xf>
    <xf numFmtId="164" fontId="2" fillId="0" borderId="2" xfId="1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43" fontId="2" fillId="2" borderId="4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0" fillId="0" borderId="7" xfId="0" applyBorder="1"/>
    <xf numFmtId="164" fontId="0" fillId="0" borderId="0" xfId="0" applyNumberFormat="1"/>
    <xf numFmtId="165" fontId="0" fillId="0" borderId="7" xfId="3" applyNumberFormat="1" applyFont="1" applyBorder="1"/>
    <xf numFmtId="44" fontId="0" fillId="0" borderId="7" xfId="2" applyFont="1" applyBorder="1"/>
    <xf numFmtId="44" fontId="0" fillId="0" borderId="0" xfId="0" applyNumberFormat="1"/>
    <xf numFmtId="0" fontId="3" fillId="3" borderId="8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/>
    </xf>
    <xf numFmtId="166" fontId="2" fillId="2" borderId="4" xfId="3" applyNumberFormat="1" applyFont="1" applyFill="1" applyBorder="1" applyAlignment="1">
      <alignment horizontal="center" vertical="center"/>
    </xf>
    <xf numFmtId="166" fontId="2" fillId="0" borderId="6" xfId="3" applyNumberFormat="1" applyFont="1" applyBorder="1" applyAlignment="1">
      <alignment horizontal="center"/>
    </xf>
    <xf numFmtId="14" fontId="7" fillId="0" borderId="12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3" fontId="6" fillId="0" borderId="0" xfId="1" applyFont="1" applyFill="1" applyAlignment="1">
      <alignment vertical="center" wrapText="1"/>
    </xf>
    <xf numFmtId="44" fontId="2" fillId="0" borderId="10" xfId="2" applyFont="1" applyFill="1" applyBorder="1"/>
    <xf numFmtId="0" fontId="0" fillId="0" borderId="8" xfId="0" applyBorder="1"/>
    <xf numFmtId="164" fontId="0" fillId="0" borderId="8" xfId="0" applyNumberFormat="1" applyBorder="1"/>
    <xf numFmtId="44" fontId="2" fillId="0" borderId="7" xfId="2" applyFont="1" applyFill="1" applyBorder="1"/>
    <xf numFmtId="44" fontId="6" fillId="0" borderId="7" xfId="2" applyFont="1" applyFill="1" applyBorder="1" applyAlignment="1">
      <alignment vertical="center" wrapText="1"/>
    </xf>
    <xf numFmtId="164" fontId="6" fillId="0" borderId="4" xfId="0" applyNumberFormat="1" applyFont="1" applyBorder="1" applyAlignment="1">
      <alignment horizontal="center"/>
    </xf>
    <xf numFmtId="167" fontId="0" fillId="0" borderId="0" xfId="0" applyNumberFormat="1"/>
    <xf numFmtId="10" fontId="0" fillId="0" borderId="0" xfId="3" applyNumberFormat="1" applyFont="1"/>
    <xf numFmtId="166" fontId="0" fillId="0" borderId="0" xfId="0" applyNumberFormat="1"/>
    <xf numFmtId="168" fontId="0" fillId="0" borderId="0" xfId="3" applyNumberFormat="1" applyFont="1"/>
    <xf numFmtId="44" fontId="0" fillId="0" borderId="0" xfId="2" applyFont="1"/>
    <xf numFmtId="164" fontId="6" fillId="0" borderId="2" xfId="1" applyNumberFormat="1" applyFont="1" applyBorder="1" applyAlignment="1">
      <alignment horizontal="center" vertical="center"/>
    </xf>
    <xf numFmtId="43" fontId="6" fillId="2" borderId="4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0" borderId="4" xfId="1" applyNumberFormat="1" applyFont="1" applyBorder="1" applyAlignment="1">
      <alignment horizontal="center" vertical="center"/>
    </xf>
    <xf numFmtId="164" fontId="6" fillId="2" borderId="4" xfId="1" applyNumberFormat="1" applyFont="1" applyFill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/>
    </xf>
    <xf numFmtId="10" fontId="6" fillId="2" borderId="4" xfId="0" applyNumberFormat="1" applyFont="1" applyFill="1" applyBorder="1" applyAlignment="1">
      <alignment horizontal="center"/>
    </xf>
    <xf numFmtId="164" fontId="6" fillId="2" borderId="4" xfId="0" applyNumberFormat="1" applyFont="1" applyFill="1" applyBorder="1" applyAlignment="1">
      <alignment horizontal="center"/>
    </xf>
    <xf numFmtId="3" fontId="6" fillId="0" borderId="4" xfId="0" applyNumberFormat="1" applyFont="1" applyBorder="1" applyAlignment="1">
      <alignment horizontal="center"/>
    </xf>
    <xf numFmtId="10" fontId="6" fillId="0" borderId="6" xfId="3" applyNumberFormat="1" applyFont="1" applyFill="1" applyBorder="1" applyAlignment="1">
      <alignment horizontal="center"/>
    </xf>
    <xf numFmtId="14" fontId="6" fillId="0" borderId="2" xfId="1" applyNumberFormat="1" applyFont="1" applyBorder="1" applyAlignment="1">
      <alignment horizontal="center" vertical="center"/>
    </xf>
    <xf numFmtId="44" fontId="2" fillId="0" borderId="6" xfId="2" applyFont="1" applyBorder="1" applyAlignment="1">
      <alignment horizontal="center"/>
    </xf>
    <xf numFmtId="44" fontId="2" fillId="2" borderId="4" xfId="2" applyFont="1" applyFill="1" applyBorder="1" applyAlignment="1">
      <alignment horizontal="center" vertical="center"/>
    </xf>
    <xf numFmtId="0" fontId="0" fillId="0" borderId="6" xfId="0" applyBorder="1"/>
    <xf numFmtId="0" fontId="0" fillId="0" borderId="0" xfId="0" applyAlignment="1">
      <alignment wrapText="1"/>
    </xf>
    <xf numFmtId="0" fontId="9" fillId="0" borderId="0" xfId="0" applyFont="1" applyAlignment="1">
      <alignment horizontal="left"/>
    </xf>
    <xf numFmtId="44" fontId="0" fillId="0" borderId="8" xfId="2" applyFont="1" applyBorder="1"/>
    <xf numFmtId="170" fontId="0" fillId="0" borderId="0" xfId="3" applyNumberFormat="1" applyFont="1"/>
    <xf numFmtId="170" fontId="0" fillId="0" borderId="0" xfId="0" applyNumberFormat="1"/>
    <xf numFmtId="10" fontId="0" fillId="0" borderId="0" xfId="0" applyNumberFormat="1"/>
    <xf numFmtId="169" fontId="0" fillId="0" borderId="0" xfId="0" applyNumberFormat="1"/>
    <xf numFmtId="8" fontId="2" fillId="2" borderId="4" xfId="2" applyNumberFormat="1" applyFont="1" applyFill="1" applyBorder="1" applyAlignment="1">
      <alignment horizontal="center" vertical="center"/>
    </xf>
    <xf numFmtId="8" fontId="0" fillId="0" borderId="0" xfId="0" applyNumberFormat="1"/>
    <xf numFmtId="10" fontId="0" fillId="4" borderId="7" xfId="3" applyNumberFormat="1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44" fontId="0" fillId="0" borderId="0" xfId="0" applyNumberFormat="1" applyAlignment="1">
      <alignment wrapText="1"/>
    </xf>
    <xf numFmtId="1" fontId="0" fillId="0" borderId="0" xfId="0" applyNumberFormat="1"/>
    <xf numFmtId="0" fontId="11" fillId="0" borderId="0" xfId="0" applyFont="1"/>
    <xf numFmtId="171" fontId="2" fillId="0" borderId="6" xfId="2" applyNumberFormat="1" applyFont="1" applyBorder="1" applyAlignment="1">
      <alignment horizontal="center"/>
    </xf>
    <xf numFmtId="14" fontId="0" fillId="0" borderId="0" xfId="0" applyNumberFormat="1"/>
    <xf numFmtId="44" fontId="3" fillId="3" borderId="8" xfId="2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6" fillId="0" borderId="6" xfId="3" applyNumberFormat="1" applyFont="1" applyFill="1" applyBorder="1" applyAlignment="1">
      <alignment horizontal="center"/>
    </xf>
    <xf numFmtId="176" fontId="2" fillId="0" borderId="6" xfId="2" applyNumberFormat="1" applyFont="1" applyBorder="1" applyAlignment="1">
      <alignment horizontal="center"/>
    </xf>
    <xf numFmtId="175" fontId="0" fillId="0" borderId="0" xfId="2" applyNumberFormat="1" applyFont="1"/>
    <xf numFmtId="0" fontId="44" fillId="14" borderId="51" xfId="0" applyFont="1" applyFill="1" applyBorder="1" applyAlignment="1">
      <alignment horizontal="left" vertical="center" wrapText="1"/>
    </xf>
    <xf numFmtId="0" fontId="44" fillId="14" borderId="52" xfId="0" applyFont="1" applyFill="1" applyBorder="1" applyAlignment="1">
      <alignment horizontal="left" vertical="center" wrapText="1"/>
    </xf>
    <xf numFmtId="0" fontId="44" fillId="14" borderId="58" xfId="0" applyFont="1" applyFill="1" applyBorder="1" applyAlignment="1">
      <alignment horizontal="left" vertical="center" wrapText="1"/>
    </xf>
    <xf numFmtId="0" fontId="45" fillId="0" borderId="50" xfId="0" applyFont="1" applyBorder="1" applyAlignment="1">
      <alignment horizontal="left" vertical="center" wrapText="1"/>
    </xf>
    <xf numFmtId="0" fontId="44" fillId="14" borderId="62" xfId="0" applyFont="1" applyFill="1" applyBorder="1" applyAlignment="1">
      <alignment horizontal="left" vertical="center" wrapText="1"/>
    </xf>
    <xf numFmtId="0" fontId="44" fillId="14" borderId="63" xfId="0" applyFon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25" borderId="66" xfId="27" applyFont="1" applyBorder="1"/>
    <xf numFmtId="0" fontId="0" fillId="0" borderId="33" xfId="0" applyBorder="1"/>
    <xf numFmtId="0" fontId="0" fillId="25" borderId="67" xfId="27" applyFont="1" applyBorder="1"/>
    <xf numFmtId="0" fontId="0" fillId="0" borderId="42" xfId="0" applyBorder="1"/>
    <xf numFmtId="0" fontId="0" fillId="25" borderId="68" xfId="27" applyFont="1" applyBorder="1"/>
    <xf numFmtId="0" fontId="0" fillId="0" borderId="36" xfId="0" applyBorder="1"/>
    <xf numFmtId="0" fontId="0" fillId="0" borderId="37" xfId="0" applyBorder="1"/>
    <xf numFmtId="0" fontId="48" fillId="25" borderId="65" xfId="28" applyFill="1" applyBorder="1" applyAlignment="1">
      <alignment horizontal="right"/>
    </xf>
    <xf numFmtId="0" fontId="0" fillId="0" borderId="0" xfId="0" applyAlignment="1">
      <alignment horizontal="left" indent="1"/>
    </xf>
    <xf numFmtId="0" fontId="0" fillId="25" borderId="65" xfId="27" applyFont="1" applyAlignment="1">
      <alignment horizontal="right"/>
    </xf>
    <xf numFmtId="0" fontId="49" fillId="0" borderId="0" xfId="0" applyFont="1" applyAlignment="1">
      <alignment horizontal="left"/>
    </xf>
    <xf numFmtId="9" fontId="50" fillId="0" borderId="0" xfId="0" applyNumberFormat="1" applyFont="1"/>
    <xf numFmtId="0" fontId="50" fillId="0" borderId="0" xfId="0" applyFont="1" applyAlignment="1">
      <alignment horizontal="left"/>
    </xf>
    <xf numFmtId="9" fontId="0" fillId="25" borderId="65" xfId="3" applyFont="1" applyFill="1" applyBorder="1"/>
    <xf numFmtId="0" fontId="0" fillId="25" borderId="65" xfId="27" applyFont="1"/>
    <xf numFmtId="0" fontId="0" fillId="0" borderId="0" xfId="0" applyAlignment="1">
      <alignment horizontal="left" indent="2"/>
    </xf>
    <xf numFmtId="4" fontId="0" fillId="25" borderId="65" xfId="27" applyNumberFormat="1" applyFont="1"/>
    <xf numFmtId="10" fontId="0" fillId="25" borderId="65" xfId="3" applyNumberFormat="1" applyFont="1" applyFill="1" applyBorder="1"/>
    <xf numFmtId="14" fontId="0" fillId="25" borderId="65" xfId="27" applyNumberFormat="1" applyFont="1" applyAlignment="1">
      <alignment horizontal="right"/>
    </xf>
    <xf numFmtId="0" fontId="49" fillId="0" borderId="0" xfId="0" applyFont="1"/>
    <xf numFmtId="166" fontId="0" fillId="25" borderId="65" xfId="27" applyNumberFormat="1" applyFont="1"/>
    <xf numFmtId="43" fontId="0" fillId="25" borderId="65" xfId="27" applyNumberFormat="1" applyFont="1"/>
    <xf numFmtId="0" fontId="40" fillId="0" borderId="0" xfId="0" applyFont="1" applyAlignment="1">
      <alignment horizontal="left" indent="1"/>
    </xf>
    <xf numFmtId="0" fontId="0" fillId="25" borderId="65" xfId="27" quotePrefix="1" applyFont="1" applyAlignment="1">
      <alignment horizontal="right"/>
    </xf>
    <xf numFmtId="14" fontId="0" fillId="25" borderId="65" xfId="27" applyNumberFormat="1" applyFont="1"/>
    <xf numFmtId="0" fontId="2" fillId="0" borderId="0" xfId="0" applyFont="1"/>
    <xf numFmtId="0" fontId="7" fillId="0" borderId="0" xfId="0" applyFont="1"/>
    <xf numFmtId="0" fontId="67" fillId="16" borderId="29" xfId="6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40" fillId="8" borderId="8" xfId="0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Continuous"/>
    </xf>
    <xf numFmtId="183" fontId="7" fillId="27" borderId="0" xfId="0" applyNumberFormat="1" applyFont="1" applyFill="1" applyAlignment="1">
      <alignment horizontal="center"/>
    </xf>
    <xf numFmtId="10" fontId="7" fillId="27" borderId="0" xfId="0" applyNumberFormat="1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0" fontId="40" fillId="0" borderId="8" xfId="0" applyFont="1" applyBorder="1" applyAlignment="1">
      <alignment horizontal="centerContinuous"/>
    </xf>
    <xf numFmtId="0" fontId="7" fillId="27" borderId="0" xfId="0" applyFont="1" applyFill="1" applyAlignment="1">
      <alignment horizontal="center"/>
    </xf>
    <xf numFmtId="0" fontId="68" fillId="16" borderId="29" xfId="6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9" fillId="0" borderId="0" xfId="0" applyFont="1"/>
    <xf numFmtId="0" fontId="7" fillId="0" borderId="8" xfId="0" applyFont="1" applyBorder="1" applyAlignment="1">
      <alignment horizontal="centerContinuous"/>
    </xf>
    <xf numFmtId="9" fontId="70" fillId="0" borderId="0" xfId="0" applyNumberFormat="1" applyFont="1" applyAlignment="1">
      <alignment horizontal="left"/>
    </xf>
    <xf numFmtId="0" fontId="11" fillId="28" borderId="0" xfId="0" applyFont="1" applyFill="1" applyAlignment="1">
      <alignment horizontal="centerContinuous"/>
    </xf>
    <xf numFmtId="0" fontId="71" fillId="16" borderId="29" xfId="6" applyNumberFormat="1" applyFont="1" applyFill="1" applyAlignment="1">
      <alignment horizontal="center" vertical="center"/>
    </xf>
    <xf numFmtId="194" fontId="0" fillId="0" borderId="0" xfId="0" applyNumberFormat="1" applyAlignment="1">
      <alignment horizontal="center"/>
    </xf>
    <xf numFmtId="9" fontId="7" fillId="27" borderId="0" xfId="3" applyFont="1" applyFill="1" applyAlignment="1">
      <alignment horizontal="center"/>
    </xf>
    <xf numFmtId="180" fontId="0" fillId="0" borderId="0" xfId="3" applyNumberFormat="1" applyFont="1"/>
    <xf numFmtId="0" fontId="7" fillId="0" borderId="8" xfId="0" applyFont="1" applyBorder="1" applyAlignment="1">
      <alignment horizontal="center" vertical="center"/>
    </xf>
    <xf numFmtId="0" fontId="68" fillId="8" borderId="0" xfId="6" applyNumberFormat="1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Continuous"/>
    </xf>
    <xf numFmtId="1" fontId="7" fillId="27" borderId="0" xfId="0" applyNumberFormat="1" applyFont="1" applyFill="1" applyAlignment="1">
      <alignment horizontal="center"/>
    </xf>
    <xf numFmtId="0" fontId="40" fillId="8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/>
    </xf>
    <xf numFmtId="49" fontId="71" fillId="16" borderId="29" xfId="6" applyNumberFormat="1" applyFont="1" applyFill="1" applyAlignment="1">
      <alignment horizontal="center" vertical="center"/>
    </xf>
    <xf numFmtId="1" fontId="2" fillId="0" borderId="0" xfId="0" applyNumberFormat="1" applyFont="1" applyAlignment="1">
      <alignment horizontal="center"/>
    </xf>
    <xf numFmtId="0" fontId="7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8" xfId="0" applyBorder="1" applyAlignment="1">
      <alignment horizontal="centerContinuous"/>
    </xf>
    <xf numFmtId="0" fontId="72" fillId="0" borderId="8" xfId="0" applyFont="1" applyBorder="1" applyAlignment="1">
      <alignment horizontal="centerContinuous"/>
    </xf>
    <xf numFmtId="0" fontId="71" fillId="16" borderId="29" xfId="6" applyFont="1" applyFill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7" fillId="8" borderId="87" xfId="0" applyNumberFormat="1" applyFont="1" applyFill="1" applyBorder="1" applyAlignment="1">
      <alignment horizontal="center"/>
    </xf>
    <xf numFmtId="1" fontId="40" fillId="8" borderId="87" xfId="0" applyNumberFormat="1" applyFont="1" applyFill="1" applyBorder="1" applyAlignment="1">
      <alignment horizontal="center"/>
    </xf>
    <xf numFmtId="0" fontId="3" fillId="26" borderId="4" xfId="0" applyFont="1" applyFill="1" applyBorder="1" applyAlignment="1">
      <alignment horizontal="center"/>
    </xf>
    <xf numFmtId="1" fontId="73" fillId="16" borderId="7" xfId="26" applyNumberFormat="1" applyFont="1" applyFill="1" applyBorder="1" applyAlignment="1">
      <alignment horizontal="center" vertical="center" wrapText="1"/>
    </xf>
    <xf numFmtId="1" fontId="67" fillId="16" borderId="7" xfId="0" applyNumberFormat="1" applyFont="1" applyFill="1" applyBorder="1" applyAlignment="1">
      <alignment horizontal="center" vertical="center"/>
    </xf>
    <xf numFmtId="0" fontId="74" fillId="26" borderId="7" xfId="0" applyFont="1" applyFill="1" applyBorder="1" applyAlignment="1">
      <alignment horizontal="center" vertical="center" wrapText="1"/>
    </xf>
    <xf numFmtId="1" fontId="73" fillId="16" borderId="61" xfId="0" applyNumberFormat="1" applyFont="1" applyFill="1" applyBorder="1" applyAlignment="1">
      <alignment horizontal="center" vertical="center" wrapText="1"/>
    </xf>
    <xf numFmtId="10" fontId="67" fillId="16" borderId="7" xfId="0" applyNumberFormat="1" applyFont="1" applyFill="1" applyBorder="1" applyAlignment="1">
      <alignment horizontal="center" vertical="center" wrapText="1"/>
    </xf>
    <xf numFmtId="1" fontId="73" fillId="16" borderId="7" xfId="0" applyNumberFormat="1" applyFont="1" applyFill="1" applyBorder="1" applyAlignment="1">
      <alignment horizontal="center" vertical="center" wrapText="1"/>
    </xf>
    <xf numFmtId="0" fontId="73" fillId="16" borderId="7" xfId="26" applyFont="1" applyFill="1" applyBorder="1" applyAlignment="1">
      <alignment horizontal="center" vertical="center" wrapText="1"/>
    </xf>
    <xf numFmtId="0" fontId="67" fillId="16" borderId="7" xfId="26" applyFont="1" applyFill="1" applyBorder="1" applyAlignment="1">
      <alignment horizontal="center" vertical="center" wrapText="1"/>
    </xf>
    <xf numFmtId="172" fontId="67" fillId="16" borderId="7" xfId="0" applyNumberFormat="1" applyFont="1" applyFill="1" applyBorder="1" applyAlignment="1">
      <alignment horizontal="center" vertical="center"/>
    </xf>
    <xf numFmtId="1" fontId="75" fillId="16" borderId="7" xfId="0" applyNumberFormat="1" applyFont="1" applyFill="1" applyBorder="1" applyAlignment="1">
      <alignment horizontal="center" vertical="center" wrapText="1"/>
    </xf>
    <xf numFmtId="0" fontId="3" fillId="26" borderId="46" xfId="0" applyFont="1" applyFill="1" applyBorder="1" applyAlignment="1">
      <alignment horizontal="center"/>
    </xf>
    <xf numFmtId="0" fontId="44" fillId="26" borderId="46" xfId="6" applyNumberFormat="1" applyFont="1" applyFill="1" applyBorder="1" applyAlignment="1">
      <alignment horizontal="center" vertical="center"/>
    </xf>
    <xf numFmtId="0" fontId="3" fillId="26" borderId="11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3" fontId="67" fillId="16" borderId="7" xfId="0" applyNumberFormat="1" applyFont="1" applyFill="1" applyBorder="1" applyAlignment="1">
      <alignment horizontal="center" vertical="center" wrapText="1"/>
    </xf>
    <xf numFmtId="0" fontId="7" fillId="0" borderId="46" xfId="0" applyFont="1" applyBorder="1" applyAlignment="1">
      <alignment horizontal="centerContinuous"/>
    </xf>
    <xf numFmtId="1" fontId="67" fillId="16" borderId="6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0" fillId="0" borderId="0" xfId="0" applyFont="1" applyAlignment="1">
      <alignment horizontal="centerContinuous" vertical="center"/>
    </xf>
    <xf numFmtId="0" fontId="76" fillId="0" borderId="0" xfId="0" applyFont="1" applyAlignment="1">
      <alignment horizontal="centerContinuous" vertical="center"/>
    </xf>
    <xf numFmtId="0" fontId="76" fillId="0" borderId="8" xfId="0" applyFont="1" applyBorder="1" applyAlignment="1">
      <alignment horizontal="centerContinuous" vertical="center"/>
    </xf>
    <xf numFmtId="1" fontId="65" fillId="0" borderId="8" xfId="0" applyNumberFormat="1" applyFont="1" applyBorder="1" applyAlignment="1">
      <alignment horizontal="centerContinuous" vertical="center"/>
    </xf>
    <xf numFmtId="1" fontId="77" fillId="0" borderId="8" xfId="0" applyNumberFormat="1" applyFont="1" applyBorder="1" applyAlignment="1">
      <alignment horizontal="centerContinuous" vertical="center"/>
    </xf>
    <xf numFmtId="1" fontId="78" fillId="0" borderId="8" xfId="0" applyNumberFormat="1" applyFont="1" applyBorder="1" applyAlignment="1">
      <alignment horizontal="centerContinuous" vertical="center"/>
    </xf>
    <xf numFmtId="1" fontId="6" fillId="0" borderId="8" xfId="0" applyNumberFormat="1" applyFont="1" applyBorder="1" applyAlignment="1">
      <alignment horizontal="centerContinuous" vertical="center"/>
    </xf>
    <xf numFmtId="1" fontId="79" fillId="0" borderId="8" xfId="0" applyNumberFormat="1" applyFont="1" applyBorder="1" applyAlignment="1">
      <alignment horizontal="centerContinuous" vertical="center"/>
    </xf>
    <xf numFmtId="1" fontId="9" fillId="0" borderId="8" xfId="0" applyNumberFormat="1" applyFont="1" applyBorder="1" applyAlignment="1">
      <alignment horizontal="centerContinuous" vertical="center"/>
    </xf>
    <xf numFmtId="0" fontId="70" fillId="0" borderId="0" xfId="0" applyFont="1" applyAlignment="1">
      <alignment horizontal="left"/>
    </xf>
    <xf numFmtId="10" fontId="80" fillId="0" borderId="0" xfId="0" applyNumberFormat="1" applyFont="1" applyAlignment="1">
      <alignment horizontal="center" vertical="center"/>
    </xf>
    <xf numFmtId="0" fontId="2" fillId="0" borderId="8" xfId="0" applyFont="1" applyBorder="1" applyAlignment="1">
      <alignment horizontal="center"/>
    </xf>
    <xf numFmtId="10" fontId="7" fillId="16" borderId="88" xfId="0" applyNumberFormat="1" applyFont="1" applyFill="1" applyBorder="1" applyAlignment="1">
      <alignment horizontal="center"/>
    </xf>
    <xf numFmtId="0" fontId="40" fillId="8" borderId="89" xfId="0" applyFont="1" applyFill="1" applyBorder="1" applyAlignment="1">
      <alignment horizontal="center"/>
    </xf>
    <xf numFmtId="1" fontId="44" fillId="26" borderId="0" xfId="0" applyNumberFormat="1" applyFont="1" applyFill="1" applyAlignment="1">
      <alignment horizontal="center"/>
    </xf>
    <xf numFmtId="0" fontId="7" fillId="0" borderId="11" xfId="0" applyFont="1" applyBorder="1" applyAlignment="1">
      <alignment horizontal="center"/>
    </xf>
    <xf numFmtId="164" fontId="0" fillId="0" borderId="7" xfId="0" applyNumberFormat="1" applyBorder="1"/>
    <xf numFmtId="0" fontId="2" fillId="0" borderId="7" xfId="0" applyFont="1" applyBorder="1" applyAlignment="1">
      <alignment horizontal="center"/>
    </xf>
    <xf numFmtId="44" fontId="2" fillId="0" borderId="7" xfId="0" applyNumberFormat="1" applyFont="1" applyBorder="1"/>
    <xf numFmtId="44" fontId="2" fillId="0" borderId="7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vertical="center" wrapText="1"/>
    </xf>
    <xf numFmtId="164" fontId="2" fillId="0" borderId="7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vertical="center" wrapText="1"/>
    </xf>
    <xf numFmtId="14" fontId="2" fillId="0" borderId="7" xfId="0" applyNumberFormat="1" applyFont="1" applyBorder="1" applyAlignment="1">
      <alignment horizontal="center" vertical="center" wrapText="1"/>
    </xf>
    <xf numFmtId="3" fontId="2" fillId="2" borderId="6" xfId="3" applyNumberFormat="1" applyFont="1" applyFill="1" applyBorder="1" applyAlignment="1">
      <alignment horizontal="center"/>
    </xf>
    <xf numFmtId="44" fontId="12" fillId="0" borderId="0" xfId="2" applyFont="1" applyFill="1" applyAlignment="1">
      <alignment vertical="center" wrapText="1"/>
    </xf>
    <xf numFmtId="10" fontId="6" fillId="0" borderId="4" xfId="3" applyNumberFormat="1" applyFont="1" applyBorder="1" applyAlignment="1">
      <alignment horizontal="center"/>
    </xf>
    <xf numFmtId="44" fontId="0" fillId="0" borderId="7" xfId="0" applyNumberFormat="1" applyBorder="1"/>
    <xf numFmtId="14" fontId="2" fillId="0" borderId="0" xfId="3" applyNumberFormat="1" applyFont="1" applyFill="1" applyBorder="1" applyAlignment="1">
      <alignment horizontal="center"/>
    </xf>
    <xf numFmtId="196" fontId="2" fillId="0" borderId="0" xfId="0" applyNumberFormat="1" applyFont="1" applyAlignment="1">
      <alignment horizontal="center"/>
    </xf>
    <xf numFmtId="14" fontId="2" fillId="0" borderId="0" xfId="2" applyNumberFormat="1" applyFont="1" applyFill="1" applyBorder="1" applyAlignment="1">
      <alignment horizontal="center" vertical="center"/>
    </xf>
    <xf numFmtId="180" fontId="2" fillId="0" borderId="6" xfId="3" applyNumberFormat="1" applyFont="1" applyBorder="1" applyAlignment="1">
      <alignment horizont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44" fontId="2" fillId="0" borderId="10" xfId="0" applyNumberFormat="1" applyFont="1" applyBorder="1"/>
    <xf numFmtId="14" fontId="2" fillId="0" borderId="10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64" fontId="2" fillId="0" borderId="0" xfId="0" applyNumberFormat="1" applyFont="1" applyAlignment="1">
      <alignment vertical="center" wrapText="1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7" fillId="32" borderId="90" xfId="6" applyNumberFormat="1" applyFont="1" applyFill="1" applyBorder="1" applyAlignment="1">
      <alignment horizontal="center" vertical="center"/>
    </xf>
    <xf numFmtId="0" fontId="67" fillId="32" borderId="7" xfId="0" applyFont="1" applyFill="1" applyBorder="1" applyAlignment="1">
      <alignment horizontal="center" vertical="center" wrapText="1"/>
    </xf>
    <xf numFmtId="0" fontId="9" fillId="0" borderId="0" xfId="7" applyFont="1" applyAlignment="1" applyProtection="1">
      <alignment vertical="center"/>
      <protection locked="0"/>
    </xf>
    <xf numFmtId="0" fontId="88" fillId="0" borderId="0" xfId="7" applyFont="1" applyAlignment="1" applyProtection="1">
      <alignment vertical="center"/>
      <protection locked="0"/>
    </xf>
    <xf numFmtId="0" fontId="6" fillId="0" borderId="0" xfId="7" applyFont="1" applyAlignment="1" applyProtection="1">
      <alignment vertical="center"/>
      <protection locked="0"/>
    </xf>
    <xf numFmtId="0" fontId="6" fillId="0" borderId="0" xfId="7" applyFont="1" applyAlignment="1" applyProtection="1">
      <alignment horizontal="center" vertical="center"/>
      <protection locked="0"/>
    </xf>
    <xf numFmtId="40" fontId="88" fillId="0" borderId="0" xfId="7" applyNumberFormat="1" applyFont="1" applyAlignment="1" applyProtection="1">
      <alignment horizontal="center" vertical="center"/>
      <protection locked="0"/>
    </xf>
    <xf numFmtId="0" fontId="45" fillId="0" borderId="50" xfId="7" applyFont="1" applyBorder="1" applyAlignment="1" applyProtection="1">
      <alignment vertical="center"/>
      <protection locked="0"/>
    </xf>
    <xf numFmtId="0" fontId="6" fillId="0" borderId="50" xfId="7" applyFont="1" applyBorder="1" applyAlignment="1" applyProtection="1">
      <alignment vertical="center"/>
      <protection locked="0"/>
    </xf>
    <xf numFmtId="0" fontId="89" fillId="0" borderId="0" xfId="7" applyFont="1" applyAlignment="1" applyProtection="1">
      <alignment horizontal="center" vertical="center"/>
      <protection locked="0"/>
    </xf>
    <xf numFmtId="0" fontId="88" fillId="0" borderId="64" xfId="7" applyFont="1" applyBorder="1" applyAlignment="1" applyProtection="1">
      <alignment vertical="center"/>
      <protection locked="0"/>
    </xf>
    <xf numFmtId="4" fontId="6" fillId="0" borderId="11" xfId="7" applyNumberFormat="1" applyFont="1" applyBorder="1" applyAlignment="1" applyProtection="1">
      <alignment vertical="center"/>
      <protection locked="0"/>
    </xf>
    <xf numFmtId="191" fontId="6" fillId="0" borderId="46" xfId="0" applyNumberFormat="1" applyFont="1" applyBorder="1" applyAlignment="1">
      <alignment horizontal="left" vertical="center"/>
    </xf>
    <xf numFmtId="4" fontId="6" fillId="0" borderId="12" xfId="7" applyNumberFormat="1" applyFont="1" applyBorder="1" applyAlignment="1" applyProtection="1">
      <alignment vertical="center"/>
      <protection locked="0"/>
    </xf>
    <xf numFmtId="4" fontId="6" fillId="0" borderId="0" xfId="7" applyNumberFormat="1" applyFont="1" applyAlignment="1" applyProtection="1">
      <alignment vertical="center"/>
      <protection locked="0"/>
    </xf>
    <xf numFmtId="4" fontId="6" fillId="23" borderId="11" xfId="7" applyNumberFormat="1" applyFont="1" applyFill="1" applyBorder="1" applyAlignment="1" applyProtection="1">
      <alignment vertical="center"/>
      <protection locked="0"/>
    </xf>
    <xf numFmtId="191" fontId="6" fillId="23" borderId="46" xfId="0" applyNumberFormat="1" applyFont="1" applyFill="1" applyBorder="1" applyAlignment="1">
      <alignment horizontal="left" vertical="center"/>
    </xf>
    <xf numFmtId="4" fontId="6" fillId="23" borderId="12" xfId="7" applyNumberFormat="1" applyFont="1" applyFill="1" applyBorder="1" applyAlignment="1" applyProtection="1">
      <alignment vertical="center"/>
      <protection locked="0"/>
    </xf>
    <xf numFmtId="3" fontId="6" fillId="0" borderId="0" xfId="7" applyNumberFormat="1" applyFont="1" applyAlignment="1" applyProtection="1">
      <alignment vertical="center"/>
      <protection locked="0"/>
    </xf>
    <xf numFmtId="4" fontId="6" fillId="0" borderId="0" xfId="7" applyNumberFormat="1" applyFont="1" applyAlignment="1" applyProtection="1">
      <alignment horizontal="left" vertical="center"/>
      <protection locked="0"/>
    </xf>
    <xf numFmtId="4" fontId="6" fillId="0" borderId="4" xfId="7" applyNumberFormat="1" applyFont="1" applyBorder="1" applyAlignment="1" applyProtection="1">
      <alignment vertical="center"/>
      <protection locked="0"/>
    </xf>
    <xf numFmtId="0" fontId="6" fillId="23" borderId="11" xfId="7" applyFont="1" applyFill="1" applyBorder="1" applyAlignment="1" applyProtection="1">
      <alignment vertical="center"/>
      <protection locked="0"/>
    </xf>
    <xf numFmtId="0" fontId="6" fillId="23" borderId="12" xfId="7" applyFont="1" applyFill="1" applyBorder="1" applyAlignment="1" applyProtection="1">
      <alignment vertical="center"/>
      <protection locked="0"/>
    </xf>
    <xf numFmtId="191" fontId="6" fillId="0" borderId="0" xfId="0" applyNumberFormat="1" applyFont="1" applyAlignment="1">
      <alignment horizontal="center" vertical="center"/>
    </xf>
    <xf numFmtId="4" fontId="6" fillId="0" borderId="50" xfId="7" applyNumberFormat="1" applyFont="1" applyBorder="1" applyAlignment="1" applyProtection="1">
      <alignment horizontal="center" vertical="center"/>
      <protection locked="0"/>
    </xf>
    <xf numFmtId="0" fontId="6" fillId="0" borderId="50" xfId="7" applyFont="1" applyBorder="1" applyAlignment="1" applyProtection="1">
      <alignment horizontal="center" vertical="center"/>
      <protection locked="0"/>
    </xf>
    <xf numFmtId="0" fontId="44" fillId="14" borderId="7" xfId="7" applyFont="1" applyFill="1" applyBorder="1" applyAlignment="1" applyProtection="1">
      <alignment horizontal="center" vertical="center"/>
      <protection locked="0"/>
    </xf>
    <xf numFmtId="0" fontId="44" fillId="14" borderId="7" xfId="7" applyFont="1" applyFill="1" applyBorder="1" applyAlignment="1" applyProtection="1">
      <alignment vertical="center"/>
      <protection locked="0"/>
    </xf>
    <xf numFmtId="0" fontId="44" fillId="14" borderId="0" xfId="24" applyFont="1" applyFill="1" applyAlignment="1" applyProtection="1">
      <alignment vertical="center"/>
      <protection locked="0"/>
    </xf>
    <xf numFmtId="0" fontId="6" fillId="0" borderId="7" xfId="7" applyFont="1" applyBorder="1" applyAlignment="1" applyProtection="1">
      <alignment horizontal="center" vertical="center"/>
      <protection locked="0"/>
    </xf>
    <xf numFmtId="0" fontId="6" fillId="0" borderId="7" xfId="7" applyFont="1" applyBorder="1" applyAlignment="1" applyProtection="1">
      <alignment vertical="center"/>
      <protection locked="0"/>
    </xf>
    <xf numFmtId="0" fontId="6" fillId="0" borderId="0" xfId="24" applyFont="1" applyAlignment="1" applyProtection="1">
      <alignment vertical="center"/>
      <protection locked="0"/>
    </xf>
    <xf numFmtId="0" fontId="6" fillId="0" borderId="0" xfId="0" applyFont="1" applyAlignment="1">
      <alignment horizontal="center"/>
    </xf>
    <xf numFmtId="191" fontId="6" fillId="0" borderId="50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179" fontId="44" fillId="15" borderId="7" xfId="11" applyNumberFormat="1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/>
    </xf>
    <xf numFmtId="37" fontId="6" fillId="0" borderId="7" xfId="0" applyNumberFormat="1" applyFont="1" applyBorder="1" applyAlignment="1">
      <alignment horizontal="center" vertical="center"/>
    </xf>
    <xf numFmtId="191" fontId="6" fillId="11" borderId="7" xfId="0" applyNumberFormat="1" applyFont="1" applyFill="1" applyBorder="1" applyAlignment="1">
      <alignment horizontal="center" vertical="center"/>
    </xf>
    <xf numFmtId="182" fontId="6" fillId="0" borderId="0" xfId="7" applyNumberFormat="1" applyFont="1" applyAlignment="1" applyProtection="1">
      <alignment vertical="center"/>
      <protection locked="0"/>
    </xf>
    <xf numFmtId="0" fontId="6" fillId="0" borderId="0" xfId="7" applyFont="1" applyAlignment="1" applyProtection="1">
      <alignment horizontal="left" vertical="top"/>
      <protection locked="0"/>
    </xf>
    <xf numFmtId="0" fontId="76" fillId="0" borderId="0" xfId="26" applyFont="1" applyAlignment="1" applyProtection="1">
      <alignment vertical="center"/>
      <protection locked="0"/>
    </xf>
    <xf numFmtId="0" fontId="91" fillId="0" borderId="50" xfId="26" applyFont="1" applyBorder="1" applyAlignment="1" applyProtection="1">
      <alignment vertical="center"/>
      <protection locked="0"/>
    </xf>
    <xf numFmtId="0" fontId="9" fillId="0" borderId="50" xfId="7" applyFont="1" applyBorder="1" applyAlignment="1" applyProtection="1">
      <alignment vertical="center"/>
      <protection locked="0"/>
    </xf>
    <xf numFmtId="0" fontId="9" fillId="0" borderId="50" xfId="7" applyFont="1" applyBorder="1" applyAlignment="1" applyProtection="1">
      <alignment horizontal="center" vertical="center"/>
      <protection locked="0"/>
    </xf>
    <xf numFmtId="0" fontId="91" fillId="0" borderId="50" xfId="26" applyFont="1" applyBorder="1" applyAlignment="1" applyProtection="1">
      <alignment horizontal="right" vertical="center"/>
      <protection locked="0"/>
    </xf>
    <xf numFmtId="0" fontId="92" fillId="0" borderId="50" xfId="26" applyFont="1" applyBorder="1" applyAlignment="1" applyProtection="1">
      <alignment vertical="center"/>
      <protection locked="0"/>
    </xf>
    <xf numFmtId="0" fontId="92" fillId="0" borderId="0" xfId="26" applyFont="1" applyAlignment="1" applyProtection="1">
      <alignment vertical="center"/>
      <protection locked="0"/>
    </xf>
    <xf numFmtId="39" fontId="76" fillId="0" borderId="8" xfId="7" applyNumberFormat="1" applyFont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Alignment="1" applyProtection="1">
      <alignment horizontal="centerContinuous" vertical="center"/>
      <protection locked="0"/>
    </xf>
    <xf numFmtId="39" fontId="76" fillId="8" borderId="0" xfId="7" applyNumberFormat="1" applyFont="1" applyFill="1" applyAlignment="1" applyProtection="1">
      <alignment horizontal="center" vertical="center"/>
      <protection locked="0"/>
    </xf>
    <xf numFmtId="39" fontId="76" fillId="0" borderId="0" xfId="7" applyNumberFormat="1" applyFont="1" applyAlignment="1" applyProtection="1">
      <alignment horizontal="centerContinuous" vertical="center"/>
      <protection locked="0"/>
    </xf>
    <xf numFmtId="39" fontId="76" fillId="0" borderId="0" xfId="7" applyNumberFormat="1" applyFont="1" applyAlignment="1" applyProtection="1">
      <alignment horizontal="center" vertical="center"/>
      <protection locked="0"/>
    </xf>
    <xf numFmtId="0" fontId="9" fillId="8" borderId="0" xfId="7" applyFont="1" applyFill="1" applyAlignment="1" applyProtection="1">
      <alignment vertical="center"/>
      <protection locked="0"/>
    </xf>
    <xf numFmtId="0" fontId="9" fillId="0" borderId="0" xfId="7" applyFont="1" applyAlignment="1">
      <alignment vertical="center"/>
    </xf>
    <xf numFmtId="39" fontId="76" fillId="8" borderId="0" xfId="7" applyNumberFormat="1" applyFont="1" applyFill="1" applyAlignment="1" applyProtection="1">
      <alignment vertical="center"/>
      <protection locked="0"/>
    </xf>
    <xf numFmtId="179" fontId="91" fillId="30" borderId="0" xfId="11" applyNumberFormat="1" applyFont="1" applyFill="1" applyBorder="1" applyAlignment="1" applyProtection="1">
      <alignment horizontal="center" vertical="center" wrapText="1"/>
      <protection locked="0"/>
    </xf>
    <xf numFmtId="0" fontId="91" fillId="24" borderId="0" xfId="11" applyFont="1" applyFill="1" applyBorder="1" applyAlignment="1" applyProtection="1">
      <alignment horizontal="center" vertical="center" wrapText="1"/>
      <protection locked="0"/>
    </xf>
    <xf numFmtId="0" fontId="91" fillId="30" borderId="0" xfId="11" applyFont="1" applyFill="1" applyBorder="1" applyAlignment="1" applyProtection="1">
      <alignment horizontal="center" vertical="center" wrapText="1"/>
      <protection locked="0"/>
    </xf>
    <xf numFmtId="183" fontId="9" fillId="8" borderId="0" xfId="7" applyNumberFormat="1" applyFont="1" applyFill="1" applyAlignment="1" applyProtection="1">
      <alignment vertical="center"/>
      <protection locked="0"/>
    </xf>
    <xf numFmtId="183" fontId="9" fillId="14" borderId="0" xfId="7" applyNumberFormat="1" applyFont="1" applyFill="1" applyAlignment="1" applyProtection="1">
      <alignment vertical="center"/>
      <protection locked="0"/>
    </xf>
    <xf numFmtId="0" fontId="91" fillId="0" borderId="0" xfId="11" applyFont="1" applyAlignment="1" applyProtection="1">
      <alignment horizontal="center" vertical="center" wrapText="1"/>
      <protection locked="0"/>
    </xf>
    <xf numFmtId="179" fontId="91" fillId="30" borderId="149" xfId="11" applyNumberFormat="1" applyFont="1" applyFill="1" applyBorder="1" applyAlignment="1">
      <alignment horizontal="center" vertical="center" wrapText="1"/>
    </xf>
    <xf numFmtId="0" fontId="91" fillId="24" borderId="150" xfId="11" applyFont="1" applyFill="1" applyBorder="1" applyAlignment="1" applyProtection="1">
      <alignment horizontal="center" vertical="center" wrapText="1"/>
      <protection locked="0"/>
    </xf>
    <xf numFmtId="0" fontId="91" fillId="24" borderId="151" xfId="11" applyFont="1" applyFill="1" applyBorder="1" applyAlignment="1" applyProtection="1">
      <alignment horizontal="center" vertical="center" wrapText="1"/>
      <protection locked="0"/>
    </xf>
    <xf numFmtId="179" fontId="93" fillId="30" borderId="0" xfId="11" applyNumberFormat="1" applyFont="1" applyFill="1" applyAlignment="1" applyProtection="1">
      <alignment horizontal="center" vertical="center" wrapText="1"/>
      <protection locked="0"/>
    </xf>
    <xf numFmtId="179" fontId="91" fillId="30" borderId="48" xfId="11" applyNumberFormat="1" applyFont="1" applyFill="1" applyBorder="1" applyAlignment="1" applyProtection="1">
      <alignment horizontal="center" vertical="center" wrapText="1"/>
      <protection locked="0"/>
    </xf>
    <xf numFmtId="0" fontId="91" fillId="24" borderId="30" xfId="11" applyFont="1" applyFill="1" applyBorder="1" applyAlignment="1" applyProtection="1">
      <alignment horizontal="center" vertical="center" wrapText="1"/>
      <protection locked="0"/>
    </xf>
    <xf numFmtId="0" fontId="91" fillId="14" borderId="31" xfId="24" applyFont="1" applyFill="1" applyBorder="1" applyAlignment="1">
      <alignment horizontal="center" vertical="center" wrapText="1"/>
    </xf>
    <xf numFmtId="0" fontId="91" fillId="24" borderId="31" xfId="23" applyFont="1" applyFill="1" applyBorder="1" applyAlignment="1" applyProtection="1">
      <alignment horizontal="center" vertical="center" wrapText="1"/>
      <protection locked="0"/>
    </xf>
    <xf numFmtId="0" fontId="91" fillId="24" borderId="31" xfId="22" applyFont="1" applyFill="1" applyBorder="1" applyAlignment="1" applyProtection="1">
      <alignment horizontal="center" vertical="center" wrapText="1"/>
      <protection locked="0"/>
    </xf>
    <xf numFmtId="39" fontId="76" fillId="8" borderId="8" xfId="7" applyNumberFormat="1" applyFont="1" applyFill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Border="1" applyAlignment="1" applyProtection="1">
      <alignment horizontal="center" vertical="center"/>
      <protection locked="0"/>
    </xf>
    <xf numFmtId="0" fontId="9" fillId="8" borderId="0" xfId="7" applyFont="1" applyFill="1" applyBorder="1" applyAlignment="1" applyProtection="1">
      <alignment vertical="center"/>
      <protection locked="0"/>
    </xf>
    <xf numFmtId="0" fontId="9" fillId="8" borderId="8" xfId="7" applyFont="1" applyFill="1" applyBorder="1" applyAlignment="1">
      <alignment vertical="center"/>
    </xf>
    <xf numFmtId="39" fontId="76" fillId="8" borderId="8" xfId="7" applyNumberFormat="1" applyFont="1" applyFill="1" applyBorder="1" applyAlignment="1" applyProtection="1">
      <alignment vertical="center"/>
      <protection locked="0"/>
    </xf>
    <xf numFmtId="39" fontId="76" fillId="8" borderId="8" xfId="7" applyNumberFormat="1" applyFont="1" applyFill="1" applyBorder="1" applyAlignment="1" applyProtection="1">
      <alignment horizontal="right" vertical="center"/>
      <protection locked="0"/>
    </xf>
    <xf numFmtId="39" fontId="6" fillId="16" borderId="8" xfId="7" applyNumberFormat="1" applyFont="1" applyFill="1" applyBorder="1" applyAlignment="1" applyProtection="1">
      <alignment horizontal="center" vertical="center"/>
      <protection locked="0"/>
    </xf>
    <xf numFmtId="39" fontId="6" fillId="16" borderId="8" xfId="7" applyNumberFormat="1" applyFont="1" applyFill="1" applyBorder="1" applyAlignment="1">
      <alignment horizontal="center" vertical="center"/>
    </xf>
    <xf numFmtId="39" fontId="6" fillId="16" borderId="8" xfId="7" applyNumberFormat="1" applyFont="1" applyFill="1" applyBorder="1" applyAlignment="1">
      <alignment horizontal="left" vertical="center"/>
    </xf>
    <xf numFmtId="39" fontId="6" fillId="16" borderId="159" xfId="7" applyNumberFormat="1" applyFont="1" applyFill="1" applyBorder="1" applyAlignment="1">
      <alignment horizontal="center" vertical="center"/>
    </xf>
    <xf numFmtId="39" fontId="6" fillId="16" borderId="157" xfId="7" applyNumberFormat="1" applyFont="1" applyFill="1" applyBorder="1" applyAlignment="1">
      <alignment horizontal="left" vertical="center"/>
    </xf>
    <xf numFmtId="39" fontId="6" fillId="16" borderId="158" xfId="7" applyNumberFormat="1" applyFont="1" applyFill="1" applyBorder="1" applyAlignment="1">
      <alignment horizontal="left" vertical="center"/>
    </xf>
    <xf numFmtId="0" fontId="65" fillId="24" borderId="103" xfId="7" applyFont="1" applyFill="1" applyBorder="1" applyAlignment="1">
      <alignment horizontal="center" vertical="center"/>
    </xf>
    <xf numFmtId="1" fontId="65" fillId="24" borderId="104" xfId="7" applyNumberFormat="1" applyFont="1" applyFill="1" applyBorder="1" applyAlignment="1">
      <alignment horizontal="center" vertical="center"/>
    </xf>
    <xf numFmtId="37" fontId="65" fillId="24" borderId="104" xfId="7" applyNumberFormat="1" applyFont="1" applyFill="1" applyBorder="1" applyAlignment="1">
      <alignment horizontal="center" vertical="center"/>
    </xf>
    <xf numFmtId="183" fontId="65" fillId="24" borderId="105" xfId="7" applyNumberFormat="1" applyFont="1" applyFill="1" applyBorder="1" applyAlignment="1">
      <alignment horizontal="center" vertical="center"/>
    </xf>
    <xf numFmtId="10" fontId="6" fillId="24" borderId="8" xfId="13" applyNumberFormat="1" applyFont="1" applyFill="1" applyBorder="1" applyAlignment="1" applyProtection="1">
      <alignment horizontal="center" vertical="center"/>
    </xf>
    <xf numFmtId="183" fontId="6" fillId="24" borderId="8" xfId="7" applyNumberFormat="1" applyFont="1" applyFill="1" applyBorder="1" applyAlignment="1">
      <alignment vertical="center"/>
    </xf>
    <xf numFmtId="183" fontId="6" fillId="24" borderId="0" xfId="7" applyNumberFormat="1" applyFont="1" applyFill="1" applyAlignment="1" applyProtection="1">
      <alignment vertical="center"/>
      <protection locked="0"/>
    </xf>
    <xf numFmtId="39" fontId="6" fillId="24" borderId="8" xfId="7" applyNumberFormat="1" applyFont="1" applyFill="1" applyBorder="1" applyAlignment="1" applyProtection="1">
      <alignment horizontal="center" vertical="center" wrapText="1"/>
      <protection locked="0"/>
    </xf>
    <xf numFmtId="39" fontId="6" fillId="24" borderId="8" xfId="7" applyNumberFormat="1" applyFont="1" applyFill="1" applyBorder="1" applyAlignment="1" applyProtection="1">
      <alignment horizontal="left" vertical="center" wrapText="1"/>
      <protection locked="0"/>
    </xf>
    <xf numFmtId="39" fontId="6" fillId="24" borderId="8" xfId="7" applyNumberFormat="1" applyFont="1" applyFill="1" applyBorder="1" applyAlignment="1" applyProtection="1">
      <alignment horizontal="center" vertical="center"/>
      <protection locked="0"/>
    </xf>
    <xf numFmtId="39" fontId="44" fillId="24" borderId="8" xfId="7" applyNumberFormat="1" applyFont="1" applyFill="1" applyBorder="1" applyAlignment="1" applyProtection="1">
      <alignment horizontal="center" vertical="center"/>
      <protection locked="0"/>
    </xf>
    <xf numFmtId="40" fontId="44" fillId="24" borderId="8" xfId="7" applyNumberFormat="1" applyFont="1" applyFill="1" applyBorder="1" applyAlignment="1" applyProtection="1">
      <alignment horizontal="center" vertical="center"/>
      <protection locked="0"/>
    </xf>
    <xf numFmtId="40" fontId="6" fillId="24" borderId="0" xfId="7" applyNumberFormat="1" applyFont="1" applyFill="1" applyAlignment="1" applyProtection="1">
      <alignment horizontal="center" vertical="center"/>
      <protection locked="0"/>
    </xf>
    <xf numFmtId="39" fontId="6" fillId="24" borderId="0" xfId="7" applyNumberFormat="1" applyFont="1" applyFill="1" applyAlignment="1" applyProtection="1">
      <alignment horizontal="center" vertical="center"/>
      <protection locked="0"/>
    </xf>
    <xf numFmtId="0" fontId="6" fillId="24" borderId="0" xfId="7" applyFont="1" applyFill="1" applyAlignment="1" applyProtection="1">
      <alignment vertical="center"/>
      <protection locked="0"/>
    </xf>
    <xf numFmtId="0" fontId="65" fillId="24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8" borderId="0" xfId="7" applyFont="1" applyFill="1" applyAlignment="1" applyProtection="1">
      <alignment vertical="center"/>
      <protection locked="0"/>
    </xf>
    <xf numFmtId="0" fontId="90" fillId="18" borderId="0" xfId="14" applyFont="1" applyFill="1"/>
    <xf numFmtId="0" fontId="94" fillId="18" borderId="0" xfId="14" applyFont="1" applyFill="1"/>
    <xf numFmtId="39" fontId="76" fillId="34" borderId="0" xfId="7" applyNumberFormat="1" applyFont="1" applyFill="1" applyAlignment="1" applyProtection="1">
      <alignment horizontal="centerContinuous" vertical="center"/>
      <protection locked="0"/>
    </xf>
    <xf numFmtId="0" fontId="9" fillId="34" borderId="0" xfId="7" applyFont="1" applyFill="1" applyAlignment="1" applyProtection="1">
      <alignment horizontal="center" vertical="center"/>
      <protection locked="0"/>
    </xf>
    <xf numFmtId="0" fontId="9" fillId="34" borderId="0" xfId="7" applyFont="1" applyFill="1" applyAlignment="1" applyProtection="1">
      <alignment vertical="center"/>
      <protection locked="0"/>
    </xf>
    <xf numFmtId="0" fontId="9" fillId="34" borderId="93" xfId="7" applyFont="1" applyFill="1" applyBorder="1" applyAlignment="1" applyProtection="1">
      <alignment vertical="center"/>
      <protection locked="0"/>
    </xf>
    <xf numFmtId="0" fontId="9" fillId="34" borderId="130" xfId="7" applyFont="1" applyFill="1" applyBorder="1" applyAlignment="1" applyProtection="1">
      <alignment vertical="center"/>
      <protection locked="0"/>
    </xf>
    <xf numFmtId="183" fontId="9" fillId="34" borderId="0" xfId="7" applyNumberFormat="1" applyFont="1" applyFill="1" applyAlignment="1">
      <alignment vertical="center"/>
    </xf>
    <xf numFmtId="183" fontId="9" fillId="34" borderId="0" xfId="7" applyNumberFormat="1" applyFont="1" applyFill="1" applyAlignment="1" applyProtection="1">
      <alignment vertical="center"/>
      <protection locked="0"/>
    </xf>
    <xf numFmtId="39" fontId="76" fillId="34" borderId="0" xfId="7" applyNumberFormat="1" applyFont="1" applyFill="1" applyAlignment="1" applyProtection="1">
      <alignment vertical="center"/>
      <protection locked="0"/>
    </xf>
    <xf numFmtId="39" fontId="76" fillId="34" borderId="0" xfId="7" applyNumberFormat="1" applyFont="1" applyFill="1" applyAlignment="1" applyProtection="1">
      <alignment horizontal="center" vertical="center"/>
      <protection locked="0"/>
    </xf>
    <xf numFmtId="0" fontId="10" fillId="14" borderId="37" xfId="15" applyFont="1" applyFill="1" applyBorder="1" applyAlignment="1">
      <alignment horizontal="center"/>
    </xf>
    <xf numFmtId="0" fontId="10" fillId="14" borderId="36" xfId="15" applyFont="1" applyFill="1" applyBorder="1" applyAlignment="1">
      <alignment horizontal="center"/>
    </xf>
    <xf numFmtId="0" fontId="10" fillId="14" borderId="44" xfId="15" applyFont="1" applyFill="1" applyBorder="1" applyAlignment="1">
      <alignment horizontal="center"/>
    </xf>
    <xf numFmtId="0" fontId="11" fillId="14" borderId="43" xfId="15" applyFont="1" applyFill="1" applyBorder="1" applyAlignment="1">
      <alignment horizontal="center"/>
    </xf>
    <xf numFmtId="0" fontId="6" fillId="13" borderId="0" xfId="14" applyFont="1" applyFill="1" applyAlignment="1">
      <alignment horizontal="center"/>
    </xf>
    <xf numFmtId="0" fontId="95" fillId="13" borderId="0" xfId="14" applyFont="1" applyFill="1"/>
    <xf numFmtId="9" fontId="95" fillId="13" borderId="0" xfId="14" applyNumberFormat="1" applyFont="1" applyFill="1" applyAlignment="1">
      <alignment horizontal="center"/>
    </xf>
    <xf numFmtId="0" fontId="9" fillId="24" borderId="0" xfId="7" applyFont="1" applyFill="1" applyAlignment="1" applyProtection="1">
      <alignment horizontal="center" vertical="center"/>
      <protection locked="0"/>
    </xf>
    <xf numFmtId="0" fontId="9" fillId="9" borderId="0" xfId="7" applyFont="1" applyFill="1" applyAlignment="1">
      <alignment horizontal="center" vertical="center"/>
    </xf>
    <xf numFmtId="0" fontId="9" fillId="9" borderId="0" xfId="7" applyFont="1" applyFill="1" applyAlignment="1" applyProtection="1">
      <alignment horizontal="center" vertical="center"/>
      <protection locked="0"/>
    </xf>
    <xf numFmtId="182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9" borderId="93" xfId="7" applyFont="1" applyFill="1" applyBorder="1" applyAlignment="1">
      <alignment horizontal="center" vertical="center"/>
    </xf>
    <xf numFmtId="39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9" borderId="130" xfId="7" applyFont="1" applyFill="1" applyBorder="1" applyAlignment="1">
      <alignment horizontal="center" vertical="center"/>
    </xf>
    <xf numFmtId="186" fontId="9" fillId="8" borderId="129" xfId="7" applyNumberFormat="1" applyFont="1" applyFill="1" applyBorder="1" applyAlignment="1" applyProtection="1">
      <alignment horizontal="center" vertical="center"/>
      <protection locked="0"/>
    </xf>
    <xf numFmtId="186" fontId="9" fillId="8" borderId="92" xfId="7" applyNumberFormat="1" applyFont="1" applyFill="1" applyBorder="1" applyAlignment="1" applyProtection="1">
      <alignment horizontal="center" vertical="center"/>
      <protection locked="0"/>
    </xf>
    <xf numFmtId="186" fontId="9" fillId="8" borderId="130" xfId="7" applyNumberFormat="1" applyFont="1" applyFill="1" applyBorder="1" applyAlignment="1" applyProtection="1">
      <alignment horizontal="center" vertical="center"/>
      <protection locked="0"/>
    </xf>
    <xf numFmtId="186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8" borderId="106" xfId="7" applyFont="1" applyFill="1" applyBorder="1" applyAlignment="1" applyProtection="1">
      <alignment horizontal="center" vertical="center"/>
      <protection locked="0"/>
    </xf>
    <xf numFmtId="37" fontId="9" fillId="8" borderId="93" xfId="7" applyNumberFormat="1" applyFont="1" applyFill="1" applyBorder="1" applyAlignment="1" applyProtection="1">
      <alignment horizontal="center" vertical="center"/>
      <protection locked="0"/>
    </xf>
    <xf numFmtId="185" fontId="9" fillId="8" borderId="98" xfId="7" applyNumberFormat="1" applyFont="1" applyFill="1" applyBorder="1" applyAlignment="1" applyProtection="1">
      <alignment horizontal="center" vertical="center"/>
      <protection locked="0"/>
    </xf>
    <xf numFmtId="10" fontId="9" fillId="8" borderId="0" xfId="13" applyNumberFormat="1" applyFont="1" applyFill="1" applyBorder="1" applyAlignment="1" applyProtection="1">
      <alignment horizontal="center" vertical="center"/>
    </xf>
    <xf numFmtId="39" fontId="9" fillId="8" borderId="0" xfId="7" applyNumberFormat="1" applyFont="1" applyFill="1" applyAlignment="1">
      <alignment horizontal="center" vertical="center"/>
    </xf>
    <xf numFmtId="183" fontId="9" fillId="0" borderId="0" xfId="7" applyNumberFormat="1" applyFont="1" applyAlignment="1" applyProtection="1">
      <alignment vertical="center"/>
      <protection locked="0"/>
    </xf>
    <xf numFmtId="2" fontId="9" fillId="9" borderId="0" xfId="7" applyNumberFormat="1" applyFont="1" applyFill="1" applyAlignment="1">
      <alignment horizontal="center" vertical="center"/>
    </xf>
    <xf numFmtId="178" fontId="9" fillId="0" borderId="0" xfId="10" applyNumberFormat="1" applyFont="1" applyFill="1" applyBorder="1" applyAlignment="1" applyProtection="1">
      <alignment horizontal="center" vertical="center" wrapText="1"/>
    </xf>
    <xf numFmtId="178" fontId="9" fillId="4" borderId="0" xfId="10" applyNumberFormat="1" applyFont="1" applyFill="1" applyBorder="1" applyAlignment="1" applyProtection="1">
      <alignment horizontal="center" vertical="center" wrapText="1"/>
    </xf>
    <xf numFmtId="174" fontId="9" fillId="19" borderId="0" xfId="10" applyFont="1" applyFill="1" applyBorder="1" applyAlignment="1" applyProtection="1">
      <alignment horizontal="center" vertical="center" wrapText="1"/>
    </xf>
    <xf numFmtId="0" fontId="96" fillId="20" borderId="42" xfId="15" applyFont="1" applyFill="1" applyBorder="1" applyAlignment="1">
      <alignment horizontal="center"/>
    </xf>
    <xf numFmtId="174" fontId="96" fillId="20" borderId="41" xfId="10" applyFont="1" applyFill="1" applyBorder="1" applyAlignment="1" applyProtection="1">
      <alignment horizontal="center"/>
    </xf>
    <xf numFmtId="0" fontId="92" fillId="20" borderId="37" xfId="15" applyFont="1" applyFill="1" applyBorder="1" applyAlignment="1">
      <alignment horizontal="center"/>
    </xf>
    <xf numFmtId="188" fontId="92" fillId="0" borderId="36" xfId="18" applyFont="1" applyFill="1" applyBorder="1" applyAlignment="1" applyProtection="1">
      <alignment horizontal="center"/>
    </xf>
    <xf numFmtId="0" fontId="6" fillId="0" borderId="0" xfId="14" applyFont="1" applyAlignment="1">
      <alignment horizontal="center"/>
    </xf>
    <xf numFmtId="0" fontId="95" fillId="0" borderId="0" xfId="14" applyFont="1"/>
    <xf numFmtId="10" fontId="95" fillId="0" borderId="0" xfId="14" applyNumberFormat="1" applyFont="1" applyAlignment="1">
      <alignment horizontal="center"/>
    </xf>
    <xf numFmtId="0" fontId="9" fillId="16" borderId="0" xfId="7" applyFont="1" applyFill="1" applyAlignment="1">
      <alignment horizontal="center" vertical="center"/>
    </xf>
    <xf numFmtId="0" fontId="9" fillId="16" borderId="0" xfId="7" applyFont="1" applyFill="1" applyAlignment="1" applyProtection="1">
      <alignment horizontal="center" vertical="center"/>
      <protection locked="0"/>
    </xf>
    <xf numFmtId="0" fontId="9" fillId="16" borderId="93" xfId="7" applyFont="1" applyFill="1" applyBorder="1" applyAlignment="1">
      <alignment horizontal="center" vertical="center"/>
    </xf>
    <xf numFmtId="0" fontId="9" fillId="16" borderId="130" xfId="7" applyFont="1" applyFill="1" applyBorder="1" applyAlignment="1">
      <alignment horizontal="center" vertical="center"/>
    </xf>
    <xf numFmtId="10" fontId="9" fillId="11" borderId="0" xfId="13" applyNumberFormat="1" applyFont="1" applyFill="1" applyBorder="1" applyAlignment="1" applyProtection="1">
      <alignment horizontal="center" vertical="center"/>
    </xf>
    <xf numFmtId="184" fontId="9" fillId="11" borderId="0" xfId="7" applyNumberFormat="1" applyFont="1" applyFill="1" applyAlignment="1">
      <alignment horizontal="center" vertical="center"/>
    </xf>
    <xf numFmtId="183" fontId="9" fillId="0" borderId="0" xfId="7" applyNumberFormat="1" applyFont="1" applyAlignment="1" applyProtection="1">
      <alignment horizontal="left" vertical="center"/>
      <protection locked="0"/>
    </xf>
    <xf numFmtId="2" fontId="9" fillId="16" borderId="0" xfId="7" applyNumberFormat="1" applyFont="1" applyFill="1" applyAlignment="1">
      <alignment horizontal="center" vertical="center"/>
    </xf>
    <xf numFmtId="189" fontId="96" fillId="16" borderId="41" xfId="10" applyNumberFormat="1" applyFont="1" applyFill="1" applyBorder="1" applyAlignment="1" applyProtection="1">
      <alignment horizontal="center"/>
    </xf>
    <xf numFmtId="174" fontId="92" fillId="20" borderId="36" xfId="10" applyFont="1" applyFill="1" applyBorder="1" applyAlignment="1" applyProtection="1">
      <alignment horizontal="center"/>
    </xf>
    <xf numFmtId="10" fontId="95" fillId="13" borderId="0" xfId="14" applyNumberFormat="1" applyFont="1" applyFill="1" applyAlignment="1">
      <alignment horizontal="center"/>
    </xf>
    <xf numFmtId="174" fontId="96" fillId="16" borderId="41" xfId="10" applyFont="1" applyFill="1" applyBorder="1" applyAlignment="1" applyProtection="1">
      <alignment horizontal="center"/>
    </xf>
    <xf numFmtId="174" fontId="92" fillId="20" borderId="36" xfId="13" applyNumberFormat="1" applyFont="1" applyFill="1" applyBorder="1" applyAlignment="1" applyProtection="1">
      <alignment horizontal="right"/>
    </xf>
    <xf numFmtId="0" fontId="96" fillId="20" borderId="33" xfId="15" applyFont="1" applyFill="1" applyBorder="1" applyAlignment="1">
      <alignment horizontal="center"/>
    </xf>
    <xf numFmtId="174" fontId="96" fillId="16" borderId="32" xfId="10" applyFont="1" applyFill="1" applyBorder="1" applyAlignment="1" applyProtection="1">
      <alignment horizontal="center"/>
    </xf>
    <xf numFmtId="188" fontId="76" fillId="0" borderId="36" xfId="19" applyFont="1" applyFill="1" applyBorder="1" applyAlignment="1" applyProtection="1">
      <alignment horizontal="center"/>
    </xf>
    <xf numFmtId="174" fontId="92" fillId="20" borderId="40" xfId="10" applyFont="1" applyFill="1" applyBorder="1" applyAlignment="1" applyProtection="1">
      <alignment horizontal="center"/>
    </xf>
    <xf numFmtId="174" fontId="92" fillId="20" borderId="0" xfId="10" applyFont="1" applyFill="1" applyBorder="1" applyAlignment="1" applyProtection="1">
      <alignment horizontal="center"/>
    </xf>
    <xf numFmtId="2" fontId="92" fillId="20" borderId="0" xfId="15" applyNumberFormat="1" applyFont="1" applyFill="1" applyAlignment="1">
      <alignment horizontal="center"/>
    </xf>
    <xf numFmtId="0" fontId="9" fillId="20" borderId="35" xfId="15" applyFont="1" applyFill="1" applyBorder="1" applyAlignment="1">
      <alignment horizontal="center"/>
    </xf>
    <xf numFmtId="2" fontId="9" fillId="20" borderId="34" xfId="15" applyNumberFormat="1" applyFont="1" applyFill="1" applyBorder="1" applyAlignment="1">
      <alignment horizontal="center"/>
    </xf>
    <xf numFmtId="0" fontId="9" fillId="0" borderId="38" xfId="15" applyFont="1" applyBorder="1" applyAlignment="1">
      <alignment horizontal="center"/>
    </xf>
    <xf numFmtId="188" fontId="9" fillId="0" borderId="32" xfId="18" applyFont="1" applyBorder="1" applyAlignment="1" applyProtection="1">
      <alignment horizontal="center"/>
    </xf>
    <xf numFmtId="0" fontId="9" fillId="20" borderId="33" xfId="15" applyFont="1" applyFill="1" applyBorder="1" applyAlignment="1">
      <alignment horizontal="center"/>
    </xf>
    <xf numFmtId="2" fontId="9" fillId="20" borderId="32" xfId="15" applyNumberFormat="1" applyFont="1" applyFill="1" applyBorder="1" applyAlignment="1">
      <alignment horizontal="center"/>
    </xf>
    <xf numFmtId="0" fontId="6" fillId="0" borderId="0" xfId="14" applyFont="1" applyAlignment="1" applyProtection="1">
      <alignment horizontal="center"/>
      <protection locked="0"/>
    </xf>
    <xf numFmtId="0" fontId="95" fillId="0" borderId="0" xfId="14" applyFont="1" applyProtection="1">
      <protection locked="0"/>
    </xf>
    <xf numFmtId="0" fontId="9" fillId="20" borderId="34" xfId="15" applyFont="1" applyFill="1" applyBorder="1" applyAlignment="1">
      <alignment horizontal="center"/>
    </xf>
    <xf numFmtId="179" fontId="7" fillId="24" borderId="31" xfId="11" applyNumberFormat="1" applyFont="1" applyFill="1" applyBorder="1" applyAlignment="1">
      <alignment horizontal="center" vertical="center" wrapText="1"/>
    </xf>
    <xf numFmtId="0" fontId="9" fillId="20" borderId="32" xfId="15" applyFont="1" applyFill="1" applyBorder="1" applyAlignment="1">
      <alignment horizontal="center"/>
    </xf>
    <xf numFmtId="0" fontId="76" fillId="16" borderId="33" xfId="15" applyFont="1" applyFill="1" applyBorder="1" applyAlignment="1">
      <alignment horizontal="left"/>
    </xf>
    <xf numFmtId="0" fontId="76" fillId="16" borderId="32" xfId="18" applyNumberFormat="1" applyFont="1" applyFill="1" applyBorder="1" applyAlignment="1" applyProtection="1">
      <alignment horizontal="center"/>
    </xf>
    <xf numFmtId="183" fontId="97" fillId="0" borderId="0" xfId="7" applyNumberFormat="1" applyFont="1" applyAlignment="1" applyProtection="1">
      <alignment horizontal="left" vertical="center"/>
      <protection locked="0"/>
    </xf>
    <xf numFmtId="0" fontId="97" fillId="0" borderId="0" xfId="7" applyFont="1" applyAlignment="1" applyProtection="1">
      <alignment vertical="center"/>
      <protection locked="0"/>
    </xf>
    <xf numFmtId="187" fontId="9" fillId="0" borderId="0" xfId="7" quotePrefix="1" applyNumberFormat="1" applyFont="1" applyAlignment="1">
      <alignment horizontal="left" vertical="center" wrapText="1"/>
    </xf>
    <xf numFmtId="0" fontId="76" fillId="0" borderId="0" xfId="15" applyFont="1" applyAlignment="1">
      <alignment horizontal="center"/>
    </xf>
    <xf numFmtId="0" fontId="7" fillId="24" borderId="30" xfId="11" applyFont="1" applyFill="1" applyBorder="1" applyAlignment="1" applyProtection="1">
      <alignment vertical="center" wrapText="1"/>
      <protection locked="0"/>
    </xf>
    <xf numFmtId="0" fontId="76" fillId="0" borderId="0" xfId="15" applyFont="1"/>
    <xf numFmtId="2" fontId="9" fillId="0" borderId="0" xfId="15" applyNumberFormat="1" applyFont="1"/>
    <xf numFmtId="2" fontId="9" fillId="0" borderId="0" xfId="15" applyNumberFormat="1" applyFont="1" applyAlignment="1">
      <alignment horizontal="center"/>
    </xf>
    <xf numFmtId="0" fontId="11" fillId="8" borderId="0" xfId="7" applyFont="1" applyFill="1" applyAlignment="1" applyProtection="1">
      <alignment horizontal="center" vertical="center"/>
      <protection locked="0"/>
    </xf>
    <xf numFmtId="0" fontId="9" fillId="8" borderId="0" xfId="7" applyFont="1" applyFill="1" applyAlignment="1" applyProtection="1">
      <alignment horizontal="center" vertical="center"/>
      <protection locked="0"/>
    </xf>
    <xf numFmtId="0" fontId="9" fillId="8" borderId="0" xfId="7" applyFont="1" applyFill="1" applyAlignment="1">
      <alignment horizontal="center" vertical="center"/>
    </xf>
    <xf numFmtId="39" fontId="9" fillId="8" borderId="0" xfId="7" applyNumberFormat="1" applyFont="1" applyFill="1" applyBorder="1" applyAlignment="1" applyProtection="1">
      <alignment horizontal="left" vertical="center"/>
      <protection locked="0"/>
    </xf>
    <xf numFmtId="39" fontId="9" fillId="8" borderId="0" xfId="7" applyNumberFormat="1" applyFont="1" applyFill="1" applyBorder="1" applyAlignment="1" applyProtection="1">
      <alignment horizontal="center" vertical="center"/>
      <protection locked="0"/>
    </xf>
    <xf numFmtId="37" fontId="9" fillId="8" borderId="0" xfId="7" applyNumberFormat="1" applyFont="1" applyFill="1" applyBorder="1" applyAlignment="1" applyProtection="1">
      <alignment horizontal="center" vertical="center"/>
      <protection locked="0"/>
    </xf>
    <xf numFmtId="0" fontId="9" fillId="8" borderId="0" xfId="7" applyFont="1" applyFill="1" applyBorder="1" applyAlignment="1" applyProtection="1">
      <alignment horizontal="center" vertical="center"/>
      <protection locked="0"/>
    </xf>
    <xf numFmtId="182" fontId="9" fillId="8" borderId="0" xfId="7" applyNumberFormat="1" applyFont="1" applyFill="1" applyBorder="1" applyAlignment="1" applyProtection="1">
      <alignment horizontal="center" vertical="center"/>
      <protection locked="0"/>
    </xf>
    <xf numFmtId="186" fontId="9" fillId="8" borderId="0" xfId="7" applyNumberFormat="1" applyFont="1" applyFill="1" applyBorder="1" applyAlignment="1" applyProtection="1">
      <alignment horizontal="center" vertical="center"/>
      <protection locked="0"/>
    </xf>
    <xf numFmtId="39" fontId="76" fillId="8" borderId="0" xfId="7" applyNumberFormat="1" applyFont="1" applyFill="1" applyAlignment="1" applyProtection="1">
      <alignment horizontal="left" vertical="center"/>
      <protection locked="0"/>
    </xf>
    <xf numFmtId="185" fontId="9" fillId="8" borderId="0" xfId="7" applyNumberFormat="1" applyFont="1" applyFill="1" applyBorder="1" applyAlignment="1" applyProtection="1">
      <alignment horizontal="center" vertical="center"/>
      <protection locked="0"/>
    </xf>
    <xf numFmtId="183" fontId="9" fillId="8" borderId="0" xfId="7" applyNumberFormat="1" applyFont="1" applyFill="1" applyAlignment="1" applyProtection="1">
      <alignment horizontal="left" vertical="center"/>
      <protection locked="0"/>
    </xf>
    <xf numFmtId="184" fontId="9" fillId="8" borderId="0" xfId="7" applyNumberFormat="1" applyFont="1" applyFill="1" applyAlignment="1">
      <alignment horizontal="center" vertical="center"/>
    </xf>
    <xf numFmtId="37" fontId="9" fillId="8" borderId="0" xfId="7" applyNumberFormat="1" applyFont="1" applyFill="1" applyAlignment="1">
      <alignment horizontal="center" vertical="center"/>
    </xf>
    <xf numFmtId="39" fontId="9" fillId="8" borderId="0" xfId="7" applyNumberFormat="1" applyFont="1" applyFill="1" applyAlignment="1">
      <alignment horizontal="left" vertical="center"/>
    </xf>
    <xf numFmtId="39" fontId="9" fillId="8" borderId="0" xfId="7" applyNumberFormat="1" applyFont="1" applyFill="1" applyAlignment="1" applyProtection="1">
      <alignment horizontal="center" vertical="center" wrapText="1"/>
      <protection locked="0"/>
    </xf>
    <xf numFmtId="39" fontId="9" fillId="8" borderId="0" xfId="7" applyNumberFormat="1" applyFont="1" applyFill="1" applyAlignment="1">
      <alignment horizontal="center" vertical="center" wrapText="1"/>
    </xf>
    <xf numFmtId="178" fontId="9" fillId="8" borderId="0" xfId="10" applyNumberFormat="1" applyFont="1" applyFill="1" applyBorder="1" applyAlignment="1" applyProtection="1">
      <alignment horizontal="center" vertical="center" wrapText="1"/>
    </xf>
    <xf numFmtId="174" fontId="9" fillId="8" borderId="0" xfId="10" applyFont="1" applyFill="1" applyBorder="1" applyAlignment="1" applyProtection="1">
      <alignment horizontal="center" vertical="center" wrapText="1"/>
    </xf>
    <xf numFmtId="0" fontId="76" fillId="8" borderId="0" xfId="15" applyFont="1" applyFill="1"/>
    <xf numFmtId="2" fontId="9" fillId="8" borderId="0" xfId="15" applyNumberFormat="1" applyFont="1" applyFill="1"/>
    <xf numFmtId="2" fontId="9" fillId="8" borderId="0" xfId="15" applyNumberFormat="1" applyFont="1" applyFill="1" applyAlignment="1">
      <alignment horizontal="center"/>
    </xf>
    <xf numFmtId="0" fontId="98" fillId="0" borderId="0" xfId="7" applyFont="1" applyAlignment="1" applyProtection="1">
      <alignment vertical="center"/>
      <protection locked="0"/>
    </xf>
    <xf numFmtId="0" fontId="9" fillId="0" borderId="0" xfId="7" applyFont="1" applyProtection="1">
      <protection locked="0"/>
    </xf>
    <xf numFmtId="0" fontId="76" fillId="0" borderId="0" xfId="7" applyFont="1" applyAlignment="1" applyProtection="1">
      <alignment horizontal="right" vertical="center"/>
      <protection locked="0"/>
    </xf>
    <xf numFmtId="39" fontId="9" fillId="0" borderId="0" xfId="7" applyNumberFormat="1" applyFont="1" applyAlignment="1" applyProtection="1">
      <alignment horizontal="center" vertical="center"/>
      <protection locked="0"/>
    </xf>
    <xf numFmtId="182" fontId="9" fillId="0" borderId="0" xfId="7" applyNumberFormat="1" applyFont="1" applyAlignment="1" applyProtection="1">
      <alignment horizontal="center" vertical="center"/>
      <protection locked="0"/>
    </xf>
    <xf numFmtId="174" fontId="9" fillId="0" borderId="0" xfId="7" applyNumberFormat="1" applyFont="1" applyAlignment="1" applyProtection="1">
      <alignment vertical="center"/>
      <protection locked="0"/>
    </xf>
    <xf numFmtId="0" fontId="94" fillId="0" borderId="0" xfId="14" applyFont="1" applyProtection="1">
      <protection locked="0"/>
    </xf>
    <xf numFmtId="0" fontId="99" fillId="8" borderId="0" xfId="8" applyFont="1" applyFill="1" applyAlignment="1" applyProtection="1">
      <alignment vertical="center" wrapText="1"/>
      <protection locked="0"/>
    </xf>
    <xf numFmtId="0" fontId="92" fillId="0" borderId="0" xfId="8" applyFont="1" applyAlignment="1" applyProtection="1">
      <alignment horizontal="left" vertical="center"/>
      <protection locked="0"/>
    </xf>
    <xf numFmtId="0" fontId="10" fillId="0" borderId="0" xfId="7" applyFont="1" applyProtection="1">
      <protection locked="0"/>
    </xf>
    <xf numFmtId="0" fontId="91" fillId="30" borderId="170" xfId="11" applyFont="1" applyFill="1" applyBorder="1" applyAlignment="1" applyProtection="1">
      <alignment horizontal="center" vertical="center"/>
      <protection locked="0"/>
    </xf>
    <xf numFmtId="0" fontId="96" fillId="0" borderId="0" xfId="8" applyFont="1" applyAlignment="1" applyProtection="1">
      <alignment horizontal="left" vertical="center"/>
      <protection locked="0"/>
    </xf>
    <xf numFmtId="9" fontId="95" fillId="8" borderId="0" xfId="8" applyNumberFormat="1" applyFont="1" applyFill="1" applyAlignment="1" applyProtection="1">
      <alignment vertical="center"/>
      <protection locked="0"/>
    </xf>
    <xf numFmtId="17" fontId="91" fillId="0" borderId="0" xfId="7" applyNumberFormat="1" applyFont="1" applyAlignment="1" applyProtection="1">
      <alignment horizontal="center" vertical="center"/>
      <protection locked="0"/>
    </xf>
    <xf numFmtId="0" fontId="91" fillId="0" borderId="0" xfId="7" applyFont="1" applyAlignment="1" applyProtection="1">
      <alignment horizontal="center" vertical="center"/>
      <protection locked="0"/>
    </xf>
    <xf numFmtId="0" fontId="76" fillId="0" borderId="0" xfId="7" applyFont="1" applyProtection="1">
      <protection locked="0"/>
    </xf>
    <xf numFmtId="5" fontId="9" fillId="0" borderId="0" xfId="7" applyNumberFormat="1" applyFont="1" applyAlignment="1" applyProtection="1">
      <alignment horizontal="left" vertical="center"/>
      <protection locked="0"/>
    </xf>
    <xf numFmtId="0" fontId="6" fillId="8" borderId="172" xfId="7" applyFont="1" applyFill="1" applyBorder="1" applyAlignment="1" applyProtection="1">
      <alignment vertical="center"/>
      <protection locked="0"/>
    </xf>
    <xf numFmtId="0" fontId="6" fillId="8" borderId="0" xfId="7" applyFont="1" applyFill="1" applyBorder="1" applyAlignment="1" applyProtection="1">
      <alignment vertical="center"/>
      <protection locked="0"/>
    </xf>
    <xf numFmtId="40" fontId="6" fillId="8" borderId="173" xfId="7" applyNumberFormat="1" applyFont="1" applyFill="1" applyBorder="1" applyAlignment="1" applyProtection="1">
      <alignment horizontal="center" vertical="center"/>
      <protection locked="0"/>
    </xf>
    <xf numFmtId="40" fontId="65" fillId="8" borderId="0" xfId="12" applyNumberFormat="1" applyFont="1" applyFill="1" applyBorder="1" applyAlignment="1" applyProtection="1">
      <alignment horizontal="center" vertical="center"/>
      <protection locked="0"/>
    </xf>
    <xf numFmtId="7" fontId="76" fillId="0" borderId="0" xfId="7" applyNumberFormat="1" applyFont="1" applyAlignment="1" applyProtection="1">
      <alignment horizontal="center" vertical="center"/>
      <protection locked="0"/>
    </xf>
    <xf numFmtId="10" fontId="93" fillId="0" borderId="0" xfId="13" applyNumberFormat="1" applyFont="1" applyFill="1" applyBorder="1" applyAlignment="1" applyProtection="1">
      <alignment vertical="center"/>
      <protection locked="0"/>
    </xf>
    <xf numFmtId="5" fontId="76" fillId="0" borderId="0" xfId="7" applyNumberFormat="1" applyFont="1" applyAlignment="1" applyProtection="1">
      <alignment vertical="center"/>
      <protection locked="0"/>
    </xf>
    <xf numFmtId="0" fontId="44" fillId="17" borderId="174" xfId="8" applyFont="1" applyFill="1" applyBorder="1" applyAlignment="1" applyProtection="1">
      <alignment vertical="center"/>
      <protection locked="0"/>
    </xf>
    <xf numFmtId="0" fontId="44" fillId="17" borderId="152" xfId="8" applyFont="1" applyFill="1" applyBorder="1" applyAlignment="1" applyProtection="1">
      <alignment vertical="center"/>
      <protection locked="0"/>
    </xf>
    <xf numFmtId="174" fontId="44" fillId="17" borderId="152" xfId="10" applyFont="1" applyFill="1" applyBorder="1" applyAlignment="1" applyProtection="1">
      <alignment vertical="center"/>
      <protection locked="0"/>
    </xf>
    <xf numFmtId="39" fontId="9" fillId="16" borderId="0" xfId="7" applyNumberFormat="1" applyFont="1" applyFill="1" applyBorder="1" applyAlignment="1" applyProtection="1">
      <alignment horizontal="center" vertical="center"/>
      <protection locked="0"/>
    </xf>
    <xf numFmtId="39" fontId="9" fillId="16" borderId="0" xfId="7" applyNumberFormat="1" applyFont="1" applyFill="1" applyBorder="1" applyAlignment="1" applyProtection="1">
      <alignment horizontal="left" vertical="center" wrapText="1"/>
      <protection locked="0"/>
    </xf>
    <xf numFmtId="39" fontId="9" fillId="16" borderId="0" xfId="7" applyNumberFormat="1" applyFont="1" applyFill="1" applyBorder="1" applyAlignment="1" applyProtection="1">
      <alignment horizontal="left" vertical="center"/>
      <protection locked="0"/>
    </xf>
    <xf numFmtId="39" fontId="76" fillId="16" borderId="0" xfId="7" applyNumberFormat="1" applyFont="1" applyFill="1" applyBorder="1" applyAlignment="1" applyProtection="1">
      <alignment horizontal="center" vertical="center"/>
      <protection locked="0"/>
    </xf>
    <xf numFmtId="0" fontId="95" fillId="8" borderId="172" xfId="8" applyFont="1" applyFill="1" applyBorder="1" applyAlignment="1" applyProtection="1">
      <alignment vertical="center"/>
      <protection locked="0"/>
    </xf>
    <xf numFmtId="0" fontId="95" fillId="8" borderId="0" xfId="8" applyFont="1" applyFill="1" applyBorder="1" applyAlignment="1" applyProtection="1">
      <alignment vertical="center"/>
      <protection locked="0"/>
    </xf>
    <xf numFmtId="174" fontId="95" fillId="8" borderId="173" xfId="16" applyFont="1" applyFill="1" applyBorder="1" applyAlignment="1" applyProtection="1">
      <alignment vertical="center"/>
      <protection locked="0"/>
    </xf>
    <xf numFmtId="7" fontId="9" fillId="0" borderId="0" xfId="7" applyNumberFormat="1" applyFont="1" applyAlignment="1" applyProtection="1">
      <alignment horizontal="center" vertical="center"/>
      <protection locked="0"/>
    </xf>
    <xf numFmtId="0" fontId="44" fillId="31" borderId="176" xfId="8" applyFont="1" applyFill="1" applyBorder="1" applyAlignment="1" applyProtection="1">
      <alignment horizontal="left" vertical="center"/>
      <protection locked="0"/>
    </xf>
    <xf numFmtId="0" fontId="44" fillId="31" borderId="117" xfId="8" applyFont="1" applyFill="1" applyBorder="1" applyAlignment="1" applyProtection="1">
      <alignment horizontal="left" vertical="center"/>
      <protection locked="0"/>
    </xf>
    <xf numFmtId="0" fontId="3" fillId="31" borderId="117" xfId="8" applyFont="1" applyFill="1" applyBorder="1" applyAlignment="1" applyProtection="1">
      <alignment vertical="center"/>
      <protection locked="0"/>
    </xf>
    <xf numFmtId="2" fontId="6" fillId="8" borderId="0" xfId="7" applyNumberFormat="1" applyFont="1" applyFill="1" applyAlignment="1" applyProtection="1">
      <alignment horizontal="right" vertical="center"/>
      <protection locked="0"/>
    </xf>
    <xf numFmtId="0" fontId="95" fillId="8" borderId="0" xfId="8" applyFont="1" applyFill="1" applyAlignment="1" applyProtection="1">
      <alignment vertical="center"/>
      <protection locked="0"/>
    </xf>
    <xf numFmtId="7" fontId="98" fillId="0" borderId="0" xfId="7" applyNumberFormat="1" applyFont="1" applyAlignment="1" applyProtection="1">
      <alignment horizontal="center" vertical="center"/>
      <protection locked="0"/>
    </xf>
    <xf numFmtId="37" fontId="9" fillId="9" borderId="121" xfId="7" applyNumberFormat="1" applyFont="1" applyFill="1" applyBorder="1" applyAlignment="1" applyProtection="1">
      <alignment horizontal="center" vertical="center"/>
      <protection locked="0"/>
    </xf>
    <xf numFmtId="39" fontId="9" fillId="8" borderId="93" xfId="7" applyNumberFormat="1" applyFont="1" applyFill="1" applyBorder="1" applyAlignment="1" applyProtection="1">
      <alignment horizontal="left" vertical="center" wrapText="1"/>
      <protection locked="0"/>
    </xf>
    <xf numFmtId="39" fontId="9" fillId="8" borderId="93" xfId="7" applyNumberFormat="1" applyFont="1" applyFill="1" applyBorder="1" applyAlignment="1" applyProtection="1">
      <alignment horizontal="center" vertical="center" wrapText="1"/>
      <protection locked="0"/>
    </xf>
    <xf numFmtId="39" fontId="9" fillId="8" borderId="130" xfId="7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13" applyNumberFormat="1" applyFont="1" applyFill="1" applyBorder="1" applyAlignment="1" applyProtection="1">
      <alignment vertical="center"/>
      <protection locked="0"/>
    </xf>
    <xf numFmtId="0" fontId="100" fillId="0" borderId="0" xfId="7" applyFont="1" applyAlignment="1" applyProtection="1">
      <alignment vertical="center"/>
      <protection locked="0"/>
    </xf>
    <xf numFmtId="174" fontId="95" fillId="9" borderId="174" xfId="16" applyFont="1" applyFill="1" applyBorder="1" applyAlignment="1" applyProtection="1">
      <alignment horizontal="left" vertical="center"/>
      <protection locked="0"/>
    </xf>
    <xf numFmtId="174" fontId="95" fillId="9" borderId="152" xfId="16" applyFont="1" applyFill="1" applyBorder="1" applyAlignment="1" applyProtection="1">
      <alignment horizontal="left" vertical="center"/>
      <protection locked="0"/>
    </xf>
    <xf numFmtId="174" fontId="99" fillId="9" borderId="152" xfId="16" applyFont="1" applyFill="1" applyBorder="1" applyAlignment="1" applyProtection="1">
      <alignment horizontal="center" vertical="center"/>
      <protection locked="0"/>
    </xf>
    <xf numFmtId="9" fontId="95" fillId="9" borderId="152" xfId="8" applyNumberFormat="1" applyFont="1" applyFill="1" applyBorder="1" applyAlignment="1" applyProtection="1">
      <alignment vertical="center"/>
      <protection locked="0"/>
    </xf>
    <xf numFmtId="0" fontId="99" fillId="8" borderId="0" xfId="8" applyFont="1" applyFill="1" applyAlignment="1" applyProtection="1">
      <alignment horizontal="left" vertical="center" wrapText="1"/>
      <protection locked="0"/>
    </xf>
    <xf numFmtId="0" fontId="9" fillId="0" borderId="172" xfId="7" applyFont="1" applyBorder="1" applyAlignment="1" applyProtection="1">
      <alignment vertical="center"/>
      <protection locked="0"/>
    </xf>
    <xf numFmtId="0" fontId="9" fillId="0" borderId="0" xfId="7" applyFont="1" applyBorder="1" applyAlignment="1" applyProtection="1">
      <alignment vertical="center"/>
      <protection locked="0"/>
    </xf>
    <xf numFmtId="0" fontId="9" fillId="0" borderId="173" xfId="7" applyFont="1" applyBorder="1" applyAlignment="1" applyProtection="1">
      <alignment vertical="center"/>
      <protection locked="0"/>
    </xf>
    <xf numFmtId="10" fontId="95" fillId="8" borderId="0" xfId="8" applyNumberFormat="1" applyFont="1" applyFill="1" applyAlignment="1" applyProtection="1">
      <alignment vertical="center"/>
      <protection locked="0"/>
    </xf>
    <xf numFmtId="0" fontId="44" fillId="31" borderId="174" xfId="8" applyFont="1" applyFill="1" applyBorder="1" applyAlignment="1">
      <alignment vertical="center"/>
    </xf>
    <xf numFmtId="0" fontId="44" fillId="31" borderId="152" xfId="8" applyFont="1" applyFill="1" applyBorder="1" applyAlignment="1" applyProtection="1">
      <alignment vertical="center"/>
      <protection locked="0"/>
    </xf>
    <xf numFmtId="179" fontId="44" fillId="31" borderId="152" xfId="8" applyNumberFormat="1" applyFont="1" applyFill="1" applyBorder="1" applyAlignment="1" applyProtection="1">
      <alignment vertical="center"/>
      <protection locked="0"/>
    </xf>
    <xf numFmtId="179" fontId="44" fillId="31" borderId="175" xfId="8" applyNumberFormat="1" applyFont="1" applyFill="1" applyBorder="1" applyAlignment="1" applyProtection="1">
      <alignment vertical="center"/>
      <protection locked="0"/>
    </xf>
    <xf numFmtId="37" fontId="9" fillId="9" borderId="122" xfId="7" applyNumberFormat="1" applyFont="1" applyFill="1" applyBorder="1" applyAlignment="1" applyProtection="1">
      <alignment horizontal="center" vertical="center"/>
      <protection locked="0"/>
    </xf>
    <xf numFmtId="39" fontId="9" fillId="8" borderId="123" xfId="7" applyNumberFormat="1" applyFont="1" applyFill="1" applyBorder="1" applyAlignment="1" applyProtection="1">
      <alignment horizontal="left" vertical="center"/>
      <protection locked="0"/>
    </xf>
    <xf numFmtId="39" fontId="9" fillId="8" borderId="153" xfId="7" applyNumberFormat="1" applyFont="1" applyFill="1" applyBorder="1" applyAlignment="1" applyProtection="1">
      <alignment horizontal="center" vertical="center" wrapText="1"/>
      <protection locked="0"/>
    </xf>
    <xf numFmtId="39" fontId="9" fillId="8" borderId="133" xfId="7" applyNumberFormat="1" applyFont="1" applyFill="1" applyBorder="1" applyAlignment="1" applyProtection="1">
      <alignment horizontal="center" vertical="center" wrapText="1"/>
      <protection locked="0"/>
    </xf>
    <xf numFmtId="0" fontId="6" fillId="9" borderId="174" xfId="8" applyFont="1" applyFill="1" applyBorder="1" applyAlignment="1" applyProtection="1">
      <alignment horizontal="left" vertical="center"/>
      <protection locked="0"/>
    </xf>
    <xf numFmtId="0" fontId="6" fillId="9" borderId="152" xfId="8" applyFont="1" applyFill="1" applyBorder="1" applyAlignment="1" applyProtection="1">
      <alignment horizontal="left" vertical="center"/>
      <protection locked="0"/>
    </xf>
    <xf numFmtId="0" fontId="6" fillId="9" borderId="152" xfId="8" applyFont="1" applyFill="1" applyBorder="1" applyAlignment="1" applyProtection="1">
      <alignment horizontal="center" vertical="center" wrapText="1"/>
      <protection locked="0"/>
    </xf>
    <xf numFmtId="179" fontId="6" fillId="9" borderId="152" xfId="8" applyNumberFormat="1" applyFont="1" applyFill="1" applyBorder="1" applyAlignment="1" applyProtection="1">
      <alignment vertical="center"/>
      <protection locked="0"/>
    </xf>
    <xf numFmtId="0" fontId="95" fillId="8" borderId="0" xfId="8" applyFont="1" applyFill="1" applyAlignment="1" applyProtection="1">
      <alignment horizontal="left" vertical="center"/>
      <protection locked="0"/>
    </xf>
    <xf numFmtId="10" fontId="101" fillId="0" borderId="0" xfId="13" applyNumberFormat="1" applyFont="1" applyFill="1" applyBorder="1" applyAlignment="1" applyProtection="1">
      <alignment vertical="center"/>
      <protection locked="0"/>
    </xf>
    <xf numFmtId="0" fontId="95" fillId="8" borderId="0" xfId="8" applyFont="1" applyFill="1" applyAlignment="1" applyProtection="1">
      <alignment horizontal="left" vertical="center" wrapText="1"/>
      <protection locked="0"/>
    </xf>
    <xf numFmtId="0" fontId="9" fillId="0" borderId="0" xfId="7" applyFont="1" applyAlignment="1" applyProtection="1">
      <alignment horizontal="center" vertical="center"/>
      <protection locked="0"/>
    </xf>
    <xf numFmtId="174" fontId="6" fillId="9" borderId="152" xfId="10" applyFont="1" applyFill="1" applyBorder="1" applyAlignment="1" applyProtection="1">
      <alignment vertical="center"/>
      <protection locked="0"/>
    </xf>
    <xf numFmtId="180" fontId="9" fillId="12" borderId="162" xfId="7" applyNumberFormat="1" applyFont="1" applyFill="1" applyBorder="1" applyAlignment="1" applyProtection="1">
      <alignment horizontal="center" vertical="center"/>
      <protection locked="0"/>
    </xf>
    <xf numFmtId="180" fontId="9" fillId="12" borderId="163" xfId="7" applyNumberFormat="1" applyFont="1" applyFill="1" applyBorder="1" applyAlignment="1" applyProtection="1">
      <alignment horizontal="center" vertical="center"/>
      <protection locked="0"/>
    </xf>
    <xf numFmtId="0" fontId="44" fillId="31" borderId="174" xfId="7" applyFont="1" applyFill="1" applyBorder="1" applyAlignment="1" applyProtection="1">
      <alignment horizontal="left"/>
      <protection locked="0"/>
    </xf>
    <xf numFmtId="0" fontId="44" fillId="31" borderId="152" xfId="7" applyFont="1" applyFill="1" applyBorder="1" applyAlignment="1" applyProtection="1">
      <alignment horizontal="left"/>
      <protection locked="0"/>
    </xf>
    <xf numFmtId="0" fontId="44" fillId="31" borderId="152" xfId="7" applyFont="1" applyFill="1" applyBorder="1" applyAlignment="1" applyProtection="1">
      <alignment horizontal="center"/>
      <protection locked="0"/>
    </xf>
    <xf numFmtId="0" fontId="44" fillId="31" borderId="152" xfId="9" applyFont="1" applyFill="1" applyBorder="1" applyAlignment="1" applyProtection="1">
      <alignment horizontal="center" vertical="center" wrapText="1"/>
      <protection locked="0"/>
    </xf>
    <xf numFmtId="0" fontId="6" fillId="9" borderId="178" xfId="8" applyFont="1" applyFill="1" applyBorder="1" applyAlignment="1" applyProtection="1">
      <alignment horizontal="left" vertical="center"/>
      <protection locked="0"/>
    </xf>
    <xf numFmtId="0" fontId="6" fillId="9" borderId="179" xfId="8" applyFont="1" applyFill="1" applyBorder="1" applyAlignment="1" applyProtection="1">
      <alignment horizontal="left" vertical="center"/>
      <protection locked="0"/>
    </xf>
    <xf numFmtId="0" fontId="6" fillId="9" borderId="179" xfId="8" applyFont="1" applyFill="1" applyBorder="1" applyAlignment="1" applyProtection="1">
      <alignment horizontal="center" vertical="center" wrapText="1"/>
      <protection locked="0"/>
    </xf>
    <xf numFmtId="179" fontId="6" fillId="9" borderId="179" xfId="8" applyNumberFormat="1" applyFont="1" applyFill="1" applyBorder="1" applyAlignment="1" applyProtection="1">
      <alignment vertical="center"/>
      <protection locked="0"/>
    </xf>
    <xf numFmtId="39" fontId="6" fillId="0" borderId="0" xfId="7" applyNumberFormat="1" applyFont="1" applyAlignment="1" applyProtection="1">
      <alignment horizontal="center" vertical="center" wrapText="1"/>
      <protection locked="0"/>
    </xf>
    <xf numFmtId="178" fontId="6" fillId="0" borderId="0" xfId="10" applyNumberFormat="1" applyFont="1" applyFill="1" applyBorder="1" applyAlignment="1" applyProtection="1">
      <alignment horizontal="center" vertical="center" wrapText="1"/>
      <protection locked="0"/>
    </xf>
    <xf numFmtId="39" fontId="6" fillId="8" borderId="0" xfId="7" applyNumberFormat="1" applyFont="1" applyFill="1" applyAlignment="1" applyProtection="1">
      <alignment horizontal="center" vertical="center" wrapText="1"/>
      <protection locked="0"/>
    </xf>
    <xf numFmtId="178" fontId="6" fillId="8" borderId="0" xfId="10" applyNumberFormat="1" applyFont="1" applyFill="1" applyBorder="1" applyAlignment="1" applyProtection="1">
      <alignment horizontal="center" vertical="center" wrapText="1"/>
      <protection locked="0"/>
    </xf>
    <xf numFmtId="177" fontId="91" fillId="0" borderId="0" xfId="9" applyNumberFormat="1" applyFont="1" applyAlignment="1" applyProtection="1">
      <alignment horizontal="center" vertical="center" wrapText="1"/>
      <protection locked="0"/>
    </xf>
    <xf numFmtId="0" fontId="88" fillId="0" borderId="0" xfId="7" applyFont="1" applyAlignment="1" applyProtection="1">
      <alignment horizontal="center" vertical="center"/>
      <protection locked="0"/>
    </xf>
    <xf numFmtId="40" fontId="6" fillId="0" borderId="0" xfId="7" applyNumberFormat="1" applyFont="1" applyAlignment="1" applyProtection="1">
      <alignment horizontal="center" vertical="center"/>
      <protection locked="0"/>
    </xf>
    <xf numFmtId="0" fontId="9" fillId="34" borderId="98" xfId="7" applyFont="1" applyFill="1" applyBorder="1" applyAlignment="1" applyProtection="1">
      <alignment vertical="center"/>
      <protection locked="0"/>
    </xf>
    <xf numFmtId="3" fontId="6" fillId="2" borderId="6" xfId="3" applyNumberFormat="1" applyFont="1" applyFill="1" applyBorder="1" applyAlignment="1">
      <alignment horizontal="center"/>
    </xf>
    <xf numFmtId="1" fontId="9" fillId="9" borderId="0" xfId="7" applyNumberFormat="1" applyFont="1" applyFill="1" applyAlignment="1">
      <alignment horizontal="center" vertical="center"/>
    </xf>
    <xf numFmtId="1" fontId="9" fillId="16" borderId="0" xfId="7" applyNumberFormat="1" applyFont="1" applyFill="1" applyAlignment="1">
      <alignment horizontal="center" vertical="center"/>
    </xf>
    <xf numFmtId="1" fontId="67" fillId="16" borderId="7" xfId="0" applyNumberFormat="1" applyFont="1" applyFill="1" applyBorder="1" applyAlignment="1">
      <alignment horizontal="center" vertical="center" wrapText="1"/>
    </xf>
    <xf numFmtId="10" fontId="2" fillId="0" borderId="0" xfId="0" applyNumberFormat="1" applyFont="1" applyAlignment="1">
      <alignment horizontal="center"/>
    </xf>
    <xf numFmtId="0" fontId="110" fillId="37" borderId="0" xfId="0" applyFont="1" applyFill="1" applyAlignment="1">
      <alignment horizontal="right" vertical="center" wrapText="1"/>
    </xf>
    <xf numFmtId="4" fontId="110" fillId="37" borderId="0" xfId="0" applyNumberFormat="1" applyFont="1" applyFill="1" applyAlignment="1">
      <alignment horizontal="right" vertical="center" wrapText="1"/>
    </xf>
    <xf numFmtId="164" fontId="0" fillId="0" borderId="0" xfId="0" applyNumberFormat="1" applyBorder="1"/>
    <xf numFmtId="44" fontId="0" fillId="0" borderId="0" xfId="2" applyFont="1" applyBorder="1"/>
    <xf numFmtId="10" fontId="40" fillId="0" borderId="0" xfId="3" applyNumberFormat="1" applyFont="1"/>
    <xf numFmtId="3" fontId="0" fillId="25" borderId="65" xfId="27" applyNumberFormat="1" applyFont="1"/>
    <xf numFmtId="4" fontId="54" fillId="8" borderId="69" xfId="0" applyNumberFormat="1" applyFont="1" applyFill="1" applyBorder="1" applyAlignment="1" applyProtection="1">
      <alignment horizontal="center"/>
      <protection locked="0"/>
    </xf>
    <xf numFmtId="0" fontId="52" fillId="8" borderId="69" xfId="0" applyFont="1" applyFill="1" applyBorder="1" applyAlignment="1" applyProtection="1">
      <alignment horizontal="center"/>
      <protection locked="0"/>
    </xf>
    <xf numFmtId="0" fontId="54" fillId="8" borderId="69" xfId="0" applyFont="1" applyFill="1" applyBorder="1" applyAlignment="1" applyProtection="1">
      <alignment horizontal="center"/>
      <protection locked="0"/>
    </xf>
    <xf numFmtId="14" fontId="54" fillId="8" borderId="69" xfId="0" applyNumberFormat="1" applyFont="1" applyFill="1" applyBorder="1" applyAlignment="1" applyProtection="1">
      <alignment horizontal="center"/>
      <protection locked="0"/>
    </xf>
    <xf numFmtId="0" fontId="63" fillId="8" borderId="69" xfId="0" applyFont="1" applyFill="1" applyBorder="1" applyAlignment="1" applyProtection="1">
      <alignment horizontal="center"/>
      <protection locked="0"/>
    </xf>
    <xf numFmtId="3" fontId="54" fillId="8" borderId="69" xfId="0" applyNumberFormat="1" applyFont="1" applyFill="1" applyBorder="1" applyAlignment="1" applyProtection="1">
      <alignment horizontal="center"/>
      <protection locked="0"/>
    </xf>
    <xf numFmtId="0" fontId="51" fillId="8" borderId="0" xfId="0" applyFont="1" applyFill="1" applyAlignment="1" applyProtection="1">
      <alignment horizontal="center"/>
      <protection locked="0"/>
    </xf>
    <xf numFmtId="193" fontId="54" fillId="8" borderId="69" xfId="0" applyNumberFormat="1" applyFont="1" applyFill="1" applyBorder="1" applyAlignment="1" applyProtection="1">
      <alignment horizontal="center"/>
      <protection locked="0"/>
    </xf>
    <xf numFmtId="0" fontId="54" fillId="8" borderId="75" xfId="0" applyFont="1" applyFill="1" applyBorder="1" applyAlignment="1" applyProtection="1">
      <alignment horizontal="center"/>
      <protection locked="0"/>
    </xf>
    <xf numFmtId="183" fontId="54" fillId="8" borderId="69" xfId="0" applyNumberFormat="1" applyFont="1" applyFill="1" applyBorder="1" applyAlignment="1" applyProtection="1">
      <alignment horizontal="center"/>
      <protection locked="0"/>
    </xf>
    <xf numFmtId="0" fontId="54" fillId="8" borderId="69" xfId="0" applyNumberFormat="1" applyFont="1" applyFill="1" applyBorder="1" applyAlignment="1" applyProtection="1">
      <alignment horizontal="center"/>
      <protection locked="0"/>
    </xf>
    <xf numFmtId="0" fontId="51" fillId="8" borderId="0" xfId="0" applyFont="1" applyFill="1" applyProtection="1">
      <protection locked="0"/>
    </xf>
    <xf numFmtId="192" fontId="54" fillId="8" borderId="69" xfId="0" applyNumberFormat="1" applyFont="1" applyFill="1" applyBorder="1" applyAlignment="1" applyProtection="1">
      <alignment horizontal="center"/>
      <protection locked="0"/>
    </xf>
    <xf numFmtId="0" fontId="63" fillId="8" borderId="69" xfId="0" applyFont="1" applyFill="1" applyBorder="1" applyAlignment="1" applyProtection="1">
      <alignment horizontal="center" vertical="center"/>
      <protection locked="0"/>
    </xf>
    <xf numFmtId="0" fontId="53" fillId="8" borderId="69" xfId="0" applyFont="1" applyFill="1" applyBorder="1" applyAlignment="1" applyProtection="1">
      <alignment horizontal="center" vertical="center"/>
      <protection locked="0"/>
    </xf>
    <xf numFmtId="0" fontId="51" fillId="8" borderId="71" xfId="0" applyFont="1" applyFill="1" applyBorder="1" applyProtection="1">
      <protection locked="0"/>
    </xf>
    <xf numFmtId="0" fontId="53" fillId="8" borderId="0" xfId="0" applyFont="1" applyFill="1" applyAlignment="1" applyProtection="1">
      <alignment horizontal="left" vertical="center"/>
      <protection locked="0"/>
    </xf>
    <xf numFmtId="0" fontId="53" fillId="8" borderId="73" xfId="0" applyFont="1" applyFill="1" applyBorder="1" applyAlignment="1" applyProtection="1">
      <alignment horizontal="left" vertical="center"/>
      <protection locked="0"/>
    </xf>
    <xf numFmtId="0" fontId="9" fillId="9" borderId="98" xfId="7" applyNumberFormat="1" applyFont="1" applyFill="1" applyBorder="1" applyAlignment="1" applyProtection="1">
      <alignment horizontal="center" vertical="center"/>
    </xf>
    <xf numFmtId="0" fontId="9" fillId="16" borderId="98" xfId="7" applyFont="1" applyFill="1" applyBorder="1" applyAlignment="1" applyProtection="1">
      <alignment horizontal="center" vertical="center"/>
    </xf>
    <xf numFmtId="0" fontId="9" fillId="9" borderId="98" xfId="7" applyFont="1" applyFill="1" applyBorder="1" applyAlignment="1" applyProtection="1">
      <alignment horizontal="center" vertical="center"/>
    </xf>
    <xf numFmtId="0" fontId="9" fillId="35" borderId="109" xfId="7" applyFont="1" applyFill="1" applyBorder="1" applyAlignment="1" applyProtection="1">
      <alignment vertical="center"/>
    </xf>
    <xf numFmtId="37" fontId="9" fillId="35" borderId="110" xfId="7" applyNumberFormat="1" applyFont="1" applyFill="1" applyBorder="1" applyAlignment="1" applyProtection="1">
      <alignment vertical="center"/>
    </xf>
    <xf numFmtId="37" fontId="9" fillId="35" borderId="110" xfId="7" applyNumberFormat="1" applyFont="1" applyFill="1" applyBorder="1" applyAlignment="1" applyProtection="1">
      <alignment horizontal="right" vertical="center"/>
    </xf>
    <xf numFmtId="182" fontId="9" fillId="35" borderId="110" xfId="7" applyNumberFormat="1" applyFont="1" applyFill="1" applyBorder="1" applyAlignment="1" applyProtection="1">
      <alignment horizontal="center" vertical="center"/>
    </xf>
    <xf numFmtId="182" fontId="9" fillId="35" borderId="111" xfId="7" applyNumberFormat="1" applyFont="1" applyFill="1" applyBorder="1" applyAlignment="1" applyProtection="1">
      <alignment horizontal="center" vertical="center"/>
    </xf>
    <xf numFmtId="0" fontId="9" fillId="35" borderId="112" xfId="7" applyFont="1" applyFill="1" applyBorder="1" applyAlignment="1" applyProtection="1">
      <alignment vertical="center"/>
    </xf>
    <xf numFmtId="0" fontId="6" fillId="35" borderId="50" xfId="7" applyFont="1" applyFill="1" applyBorder="1" applyAlignment="1" applyProtection="1">
      <alignment horizontal="right"/>
    </xf>
    <xf numFmtId="0" fontId="6" fillId="35" borderId="50" xfId="7" applyFont="1" applyFill="1" applyBorder="1" applyAlignment="1" applyProtection="1"/>
    <xf numFmtId="182" fontId="9" fillId="35" borderId="113" xfId="7" applyNumberFormat="1" applyFont="1" applyFill="1" applyBorder="1" applyAlignment="1" applyProtection="1">
      <alignment horizontal="center" vertical="center"/>
    </xf>
    <xf numFmtId="5" fontId="76" fillId="35" borderId="113" xfId="7" applyNumberFormat="1" applyFont="1" applyFill="1" applyBorder="1" applyAlignment="1" applyProtection="1">
      <alignment horizontal="center" vertical="center"/>
    </xf>
    <xf numFmtId="0" fontId="2" fillId="35" borderId="0" xfId="7" applyFont="1" applyFill="1" applyBorder="1" applyAlignment="1" applyProtection="1"/>
    <xf numFmtId="0" fontId="6" fillId="35" borderId="0" xfId="7" applyFont="1" applyFill="1" applyBorder="1" applyAlignment="1" applyProtection="1"/>
    <xf numFmtId="4" fontId="65" fillId="35" borderId="7" xfId="7" applyNumberFormat="1" applyFont="1" applyFill="1" applyBorder="1" applyAlignment="1" applyProtection="1"/>
    <xf numFmtId="0" fontId="9" fillId="35" borderId="113" xfId="7" applyFont="1" applyFill="1" applyBorder="1" applyAlignment="1" applyProtection="1">
      <alignment horizontal="center" vertical="center"/>
    </xf>
    <xf numFmtId="4" fontId="65" fillId="35" borderId="12" xfId="7" applyNumberFormat="1" applyFont="1" applyFill="1" applyBorder="1" applyAlignment="1" applyProtection="1"/>
    <xf numFmtId="174" fontId="95" fillId="35" borderId="61" xfId="16" applyFont="1" applyFill="1" applyBorder="1" applyAlignment="1" applyProtection="1">
      <alignment horizontal="left"/>
    </xf>
    <xf numFmtId="0" fontId="6" fillId="35" borderId="5" xfId="7" applyFont="1" applyFill="1" applyBorder="1" applyAlignment="1" applyProtection="1"/>
    <xf numFmtId="4" fontId="6" fillId="35" borderId="61" xfId="7" applyNumberFormat="1" applyFont="1" applyFill="1" applyBorder="1" applyAlignment="1" applyProtection="1"/>
    <xf numFmtId="174" fontId="95" fillId="35" borderId="7" xfId="16" applyFont="1" applyFill="1" applyBorder="1" applyAlignment="1" applyProtection="1">
      <alignment horizontal="left"/>
    </xf>
    <xf numFmtId="0" fontId="6" fillId="35" borderId="11" xfId="7" applyFont="1" applyFill="1" applyBorder="1" applyAlignment="1" applyProtection="1"/>
    <xf numFmtId="4" fontId="6" fillId="35" borderId="7" xfId="7" applyNumberFormat="1" applyFont="1" applyFill="1" applyBorder="1" applyAlignment="1" applyProtection="1"/>
    <xf numFmtId="174" fontId="9" fillId="35" borderId="0" xfId="10" applyFont="1" applyFill="1" applyBorder="1" applyAlignment="1" applyProtection="1">
      <alignment vertical="center"/>
    </xf>
    <xf numFmtId="0" fontId="9" fillId="35" borderId="0" xfId="7" applyFont="1" applyFill="1" applyBorder="1" applyAlignment="1" applyProtection="1">
      <alignment vertical="center"/>
    </xf>
    <xf numFmtId="0" fontId="9" fillId="35" borderId="114" xfId="7" applyFont="1" applyFill="1" applyBorder="1" applyAlignment="1" applyProtection="1">
      <alignment vertical="center"/>
    </xf>
    <xf numFmtId="4" fontId="9" fillId="35" borderId="115" xfId="7" applyNumberFormat="1" applyFont="1" applyFill="1" applyBorder="1" applyAlignment="1" applyProtection="1">
      <alignment vertical="center"/>
    </xf>
    <xf numFmtId="0" fontId="9" fillId="35" borderId="115" xfId="7" applyFont="1" applyFill="1" applyBorder="1" applyAlignment="1" applyProtection="1">
      <alignment vertical="center"/>
    </xf>
    <xf numFmtId="0" fontId="9" fillId="35" borderId="116" xfId="7" applyFont="1" applyFill="1" applyBorder="1" applyAlignment="1" applyProtection="1">
      <alignment horizontal="center" vertical="center"/>
    </xf>
    <xf numFmtId="172" fontId="9" fillId="11" borderId="166" xfId="7" applyNumberFormat="1" applyFont="1" applyFill="1" applyBorder="1" applyAlignment="1" applyProtection="1">
      <alignment horizontal="center" vertical="center"/>
    </xf>
    <xf numFmtId="172" fontId="76" fillId="11" borderId="166" xfId="7" applyNumberFormat="1" applyFont="1" applyFill="1" applyBorder="1" applyAlignment="1" applyProtection="1">
      <alignment horizontal="center" vertical="center"/>
    </xf>
    <xf numFmtId="172" fontId="9" fillId="11" borderId="167" xfId="7" applyNumberFormat="1" applyFont="1" applyFill="1" applyBorder="1" applyAlignment="1" applyProtection="1">
      <alignment horizontal="center" vertical="center"/>
    </xf>
    <xf numFmtId="0" fontId="91" fillId="30" borderId="171" xfId="11" applyFont="1" applyFill="1" applyBorder="1" applyAlignment="1" applyProtection="1">
      <alignment horizontal="center" vertical="center"/>
    </xf>
    <xf numFmtId="174" fontId="44" fillId="17" borderId="175" xfId="10" applyFont="1" applyFill="1" applyBorder="1" applyAlignment="1" applyProtection="1">
      <alignment vertical="center"/>
    </xf>
    <xf numFmtId="177" fontId="44" fillId="31" borderId="177" xfId="12" applyNumberFormat="1" applyFont="1" applyFill="1" applyBorder="1" applyAlignment="1" applyProtection="1">
      <alignment horizontal="right" vertical="center"/>
    </xf>
    <xf numFmtId="177" fontId="95" fillId="9" borderId="175" xfId="12" applyNumberFormat="1" applyFont="1" applyFill="1" applyBorder="1" applyAlignment="1" applyProtection="1">
      <alignment horizontal="right" vertical="center"/>
    </xf>
    <xf numFmtId="179" fontId="6" fillId="9" borderId="175" xfId="8" applyNumberFormat="1" applyFont="1" applyFill="1" applyBorder="1" applyAlignment="1" applyProtection="1">
      <alignment vertical="center"/>
    </xf>
    <xf numFmtId="177" fontId="44" fillId="31" borderId="175" xfId="12" applyNumberFormat="1" applyFont="1" applyFill="1" applyBorder="1" applyAlignment="1" applyProtection="1">
      <alignment horizontal="right" vertical="center"/>
    </xf>
    <xf numFmtId="179" fontId="6" fillId="9" borderId="167" xfId="8" applyNumberFormat="1" applyFont="1" applyFill="1" applyBorder="1" applyAlignment="1" applyProtection="1">
      <alignment vertical="center"/>
    </xf>
    <xf numFmtId="14" fontId="8" fillId="0" borderId="2" xfId="1" applyNumberFormat="1" applyFont="1" applyBorder="1" applyAlignment="1" applyProtection="1">
      <alignment horizontal="center" vertical="center"/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1" fontId="67" fillId="32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3" fontId="2" fillId="8" borderId="0" xfId="0" applyNumberFormat="1" applyFont="1" applyFill="1" applyProtection="1">
      <protection locked="0"/>
    </xf>
    <xf numFmtId="3" fontId="2" fillId="8" borderId="134" xfId="0" applyNumberFormat="1" applyFont="1" applyFill="1" applyBorder="1" applyProtection="1">
      <protection locked="0"/>
    </xf>
    <xf numFmtId="9" fontId="0" fillId="0" borderId="7" xfId="3" applyFont="1" applyBorder="1" applyAlignment="1" applyProtection="1">
      <alignment horizontal="center"/>
      <protection locked="0"/>
    </xf>
    <xf numFmtId="198" fontId="38" fillId="8" borderId="0" xfId="0" applyNumberFormat="1" applyFont="1" applyFill="1" applyProtection="1">
      <protection locked="0"/>
    </xf>
    <xf numFmtId="198" fontId="38" fillId="8" borderId="27" xfId="0" applyNumberFormat="1" applyFont="1" applyFill="1" applyBorder="1" applyProtection="1">
      <protection locked="0"/>
    </xf>
    <xf numFmtId="197" fontId="84" fillId="8" borderId="27" xfId="0" applyNumberFormat="1" applyFont="1" applyFill="1" applyBorder="1" applyAlignment="1" applyProtection="1">
      <alignment horizontal="right" wrapText="1"/>
      <protection locked="0"/>
    </xf>
    <xf numFmtId="197" fontId="38" fillId="8" borderId="0" xfId="0" applyNumberFormat="1" applyFont="1" applyFill="1" applyProtection="1">
      <protection locked="0"/>
    </xf>
    <xf numFmtId="197" fontId="38" fillId="8" borderId="27" xfId="0" applyNumberFormat="1" applyFont="1" applyFill="1" applyBorder="1" applyProtection="1">
      <protection locked="0"/>
    </xf>
    <xf numFmtId="197" fontId="84" fillId="8" borderId="0" xfId="0" applyNumberFormat="1" applyFont="1" applyFill="1" applyProtection="1">
      <protection locked="0"/>
    </xf>
    <xf numFmtId="198" fontId="84" fillId="8" borderId="0" xfId="0" applyNumberFormat="1" applyFont="1" applyFill="1" applyProtection="1">
      <protection locked="0"/>
    </xf>
    <xf numFmtId="197" fontId="84" fillId="8" borderId="27" xfId="0" applyNumberFormat="1" applyFont="1" applyFill="1" applyBorder="1" applyProtection="1">
      <protection locked="0"/>
    </xf>
    <xf numFmtId="197" fontId="84" fillId="9" borderId="144" xfId="0" applyNumberFormat="1" applyFont="1" applyFill="1" applyBorder="1" applyProtection="1">
      <protection locked="0"/>
    </xf>
    <xf numFmtId="197" fontId="84" fillId="9" borderId="0" xfId="0" applyNumberFormat="1" applyFont="1" applyFill="1" applyBorder="1" applyProtection="1">
      <protection locked="0"/>
    </xf>
    <xf numFmtId="197" fontId="85" fillId="9" borderId="0" xfId="0" applyNumberFormat="1" applyFont="1" applyFill="1" applyAlignment="1" applyProtection="1">
      <alignment horizontal="left" indent="1"/>
      <protection locked="0"/>
    </xf>
    <xf numFmtId="197" fontId="86" fillId="9" borderId="0" xfId="0" applyNumberFormat="1" applyFont="1" applyFill="1" applyAlignment="1" applyProtection="1">
      <alignment horizontal="left" indent="1"/>
      <protection locked="0"/>
    </xf>
    <xf numFmtId="197" fontId="84" fillId="9" borderId="145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82" fillId="0" borderId="0" xfId="0" applyFont="1" applyProtection="1">
      <protection locked="0"/>
    </xf>
    <xf numFmtId="0" fontId="48" fillId="0" borderId="0" xfId="28" applyProtection="1">
      <protection locked="0"/>
    </xf>
    <xf numFmtId="0" fontId="0" fillId="0" borderId="44" xfId="0" applyBorder="1" applyProtection="1">
      <protection locked="0"/>
    </xf>
    <xf numFmtId="0" fontId="0" fillId="0" borderId="91" xfId="0" applyBorder="1" applyProtection="1">
      <protection locked="0"/>
    </xf>
    <xf numFmtId="0" fontId="0" fillId="0" borderId="43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4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32" xfId="0" applyBorder="1" applyProtection="1">
      <protection locked="0"/>
    </xf>
    <xf numFmtId="0" fontId="44" fillId="14" borderId="7" xfId="0" applyFont="1" applyFill="1" applyBorder="1" applyAlignment="1" applyProtection="1">
      <alignment horizontal="center" vertical="center" wrapText="1"/>
    </xf>
    <xf numFmtId="172" fontId="6" fillId="29" borderId="7" xfId="0" applyNumberFormat="1" applyFont="1" applyFill="1" applyBorder="1" applyAlignment="1" applyProtection="1">
      <alignment horizontal="center" vertical="center"/>
    </xf>
    <xf numFmtId="199" fontId="6" fillId="29" borderId="7" xfId="0" applyNumberFormat="1" applyFont="1" applyFill="1" applyBorder="1" applyAlignment="1" applyProtection="1">
      <alignment horizontal="center" vertical="center"/>
    </xf>
    <xf numFmtId="0" fontId="51" fillId="26" borderId="0" xfId="0" applyFont="1" applyFill="1" applyProtection="1">
      <protection locked="0"/>
    </xf>
    <xf numFmtId="0" fontId="57" fillId="8" borderId="0" xfId="0" applyFont="1" applyFill="1" applyProtection="1">
      <protection locked="0"/>
    </xf>
    <xf numFmtId="0" fontId="57" fillId="8" borderId="0" xfId="0" applyFont="1" applyFill="1" applyAlignment="1" applyProtection="1">
      <alignment horizontal="center"/>
      <protection locked="0"/>
    </xf>
    <xf numFmtId="0" fontId="64" fillId="8" borderId="0" xfId="0" applyFont="1" applyFill="1" applyProtection="1">
      <protection locked="0"/>
    </xf>
    <xf numFmtId="0" fontId="57" fillId="8" borderId="0" xfId="0" applyFont="1" applyFill="1" applyAlignment="1" applyProtection="1">
      <alignment horizontal="right"/>
      <protection locked="0"/>
    </xf>
    <xf numFmtId="0" fontId="59" fillId="8" borderId="0" xfId="0" applyFont="1" applyFill="1" applyProtection="1">
      <protection locked="0"/>
    </xf>
    <xf numFmtId="0" fontId="55" fillId="8" borderId="0" xfId="0" applyFont="1" applyFill="1" applyAlignment="1" applyProtection="1">
      <alignment horizontal="center"/>
      <protection locked="0"/>
    </xf>
    <xf numFmtId="0" fontId="58" fillId="8" borderId="0" xfId="0" applyFont="1" applyFill="1" applyAlignment="1" applyProtection="1">
      <alignment horizontal="left"/>
      <protection locked="0"/>
    </xf>
    <xf numFmtId="0" fontId="51" fillId="26" borderId="0" xfId="0" applyFont="1" applyFill="1" applyAlignment="1" applyProtection="1">
      <alignment vertical="center"/>
      <protection locked="0"/>
    </xf>
    <xf numFmtId="0" fontId="53" fillId="8" borderId="0" xfId="0" applyFont="1" applyFill="1" applyAlignment="1" applyProtection="1">
      <alignment horizontal="center" vertical="center"/>
      <protection locked="0"/>
    </xf>
    <xf numFmtId="0" fontId="55" fillId="8" borderId="0" xfId="0" applyFont="1" applyFill="1" applyProtection="1">
      <protection locked="0"/>
    </xf>
    <xf numFmtId="0" fontId="51" fillId="8" borderId="0" xfId="0" applyFont="1" applyFill="1" applyBorder="1" applyProtection="1">
      <protection locked="0"/>
    </xf>
    <xf numFmtId="0" fontId="54" fillId="8" borderId="0" xfId="0" applyFont="1" applyFill="1" applyAlignment="1" applyProtection="1">
      <alignment horizontal="center"/>
      <protection locked="0"/>
    </xf>
    <xf numFmtId="0" fontId="53" fillId="8" borderId="70" xfId="0" applyFont="1" applyFill="1" applyBorder="1" applyAlignment="1" applyProtection="1">
      <alignment horizontal="left" vertical="center"/>
      <protection locked="0"/>
    </xf>
    <xf numFmtId="0" fontId="56" fillId="8" borderId="0" xfId="0" applyFont="1" applyFill="1" applyProtection="1">
      <protection locked="0"/>
    </xf>
    <xf numFmtId="0" fontId="105" fillId="8" borderId="0" xfId="0" applyFont="1" applyFill="1" applyProtection="1">
      <protection locked="0"/>
    </xf>
    <xf numFmtId="0" fontId="59" fillId="8" borderId="0" xfId="0" applyFont="1" applyFill="1" applyAlignment="1" applyProtection="1">
      <alignment horizontal="left"/>
    </xf>
    <xf numFmtId="0" fontId="59" fillId="8" borderId="0" xfId="0" applyFont="1" applyFill="1" applyProtection="1"/>
    <xf numFmtId="4" fontId="62" fillId="16" borderId="69" xfId="0" applyNumberFormat="1" applyFont="1" applyFill="1" applyBorder="1" applyAlignment="1" applyProtection="1">
      <alignment horizontal="center"/>
    </xf>
    <xf numFmtId="9" fontId="61" fillId="8" borderId="0" xfId="3" applyFont="1" applyFill="1" applyAlignment="1" applyProtection="1"/>
    <xf numFmtId="0" fontId="59" fillId="8" borderId="0" xfId="0" applyFont="1" applyFill="1" applyAlignment="1" applyProtection="1">
      <alignment horizontal="center"/>
    </xf>
    <xf numFmtId="0" fontId="51" fillId="8" borderId="0" xfId="0" applyFont="1" applyFill="1" applyProtection="1"/>
    <xf numFmtId="4" fontId="54" fillId="16" borderId="69" xfId="0" applyNumberFormat="1" applyFont="1" applyFill="1" applyBorder="1" applyAlignment="1" applyProtection="1">
      <alignment horizontal="center"/>
    </xf>
    <xf numFmtId="14" fontId="59" fillId="8" borderId="0" xfId="0" applyNumberFormat="1" applyFont="1" applyFill="1" applyProtection="1"/>
    <xf numFmtId="1" fontId="54" fillId="16" borderId="69" xfId="0" applyNumberFormat="1" applyFont="1" applyFill="1" applyBorder="1" applyAlignment="1" applyProtection="1">
      <alignment horizontal="center"/>
    </xf>
    <xf numFmtId="0" fontId="57" fillId="8" borderId="0" xfId="0" applyFont="1" applyFill="1" applyAlignment="1" applyProtection="1">
      <alignment horizontal="center"/>
    </xf>
    <xf numFmtId="4" fontId="57" fillId="16" borderId="78" xfId="0" applyNumberFormat="1" applyFont="1" applyFill="1" applyBorder="1" applyAlignment="1" applyProtection="1">
      <alignment horizontal="right" vertical="center"/>
    </xf>
    <xf numFmtId="4" fontId="57" fillId="24" borderId="78" xfId="0" applyNumberFormat="1" applyFont="1" applyFill="1" applyBorder="1" applyAlignment="1" applyProtection="1">
      <alignment horizontal="right" vertical="center"/>
    </xf>
    <xf numFmtId="10" fontId="57" fillId="24" borderId="78" xfId="0" applyNumberFormat="1" applyFont="1" applyFill="1" applyBorder="1" applyAlignment="1" applyProtection="1">
      <alignment horizontal="right" vertical="center" wrapText="1"/>
    </xf>
    <xf numFmtId="10" fontId="57" fillId="16" borderId="78" xfId="0" applyNumberFormat="1" applyFont="1" applyFill="1" applyBorder="1" applyAlignment="1" applyProtection="1">
      <alignment horizontal="right" vertical="center" wrapText="1"/>
    </xf>
    <xf numFmtId="4" fontId="57" fillId="16" borderId="76" xfId="0" applyNumberFormat="1" applyFont="1" applyFill="1" applyBorder="1" applyAlignment="1" applyProtection="1">
      <alignment horizontal="right" vertical="center"/>
    </xf>
    <xf numFmtId="0" fontId="51" fillId="16" borderId="0" xfId="0" applyFont="1" applyFill="1" applyProtection="1"/>
    <xf numFmtId="0" fontId="51" fillId="16" borderId="0" xfId="0" applyFont="1" applyFill="1" applyAlignment="1" applyProtection="1">
      <alignment vertical="center"/>
    </xf>
    <xf numFmtId="0" fontId="56" fillId="16" borderId="0" xfId="0" applyFont="1" applyFill="1" applyAlignment="1" applyProtection="1">
      <alignment horizontal="center" vertical="center"/>
    </xf>
    <xf numFmtId="0" fontId="57" fillId="16" borderId="79" xfId="0" applyFont="1" applyFill="1" applyBorder="1" applyAlignment="1" applyProtection="1">
      <alignment vertical="center"/>
    </xf>
    <xf numFmtId="172" fontId="57" fillId="16" borderId="79" xfId="0" applyNumberFormat="1" applyFont="1" applyFill="1" applyBorder="1" applyAlignment="1" applyProtection="1">
      <alignment horizontal="center" vertical="center"/>
    </xf>
    <xf numFmtId="172" fontId="57" fillId="16" borderId="78" xfId="0" applyNumberFormat="1" applyFont="1" applyFill="1" applyBorder="1" applyAlignment="1" applyProtection="1">
      <alignment horizontal="center" vertical="center"/>
    </xf>
    <xf numFmtId="172" fontId="57" fillId="16" borderId="0" xfId="0" applyNumberFormat="1" applyFont="1" applyFill="1" applyAlignment="1" applyProtection="1">
      <alignment horizontal="center" vertical="center"/>
    </xf>
    <xf numFmtId="0" fontId="60" fillId="16" borderId="79" xfId="0" applyFont="1" applyFill="1" applyBorder="1" applyProtection="1"/>
    <xf numFmtId="0" fontId="60" fillId="16" borderId="0" xfId="0" applyFont="1" applyFill="1" applyProtection="1"/>
    <xf numFmtId="0" fontId="60" fillId="16" borderId="78" xfId="0" applyFont="1" applyFill="1" applyBorder="1" applyProtection="1"/>
    <xf numFmtId="0" fontId="57" fillId="24" borderId="79" xfId="0" applyFont="1" applyFill="1" applyBorder="1" applyAlignment="1" applyProtection="1">
      <alignment vertical="center"/>
    </xf>
    <xf numFmtId="0" fontId="51" fillId="16" borderId="78" xfId="0" applyFont="1" applyFill="1" applyBorder="1" applyProtection="1"/>
    <xf numFmtId="172" fontId="57" fillId="16" borderId="79" xfId="0" applyNumberFormat="1" applyFont="1" applyFill="1" applyBorder="1" applyAlignment="1" applyProtection="1">
      <alignment horizontal="left" vertical="center"/>
    </xf>
    <xf numFmtId="172" fontId="57" fillId="16" borderId="0" xfId="0" applyNumberFormat="1" applyFont="1" applyFill="1" applyAlignment="1" applyProtection="1">
      <alignment horizontal="left" vertical="center"/>
    </xf>
    <xf numFmtId="0" fontId="51" fillId="16" borderId="79" xfId="0" applyFont="1" applyFill="1" applyBorder="1" applyProtection="1"/>
    <xf numFmtId="0" fontId="55" fillId="16" borderId="79" xfId="0" applyFont="1" applyFill="1" applyBorder="1" applyAlignment="1" applyProtection="1">
      <alignment vertical="center"/>
    </xf>
    <xf numFmtId="0" fontId="57" fillId="16" borderId="77" xfId="0" applyFont="1" applyFill="1" applyBorder="1" applyAlignment="1" applyProtection="1">
      <alignment vertical="center"/>
    </xf>
    <xf numFmtId="0" fontId="55" fillId="16" borderId="77" xfId="0" applyFont="1" applyFill="1" applyBorder="1" applyAlignment="1" applyProtection="1">
      <alignment vertical="center"/>
    </xf>
    <xf numFmtId="0" fontId="51" fillId="16" borderId="76" xfId="0" applyFont="1" applyFill="1" applyBorder="1" applyProtection="1"/>
    <xf numFmtId="0" fontId="55" fillId="16" borderId="0" xfId="0" applyFont="1" applyFill="1" applyAlignment="1" applyProtection="1">
      <alignment vertical="center"/>
    </xf>
    <xf numFmtId="166" fontId="57" fillId="16" borderId="78" xfId="0" applyNumberFormat="1" applyFont="1" applyFill="1" applyBorder="1" applyAlignment="1" applyProtection="1">
      <alignment horizontal="right" vertical="center" wrapText="1"/>
    </xf>
    <xf numFmtId="166" fontId="57" fillId="16" borderId="76" xfId="0" applyNumberFormat="1" applyFont="1" applyFill="1" applyBorder="1" applyAlignment="1" applyProtection="1">
      <alignment horizontal="right" vertical="center" wrapText="1"/>
    </xf>
    <xf numFmtId="0" fontId="51" fillId="16" borderId="77" xfId="0" applyFont="1" applyFill="1" applyBorder="1" applyProtection="1"/>
    <xf numFmtId="0" fontId="51" fillId="16" borderId="82" xfId="0" applyFont="1" applyFill="1" applyBorder="1" applyProtection="1"/>
    <xf numFmtId="1" fontId="57" fillId="24" borderId="78" xfId="0" applyNumberFormat="1" applyFont="1" applyFill="1" applyBorder="1" applyAlignment="1" applyProtection="1">
      <alignment horizontal="right" vertical="center" wrapText="1"/>
    </xf>
    <xf numFmtId="172" fontId="57" fillId="16" borderId="78" xfId="0" applyNumberFormat="1" applyFont="1" applyFill="1" applyBorder="1" applyAlignment="1" applyProtection="1">
      <alignment horizontal="right" vertical="center"/>
    </xf>
    <xf numFmtId="0" fontId="55" fillId="16" borderId="78" xfId="0" applyFont="1" applyFill="1" applyBorder="1" applyAlignment="1" applyProtection="1">
      <alignment horizontal="center" vertical="center"/>
    </xf>
    <xf numFmtId="0" fontId="57" fillId="16" borderId="78" xfId="0" applyFont="1" applyFill="1" applyBorder="1" applyAlignment="1" applyProtection="1">
      <alignment horizontal="right" vertical="center"/>
    </xf>
    <xf numFmtId="0" fontId="51" fillId="16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vertical="center"/>
    </xf>
    <xf numFmtId="10" fontId="57" fillId="24" borderId="76" xfId="0" applyNumberFormat="1" applyFont="1" applyFill="1" applyBorder="1" applyAlignment="1" applyProtection="1">
      <alignment horizontal="right" vertical="center" wrapText="1"/>
    </xf>
    <xf numFmtId="0" fontId="57" fillId="16" borderId="0" xfId="0" applyFont="1" applyFill="1" applyBorder="1" applyAlignment="1" applyProtection="1">
      <alignment vertical="center"/>
    </xf>
    <xf numFmtId="10" fontId="57" fillId="16" borderId="0" xfId="0" applyNumberFormat="1" applyFont="1" applyFill="1" applyBorder="1" applyAlignment="1" applyProtection="1">
      <alignment horizontal="right" vertical="center" wrapText="1"/>
    </xf>
    <xf numFmtId="0" fontId="55" fillId="16" borderId="0" xfId="0" applyFont="1" applyFill="1" applyBorder="1" applyAlignment="1" applyProtection="1">
      <alignment vertical="center"/>
    </xf>
    <xf numFmtId="0" fontId="51" fillId="16" borderId="0" xfId="0" applyFont="1" applyFill="1" applyBorder="1" applyProtection="1"/>
    <xf numFmtId="3" fontId="54" fillId="16" borderId="69" xfId="0" applyNumberFormat="1" applyFont="1" applyFill="1" applyBorder="1" applyAlignment="1" applyProtection="1">
      <alignment horizontal="center"/>
    </xf>
    <xf numFmtId="0" fontId="53" fillId="8" borderId="72" xfId="0" applyFont="1" applyFill="1" applyBorder="1" applyAlignment="1" applyProtection="1">
      <alignment horizontal="left" vertical="center"/>
    </xf>
    <xf numFmtId="0" fontId="53" fillId="16" borderId="69" xfId="0" applyFont="1" applyFill="1" applyBorder="1" applyAlignment="1" applyProtection="1">
      <alignment horizontal="center" vertical="center"/>
    </xf>
    <xf numFmtId="0" fontId="53" fillId="8" borderId="69" xfId="0" applyFont="1" applyFill="1" applyBorder="1" applyAlignment="1" applyProtection="1">
      <alignment horizontal="center" vertical="center"/>
    </xf>
    <xf numFmtId="0" fontId="53" fillId="8" borderId="70" xfId="0" applyFont="1" applyFill="1" applyBorder="1" applyAlignment="1" applyProtection="1">
      <alignment horizontal="left" vertical="center"/>
    </xf>
    <xf numFmtId="0" fontId="66" fillId="26" borderId="0" xfId="0" applyFont="1" applyFill="1" applyProtection="1">
      <protection locked="0"/>
    </xf>
    <xf numFmtId="0" fontId="3" fillId="26" borderId="0" xfId="0" applyFont="1" applyFill="1" applyProtection="1">
      <protection locked="0"/>
    </xf>
    <xf numFmtId="0" fontId="2" fillId="26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2" fillId="1" borderId="0" xfId="0" applyFont="1" applyFill="1" applyProtection="1">
      <protection locked="0"/>
    </xf>
    <xf numFmtId="0" fontId="7" fillId="0" borderId="0" xfId="0" applyFont="1" applyProtection="1">
      <protection locked="0"/>
    </xf>
    <xf numFmtId="186" fontId="2" fillId="24" borderId="0" xfId="0" applyNumberFormat="1" applyFont="1" applyFill="1" applyAlignment="1" applyProtection="1">
      <alignment horizontal="center"/>
      <protection locked="0"/>
    </xf>
    <xf numFmtId="0" fontId="2" fillId="1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3" fontId="2" fillId="33" borderId="0" xfId="0" applyNumberFormat="1" applyFont="1" applyFill="1" applyProtection="1">
      <protection locked="0"/>
    </xf>
    <xf numFmtId="3" fontId="2" fillId="16" borderId="135" xfId="0" applyNumberFormat="1" applyFont="1" applyFill="1" applyBorder="1" applyAlignment="1" applyProtection="1">
      <alignment horizontal="center"/>
      <protection locked="0"/>
    </xf>
    <xf numFmtId="3" fontId="2" fillId="1" borderId="0" xfId="0" applyNumberFormat="1" applyFont="1" applyFill="1" applyProtection="1">
      <protection locked="0"/>
    </xf>
    <xf numFmtId="3" fontId="2" fillId="16" borderId="135" xfId="0" applyNumberFormat="1" applyFont="1" applyFill="1" applyBorder="1" applyProtection="1">
      <protection locked="0"/>
    </xf>
    <xf numFmtId="0" fontId="0" fillId="1" borderId="0" xfId="0" applyFill="1" applyProtection="1">
      <protection locked="0"/>
    </xf>
    <xf numFmtId="4" fontId="7" fillId="16" borderId="135" xfId="0" applyNumberFormat="1" applyFont="1" applyFill="1" applyBorder="1" applyProtection="1">
      <protection locked="0"/>
    </xf>
    <xf numFmtId="4" fontId="2" fillId="9" borderId="142" xfId="0" applyNumberFormat="1" applyFont="1" applyFill="1" applyBorder="1" applyProtection="1"/>
    <xf numFmtId="186" fontId="2" fillId="24" borderId="0" xfId="0" applyNumberFormat="1" applyFont="1" applyFill="1" applyAlignment="1" applyProtection="1">
      <alignment horizontal="center"/>
    </xf>
    <xf numFmtId="186" fontId="3" fillId="26" borderId="0" xfId="0" applyNumberFormat="1" applyFont="1" applyFill="1" applyAlignment="1" applyProtection="1">
      <alignment horizontal="center"/>
    </xf>
    <xf numFmtId="186" fontId="65" fillId="24" borderId="0" xfId="0" applyNumberFormat="1" applyFont="1" applyFill="1" applyAlignment="1" applyProtection="1">
      <alignment horizontal="center"/>
    </xf>
    <xf numFmtId="3" fontId="2" fillId="16" borderId="135" xfId="0" applyNumberFormat="1" applyFont="1" applyFill="1" applyBorder="1" applyAlignment="1" applyProtection="1">
      <alignment horizontal="center"/>
    </xf>
    <xf numFmtId="4" fontId="2" fillId="16" borderId="135" xfId="0" applyNumberFormat="1" applyFont="1" applyFill="1" applyBorder="1" applyProtection="1"/>
    <xf numFmtId="3" fontId="87" fillId="16" borderId="135" xfId="0" applyNumberFormat="1" applyFont="1" applyFill="1" applyBorder="1" applyProtection="1"/>
    <xf numFmtId="198" fontId="84" fillId="9" borderId="144" xfId="0" applyNumberFormat="1" applyFont="1" applyFill="1" applyBorder="1" applyProtection="1"/>
    <xf numFmtId="198" fontId="84" fillId="9" borderId="0" xfId="0" applyNumberFormat="1" applyFont="1" applyFill="1" applyBorder="1" applyProtection="1"/>
    <xf numFmtId="180" fontId="85" fillId="9" borderId="0" xfId="3" applyNumberFormat="1" applyFont="1" applyFill="1" applyAlignment="1" applyProtection="1">
      <alignment horizontal="right" indent="1"/>
    </xf>
    <xf numFmtId="180" fontId="38" fillId="9" borderId="0" xfId="3" applyNumberFormat="1" applyFont="1" applyFill="1" applyAlignment="1" applyProtection="1">
      <alignment horizontal="left" indent="4"/>
    </xf>
    <xf numFmtId="198" fontId="84" fillId="9" borderId="145" xfId="0" applyNumberFormat="1" applyFont="1" applyFill="1" applyBorder="1" applyProtection="1"/>
    <xf numFmtId="0" fontId="16" fillId="6" borderId="0" xfId="0" applyFont="1" applyFill="1" applyProtection="1"/>
    <xf numFmtId="0" fontId="18" fillId="6" borderId="0" xfId="0" applyFont="1" applyFill="1" applyProtection="1"/>
    <xf numFmtId="0" fontId="19" fillId="6" borderId="0" xfId="0" applyFont="1" applyFill="1" applyProtection="1"/>
    <xf numFmtId="172" fontId="20" fillId="6" borderId="0" xfId="2" applyNumberFormat="1" applyFont="1" applyFill="1" applyAlignment="1" applyProtection="1">
      <alignment horizontal="left"/>
    </xf>
    <xf numFmtId="10" fontId="20" fillId="6" borderId="0" xfId="0" applyNumberFormat="1" applyFont="1" applyFill="1" applyAlignment="1" applyProtection="1">
      <alignment horizontal="left"/>
    </xf>
    <xf numFmtId="1" fontId="20" fillId="6" borderId="0" xfId="0" applyNumberFormat="1" applyFont="1" applyFill="1" applyAlignment="1" applyProtection="1">
      <alignment horizontal="left"/>
    </xf>
    <xf numFmtId="4" fontId="20" fillId="6" borderId="0" xfId="0" applyNumberFormat="1" applyFont="1" applyFill="1" applyProtection="1"/>
    <xf numFmtId="0" fontId="20" fillId="6" borderId="0" xfId="0" applyFont="1" applyFill="1" applyProtection="1"/>
    <xf numFmtId="0" fontId="21" fillId="6" borderId="0" xfId="0" applyFont="1" applyFill="1" applyProtection="1"/>
    <xf numFmtId="0" fontId="35" fillId="0" borderId="0" xfId="0" applyFont="1" applyAlignment="1" applyProtection="1">
      <alignment vertical="center"/>
    </xf>
    <xf numFmtId="0" fontId="36" fillId="0" borderId="0" xfId="0" applyFont="1" applyAlignment="1" applyProtection="1">
      <alignment vertical="center"/>
    </xf>
    <xf numFmtId="0" fontId="37" fillId="0" borderId="0" xfId="0" applyFont="1" applyAlignment="1" applyProtection="1">
      <alignment vertical="center"/>
    </xf>
    <xf numFmtId="0" fontId="38" fillId="0" borderId="0" xfId="0" applyFont="1" applyAlignment="1" applyProtection="1">
      <alignment vertical="center"/>
    </xf>
    <xf numFmtId="0" fontId="35" fillId="0" borderId="0" xfId="0" applyFont="1" applyAlignment="1" applyProtection="1">
      <alignment horizontal="left" vertical="center"/>
    </xf>
    <xf numFmtId="0" fontId="37" fillId="0" borderId="0" xfId="0" applyFont="1" applyAlignment="1" applyProtection="1">
      <alignment horizontal="center" vertical="center"/>
    </xf>
    <xf numFmtId="0" fontId="13" fillId="0" borderId="0" xfId="4" applyFont="1" applyAlignment="1" applyProtection="1">
      <alignment vertical="center"/>
    </xf>
    <xf numFmtId="0" fontId="13" fillId="0" borderId="0" xfId="4" applyFont="1" applyAlignment="1" applyProtection="1">
      <alignment horizontal="right" vertical="center"/>
    </xf>
    <xf numFmtId="0" fontId="13" fillId="6" borderId="0" xfId="4" applyFont="1" applyFill="1" applyAlignment="1" applyProtection="1">
      <alignment vertical="center"/>
    </xf>
    <xf numFmtId="0" fontId="13" fillId="6" borderId="0" xfId="4" applyFont="1" applyFill="1" applyAlignment="1" applyProtection="1">
      <alignment horizontal="right" vertical="center"/>
    </xf>
    <xf numFmtId="0" fontId="17" fillId="6" borderId="0" xfId="4" applyFont="1" applyFill="1" applyAlignment="1" applyProtection="1">
      <alignment vertical="center"/>
    </xf>
    <xf numFmtId="0" fontId="22" fillId="6" borderId="0" xfId="4" applyFont="1" applyFill="1" applyAlignment="1" applyProtection="1">
      <alignment vertical="center"/>
    </xf>
    <xf numFmtId="0" fontId="23" fillId="7" borderId="13" xfId="4" applyFont="1" applyFill="1" applyBorder="1" applyAlignment="1" applyProtection="1">
      <alignment vertical="center"/>
    </xf>
    <xf numFmtId="0" fontId="24" fillId="7" borderId="13" xfId="4" applyFont="1" applyFill="1" applyBorder="1" applyAlignment="1" applyProtection="1">
      <alignment vertical="center"/>
    </xf>
    <xf numFmtId="0" fontId="13" fillId="7" borderId="0" xfId="4" applyFont="1" applyFill="1" applyAlignment="1" applyProtection="1">
      <alignment vertical="center"/>
    </xf>
    <xf numFmtId="0" fontId="23" fillId="7" borderId="13" xfId="4" applyFont="1" applyFill="1" applyBorder="1" applyAlignment="1" applyProtection="1">
      <alignment horizontal="right" vertical="center"/>
    </xf>
    <xf numFmtId="0" fontId="23" fillId="7" borderId="14" xfId="4" applyFont="1" applyFill="1" applyBorder="1" applyAlignment="1" applyProtection="1">
      <alignment vertical="center"/>
    </xf>
    <xf numFmtId="0" fontId="24" fillId="7" borderId="14" xfId="4" applyFont="1" applyFill="1" applyBorder="1" applyAlignment="1" applyProtection="1">
      <alignment vertical="center"/>
    </xf>
    <xf numFmtId="0" fontId="13" fillId="7" borderId="14" xfId="4" applyFont="1" applyFill="1" applyBorder="1" applyAlignment="1" applyProtection="1">
      <alignment vertical="center"/>
    </xf>
    <xf numFmtId="0" fontId="25" fillId="0" borderId="0" xfId="4" applyFont="1" applyAlignment="1" applyProtection="1">
      <alignment horizontal="left" vertical="center"/>
    </xf>
    <xf numFmtId="4" fontId="17" fillId="6" borderId="0" xfId="4" applyNumberFormat="1" applyFont="1" applyFill="1" applyAlignment="1" applyProtection="1">
      <alignment horizontal="left" vertical="center"/>
    </xf>
    <xf numFmtId="0" fontId="17" fillId="8" borderId="0" xfId="4" applyFont="1" applyFill="1" applyAlignment="1" applyProtection="1">
      <alignment vertical="center"/>
    </xf>
    <xf numFmtId="10" fontId="17" fillId="8" borderId="0" xfId="4" applyNumberFormat="1" applyFont="1" applyFill="1" applyAlignment="1" applyProtection="1">
      <alignment horizontal="right" vertical="center"/>
    </xf>
    <xf numFmtId="43" fontId="17" fillId="8" borderId="0" xfId="4" applyNumberFormat="1" applyFont="1" applyFill="1" applyAlignment="1" applyProtection="1">
      <alignment vertical="center"/>
    </xf>
    <xf numFmtId="0" fontId="17" fillId="6" borderId="0" xfId="4" applyFont="1" applyFill="1" applyAlignment="1" applyProtection="1">
      <alignment horizontal="left" vertical="center"/>
    </xf>
    <xf numFmtId="0" fontId="25" fillId="6" borderId="0" xfId="4" applyFont="1" applyFill="1" applyAlignment="1" applyProtection="1">
      <alignment horizontal="left" vertical="center"/>
    </xf>
    <xf numFmtId="0" fontId="17" fillId="6" borderId="0" xfId="3" applyNumberFormat="1" applyFont="1" applyFill="1" applyAlignment="1" applyProtection="1">
      <alignment horizontal="left" vertical="center"/>
    </xf>
    <xf numFmtId="10" fontId="17" fillId="6" borderId="0" xfId="3" applyNumberFormat="1" applyFont="1" applyFill="1" applyAlignment="1" applyProtection="1">
      <alignment horizontal="left" vertical="center"/>
    </xf>
    <xf numFmtId="180" fontId="17" fillId="6" borderId="0" xfId="3" applyNumberFormat="1" applyFont="1" applyFill="1" applyAlignment="1" applyProtection="1">
      <alignment horizontal="left" vertical="center"/>
    </xf>
    <xf numFmtId="0" fontId="17" fillId="0" borderId="0" xfId="4" applyFont="1" applyAlignment="1" applyProtection="1">
      <alignment vertical="center"/>
      <protection locked="0"/>
    </xf>
    <xf numFmtId="0" fontId="13" fillId="0" borderId="0" xfId="4" applyFont="1" applyAlignment="1" applyProtection="1">
      <alignment vertical="center"/>
      <protection locked="0"/>
    </xf>
    <xf numFmtId="0" fontId="26" fillId="0" borderId="15" xfId="4" applyFont="1" applyBorder="1" applyAlignment="1" applyProtection="1">
      <alignment horizontal="left" vertical="center"/>
      <protection locked="0"/>
    </xf>
    <xf numFmtId="44" fontId="13" fillId="0" borderId="16" xfId="2" applyFont="1" applyBorder="1" applyAlignment="1" applyProtection="1">
      <alignment vertical="center"/>
      <protection locked="0"/>
    </xf>
    <xf numFmtId="44" fontId="13" fillId="0" borderId="17" xfId="2" applyFont="1" applyBorder="1" applyAlignment="1" applyProtection="1">
      <alignment vertical="center"/>
      <protection locked="0"/>
    </xf>
    <xf numFmtId="10" fontId="13" fillId="0" borderId="0" xfId="4" applyNumberFormat="1" applyFont="1" applyAlignment="1" applyProtection="1">
      <alignment vertical="center"/>
    </xf>
    <xf numFmtId="44" fontId="13" fillId="0" borderId="0" xfId="2" applyFont="1" applyAlignment="1" applyProtection="1">
      <alignment vertical="center"/>
    </xf>
    <xf numFmtId="4" fontId="27" fillId="0" borderId="18" xfId="4" applyNumberFormat="1" applyFont="1" applyBorder="1" applyAlignment="1" applyProtection="1">
      <alignment horizontal="centerContinuous" vertical="center"/>
      <protection locked="0"/>
    </xf>
    <xf numFmtId="4" fontId="27" fillId="0" borderId="0" xfId="4" applyNumberFormat="1" applyFont="1" applyAlignment="1" applyProtection="1">
      <alignment horizontal="centerContinuous" vertical="center"/>
      <protection locked="0"/>
    </xf>
    <xf numFmtId="0" fontId="28" fillId="0" borderId="0" xfId="4" applyFont="1" applyAlignment="1" applyProtection="1">
      <alignment horizontal="center" vertical="center" wrapText="1"/>
      <protection locked="0"/>
    </xf>
    <xf numFmtId="165" fontId="13" fillId="0" borderId="0" xfId="4" applyNumberFormat="1" applyFont="1" applyAlignment="1" applyProtection="1">
      <alignment vertical="center"/>
    </xf>
    <xf numFmtId="165" fontId="13" fillId="0" borderId="0" xfId="3" applyNumberFormat="1" applyFont="1" applyAlignment="1" applyProtection="1">
      <alignment vertical="center"/>
    </xf>
    <xf numFmtId="0" fontId="28" fillId="7" borderId="19" xfId="4" applyFont="1" applyFill="1" applyBorder="1" applyAlignment="1" applyProtection="1">
      <alignment horizontal="center" vertical="center" wrapText="1"/>
    </xf>
    <xf numFmtId="0" fontId="28" fillId="7" borderId="20" xfId="4" applyFont="1" applyFill="1" applyBorder="1" applyAlignment="1" applyProtection="1">
      <alignment horizontal="center" vertical="center" wrapText="1"/>
    </xf>
    <xf numFmtId="0" fontId="28" fillId="7" borderId="21" xfId="4" applyFont="1" applyFill="1" applyBorder="1" applyAlignment="1" applyProtection="1">
      <alignment horizontal="center" vertical="center" wrapText="1"/>
    </xf>
    <xf numFmtId="0" fontId="29" fillId="7" borderId="20" xfId="4" applyFont="1" applyFill="1" applyBorder="1" applyAlignment="1" applyProtection="1">
      <alignment horizontal="center" vertical="center" wrapText="1"/>
    </xf>
    <xf numFmtId="14" fontId="13" fillId="6" borderId="22" xfId="5" quotePrefix="1" applyNumberFormat="1" applyFont="1" applyFill="1" applyBorder="1" applyAlignment="1" applyProtection="1">
      <alignment horizontal="center" vertical="center"/>
    </xf>
    <xf numFmtId="164" fontId="13" fillId="6" borderId="22" xfId="1" applyNumberFormat="1" applyFont="1" applyFill="1" applyBorder="1" applyAlignment="1" applyProtection="1">
      <alignment horizontal="center" vertical="center"/>
    </xf>
    <xf numFmtId="164" fontId="13" fillId="6" borderId="22" xfId="5" quotePrefix="1" applyNumberFormat="1" applyFont="1" applyFill="1" applyBorder="1" applyAlignment="1" applyProtection="1">
      <alignment horizontal="center" vertical="center"/>
    </xf>
    <xf numFmtId="43" fontId="13" fillId="0" borderId="0" xfId="4" applyNumberFormat="1" applyFont="1" applyAlignment="1" applyProtection="1">
      <alignment vertical="center"/>
    </xf>
    <xf numFmtId="174" fontId="13" fillId="0" borderId="0" xfId="4" applyNumberFormat="1" applyFont="1" applyAlignment="1" applyProtection="1">
      <alignment vertical="center"/>
    </xf>
    <xf numFmtId="0" fontId="34" fillId="0" borderId="0" xfId="4" applyFont="1" applyAlignment="1" applyProtection="1">
      <alignment vertical="center"/>
    </xf>
    <xf numFmtId="0" fontId="114" fillId="0" borderId="180" xfId="0" applyFont="1" applyBorder="1" applyAlignment="1">
      <alignment vertical="top" wrapText="1"/>
    </xf>
    <xf numFmtId="0" fontId="114" fillId="0" borderId="9" xfId="0" applyFont="1" applyBorder="1" applyAlignment="1">
      <alignment vertical="top" wrapText="1"/>
    </xf>
    <xf numFmtId="0" fontId="114" fillId="0" borderId="181" xfId="0" applyFont="1" applyBorder="1" applyAlignment="1">
      <alignment vertical="top" wrapText="1"/>
    </xf>
    <xf numFmtId="1" fontId="116" fillId="16" borderId="0" xfId="0" applyNumberFormat="1" applyFont="1" applyFill="1" applyAlignment="1">
      <alignment horizontal="center"/>
    </xf>
    <xf numFmtId="1" fontId="116" fillId="38" borderId="0" xfId="0" applyNumberFormat="1" applyFont="1" applyFill="1" applyAlignment="1">
      <alignment horizontal="center" vertical="center" wrapText="1"/>
    </xf>
    <xf numFmtId="0" fontId="118" fillId="0" borderId="0" xfId="0" applyFont="1"/>
    <xf numFmtId="0" fontId="115" fillId="0" borderId="0" xfId="0" applyFont="1"/>
    <xf numFmtId="8" fontId="119" fillId="39" borderId="0" xfId="0" applyNumberFormat="1" applyFont="1" applyFill="1" applyAlignment="1">
      <alignment horizontal="center" vertical="center" wrapText="1"/>
    </xf>
    <xf numFmtId="0" fontId="117" fillId="40" borderId="0" xfId="0" applyFont="1" applyFill="1" applyAlignment="1">
      <alignment horizontal="center" vertical="center" wrapText="1"/>
    </xf>
    <xf numFmtId="0" fontId="14" fillId="0" borderId="0" xfId="0" applyFont="1"/>
    <xf numFmtId="0" fontId="11" fillId="8" borderId="0" xfId="0" applyFont="1" applyFill="1"/>
    <xf numFmtId="172" fontId="119" fillId="8" borderId="0" xfId="2" applyNumberFormat="1" applyFont="1" applyFill="1" applyBorder="1" applyAlignment="1">
      <alignment horizontal="center" vertical="center" wrapText="1"/>
    </xf>
    <xf numFmtId="8" fontId="119" fillId="8" borderId="0" xfId="0" applyNumberFormat="1" applyFont="1" applyFill="1" applyAlignment="1">
      <alignment horizontal="center" vertical="center" wrapText="1"/>
    </xf>
    <xf numFmtId="0" fontId="119" fillId="8" borderId="0" xfId="0" applyFont="1" applyFill="1" applyAlignment="1">
      <alignment horizontal="left" vertical="center" wrapText="1"/>
    </xf>
    <xf numFmtId="172" fontId="121" fillId="9" borderId="0" xfId="0" applyNumberFormat="1" applyFont="1" applyFill="1" applyAlignment="1">
      <alignment horizontal="center" vertical="center" wrapText="1"/>
    </xf>
    <xf numFmtId="172" fontId="121" fillId="38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8" borderId="0" xfId="0" applyFill="1"/>
    <xf numFmtId="1" fontId="123" fillId="8" borderId="0" xfId="0" applyNumberFormat="1" applyFont="1" applyFill="1" applyAlignment="1">
      <alignment horizontal="center" vertical="center" wrapText="1"/>
    </xf>
    <xf numFmtId="1" fontId="123" fillId="38" borderId="0" xfId="0" applyNumberFormat="1" applyFont="1" applyFill="1" applyAlignment="1">
      <alignment horizontal="center" vertical="center" wrapText="1"/>
    </xf>
    <xf numFmtId="0" fontId="124" fillId="0" borderId="0" xfId="0" applyFont="1" applyAlignment="1">
      <alignment horizontal="left" vertical="top" wrapText="1"/>
    </xf>
    <xf numFmtId="0" fontId="126" fillId="0" borderId="0" xfId="0" applyFont="1" applyAlignment="1">
      <alignment horizontal="left" vertical="center" wrapText="1"/>
    </xf>
    <xf numFmtId="0" fontId="126" fillId="0" borderId="0" xfId="0" applyFont="1" applyAlignment="1">
      <alignment horizontal="left" vertical="center"/>
    </xf>
    <xf numFmtId="0" fontId="125" fillId="38" borderId="0" xfId="0" applyFont="1" applyFill="1"/>
    <xf numFmtId="0" fontId="127" fillId="0" borderId="0" xfId="0" applyFont="1"/>
    <xf numFmtId="0" fontId="0" fillId="0" borderId="16" xfId="0" applyBorder="1"/>
    <xf numFmtId="0" fontId="113" fillId="0" borderId="0" xfId="0" applyFont="1"/>
    <xf numFmtId="0" fontId="128" fillId="0" borderId="0" xfId="0" applyFont="1"/>
    <xf numFmtId="1" fontId="130" fillId="8" borderId="0" xfId="4" applyNumberFormat="1" applyFont="1" applyFill="1" applyAlignment="1" applyProtection="1">
      <alignment horizontal="left" vertical="center"/>
      <protection hidden="1"/>
    </xf>
    <xf numFmtId="0" fontId="0" fillId="8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11" fillId="8" borderId="0" xfId="0" applyFont="1" applyFill="1" applyAlignment="1">
      <alignment vertical="center"/>
    </xf>
    <xf numFmtId="0" fontId="124" fillId="9" borderId="0" xfId="0" applyFont="1" applyFill="1" applyAlignment="1">
      <alignment horizontal="left"/>
    </xf>
    <xf numFmtId="0" fontId="115" fillId="8" borderId="0" xfId="0" applyFont="1" applyFill="1" applyAlignment="1">
      <alignment horizontal="left" vertical="center"/>
    </xf>
    <xf numFmtId="1" fontId="116" fillId="8" borderId="0" xfId="0" applyNumberFormat="1" applyFont="1" applyFill="1" applyAlignment="1">
      <alignment horizontal="left" vertical="center"/>
    </xf>
    <xf numFmtId="1" fontId="40" fillId="8" borderId="0" xfId="0" applyNumberFormat="1" applyFont="1" applyFill="1" applyBorder="1" applyAlignment="1">
      <alignment horizontal="center"/>
    </xf>
    <xf numFmtId="0" fontId="57" fillId="8" borderId="8" xfId="0" applyFont="1" applyFill="1" applyBorder="1" applyProtection="1">
      <protection locked="0"/>
    </xf>
    <xf numFmtId="0" fontId="51" fillId="8" borderId="8" xfId="0" applyFont="1" applyFill="1" applyBorder="1" applyProtection="1">
      <protection locked="0"/>
    </xf>
    <xf numFmtId="0" fontId="125" fillId="0" borderId="0" xfId="0" applyFont="1" applyFill="1"/>
    <xf numFmtId="0" fontId="124" fillId="0" borderId="0" xfId="0" applyFont="1" applyFill="1" applyAlignment="1">
      <alignment horizontal="left"/>
    </xf>
    <xf numFmtId="0" fontId="125" fillId="9" borderId="0" xfId="0" applyFont="1" applyFill="1"/>
    <xf numFmtId="0" fontId="125" fillId="0" borderId="8" xfId="0" applyFont="1" applyFill="1" applyBorder="1"/>
    <xf numFmtId="0" fontId="124" fillId="0" borderId="8" xfId="0" applyFont="1" applyFill="1" applyBorder="1" applyAlignment="1">
      <alignment horizontal="left"/>
    </xf>
    <xf numFmtId="0" fontId="115" fillId="8" borderId="8" xfId="0" applyFont="1" applyFill="1" applyBorder="1" applyAlignment="1">
      <alignment horizontal="left" vertical="center"/>
    </xf>
    <xf numFmtId="1" fontId="116" fillId="8" borderId="8" xfId="0" applyNumberFormat="1" applyFont="1" applyFill="1" applyBorder="1" applyAlignment="1">
      <alignment horizontal="left" vertical="center"/>
    </xf>
    <xf numFmtId="1" fontId="123" fillId="8" borderId="8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117" fillId="40" borderId="0" xfId="0" applyFont="1" applyFill="1" applyAlignment="1">
      <alignment horizontal="center"/>
    </xf>
    <xf numFmtId="8" fontId="119" fillId="39" borderId="0" xfId="0" applyNumberFormat="1" applyFont="1" applyFill="1" applyAlignment="1">
      <alignment horizontal="center" vertical="center" wrapText="1"/>
    </xf>
    <xf numFmtId="0" fontId="117" fillId="40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13" fillId="8" borderId="0" xfId="0" applyFont="1" applyFill="1" applyAlignment="1">
      <alignment vertical="top"/>
    </xf>
    <xf numFmtId="0" fontId="113" fillId="8" borderId="0" xfId="0" applyFont="1" applyFill="1" applyAlignment="1">
      <alignment horizontal="left" vertical="top" wrapText="1"/>
    </xf>
    <xf numFmtId="0" fontId="117" fillId="8" borderId="0" xfId="0" applyFont="1" applyFill="1" applyAlignment="1">
      <alignment horizontal="center" vertical="top"/>
    </xf>
    <xf numFmtId="9" fontId="117" fillId="8" borderId="0" xfId="3" applyFont="1" applyFill="1" applyAlignment="1">
      <alignment horizontal="center" vertical="top"/>
    </xf>
    <xf numFmtId="0" fontId="0" fillId="8" borderId="0" xfId="0" applyFill="1" applyAlignment="1">
      <alignment horizontal="center" wrapText="1"/>
    </xf>
    <xf numFmtId="172" fontId="117" fillId="8" borderId="0" xfId="0" applyNumberFormat="1" applyFont="1" applyFill="1" applyAlignment="1">
      <alignment horizontal="center" vertical="top"/>
    </xf>
    <xf numFmtId="0" fontId="44" fillId="8" borderId="0" xfId="0" applyFont="1" applyFill="1" applyAlignment="1">
      <alignment horizontal="center" vertical="top"/>
    </xf>
    <xf numFmtId="0" fontId="119" fillId="8" borderId="0" xfId="0" applyFont="1" applyFill="1" applyAlignment="1">
      <alignment vertical="center" wrapText="1"/>
    </xf>
    <xf numFmtId="0" fontId="0" fillId="8" borderId="0" xfId="0" applyFill="1" applyBorder="1"/>
    <xf numFmtId="172" fontId="121" fillId="8" borderId="0" xfId="0" applyNumberFormat="1" applyFont="1" applyFill="1" applyBorder="1" applyAlignment="1">
      <alignment horizontal="center" vertical="center" wrapText="1"/>
    </xf>
    <xf numFmtId="0" fontId="121" fillId="8" borderId="0" xfId="0" applyFont="1" applyFill="1" applyBorder="1" applyAlignment="1">
      <alignment vertical="center" wrapText="1"/>
    </xf>
    <xf numFmtId="0" fontId="115" fillId="8" borderId="0" xfId="0" applyFont="1" applyFill="1" applyBorder="1" applyAlignment="1"/>
    <xf numFmtId="1" fontId="116" fillId="38" borderId="0" xfId="0" applyNumberFormat="1" applyFont="1" applyFill="1" applyBorder="1" applyAlignment="1">
      <alignment horizontal="center" vertical="center" wrapText="1"/>
    </xf>
    <xf numFmtId="0" fontId="117" fillId="40" borderId="0" xfId="0" applyFont="1" applyFill="1" applyAlignment="1"/>
    <xf numFmtId="0" fontId="115" fillId="38" borderId="0" xfId="0" applyFont="1" applyFill="1" applyAlignment="1">
      <alignment horizontal="center" vertical="center"/>
    </xf>
    <xf numFmtId="0" fontId="115" fillId="9" borderId="0" xfId="0" applyFont="1" applyFill="1" applyAlignment="1">
      <alignment horizontal="center" vertical="center"/>
    </xf>
    <xf numFmtId="0" fontId="134" fillId="0" borderId="0" xfId="0" applyFont="1" applyFill="1"/>
    <xf numFmtId="0" fontId="113" fillId="8" borderId="0" xfId="0" applyFont="1" applyFill="1" applyAlignment="1">
      <alignment horizontal="left" vertical="top"/>
    </xf>
    <xf numFmtId="0" fontId="115" fillId="8" borderId="0" xfId="0" applyFont="1" applyFill="1" applyAlignment="1">
      <alignment horizontal="left"/>
    </xf>
    <xf numFmtId="0" fontId="115" fillId="8" borderId="0" xfId="0" applyFont="1" applyFill="1" applyAlignment="1">
      <alignment horizontal="center" vertical="center"/>
    </xf>
    <xf numFmtId="197" fontId="84" fillId="8" borderId="27" xfId="0" applyNumberFormat="1" applyFont="1" applyFill="1" applyBorder="1" applyAlignment="1" applyProtection="1">
      <alignment horizontal="center" vertical="center" wrapText="1"/>
      <protection locked="0"/>
    </xf>
    <xf numFmtId="0" fontId="51" fillId="42" borderId="0" xfId="0" applyFont="1" applyFill="1" applyProtection="1">
      <protection locked="0"/>
    </xf>
    <xf numFmtId="0" fontId="54" fillId="42" borderId="69" xfId="0" applyFont="1" applyFill="1" applyBorder="1" applyAlignment="1" applyProtection="1">
      <alignment horizontal="center"/>
      <protection locked="0"/>
    </xf>
    <xf numFmtId="14" fontId="54" fillId="42" borderId="69" xfId="0" applyNumberFormat="1" applyFont="1" applyFill="1" applyBorder="1" applyAlignment="1" applyProtection="1">
      <alignment horizontal="center"/>
      <protection locked="0"/>
    </xf>
    <xf numFmtId="0" fontId="63" fillId="42" borderId="69" xfId="0" applyFont="1" applyFill="1" applyBorder="1" applyAlignment="1" applyProtection="1">
      <alignment horizontal="center"/>
      <protection locked="0"/>
    </xf>
    <xf numFmtId="0" fontId="52" fillId="42" borderId="69" xfId="0" applyFont="1" applyFill="1" applyBorder="1" applyAlignment="1" applyProtection="1">
      <alignment horizontal="center"/>
      <protection locked="0"/>
    </xf>
    <xf numFmtId="4" fontId="54" fillId="42" borderId="69" xfId="0" applyNumberFormat="1" applyFont="1" applyFill="1" applyBorder="1" applyAlignment="1" applyProtection="1">
      <alignment horizontal="center"/>
      <protection locked="0"/>
    </xf>
    <xf numFmtId="0" fontId="57" fillId="8" borderId="0" xfId="0" applyFont="1" applyFill="1" applyBorder="1" applyAlignment="1" applyProtection="1">
      <alignment horizontal="center"/>
    </xf>
    <xf numFmtId="0" fontId="64" fillId="8" borderId="0" xfId="0" applyFont="1" applyFill="1" applyBorder="1" applyProtection="1">
      <protection locked="0"/>
    </xf>
    <xf numFmtId="0" fontId="51" fillId="8" borderId="198" xfId="0" applyFont="1" applyFill="1" applyBorder="1" applyProtection="1">
      <protection locked="0"/>
    </xf>
    <xf numFmtId="0" fontId="51" fillId="8" borderId="199" xfId="0" applyFont="1" applyFill="1" applyBorder="1" applyProtection="1">
      <protection locked="0"/>
    </xf>
    <xf numFmtId="0" fontId="51" fillId="8" borderId="200" xfId="0" applyFont="1" applyFill="1" applyBorder="1" applyProtection="1">
      <protection locked="0"/>
    </xf>
    <xf numFmtId="0" fontId="58" fillId="8" borderId="200" xfId="0" applyFont="1" applyFill="1" applyBorder="1" applyProtection="1">
      <protection locked="0"/>
    </xf>
    <xf numFmtId="0" fontId="57" fillId="8" borderId="200" xfId="0" applyFont="1" applyFill="1" applyBorder="1" applyProtection="1">
      <protection locked="0"/>
    </xf>
    <xf numFmtId="0" fontId="58" fillId="8" borderId="200" xfId="0" applyFont="1" applyFill="1" applyBorder="1" applyAlignment="1" applyProtection="1">
      <alignment horizontal="left"/>
      <protection locked="0"/>
    </xf>
    <xf numFmtId="0" fontId="52" fillId="42" borderId="69" xfId="0" applyFont="1" applyFill="1" applyBorder="1" applyProtection="1">
      <protection locked="0"/>
    </xf>
    <xf numFmtId="3" fontId="54" fillId="42" borderId="74" xfId="0" applyNumberFormat="1" applyFont="1" applyFill="1" applyBorder="1" applyAlignment="1" applyProtection="1">
      <alignment horizontal="center"/>
      <protection locked="0"/>
    </xf>
    <xf numFmtId="192" fontId="54" fillId="42" borderId="69" xfId="0" applyNumberFormat="1" applyFont="1" applyFill="1" applyBorder="1" applyAlignment="1" applyProtection="1">
      <alignment horizontal="center"/>
      <protection locked="0"/>
    </xf>
    <xf numFmtId="195" fontId="54" fillId="42" borderId="69" xfId="0" applyNumberFormat="1" applyFont="1" applyFill="1" applyBorder="1" applyAlignment="1" applyProtection="1">
      <alignment horizontal="center"/>
      <protection locked="0"/>
    </xf>
    <xf numFmtId="0" fontId="54" fillId="42" borderId="69" xfId="0" applyNumberFormat="1" applyFont="1" applyFill="1" applyBorder="1" applyAlignment="1" applyProtection="1">
      <alignment horizontal="center"/>
      <protection locked="0"/>
    </xf>
    <xf numFmtId="3" fontId="54" fillId="42" borderId="69" xfId="0" applyNumberFormat="1" applyFont="1" applyFill="1" applyBorder="1" applyAlignment="1" applyProtection="1">
      <alignment horizontal="center"/>
      <protection locked="0"/>
    </xf>
    <xf numFmtId="39" fontId="65" fillId="42" borderId="94" xfId="7" applyNumberFormat="1" applyFont="1" applyFill="1" applyBorder="1" applyAlignment="1">
      <alignment horizontal="left" vertical="center" wrapText="1"/>
    </xf>
    <xf numFmtId="39" fontId="65" fillId="42" borderId="95" xfId="7" applyNumberFormat="1" applyFont="1" applyFill="1" applyBorder="1" applyAlignment="1">
      <alignment horizontal="center" vertical="center" wrapText="1"/>
    </xf>
    <xf numFmtId="190" fontId="65" fillId="42" borderId="95" xfId="7" applyNumberFormat="1" applyFont="1" applyFill="1" applyBorder="1" applyAlignment="1">
      <alignment horizontal="center" vertical="center"/>
    </xf>
    <xf numFmtId="37" fontId="65" fillId="42" borderId="96" xfId="10" applyNumberFormat="1" applyFont="1" applyFill="1" applyBorder="1" applyAlignment="1" applyProtection="1">
      <alignment horizontal="center" vertical="center" wrapText="1"/>
    </xf>
    <xf numFmtId="39" fontId="76" fillId="43" borderId="97" xfId="7" applyNumberFormat="1" applyFont="1" applyFill="1" applyBorder="1" applyAlignment="1" applyProtection="1">
      <alignment horizontal="left" vertical="center"/>
      <protection locked="0"/>
    </xf>
    <xf numFmtId="39" fontId="76" fillId="43" borderId="92" xfId="7" applyNumberFormat="1" applyFont="1" applyFill="1" applyBorder="1" applyAlignment="1" applyProtection="1">
      <alignment horizontal="left" vertical="center"/>
      <protection locked="0"/>
    </xf>
    <xf numFmtId="39" fontId="76" fillId="43" borderId="92" xfId="7" applyNumberFormat="1" applyFont="1" applyFill="1" applyBorder="1" applyAlignment="1" applyProtection="1">
      <alignment horizontal="center" vertical="center"/>
      <protection locked="0"/>
    </xf>
    <xf numFmtId="37" fontId="76" fillId="43" borderId="92" xfId="7" applyNumberFormat="1" applyFont="1" applyFill="1" applyBorder="1" applyAlignment="1" applyProtection="1">
      <alignment horizontal="center" vertical="center"/>
      <protection locked="0"/>
    </xf>
    <xf numFmtId="39" fontId="76" fillId="43" borderId="98" xfId="7" applyNumberFormat="1" applyFont="1" applyFill="1" applyBorder="1" applyAlignment="1" applyProtection="1">
      <alignment horizontal="centerContinuous" vertical="center"/>
      <protection locked="0"/>
    </xf>
    <xf numFmtId="0" fontId="11" fillId="43" borderId="0" xfId="7" applyFont="1" applyFill="1" applyAlignment="1" applyProtection="1">
      <alignment horizontal="center" vertical="center"/>
      <protection locked="0"/>
    </xf>
    <xf numFmtId="39" fontId="6" fillId="42" borderId="100" xfId="7" applyNumberFormat="1" applyFont="1" applyFill="1" applyBorder="1" applyAlignment="1" applyProtection="1">
      <alignment horizontal="center" vertical="center"/>
      <protection locked="0"/>
    </xf>
    <xf numFmtId="37" fontId="76" fillId="43" borderId="101" xfId="7" applyNumberFormat="1" applyFont="1" applyFill="1" applyBorder="1" applyAlignment="1" applyProtection="1">
      <alignment horizontal="centerContinuous" vertical="center"/>
      <protection locked="0"/>
    </xf>
    <xf numFmtId="182" fontId="9" fillId="44" borderId="101" xfId="7" applyNumberFormat="1" applyFont="1" applyFill="1" applyBorder="1" applyAlignment="1" applyProtection="1">
      <alignment horizontal="center" vertical="center"/>
      <protection locked="0"/>
    </xf>
    <xf numFmtId="182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9" fillId="44" borderId="101" xfId="7" applyNumberFormat="1" applyFont="1" applyFill="1" applyBorder="1" applyAlignment="1" applyProtection="1">
      <alignment horizontal="center" vertical="center"/>
      <protection locked="0"/>
    </xf>
    <xf numFmtId="39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6" fillId="42" borderId="126" xfId="7" applyNumberFormat="1" applyFont="1" applyFill="1" applyBorder="1" applyAlignment="1">
      <alignment horizontal="left" vertical="center"/>
    </xf>
    <xf numFmtId="39" fontId="6" fillId="42" borderId="127" xfId="7" applyNumberFormat="1" applyFont="1" applyFill="1" applyBorder="1" applyAlignment="1">
      <alignment horizontal="left" vertical="center"/>
    </xf>
    <xf numFmtId="39" fontId="6" fillId="42" borderId="128" xfId="7" applyNumberFormat="1" applyFont="1" applyFill="1" applyBorder="1" applyAlignment="1">
      <alignment horizontal="left" vertical="center"/>
    </xf>
    <xf numFmtId="39" fontId="76" fillId="43" borderId="129" xfId="7" applyNumberFormat="1" applyFont="1" applyFill="1" applyBorder="1" applyAlignment="1" applyProtection="1">
      <alignment horizontal="centerContinuous" vertical="center"/>
      <protection locked="0"/>
    </xf>
    <xf numFmtId="39" fontId="76" fillId="43" borderId="92" xfId="7" applyNumberFormat="1" applyFont="1" applyFill="1" applyBorder="1" applyAlignment="1" applyProtection="1">
      <alignment horizontal="centerContinuous" vertical="center"/>
      <protection locked="0"/>
    </xf>
    <xf numFmtId="39" fontId="76" fillId="43" borderId="130" xfId="7" applyNumberFormat="1" applyFont="1" applyFill="1" applyBorder="1" applyAlignment="1" applyProtection="1">
      <alignment horizontal="centerContinuous" vertical="center"/>
      <protection locked="0"/>
    </xf>
    <xf numFmtId="186" fontId="9" fillId="44" borderId="129" xfId="7" applyNumberFormat="1" applyFont="1" applyFill="1" applyBorder="1" applyAlignment="1" applyProtection="1">
      <alignment horizontal="center" vertical="center"/>
      <protection locked="0"/>
    </xf>
    <xf numFmtId="186" fontId="9" fillId="44" borderId="92" xfId="7" applyNumberFormat="1" applyFont="1" applyFill="1" applyBorder="1" applyAlignment="1" applyProtection="1">
      <alignment horizontal="center" vertical="center"/>
      <protection locked="0"/>
    </xf>
    <xf numFmtId="186" fontId="9" fillId="44" borderId="130" xfId="7" applyNumberFormat="1" applyFont="1" applyFill="1" applyBorder="1" applyAlignment="1" applyProtection="1">
      <alignment horizontal="center" vertical="center"/>
      <protection locked="0"/>
    </xf>
    <xf numFmtId="186" fontId="9" fillId="44" borderId="131" xfId="7" applyNumberFormat="1" applyFont="1" applyFill="1" applyBorder="1" applyAlignment="1" applyProtection="1">
      <alignment horizontal="center" vertical="center"/>
      <protection locked="0"/>
    </xf>
    <xf numFmtId="186" fontId="9" fillId="44" borderId="132" xfId="7" applyNumberFormat="1" applyFont="1" applyFill="1" applyBorder="1" applyAlignment="1" applyProtection="1">
      <alignment horizontal="center" vertical="center"/>
      <protection locked="0"/>
    </xf>
    <xf numFmtId="186" fontId="9" fillId="44" borderId="133" xfId="7" applyNumberFormat="1" applyFont="1" applyFill="1" applyBorder="1" applyAlignment="1" applyProtection="1">
      <alignment horizontal="center" vertical="center"/>
      <protection locked="0"/>
    </xf>
    <xf numFmtId="39" fontId="6" fillId="42" borderId="100" xfId="7" applyNumberFormat="1" applyFont="1" applyFill="1" applyBorder="1" applyAlignment="1">
      <alignment horizontal="left" vertical="center"/>
    </xf>
    <xf numFmtId="39" fontId="76" fillId="43" borderId="101" xfId="7" applyNumberFormat="1" applyFont="1" applyFill="1" applyBorder="1" applyAlignment="1" applyProtection="1">
      <alignment horizontal="centerContinuous" vertical="center"/>
      <protection locked="0"/>
    </xf>
    <xf numFmtId="186" fontId="9" fillId="44" borderId="101" xfId="7" applyNumberFormat="1" applyFont="1" applyFill="1" applyBorder="1" applyAlignment="1" applyProtection="1">
      <alignment horizontal="center" vertical="center"/>
      <protection locked="0"/>
    </xf>
    <xf numFmtId="186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76" fillId="41" borderId="106" xfId="7" applyNumberFormat="1" applyFont="1" applyFill="1" applyBorder="1" applyAlignment="1" applyProtection="1">
      <alignment horizontal="center" vertical="center"/>
      <protection locked="0"/>
    </xf>
    <xf numFmtId="0" fontId="76" fillId="41" borderId="45" xfId="7" applyFont="1" applyFill="1" applyBorder="1" applyAlignment="1" applyProtection="1">
      <alignment vertical="center"/>
      <protection locked="0"/>
    </xf>
    <xf numFmtId="183" fontId="9" fillId="41" borderId="107" xfId="7" applyNumberFormat="1" applyFont="1" applyFill="1" applyBorder="1" applyAlignment="1" applyProtection="1">
      <alignment horizontal="center" vertical="center"/>
      <protection locked="0"/>
    </xf>
    <xf numFmtId="0" fontId="9" fillId="44" borderId="106" xfId="7" applyFont="1" applyFill="1" applyBorder="1" applyAlignment="1" applyProtection="1">
      <alignment horizontal="center" vertical="center"/>
      <protection locked="0"/>
    </xf>
    <xf numFmtId="37" fontId="9" fillId="44" borderId="93" xfId="7" applyNumberFormat="1" applyFont="1" applyFill="1" applyBorder="1" applyAlignment="1" applyProtection="1">
      <alignment horizontal="center" vertical="center"/>
      <protection locked="0"/>
    </xf>
    <xf numFmtId="185" fontId="9" fillId="44" borderId="98" xfId="7" applyNumberFormat="1" applyFont="1" applyFill="1" applyBorder="1" applyAlignment="1" applyProtection="1">
      <alignment horizontal="center" vertical="center"/>
      <protection locked="0"/>
    </xf>
    <xf numFmtId="0" fontId="9" fillId="44" borderId="108" xfId="7" applyFont="1" applyFill="1" applyBorder="1" applyAlignment="1" applyProtection="1">
      <alignment horizontal="center" vertical="center"/>
      <protection locked="0"/>
    </xf>
    <xf numFmtId="37" fontId="9" fillId="44" borderId="156" xfId="7" applyNumberFormat="1" applyFont="1" applyFill="1" applyBorder="1" applyAlignment="1" applyProtection="1">
      <alignment horizontal="center" vertical="center"/>
      <protection locked="0"/>
    </xf>
    <xf numFmtId="185" fontId="9" fillId="44" borderId="99" xfId="7" applyNumberFormat="1" applyFont="1" applyFill="1" applyBorder="1" applyAlignment="1" applyProtection="1">
      <alignment horizontal="center" vertical="center"/>
      <protection locked="0"/>
    </xf>
    <xf numFmtId="0" fontId="135" fillId="8" borderId="0" xfId="0" applyFont="1" applyFill="1" applyProtection="1">
      <protection locked="0"/>
    </xf>
    <xf numFmtId="0" fontId="14" fillId="8" borderId="0" xfId="0" applyFont="1" applyFill="1" applyAlignment="1" applyProtection="1">
      <alignment horizontal="right"/>
    </xf>
    <xf numFmtId="0" fontId="15" fillId="8" borderId="0" xfId="0" applyFont="1" applyFill="1" applyAlignment="1" applyProtection="1">
      <alignment horizontal="right" vertical="center"/>
    </xf>
    <xf numFmtId="0" fontId="13" fillId="8" borderId="0" xfId="4" applyFont="1" applyFill="1" applyAlignment="1" applyProtection="1">
      <alignment horizontal="right" vertical="center"/>
    </xf>
    <xf numFmtId="0" fontId="22" fillId="8" borderId="0" xfId="4" applyFont="1" applyFill="1" applyAlignment="1" applyProtection="1">
      <alignment vertical="center"/>
    </xf>
    <xf numFmtId="0" fontId="13" fillId="8" borderId="0" xfId="4" applyFont="1" applyFill="1" applyAlignment="1" applyProtection="1">
      <alignment vertical="center"/>
    </xf>
    <xf numFmtId="0" fontId="13" fillId="8" borderId="0" xfId="4" applyFont="1" applyFill="1" applyBorder="1" applyAlignment="1" applyProtection="1">
      <alignment vertical="center"/>
    </xf>
    <xf numFmtId="0" fontId="13" fillId="8" borderId="0" xfId="4" applyFont="1" applyFill="1" applyAlignment="1" applyProtection="1">
      <alignment vertical="center"/>
      <protection locked="0"/>
    </xf>
    <xf numFmtId="0" fontId="28" fillId="8" borderId="0" xfId="4" applyFont="1" applyFill="1" applyAlignment="1" applyProtection="1">
      <alignment horizontal="center" vertical="center" wrapText="1"/>
      <protection locked="0"/>
    </xf>
    <xf numFmtId="0" fontId="28" fillId="8" borderId="0" xfId="4" applyFont="1" applyFill="1" applyBorder="1" applyAlignment="1" applyProtection="1">
      <alignment horizontal="center" vertical="center" wrapText="1"/>
    </xf>
    <xf numFmtId="164" fontId="13" fillId="8" borderId="0" xfId="5" quotePrefix="1" applyNumberFormat="1" applyFont="1" applyFill="1" applyBorder="1" applyAlignment="1" applyProtection="1">
      <alignment horizontal="center" vertical="center"/>
    </xf>
    <xf numFmtId="0" fontId="30" fillId="8" borderId="0" xfId="4" applyFont="1" applyFill="1" applyBorder="1" applyAlignment="1" applyProtection="1">
      <alignment horizontal="justify" vertical="justify" wrapText="1"/>
    </xf>
    <xf numFmtId="0" fontId="105" fillId="8" borderId="0" xfId="0" applyFont="1" applyFill="1" applyBorder="1" applyAlignment="1" applyProtection="1">
      <alignment vertical="top"/>
      <protection locked="0"/>
    </xf>
    <xf numFmtId="0" fontId="51" fillId="8" borderId="0" xfId="0" applyFont="1" applyFill="1" applyAlignment="1" applyProtection="1">
      <alignment vertical="top" wrapText="1"/>
      <protection locked="0"/>
    </xf>
    <xf numFmtId="0" fontId="51" fillId="8" borderId="0" xfId="0" applyFont="1" applyFill="1" applyAlignment="1" applyProtection="1">
      <alignment wrapText="1"/>
      <protection locked="0"/>
    </xf>
    <xf numFmtId="0" fontId="51" fillId="8" borderId="201" xfId="0" applyFont="1" applyFill="1" applyBorder="1" applyProtection="1">
      <protection locked="0"/>
    </xf>
    <xf numFmtId="0" fontId="105" fillId="8" borderId="0" xfId="0" applyFont="1" applyFill="1" applyAlignment="1" applyProtection="1">
      <alignment vertical="top"/>
      <protection locked="0"/>
    </xf>
    <xf numFmtId="0" fontId="105" fillId="8" borderId="0" xfId="0" applyFont="1" applyFill="1" applyAlignment="1" applyProtection="1">
      <alignment vertical="top" wrapText="1"/>
      <protection locked="0"/>
    </xf>
    <xf numFmtId="0" fontId="53" fillId="8" borderId="0" xfId="0" applyFont="1" applyFill="1" applyBorder="1" applyAlignment="1" applyProtection="1">
      <alignment wrapText="1"/>
      <protection locked="0"/>
    </xf>
    <xf numFmtId="0" fontId="51" fillId="42" borderId="0" xfId="0" applyFont="1" applyFill="1" applyProtection="1">
      <protection hidden="1"/>
    </xf>
    <xf numFmtId="0" fontId="51" fillId="8" borderId="0" xfId="0" applyFont="1" applyFill="1" applyProtection="1">
      <protection hidden="1"/>
    </xf>
    <xf numFmtId="0" fontId="51" fillId="26" borderId="0" xfId="0" applyFont="1" applyFill="1" applyProtection="1">
      <protection hidden="1"/>
    </xf>
    <xf numFmtId="0" fontId="59" fillId="36" borderId="0" xfId="0" applyFont="1" applyFill="1" applyProtection="1">
      <protection hidden="1"/>
    </xf>
    <xf numFmtId="0" fontId="53" fillId="8" borderId="0" xfId="0" applyFont="1" applyFill="1" applyAlignment="1" applyProtection="1">
      <alignment horizontal="left" vertical="center"/>
      <protection hidden="1"/>
    </xf>
    <xf numFmtId="0" fontId="56" fillId="8" borderId="0" xfId="0" applyFont="1" applyFill="1" applyProtection="1">
      <protection hidden="1"/>
    </xf>
    <xf numFmtId="0" fontId="105" fillId="8" borderId="0" xfId="0" applyFont="1" applyFill="1" applyProtection="1">
      <protection hidden="1"/>
    </xf>
    <xf numFmtId="0" fontId="105" fillId="8" borderId="0" xfId="0" applyFont="1" applyFill="1" applyAlignment="1" applyProtection="1">
      <protection hidden="1"/>
    </xf>
    <xf numFmtId="0" fontId="138" fillId="8" borderId="0" xfId="0" applyFont="1" applyFill="1" applyProtection="1">
      <protection hidden="1"/>
    </xf>
    <xf numFmtId="0" fontId="139" fillId="8" borderId="0" xfId="0" applyFont="1" applyFill="1" applyProtection="1">
      <protection hidden="1"/>
    </xf>
    <xf numFmtId="0" fontId="52" fillId="8" borderId="0" xfId="0" applyFont="1" applyFill="1" applyProtection="1">
      <protection hidden="1"/>
    </xf>
    <xf numFmtId="0" fontId="52" fillId="26" borderId="0" xfId="0" applyFont="1" applyFill="1" applyProtection="1">
      <protection hidden="1"/>
    </xf>
    <xf numFmtId="0" fontId="103" fillId="8" borderId="0" xfId="0" applyFont="1" applyFill="1" applyProtection="1">
      <protection hidden="1"/>
    </xf>
    <xf numFmtId="0" fontId="103" fillId="26" borderId="0" xfId="0" applyFont="1" applyFill="1" applyProtection="1">
      <protection hidden="1"/>
    </xf>
    <xf numFmtId="0" fontId="59" fillId="26" borderId="0" xfId="0" applyFont="1" applyFill="1" applyProtection="1">
      <protection hidden="1"/>
    </xf>
    <xf numFmtId="0" fontId="59" fillId="8" borderId="0" xfId="0" applyFont="1" applyFill="1" applyProtection="1">
      <protection hidden="1"/>
    </xf>
    <xf numFmtId="0" fontId="137" fillId="8" borderId="0" xfId="0" applyFont="1" applyFill="1" applyProtection="1">
      <protection hidden="1"/>
    </xf>
    <xf numFmtId="0" fontId="137" fillId="8" borderId="0" xfId="0" applyFont="1" applyFill="1" applyBorder="1" applyProtection="1">
      <protection hidden="1"/>
    </xf>
    <xf numFmtId="0" fontId="104" fillId="8" borderId="0" xfId="0" applyFont="1" applyFill="1" applyProtection="1">
      <protection hidden="1"/>
    </xf>
    <xf numFmtId="0" fontId="140" fillId="8" borderId="0" xfId="0" applyFont="1" applyFill="1" applyAlignment="1" applyProtection="1">
      <alignment horizontal="center"/>
      <protection hidden="1"/>
    </xf>
    <xf numFmtId="0" fontId="61" fillId="8" borderId="0" xfId="0" applyFont="1" applyFill="1" applyAlignment="1" applyProtection="1">
      <alignment horizontal="center"/>
      <protection hidden="1"/>
    </xf>
    <xf numFmtId="0" fontId="3" fillId="45" borderId="0" xfId="0" applyFont="1" applyFill="1" applyProtection="1">
      <protection locked="0"/>
    </xf>
    <xf numFmtId="1" fontId="44" fillId="26" borderId="0" xfId="0" applyNumberFormat="1" applyFont="1" applyFill="1" applyAlignment="1" applyProtection="1">
      <alignment horizontal="center"/>
      <protection locked="0"/>
    </xf>
    <xf numFmtId="4" fontId="59" fillId="8" borderId="0" xfId="0" applyNumberFormat="1" applyFont="1" applyFill="1" applyProtection="1">
      <protection locked="0"/>
    </xf>
    <xf numFmtId="3" fontId="54" fillId="9" borderId="69" xfId="0" applyNumberFormat="1" applyFont="1" applyFill="1" applyBorder="1" applyAlignment="1" applyProtection="1">
      <alignment horizontal="center"/>
      <protection locked="0"/>
    </xf>
    <xf numFmtId="0" fontId="53" fillId="9" borderId="69" xfId="0" applyFont="1" applyFill="1" applyBorder="1" applyAlignment="1" applyProtection="1">
      <alignment horizontal="center" vertical="center"/>
      <protection locked="0"/>
    </xf>
    <xf numFmtId="0" fontId="53" fillId="9" borderId="69" xfId="0" applyFont="1" applyFill="1" applyBorder="1" applyAlignment="1" applyProtection="1">
      <alignment horizontal="center" vertical="center"/>
    </xf>
    <xf numFmtId="200" fontId="41" fillId="8" borderId="0" xfId="1" applyNumberFormat="1" applyFont="1" applyFill="1"/>
    <xf numFmtId="0" fontId="41" fillId="8" borderId="0" xfId="29" applyFill="1"/>
    <xf numFmtId="0" fontId="0" fillId="8" borderId="0" xfId="0" applyFill="1" applyAlignment="1">
      <alignment horizontal="left" vertical="center" wrapText="1"/>
    </xf>
    <xf numFmtId="0" fontId="144" fillId="8" borderId="0" xfId="30" applyFont="1" applyFill="1" applyAlignment="1">
      <alignment vertical="center"/>
    </xf>
    <xf numFmtId="0" fontId="144" fillId="8" borderId="0" xfId="30" applyFont="1" applyFill="1" applyAlignment="1">
      <alignment horizontal="center" vertical="center"/>
    </xf>
    <xf numFmtId="200" fontId="0" fillId="8" borderId="0" xfId="0" applyNumberFormat="1" applyFill="1"/>
    <xf numFmtId="0" fontId="0" fillId="8" borderId="45" xfId="0" applyFill="1" applyBorder="1"/>
    <xf numFmtId="3" fontId="0" fillId="8" borderId="0" xfId="0" applyNumberFormat="1" applyFill="1"/>
    <xf numFmtId="43" fontId="1" fillId="8" borderId="0" xfId="1" applyFont="1" applyFill="1"/>
    <xf numFmtId="3" fontId="144" fillId="8" borderId="7" xfId="30" applyNumberFormat="1" applyFont="1" applyFill="1" applyBorder="1" applyAlignment="1">
      <alignment horizontal="right" vertical="center" indent="1"/>
    </xf>
    <xf numFmtId="0" fontId="144" fillId="8" borderId="7" xfId="30" applyFont="1" applyFill="1" applyBorder="1" applyAlignment="1">
      <alignment vertical="center"/>
    </xf>
    <xf numFmtId="0" fontId="144" fillId="8" borderId="7" xfId="30" applyFont="1" applyFill="1" applyBorder="1" applyAlignment="1">
      <alignment horizontal="center" vertical="center"/>
    </xf>
    <xf numFmtId="200" fontId="145" fillId="14" borderId="203" xfId="1" applyNumberFormat="1" applyFont="1" applyFill="1" applyBorder="1" applyAlignment="1">
      <alignment horizontal="center" vertical="center" wrapText="1"/>
    </xf>
    <xf numFmtId="0" fontId="145" fillId="14" borderId="204" xfId="30" applyFont="1" applyFill="1" applyBorder="1" applyAlignment="1">
      <alignment horizontal="center" vertical="center" wrapText="1"/>
    </xf>
    <xf numFmtId="0" fontId="145" fillId="14" borderId="205" xfId="30" applyFont="1" applyFill="1" applyBorder="1" applyAlignment="1">
      <alignment horizontal="center" vertical="center" wrapText="1"/>
    </xf>
    <xf numFmtId="0" fontId="3" fillId="43" borderId="0" xfId="7" applyFont="1" applyFill="1" applyAlignment="1" applyProtection="1">
      <protection locked="0"/>
    </xf>
    <xf numFmtId="0" fontId="11" fillId="43" borderId="0" xfId="0" applyFont="1" applyFill="1"/>
    <xf numFmtId="0" fontId="9" fillId="9" borderId="0" xfId="7" applyFont="1" applyFill="1" applyBorder="1" applyAlignment="1" applyProtection="1">
      <alignment horizontal="center" vertical="center"/>
      <protection locked="0"/>
    </xf>
    <xf numFmtId="0" fontId="9" fillId="9" borderId="107" xfId="7" applyFont="1" applyFill="1" applyBorder="1" applyAlignment="1" applyProtection="1">
      <alignment horizontal="center" vertical="center"/>
      <protection locked="0"/>
    </xf>
    <xf numFmtId="0" fontId="9" fillId="16" borderId="106" xfId="7" applyFont="1" applyFill="1" applyBorder="1" applyAlignment="1" applyProtection="1">
      <alignment horizontal="center" vertical="center"/>
      <protection locked="0"/>
    </xf>
    <xf numFmtId="0" fontId="9" fillId="16" borderId="0" xfId="7" applyFont="1" applyFill="1" applyBorder="1" applyAlignment="1" applyProtection="1">
      <alignment horizontal="center" vertical="center"/>
      <protection locked="0"/>
    </xf>
    <xf numFmtId="0" fontId="9" fillId="16" borderId="107" xfId="7" applyFont="1" applyFill="1" applyBorder="1" applyAlignment="1" applyProtection="1">
      <alignment horizontal="center" vertical="center"/>
      <protection locked="0"/>
    </xf>
    <xf numFmtId="0" fontId="9" fillId="9" borderId="106" xfId="7" applyFont="1" applyFill="1" applyBorder="1" applyAlignment="1" applyProtection="1">
      <alignment horizontal="center" vertical="center"/>
      <protection locked="0"/>
    </xf>
    <xf numFmtId="0" fontId="9" fillId="16" borderId="108" xfId="7" applyFont="1" applyFill="1" applyBorder="1" applyAlignment="1" applyProtection="1">
      <alignment horizontal="center" vertical="center"/>
      <protection locked="0"/>
    </xf>
    <xf numFmtId="0" fontId="9" fillId="16" borderId="209" xfId="7" applyFont="1" applyFill="1" applyBorder="1" applyAlignment="1" applyProtection="1">
      <alignment horizontal="center" vertical="center"/>
      <protection locked="0"/>
    </xf>
    <xf numFmtId="0" fontId="9" fillId="16" borderId="210" xfId="7" applyFont="1" applyFill="1" applyBorder="1" applyAlignment="1" applyProtection="1">
      <alignment horizontal="center" vertical="center"/>
      <protection locked="0"/>
    </xf>
    <xf numFmtId="0" fontId="10" fillId="26" borderId="7" xfId="0" applyFont="1" applyFill="1" applyBorder="1" applyAlignment="1">
      <alignment horizontal="center" vertical="center"/>
    </xf>
    <xf numFmtId="0" fontId="10" fillId="26" borderId="7" xfId="0" applyFont="1" applyFill="1" applyBorder="1" applyAlignment="1">
      <alignment horizontal="center" vertical="center" wrapText="1"/>
    </xf>
    <xf numFmtId="0" fontId="0" fillId="47" borderId="7" xfId="0" applyFill="1" applyBorder="1"/>
    <xf numFmtId="0" fontId="0" fillId="48" borderId="7" xfId="0" applyFill="1" applyBorder="1"/>
    <xf numFmtId="0" fontId="9" fillId="8" borderId="92" xfId="7" applyNumberFormat="1" applyFont="1" applyFill="1" applyBorder="1" applyAlignment="1" applyProtection="1">
      <alignment horizontal="center" vertical="center"/>
      <protection locked="0"/>
    </xf>
    <xf numFmtId="0" fontId="9" fillId="8" borderId="130" xfId="7" applyNumberFormat="1" applyFont="1" applyFill="1" applyBorder="1" applyAlignment="1" applyProtection="1">
      <alignment horizontal="center" vertical="center"/>
      <protection locked="0"/>
    </xf>
    <xf numFmtId="0" fontId="152" fillId="49" borderId="0" xfId="0" applyFont="1" applyFill="1" applyAlignment="1">
      <alignment horizontal="center" vertical="center" wrapText="1"/>
    </xf>
    <xf numFmtId="0" fontId="153" fillId="49" borderId="0" xfId="0" applyFont="1" applyFill="1" applyAlignment="1">
      <alignment horizontal="center" vertical="center" wrapText="1"/>
    </xf>
    <xf numFmtId="0" fontId="153" fillId="49" borderId="0" xfId="0" applyFont="1" applyFill="1" applyAlignment="1">
      <alignment horizontal="right" vertical="center" wrapText="1"/>
    </xf>
    <xf numFmtId="4" fontId="153" fillId="49" borderId="0" xfId="0" applyNumberFormat="1" applyFont="1" applyFill="1" applyAlignment="1">
      <alignment horizontal="right" vertical="center" wrapText="1"/>
    </xf>
    <xf numFmtId="0" fontId="153" fillId="49" borderId="0" xfId="0" applyFont="1" applyFill="1" applyAlignment="1">
      <alignment vertical="center" wrapText="1"/>
    </xf>
    <xf numFmtId="0" fontId="109" fillId="4" borderId="0" xfId="4" applyFont="1" applyFill="1" applyAlignment="1">
      <alignment horizontal="centerContinuous" wrapText="1"/>
    </xf>
    <xf numFmtId="0" fontId="154" fillId="0" borderId="0" xfId="0" applyFont="1"/>
    <xf numFmtId="201" fontId="154" fillId="0" borderId="0" xfId="0" applyNumberFormat="1" applyFont="1" applyAlignment="1">
      <alignment horizontal="center"/>
    </xf>
    <xf numFmtId="0" fontId="154" fillId="50" borderId="0" xfId="0" applyFont="1" applyFill="1"/>
    <xf numFmtId="186" fontId="48" fillId="8" borderId="101" xfId="28" applyNumberFormat="1" applyFill="1" applyBorder="1" applyAlignment="1" applyProtection="1">
      <alignment horizontal="center" vertical="center"/>
      <protection locked="0"/>
    </xf>
    <xf numFmtId="186" fontId="48" fillId="44" borderId="101" xfId="28" applyNumberFormat="1" applyFill="1" applyBorder="1" applyAlignment="1" applyProtection="1">
      <alignment horizontal="center" vertical="center"/>
      <protection locked="0"/>
    </xf>
    <xf numFmtId="8" fontId="119" fillId="8" borderId="0" xfId="0" applyNumberFormat="1" applyFont="1" applyFill="1" applyAlignment="1">
      <alignment horizontal="center" vertical="center" wrapText="1"/>
    </xf>
    <xf numFmtId="0" fontId="149" fillId="26" borderId="0" xfId="0" applyFont="1" applyFill="1" applyBorder="1" applyAlignment="1">
      <alignment horizontal="center"/>
    </xf>
    <xf numFmtId="0" fontId="51" fillId="8" borderId="37" xfId="0" applyFont="1" applyFill="1" applyBorder="1" applyAlignment="1" applyProtection="1">
      <alignment horizontal="center"/>
      <protection locked="0"/>
    </xf>
    <xf numFmtId="0" fontId="51" fillId="8" borderId="36" xfId="0" applyFont="1" applyFill="1" applyBorder="1" applyAlignment="1" applyProtection="1">
      <alignment horizontal="center"/>
      <protection locked="0"/>
    </xf>
    <xf numFmtId="0" fontId="136" fillId="8" borderId="81" xfId="0" applyFont="1" applyFill="1" applyBorder="1" applyAlignment="1" applyProtection="1">
      <alignment horizontal="left" vertical="top" wrapText="1"/>
      <protection locked="0"/>
    </xf>
    <xf numFmtId="0" fontId="136" fillId="8" borderId="80" xfId="0" applyFont="1" applyFill="1" applyBorder="1" applyAlignment="1" applyProtection="1">
      <alignment horizontal="left" vertical="top" wrapText="1"/>
      <protection locked="0"/>
    </xf>
    <xf numFmtId="0" fontId="136" fillId="8" borderId="79" xfId="0" applyFont="1" applyFill="1" applyBorder="1" applyAlignment="1" applyProtection="1">
      <alignment horizontal="left" vertical="top" wrapText="1"/>
      <protection locked="0"/>
    </xf>
    <xf numFmtId="0" fontId="136" fillId="8" borderId="78" xfId="0" applyFont="1" applyFill="1" applyBorder="1" applyAlignment="1" applyProtection="1">
      <alignment horizontal="left" vertical="top" wrapText="1"/>
      <protection locked="0"/>
    </xf>
    <xf numFmtId="0" fontId="136" fillId="8" borderId="77" xfId="0" applyFont="1" applyFill="1" applyBorder="1" applyAlignment="1" applyProtection="1">
      <alignment horizontal="left" vertical="top" wrapText="1"/>
      <protection locked="0"/>
    </xf>
    <xf numFmtId="0" fontId="136" fillId="8" borderId="76" xfId="0" applyFont="1" applyFill="1" applyBorder="1" applyAlignment="1" applyProtection="1">
      <alignment horizontal="left" vertical="top" wrapText="1"/>
      <protection locked="0"/>
    </xf>
    <xf numFmtId="0" fontId="105" fillId="9" borderId="0" xfId="0" applyFont="1" applyFill="1" applyAlignment="1" applyProtection="1">
      <alignment horizontal="center"/>
      <protection locked="0"/>
    </xf>
    <xf numFmtId="3" fontId="151" fillId="16" borderId="0" xfId="0" applyNumberFormat="1" applyFont="1" applyFill="1" applyBorder="1" applyAlignment="1" applyProtection="1">
      <alignment horizontal="center"/>
      <protection locked="0"/>
    </xf>
    <xf numFmtId="0" fontId="54" fillId="42" borderId="86" xfId="0" applyFont="1" applyFill="1" applyBorder="1" applyAlignment="1" applyProtection="1">
      <alignment horizontal="center"/>
      <protection locked="0"/>
    </xf>
    <xf numFmtId="0" fontId="54" fillId="42" borderId="84" xfId="0" applyFont="1" applyFill="1" applyBorder="1" applyAlignment="1" applyProtection="1">
      <alignment horizontal="center"/>
      <protection locked="0"/>
    </xf>
    <xf numFmtId="0" fontId="60" fillId="16" borderId="81" xfId="0" applyFont="1" applyFill="1" applyBorder="1" applyAlignment="1" applyProtection="1">
      <alignment horizontal="center"/>
    </xf>
    <xf numFmtId="0" fontId="60" fillId="16" borderId="83" xfId="0" applyFont="1" applyFill="1" applyBorder="1" applyAlignment="1" applyProtection="1">
      <alignment horizontal="center"/>
    </xf>
    <xf numFmtId="0" fontId="60" fillId="16" borderId="80" xfId="0" applyFont="1" applyFill="1" applyBorder="1" applyAlignment="1" applyProtection="1">
      <alignment horizontal="center"/>
    </xf>
    <xf numFmtId="0" fontId="48" fillId="8" borderId="86" xfId="28" applyFill="1" applyBorder="1" applyAlignment="1" applyProtection="1">
      <alignment horizontal="center"/>
      <protection locked="0"/>
    </xf>
    <xf numFmtId="0" fontId="52" fillId="8" borderId="85" xfId="0" applyFont="1" applyFill="1" applyBorder="1" applyAlignment="1" applyProtection="1">
      <alignment horizontal="center"/>
      <protection locked="0"/>
    </xf>
    <xf numFmtId="0" fontId="52" fillId="8" borderId="84" xfId="0" applyFont="1" applyFill="1" applyBorder="1" applyAlignment="1" applyProtection="1">
      <alignment horizontal="center"/>
      <protection locked="0"/>
    </xf>
    <xf numFmtId="0" fontId="54" fillId="8" borderId="86" xfId="0" applyFont="1" applyFill="1" applyBorder="1" applyAlignment="1" applyProtection="1">
      <alignment horizontal="center"/>
      <protection locked="0"/>
    </xf>
    <xf numFmtId="0" fontId="54" fillId="8" borderId="84" xfId="0" applyFont="1" applyFill="1" applyBorder="1" applyAlignment="1" applyProtection="1">
      <alignment horizontal="center"/>
      <protection locked="0"/>
    </xf>
    <xf numFmtId="0" fontId="52" fillId="8" borderId="86" xfId="0" applyFont="1" applyFill="1" applyBorder="1" applyAlignment="1" applyProtection="1">
      <alignment horizontal="center"/>
      <protection locked="0"/>
    </xf>
    <xf numFmtId="0" fontId="55" fillId="8" borderId="202" xfId="0" applyFont="1" applyFill="1" applyBorder="1" applyAlignment="1" applyProtection="1">
      <alignment horizontal="center"/>
      <protection locked="0"/>
    </xf>
    <xf numFmtId="0" fontId="141" fillId="8" borderId="0" xfId="0" applyFont="1" applyFill="1" applyAlignment="1" applyProtection="1">
      <alignment horizontal="center"/>
      <protection locked="0"/>
    </xf>
    <xf numFmtId="0" fontId="105" fillId="8" borderId="0" xfId="0" applyFont="1" applyFill="1" applyAlignment="1" applyProtection="1">
      <alignment horizontal="left" vertical="top" wrapText="1"/>
      <protection locked="0"/>
    </xf>
    <xf numFmtId="0" fontId="51" fillId="8" borderId="0" xfId="0" applyFont="1" applyFill="1" applyAlignment="1" applyProtection="1">
      <alignment horizontal="center"/>
      <protection locked="0"/>
    </xf>
    <xf numFmtId="0" fontId="105" fillId="8" borderId="0" xfId="0" applyFont="1" applyFill="1" applyAlignment="1" applyProtection="1">
      <alignment horizontal="left" wrapText="1"/>
      <protection locked="0"/>
    </xf>
    <xf numFmtId="4" fontId="2" fillId="9" borderId="142" xfId="0" applyNumberFormat="1" applyFont="1" applyFill="1" applyBorder="1" applyAlignment="1" applyProtection="1">
      <alignment horizontal="left"/>
    </xf>
    <xf numFmtId="0" fontId="2" fillId="0" borderId="136" xfId="0" applyFont="1" applyBorder="1" applyAlignment="1" applyProtection="1">
      <alignment horizontal="left" vertical="top" wrapText="1"/>
      <protection locked="0"/>
    </xf>
    <xf numFmtId="0" fontId="2" fillId="0" borderId="137" xfId="0" applyFont="1" applyBorder="1" applyAlignment="1" applyProtection="1">
      <alignment horizontal="left" vertical="top" wrapText="1"/>
      <protection locked="0"/>
    </xf>
    <xf numFmtId="0" fontId="2" fillId="0" borderId="138" xfId="0" applyFont="1" applyBorder="1" applyAlignment="1" applyProtection="1">
      <alignment horizontal="left" vertical="top" wrapText="1"/>
      <protection locked="0"/>
    </xf>
    <xf numFmtId="0" fontId="2" fillId="0" borderId="139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top" wrapText="1"/>
      <protection locked="0"/>
    </xf>
    <xf numFmtId="0" fontId="2" fillId="0" borderId="140" xfId="0" applyFont="1" applyBorder="1" applyAlignment="1" applyProtection="1">
      <alignment horizontal="left" vertical="top" wrapText="1"/>
      <protection locked="0"/>
    </xf>
    <xf numFmtId="0" fontId="2" fillId="0" borderId="141" xfId="0" applyFont="1" applyBorder="1" applyAlignment="1" applyProtection="1">
      <alignment horizontal="left" vertical="top" wrapText="1"/>
      <protection locked="0"/>
    </xf>
    <xf numFmtId="0" fontId="2" fillId="0" borderId="142" xfId="0" applyFont="1" applyBorder="1" applyAlignment="1" applyProtection="1">
      <alignment horizontal="left" vertical="top" wrapText="1"/>
      <protection locked="0"/>
    </xf>
    <xf numFmtId="0" fontId="2" fillId="0" borderId="143" xfId="0" applyFont="1" applyBorder="1" applyAlignment="1" applyProtection="1">
      <alignment horizontal="left" vertical="top" wrapText="1"/>
      <protection locked="0"/>
    </xf>
    <xf numFmtId="0" fontId="9" fillId="0" borderId="0" xfId="7" applyFont="1" applyAlignment="1" applyProtection="1">
      <alignment horizontal="center" vertical="center"/>
      <protection locked="0"/>
    </xf>
    <xf numFmtId="0" fontId="91" fillId="30" borderId="168" xfId="11" applyFont="1" applyFill="1" applyBorder="1" applyAlignment="1" applyProtection="1">
      <alignment horizontal="center" vertical="center"/>
      <protection locked="0"/>
    </xf>
    <xf numFmtId="0" fontId="91" fillId="30" borderId="169" xfId="11" applyFont="1" applyFill="1" applyBorder="1" applyAlignment="1" applyProtection="1">
      <alignment horizontal="center" vertical="center"/>
      <protection locked="0"/>
    </xf>
    <xf numFmtId="0" fontId="9" fillId="12" borderId="160" xfId="7" applyFont="1" applyFill="1" applyBorder="1" applyAlignment="1" applyProtection="1">
      <alignment horizontal="center" vertical="center"/>
      <protection locked="0"/>
    </xf>
    <xf numFmtId="0" fontId="9" fillId="12" borderId="161" xfId="7" applyFont="1" applyFill="1" applyBorder="1" applyAlignment="1" applyProtection="1">
      <alignment horizontal="center" vertical="center"/>
      <protection locked="0"/>
    </xf>
    <xf numFmtId="0" fontId="76" fillId="12" borderId="164" xfId="7" applyFont="1" applyFill="1" applyBorder="1" applyAlignment="1" applyProtection="1">
      <alignment horizontal="center" vertical="center" wrapText="1"/>
      <protection locked="0"/>
    </xf>
    <xf numFmtId="0" fontId="76" fillId="12" borderId="165" xfId="7" applyFont="1" applyFill="1" applyBorder="1" applyAlignment="1" applyProtection="1">
      <alignment horizontal="center" vertical="center" wrapText="1"/>
      <protection locked="0"/>
    </xf>
    <xf numFmtId="0" fontId="91" fillId="30" borderId="0" xfId="11" applyFont="1" applyFill="1" applyAlignment="1" applyProtection="1">
      <alignment horizontal="center" vertical="center" wrapText="1"/>
      <protection locked="0"/>
    </xf>
    <xf numFmtId="0" fontId="91" fillId="30" borderId="49" xfId="11" applyFont="1" applyFill="1" applyBorder="1" applyAlignment="1" applyProtection="1">
      <alignment horizontal="center" vertical="center" wrapText="1"/>
      <protection locked="0"/>
    </xf>
    <xf numFmtId="0" fontId="93" fillId="30" borderId="47" xfId="7" applyFont="1" applyFill="1" applyBorder="1" applyAlignment="1" applyProtection="1">
      <alignment horizontal="center" vertical="center" wrapText="1"/>
      <protection locked="0"/>
    </xf>
    <xf numFmtId="39" fontId="76" fillId="9" borderId="118" xfId="7" applyNumberFormat="1" applyFont="1" applyFill="1" applyBorder="1" applyAlignment="1" applyProtection="1">
      <alignment horizontal="center" vertical="center"/>
      <protection locked="0"/>
    </xf>
    <xf numFmtId="39" fontId="76" fillId="9" borderId="119" xfId="7" applyNumberFormat="1" applyFont="1" applyFill="1" applyBorder="1" applyAlignment="1" applyProtection="1">
      <alignment horizontal="center" vertical="center"/>
      <protection locked="0"/>
    </xf>
    <xf numFmtId="39" fontId="76" fillId="9" borderId="120" xfId="7" applyNumberFormat="1" applyFont="1" applyFill="1" applyBorder="1" applyAlignment="1" applyProtection="1">
      <alignment horizontal="center" vertical="center"/>
      <protection locked="0"/>
    </xf>
    <xf numFmtId="0" fontId="91" fillId="30" borderId="30" xfId="11" applyFont="1" applyFill="1" applyBorder="1" applyAlignment="1" applyProtection="1">
      <alignment horizontal="center" vertical="center"/>
      <protection locked="0"/>
    </xf>
    <xf numFmtId="0" fontId="91" fillId="30" borderId="31" xfId="11" applyFont="1" applyFill="1" applyBorder="1" applyAlignment="1" applyProtection="1">
      <alignment horizontal="center" vertical="center"/>
      <protection locked="0"/>
    </xf>
    <xf numFmtId="0" fontId="91" fillId="30" borderId="154" xfId="11" applyFont="1" applyFill="1" applyBorder="1" applyAlignment="1" applyProtection="1">
      <alignment horizontal="center" vertical="center"/>
      <protection locked="0"/>
    </xf>
    <xf numFmtId="0" fontId="91" fillId="30" borderId="155" xfId="11" applyFont="1" applyFill="1" applyBorder="1" applyAlignment="1" applyProtection="1">
      <alignment horizontal="center" vertical="center"/>
      <protection locked="0"/>
    </xf>
    <xf numFmtId="0" fontId="91" fillId="30" borderId="154" xfId="11" applyFont="1" applyFill="1" applyBorder="1" applyAlignment="1" applyProtection="1">
      <alignment horizontal="center" vertical="center" wrapText="1"/>
      <protection locked="0"/>
    </xf>
    <xf numFmtId="0" fontId="91" fillId="30" borderId="155" xfId="11" applyFont="1" applyFill="1" applyBorder="1" applyAlignment="1" applyProtection="1">
      <alignment horizontal="center" vertical="center" wrapText="1"/>
      <protection locked="0"/>
    </xf>
    <xf numFmtId="39" fontId="76" fillId="8" borderId="8" xfId="7" applyNumberFormat="1" applyFont="1" applyFill="1" applyBorder="1" applyAlignment="1" applyProtection="1">
      <alignment horizontal="center" vertical="center"/>
      <protection locked="0"/>
    </xf>
    <xf numFmtId="179" fontId="91" fillId="30" borderId="146" xfId="11" applyNumberFormat="1" applyFont="1" applyFill="1" applyBorder="1" applyAlignment="1" applyProtection="1">
      <alignment horizontal="center" vertical="center" wrapText="1"/>
      <protection locked="0"/>
    </xf>
    <xf numFmtId="179" fontId="91" fillId="30" borderId="147" xfId="11" applyNumberFormat="1" applyFont="1" applyFill="1" applyBorder="1" applyAlignment="1" applyProtection="1">
      <alignment horizontal="center" vertical="center" wrapText="1"/>
      <protection locked="0"/>
    </xf>
    <xf numFmtId="179" fontId="91" fillId="30" borderId="148" xfId="11" applyNumberFormat="1" applyFont="1" applyFill="1" applyBorder="1" applyAlignment="1" applyProtection="1">
      <alignment horizontal="center" vertical="center" wrapText="1"/>
      <protection locked="0"/>
    </xf>
    <xf numFmtId="39" fontId="76" fillId="8" borderId="0" xfId="7" applyNumberFormat="1" applyFont="1" applyFill="1" applyBorder="1" applyAlignment="1" applyProtection="1">
      <alignment horizontal="center" vertical="center"/>
      <protection locked="0"/>
    </xf>
    <xf numFmtId="179" fontId="91" fillId="24" borderId="0" xfId="11" applyNumberFormat="1" applyFont="1" applyFill="1" applyAlignment="1" applyProtection="1">
      <alignment horizontal="center" vertical="center" wrapText="1"/>
      <protection locked="0"/>
    </xf>
    <xf numFmtId="10" fontId="9" fillId="20" borderId="35" xfId="13" applyNumberFormat="1" applyFont="1" applyFill="1" applyBorder="1" applyAlignment="1" applyProtection="1">
      <alignment horizontal="center"/>
    </xf>
    <xf numFmtId="10" fontId="9" fillId="20" borderId="34" xfId="13" applyNumberFormat="1" applyFont="1" applyFill="1" applyBorder="1" applyAlignment="1" applyProtection="1">
      <alignment horizontal="center"/>
    </xf>
    <xf numFmtId="0" fontId="91" fillId="14" borderId="0" xfId="24" applyFont="1" applyFill="1" applyAlignment="1">
      <alignment horizontal="center" vertical="center" wrapText="1"/>
    </xf>
    <xf numFmtId="0" fontId="91" fillId="24" borderId="30" xfId="11" applyFont="1" applyFill="1" applyBorder="1" applyAlignment="1" applyProtection="1">
      <alignment horizontal="center" vertical="center"/>
      <protection locked="0"/>
    </xf>
    <xf numFmtId="0" fontId="91" fillId="24" borderId="31" xfId="11" applyFont="1" applyFill="1" applyBorder="1" applyAlignment="1" applyProtection="1">
      <alignment horizontal="center" vertical="center"/>
      <protection locked="0"/>
    </xf>
    <xf numFmtId="179" fontId="91" fillId="24" borderId="0" xfId="25" applyNumberFormat="1" applyFont="1" applyFill="1" applyAlignment="1" applyProtection="1">
      <alignment horizontal="center" vertical="center" wrapText="1"/>
      <protection locked="0"/>
    </xf>
    <xf numFmtId="0" fontId="91" fillId="24" borderId="0" xfId="21" applyFont="1" applyFill="1" applyAlignment="1" applyProtection="1">
      <alignment horizontal="center" vertical="center" wrapText="1"/>
      <protection locked="0"/>
    </xf>
    <xf numFmtId="0" fontId="91" fillId="24" borderId="0" xfId="20" applyFont="1" applyFill="1" applyAlignment="1" applyProtection="1">
      <alignment horizontal="center" vertical="center" wrapText="1"/>
      <protection locked="0"/>
    </xf>
    <xf numFmtId="0" fontId="91" fillId="24" borderId="0" xfId="11" applyFont="1" applyFill="1" applyAlignment="1" applyProtection="1">
      <alignment horizontal="center" vertical="center" wrapText="1"/>
      <protection locked="0"/>
    </xf>
    <xf numFmtId="0" fontId="10" fillId="14" borderId="37" xfId="15" applyFont="1" applyFill="1" applyBorder="1" applyAlignment="1">
      <alignment horizontal="center"/>
    </xf>
    <xf numFmtId="0" fontId="10" fillId="14" borderId="39" xfId="15" applyFont="1" applyFill="1" applyBorder="1" applyAlignment="1">
      <alignment horizontal="center"/>
    </xf>
    <xf numFmtId="0" fontId="10" fillId="14" borderId="36" xfId="15" applyFont="1" applyFill="1" applyBorder="1" applyAlignment="1">
      <alignment horizontal="center"/>
    </xf>
    <xf numFmtId="179" fontId="91" fillId="14" borderId="30" xfId="25" applyNumberFormat="1" applyFont="1" applyFill="1" applyBorder="1" applyAlignment="1">
      <alignment horizontal="center" vertical="center"/>
    </xf>
    <xf numFmtId="39" fontId="76" fillId="8" borderId="0" xfId="7" applyNumberFormat="1" applyFont="1" applyFill="1" applyAlignment="1" applyProtection="1">
      <alignment horizontal="center" vertical="center"/>
      <protection locked="0"/>
    </xf>
    <xf numFmtId="0" fontId="9" fillId="9" borderId="0" xfId="11" applyFont="1" applyFill="1" applyAlignment="1" applyProtection="1">
      <alignment horizontal="center" vertical="center" textRotation="90"/>
      <protection locked="0"/>
    </xf>
    <xf numFmtId="0" fontId="91" fillId="30" borderId="30" xfId="11" applyFont="1" applyFill="1" applyBorder="1" applyAlignment="1" applyProtection="1">
      <alignment horizontal="center" vertical="center" wrapText="1"/>
      <protection locked="0"/>
    </xf>
    <xf numFmtId="0" fontId="91" fillId="30" borderId="31" xfId="11" applyFont="1" applyFill="1" applyBorder="1" applyAlignment="1" applyProtection="1">
      <alignment horizontal="center" vertical="center" wrapText="1"/>
      <protection locked="0"/>
    </xf>
    <xf numFmtId="0" fontId="90" fillId="24" borderId="0" xfId="11" applyFont="1" applyFill="1" applyBorder="1" applyAlignment="1" applyProtection="1">
      <alignment horizontal="center" vertical="center" wrapText="1"/>
      <protection locked="0"/>
    </xf>
    <xf numFmtId="0" fontId="91" fillId="30" borderId="48" xfId="11" applyFont="1" applyFill="1" applyBorder="1" applyAlignment="1" applyProtection="1">
      <alignment horizontal="center" vertical="center" wrapText="1"/>
      <protection locked="0"/>
    </xf>
    <xf numFmtId="179" fontId="91" fillId="30" borderId="0" xfId="11" applyNumberFormat="1" applyFont="1" applyFill="1" applyAlignment="1" applyProtection="1">
      <alignment horizontal="center" vertical="center" wrapText="1"/>
      <protection locked="0"/>
    </xf>
    <xf numFmtId="179" fontId="91" fillId="30" borderId="0" xfId="11" applyNumberFormat="1" applyFont="1" applyFill="1" applyAlignment="1" applyProtection="1">
      <alignment horizontal="center" vertical="center"/>
      <protection locked="0"/>
    </xf>
    <xf numFmtId="179" fontId="91" fillId="30" borderId="0" xfId="11" applyNumberFormat="1" applyFont="1" applyFill="1" applyBorder="1" applyAlignment="1" applyProtection="1">
      <alignment horizontal="center" vertical="center" wrapText="1"/>
      <protection locked="0"/>
    </xf>
    <xf numFmtId="0" fontId="90" fillId="14" borderId="60" xfId="11" applyFont="1" applyFill="1" applyBorder="1" applyAlignment="1">
      <alignment horizontal="center" vertical="center" wrapText="1"/>
    </xf>
    <xf numFmtId="4" fontId="6" fillId="21" borderId="59" xfId="7" applyNumberFormat="1" applyFont="1" applyFill="1" applyBorder="1" applyAlignment="1" applyProtection="1">
      <alignment horizontal="center" vertical="center"/>
      <protection locked="0"/>
    </xf>
    <xf numFmtId="0" fontId="76" fillId="0" borderId="50" xfId="26" applyFont="1" applyBorder="1" applyAlignment="1" applyProtection="1">
      <alignment horizontal="left" vertical="center"/>
      <protection locked="0"/>
    </xf>
    <xf numFmtId="0" fontId="90" fillId="14" borderId="55" xfId="11" applyFont="1" applyFill="1" applyBorder="1" applyAlignment="1">
      <alignment horizontal="center" vertical="center" wrapText="1"/>
    </xf>
    <xf numFmtId="0" fontId="90" fillId="14" borderId="54" xfId="11" applyFont="1" applyFill="1" applyBorder="1" applyAlignment="1">
      <alignment horizontal="center" vertical="center" wrapText="1"/>
    </xf>
    <xf numFmtId="0" fontId="90" fillId="14" borderId="53" xfId="11" applyFont="1" applyFill="1" applyBorder="1" applyAlignment="1">
      <alignment horizontal="center" vertical="center" wrapText="1"/>
    </xf>
    <xf numFmtId="0" fontId="6" fillId="0" borderId="3" xfId="7" applyFont="1" applyBorder="1" applyAlignment="1" applyProtection="1">
      <alignment horizontal="center" vertical="top"/>
      <protection locked="0"/>
    </xf>
    <xf numFmtId="0" fontId="6" fillId="0" borderId="0" xfId="7" applyFont="1" applyAlignment="1" applyProtection="1">
      <alignment horizontal="center" vertical="top"/>
      <protection locked="0"/>
    </xf>
    <xf numFmtId="0" fontId="6" fillId="0" borderId="4" xfId="7" applyFont="1" applyBorder="1" applyAlignment="1" applyProtection="1">
      <alignment horizontal="center" vertical="top"/>
      <protection locked="0"/>
    </xf>
    <xf numFmtId="0" fontId="6" fillId="0" borderId="5" xfId="7" applyFont="1" applyBorder="1" applyAlignment="1" applyProtection="1">
      <alignment horizontal="center" vertical="top"/>
      <protection locked="0"/>
    </xf>
    <xf numFmtId="0" fontId="6" fillId="0" borderId="8" xfId="7" applyFont="1" applyBorder="1" applyAlignment="1" applyProtection="1">
      <alignment horizontal="center" vertical="top"/>
      <protection locked="0"/>
    </xf>
    <xf numFmtId="0" fontId="6" fillId="0" borderId="6" xfId="7" applyFont="1" applyBorder="1" applyAlignment="1" applyProtection="1">
      <alignment horizontal="center" vertical="top"/>
      <protection locked="0"/>
    </xf>
    <xf numFmtId="0" fontId="90" fillId="14" borderId="57" xfId="11" applyFont="1" applyFill="1" applyBorder="1" applyAlignment="1">
      <alignment horizontal="center" vertical="center" wrapText="1"/>
    </xf>
    <xf numFmtId="0" fontId="90" fillId="14" borderId="56" xfId="11" applyFont="1" applyFill="1" applyBorder="1" applyAlignment="1">
      <alignment horizontal="center" vertical="center" wrapText="1"/>
    </xf>
    <xf numFmtId="2" fontId="90" fillId="8" borderId="54" xfId="11" applyNumberFormat="1" applyFont="1" applyFill="1" applyBorder="1" applyAlignment="1">
      <alignment horizontal="center" vertical="center" wrapText="1"/>
    </xf>
    <xf numFmtId="2" fontId="90" fillId="8" borderId="53" xfId="11" applyNumberFormat="1" applyFont="1" applyFill="1" applyBorder="1" applyAlignment="1">
      <alignment horizontal="center" vertical="center" wrapText="1"/>
    </xf>
    <xf numFmtId="0" fontId="102" fillId="35" borderId="50" xfId="7" applyFont="1" applyFill="1" applyBorder="1" applyAlignment="1" applyProtection="1">
      <alignment horizontal="center"/>
    </xf>
    <xf numFmtId="0" fontId="90" fillId="14" borderId="62" xfId="11" applyFont="1" applyFill="1" applyBorder="1" applyAlignment="1">
      <alignment horizontal="center" vertical="center" wrapText="1"/>
    </xf>
    <xf numFmtId="4" fontId="6" fillId="0" borderId="61" xfId="7" applyNumberFormat="1" applyFont="1" applyBorder="1" applyAlignment="1" applyProtection="1">
      <alignment horizontal="center" vertical="center"/>
      <protection locked="0"/>
    </xf>
    <xf numFmtId="0" fontId="6" fillId="23" borderId="7" xfId="7" applyFont="1" applyFill="1" applyBorder="1" applyAlignment="1" applyProtection="1">
      <alignment horizontal="center" vertical="center"/>
      <protection locked="0"/>
    </xf>
    <xf numFmtId="0" fontId="6" fillId="0" borderId="7" xfId="7" applyFont="1" applyBorder="1" applyAlignment="1" applyProtection="1">
      <alignment horizontal="center" vertical="center"/>
      <protection locked="0"/>
    </xf>
    <xf numFmtId="1" fontId="6" fillId="23" borderId="7" xfId="7" applyNumberFormat="1" applyFont="1" applyFill="1" applyBorder="1" applyAlignment="1" applyProtection="1">
      <alignment horizontal="center" vertical="center"/>
      <protection locked="0"/>
    </xf>
    <xf numFmtId="4" fontId="6" fillId="23" borderId="7" xfId="7" applyNumberFormat="1" applyFont="1" applyFill="1" applyBorder="1" applyAlignment="1" applyProtection="1">
      <alignment horizontal="center" vertical="center"/>
      <protection locked="0"/>
    </xf>
    <xf numFmtId="0" fontId="90" fillId="14" borderId="51" xfId="11" applyFont="1" applyFill="1" applyBorder="1" applyAlignment="1">
      <alignment horizontal="center" vertical="center" wrapText="1"/>
    </xf>
    <xf numFmtId="0" fontId="90" fillId="22" borderId="7" xfId="11" applyFont="1" applyFill="1" applyBorder="1" applyAlignment="1">
      <alignment horizontal="center" vertical="center" wrapText="1"/>
    </xf>
    <xf numFmtId="4" fontId="6" fillId="0" borderId="7" xfId="7" applyNumberFormat="1" applyFont="1" applyBorder="1" applyAlignment="1" applyProtection="1">
      <alignment horizontal="center" vertical="center"/>
      <protection locked="0"/>
    </xf>
    <xf numFmtId="0" fontId="90" fillId="14" borderId="58" xfId="11" applyFont="1" applyFill="1" applyBorder="1" applyAlignment="1">
      <alignment horizontal="center" vertical="center" wrapText="1"/>
    </xf>
    <xf numFmtId="0" fontId="89" fillId="0" borderId="0" xfId="7" applyFont="1" applyAlignment="1" applyProtection="1">
      <alignment horizontal="center" vertical="center"/>
      <protection locked="0"/>
    </xf>
    <xf numFmtId="0" fontId="6" fillId="0" borderId="61" xfId="7" applyFont="1" applyBorder="1" applyAlignment="1" applyProtection="1">
      <alignment horizontal="left" vertical="center"/>
      <protection locked="0"/>
    </xf>
    <xf numFmtId="0" fontId="6" fillId="0" borderId="61" xfId="7" applyFont="1" applyBorder="1" applyAlignment="1" applyProtection="1">
      <alignment horizontal="left" vertical="top"/>
      <protection locked="0"/>
    </xf>
    <xf numFmtId="0" fontId="6" fillId="0" borderId="7" xfId="7" applyFont="1" applyBorder="1" applyAlignment="1" applyProtection="1">
      <alignment horizontal="left" vertical="top"/>
      <protection locked="0"/>
    </xf>
    <xf numFmtId="4" fontId="6" fillId="35" borderId="11" xfId="1" applyNumberFormat="1" applyFont="1" applyFill="1" applyBorder="1" applyAlignment="1" applyProtection="1">
      <alignment horizontal="center"/>
    </xf>
    <xf numFmtId="4" fontId="6" fillId="35" borderId="12" xfId="1" applyNumberFormat="1" applyFont="1" applyFill="1" applyBorder="1" applyAlignment="1" applyProtection="1">
      <alignment horizontal="center"/>
    </xf>
    <xf numFmtId="0" fontId="7" fillId="35" borderId="11" xfId="11" applyFont="1" applyFill="1" applyBorder="1" applyAlignment="1" applyProtection="1">
      <alignment horizontal="center" wrapText="1"/>
    </xf>
    <xf numFmtId="0" fontId="7" fillId="35" borderId="12" xfId="11" applyFont="1" applyFill="1" applyBorder="1" applyAlignment="1" applyProtection="1">
      <alignment horizontal="center" wrapText="1"/>
    </xf>
    <xf numFmtId="0" fontId="6" fillId="35" borderId="11" xfId="7" applyFont="1" applyFill="1" applyBorder="1" applyAlignment="1" applyProtection="1">
      <alignment horizontal="center"/>
      <protection locked="0"/>
    </xf>
    <xf numFmtId="0" fontId="6" fillId="35" borderId="46" xfId="7" applyFont="1" applyFill="1" applyBorder="1" applyAlignment="1" applyProtection="1">
      <alignment horizontal="center"/>
      <protection locked="0"/>
    </xf>
    <xf numFmtId="0" fontId="6" fillId="35" borderId="12" xfId="7" applyFont="1" applyFill="1" applyBorder="1" applyAlignment="1" applyProtection="1">
      <alignment horizontal="center"/>
      <protection locked="0"/>
    </xf>
    <xf numFmtId="4" fontId="6" fillId="35" borderId="124" xfId="1" applyNumberFormat="1" applyFont="1" applyFill="1" applyBorder="1" applyAlignment="1" applyProtection="1">
      <alignment horizontal="center"/>
    </xf>
    <xf numFmtId="4" fontId="6" fillId="35" borderId="125" xfId="1" applyNumberFormat="1" applyFont="1" applyFill="1" applyBorder="1" applyAlignment="1" applyProtection="1">
      <alignment horizontal="center"/>
    </xf>
    <xf numFmtId="0" fontId="7" fillId="35" borderId="124" xfId="11" applyFont="1" applyFill="1" applyBorder="1" applyAlignment="1" applyProtection="1">
      <alignment horizontal="center" wrapText="1"/>
    </xf>
    <xf numFmtId="0" fontId="7" fillId="35" borderId="125" xfId="11" applyFont="1" applyFill="1" applyBorder="1" applyAlignment="1" applyProtection="1">
      <alignment horizontal="center" wrapText="1"/>
    </xf>
    <xf numFmtId="4" fontId="65" fillId="35" borderId="11" xfId="1" applyNumberFormat="1" applyFont="1" applyFill="1" applyBorder="1" applyAlignment="1" applyProtection="1">
      <alignment horizontal="center"/>
    </xf>
    <xf numFmtId="4" fontId="65" fillId="35" borderId="12" xfId="1" applyNumberFormat="1" applyFont="1" applyFill="1" applyBorder="1" applyAlignment="1" applyProtection="1">
      <alignment horizontal="center"/>
    </xf>
    <xf numFmtId="0" fontId="7" fillId="35" borderId="11" xfId="0" applyFont="1" applyFill="1" applyBorder="1" applyAlignment="1" applyProtection="1">
      <alignment horizontal="center" wrapText="1"/>
    </xf>
    <xf numFmtId="0" fontId="7" fillId="35" borderId="12" xfId="0" applyFont="1" applyFill="1" applyBorder="1" applyAlignment="1" applyProtection="1">
      <alignment horizontal="center" wrapText="1"/>
    </xf>
    <xf numFmtId="4" fontId="6" fillId="35" borderId="124" xfId="7" applyNumberFormat="1" applyFont="1" applyFill="1" applyBorder="1" applyAlignment="1" applyProtection="1">
      <alignment horizontal="center"/>
    </xf>
    <xf numFmtId="4" fontId="6" fillId="35" borderId="125" xfId="7" applyNumberFormat="1" applyFont="1" applyFill="1" applyBorder="1" applyAlignment="1" applyProtection="1">
      <alignment horizontal="center"/>
    </xf>
    <xf numFmtId="0" fontId="81" fillId="0" borderId="44" xfId="0" applyFont="1" applyBorder="1" applyAlignment="1" applyProtection="1">
      <alignment horizontal="left" vertical="top" wrapText="1"/>
      <protection locked="0"/>
    </xf>
    <xf numFmtId="0" fontId="81" fillId="0" borderId="91" xfId="0" applyFont="1" applyBorder="1" applyAlignment="1" applyProtection="1">
      <alignment horizontal="left" vertical="top" wrapText="1"/>
      <protection locked="0"/>
    </xf>
    <xf numFmtId="0" fontId="81" fillId="0" borderId="43" xfId="0" applyFont="1" applyBorder="1" applyAlignment="1" applyProtection="1">
      <alignment horizontal="left" vertical="top" wrapText="1"/>
      <protection locked="0"/>
    </xf>
    <xf numFmtId="0" fontId="81" fillId="0" borderId="42" xfId="0" applyFont="1" applyBorder="1" applyAlignment="1" applyProtection="1">
      <alignment horizontal="left" vertical="top" wrapText="1"/>
      <protection locked="0"/>
    </xf>
    <xf numFmtId="0" fontId="81" fillId="0" borderId="0" xfId="0" applyFont="1" applyAlignment="1" applyProtection="1">
      <alignment horizontal="left" vertical="top" wrapText="1"/>
      <protection locked="0"/>
    </xf>
    <xf numFmtId="0" fontId="81" fillId="0" borderId="41" xfId="0" applyFont="1" applyBorder="1" applyAlignment="1" applyProtection="1">
      <alignment horizontal="left" vertical="top" wrapText="1"/>
      <protection locked="0"/>
    </xf>
    <xf numFmtId="0" fontId="81" fillId="0" borderId="33" xfId="0" applyFont="1" applyBorder="1" applyAlignment="1" applyProtection="1">
      <alignment horizontal="left" vertical="top" wrapText="1"/>
      <protection locked="0"/>
    </xf>
    <xf numFmtId="0" fontId="81" fillId="0" borderId="40" xfId="0" applyFont="1" applyBorder="1" applyAlignment="1" applyProtection="1">
      <alignment horizontal="left" vertical="top" wrapText="1"/>
      <protection locked="0"/>
    </xf>
    <xf numFmtId="0" fontId="81" fillId="0" borderId="32" xfId="0" applyFont="1" applyBorder="1" applyAlignment="1" applyProtection="1">
      <alignment horizontal="left" vertical="top" wrapText="1"/>
      <protection locked="0"/>
    </xf>
    <xf numFmtId="0" fontId="30" fillId="9" borderId="23" xfId="4" applyFont="1" applyFill="1" applyBorder="1" applyAlignment="1" applyProtection="1">
      <alignment horizontal="justify" vertical="justify" wrapText="1"/>
      <protection hidden="1"/>
    </xf>
    <xf numFmtId="0" fontId="30" fillId="9" borderId="24" xfId="4" applyFont="1" applyFill="1" applyBorder="1" applyAlignment="1" applyProtection="1">
      <alignment horizontal="justify" vertical="justify" wrapText="1"/>
      <protection hidden="1"/>
    </xf>
    <xf numFmtId="0" fontId="30" fillId="9" borderId="25" xfId="4" applyFont="1" applyFill="1" applyBorder="1" applyAlignment="1" applyProtection="1">
      <alignment horizontal="justify" vertical="justify" wrapText="1"/>
      <protection hidden="1"/>
    </xf>
    <xf numFmtId="0" fontId="30" fillId="9" borderId="26" xfId="4" applyFont="1" applyFill="1" applyBorder="1" applyAlignment="1" applyProtection="1">
      <alignment horizontal="justify" vertical="justify" wrapText="1"/>
      <protection hidden="1"/>
    </xf>
    <xf numFmtId="0" fontId="30" fillId="9" borderId="27" xfId="4" applyFont="1" applyFill="1" applyBorder="1" applyAlignment="1" applyProtection="1">
      <alignment horizontal="justify" vertical="justify" wrapText="1"/>
      <protection hidden="1"/>
    </xf>
    <xf numFmtId="0" fontId="30" fillId="9" borderId="28" xfId="4" applyFont="1" applyFill="1" applyBorder="1" applyAlignment="1" applyProtection="1">
      <alignment horizontal="justify" vertical="justify" wrapText="1"/>
      <protection hidden="1"/>
    </xf>
    <xf numFmtId="0" fontId="30" fillId="9" borderId="23" xfId="4" applyFont="1" applyFill="1" applyBorder="1" applyAlignment="1" applyProtection="1">
      <alignment horizontal="justify" vertical="justify" wrapText="1"/>
    </xf>
    <xf numFmtId="0" fontId="30" fillId="9" borderId="24" xfId="4" applyFont="1" applyFill="1" applyBorder="1" applyAlignment="1" applyProtection="1">
      <alignment horizontal="justify" vertical="justify" wrapText="1"/>
    </xf>
    <xf numFmtId="0" fontId="30" fillId="9" borderId="25" xfId="4" applyFont="1" applyFill="1" applyBorder="1" applyAlignment="1" applyProtection="1">
      <alignment horizontal="justify" vertical="justify" wrapText="1"/>
    </xf>
    <xf numFmtId="0" fontId="30" fillId="9" borderId="26" xfId="4" applyFont="1" applyFill="1" applyBorder="1" applyAlignment="1" applyProtection="1">
      <alignment horizontal="justify" vertical="justify" wrapText="1"/>
    </xf>
    <xf numFmtId="0" fontId="30" fillId="9" borderId="27" xfId="4" applyFont="1" applyFill="1" applyBorder="1" applyAlignment="1" applyProtection="1">
      <alignment horizontal="justify" vertical="justify" wrapText="1"/>
    </xf>
    <xf numFmtId="0" fontId="30" fillId="9" borderId="28" xfId="4" applyFont="1" applyFill="1" applyBorder="1" applyAlignment="1" applyProtection="1">
      <alignment horizontal="justify" vertical="justify" wrapText="1"/>
    </xf>
    <xf numFmtId="0" fontId="13" fillId="0" borderId="0" xfId="4" applyFont="1" applyAlignment="1" applyProtection="1">
      <alignment horizontal="center" vertical="center"/>
    </xf>
    <xf numFmtId="0" fontId="14" fillId="0" borderId="0" xfId="0" applyFont="1" applyAlignment="1" applyProtection="1">
      <alignment horizontal="right"/>
    </xf>
    <xf numFmtId="0" fontId="15" fillId="0" borderId="0" xfId="0" applyFont="1" applyAlignment="1" applyProtection="1">
      <alignment horizontal="right" vertical="center"/>
    </xf>
    <xf numFmtId="0" fontId="23" fillId="7" borderId="13" xfId="4" applyFont="1" applyFill="1" applyBorder="1" applyAlignment="1" applyProtection="1">
      <alignment horizontal="center" vertical="center"/>
      <protection locked="0"/>
    </xf>
    <xf numFmtId="0" fontId="124" fillId="9" borderId="0" xfId="0" applyFont="1" applyFill="1" applyAlignment="1">
      <alignment horizontal="left"/>
    </xf>
    <xf numFmtId="1" fontId="123" fillId="38" borderId="0" xfId="0" applyNumberFormat="1" applyFont="1" applyFill="1" applyAlignment="1">
      <alignment horizontal="center" vertical="center" wrapText="1"/>
    </xf>
    <xf numFmtId="0" fontId="115" fillId="38" borderId="0" xfId="0" applyFont="1" applyFill="1" applyAlignment="1">
      <alignment horizontal="left" vertical="center"/>
    </xf>
    <xf numFmtId="0" fontId="116" fillId="0" borderId="0" xfId="0" applyFont="1" applyAlignment="1">
      <alignment horizontal="left"/>
    </xf>
    <xf numFmtId="0" fontId="113" fillId="38" borderId="185" xfId="0" applyFont="1" applyFill="1" applyBorder="1" applyAlignment="1">
      <alignment horizontal="center" vertical="top"/>
    </xf>
    <xf numFmtId="0" fontId="113" fillId="38" borderId="184" xfId="0" applyFont="1" applyFill="1" applyBorder="1" applyAlignment="1">
      <alignment horizontal="center" vertical="top"/>
    </xf>
    <xf numFmtId="0" fontId="117" fillId="40" borderId="0" xfId="0" applyFont="1" applyFill="1" applyAlignment="1">
      <alignment horizontal="center" vertical="top"/>
    </xf>
    <xf numFmtId="186" fontId="113" fillId="38" borderId="185" xfId="0" applyNumberFormat="1" applyFont="1" applyFill="1" applyBorder="1" applyAlignment="1">
      <alignment horizontal="center" vertical="top"/>
    </xf>
    <xf numFmtId="186" fontId="113" fillId="38" borderId="184" xfId="0" applyNumberFormat="1" applyFont="1" applyFill="1" applyBorder="1" applyAlignment="1">
      <alignment horizontal="center" vertical="top"/>
    </xf>
    <xf numFmtId="172" fontId="117" fillId="40" borderId="0" xfId="0" applyNumberFormat="1" applyFont="1" applyFill="1" applyAlignment="1">
      <alignment horizontal="center" vertical="top"/>
    </xf>
    <xf numFmtId="172" fontId="116" fillId="9" borderId="184" xfId="0" applyNumberFormat="1" applyFont="1" applyFill="1" applyBorder="1" applyAlignment="1">
      <alignment horizontal="center" vertical="top"/>
    </xf>
    <xf numFmtId="172" fontId="116" fillId="9" borderId="183" xfId="0" applyNumberFormat="1" applyFont="1" applyFill="1" applyBorder="1" applyAlignment="1">
      <alignment horizontal="center" vertical="top"/>
    </xf>
    <xf numFmtId="0" fontId="116" fillId="38" borderId="0" xfId="0" applyFont="1" applyFill="1"/>
    <xf numFmtId="0" fontId="113" fillId="38" borderId="196" xfId="0" applyFont="1" applyFill="1" applyBorder="1" applyAlignment="1">
      <alignment horizontal="center" vertical="top"/>
    </xf>
    <xf numFmtId="0" fontId="10" fillId="40" borderId="0" xfId="0" applyFont="1" applyFill="1" applyAlignment="1">
      <alignment horizontal="center" vertical="top"/>
    </xf>
    <xf numFmtId="0" fontId="113" fillId="9" borderId="0" xfId="0" applyFont="1" applyFill="1" applyAlignment="1">
      <alignment horizontal="left" vertical="top"/>
    </xf>
    <xf numFmtId="0" fontId="117" fillId="40" borderId="0" xfId="0" applyFont="1" applyFill="1" applyAlignment="1">
      <alignment horizontal="center"/>
    </xf>
    <xf numFmtId="0" fontId="115" fillId="38" borderId="0" xfId="0" applyFont="1" applyFill="1" applyAlignment="1">
      <alignment horizontal="left"/>
    </xf>
    <xf numFmtId="0" fontId="115" fillId="9" borderId="0" xfId="0" applyFont="1" applyFill="1"/>
    <xf numFmtId="0" fontId="74" fillId="40" borderId="0" xfId="0" applyFont="1" applyFill="1" applyAlignment="1">
      <alignment horizontal="center" vertical="top"/>
    </xf>
    <xf numFmtId="0" fontId="131" fillId="40" borderId="195" xfId="4" applyFont="1" applyFill="1" applyBorder="1" applyAlignment="1" applyProtection="1">
      <alignment horizontal="center" vertical="center" wrapText="1"/>
      <protection hidden="1"/>
    </xf>
    <xf numFmtId="0" fontId="131" fillId="40" borderId="194" xfId="4" applyFont="1" applyFill="1" applyBorder="1" applyAlignment="1" applyProtection="1">
      <alignment horizontal="center" vertical="center" wrapText="1"/>
      <protection hidden="1"/>
    </xf>
    <xf numFmtId="0" fontId="131" fillId="40" borderId="193" xfId="4" applyFont="1" applyFill="1" applyBorder="1" applyAlignment="1" applyProtection="1">
      <alignment horizontal="center" vertical="center" wrapText="1"/>
      <protection hidden="1"/>
    </xf>
    <xf numFmtId="0" fontId="131" fillId="40" borderId="192" xfId="4" applyFont="1" applyFill="1" applyBorder="1" applyAlignment="1" applyProtection="1">
      <alignment horizontal="center" vertical="center" wrapText="1"/>
      <protection hidden="1"/>
    </xf>
    <xf numFmtId="0" fontId="131" fillId="40" borderId="0" xfId="4" applyFont="1" applyFill="1" applyAlignment="1" applyProtection="1">
      <alignment horizontal="center" vertical="center" wrapText="1"/>
      <protection hidden="1"/>
    </xf>
    <xf numFmtId="0" fontId="131" fillId="40" borderId="191" xfId="4" applyFont="1" applyFill="1" applyBorder="1" applyAlignment="1" applyProtection="1">
      <alignment horizontal="center" vertical="center" wrapText="1"/>
      <protection hidden="1"/>
    </xf>
    <xf numFmtId="0" fontId="131" fillId="40" borderId="190" xfId="4" applyFont="1" applyFill="1" applyBorder="1" applyAlignment="1" applyProtection="1">
      <alignment horizontal="center" vertical="center" wrapText="1"/>
      <protection hidden="1"/>
    </xf>
    <xf numFmtId="0" fontId="131" fillId="40" borderId="188" xfId="4" applyFont="1" applyFill="1" applyBorder="1" applyAlignment="1" applyProtection="1">
      <alignment horizontal="center" vertical="center" wrapText="1"/>
      <protection hidden="1"/>
    </xf>
    <xf numFmtId="0" fontId="131" fillId="40" borderId="189" xfId="4" applyFont="1" applyFill="1" applyBorder="1" applyAlignment="1" applyProtection="1">
      <alignment horizontal="center" vertical="center" wrapText="1"/>
      <protection hidden="1"/>
    </xf>
    <xf numFmtId="0" fontId="115" fillId="38" borderId="0" xfId="0" applyFont="1" applyFill="1" applyAlignment="1">
      <alignment horizontal="left" vertical="center" wrapText="1"/>
    </xf>
    <xf numFmtId="1" fontId="116" fillId="9" borderId="0" xfId="0" applyNumberFormat="1" applyFont="1" applyFill="1" applyAlignment="1">
      <alignment horizontal="left" vertical="center"/>
    </xf>
    <xf numFmtId="0" fontId="117" fillId="40" borderId="0" xfId="0" applyFont="1" applyFill="1" applyAlignment="1">
      <alignment horizontal="left"/>
    </xf>
    <xf numFmtId="0" fontId="113" fillId="9" borderId="0" xfId="0" applyFont="1" applyFill="1" applyAlignment="1">
      <alignment horizontal="left" vertical="top" wrapText="1"/>
    </xf>
    <xf numFmtId="10" fontId="116" fillId="9" borderId="0" xfId="3" applyNumberFormat="1" applyFont="1" applyFill="1" applyBorder="1" applyAlignment="1">
      <alignment horizontal="left" vertical="center"/>
    </xf>
    <xf numFmtId="4" fontId="124" fillId="9" borderId="0" xfId="0" applyNumberFormat="1" applyFont="1" applyFill="1" applyAlignment="1">
      <alignment horizontal="left" wrapText="1"/>
    </xf>
    <xf numFmtId="1" fontId="123" fillId="6" borderId="0" xfId="4" applyNumberFormat="1" applyFont="1" applyFill="1" applyAlignment="1" applyProtection="1">
      <alignment horizontal="center" vertical="center" wrapText="1"/>
      <protection hidden="1"/>
    </xf>
    <xf numFmtId="1" fontId="123" fillId="6" borderId="187" xfId="4" applyNumberFormat="1" applyFont="1" applyFill="1" applyBorder="1" applyAlignment="1" applyProtection="1">
      <alignment horizontal="center" vertical="center" wrapText="1"/>
      <protection hidden="1"/>
    </xf>
    <xf numFmtId="1" fontId="129" fillId="9" borderId="186" xfId="0" applyNumberFormat="1" applyFont="1" applyFill="1" applyBorder="1" applyAlignment="1">
      <alignment horizontal="center" vertical="center"/>
    </xf>
    <xf numFmtId="1" fontId="129" fillId="9" borderId="0" xfId="0" applyNumberFormat="1" applyFont="1" applyFill="1" applyAlignment="1">
      <alignment horizontal="center" vertical="center"/>
    </xf>
    <xf numFmtId="172" fontId="116" fillId="9" borderId="184" xfId="0" applyNumberFormat="1" applyFont="1" applyFill="1" applyBorder="1" applyAlignment="1">
      <alignment horizontal="center" vertical="center"/>
    </xf>
    <xf numFmtId="172" fontId="116" fillId="9" borderId="183" xfId="0" applyNumberFormat="1" applyFont="1" applyFill="1" applyBorder="1" applyAlignment="1">
      <alignment horizontal="center" vertical="center"/>
    </xf>
    <xf numFmtId="172" fontId="116" fillId="9" borderId="184" xfId="3" applyNumberFormat="1" applyFont="1" applyFill="1" applyBorder="1" applyAlignment="1">
      <alignment horizontal="center" vertical="center"/>
    </xf>
    <xf numFmtId="172" fontId="116" fillId="9" borderId="183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15" fillId="38" borderId="185" xfId="0" applyFont="1" applyFill="1" applyBorder="1" applyAlignment="1">
      <alignment horizontal="left" vertical="center" wrapText="1"/>
    </xf>
    <xf numFmtId="0" fontId="115" fillId="38" borderId="184" xfId="0" applyFont="1" applyFill="1" applyBorder="1" applyAlignment="1">
      <alignment horizontal="left" vertical="center" wrapText="1"/>
    </xf>
    <xf numFmtId="0" fontId="115" fillId="38" borderId="183" xfId="0" applyFont="1" applyFill="1" applyBorder="1" applyAlignment="1">
      <alignment horizontal="left" vertical="center" wrapText="1"/>
    </xf>
    <xf numFmtId="2" fontId="116" fillId="9" borderId="184" xfId="0" applyNumberFormat="1" applyFont="1" applyFill="1" applyBorder="1" applyAlignment="1">
      <alignment horizontal="center" vertical="top"/>
    </xf>
    <xf numFmtId="2" fontId="116" fillId="9" borderId="183" xfId="0" applyNumberFormat="1" applyFont="1" applyFill="1" applyBorder="1" applyAlignment="1">
      <alignment horizontal="center" vertical="top"/>
    </xf>
    <xf numFmtId="1" fontId="116" fillId="9" borderId="184" xfId="0" applyNumberFormat="1" applyFont="1" applyFill="1" applyBorder="1" applyAlignment="1">
      <alignment horizontal="center" vertical="top"/>
    </xf>
    <xf numFmtId="1" fontId="116" fillId="9" borderId="183" xfId="0" applyNumberFormat="1" applyFont="1" applyFill="1" applyBorder="1" applyAlignment="1">
      <alignment horizontal="center" vertical="top"/>
    </xf>
    <xf numFmtId="9" fontId="117" fillId="40" borderId="0" xfId="3" applyFont="1" applyFill="1" applyAlignment="1">
      <alignment horizontal="center" vertical="top"/>
    </xf>
    <xf numFmtId="0" fontId="115" fillId="0" borderId="182" xfId="0" applyFont="1" applyBorder="1" applyAlignment="1">
      <alignment horizontal="left"/>
    </xf>
    <xf numFmtId="0" fontId="117" fillId="40" borderId="0" xfId="0" applyFont="1" applyFill="1" applyAlignment="1">
      <alignment vertical="center"/>
    </xf>
    <xf numFmtId="0" fontId="117" fillId="8" borderId="0" xfId="0" applyFont="1" applyFill="1" applyAlignment="1">
      <alignment horizontal="center" vertical="center" wrapText="1"/>
    </xf>
    <xf numFmtId="0" fontId="121" fillId="38" borderId="0" xfId="0" applyFont="1" applyFill="1" applyAlignment="1">
      <alignment vertical="center"/>
    </xf>
    <xf numFmtId="0" fontId="120" fillId="8" borderId="0" xfId="0" applyFont="1" applyFill="1" applyAlignment="1">
      <alignment horizontal="center" vertical="center" wrapText="1"/>
    </xf>
    <xf numFmtId="0" fontId="121" fillId="9" borderId="0" xfId="0" applyFont="1" applyFill="1" applyAlignment="1">
      <alignment vertical="center" wrapText="1"/>
    </xf>
    <xf numFmtId="0" fontId="121" fillId="38" borderId="0" xfId="0" applyFont="1" applyFill="1" applyAlignment="1">
      <alignment vertical="center" wrapText="1"/>
    </xf>
    <xf numFmtId="166" fontId="116" fillId="9" borderId="184" xfId="0" applyNumberFormat="1" applyFont="1" applyFill="1" applyBorder="1" applyAlignment="1">
      <alignment horizontal="center" vertical="center"/>
    </xf>
    <xf numFmtId="166" fontId="116" fillId="9" borderId="183" xfId="0" applyNumberFormat="1" applyFont="1" applyFill="1" applyBorder="1" applyAlignment="1">
      <alignment horizontal="center" vertical="center"/>
    </xf>
    <xf numFmtId="1" fontId="116" fillId="9" borderId="184" xfId="0" applyNumberFormat="1" applyFont="1" applyFill="1" applyBorder="1" applyAlignment="1">
      <alignment horizontal="center" vertical="center"/>
    </xf>
    <xf numFmtId="0" fontId="116" fillId="9" borderId="184" xfId="0" applyFont="1" applyFill="1" applyBorder="1" applyAlignment="1">
      <alignment horizontal="center" vertical="center"/>
    </xf>
    <xf numFmtId="0" fontId="116" fillId="9" borderId="183" xfId="0" applyFont="1" applyFill="1" applyBorder="1" applyAlignment="1">
      <alignment horizontal="center" vertical="center"/>
    </xf>
    <xf numFmtId="0" fontId="113" fillId="38" borderId="0" xfId="0" applyFont="1" applyFill="1" applyAlignment="1">
      <alignment vertical="center" wrapText="1"/>
    </xf>
    <xf numFmtId="1" fontId="116" fillId="9" borderId="0" xfId="0" applyNumberFormat="1" applyFont="1" applyFill="1" applyAlignment="1">
      <alignment horizontal="center" vertical="center" wrapText="1"/>
    </xf>
    <xf numFmtId="0" fontId="116" fillId="9" borderId="0" xfId="0" applyFont="1" applyFill="1" applyAlignment="1">
      <alignment horizontal="center" vertical="center" wrapText="1"/>
    </xf>
    <xf numFmtId="10" fontId="116" fillId="9" borderId="0" xfId="0" applyNumberFormat="1" applyFont="1" applyFill="1" applyAlignment="1">
      <alignment horizontal="center" vertical="center" wrapText="1"/>
    </xf>
    <xf numFmtId="1" fontId="116" fillId="16" borderId="0" xfId="0" applyNumberFormat="1" applyFont="1" applyFill="1" applyAlignment="1">
      <alignment horizontal="center"/>
    </xf>
    <xf numFmtId="1" fontId="116" fillId="9" borderId="0" xfId="0" applyNumberFormat="1" applyFont="1" applyFill="1" applyAlignment="1">
      <alignment horizontal="center" vertical="center"/>
    </xf>
    <xf numFmtId="0" fontId="117" fillId="39" borderId="0" xfId="0" applyFont="1" applyFill="1" applyAlignment="1">
      <alignment horizontal="center"/>
    </xf>
    <xf numFmtId="0" fontId="113" fillId="38" borderId="0" xfId="0" applyFont="1" applyFill="1" applyBorder="1" applyAlignment="1">
      <alignment vertical="center" wrapText="1"/>
    </xf>
    <xf numFmtId="1" fontId="116" fillId="16" borderId="0" xfId="0" applyNumberFormat="1" applyFont="1" applyFill="1" applyAlignment="1">
      <alignment horizontal="left"/>
    </xf>
    <xf numFmtId="0" fontId="117" fillId="8" borderId="0" xfId="0" applyFont="1" applyFill="1" applyAlignment="1">
      <alignment horizontal="left"/>
    </xf>
    <xf numFmtId="166" fontId="116" fillId="9" borderId="184" xfId="3" applyNumberFormat="1" applyFont="1" applyFill="1" applyBorder="1" applyAlignment="1">
      <alignment horizontal="center" vertical="center"/>
    </xf>
    <xf numFmtId="166" fontId="116" fillId="9" borderId="183" xfId="3" applyNumberFormat="1" applyFont="1" applyFill="1" applyBorder="1" applyAlignment="1">
      <alignment horizontal="center" vertical="center"/>
    </xf>
    <xf numFmtId="0" fontId="116" fillId="9" borderId="0" xfId="0" applyFont="1" applyFill="1" applyAlignment="1">
      <alignment horizontal="center" vertical="top" wrapText="1"/>
    </xf>
    <xf numFmtId="0" fontId="115" fillId="38" borderId="185" xfId="0" applyFont="1" applyFill="1" applyBorder="1" applyAlignment="1">
      <alignment horizontal="left" vertical="center"/>
    </xf>
    <xf numFmtId="0" fontId="115" fillId="38" borderId="184" xfId="0" applyFont="1" applyFill="1" applyBorder="1" applyAlignment="1">
      <alignment horizontal="left" vertical="center"/>
    </xf>
    <xf numFmtId="0" fontId="115" fillId="38" borderId="183" xfId="0" applyFont="1" applyFill="1" applyBorder="1" applyAlignment="1">
      <alignment horizontal="left" vertical="center"/>
    </xf>
    <xf numFmtId="0" fontId="119" fillId="39" borderId="0" xfId="0" applyFont="1" applyFill="1" applyAlignment="1">
      <alignment vertical="center" wrapText="1"/>
    </xf>
    <xf numFmtId="0" fontId="122" fillId="8" borderId="0" xfId="0" applyFont="1" applyFill="1" applyBorder="1" applyAlignment="1">
      <alignment horizontal="center" vertical="top"/>
    </xf>
    <xf numFmtId="4" fontId="113" fillId="38" borderId="185" xfId="0" applyNumberFormat="1" applyFont="1" applyFill="1" applyBorder="1" applyAlignment="1">
      <alignment horizontal="center" vertical="top"/>
    </xf>
    <xf numFmtId="4" fontId="113" fillId="38" borderId="184" xfId="0" applyNumberFormat="1" applyFont="1" applyFill="1" applyBorder="1" applyAlignment="1">
      <alignment horizontal="center" vertical="top"/>
    </xf>
    <xf numFmtId="172" fontId="122" fillId="8" borderId="0" xfId="0" applyNumberFormat="1" applyFont="1" applyFill="1" applyBorder="1" applyAlignment="1">
      <alignment horizontal="center" vertical="top"/>
    </xf>
    <xf numFmtId="0" fontId="124" fillId="9" borderId="0" xfId="0" applyFont="1" applyFill="1" applyAlignment="1">
      <alignment horizontal="left" vertical="top" wrapText="1"/>
    </xf>
    <xf numFmtId="0" fontId="116" fillId="9" borderId="0" xfId="0" applyFont="1" applyFill="1"/>
    <xf numFmtId="8" fontId="119" fillId="8" borderId="0" xfId="0" applyNumberFormat="1" applyFont="1" applyFill="1" applyAlignment="1">
      <alignment horizontal="center" vertical="center" wrapText="1"/>
    </xf>
    <xf numFmtId="1" fontId="116" fillId="9" borderId="0" xfId="0" applyNumberFormat="1" applyFont="1" applyFill="1" applyBorder="1" applyAlignment="1">
      <alignment horizontal="center" vertical="center"/>
    </xf>
    <xf numFmtId="4" fontId="124" fillId="9" borderId="0" xfId="0" applyNumberFormat="1" applyFont="1" applyFill="1" applyAlignment="1">
      <alignment horizontal="left" vertical="top" wrapText="1"/>
    </xf>
    <xf numFmtId="4" fontId="124" fillId="9" borderId="0" xfId="0" applyNumberFormat="1" applyFont="1" applyFill="1" applyAlignment="1">
      <alignment horizontal="left"/>
    </xf>
    <xf numFmtId="0" fontId="117" fillId="40" borderId="197" xfId="0" applyFont="1" applyFill="1" applyBorder="1" applyAlignment="1">
      <alignment horizontal="center" vertical="top"/>
    </xf>
    <xf numFmtId="172" fontId="117" fillId="40" borderId="184" xfId="0" applyNumberFormat="1" applyFont="1" applyFill="1" applyBorder="1" applyAlignment="1">
      <alignment horizontal="center" vertical="top"/>
    </xf>
    <xf numFmtId="0" fontId="44" fillId="40" borderId="196" xfId="0" applyFont="1" applyFill="1" applyBorder="1" applyAlignment="1">
      <alignment horizontal="center" vertical="top"/>
    </xf>
    <xf numFmtId="9" fontId="117" fillId="40" borderId="196" xfId="3" applyFont="1" applyFill="1" applyBorder="1" applyAlignment="1">
      <alignment horizontal="center" vertical="top"/>
    </xf>
    <xf numFmtId="172" fontId="117" fillId="40" borderId="196" xfId="0" applyNumberFormat="1" applyFont="1" applyFill="1" applyBorder="1" applyAlignment="1">
      <alignment horizontal="center" vertical="top"/>
    </xf>
    <xf numFmtId="172" fontId="117" fillId="40" borderId="197" xfId="0" applyNumberFormat="1" applyFont="1" applyFill="1" applyBorder="1" applyAlignment="1">
      <alignment horizontal="center" vertical="top"/>
    </xf>
    <xf numFmtId="0" fontId="10" fillId="40" borderId="197" xfId="0" applyFont="1" applyFill="1" applyBorder="1" applyAlignment="1">
      <alignment horizontal="center" vertical="top"/>
    </xf>
    <xf numFmtId="9" fontId="116" fillId="9" borderId="184" xfId="3" applyFont="1" applyFill="1" applyBorder="1" applyAlignment="1">
      <alignment horizontal="center" vertical="top"/>
    </xf>
    <xf numFmtId="9" fontId="116" fillId="9" borderId="183" xfId="3" applyFont="1" applyFill="1" applyBorder="1" applyAlignment="1">
      <alignment horizontal="center" vertical="top"/>
    </xf>
    <xf numFmtId="0" fontId="121" fillId="38" borderId="0" xfId="0" applyFont="1" applyFill="1" applyAlignment="1">
      <alignment horizontal="left" vertical="center"/>
    </xf>
    <xf numFmtId="0" fontId="121" fillId="9" borderId="0" xfId="0" applyFont="1" applyFill="1" applyAlignment="1">
      <alignment horizontal="left" vertical="center" wrapText="1"/>
    </xf>
    <xf numFmtId="0" fontId="115" fillId="9" borderId="0" xfId="0" applyFont="1" applyFill="1" applyAlignment="1">
      <alignment horizontal="left"/>
    </xf>
    <xf numFmtId="0" fontId="117" fillId="39" borderId="197" xfId="0" applyFont="1" applyFill="1" applyBorder="1" applyAlignment="1">
      <alignment horizontal="center"/>
    </xf>
    <xf numFmtId="0" fontId="142" fillId="8" borderId="0" xfId="0" applyFont="1" applyFill="1" applyAlignment="1">
      <alignment horizontal="center" vertical="top" wrapText="1"/>
    </xf>
    <xf numFmtId="0" fontId="0" fillId="8" borderId="0" xfId="0" applyFill="1" applyAlignment="1">
      <alignment horizontal="left" vertical="top" wrapText="1"/>
    </xf>
    <xf numFmtId="3" fontId="116" fillId="9" borderId="0" xfId="0" applyNumberFormat="1" applyFont="1" applyFill="1" applyAlignment="1">
      <alignment horizontal="right" vertic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152" fillId="49" borderId="0" xfId="0" applyFont="1" applyFill="1" applyAlignment="1">
      <alignment horizontal="center" vertical="center" wrapText="1"/>
    </xf>
    <xf numFmtId="0" fontId="148" fillId="14" borderId="208" xfId="30" applyFont="1" applyFill="1" applyBorder="1" applyAlignment="1">
      <alignment horizontal="center" vertical="center" wrapText="1"/>
    </xf>
    <xf numFmtId="0" fontId="148" fillId="14" borderId="207" xfId="30" applyFont="1" applyFill="1" applyBorder="1" applyAlignment="1">
      <alignment horizontal="center" vertical="center" wrapText="1"/>
    </xf>
    <xf numFmtId="0" fontId="148" fillId="14" borderId="206" xfId="30" applyFont="1" applyFill="1" applyBorder="1" applyAlignment="1">
      <alignment horizontal="center" vertical="center" wrapText="1"/>
    </xf>
    <xf numFmtId="0" fontId="145" fillId="36" borderId="11" xfId="30" applyFont="1" applyFill="1" applyBorder="1" applyAlignment="1">
      <alignment horizontal="center" vertical="center" wrapText="1"/>
    </xf>
    <xf numFmtId="0" fontId="145" fillId="36" borderId="46" xfId="30" applyFont="1" applyFill="1" applyBorder="1" applyAlignment="1">
      <alignment horizontal="center" vertical="center" wrapText="1"/>
    </xf>
    <xf numFmtId="0" fontId="145" fillId="36" borderId="12" xfId="30" applyFont="1" applyFill="1" applyBorder="1" applyAlignment="1">
      <alignment horizontal="center" vertical="center" wrapText="1"/>
    </xf>
    <xf numFmtId="0" fontId="143" fillId="46" borderId="1" xfId="30" applyFont="1" applyFill="1" applyBorder="1" applyAlignment="1">
      <alignment horizontal="left" vertical="center" wrapText="1"/>
    </xf>
    <xf numFmtId="0" fontId="143" fillId="46" borderId="45" xfId="30" applyFont="1" applyFill="1" applyBorder="1" applyAlignment="1">
      <alignment horizontal="left" vertical="center" wrapText="1"/>
    </xf>
    <xf numFmtId="0" fontId="143" fillId="46" borderId="2" xfId="30" applyFont="1" applyFill="1" applyBorder="1" applyAlignment="1">
      <alignment horizontal="left" vertical="center" wrapText="1"/>
    </xf>
    <xf numFmtId="0" fontId="143" fillId="46" borderId="3" xfId="30" applyFont="1" applyFill="1" applyBorder="1" applyAlignment="1">
      <alignment horizontal="justify" vertical="center" wrapText="1"/>
    </xf>
    <xf numFmtId="0" fontId="143" fillId="46" borderId="0" xfId="30" applyFont="1" applyFill="1" applyAlignment="1">
      <alignment horizontal="justify" vertical="center" wrapText="1"/>
    </xf>
    <xf numFmtId="0" fontId="143" fillId="46" borderId="4" xfId="30" applyFont="1" applyFill="1" applyBorder="1" applyAlignment="1">
      <alignment horizontal="justify" vertical="center" wrapText="1"/>
    </xf>
    <xf numFmtId="0" fontId="0" fillId="8" borderId="0" xfId="0" applyFill="1" applyAlignment="1">
      <alignment horizontal="left" vertical="center" wrapText="1"/>
    </xf>
    <xf numFmtId="0" fontId="143" fillId="46" borderId="5" xfId="30" applyFont="1" applyFill="1" applyBorder="1" applyAlignment="1">
      <alignment horizontal="justify" vertical="center" wrapText="1"/>
    </xf>
    <xf numFmtId="0" fontId="143" fillId="46" borderId="201" xfId="30" applyFont="1" applyFill="1" applyBorder="1" applyAlignment="1">
      <alignment horizontal="justify" vertical="center" wrapText="1"/>
    </xf>
    <xf numFmtId="0" fontId="143" fillId="46" borderId="6" xfId="30" applyFont="1" applyFill="1" applyBorder="1" applyAlignment="1">
      <alignment horizontal="justify" vertical="center" wrapText="1"/>
    </xf>
  </cellXfs>
  <cellStyles count="31">
    <cellStyle name="1. Contábil" xfId="5" xr:uid="{C222AB00-6DBB-4FB5-934D-96B74BA4AC10}"/>
    <cellStyle name="Entrada" xfId="6" builtinId="20"/>
    <cellStyle name="Hiperlink" xfId="28" builtinId="8"/>
    <cellStyle name="Input 2" xfId="27" xr:uid="{EDDC17B7-4A12-4337-AA78-8A77CC6DA1DE}"/>
    <cellStyle name="Moeda" xfId="2" builtinId="4"/>
    <cellStyle name="Moeda 10" xfId="12" xr:uid="{F5147829-78EB-4637-A3FD-F65D32C35E9D}"/>
    <cellStyle name="Moeda_Cálculos Tap RB 311 lj B" xfId="18" xr:uid="{B92D4650-7FB4-4151-8FAA-5E6AC1046165}"/>
    <cellStyle name="Moeda_Comp_Loc_Loj" xfId="19" xr:uid="{4B470832-C882-4F23-A2F3-4D3705528729}"/>
    <cellStyle name="Normal" xfId="0" builtinId="0"/>
    <cellStyle name="Normal 10" xfId="8" xr:uid="{46F6B555-9C82-4D31-8B65-C7C28512A2DF}"/>
    <cellStyle name="Normal 2" xfId="26" xr:uid="{5BF581E7-3D8E-4455-9C43-F590CD41C496}"/>
    <cellStyle name="Normal 3" xfId="4" xr:uid="{3005C932-512D-4438-A87C-8A9AFDACBDCF}"/>
    <cellStyle name="Normal 3 2" xfId="11" xr:uid="{37D7596A-D47C-43BB-8590-4781CA0718DD}"/>
    <cellStyle name="Normal 4" xfId="7" xr:uid="{D7625B0A-EE67-4CAC-BB87-248EA1E78C5E}"/>
    <cellStyle name="Normal 4 2" xfId="24" xr:uid="{702B392F-F70F-4062-91B7-41357FB1ECDE}"/>
    <cellStyle name="Normal 5" xfId="23" xr:uid="{A71EA19B-EBB4-49D3-BAFD-F8CD13834BFC}"/>
    <cellStyle name="Normal 6" xfId="22" xr:uid="{04069129-A083-411E-87AC-B5017EC20768}"/>
    <cellStyle name="Normal 7" xfId="21" xr:uid="{0D83CDA1-2EB8-44D6-9FE7-93C156C83242}"/>
    <cellStyle name="Normal 8" xfId="20" xr:uid="{34317DC3-70C2-45A4-869D-2BA0BFF72C9B}"/>
    <cellStyle name="Normal 9" xfId="25" xr:uid="{3CDE079B-C895-4930-BF0B-40C888765C3B}"/>
    <cellStyle name="Normal_1263" xfId="9" xr:uid="{CE85F842-C453-4CD9-9069-21234F475C17}"/>
    <cellStyle name="Normal_Comp_Loc_Loj" xfId="15" xr:uid="{F8B9886E-E01A-4CF0-9C65-56E1E14FB71A}"/>
    <cellStyle name="Normal_ESTIMATIVAS MUNICIPAIS 2011" xfId="30" xr:uid="{9D7CD92D-6A6F-4CB4-8850-C5D6C0C02ACB}"/>
    <cellStyle name="Normal_TABELA DE ROSS-HEIDECKE" xfId="14" xr:uid="{505352F5-B857-4F14-BE73-E9358395B010}"/>
    <cellStyle name="Normal_TABELAS INTERNET - ESTIMATIVAS 2011" xfId="29" xr:uid="{2515C212-B88C-4279-B8BE-02B238EB91D2}"/>
    <cellStyle name="Porcentagem" xfId="3" builtinId="5"/>
    <cellStyle name="Porcentagem 10" xfId="13" xr:uid="{A88EDE52-FE87-4B2C-B0D2-718D6695820A}"/>
    <cellStyle name="Porcentagem 14" xfId="17" xr:uid="{F0C201AD-E145-4A2F-9482-455D06BC5348}"/>
    <cellStyle name="Separador de milhares 10" xfId="16" xr:uid="{8CB1EDFA-5DB9-474A-830F-B80071E03100}"/>
    <cellStyle name="Vírgula" xfId="1" builtinId="3"/>
    <cellStyle name="Vírgula 3" xfId="10" xr:uid="{939A0C07-A28F-4A4B-B20C-AA351988506B}"/>
  </cellStyles>
  <dxfs count="25"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3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89DB"/>
      <color rgb="FFF8F3FB"/>
      <color rgb="FF3C1A56"/>
      <color rgb="FFEADCF4"/>
      <color rgb="FFC9A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21" Type="http://schemas.openxmlformats.org/officeDocument/2006/relationships/externalLink" Target="externalLinks/externalLink5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externalLink" Target="externalLinks/externalLink16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 Relatorio'!A1"/><Relationship Id="rId3" Type="http://schemas.openxmlformats.org/officeDocument/2006/relationships/hyperlink" Target="#RENDA!A1"/><Relationship Id="rId7" Type="http://schemas.openxmlformats.org/officeDocument/2006/relationships/hyperlink" Target="#Rating!A1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hyperlink" Target="#Colateral!A1"/><Relationship Id="rId5" Type="http://schemas.openxmlformats.org/officeDocument/2006/relationships/hyperlink" Target="#PRICE_CORR!A1"/><Relationship Id="rId10" Type="http://schemas.openxmlformats.org/officeDocument/2006/relationships/hyperlink" Target="#Contrato!A1"/><Relationship Id="rId4" Type="http://schemas.openxmlformats.org/officeDocument/2006/relationships/hyperlink" Target="#SAC_CORR!A1"/><Relationship Id="rId9" Type="http://schemas.openxmlformats.org/officeDocument/2006/relationships/hyperlink" Target="#'Simulador PDF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3.png"/><Relationship Id="rId1" Type="http://schemas.openxmlformats.org/officeDocument/2006/relationships/image" Target="../media/image12.jpe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0</xdr:row>
      <xdr:rowOff>49079</xdr:rowOff>
    </xdr:from>
    <xdr:ext cx="1497965" cy="74467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9079"/>
          <a:ext cx="1497965" cy="74467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116208</xdr:colOff>
      <xdr:row>1</xdr:row>
      <xdr:rowOff>93345</xdr:rowOff>
    </xdr:from>
    <xdr:ext cx="2060936" cy="731732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3874"/>
                  </a14:imgEffect>
                  <a14:imgEffect>
                    <a14:saturation sa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52279" y="193131"/>
          <a:ext cx="2060936" cy="731732"/>
        </a:xfrm>
        <a:prstGeom prst="rect">
          <a:avLst/>
        </a:prstGeom>
      </xdr:spPr>
    </xdr:pic>
    <xdr:clientData/>
  </xdr:oneCellAnchor>
  <xdr:twoCellAnchor>
    <xdr:from>
      <xdr:col>3</xdr:col>
      <xdr:colOff>1113154</xdr:colOff>
      <xdr:row>1</xdr:row>
      <xdr:rowOff>116417</xdr:rowOff>
    </xdr:from>
    <xdr:to>
      <xdr:col>10</xdr:col>
      <xdr:colOff>9525</xdr:colOff>
      <xdr:row>5</xdr:row>
      <xdr:rowOff>168275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491104" y="300567"/>
          <a:ext cx="3741421" cy="78845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</a:rPr>
            <a:t>INPUTS</a:t>
          </a:r>
        </a:p>
      </xdr:txBody>
    </xdr:sp>
    <xdr:clientData/>
  </xdr:twoCellAnchor>
  <xdr:twoCellAnchor>
    <xdr:from>
      <xdr:col>13</xdr:col>
      <xdr:colOff>190501</xdr:colOff>
      <xdr:row>1</xdr:row>
      <xdr:rowOff>116417</xdr:rowOff>
    </xdr:from>
    <xdr:to>
      <xdr:col>17</xdr:col>
      <xdr:colOff>116417</xdr:colOff>
      <xdr:row>5</xdr:row>
      <xdr:rowOff>169334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280401" y="300567"/>
          <a:ext cx="2415116" cy="789517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SED/H.C.</a:t>
          </a:r>
        </a:p>
      </xdr:txBody>
    </xdr:sp>
    <xdr:clientData/>
  </xdr:twoCellAnchor>
  <xdr:twoCellAnchor>
    <xdr:from>
      <xdr:col>6</xdr:col>
      <xdr:colOff>370417</xdr:colOff>
      <xdr:row>14</xdr:row>
      <xdr:rowOff>134620</xdr:rowOff>
    </xdr:from>
    <xdr:to>
      <xdr:col>8</xdr:col>
      <xdr:colOff>21164</xdr:colOff>
      <xdr:row>18</xdr:row>
      <xdr:rowOff>35985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926667" y="3108537"/>
          <a:ext cx="1979080" cy="642198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Renda</a:t>
          </a:r>
        </a:p>
      </xdr:txBody>
    </xdr:sp>
    <xdr:clientData/>
  </xdr:twoCellAnchor>
  <xdr:twoCellAnchor>
    <xdr:from>
      <xdr:col>13</xdr:col>
      <xdr:colOff>211505</xdr:colOff>
      <xdr:row>41</xdr:row>
      <xdr:rowOff>144620</xdr:rowOff>
    </xdr:from>
    <xdr:to>
      <xdr:col>14</xdr:col>
      <xdr:colOff>992928</xdr:colOff>
      <xdr:row>45</xdr:row>
      <xdr:rowOff>124036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301405" y="7510620"/>
          <a:ext cx="1035423" cy="716016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SAC</a:t>
          </a:r>
        </a:p>
      </xdr:txBody>
    </xdr:sp>
    <xdr:clientData/>
  </xdr:twoCellAnchor>
  <xdr:twoCellAnchor>
    <xdr:from>
      <xdr:col>14</xdr:col>
      <xdr:colOff>1316143</xdr:colOff>
      <xdr:row>41</xdr:row>
      <xdr:rowOff>160918</xdr:rowOff>
    </xdr:from>
    <xdr:to>
      <xdr:col>17</xdr:col>
      <xdr:colOff>130810</xdr:colOff>
      <xdr:row>45</xdr:row>
      <xdr:rowOff>133772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336193" y="7526918"/>
          <a:ext cx="1373717" cy="709454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PRICE</a:t>
          </a:r>
        </a:p>
      </xdr:txBody>
    </xdr:sp>
    <xdr:clientData/>
  </xdr:twoCellAnchor>
  <xdr:twoCellAnchor>
    <xdr:from>
      <xdr:col>2</xdr:col>
      <xdr:colOff>22820</xdr:colOff>
      <xdr:row>62</xdr:row>
      <xdr:rowOff>21896</xdr:rowOff>
    </xdr:from>
    <xdr:to>
      <xdr:col>3</xdr:col>
      <xdr:colOff>87586</xdr:colOff>
      <xdr:row>66</xdr:row>
      <xdr:rowOff>9410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63682" y="11878879"/>
          <a:ext cx="1641318" cy="731997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Amostras</a:t>
          </a:r>
          <a:endParaRPr lang="pt-BR" sz="2400" b="0" cap="none" spc="50" baseline="0">
            <a:ln w="0">
              <a:noFill/>
            </a:ln>
            <a:solidFill>
              <a:schemeClr val="bg1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Impact" panose="020B080603090205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974513</xdr:colOff>
      <xdr:row>32</xdr:row>
      <xdr:rowOff>25770</xdr:rowOff>
    </xdr:from>
    <xdr:to>
      <xdr:col>17</xdr:col>
      <xdr:colOff>24976</xdr:colOff>
      <xdr:row>36</xdr:row>
      <xdr:rowOff>48260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715163" y="5918570"/>
          <a:ext cx="1888913" cy="574940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Rating</a:t>
          </a:r>
        </a:p>
      </xdr:txBody>
    </xdr:sp>
    <xdr:clientData/>
  </xdr:twoCellAnchor>
  <xdr:twoCellAnchor>
    <xdr:from>
      <xdr:col>14</xdr:col>
      <xdr:colOff>1301751</xdr:colOff>
      <xdr:row>46</xdr:row>
      <xdr:rowOff>110860</xdr:rowOff>
    </xdr:from>
    <xdr:to>
      <xdr:col>17</xdr:col>
      <xdr:colOff>153883</xdr:colOff>
      <xdr:row>50</xdr:row>
      <xdr:rowOff>105833</xdr:rowOff>
    </xdr:to>
    <xdr:sp macro="" textlink="">
      <xdr:nvSpPr>
        <xdr:cNvPr id="10" name="CaixaDeText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34501" y="8397610"/>
          <a:ext cx="1398482" cy="731573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13</xdr:col>
      <xdr:colOff>220344</xdr:colOff>
      <xdr:row>46</xdr:row>
      <xdr:rowOff>99377</xdr:rowOff>
    </xdr:from>
    <xdr:to>
      <xdr:col>14</xdr:col>
      <xdr:colOff>971762</xdr:colOff>
      <xdr:row>50</xdr:row>
      <xdr:rowOff>106891</xdr:rowOff>
    </xdr:to>
    <xdr:sp macro="" textlink="">
      <xdr:nvSpPr>
        <xdr:cNvPr id="11" name="CaixaDeText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8310244" y="8386127"/>
          <a:ext cx="1024468" cy="744114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Simulador</a:t>
          </a:r>
        </a:p>
      </xdr:txBody>
    </xdr:sp>
    <xdr:clientData/>
  </xdr:twoCellAnchor>
  <xdr:twoCellAnchor>
    <xdr:from>
      <xdr:col>2</xdr:col>
      <xdr:colOff>29845</xdr:colOff>
      <xdr:row>38</xdr:row>
      <xdr:rowOff>79534</xdr:rowOff>
    </xdr:from>
    <xdr:to>
      <xdr:col>10</xdr:col>
      <xdr:colOff>42333</xdr:colOff>
      <xdr:row>40</xdr:row>
      <xdr:rowOff>129540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74445" y="6893084"/>
          <a:ext cx="4990888" cy="418306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COLATERAL</a:t>
          </a:r>
        </a:p>
      </xdr:txBody>
    </xdr:sp>
    <xdr:clientData/>
  </xdr:twoCellAnchor>
  <xdr:twoCellAnchor>
    <xdr:from>
      <xdr:col>13</xdr:col>
      <xdr:colOff>133349</xdr:colOff>
      <xdr:row>38</xdr:row>
      <xdr:rowOff>93822</xdr:rowOff>
    </xdr:from>
    <xdr:to>
      <xdr:col>17</xdr:col>
      <xdr:colOff>201083</xdr:colOff>
      <xdr:row>40</xdr:row>
      <xdr:rowOff>140970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8223249" y="6907372"/>
          <a:ext cx="2556934" cy="41544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OUTROS</a:t>
          </a:r>
        </a:p>
      </xdr:txBody>
    </xdr:sp>
    <xdr:clientData/>
  </xdr:twoCellAnchor>
  <xdr:twoCellAnchor>
    <xdr:from>
      <xdr:col>21</xdr:col>
      <xdr:colOff>27939</xdr:colOff>
      <xdr:row>1</xdr:row>
      <xdr:rowOff>116418</xdr:rowOff>
    </xdr:from>
    <xdr:to>
      <xdr:col>38</xdr:col>
      <xdr:colOff>402165</xdr:colOff>
      <xdr:row>5</xdr:row>
      <xdr:rowOff>170393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3096239" y="300568"/>
          <a:ext cx="10331026" cy="79057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HIGHLIGHTS</a:t>
          </a:r>
        </a:p>
      </xdr:txBody>
    </xdr:sp>
    <xdr:clientData/>
  </xdr:twoCellAnchor>
  <xdr:twoCellAnchor>
    <xdr:from>
      <xdr:col>21</xdr:col>
      <xdr:colOff>84667</xdr:colOff>
      <xdr:row>38</xdr:row>
      <xdr:rowOff>97631</xdr:rowOff>
    </xdr:from>
    <xdr:to>
      <xdr:col>37</xdr:col>
      <xdr:colOff>615739</xdr:colOff>
      <xdr:row>41</xdr:row>
      <xdr:rowOff>11430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3152967" y="6911181"/>
          <a:ext cx="9865572" cy="466249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BACEN</a:t>
          </a:r>
        </a:p>
        <a:p>
          <a:pPr marL="0" indent="0" algn="ctr"/>
          <a:endParaRPr lang="pt-BR" sz="2400" baseline="0">
            <a:solidFill>
              <a:srgbClr val="7030A0"/>
            </a:solidFill>
            <a:latin typeface="Impact" panose="020B080603090205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208703</xdr:colOff>
      <xdr:row>51</xdr:row>
      <xdr:rowOff>125092</xdr:rowOff>
    </xdr:from>
    <xdr:to>
      <xdr:col>14</xdr:col>
      <xdr:colOff>963083</xdr:colOff>
      <xdr:row>55</xdr:row>
      <xdr:rowOff>149013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8298603" y="9332592"/>
          <a:ext cx="1033780" cy="760521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Contrato</a:t>
          </a:r>
        </a:p>
      </xdr:txBody>
    </xdr:sp>
    <xdr:clientData/>
  </xdr:twoCellAnchor>
  <xdr:twoCellAnchor>
    <xdr:from>
      <xdr:col>2</xdr:col>
      <xdr:colOff>68561</xdr:colOff>
      <xdr:row>69</xdr:row>
      <xdr:rowOff>20090</xdr:rowOff>
    </xdr:from>
    <xdr:to>
      <xdr:col>17</xdr:col>
      <xdr:colOff>173759</xdr:colOff>
      <xdr:row>71</xdr:row>
      <xdr:rowOff>41068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335261" y="13012190"/>
          <a:ext cx="13468773" cy="38292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HELP!</a:t>
          </a:r>
        </a:p>
      </xdr:txBody>
    </xdr:sp>
    <xdr:clientData/>
  </xdr:twoCellAnchor>
  <xdr:twoCellAnchor>
    <xdr:from>
      <xdr:col>14</xdr:col>
      <xdr:colOff>1293071</xdr:colOff>
      <xdr:row>51</xdr:row>
      <xdr:rowOff>135679</xdr:rowOff>
    </xdr:from>
    <xdr:to>
      <xdr:col>17</xdr:col>
      <xdr:colOff>154940</xdr:colOff>
      <xdr:row>55</xdr:row>
      <xdr:rowOff>174201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9332171" y="9343179"/>
          <a:ext cx="1401869" cy="775122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83</xdr:row>
          <xdr:rowOff>180975</xdr:rowOff>
        </xdr:from>
        <xdr:to>
          <xdr:col>5</xdr:col>
          <xdr:colOff>523875</xdr:colOff>
          <xdr:row>85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1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LTV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88</xdr:row>
          <xdr:rowOff>180975</xdr:rowOff>
        </xdr:from>
        <xdr:to>
          <xdr:col>5</xdr:col>
          <xdr:colOff>495300</xdr:colOff>
          <xdr:row>90</xdr:row>
          <xdr:rowOff>114300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1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76</xdr:row>
          <xdr:rowOff>66675</xdr:rowOff>
        </xdr:from>
        <xdr:to>
          <xdr:col>3</xdr:col>
          <xdr:colOff>638175</xdr:colOff>
          <xdr:row>78</xdr:row>
          <xdr:rowOff>28575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1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81</xdr:row>
          <xdr:rowOff>76200</xdr:rowOff>
        </xdr:from>
        <xdr:to>
          <xdr:col>3</xdr:col>
          <xdr:colOff>638175</xdr:colOff>
          <xdr:row>83</xdr:row>
          <xdr:rowOff>76200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1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Datas Contrato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86</xdr:row>
          <xdr:rowOff>104775</xdr:rowOff>
        </xdr:from>
        <xdr:to>
          <xdr:col>3</xdr:col>
          <xdr:colOff>638175</xdr:colOff>
          <xdr:row>88</xdr:row>
          <xdr:rowOff>66675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1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86</xdr:row>
          <xdr:rowOff>104775</xdr:rowOff>
        </xdr:from>
        <xdr:to>
          <xdr:col>5</xdr:col>
          <xdr:colOff>523875</xdr:colOff>
          <xdr:row>88</xdr:row>
          <xdr:rowOff>66675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1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Prazo das 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73</xdr:row>
          <xdr:rowOff>142875</xdr:rowOff>
        </xdr:from>
        <xdr:to>
          <xdr:col>3</xdr:col>
          <xdr:colOff>638175</xdr:colOff>
          <xdr:row>75</xdr:row>
          <xdr:rowOff>104775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1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Devedores Fidunciantes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78</xdr:row>
          <xdr:rowOff>142875</xdr:rowOff>
        </xdr:from>
        <xdr:to>
          <xdr:col>3</xdr:col>
          <xdr:colOff>638175</xdr:colOff>
          <xdr:row>80</xdr:row>
          <xdr:rowOff>142875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1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Régua de Renegociação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84</xdr:row>
          <xdr:rowOff>28575</xdr:rowOff>
        </xdr:from>
        <xdr:to>
          <xdr:col>3</xdr:col>
          <xdr:colOff>638175</xdr:colOff>
          <xdr:row>85</xdr:row>
          <xdr:rowOff>180975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1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Atualização BACEN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88</xdr:row>
          <xdr:rowOff>180975</xdr:rowOff>
        </xdr:from>
        <xdr:to>
          <xdr:col>3</xdr:col>
          <xdr:colOff>638175</xdr:colOff>
          <xdr:row>90</xdr:row>
          <xdr:rowOff>104775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1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91</xdr:row>
          <xdr:rowOff>66675</xdr:rowOff>
        </xdr:from>
        <xdr:to>
          <xdr:col>3</xdr:col>
          <xdr:colOff>609600</xdr:colOff>
          <xdr:row>93</xdr:row>
          <xdr:rowOff>66675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1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Localidades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93</xdr:row>
          <xdr:rowOff>180975</xdr:rowOff>
        </xdr:from>
        <xdr:to>
          <xdr:col>3</xdr:col>
          <xdr:colOff>609600</xdr:colOff>
          <xdr:row>95</xdr:row>
          <xdr:rowOff>142875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1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Devedores Solidários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96</xdr:row>
          <xdr:rowOff>76200</xdr:rowOff>
        </xdr:from>
        <xdr:to>
          <xdr:col>3</xdr:col>
          <xdr:colOff>600075</xdr:colOff>
          <xdr:row>98</xdr:row>
          <xdr:rowOff>66675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1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Comprometimento de renda - PMT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99</xdr:row>
          <xdr:rowOff>28575</xdr:rowOff>
        </xdr:from>
        <xdr:to>
          <xdr:col>3</xdr:col>
          <xdr:colOff>600075</xdr:colOff>
          <xdr:row>100</xdr:row>
          <xdr:rowOff>152400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1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Atualização Dívidas a Quitar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101</xdr:row>
          <xdr:rowOff>104775</xdr:rowOff>
        </xdr:from>
        <xdr:to>
          <xdr:col>3</xdr:col>
          <xdr:colOff>600075</xdr:colOff>
          <xdr:row>103</xdr:row>
          <xdr:rowOff>76200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1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E-CPF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73</xdr:row>
          <xdr:rowOff>142875</xdr:rowOff>
        </xdr:from>
        <xdr:to>
          <xdr:col>5</xdr:col>
          <xdr:colOff>533400</xdr:colOff>
          <xdr:row>75</xdr:row>
          <xdr:rowOff>114300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1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Quem não é elegível?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76</xdr:row>
          <xdr:rowOff>66675</xdr:rowOff>
        </xdr:from>
        <xdr:to>
          <xdr:col>5</xdr:col>
          <xdr:colOff>533400</xdr:colOff>
          <xdr:row>78</xdr:row>
          <xdr:rowOff>66675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1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Dívidas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78</xdr:row>
          <xdr:rowOff>180975</xdr:rowOff>
        </xdr:from>
        <xdr:to>
          <xdr:col>5</xdr:col>
          <xdr:colOff>523875</xdr:colOff>
          <xdr:row>80</xdr:row>
          <xdr:rowOff>142875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1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81</xdr:row>
          <xdr:rowOff>66675</xdr:rowOff>
        </xdr:from>
        <xdr:to>
          <xdr:col>5</xdr:col>
          <xdr:colOff>523875</xdr:colOff>
          <xdr:row>83</xdr:row>
          <xdr:rowOff>66675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1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Endividamento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208016</xdr:colOff>
      <xdr:row>56</xdr:row>
      <xdr:rowOff>164224</xdr:rowOff>
    </xdr:from>
    <xdr:to>
      <xdr:col>14</xdr:col>
      <xdr:colOff>956046</xdr:colOff>
      <xdr:row>61</xdr:row>
      <xdr:rowOff>5200</xdr:rowOff>
    </xdr:to>
    <xdr:sp macro="" textlink="">
      <xdr:nvSpPr>
        <xdr:cNvPr id="38" name="CaixaDeTexto 3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9689223" y="10992069"/>
          <a:ext cx="1755271" cy="771579"/>
        </a:xfrm>
        <a:prstGeom prst="rect">
          <a:avLst/>
        </a:prstGeom>
        <a:solidFill>
          <a:schemeClr val="accent2">
            <a:alpha val="70000"/>
          </a:scheme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Contrato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28575</xdr:rowOff>
    </xdr:from>
    <xdr:to>
      <xdr:col>3</xdr:col>
      <xdr:colOff>533400</xdr:colOff>
      <xdr:row>1</xdr:row>
      <xdr:rowOff>133350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2875" y="28575"/>
          <a:ext cx="2181225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Se empresa</a:t>
          </a:r>
          <a:r>
            <a:rPr lang="pt-BR" sz="1100" baseline="0">
              <a:solidFill>
                <a:sysClr val="windowText" lastClr="000000"/>
              </a:solidFill>
            </a:rPr>
            <a:t> utilizar espaços 5 e 6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123825</xdr:colOff>
      <xdr:row>0</xdr:row>
      <xdr:rowOff>47625</xdr:rowOff>
    </xdr:from>
    <xdr:to>
      <xdr:col>6</xdr:col>
      <xdr:colOff>447675</xdr:colOff>
      <xdr:row>1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514600" y="47625"/>
          <a:ext cx="1657350" cy="24765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75</xdr:row>
      <xdr:rowOff>197304</xdr:rowOff>
    </xdr:from>
    <xdr:to>
      <xdr:col>4</xdr:col>
      <xdr:colOff>0</xdr:colOff>
      <xdr:row>75</xdr:row>
      <xdr:rowOff>197304</xdr:rowOff>
    </xdr:to>
    <xdr:sp macro="" textlink="">
      <xdr:nvSpPr>
        <xdr:cNvPr id="2" name="Text Box 22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574800" y="1381170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pt-BR" sz="1200" b="0" i="0" strike="noStrike">
              <a:solidFill>
                <a:srgbClr val="000000"/>
              </a:solidFill>
              <a:latin typeface="Arial Narrow"/>
            </a:rPr>
            <a:t>16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64</xdr:row>
          <xdr:rowOff>104775</xdr:rowOff>
        </xdr:from>
        <xdr:to>
          <xdr:col>11</xdr:col>
          <xdr:colOff>133350</xdr:colOff>
          <xdr:row>67</xdr:row>
          <xdr:rowOff>171450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Ativar Crawler</a:t>
              </a:r>
            </a:p>
          </xdr:txBody>
        </xdr:sp>
        <xdr:clientData fPrintsWithSheet="0"/>
      </xdr:twoCellAnchor>
    </mc:Choice>
    <mc:Fallback/>
  </mc:AlternateContent>
  <xdr:twoCellAnchor>
    <xdr:from>
      <xdr:col>66</xdr:col>
      <xdr:colOff>121103</xdr:colOff>
      <xdr:row>43</xdr:row>
      <xdr:rowOff>149679</xdr:rowOff>
    </xdr:from>
    <xdr:to>
      <xdr:col>97</xdr:col>
      <xdr:colOff>216352</xdr:colOff>
      <xdr:row>59</xdr:row>
      <xdr:rowOff>64861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6043960" y="2807608"/>
          <a:ext cx="19753035" cy="32534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/>
            <a:t>POR GENTILEZA, NÃO MEXER. DEU MUITO</a:t>
          </a:r>
          <a:r>
            <a:rPr lang="pt-BR" sz="5400" baseline="0"/>
            <a:t> TRABALHO ESSA TABELA.</a:t>
          </a:r>
          <a:endParaRPr lang="pt-BR" sz="5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68</xdr:row>
          <xdr:rowOff>114300</xdr:rowOff>
        </xdr:from>
        <xdr:to>
          <xdr:col>11</xdr:col>
          <xdr:colOff>133350</xdr:colOff>
          <xdr:row>72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Instruções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326572</xdr:colOff>
      <xdr:row>77</xdr:row>
      <xdr:rowOff>95250</xdr:rowOff>
    </xdr:from>
    <xdr:to>
      <xdr:col>16</xdr:col>
      <xdr:colOff>312322</xdr:colOff>
      <xdr:row>96</xdr:row>
      <xdr:rowOff>82499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6036" y="9742714"/>
          <a:ext cx="5142857" cy="40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33</xdr:row>
      <xdr:rowOff>142875</xdr:rowOff>
    </xdr:from>
    <xdr:to>
      <xdr:col>15</xdr:col>
      <xdr:colOff>561975</xdr:colOff>
      <xdr:row>36</xdr:row>
      <xdr:rowOff>95250</xdr:rowOff>
    </xdr:to>
    <xdr:cxnSp macro="">
      <xdr:nvCxnSpPr>
        <xdr:cNvPr id="2" name="Straight Connector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9296400" y="5667375"/>
          <a:ext cx="409575" cy="5048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104775</xdr:colOff>
      <xdr:row>36</xdr:row>
      <xdr:rowOff>95250</xdr:rowOff>
    </xdr:from>
    <xdr:to>
      <xdr:col>15</xdr:col>
      <xdr:colOff>552450</xdr:colOff>
      <xdr:row>39</xdr:row>
      <xdr:rowOff>114301</xdr:rowOff>
    </xdr:to>
    <xdr:cxnSp macro="">
      <xdr:nvCxnSpPr>
        <xdr:cNvPr id="3" name="Straight Connector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V="1">
          <a:off x="9248775" y="6172200"/>
          <a:ext cx="447675" cy="5715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29936</xdr:colOff>
      <xdr:row>0</xdr:row>
      <xdr:rowOff>23222</xdr:rowOff>
    </xdr:from>
    <xdr:ext cx="1738876" cy="62085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6" y="23222"/>
          <a:ext cx="1738876" cy="620850"/>
        </a:xfrm>
        <a:prstGeom prst="rect">
          <a:avLst/>
        </a:prstGeom>
        <a:solidFill>
          <a:srgbClr val="7030A0"/>
        </a:solidFill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158866</xdr:colOff>
      <xdr:row>0</xdr:row>
      <xdr:rowOff>25919</xdr:rowOff>
    </xdr:from>
    <xdr:to>
      <xdr:col>2</xdr:col>
      <xdr:colOff>708181</xdr:colOff>
      <xdr:row>1</xdr:row>
      <xdr:rowOff>282117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30316" y="25919"/>
          <a:ext cx="1708825" cy="538138"/>
        </a:xfrm>
        <a:prstGeom prst="rect">
          <a:avLst/>
        </a:prstGeom>
      </xdr:spPr>
    </xdr:pic>
    <xdr:clientData/>
  </xdr:twoCellAnchor>
  <xdr:twoCellAnchor editAs="oneCell">
    <xdr:from>
      <xdr:col>1</xdr:col>
      <xdr:colOff>455903</xdr:colOff>
      <xdr:row>11</xdr:row>
      <xdr:rowOff>272143</xdr:rowOff>
    </xdr:from>
    <xdr:to>
      <xdr:col>1</xdr:col>
      <xdr:colOff>927163</xdr:colOff>
      <xdr:row>13</xdr:row>
      <xdr:rowOff>252574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7353" y="3510643"/>
          <a:ext cx="463005" cy="536691"/>
        </a:xfrm>
        <a:prstGeom prst="rect">
          <a:avLst/>
        </a:prstGeom>
      </xdr:spPr>
    </xdr:pic>
    <xdr:clientData/>
  </xdr:twoCellAnchor>
  <xdr:twoCellAnchor editAs="oneCell">
    <xdr:from>
      <xdr:col>3</xdr:col>
      <xdr:colOff>699797</xdr:colOff>
      <xdr:row>12</xdr:row>
      <xdr:rowOff>51837</xdr:rowOff>
    </xdr:from>
    <xdr:to>
      <xdr:col>3</xdr:col>
      <xdr:colOff>1019215</xdr:colOff>
      <xdr:row>13</xdr:row>
      <xdr:rowOff>252575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74747" y="3569737"/>
          <a:ext cx="378201" cy="477598"/>
        </a:xfrm>
        <a:prstGeom prst="rect">
          <a:avLst/>
        </a:prstGeom>
      </xdr:spPr>
    </xdr:pic>
    <xdr:clientData/>
  </xdr:twoCellAnchor>
  <xdr:twoCellAnchor editAs="oneCell">
    <xdr:from>
      <xdr:col>5</xdr:col>
      <xdr:colOff>596123</xdr:colOff>
      <xdr:row>9</xdr:row>
      <xdr:rowOff>38877</xdr:rowOff>
    </xdr:from>
    <xdr:to>
      <xdr:col>5</xdr:col>
      <xdr:colOff>1019733</xdr:colOff>
      <xdr:row>10</xdr:row>
      <xdr:rowOff>242155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415773" y="2718577"/>
          <a:ext cx="427420" cy="485218"/>
        </a:xfrm>
        <a:prstGeom prst="rect">
          <a:avLst/>
        </a:prstGeom>
      </xdr:spPr>
    </xdr:pic>
    <xdr:clientData/>
  </xdr:twoCellAnchor>
  <xdr:twoCellAnchor editAs="oneCell">
    <xdr:from>
      <xdr:col>5</xdr:col>
      <xdr:colOff>609081</xdr:colOff>
      <xdr:row>12</xdr:row>
      <xdr:rowOff>51837</xdr:rowOff>
    </xdr:from>
    <xdr:to>
      <xdr:col>5</xdr:col>
      <xdr:colOff>1019991</xdr:colOff>
      <xdr:row>13</xdr:row>
      <xdr:rowOff>252575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428731" y="3569737"/>
          <a:ext cx="415990" cy="477598"/>
        </a:xfrm>
        <a:prstGeom prst="rect">
          <a:avLst/>
        </a:prstGeom>
      </xdr:spPr>
    </xdr:pic>
    <xdr:clientData/>
  </xdr:twoCellAnchor>
  <xdr:twoCellAnchor editAs="oneCell">
    <xdr:from>
      <xdr:col>3</xdr:col>
      <xdr:colOff>622044</xdr:colOff>
      <xdr:row>8</xdr:row>
      <xdr:rowOff>427655</xdr:rowOff>
    </xdr:from>
    <xdr:to>
      <xdr:col>3</xdr:col>
      <xdr:colOff>1004986</xdr:colOff>
      <xdr:row>10</xdr:row>
      <xdr:rowOff>242985</xdr:rowOff>
    </xdr:to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396994" y="2681905"/>
          <a:ext cx="439185" cy="522720"/>
        </a:xfrm>
        <a:prstGeom prst="rect">
          <a:avLst/>
        </a:prstGeom>
      </xdr:spPr>
    </xdr:pic>
    <xdr:clientData/>
  </xdr:twoCellAnchor>
  <xdr:twoCellAnchor editAs="oneCell">
    <xdr:from>
      <xdr:col>1</xdr:col>
      <xdr:colOff>468862</xdr:colOff>
      <xdr:row>9</xdr:row>
      <xdr:rowOff>25917</xdr:rowOff>
    </xdr:from>
    <xdr:to>
      <xdr:col>1</xdr:col>
      <xdr:colOff>854631</xdr:colOff>
      <xdr:row>10</xdr:row>
      <xdr:rowOff>242154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40312" y="2705617"/>
          <a:ext cx="399739" cy="49817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588489</xdr:colOff>
      <xdr:row>2</xdr:row>
      <xdr:rowOff>46176</xdr:rowOff>
    </xdr:from>
    <xdr:ext cx="2398993" cy="727362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9580" y="415631"/>
          <a:ext cx="2398993" cy="727362"/>
        </a:xfrm>
        <a:prstGeom prst="rect">
          <a:avLst/>
        </a:prstGeom>
      </xdr:spPr>
    </xdr:pic>
    <xdr:clientData/>
  </xdr:oneCellAnchor>
  <xdr:twoCellAnchor>
    <xdr:from>
      <xdr:col>4</xdr:col>
      <xdr:colOff>301829</xdr:colOff>
      <xdr:row>175</xdr:row>
      <xdr:rowOff>2473</xdr:rowOff>
    </xdr:from>
    <xdr:to>
      <xdr:col>16</xdr:col>
      <xdr:colOff>217715</xdr:colOff>
      <xdr:row>188</xdr:row>
      <xdr:rowOff>50305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01829" y="33516866"/>
          <a:ext cx="9005457" cy="267401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394854</xdr:colOff>
      <xdr:row>156</xdr:row>
      <xdr:rowOff>163946</xdr:rowOff>
    </xdr:from>
    <xdr:to>
      <xdr:col>33</xdr:col>
      <xdr:colOff>441036</xdr:colOff>
      <xdr:row>170</xdr:row>
      <xdr:rowOff>48491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5022945" y="29350855"/>
          <a:ext cx="4248727" cy="258618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717138</xdr:colOff>
      <xdr:row>160</xdr:row>
      <xdr:rowOff>91622</xdr:rowOff>
    </xdr:from>
    <xdr:to>
      <xdr:col>16</xdr:col>
      <xdr:colOff>28534</xdr:colOff>
      <xdr:row>174</xdr:row>
      <xdr:rowOff>162957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5071424" y="30612443"/>
          <a:ext cx="4046681" cy="28608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272967</xdr:colOff>
      <xdr:row>0</xdr:row>
      <xdr:rowOff>146792</xdr:rowOff>
    </xdr:from>
    <xdr:to>
      <xdr:col>14</xdr:col>
      <xdr:colOff>504913</xdr:colOff>
      <xdr:row>6</xdr:row>
      <xdr:rowOff>89064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6314538" y="146792"/>
          <a:ext cx="2068911" cy="1085272"/>
        </a:xfrm>
        <a:prstGeom prst="rect">
          <a:avLst/>
        </a:prstGeom>
      </xdr:spPr>
    </xdr:pic>
    <xdr:clientData/>
  </xdr:twoCellAnchor>
  <xdr:twoCellAnchor editAs="oneCell">
    <xdr:from>
      <xdr:col>14</xdr:col>
      <xdr:colOff>325582</xdr:colOff>
      <xdr:row>53</xdr:row>
      <xdr:rowOff>36944</xdr:rowOff>
    </xdr:from>
    <xdr:to>
      <xdr:col>16</xdr:col>
      <xdr:colOff>34636</xdr:colOff>
      <xdr:row>55</xdr:row>
      <xdr:rowOff>134735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49673" y="9804399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206170</xdr:colOff>
      <xdr:row>122</xdr:row>
      <xdr:rowOff>80819</xdr:rowOff>
    </xdr:from>
    <xdr:to>
      <xdr:col>15</xdr:col>
      <xdr:colOff>486724</xdr:colOff>
      <xdr:row>124</xdr:row>
      <xdr:rowOff>161463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084706" y="23349033"/>
          <a:ext cx="920089" cy="448037"/>
        </a:xfrm>
        <a:prstGeom prst="rect">
          <a:avLst/>
        </a:prstGeom>
      </xdr:spPr>
    </xdr:pic>
    <xdr:clientData/>
  </xdr:twoCellAnchor>
  <xdr:twoCellAnchor editAs="oneCell">
    <xdr:from>
      <xdr:col>14</xdr:col>
      <xdr:colOff>198335</xdr:colOff>
      <xdr:row>192</xdr:row>
      <xdr:rowOff>34636</xdr:rowOff>
    </xdr:from>
    <xdr:to>
      <xdr:col>15</xdr:col>
      <xdr:colOff>491589</xdr:colOff>
      <xdr:row>193</xdr:row>
      <xdr:rowOff>243956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076871" y="37209350"/>
          <a:ext cx="932789" cy="467856"/>
        </a:xfrm>
        <a:prstGeom prst="rect">
          <a:avLst/>
        </a:prstGeom>
      </xdr:spPr>
    </xdr:pic>
    <xdr:clientData/>
  </xdr:twoCellAnchor>
  <xdr:twoCellAnchor editAs="oneCell">
    <xdr:from>
      <xdr:col>14</xdr:col>
      <xdr:colOff>138957</xdr:colOff>
      <xdr:row>259</xdr:row>
      <xdr:rowOff>69272</xdr:rowOff>
    </xdr:from>
    <xdr:to>
      <xdr:col>15</xdr:col>
      <xdr:colOff>419800</xdr:colOff>
      <xdr:row>261</xdr:row>
      <xdr:rowOff>174568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017493" y="50932772"/>
          <a:ext cx="920378" cy="499903"/>
        </a:xfrm>
        <a:prstGeom prst="rect">
          <a:avLst/>
        </a:prstGeom>
      </xdr:spPr>
    </xdr:pic>
    <xdr:clientData/>
  </xdr:twoCellAnchor>
  <xdr:twoCellAnchor editAs="oneCell">
    <xdr:from>
      <xdr:col>14</xdr:col>
      <xdr:colOff>253999</xdr:colOff>
      <xdr:row>329</xdr:row>
      <xdr:rowOff>34636</xdr:rowOff>
    </xdr:from>
    <xdr:to>
      <xdr:col>15</xdr:col>
      <xdr:colOff>551987</xdr:colOff>
      <xdr:row>331</xdr:row>
      <xdr:rowOff>126712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278090" y="62634091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98137</xdr:colOff>
      <xdr:row>404</xdr:row>
      <xdr:rowOff>13608</xdr:rowOff>
    </xdr:from>
    <xdr:to>
      <xdr:col>15</xdr:col>
      <xdr:colOff>378980</xdr:colOff>
      <xdr:row>406</xdr:row>
      <xdr:rowOff>107374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7976673" y="79492929"/>
          <a:ext cx="920378" cy="488374"/>
        </a:xfrm>
        <a:prstGeom prst="rect">
          <a:avLst/>
        </a:prstGeom>
      </xdr:spPr>
    </xdr:pic>
    <xdr:clientData/>
  </xdr:twoCellAnchor>
  <xdr:twoCellAnchor editAs="oneCell">
    <xdr:from>
      <xdr:col>4</xdr:col>
      <xdr:colOff>408214</xdr:colOff>
      <xdr:row>85</xdr:row>
      <xdr:rowOff>40822</xdr:rowOff>
    </xdr:from>
    <xdr:to>
      <xdr:col>9</xdr:col>
      <xdr:colOff>898072</xdr:colOff>
      <xdr:row>101</xdr:row>
      <xdr:rowOff>19958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8214" y="16233322"/>
          <a:ext cx="3864429" cy="3027136"/>
        </a:xfrm>
        <a:prstGeom prst="rect">
          <a:avLst/>
        </a:prstGeom>
      </xdr:spPr>
    </xdr:pic>
    <xdr:clientData/>
  </xdr:twoCellAnchor>
  <xdr:twoCellAnchor editAs="oneCell">
    <xdr:from>
      <xdr:col>10</xdr:col>
      <xdr:colOff>449035</xdr:colOff>
      <xdr:row>85</xdr:row>
      <xdr:rowOff>13607</xdr:rowOff>
    </xdr:from>
    <xdr:to>
      <xdr:col>15</xdr:col>
      <xdr:colOff>435429</xdr:colOff>
      <xdr:row>101</xdr:row>
      <xdr:rowOff>34630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03321" y="16206107"/>
          <a:ext cx="4150179" cy="3069023"/>
        </a:xfrm>
        <a:prstGeom prst="rect">
          <a:avLst/>
        </a:prstGeom>
      </xdr:spPr>
    </xdr:pic>
    <xdr:clientData/>
  </xdr:twoCellAnchor>
  <xdr:twoCellAnchor>
    <xdr:from>
      <xdr:col>4</xdr:col>
      <xdr:colOff>476250</xdr:colOff>
      <xdr:row>214</xdr:row>
      <xdr:rowOff>190501</xdr:rowOff>
    </xdr:from>
    <xdr:to>
      <xdr:col>15</xdr:col>
      <xdr:colOff>0</xdr:colOff>
      <xdr:row>254</xdr:row>
      <xdr:rowOff>68036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476250" y="42114108"/>
          <a:ext cx="8041821" cy="8381999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180975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PMT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 QI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IOF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4</xdr:row>
          <xdr:rowOff>180975</xdr:rowOff>
        </xdr:from>
        <xdr:to>
          <xdr:col>14</xdr:col>
          <xdr:colOff>28575</xdr:colOff>
          <xdr:row>8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KIT QI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IOF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W_SERVER\Publico\Advisors\VAS%20-%20Valuation%20Advisory%20Services\Colgate\R.%20Rio%20Grande(V.%20Mariana)\Involutivo%20-%20Modelo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CW_SERVER\Publico\Advisors\VAS%20-%20Valuation%20Advisory%20Services\Colgate\R.%20Rio%20Grande(V.%20Mariana)\Involutivo%20-%20Modelo%2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QUELUZ\GAF1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COMPRA\QUELUZ\GAF1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PLANO1\BASE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IVO\BOUQUET\PLANO1\BASE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LBI\CNS16\EXCEL5\CNS16\PINI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5_minha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rives%20compartilhados/Pontte%20Cr&#233;dito/0_HOME%20EQUITY/0_Analises/Valmor%20Luiz%20da%20Silva/Simulador%20HE_v11_2%20(FINAL)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%20para%20fazer%20o%20relatorio%20(version%201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ntte-my.sharepoint.com/personal/fabia_pontte_onmicrosoft_com/Documents/&#193;rea%20de%20Trabalho/Simulador%20HE_v9_novo%20layout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VERA\PRIN-JUR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IVO\BOUQUET\VERA\PRIN-JUR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JD_CAMP\te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COMPRA\JD_CAMP\t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Base Gráfico"/>
      <sheetName val="Tabelas (2)"/>
      <sheetName val="Cash Flow"/>
      <sheetName val="H&amp;S Costs"/>
      <sheetName val="Sales Revenues"/>
      <sheetName val="Curvas"/>
      <sheetName val="Resultados"/>
      <sheetName val="Cálculo Tabelas"/>
      <sheetName val="Mód.1"/>
      <sheetName val="Pla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  <sheetName val="GAFISA"/>
      <sheetName val="SOCIO"/>
      <sheetName val="Macros"/>
      <sheetName val="Menu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PÓTESES"/>
      <sheetName val="COMERCIAL"/>
    </sheetNames>
    <sheetDataSet>
      <sheetData sheetId="0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ERCIAL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NI1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ating"/>
      <sheetName val="Registros"/>
      <sheetName val="Sheet2"/>
      <sheetName val="Mini Relatorio"/>
      <sheetName val="Avaliacao"/>
      <sheetName val="REN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ENDA"/>
      <sheetName val="Avaliacao"/>
      <sheetName val="Rating"/>
      <sheetName val="Registros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Simulador PDF"/>
      <sheetName val="Contrato"/>
      <sheetName val="Sim_PRICE"/>
      <sheetName val="Sim_SAC"/>
      <sheetName val="Resumo"/>
      <sheetName val="RENDA"/>
      <sheetName val="Avaliacao"/>
      <sheetName val="Rating"/>
      <sheetName val="Registros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Resumo"/>
      <sheetName val="Sim_SAC"/>
      <sheetName val="Planilha1"/>
      <sheetName val="Rating"/>
      <sheetName val="Registros"/>
      <sheetName val="Sheet2"/>
      <sheetName val="Mini Relator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_"/>
      <sheetName val="Sim_PRICE"/>
      <sheetName val="Sim_SAC"/>
      <sheetName val="Resumo"/>
      <sheetName val="RENDA"/>
      <sheetName val="Avaliacao"/>
      <sheetName val="Rating"/>
      <sheetName val="Registros"/>
      <sheetName val="Planilha2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>
        <row r="24">
          <cell r="H24" t="str">
            <v>Total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TUR_LC "/>
      <sheetName val="ARTUR_MO"/>
      <sheetName val="ARTUR_CH"/>
      <sheetName val="CANT_LC"/>
      <sheetName val="CANT_MO"/>
      <sheetName val="CANT_CH"/>
      <sheetName val="ALTO_LC "/>
      <sheetName val="ALTO_MO  "/>
      <sheetName val="ALTO_CH"/>
      <sheetName val="COLINA_LC "/>
      <sheetName val="COLINA_MO "/>
      <sheetName val="COLINA_CH "/>
      <sheetName val="PANAMBY_LC "/>
      <sheetName val="PANAMBY_MO "/>
      <sheetName val="PANAMBY_CH"/>
      <sheetName val="PASSO_LC"/>
      <sheetName val="PASSO_MO "/>
      <sheetName val="PASSO_CH"/>
      <sheetName val="NOVA PIN_LC "/>
      <sheetName val="NOVA PIN_MO "/>
      <sheetName val="NOVA PIN_CH"/>
      <sheetName val="SALES_LC "/>
      <sheetName val="SALES_MO"/>
      <sheetName val="SALES_CH"/>
      <sheetName val="PANAMERICANA_LC"/>
      <sheetName val="PANAMERICANA_MO "/>
      <sheetName val="PANAMERICANA_CH "/>
      <sheetName val="SPE3_LC  "/>
      <sheetName val="SPE3_MO"/>
      <sheetName val="SPE3_CH"/>
      <sheetName val="PORTO(COM)_LC"/>
      <sheetName val="PORTO(COM)_MO "/>
      <sheetName val="PORTO(COM)_CH"/>
      <sheetName val="PORTO(RES)_LC"/>
      <sheetName val="PORTO(RES)_MO"/>
      <sheetName val="PORTO(RES)_CH "/>
      <sheetName val="ARTUR_LC_"/>
      <sheetName val="ALTO_LC_"/>
      <sheetName val="ALTO_MO__"/>
      <sheetName val="COLINA_LC_"/>
      <sheetName val="COLINA_MO_"/>
      <sheetName val="COLINA_CH_"/>
      <sheetName val="PANAMBY_LC_"/>
      <sheetName val="PANAMBY_MO_"/>
      <sheetName val="PASSO_MO_"/>
      <sheetName val="NOVA_PIN_LC_"/>
      <sheetName val="NOVA_PIN_MO_"/>
      <sheetName val="NOVA_PIN_CH"/>
      <sheetName val="SALES_LC_"/>
      <sheetName val="PANAMERICANA_MO_"/>
      <sheetName val="PANAMERICANA_CH_"/>
      <sheetName val="SPE3_LC__"/>
      <sheetName val="PORTO(COM)_MO_"/>
      <sheetName val="PORTO(RES)_CH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T_LC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o"/>
      <sheetName val="ESTUDO "/>
      <sheetName val="ESTUDO  (2)"/>
      <sheetName val="LANCAMENTO"/>
      <sheetName val="MEIO OBRA"/>
      <sheetName val="CHAVES"/>
      <sheetName val="Tabmed "/>
      <sheetName val="capa1"/>
      <sheetName val="capa2"/>
      <sheetName val="capa3"/>
      <sheetName val="capa4"/>
      <sheetName val="capa5"/>
      <sheetName val="capa6"/>
      <sheetName val="capa7"/>
      <sheetName val="Módulo1"/>
      <sheetName val="Módulo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UDO 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817FC6-38DA-4451-B3FC-269DCF923AF9}" name="Tabela3" displayName="Tabela3" ref="C313:E326" totalsRowShown="0" headerRowDxfId="23" dataDxfId="22">
  <autoFilter ref="C313:E326" xr:uid="{5AA0289E-922D-4CAF-8D74-BB25829CAB47}"/>
  <tableColumns count="3">
    <tableColumn id="1" xr3:uid="{B69BFDA4-8965-4D76-B055-5287685F66E6}" name="Situação" dataDxfId="21"/>
    <tableColumn id="3" xr3:uid="{2204D054-CB42-4727-B202-6B81D5D91747}" name="Coluna2" dataDxfId="20"/>
    <tableColumn id="2" xr3:uid="{2F1E7DA5-85C8-4FD1-8CAF-5ED19FFF9FE3}" name="Coluna1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app.pipefy.com/open-cards/528701355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https://www.vivareal.com.br/imovel/sala-comercial-santana-zona-norte-sao-paulo-com-garagem-38m2-venda-RS390000-id-2555089405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vivareal.com.br/imovel/sala-comercial-santana-zona-norte-sao-paulo-com-garagem-39m2-venda-RS390000-id-2535878917/" TargetMode="External"/><Relationship Id="rId1" Type="http://schemas.openxmlformats.org/officeDocument/2006/relationships/hyperlink" Target="https://www.vivareal.com.br/imovel/sala-comercial-santana-zona-norte-sao-paulo-com-garagem-45m2-venda-RS590000-id-2561545040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10" Type="http://schemas.openxmlformats.org/officeDocument/2006/relationships/comments" Target="../comments1.xml"/><Relationship Id="rId4" Type="http://schemas.openxmlformats.org/officeDocument/2006/relationships/hyperlink" Target="https://www.vivareal.com.br/imovel/sala-comercial-santana-zona-norte-sao-paulo-com-garagem-50m2-venda-RS650000-id-2547988206/" TargetMode="Externa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8616-61AD-48EE-8272-5E9BE206E545}">
  <sheetPr codeName="Sheet1">
    <tabColor theme="7" tint="-0.249977111117893"/>
  </sheetPr>
  <dimension ref="B6:X304"/>
  <sheetViews>
    <sheetView zoomScale="75" zoomScaleNormal="75" workbookViewId="0">
      <selection activeCell="F48" sqref="F48"/>
    </sheetView>
  </sheetViews>
  <sheetFormatPr defaultRowHeight="15"/>
  <cols>
    <col min="2" max="2" width="39.42578125" bestFit="1" customWidth="1"/>
    <col min="3" max="3" width="29" style="73" customWidth="1"/>
    <col min="4" max="4" width="2.5703125" customWidth="1"/>
    <col min="5" max="5" width="29.42578125" bestFit="1" customWidth="1"/>
    <col min="6" max="6" width="13" customWidth="1"/>
    <col min="7" max="7" width="2.42578125" customWidth="1"/>
    <col min="8" max="8" width="17.42578125" bestFit="1" customWidth="1"/>
    <col min="9" max="9" width="27.42578125" bestFit="1" customWidth="1"/>
    <col min="12" max="12" width="27.42578125" bestFit="1" customWidth="1"/>
    <col min="16" max="16" width="39" bestFit="1" customWidth="1"/>
    <col min="17" max="17" width="14.28515625" bestFit="1" customWidth="1"/>
    <col min="18" max="18" width="13.5703125" bestFit="1" customWidth="1"/>
    <col min="21" max="21" width="28.7109375" bestFit="1" customWidth="1"/>
    <col min="22" max="22" width="20.5703125" bestFit="1" customWidth="1"/>
    <col min="23" max="23" width="49.28515625" customWidth="1"/>
  </cols>
  <sheetData>
    <row r="6" spans="2:24">
      <c r="P6" s="991" t="s">
        <v>10466</v>
      </c>
      <c r="Q6" s="991"/>
      <c r="R6" s="991"/>
      <c r="S6" s="991"/>
      <c r="T6" s="991"/>
      <c r="U6" s="991"/>
      <c r="V6" s="991"/>
      <c r="W6" s="991"/>
    </row>
    <row r="7" spans="2:24" ht="30">
      <c r="P7" s="973" t="s">
        <v>10746</v>
      </c>
      <c r="Q7" s="974" t="s">
        <v>10747</v>
      </c>
      <c r="R7" s="973" t="s">
        <v>4</v>
      </c>
      <c r="S7" s="973" t="s">
        <v>10578</v>
      </c>
      <c r="T7" s="158"/>
      <c r="U7" s="973" t="s">
        <v>10746</v>
      </c>
      <c r="V7" s="973" t="s">
        <v>10577</v>
      </c>
      <c r="W7" s="973" t="s">
        <v>4</v>
      </c>
      <c r="X7" s="973" t="s">
        <v>10578</v>
      </c>
    </row>
    <row r="8" spans="2:24">
      <c r="B8" s="93" t="s">
        <v>297</v>
      </c>
      <c r="E8" s="93" t="s">
        <v>351</v>
      </c>
      <c r="H8" s="93" t="s">
        <v>350</v>
      </c>
      <c r="P8" s="975" t="s">
        <v>10467</v>
      </c>
      <c r="Q8" s="975"/>
      <c r="R8" s="975" t="s">
        <v>10579</v>
      </c>
      <c r="S8" s="9" t="str">
        <f>IF(Q8="","@@@",Q8)</f>
        <v>@@@</v>
      </c>
      <c r="U8" s="9" t="s">
        <v>10571</v>
      </c>
      <c r="V8" s="9"/>
      <c r="W8" s="9" t="s">
        <v>10727</v>
      </c>
      <c r="X8" s="9" t="str">
        <f>IF(V8="","@@@",V8)</f>
        <v>@@@</v>
      </c>
    </row>
    <row r="9" spans="2:24">
      <c r="B9" s="82" t="s">
        <v>317</v>
      </c>
      <c r="C9" s="83" t="str">
        <f>UPPER(Inputs!C22)</f>
        <v>AGOSTINHO FRANCISCO DE SOUZA</v>
      </c>
      <c r="E9" s="82" t="s">
        <v>349</v>
      </c>
      <c r="F9" s="95">
        <f ca="1">'Simulador PDF'!J23</f>
        <v>185234.90145170517</v>
      </c>
      <c r="H9" s="96" t="s">
        <v>348</v>
      </c>
      <c r="I9" s="88"/>
      <c r="P9" s="975" t="s">
        <v>10468</v>
      </c>
      <c r="Q9" s="975"/>
      <c r="R9" s="975" t="s">
        <v>10580</v>
      </c>
      <c r="S9" s="9" t="str">
        <f t="shared" ref="S9:S72" si="0">IF(Q9="","@@@",Q9)</f>
        <v>@@@</v>
      </c>
      <c r="U9" s="9" t="s">
        <v>10572</v>
      </c>
      <c r="V9" s="9"/>
      <c r="W9" s="9" t="s">
        <v>10728</v>
      </c>
      <c r="X9" s="9" t="str">
        <f t="shared" ref="X9:X13" si="1">IF(V9="","@@@",V9)</f>
        <v>@@@</v>
      </c>
    </row>
    <row r="10" spans="2:24">
      <c r="B10" s="82" t="s">
        <v>303</v>
      </c>
      <c r="C10" s="83" t="str">
        <f>Inputs!E22</f>
        <v>011.615.038-62</v>
      </c>
      <c r="E10" s="82" t="s">
        <v>326</v>
      </c>
      <c r="F10" s="88">
        <f ca="1">'Simulador PDF'!E21</f>
        <v>228</v>
      </c>
      <c r="H10" s="82" t="s">
        <v>320</v>
      </c>
      <c r="I10" s="88"/>
      <c r="P10" s="975" t="s">
        <v>10469</v>
      </c>
      <c r="Q10" s="975"/>
      <c r="R10" s="975" t="s">
        <v>10581</v>
      </c>
      <c r="S10" s="9" t="str">
        <f t="shared" si="0"/>
        <v>@@@</v>
      </c>
      <c r="U10" s="9" t="s">
        <v>10573</v>
      </c>
      <c r="V10" s="9"/>
      <c r="W10" s="9" t="s">
        <v>10729</v>
      </c>
      <c r="X10" s="9" t="str">
        <f t="shared" si="1"/>
        <v>@@@</v>
      </c>
    </row>
    <row r="11" spans="2:24">
      <c r="B11" s="82" t="s">
        <v>313</v>
      </c>
      <c r="C11" s="92">
        <f>Inputs!F22</f>
        <v>22432</v>
      </c>
      <c r="E11" s="82" t="s">
        <v>347</v>
      </c>
      <c r="F11" s="88">
        <f ca="1">COUNTIF('Simulador PDF'!J43:J284,"&gt;0")</f>
        <v>222</v>
      </c>
      <c r="H11" s="82" t="s">
        <v>318</v>
      </c>
      <c r="I11" s="88"/>
      <c r="P11" s="975" t="s">
        <v>10470</v>
      </c>
      <c r="Q11" s="975"/>
      <c r="R11" s="975" t="s">
        <v>10582</v>
      </c>
      <c r="S11" s="9" t="str">
        <f t="shared" si="0"/>
        <v>@@@</v>
      </c>
      <c r="U11" s="9" t="s">
        <v>10574</v>
      </c>
      <c r="V11" s="9"/>
      <c r="W11" s="9" t="s">
        <v>10730</v>
      </c>
      <c r="X11" s="9" t="str">
        <f t="shared" si="1"/>
        <v>@@@</v>
      </c>
    </row>
    <row r="12" spans="2:24">
      <c r="B12" s="82" t="s">
        <v>311</v>
      </c>
      <c r="C12" s="83"/>
      <c r="E12" s="82" t="s">
        <v>346</v>
      </c>
      <c r="F12" s="98">
        <f ca="1">MAX('Simulador PDF'!B43:B284)</f>
        <v>51682</v>
      </c>
      <c r="H12" s="82" t="s">
        <v>334</v>
      </c>
      <c r="I12" s="88"/>
      <c r="P12" s="975" t="s">
        <v>10471</v>
      </c>
      <c r="Q12" s="975"/>
      <c r="R12" s="975" t="s">
        <v>10583</v>
      </c>
      <c r="S12" s="9" t="str">
        <f t="shared" si="0"/>
        <v>@@@</v>
      </c>
      <c r="U12" s="9" t="s">
        <v>10575</v>
      </c>
      <c r="V12" s="9"/>
      <c r="W12" s="9" t="s">
        <v>10731</v>
      </c>
      <c r="X12" s="9" t="str">
        <f t="shared" si="1"/>
        <v>@@@</v>
      </c>
    </row>
    <row r="13" spans="2:24">
      <c r="B13" s="82" t="s">
        <v>310</v>
      </c>
      <c r="C13" s="83"/>
      <c r="E13" s="82" t="s">
        <v>345</v>
      </c>
      <c r="F13" s="98">
        <f ca="1">MAX('Simulador PDF'!N22:N346)</f>
        <v>2800.5200244188391</v>
      </c>
      <c r="H13" s="82" t="s">
        <v>333</v>
      </c>
      <c r="I13" s="88"/>
      <c r="P13" s="975" t="s">
        <v>10472</v>
      </c>
      <c r="Q13" s="975"/>
      <c r="R13" s="975" t="s">
        <v>10584</v>
      </c>
      <c r="S13" s="9" t="str">
        <f t="shared" si="0"/>
        <v>@@@</v>
      </c>
      <c r="U13" s="9" t="s">
        <v>10576</v>
      </c>
      <c r="V13" s="9"/>
      <c r="W13" s="9" t="s">
        <v>204</v>
      </c>
      <c r="X13" s="9" t="str">
        <f t="shared" si="1"/>
        <v>@@@</v>
      </c>
    </row>
    <row r="14" spans="2:24">
      <c r="B14" s="82" t="s">
        <v>307</v>
      </c>
      <c r="C14" s="83" t="str">
        <f>Inputs!O10</f>
        <v xml:space="preserve">Casado </v>
      </c>
      <c r="E14" s="82" t="s">
        <v>344</v>
      </c>
      <c r="F14" s="94">
        <f>(1+'Simulador PDF'!E25)^12-1</f>
        <v>0.11616115026912621</v>
      </c>
      <c r="H14" s="96" t="s">
        <v>343</v>
      </c>
      <c r="I14" s="88"/>
      <c r="P14" s="975" t="s">
        <v>10473</v>
      </c>
      <c r="Q14" s="975"/>
      <c r="R14" s="975" t="s">
        <v>10585</v>
      </c>
      <c r="S14" s="9" t="str">
        <f t="shared" si="0"/>
        <v>@@@</v>
      </c>
      <c r="W14" s="195"/>
    </row>
    <row r="15" spans="2:24">
      <c r="B15" s="82" t="s">
        <v>304</v>
      </c>
      <c r="C15" s="83"/>
      <c r="E15" s="82" t="s">
        <v>342</v>
      </c>
      <c r="F15" s="94">
        <f ca="1">EFFECT(F14,F10/12)</f>
        <v>0.12277971751289551</v>
      </c>
      <c r="H15" s="82" t="s">
        <v>320</v>
      </c>
      <c r="I15" s="88"/>
      <c r="P15" s="975" t="s">
        <v>10474</v>
      </c>
      <c r="Q15" s="975"/>
      <c r="R15" s="975" t="s">
        <v>10586</v>
      </c>
      <c r="S15" s="9" t="str">
        <f t="shared" si="0"/>
        <v>@@@</v>
      </c>
      <c r="W15" s="195"/>
    </row>
    <row r="16" spans="2:24">
      <c r="B16" s="82" t="s">
        <v>302</v>
      </c>
      <c r="E16" s="82" t="s">
        <v>341</v>
      </c>
      <c r="F16" s="95">
        <f>'Simulador PDF'!J21</f>
        <v>6768</v>
      </c>
      <c r="H16" s="82" t="s">
        <v>318</v>
      </c>
      <c r="I16" s="88"/>
      <c r="P16" s="975" t="s">
        <v>10475</v>
      </c>
      <c r="Q16" s="975"/>
      <c r="R16" s="975" t="s">
        <v>10587</v>
      </c>
      <c r="S16" s="9" t="str">
        <f t="shared" si="0"/>
        <v>@@@</v>
      </c>
      <c r="W16" s="195"/>
    </row>
    <row r="17" spans="2:23">
      <c r="B17" s="89" t="s">
        <v>300</v>
      </c>
      <c r="C17" s="83"/>
      <c r="E17" s="82" t="s">
        <v>340</v>
      </c>
      <c r="F17" s="95">
        <v>0</v>
      </c>
      <c r="H17" s="82" t="s">
        <v>334</v>
      </c>
      <c r="I17" s="88"/>
      <c r="P17" s="975" t="s">
        <v>10476</v>
      </c>
      <c r="Q17" s="975"/>
      <c r="R17" s="975" t="s">
        <v>10588</v>
      </c>
      <c r="S17" s="9" t="str">
        <f t="shared" si="0"/>
        <v>@@@</v>
      </c>
      <c r="W17" s="195"/>
    </row>
    <row r="18" spans="2:23">
      <c r="B18" s="89" t="s">
        <v>289</v>
      </c>
      <c r="C18" s="97"/>
      <c r="E18" s="82" t="s">
        <v>3</v>
      </c>
      <c r="F18" s="95">
        <f ca="1">'Simulador PDF'!J20</f>
        <v>6224.2314517051609</v>
      </c>
      <c r="H18" s="82" t="s">
        <v>333</v>
      </c>
      <c r="I18" s="88"/>
      <c r="P18" s="975" t="s">
        <v>10477</v>
      </c>
      <c r="Q18" s="975"/>
      <c r="R18" s="975" t="s">
        <v>10589</v>
      </c>
      <c r="S18" s="9" t="str">
        <f t="shared" si="0"/>
        <v>@@@</v>
      </c>
      <c r="W18" s="195"/>
    </row>
    <row r="19" spans="2:23">
      <c r="B19" s="89" t="s">
        <v>295</v>
      </c>
      <c r="C19" s="83"/>
      <c r="E19" s="82" t="s">
        <v>339</v>
      </c>
      <c r="F19" s="95">
        <f>'Simulador PDF'!J22</f>
        <v>3042.67</v>
      </c>
      <c r="H19" s="96" t="s">
        <v>338</v>
      </c>
      <c r="I19" s="88"/>
      <c r="P19" s="975" t="s">
        <v>10478</v>
      </c>
      <c r="Q19" s="975"/>
      <c r="R19" s="975" t="s">
        <v>10590</v>
      </c>
      <c r="S19" s="9" t="str">
        <f t="shared" si="0"/>
        <v>@@@</v>
      </c>
      <c r="W19" s="195"/>
    </row>
    <row r="20" spans="2:23">
      <c r="E20" s="82" t="s">
        <v>337</v>
      </c>
      <c r="F20" s="88"/>
      <c r="H20" s="82" t="s">
        <v>320</v>
      </c>
      <c r="I20" s="88"/>
      <c r="P20" s="975" t="s">
        <v>10479</v>
      </c>
      <c r="Q20" s="975"/>
      <c r="R20" s="975" t="s">
        <v>10591</v>
      </c>
      <c r="S20" s="9" t="str">
        <f t="shared" si="0"/>
        <v>@@@</v>
      </c>
      <c r="W20" s="195"/>
    </row>
    <row r="21" spans="2:23">
      <c r="E21" s="82" t="s">
        <v>336</v>
      </c>
      <c r="F21" s="95">
        <f ca="1">F9-SUM(F16:F20)</f>
        <v>169200</v>
      </c>
      <c r="H21" s="82" t="s">
        <v>318</v>
      </c>
      <c r="I21" s="88"/>
      <c r="P21" s="975" t="s">
        <v>10480</v>
      </c>
      <c r="Q21" s="975"/>
      <c r="R21" s="975" t="s">
        <v>10592</v>
      </c>
      <c r="S21" s="9" t="str">
        <f t="shared" si="0"/>
        <v>@@@</v>
      </c>
      <c r="W21" s="195"/>
    </row>
    <row r="22" spans="2:23">
      <c r="B22" s="93" t="s">
        <v>294</v>
      </c>
      <c r="E22" s="82" t="s">
        <v>335</v>
      </c>
      <c r="F22" s="95">
        <f ca="1">MAX('Simulador PDF'!C43:C284)</f>
        <v>2707.7086436129521</v>
      </c>
      <c r="H22" s="82" t="s">
        <v>334</v>
      </c>
      <c r="I22" s="88"/>
      <c r="P22" s="975" t="s">
        <v>10481</v>
      </c>
      <c r="Q22" s="975"/>
      <c r="R22" s="975" t="s">
        <v>10593</v>
      </c>
      <c r="S22" s="9" t="str">
        <f t="shared" si="0"/>
        <v>@@@</v>
      </c>
      <c r="W22" s="195"/>
    </row>
    <row r="23" spans="2:23">
      <c r="B23" s="82" t="s">
        <v>317</v>
      </c>
      <c r="C23" s="83" t="str">
        <f>Inputs!C23</f>
        <v>MARIETE DIEGUES DE SOUZA</v>
      </c>
      <c r="E23" s="82" t="s">
        <v>27</v>
      </c>
      <c r="F23" s="95">
        <f ca="1">MAX('Simulador PDF'!G43:G284)</f>
        <v>41.491380805886756</v>
      </c>
      <c r="H23" s="82" t="s">
        <v>333</v>
      </c>
      <c r="I23" s="88"/>
      <c r="P23" s="975" t="s">
        <v>10482</v>
      </c>
      <c r="Q23" s="975"/>
      <c r="R23" s="975" t="s">
        <v>10594</v>
      </c>
      <c r="S23" s="9" t="str">
        <f t="shared" si="0"/>
        <v>@@@</v>
      </c>
      <c r="W23" s="195"/>
    </row>
    <row r="24" spans="2:23">
      <c r="B24" s="82" t="s">
        <v>303</v>
      </c>
      <c r="C24" s="83" t="str">
        <f>Inputs!E23</f>
        <v>040.429.738-25</v>
      </c>
      <c r="E24" s="82" t="s">
        <v>28</v>
      </c>
      <c r="F24" s="95">
        <f ca="1">MAX('Simulador PDF'!H43:H284)</f>
        <v>26.319999999999997</v>
      </c>
      <c r="P24" s="975" t="s">
        <v>10483</v>
      </c>
      <c r="Q24" s="975"/>
      <c r="R24" s="975" t="s">
        <v>10595</v>
      </c>
      <c r="S24" s="9" t="str">
        <f t="shared" si="0"/>
        <v>@@@</v>
      </c>
      <c r="W24" s="195"/>
    </row>
    <row r="25" spans="2:23">
      <c r="B25" s="82" t="s">
        <v>313</v>
      </c>
      <c r="C25" s="92">
        <f>Inputs!F23</f>
        <v>22914</v>
      </c>
      <c r="E25" s="82" t="s">
        <v>332</v>
      </c>
      <c r="F25" s="95">
        <f ca="1">MAX('Simulador PDF'!I43:I284)</f>
        <v>25</v>
      </c>
      <c r="H25" s="93" t="s">
        <v>331</v>
      </c>
      <c r="P25" s="976" t="s">
        <v>10484</v>
      </c>
      <c r="Q25" s="976"/>
      <c r="R25" s="976" t="s">
        <v>10596</v>
      </c>
      <c r="S25" s="9" t="str">
        <f>IF(Q8&lt;&gt;"","","@@@")</f>
        <v>@@@</v>
      </c>
      <c r="W25" s="195"/>
    </row>
    <row r="26" spans="2:23">
      <c r="B26" s="82" t="s">
        <v>311</v>
      </c>
      <c r="C26" s="83"/>
      <c r="E26" s="82" t="s">
        <v>330</v>
      </c>
      <c r="F26" s="95">
        <f ca="1">MAX('Simulador PDF'!J43:J284)</f>
        <v>2800.5200244188391</v>
      </c>
      <c r="H26" s="82" t="s">
        <v>329</v>
      </c>
      <c r="I26" s="88">
        <f ca="1">YEAR(TODAY())</f>
        <v>2022</v>
      </c>
      <c r="K26" s="59"/>
      <c r="L26" s="59"/>
      <c r="P26" s="976" t="s">
        <v>10485</v>
      </c>
      <c r="Q26" s="976"/>
      <c r="R26" s="976" t="s">
        <v>10597</v>
      </c>
      <c r="S26" s="9" t="str">
        <f>IF(Q8&lt;&gt;"","","@@@")</f>
        <v>@@@</v>
      </c>
      <c r="W26" s="195"/>
    </row>
    <row r="27" spans="2:23">
      <c r="B27" s="82" t="s">
        <v>310</v>
      </c>
      <c r="C27" s="83"/>
      <c r="E27" s="82" t="s">
        <v>50</v>
      </c>
      <c r="F27" s="94">
        <f ca="1">'Simulador PDF'!N40</f>
        <v>0.1440963850065351</v>
      </c>
      <c r="H27" s="82" t="s">
        <v>289</v>
      </c>
      <c r="I27" s="92"/>
      <c r="K27" s="59"/>
      <c r="L27" s="59"/>
      <c r="P27" s="976" t="s">
        <v>10486</v>
      </c>
      <c r="Q27" s="976"/>
      <c r="R27" s="976" t="s">
        <v>10598</v>
      </c>
      <c r="S27" s="9" t="str">
        <f>IF(Q8&lt;&gt;"","","@@@")</f>
        <v>@@@</v>
      </c>
      <c r="W27" s="195"/>
    </row>
    <row r="28" spans="2:23">
      <c r="B28" s="82" t="s">
        <v>307</v>
      </c>
      <c r="C28" s="83" t="str">
        <f>Inputs!Q10</f>
        <v xml:space="preserve">Casado </v>
      </c>
      <c r="H28" s="82" t="s">
        <v>328</v>
      </c>
      <c r="I28" s="88">
        <f ca="1">F9</f>
        <v>185234.90145170517</v>
      </c>
      <c r="K28" s="59"/>
      <c r="L28" s="59"/>
      <c r="P28" s="976" t="s">
        <v>10487</v>
      </c>
      <c r="Q28" s="976"/>
      <c r="R28" s="976" t="s">
        <v>10599</v>
      </c>
      <c r="S28" s="9" t="str">
        <f>IF(Q8&lt;&gt;"","","@@@")</f>
        <v>@@@</v>
      </c>
      <c r="W28" s="195"/>
    </row>
    <row r="29" spans="2:23">
      <c r="B29" s="82" t="s">
        <v>304</v>
      </c>
      <c r="C29" s="83"/>
      <c r="E29" s="84" t="s">
        <v>327</v>
      </c>
      <c r="H29" s="82" t="s">
        <v>326</v>
      </c>
      <c r="I29" s="88">
        <f ca="1">F10</f>
        <v>228</v>
      </c>
      <c r="K29" s="59"/>
      <c r="L29" s="59"/>
      <c r="P29" s="9" t="s">
        <v>10488</v>
      </c>
      <c r="Q29" s="9"/>
      <c r="R29" s="9" t="s">
        <v>10600</v>
      </c>
      <c r="S29" s="9" t="str">
        <f t="shared" si="0"/>
        <v>@@@</v>
      </c>
      <c r="W29" s="195"/>
    </row>
    <row r="30" spans="2:23">
      <c r="B30" s="82" t="s">
        <v>302</v>
      </c>
      <c r="E30" s="82" t="s">
        <v>305</v>
      </c>
      <c r="F30" s="88" t="str">
        <f>C9</f>
        <v>AGOSTINHO FRANCISCO DE SOUZA</v>
      </c>
      <c r="H30" s="82" t="s">
        <v>321</v>
      </c>
      <c r="I30" s="88">
        <f>F35</f>
        <v>0</v>
      </c>
      <c r="K30" s="59"/>
      <c r="L30" s="59"/>
      <c r="P30" s="9" t="s">
        <v>10476</v>
      </c>
      <c r="Q30" s="9"/>
      <c r="R30" s="9" t="s">
        <v>10601</v>
      </c>
      <c r="S30" s="9" t="str">
        <f t="shared" si="0"/>
        <v>@@@</v>
      </c>
      <c r="W30" s="195"/>
    </row>
    <row r="31" spans="2:23">
      <c r="B31" s="89" t="s">
        <v>300</v>
      </c>
      <c r="C31" s="83"/>
      <c r="E31" s="82" t="s">
        <v>298</v>
      </c>
      <c r="F31" s="88"/>
      <c r="K31" s="59"/>
      <c r="L31" s="59"/>
      <c r="P31" s="9" t="s">
        <v>10477</v>
      </c>
      <c r="Q31" s="9"/>
      <c r="R31" s="9" t="s">
        <v>10602</v>
      </c>
      <c r="S31" s="9" t="str">
        <f t="shared" si="0"/>
        <v>@@@</v>
      </c>
      <c r="W31" s="195"/>
    </row>
    <row r="32" spans="2:23">
      <c r="B32" s="89" t="s">
        <v>289</v>
      </c>
      <c r="C32" s="83"/>
      <c r="H32" s="93" t="s">
        <v>325</v>
      </c>
      <c r="K32" s="59"/>
      <c r="L32" s="59"/>
      <c r="P32" s="9" t="s">
        <v>10478</v>
      </c>
      <c r="Q32" s="9"/>
      <c r="R32" s="9" t="s">
        <v>10603</v>
      </c>
      <c r="S32" s="9" t="str">
        <f t="shared" si="0"/>
        <v>@@@</v>
      </c>
      <c r="W32" s="195"/>
    </row>
    <row r="33" spans="2:23">
      <c r="B33" s="89" t="s">
        <v>295</v>
      </c>
      <c r="C33" s="83"/>
      <c r="H33" s="82" t="s">
        <v>324</v>
      </c>
      <c r="I33" s="92"/>
      <c r="K33" s="59"/>
      <c r="L33" s="59"/>
      <c r="P33" s="9" t="s">
        <v>10479</v>
      </c>
      <c r="Q33" s="9"/>
      <c r="R33" s="9" t="s">
        <v>10604</v>
      </c>
      <c r="S33" s="9" t="str">
        <f t="shared" si="0"/>
        <v>@@@</v>
      </c>
      <c r="W33" s="195"/>
    </row>
    <row r="34" spans="2:23">
      <c r="E34" s="84" t="s">
        <v>323</v>
      </c>
      <c r="H34" s="82" t="s">
        <v>322</v>
      </c>
      <c r="I34" s="88">
        <f>DAY(SAC_CORR!$F$2)</f>
        <v>8</v>
      </c>
      <c r="K34" s="59"/>
      <c r="L34" s="59"/>
      <c r="P34" s="9" t="s">
        <v>10480</v>
      </c>
      <c r="Q34" s="9"/>
      <c r="R34" s="9" t="s">
        <v>10605</v>
      </c>
      <c r="S34" s="9" t="str">
        <f t="shared" si="0"/>
        <v>@@@</v>
      </c>
      <c r="W34" s="195"/>
    </row>
    <row r="35" spans="2:23">
      <c r="E35" s="82" t="s">
        <v>321</v>
      </c>
      <c r="F35" s="88"/>
      <c r="H35" s="82" t="s">
        <v>320</v>
      </c>
      <c r="I35" s="83" t="str">
        <f>UPPER(VLOOKUP(MONTH(SAC_CORR!$F$2),'Simulador PDF'!M3:N15,2,0))</f>
        <v>JUNHO</v>
      </c>
      <c r="K35" s="59"/>
      <c r="L35" s="59"/>
      <c r="P35" s="9" t="s">
        <v>10481</v>
      </c>
      <c r="Q35" s="9"/>
      <c r="R35" s="9" t="s">
        <v>10606</v>
      </c>
      <c r="S35" s="9" t="str">
        <f t="shared" si="0"/>
        <v>@@@</v>
      </c>
      <c r="W35" s="195"/>
    </row>
    <row r="36" spans="2:23">
      <c r="B36" s="93" t="s">
        <v>293</v>
      </c>
      <c r="E36" s="82" t="s">
        <v>319</v>
      </c>
      <c r="F36" s="88"/>
      <c r="H36" s="82" t="s">
        <v>318</v>
      </c>
      <c r="I36" s="88">
        <f>YEAR(SAC_CORR!$F$2)</f>
        <v>2022</v>
      </c>
      <c r="K36" s="59"/>
      <c r="L36" s="59"/>
      <c r="P36" s="9" t="s">
        <v>10489</v>
      </c>
      <c r="Q36" s="9"/>
      <c r="R36" s="9" t="s">
        <v>10607</v>
      </c>
      <c r="S36" s="9" t="str">
        <f t="shared" si="0"/>
        <v>@@@</v>
      </c>
      <c r="W36" s="195"/>
    </row>
    <row r="37" spans="2:23">
      <c r="B37" s="82" t="s">
        <v>317</v>
      </c>
      <c r="C37" s="83" t="str">
        <f>Inputs!C24</f>
        <v>ELETRO VOLUNTARIOS LTDA</v>
      </c>
      <c r="E37" s="82" t="s">
        <v>316</v>
      </c>
      <c r="F37" s="515">
        <f>Inputs!D50</f>
        <v>141951</v>
      </c>
      <c r="K37" s="59"/>
      <c r="L37" s="59"/>
      <c r="P37" s="9" t="s">
        <v>10490</v>
      </c>
      <c r="Q37" s="9"/>
      <c r="R37" s="9" t="s">
        <v>10608</v>
      </c>
      <c r="S37" s="9" t="str">
        <f t="shared" si="0"/>
        <v>@@@</v>
      </c>
      <c r="W37" s="195"/>
    </row>
    <row r="38" spans="2:23">
      <c r="B38" s="82" t="s">
        <v>303</v>
      </c>
      <c r="C38" s="83" t="str">
        <f>Inputs!E24</f>
        <v>59.375.170/0001-01</v>
      </c>
      <c r="E38" s="82" t="s">
        <v>315</v>
      </c>
      <c r="F38" s="88"/>
      <c r="H38" s="84" t="s">
        <v>314</v>
      </c>
      <c r="K38" s="59"/>
      <c r="L38" s="59"/>
      <c r="P38" s="9" t="s">
        <v>10491</v>
      </c>
      <c r="Q38" s="9"/>
      <c r="R38" s="9" t="s">
        <v>10609</v>
      </c>
      <c r="S38" s="9" t="str">
        <f t="shared" si="0"/>
        <v>@@@</v>
      </c>
      <c r="W38" s="195"/>
    </row>
    <row r="39" spans="2:23">
      <c r="B39" s="82" t="s">
        <v>313</v>
      </c>
      <c r="C39" s="92">
        <f>Inputs!F24</f>
        <v>0</v>
      </c>
      <c r="E39" s="82" t="s">
        <v>312</v>
      </c>
      <c r="F39" s="88"/>
      <c r="H39" s="82" t="s">
        <v>84</v>
      </c>
      <c r="I39" s="91">
        <f ca="1">IFERROR('Simulador PDF'!$O$40,"")</f>
        <v>2.8095104164390289E-2</v>
      </c>
      <c r="P39" s="9" t="s">
        <v>10492</v>
      </c>
      <c r="Q39" s="9"/>
      <c r="R39" s="9" t="s">
        <v>10610</v>
      </c>
      <c r="S39" s="9" t="str">
        <f t="shared" si="0"/>
        <v>@@@</v>
      </c>
      <c r="W39" s="195"/>
    </row>
    <row r="40" spans="2:23">
      <c r="B40" s="82" t="s">
        <v>311</v>
      </c>
      <c r="C40" s="83"/>
      <c r="E40" s="82" t="s">
        <v>284</v>
      </c>
      <c r="F40" s="88" t="str">
        <f>Inputs!D46</f>
        <v>São Paulo</v>
      </c>
      <c r="P40" s="9" t="s">
        <v>10468</v>
      </c>
      <c r="Q40" s="9"/>
      <c r="R40" s="9" t="s">
        <v>10611</v>
      </c>
      <c r="S40" s="9" t="str">
        <f t="shared" si="0"/>
        <v>@@@</v>
      </c>
      <c r="W40" s="195"/>
    </row>
    <row r="41" spans="2:23">
      <c r="B41" s="82" t="s">
        <v>310</v>
      </c>
      <c r="C41" s="83"/>
      <c r="E41" s="82" t="s">
        <v>309</v>
      </c>
      <c r="F41" s="88" t="str">
        <f>Inputs!D47</f>
        <v>SP</v>
      </c>
      <c r="H41" s="84" t="s">
        <v>308</v>
      </c>
      <c r="P41" s="976" t="s">
        <v>10484</v>
      </c>
      <c r="Q41" s="976"/>
      <c r="R41" s="976" t="s">
        <v>10612</v>
      </c>
      <c r="S41" s="9" t="str">
        <f>IF(Q29&lt;&gt;"","","@@@")</f>
        <v>@@@</v>
      </c>
      <c r="W41" s="195"/>
    </row>
    <row r="42" spans="2:23">
      <c r="B42" s="82" t="s">
        <v>307</v>
      </c>
      <c r="C42" s="83">
        <f>Inputs!O18</f>
        <v>0</v>
      </c>
      <c r="E42" s="82" t="s">
        <v>306</v>
      </c>
      <c r="F42" s="90">
        <f>'Simulador PDF'!J25</f>
        <v>376000</v>
      </c>
      <c r="H42" s="82" t="s">
        <v>305</v>
      </c>
      <c r="I42" s="88"/>
      <c r="P42" s="976" t="s">
        <v>10485</v>
      </c>
      <c r="Q42" s="976"/>
      <c r="R42" s="976" t="s">
        <v>10613</v>
      </c>
      <c r="S42" s="9" t="str">
        <f>IF(Q29&lt;&gt;"","","@@@")</f>
        <v>@@@</v>
      </c>
      <c r="W42" s="195"/>
    </row>
    <row r="43" spans="2:23">
      <c r="B43" s="82" t="s">
        <v>304</v>
      </c>
      <c r="C43" s="83"/>
      <c r="H43" s="82" t="s">
        <v>303</v>
      </c>
      <c r="I43" s="88"/>
      <c r="P43" s="976" t="s">
        <v>10486</v>
      </c>
      <c r="Q43" s="976"/>
      <c r="R43" s="976" t="s">
        <v>10614</v>
      </c>
      <c r="S43" s="9" t="str">
        <f>IF(Q29&lt;&gt;"","","@@@")</f>
        <v>@@@</v>
      </c>
      <c r="W43" s="195"/>
    </row>
    <row r="44" spans="2:23">
      <c r="B44" s="82" t="s">
        <v>302</v>
      </c>
      <c r="H44" s="82" t="s">
        <v>301</v>
      </c>
      <c r="I44" s="88"/>
      <c r="P44" s="976" t="s">
        <v>10487</v>
      </c>
      <c r="Q44" s="976"/>
      <c r="R44" s="976" t="s">
        <v>10615</v>
      </c>
      <c r="S44" s="9" t="str">
        <f>IF(Q29&lt;&gt;"","","@@@")</f>
        <v>@@@</v>
      </c>
      <c r="W44" s="195"/>
    </row>
    <row r="45" spans="2:23">
      <c r="B45" s="89" t="s">
        <v>300</v>
      </c>
      <c r="C45" s="83"/>
      <c r="E45" s="84" t="s">
        <v>299</v>
      </c>
      <c r="H45" s="82" t="s">
        <v>298</v>
      </c>
      <c r="I45" s="88"/>
      <c r="P45" s="975" t="s">
        <v>10493</v>
      </c>
      <c r="Q45" s="975"/>
      <c r="R45" s="975" t="s">
        <v>10616</v>
      </c>
      <c r="S45" s="9" t="str">
        <f>IF(Q45="","@@@",Q45)</f>
        <v>@@@</v>
      </c>
      <c r="W45" s="195"/>
    </row>
    <row r="46" spans="2:23">
      <c r="B46" s="89" t="s">
        <v>289</v>
      </c>
      <c r="C46" s="83"/>
      <c r="E46" s="82" t="s">
        <v>297</v>
      </c>
      <c r="F46" s="88" t="str">
        <f>C9</f>
        <v>AGOSTINHO FRANCISCO DE SOUZA</v>
      </c>
      <c r="H46" s="82" t="s">
        <v>296</v>
      </c>
      <c r="I46" s="88"/>
      <c r="P46" s="975" t="s">
        <v>10494</v>
      </c>
      <c r="Q46" s="975"/>
      <c r="R46" s="975" t="s">
        <v>10617</v>
      </c>
      <c r="S46" s="9" t="str">
        <f t="shared" si="0"/>
        <v>@@@</v>
      </c>
      <c r="W46" s="195"/>
    </row>
    <row r="47" spans="2:23">
      <c r="B47" s="89" t="s">
        <v>295</v>
      </c>
      <c r="C47" s="83"/>
      <c r="E47" s="82" t="s">
        <v>291</v>
      </c>
      <c r="F47" s="87">
        <f>Inputs!H22/Inputs!H29</f>
        <v>1</v>
      </c>
      <c r="P47" s="975" t="s">
        <v>10495</v>
      </c>
      <c r="Q47" s="975"/>
      <c r="R47" s="975" t="s">
        <v>10618</v>
      </c>
      <c r="S47" s="9" t="str">
        <f t="shared" si="0"/>
        <v>@@@</v>
      </c>
      <c r="W47" s="195"/>
    </row>
    <row r="48" spans="2:23">
      <c r="E48" s="82" t="s">
        <v>294</v>
      </c>
      <c r="F48" s="88" t="str">
        <f>C23</f>
        <v>MARIETE DIEGUES DE SOUZA</v>
      </c>
      <c r="P48" s="975" t="s">
        <v>10496</v>
      </c>
      <c r="Q48" s="975"/>
      <c r="R48" s="975" t="s">
        <v>10619</v>
      </c>
      <c r="S48" s="9" t="str">
        <f t="shared" si="0"/>
        <v>@@@</v>
      </c>
      <c r="W48" s="195"/>
    </row>
    <row r="49" spans="2:23">
      <c r="E49" s="82" t="s">
        <v>291</v>
      </c>
      <c r="F49" s="87">
        <f>Inputs!H23/Inputs!H29</f>
        <v>0</v>
      </c>
      <c r="P49" s="975" t="s">
        <v>10497</v>
      </c>
      <c r="Q49" s="975"/>
      <c r="R49" s="975" t="s">
        <v>10620</v>
      </c>
      <c r="S49" s="9" t="str">
        <f t="shared" si="0"/>
        <v>@@@</v>
      </c>
      <c r="W49" s="195"/>
    </row>
    <row r="50" spans="2:23">
      <c r="E50" s="82" t="s">
        <v>293</v>
      </c>
      <c r="F50" s="88" t="str">
        <f>C37</f>
        <v>ELETRO VOLUNTARIOS LTDA</v>
      </c>
      <c r="P50" s="975" t="s">
        <v>10498</v>
      </c>
      <c r="Q50" s="975"/>
      <c r="R50" s="975" t="s">
        <v>10621</v>
      </c>
      <c r="S50" s="9" t="str">
        <f t="shared" si="0"/>
        <v>@@@</v>
      </c>
      <c r="W50" s="195"/>
    </row>
    <row r="51" spans="2:23">
      <c r="B51" s="84" t="s">
        <v>292</v>
      </c>
      <c r="E51" s="82" t="s">
        <v>291</v>
      </c>
      <c r="F51" s="87">
        <f>Inputs!H24/Inputs!H29</f>
        <v>0</v>
      </c>
      <c r="P51" s="975" t="s">
        <v>10499</v>
      </c>
      <c r="Q51" s="975"/>
      <c r="R51" s="975" t="s">
        <v>10622</v>
      </c>
      <c r="S51" s="9" t="str">
        <f t="shared" si="0"/>
        <v>@@@</v>
      </c>
      <c r="W51" s="195"/>
    </row>
    <row r="52" spans="2:23">
      <c r="B52" s="82" t="s">
        <v>290</v>
      </c>
      <c r="C52" s="83"/>
      <c r="P52" s="975" t="s">
        <v>10500</v>
      </c>
      <c r="Q52" s="975"/>
      <c r="R52" s="975" t="s">
        <v>10623</v>
      </c>
      <c r="S52" s="9" t="str">
        <f t="shared" si="0"/>
        <v>@@@</v>
      </c>
      <c r="W52" s="195"/>
    </row>
    <row r="53" spans="2:23">
      <c r="B53" s="82" t="s">
        <v>289</v>
      </c>
      <c r="C53" s="83"/>
      <c r="I53" t="s">
        <v>288</v>
      </c>
      <c r="P53" s="975" t="s">
        <v>10501</v>
      </c>
      <c r="Q53" s="975"/>
      <c r="R53" s="975" t="s">
        <v>10624</v>
      </c>
      <c r="S53" s="9" t="str">
        <f t="shared" si="0"/>
        <v>@@@</v>
      </c>
      <c r="W53" s="195"/>
    </row>
    <row r="54" spans="2:23">
      <c r="B54" s="82" t="s">
        <v>287</v>
      </c>
      <c r="C54" s="83"/>
      <c r="E54" s="86" t="s">
        <v>286</v>
      </c>
      <c r="F54" s="85">
        <f>F47+F49-1</f>
        <v>0</v>
      </c>
      <c r="P54" s="975" t="s">
        <v>10502</v>
      </c>
      <c r="Q54" s="975"/>
      <c r="R54" s="975" t="s">
        <v>10625</v>
      </c>
      <c r="S54" s="9" t="str">
        <f t="shared" si="0"/>
        <v>@@@</v>
      </c>
      <c r="W54" s="195"/>
    </row>
    <row r="55" spans="2:23" ht="15.75" thickBot="1">
      <c r="B55" s="82" t="s">
        <v>285</v>
      </c>
      <c r="C55" s="83"/>
      <c r="P55" s="975" t="s">
        <v>10503</v>
      </c>
      <c r="Q55" s="975"/>
      <c r="R55" s="975" t="s">
        <v>10626</v>
      </c>
      <c r="S55" s="9" t="str">
        <f t="shared" si="0"/>
        <v>@@@</v>
      </c>
      <c r="W55" s="195"/>
    </row>
    <row r="56" spans="2:23" ht="15.75" thickBot="1">
      <c r="B56" s="82" t="s">
        <v>284</v>
      </c>
      <c r="C56" s="83"/>
      <c r="E56" s="80" t="str">
        <f>Inputs!V43</f>
        <v>AGOSTINHO FRANCISCO DE SOUZA</v>
      </c>
      <c r="F56" s="79"/>
      <c r="I56" s="80" t="str">
        <f>Inputs!V54</f>
        <v>MARIETE DIEGUES DE SOUZA</v>
      </c>
      <c r="J56" s="79"/>
      <c r="L56" s="80" t="str">
        <f>Inputs!V65</f>
        <v>ELETRO VOLUNTARIOS LTDA</v>
      </c>
      <c r="M56" s="79"/>
      <c r="P56" s="975" t="s">
        <v>10504</v>
      </c>
      <c r="Q56" s="975"/>
      <c r="R56" s="975" t="s">
        <v>10627</v>
      </c>
      <c r="S56" s="9" t="str">
        <f t="shared" si="0"/>
        <v>@@@</v>
      </c>
      <c r="W56" s="195"/>
    </row>
    <row r="57" spans="2:23">
      <c r="B57" s="82" t="s">
        <v>283</v>
      </c>
      <c r="C57" s="83"/>
      <c r="E57" s="77" t="str">
        <f>Inputs!V44</f>
        <v>Cartão de crédito - fatura pacr</v>
      </c>
      <c r="F57" s="78">
        <f>Inputs!AK44</f>
        <v>0</v>
      </c>
      <c r="I57" s="77" t="str">
        <f>Inputs!V55</f>
        <v>Crédito Pessoal</v>
      </c>
      <c r="J57" s="78">
        <f>Inputs!AK55</f>
        <v>0</v>
      </c>
      <c r="L57" s="77" t="str">
        <f>Inputs!V66</f>
        <v>Crédito Pessoal</v>
      </c>
      <c r="M57" s="78">
        <f>Inputs!AK66</f>
        <v>0</v>
      </c>
      <c r="P57" s="975" t="s">
        <v>10505</v>
      </c>
      <c r="Q57" s="975"/>
      <c r="R57" s="975" t="s">
        <v>10628</v>
      </c>
      <c r="S57" s="9" t="str">
        <f t="shared" si="0"/>
        <v>@@@</v>
      </c>
      <c r="W57" s="195"/>
    </row>
    <row r="58" spans="2:23">
      <c r="B58" s="82" t="s">
        <v>282</v>
      </c>
      <c r="C58" s="83"/>
      <c r="E58" s="77" t="str">
        <f>Inputs!V45</f>
        <v xml:space="preserve">Crédito Pessoal s/ Consignação </v>
      </c>
      <c r="F58" s="76">
        <f>Inputs!AK45</f>
        <v>0</v>
      </c>
      <c r="I58" s="77" t="str">
        <f>Inputs!V56</f>
        <v xml:space="preserve">Crédito Pessoal s/ Consignação </v>
      </c>
      <c r="J58" s="76">
        <f>Inputs!AK56</f>
        <v>0</v>
      </c>
      <c r="L58" s="77" t="str">
        <f>Inputs!V67</f>
        <v xml:space="preserve">Crédito Pessoal s/ Consignação </v>
      </c>
      <c r="M58" s="76">
        <f>Inputs!AK67</f>
        <v>0</v>
      </c>
      <c r="P58" s="975" t="s">
        <v>10506</v>
      </c>
      <c r="Q58" s="975"/>
      <c r="R58" s="975" t="s">
        <v>10629</v>
      </c>
      <c r="S58" s="9" t="str">
        <f t="shared" si="0"/>
        <v>@@@</v>
      </c>
      <c r="W58" s="195"/>
    </row>
    <row r="59" spans="2:23">
      <c r="E59" s="77" t="str">
        <f>Inputs!V46</f>
        <v>Cheque especial</v>
      </c>
      <c r="F59" s="76">
        <f>Inputs!AK46</f>
        <v>0</v>
      </c>
      <c r="I59" s="77" t="str">
        <f>Inputs!V57</f>
        <v>Cartão de crédito</v>
      </c>
      <c r="J59" s="76">
        <f>Inputs!AK57</f>
        <v>45.6</v>
      </c>
      <c r="L59" s="77" t="str">
        <f>Inputs!V68</f>
        <v>Cheque especial</v>
      </c>
      <c r="M59" s="76">
        <f>Inputs!AK68</f>
        <v>0</v>
      </c>
      <c r="P59" s="975" t="s">
        <v>10507</v>
      </c>
      <c r="Q59" s="975"/>
      <c r="R59" s="975" t="s">
        <v>10630</v>
      </c>
      <c r="S59" s="9" t="str">
        <f t="shared" si="0"/>
        <v>@@@</v>
      </c>
      <c r="W59" s="195"/>
    </row>
    <row r="60" spans="2:23">
      <c r="B60" s="84" t="s">
        <v>281</v>
      </c>
      <c r="E60" s="77" t="str">
        <f>Inputs!V47</f>
        <v>Cartão de crédito</v>
      </c>
      <c r="F60" s="76">
        <f>Inputs!AK47</f>
        <v>0</v>
      </c>
      <c r="I60" s="77" t="str">
        <f>Inputs!V58</f>
        <v>Cartão de crédito</v>
      </c>
      <c r="J60" s="76">
        <f>Inputs!AK58</f>
        <v>0</v>
      </c>
      <c r="L60" s="77" t="str">
        <f>Inputs!V69</f>
        <v>Cartão de crédito</v>
      </c>
      <c r="M60" s="76">
        <f>Inputs!AK69</f>
        <v>0</v>
      </c>
      <c r="P60" s="975" t="s">
        <v>10508</v>
      </c>
      <c r="Q60" s="975"/>
      <c r="R60" s="975" t="s">
        <v>10631</v>
      </c>
      <c r="S60" s="9" t="str">
        <f t="shared" si="0"/>
        <v>@@@</v>
      </c>
      <c r="W60" s="195"/>
    </row>
    <row r="61" spans="2:23">
      <c r="B61" s="82" t="s">
        <v>280</v>
      </c>
      <c r="C61" s="83"/>
      <c r="E61" s="77" t="str">
        <f>Inputs!V48</f>
        <v>Financiamento de Imóvel</v>
      </c>
      <c r="F61" s="76">
        <f>Inputs!AK48</f>
        <v>0</v>
      </c>
      <c r="I61" s="77" t="str">
        <f>Inputs!V59</f>
        <v>Financiamento de Imóvel</v>
      </c>
      <c r="J61" s="76">
        <f>Inputs!AK59</f>
        <v>0</v>
      </c>
      <c r="L61" s="77" t="str">
        <f>Inputs!V70</f>
        <v>Financiamento de Imóvel</v>
      </c>
      <c r="M61" s="76">
        <f>Inputs!AK70</f>
        <v>0</v>
      </c>
      <c r="P61" s="975" t="s">
        <v>10509</v>
      </c>
      <c r="Q61" s="975"/>
      <c r="R61" s="975" t="s">
        <v>10632</v>
      </c>
      <c r="S61" s="9" t="str">
        <f t="shared" si="0"/>
        <v>@@@</v>
      </c>
      <c r="W61" s="195"/>
    </row>
    <row r="62" spans="2:23">
      <c r="B62" s="82" t="s">
        <v>279</v>
      </c>
      <c r="C62" s="81"/>
      <c r="E62" s="77" t="str">
        <f>Inputs!V49</f>
        <v>Financiamento de Automóvel</v>
      </c>
      <c r="F62" s="76">
        <f>Inputs!AK49</f>
        <v>0</v>
      </c>
      <c r="I62" s="77" t="str">
        <f>Inputs!V60</f>
        <v>Financiamento de Automóvel</v>
      </c>
      <c r="J62" s="76">
        <f>Inputs!AK60</f>
        <v>0</v>
      </c>
      <c r="L62" s="77" t="str">
        <f>Inputs!V71</f>
        <v>Financiamento de Automóvel</v>
      </c>
      <c r="M62" s="76">
        <f>Inputs!AK71</f>
        <v>0</v>
      </c>
      <c r="P62" s="976" t="s">
        <v>10510</v>
      </c>
      <c r="Q62" s="976"/>
      <c r="R62" s="976" t="s">
        <v>10633</v>
      </c>
      <c r="S62" s="9" t="str">
        <f>IF(Q45&lt;&gt;"","","@@@")</f>
        <v>@@@</v>
      </c>
      <c r="W62" s="195"/>
    </row>
    <row r="63" spans="2:23">
      <c r="E63" s="77" t="str">
        <f>Inputs!V50</f>
        <v>Outros</v>
      </c>
      <c r="F63" s="76">
        <f>Inputs!AK50</f>
        <v>0</v>
      </c>
      <c r="I63" s="77" t="str">
        <f>Inputs!V61</f>
        <v>Outros</v>
      </c>
      <c r="J63" s="76">
        <f>Inputs!AK61</f>
        <v>0</v>
      </c>
      <c r="L63" s="77" t="str">
        <f>Inputs!V72</f>
        <v>Outros</v>
      </c>
      <c r="M63" s="76">
        <f>Inputs!AK72</f>
        <v>0</v>
      </c>
      <c r="P63" s="976" t="s">
        <v>10511</v>
      </c>
      <c r="Q63" s="976"/>
      <c r="R63" s="976" t="s">
        <v>10634</v>
      </c>
      <c r="S63" s="9" t="str">
        <f>IF(Q45&lt;&gt;"","","@@@")</f>
        <v>@@@</v>
      </c>
      <c r="W63" s="195"/>
    </row>
    <row r="64" spans="2:23" ht="15.75" thickBot="1">
      <c r="E64" s="75" t="s">
        <v>278</v>
      </c>
      <c r="F64" s="74">
        <f>Inputs!AK51</f>
        <v>0</v>
      </c>
      <c r="I64" s="75" t="s">
        <v>278</v>
      </c>
      <c r="J64" s="74">
        <f>Inputs!AK62</f>
        <v>45.6</v>
      </c>
      <c r="L64" s="75" t="s">
        <v>278</v>
      </c>
      <c r="M64" s="74">
        <f>Inputs!AK73</f>
        <v>0</v>
      </c>
      <c r="P64" s="976" t="s">
        <v>10512</v>
      </c>
      <c r="Q64" s="976"/>
      <c r="R64" s="976" t="s">
        <v>10635</v>
      </c>
      <c r="S64" s="9" t="str">
        <f>IF(Q45&lt;&gt;"","","@@@")</f>
        <v>@@@</v>
      </c>
      <c r="W64" s="195"/>
    </row>
    <row r="65" spans="5:23" ht="15.75" thickBot="1">
      <c r="P65" s="976" t="s">
        <v>10513</v>
      </c>
      <c r="Q65" s="976"/>
      <c r="R65" s="976" t="s">
        <v>10636</v>
      </c>
      <c r="S65" s="9" t="str">
        <f>IF(Q45&lt;&gt;"","","@@@")</f>
        <v>@@@</v>
      </c>
      <c r="W65" s="195"/>
    </row>
    <row r="66" spans="5:23" ht="15.75" thickBot="1">
      <c r="E66" s="80" t="str">
        <f>Inputs!V76</f>
        <v/>
      </c>
      <c r="F66" s="79"/>
      <c r="I66" s="80" t="str">
        <f>Inputs!V87</f>
        <v/>
      </c>
      <c r="J66" s="79"/>
      <c r="L66" s="80" t="str">
        <f>Inputs!V98</f>
        <v/>
      </c>
      <c r="M66" s="79"/>
      <c r="P66" s="9" t="s">
        <v>10514</v>
      </c>
      <c r="Q66" s="9"/>
      <c r="R66" s="9" t="s">
        <v>10637</v>
      </c>
      <c r="S66" s="9" t="str">
        <f t="shared" si="0"/>
        <v>@@@</v>
      </c>
      <c r="W66" s="195"/>
    </row>
    <row r="67" spans="5:23">
      <c r="E67" s="77" t="str">
        <f>Inputs!V77</f>
        <v>Crédito Pessoal</v>
      </c>
      <c r="F67" s="78">
        <f>Inputs!AK77</f>
        <v>0</v>
      </c>
      <c r="I67" s="77" t="str">
        <f>Inputs!V88</f>
        <v>Crédito Pessoal</v>
      </c>
      <c r="J67" s="78">
        <f>Inputs!AK88</f>
        <v>0</v>
      </c>
      <c r="L67" s="77" t="str">
        <f>Inputs!V99</f>
        <v>Crédito Pessoal</v>
      </c>
      <c r="M67" s="78">
        <f>Inputs!AK99</f>
        <v>0</v>
      </c>
      <c r="P67" s="9" t="s">
        <v>10502</v>
      </c>
      <c r="Q67" s="9"/>
      <c r="R67" s="9" t="s">
        <v>10638</v>
      </c>
      <c r="S67" s="9" t="str">
        <f t="shared" si="0"/>
        <v>@@@</v>
      </c>
      <c r="W67" s="195"/>
    </row>
    <row r="68" spans="5:23">
      <c r="E68" s="77" t="str">
        <f>Inputs!V78</f>
        <v xml:space="preserve">Crédito Pessoal s/ Consignação </v>
      </c>
      <c r="F68" s="76">
        <f>Inputs!AK78</f>
        <v>0</v>
      </c>
      <c r="I68" s="77" t="str">
        <f>Inputs!V89</f>
        <v xml:space="preserve">Crédito Pessoal s/ Consignação </v>
      </c>
      <c r="J68" s="76">
        <f>Inputs!AK89</f>
        <v>0</v>
      </c>
      <c r="L68" s="77" t="str">
        <f>Inputs!V100</f>
        <v xml:space="preserve">Crédito Pessoal s/ Consignação </v>
      </c>
      <c r="M68" s="76">
        <f>Inputs!AK100</f>
        <v>0</v>
      </c>
      <c r="P68" s="9" t="s">
        <v>10503</v>
      </c>
      <c r="Q68" s="9"/>
      <c r="R68" s="9" t="s">
        <v>10639</v>
      </c>
      <c r="S68" s="9" t="str">
        <f t="shared" si="0"/>
        <v>@@@</v>
      </c>
      <c r="W68" s="195"/>
    </row>
    <row r="69" spans="5:23">
      <c r="E69" s="77" t="str">
        <f>Inputs!V79</f>
        <v>Cheque especial</v>
      </c>
      <c r="F69" s="76">
        <f>Inputs!AK79</f>
        <v>0</v>
      </c>
      <c r="I69" s="77" t="str">
        <f>Inputs!V90</f>
        <v>Cheque especial</v>
      </c>
      <c r="J69" s="76">
        <f>Inputs!AK90</f>
        <v>0</v>
      </c>
      <c r="L69" s="77" t="str">
        <f>Inputs!V101</f>
        <v>Cheque especial</v>
      </c>
      <c r="M69" s="76">
        <f>Inputs!AK101</f>
        <v>0</v>
      </c>
      <c r="P69" s="9" t="s">
        <v>10504</v>
      </c>
      <c r="Q69" s="9"/>
      <c r="R69" s="9" t="s">
        <v>10640</v>
      </c>
      <c r="S69" s="9" t="str">
        <f t="shared" si="0"/>
        <v>@@@</v>
      </c>
      <c r="W69" s="195"/>
    </row>
    <row r="70" spans="5:23">
      <c r="E70" s="77" t="str">
        <f>Inputs!V80</f>
        <v>Cartão de crédito</v>
      </c>
      <c r="F70" s="76">
        <f>Inputs!AK80</f>
        <v>0</v>
      </c>
      <c r="I70" s="77" t="str">
        <f>Inputs!V91</f>
        <v>Cartão de crédito</v>
      </c>
      <c r="J70" s="76">
        <f>Inputs!AK91</f>
        <v>0</v>
      </c>
      <c r="L70" s="77" t="str">
        <f>Inputs!V102</f>
        <v>Cartão de crédito</v>
      </c>
      <c r="M70" s="76">
        <f>Inputs!AK102</f>
        <v>0</v>
      </c>
      <c r="P70" s="9" t="s">
        <v>10505</v>
      </c>
      <c r="Q70" s="9"/>
      <c r="R70" s="9" t="s">
        <v>10641</v>
      </c>
      <c r="S70" s="9" t="str">
        <f t="shared" si="0"/>
        <v>@@@</v>
      </c>
      <c r="W70" s="195"/>
    </row>
    <row r="71" spans="5:23">
      <c r="E71" s="77" t="str">
        <f>Inputs!V81</f>
        <v>Financiamento de Imóvel</v>
      </c>
      <c r="F71" s="76">
        <f>Inputs!AK81</f>
        <v>0</v>
      </c>
      <c r="I71" s="77" t="str">
        <f>Inputs!V92</f>
        <v>Financiamento de Imóvel</v>
      </c>
      <c r="J71" s="76">
        <f>Inputs!AK92</f>
        <v>0</v>
      </c>
      <c r="L71" s="77" t="str">
        <f>Inputs!V103</f>
        <v>Financiamento de Imóvel</v>
      </c>
      <c r="M71" s="76">
        <f>Inputs!AK103</f>
        <v>0</v>
      </c>
      <c r="P71" s="9" t="s">
        <v>10506</v>
      </c>
      <c r="Q71" s="9"/>
      <c r="R71" s="9" t="s">
        <v>10642</v>
      </c>
      <c r="S71" s="9" t="str">
        <f t="shared" si="0"/>
        <v>@@@</v>
      </c>
      <c r="W71" s="195"/>
    </row>
    <row r="72" spans="5:23">
      <c r="E72" s="77" t="str">
        <f>Inputs!V82</f>
        <v>Financiamento de Automóvel</v>
      </c>
      <c r="F72" s="76">
        <f>Inputs!AK82</f>
        <v>0</v>
      </c>
      <c r="I72" s="77" t="str">
        <f>Inputs!V93</f>
        <v>Financiamento de Automóvel</v>
      </c>
      <c r="J72" s="76">
        <f>Inputs!AK93</f>
        <v>0</v>
      </c>
      <c r="L72" s="77" t="str">
        <f>Inputs!V104</f>
        <v>Financiamento de Automóvel</v>
      </c>
      <c r="M72" s="76">
        <f>Inputs!AK104</f>
        <v>0</v>
      </c>
      <c r="P72" s="9" t="s">
        <v>10507</v>
      </c>
      <c r="Q72" s="9"/>
      <c r="R72" s="9" t="s">
        <v>10643</v>
      </c>
      <c r="S72" s="9" t="str">
        <f t="shared" si="0"/>
        <v>@@@</v>
      </c>
      <c r="W72" s="195"/>
    </row>
    <row r="73" spans="5:23">
      <c r="E73" s="77" t="str">
        <f>Inputs!V83</f>
        <v>Outros</v>
      </c>
      <c r="F73" s="76">
        <f>Inputs!AK83</f>
        <v>0</v>
      </c>
      <c r="I73" s="77" t="str">
        <f>Inputs!V94</f>
        <v>Outros</v>
      </c>
      <c r="J73" s="76">
        <f>Inputs!AK94</f>
        <v>0</v>
      </c>
      <c r="L73" s="77" t="str">
        <f>Inputs!V105</f>
        <v>Outros</v>
      </c>
      <c r="M73" s="76">
        <f>Inputs!AK105</f>
        <v>0</v>
      </c>
      <c r="P73" s="9" t="s">
        <v>10515</v>
      </c>
      <c r="Q73" s="9"/>
      <c r="R73" s="9" t="s">
        <v>10644</v>
      </c>
      <c r="S73" s="9" t="str">
        <f t="shared" ref="S73:S77" si="2">IF(Q73="","@@@",Q73)</f>
        <v>@@@</v>
      </c>
      <c r="W73" s="195"/>
    </row>
    <row r="74" spans="5:23" ht="15.75" thickBot="1">
      <c r="E74" s="75" t="s">
        <v>278</v>
      </c>
      <c r="F74" s="74">
        <f>Inputs!AK84</f>
        <v>0</v>
      </c>
      <c r="I74" s="75" t="s">
        <v>278</v>
      </c>
      <c r="J74" s="74">
        <f>Inputs!AK95</f>
        <v>0</v>
      </c>
      <c r="L74" s="75" t="s">
        <v>278</v>
      </c>
      <c r="M74" s="74">
        <f>Inputs!AK106</f>
        <v>0</v>
      </c>
      <c r="P74" s="9" t="s">
        <v>10516</v>
      </c>
      <c r="Q74" s="9"/>
      <c r="R74" s="9" t="s">
        <v>10645</v>
      </c>
      <c r="S74" s="9" t="str">
        <f t="shared" si="2"/>
        <v>@@@</v>
      </c>
      <c r="W74" s="195"/>
    </row>
    <row r="75" spans="5:23">
      <c r="P75" s="9" t="s">
        <v>10517</v>
      </c>
      <c r="Q75" s="9"/>
      <c r="R75" s="9" t="s">
        <v>10646</v>
      </c>
      <c r="S75" s="9" t="str">
        <f t="shared" si="2"/>
        <v>@@@</v>
      </c>
      <c r="W75" s="195"/>
    </row>
    <row r="76" spans="5:23">
      <c r="P76" s="9" t="s">
        <v>10518</v>
      </c>
      <c r="Q76" s="9"/>
      <c r="R76" s="9" t="s">
        <v>10647</v>
      </c>
      <c r="S76" s="9" t="str">
        <f t="shared" si="2"/>
        <v>@@@</v>
      </c>
      <c r="W76" s="195"/>
    </row>
    <row r="77" spans="5:23">
      <c r="P77" s="9" t="s">
        <v>10494</v>
      </c>
      <c r="Q77" s="9"/>
      <c r="R77" s="9" t="s">
        <v>10648</v>
      </c>
      <c r="S77" s="9" t="str">
        <f t="shared" si="2"/>
        <v>@@@</v>
      </c>
      <c r="W77" s="195"/>
    </row>
    <row r="78" spans="5:23">
      <c r="P78" s="976" t="s">
        <v>10510</v>
      </c>
      <c r="Q78" s="976"/>
      <c r="R78" s="976" t="s">
        <v>10649</v>
      </c>
      <c r="S78" s="9" t="str">
        <f>IF(Q66&lt;&gt;"","","@@@")</f>
        <v>@@@</v>
      </c>
      <c r="W78" s="195"/>
    </row>
    <row r="79" spans="5:23">
      <c r="P79" s="976" t="s">
        <v>10511</v>
      </c>
      <c r="Q79" s="976"/>
      <c r="R79" s="976" t="s">
        <v>10650</v>
      </c>
      <c r="S79" s="9" t="str">
        <f>IF(Q66&lt;&gt;"","","@@@")</f>
        <v>@@@</v>
      </c>
      <c r="W79" s="195"/>
    </row>
    <row r="80" spans="5:23">
      <c r="P80" s="976" t="s">
        <v>10512</v>
      </c>
      <c r="Q80" s="976"/>
      <c r="R80" s="976" t="s">
        <v>10651</v>
      </c>
      <c r="S80" s="9" t="str">
        <f>IF(Q66&lt;&gt;"","","@@@")</f>
        <v>@@@</v>
      </c>
      <c r="W80" s="195"/>
    </row>
    <row r="81" spans="16:23">
      <c r="P81" s="976" t="s">
        <v>10513</v>
      </c>
      <c r="Q81" s="976"/>
      <c r="R81" s="976" t="s">
        <v>10652</v>
      </c>
      <c r="S81" s="9" t="str">
        <f>IF(Q66&lt;&gt;"","","@@@")</f>
        <v>@@@</v>
      </c>
      <c r="W81" s="195"/>
    </row>
    <row r="82" spans="16:23">
      <c r="P82" s="975" t="s">
        <v>10519</v>
      </c>
      <c r="Q82" s="975"/>
      <c r="R82" s="975" t="s">
        <v>10653</v>
      </c>
      <c r="S82" s="9" t="str">
        <f>IF(Q82="","@@@",Q82)</f>
        <v>@@@</v>
      </c>
      <c r="W82" s="195"/>
    </row>
    <row r="83" spans="16:23">
      <c r="P83" s="975" t="s">
        <v>10520</v>
      </c>
      <c r="Q83" s="975"/>
      <c r="R83" s="975" t="s">
        <v>10654</v>
      </c>
      <c r="S83" s="9" t="str">
        <f t="shared" ref="S83:S114" si="3">IF(Q83="","@@@",Q83)</f>
        <v>@@@</v>
      </c>
      <c r="W83" s="195"/>
    </row>
    <row r="84" spans="16:23">
      <c r="P84" s="975" t="s">
        <v>10521</v>
      </c>
      <c r="Q84" s="975"/>
      <c r="R84" s="975" t="s">
        <v>10655</v>
      </c>
      <c r="S84" s="9" t="str">
        <f t="shared" si="3"/>
        <v>@@@</v>
      </c>
      <c r="W84" s="195"/>
    </row>
    <row r="85" spans="16:23">
      <c r="P85" s="975" t="s">
        <v>10522</v>
      </c>
      <c r="Q85" s="975"/>
      <c r="R85" s="975" t="s">
        <v>10656</v>
      </c>
      <c r="S85" s="9" t="str">
        <f t="shared" si="3"/>
        <v>@@@</v>
      </c>
      <c r="W85" s="195"/>
    </row>
    <row r="86" spans="16:23">
      <c r="P86" s="975" t="s">
        <v>10523</v>
      </c>
      <c r="Q86" s="975"/>
      <c r="R86" s="975" t="s">
        <v>10657</v>
      </c>
      <c r="S86" s="9" t="str">
        <f t="shared" si="3"/>
        <v>@@@</v>
      </c>
      <c r="W86" s="195"/>
    </row>
    <row r="87" spans="16:23">
      <c r="P87" s="975" t="s">
        <v>10524</v>
      </c>
      <c r="Q87" s="975"/>
      <c r="R87" s="975" t="s">
        <v>10658</v>
      </c>
      <c r="S87" s="9" t="str">
        <f t="shared" si="3"/>
        <v>@@@</v>
      </c>
      <c r="W87" s="195"/>
    </row>
    <row r="88" spans="16:23">
      <c r="P88" s="975" t="s">
        <v>10525</v>
      </c>
      <c r="Q88" s="975"/>
      <c r="R88" s="975" t="s">
        <v>10659</v>
      </c>
      <c r="S88" s="9" t="str">
        <f t="shared" si="3"/>
        <v>@@@</v>
      </c>
      <c r="W88" s="195"/>
    </row>
    <row r="89" spans="16:23">
      <c r="P89" s="975" t="s">
        <v>10526</v>
      </c>
      <c r="Q89" s="975"/>
      <c r="R89" s="975" t="s">
        <v>10660</v>
      </c>
      <c r="S89" s="9" t="str">
        <f t="shared" si="3"/>
        <v>@@@</v>
      </c>
      <c r="W89" s="195"/>
    </row>
    <row r="90" spans="16:23">
      <c r="P90" s="975" t="s">
        <v>10527</v>
      </c>
      <c r="Q90" s="975"/>
      <c r="R90" s="975" t="s">
        <v>10661</v>
      </c>
      <c r="S90" s="9" t="str">
        <f t="shared" si="3"/>
        <v>@@@</v>
      </c>
      <c r="W90" s="195"/>
    </row>
    <row r="91" spans="16:23">
      <c r="P91" s="975" t="s">
        <v>10528</v>
      </c>
      <c r="Q91" s="975"/>
      <c r="R91" s="975" t="s">
        <v>10662</v>
      </c>
      <c r="S91" s="9" t="str">
        <f t="shared" si="3"/>
        <v>@@@</v>
      </c>
      <c r="W91" s="195"/>
    </row>
    <row r="92" spans="16:23">
      <c r="P92" s="975" t="s">
        <v>10529</v>
      </c>
      <c r="Q92" s="975"/>
      <c r="R92" s="975" t="s">
        <v>10663</v>
      </c>
      <c r="S92" s="9" t="str">
        <f t="shared" si="3"/>
        <v>@@@</v>
      </c>
      <c r="W92" s="195"/>
    </row>
    <row r="93" spans="16:23">
      <c r="P93" s="975" t="s">
        <v>10530</v>
      </c>
      <c r="Q93" s="975"/>
      <c r="R93" s="975" t="s">
        <v>10664</v>
      </c>
      <c r="S93" s="9" t="str">
        <f t="shared" si="3"/>
        <v>@@@</v>
      </c>
      <c r="W93" s="195"/>
    </row>
    <row r="94" spans="16:23">
      <c r="P94" s="975" t="s">
        <v>10531</v>
      </c>
      <c r="Q94" s="975"/>
      <c r="R94" s="975" t="s">
        <v>10665</v>
      </c>
      <c r="S94" s="9" t="str">
        <f t="shared" si="3"/>
        <v>@@@</v>
      </c>
      <c r="W94" s="195"/>
    </row>
    <row r="95" spans="16:23">
      <c r="P95" s="975" t="s">
        <v>10532</v>
      </c>
      <c r="Q95" s="975"/>
      <c r="R95" s="975" t="s">
        <v>10666</v>
      </c>
      <c r="S95" s="9" t="str">
        <f t="shared" si="3"/>
        <v>@@@</v>
      </c>
      <c r="W95" s="195"/>
    </row>
    <row r="96" spans="16:23">
      <c r="P96" s="975" t="s">
        <v>10533</v>
      </c>
      <c r="Q96" s="975"/>
      <c r="R96" s="975" t="s">
        <v>10667</v>
      </c>
      <c r="S96" s="9" t="str">
        <f t="shared" si="3"/>
        <v>@@@</v>
      </c>
      <c r="W96" s="195"/>
    </row>
    <row r="97" spans="16:23">
      <c r="P97" s="975" t="s">
        <v>10534</v>
      </c>
      <c r="Q97" s="975"/>
      <c r="R97" s="975" t="s">
        <v>10668</v>
      </c>
      <c r="S97" s="9" t="str">
        <f t="shared" si="3"/>
        <v>@@@</v>
      </c>
      <c r="W97" s="195"/>
    </row>
    <row r="98" spans="16:23">
      <c r="P98" s="975" t="s">
        <v>10535</v>
      </c>
      <c r="Q98" s="975"/>
      <c r="R98" s="975" t="s">
        <v>10669</v>
      </c>
      <c r="S98" s="9" t="str">
        <f t="shared" si="3"/>
        <v>@@@</v>
      </c>
      <c r="W98" s="195"/>
    </row>
    <row r="99" spans="16:23">
      <c r="P99" s="976" t="s">
        <v>10536</v>
      </c>
      <c r="Q99" s="976"/>
      <c r="R99" s="976" t="s">
        <v>10670</v>
      </c>
      <c r="S99" s="9" t="str">
        <f>IF(Q82&lt;&gt;"","","@@@")</f>
        <v>@@@</v>
      </c>
      <c r="W99" s="195"/>
    </row>
    <row r="100" spans="16:23">
      <c r="P100" s="976" t="s">
        <v>10537</v>
      </c>
      <c r="Q100" s="976"/>
      <c r="R100" s="976" t="s">
        <v>10671</v>
      </c>
      <c r="S100" s="9" t="str">
        <f>IF(Q82&lt;&gt;"","","@@@")</f>
        <v>@@@</v>
      </c>
      <c r="W100" s="195"/>
    </row>
    <row r="101" spans="16:23">
      <c r="P101" s="976" t="s">
        <v>10538</v>
      </c>
      <c r="Q101" s="976"/>
      <c r="R101" s="976" t="s">
        <v>10672</v>
      </c>
      <c r="S101" s="9" t="str">
        <f>IF(Q82&lt;&gt;"","","@@@")</f>
        <v>@@@</v>
      </c>
      <c r="W101" s="195"/>
    </row>
    <row r="102" spans="16:23">
      <c r="P102" s="976" t="s">
        <v>10539</v>
      </c>
      <c r="Q102" s="976"/>
      <c r="R102" s="976" t="s">
        <v>10673</v>
      </c>
      <c r="S102" s="9" t="str">
        <f>IF(Q82&lt;&gt;"","","@@@")</f>
        <v>@@@</v>
      </c>
      <c r="W102" s="195"/>
    </row>
    <row r="103" spans="16:23">
      <c r="P103" s="9" t="s">
        <v>10540</v>
      </c>
      <c r="Q103" s="9"/>
      <c r="R103" s="9" t="s">
        <v>10674</v>
      </c>
      <c r="S103" s="9" t="str">
        <f t="shared" si="3"/>
        <v>@@@</v>
      </c>
      <c r="W103" s="195"/>
    </row>
    <row r="104" spans="16:23">
      <c r="P104" s="9" t="s">
        <v>10528</v>
      </c>
      <c r="Q104" s="9"/>
      <c r="R104" s="9" t="s">
        <v>10675</v>
      </c>
      <c r="S104" s="9" t="str">
        <f t="shared" si="3"/>
        <v>@@@</v>
      </c>
      <c r="W104" s="195"/>
    </row>
    <row r="105" spans="16:23">
      <c r="P105" s="9" t="s">
        <v>10529</v>
      </c>
      <c r="Q105" s="9"/>
      <c r="R105" s="9" t="s">
        <v>10676</v>
      </c>
      <c r="S105" s="9" t="str">
        <f t="shared" si="3"/>
        <v>@@@</v>
      </c>
      <c r="W105" s="195"/>
    </row>
    <row r="106" spans="16:23">
      <c r="P106" s="9" t="s">
        <v>10530</v>
      </c>
      <c r="Q106" s="9"/>
      <c r="R106" s="9" t="s">
        <v>10677</v>
      </c>
      <c r="S106" s="9" t="str">
        <f t="shared" si="3"/>
        <v>@@@</v>
      </c>
      <c r="W106" s="195"/>
    </row>
    <row r="107" spans="16:23">
      <c r="P107" s="9" t="s">
        <v>10531</v>
      </c>
      <c r="Q107" s="9"/>
      <c r="R107" s="9" t="s">
        <v>10678</v>
      </c>
      <c r="S107" s="9" t="str">
        <f t="shared" si="3"/>
        <v>@@@</v>
      </c>
      <c r="W107" s="195"/>
    </row>
    <row r="108" spans="16:23">
      <c r="P108" s="9" t="s">
        <v>10532</v>
      </c>
      <c r="Q108" s="9"/>
      <c r="R108" s="9" t="s">
        <v>10679</v>
      </c>
      <c r="S108" s="9" t="str">
        <f t="shared" si="3"/>
        <v>@@@</v>
      </c>
      <c r="W108" s="195"/>
    </row>
    <row r="109" spans="16:23">
      <c r="P109" s="9" t="s">
        <v>10533</v>
      </c>
      <c r="Q109" s="9"/>
      <c r="R109" s="9" t="s">
        <v>10680</v>
      </c>
      <c r="S109" s="9" t="str">
        <f t="shared" si="3"/>
        <v>@@@</v>
      </c>
      <c r="W109" s="195"/>
    </row>
    <row r="110" spans="16:23">
      <c r="P110" s="9" t="s">
        <v>10541</v>
      </c>
      <c r="Q110" s="9"/>
      <c r="R110" s="9" t="s">
        <v>10681</v>
      </c>
      <c r="S110" s="9" t="str">
        <f t="shared" si="3"/>
        <v>@@@</v>
      </c>
      <c r="W110" s="195"/>
    </row>
    <row r="111" spans="16:23">
      <c r="P111" s="9" t="s">
        <v>10542</v>
      </c>
      <c r="Q111" s="9"/>
      <c r="R111" s="9" t="s">
        <v>10682</v>
      </c>
      <c r="S111" s="9" t="str">
        <f t="shared" si="3"/>
        <v>@@@</v>
      </c>
      <c r="W111" s="195"/>
    </row>
    <row r="112" spans="16:23">
      <c r="P112" s="9" t="s">
        <v>10543</v>
      </c>
      <c r="Q112" s="9"/>
      <c r="R112" s="9" t="s">
        <v>10683</v>
      </c>
      <c r="S112" s="9" t="str">
        <f t="shared" si="3"/>
        <v>@@@</v>
      </c>
      <c r="W112" s="195"/>
    </row>
    <row r="113" spans="16:23">
      <c r="P113" s="9" t="s">
        <v>10544</v>
      </c>
      <c r="Q113" s="9"/>
      <c r="R113" s="9" t="s">
        <v>10684</v>
      </c>
      <c r="S113" s="9" t="str">
        <f t="shared" si="3"/>
        <v>@@@</v>
      </c>
      <c r="W113" s="195"/>
    </row>
    <row r="114" spans="16:23">
      <c r="P114" s="9" t="s">
        <v>10520</v>
      </c>
      <c r="Q114" s="9"/>
      <c r="R114" s="9" t="s">
        <v>10685</v>
      </c>
      <c r="S114" s="9" t="str">
        <f t="shared" si="3"/>
        <v>@@@</v>
      </c>
      <c r="W114" s="195"/>
    </row>
    <row r="115" spans="16:23">
      <c r="P115" s="976" t="s">
        <v>10536</v>
      </c>
      <c r="Q115" s="976"/>
      <c r="R115" s="976" t="s">
        <v>10686</v>
      </c>
      <c r="S115" s="9" t="str">
        <f>IF(Q103&lt;&gt;"","","@@@")</f>
        <v>@@@</v>
      </c>
      <c r="W115" s="195"/>
    </row>
    <row r="116" spans="16:23">
      <c r="P116" s="976" t="s">
        <v>10537</v>
      </c>
      <c r="Q116" s="976"/>
      <c r="R116" s="976" t="s">
        <v>10687</v>
      </c>
      <c r="S116" s="9" t="str">
        <f>IF(Q103&lt;&gt;"","","@@@")</f>
        <v>@@@</v>
      </c>
      <c r="W116" s="195"/>
    </row>
    <row r="117" spans="16:23">
      <c r="P117" s="976" t="s">
        <v>10538</v>
      </c>
      <c r="Q117" s="976"/>
      <c r="R117" s="976" t="s">
        <v>10688</v>
      </c>
      <c r="S117" s="9" t="str">
        <f>IF(Q103&lt;&gt;"","","@@@")</f>
        <v>@@@</v>
      </c>
      <c r="W117" s="195"/>
    </row>
    <row r="118" spans="16:23">
      <c r="P118" s="976" t="s">
        <v>10539</v>
      </c>
      <c r="Q118" s="976"/>
      <c r="R118" s="976" t="s">
        <v>10689</v>
      </c>
      <c r="S118" s="9" t="str">
        <f>IF(Q103&lt;&gt;"","","@@@")</f>
        <v>@@@</v>
      </c>
      <c r="W118" s="195"/>
    </row>
    <row r="119" spans="16:23">
      <c r="P119" s="975" t="s">
        <v>10545</v>
      </c>
      <c r="Q119" s="975"/>
      <c r="R119" s="975" t="s">
        <v>10690</v>
      </c>
      <c r="S119" s="9" t="str">
        <f>IF(Q119="","@@@",Q119)</f>
        <v>@@@</v>
      </c>
      <c r="W119" s="195"/>
    </row>
    <row r="120" spans="16:23">
      <c r="P120" s="975" t="s">
        <v>10546</v>
      </c>
      <c r="Q120" s="975"/>
      <c r="R120" s="975" t="s">
        <v>10691</v>
      </c>
      <c r="S120" s="9" t="str">
        <f t="shared" ref="S120:S151" si="4">IF(Q120="","@@@",Q120)</f>
        <v>@@@</v>
      </c>
      <c r="W120" s="195"/>
    </row>
    <row r="121" spans="16:23">
      <c r="P121" s="975" t="s">
        <v>10547</v>
      </c>
      <c r="Q121" s="975"/>
      <c r="R121" s="975" t="s">
        <v>10692</v>
      </c>
      <c r="S121" s="9" t="str">
        <f t="shared" si="4"/>
        <v>@@@</v>
      </c>
      <c r="W121" s="195"/>
    </row>
    <row r="122" spans="16:23">
      <c r="P122" s="975" t="s">
        <v>10548</v>
      </c>
      <c r="Q122" s="975"/>
      <c r="R122" s="975" t="s">
        <v>10693</v>
      </c>
      <c r="S122" s="9" t="str">
        <f t="shared" si="4"/>
        <v>@@@</v>
      </c>
      <c r="W122" s="195"/>
    </row>
    <row r="123" spans="16:23">
      <c r="P123" s="975" t="s">
        <v>10549</v>
      </c>
      <c r="Q123" s="975"/>
      <c r="R123" s="975" t="s">
        <v>10694</v>
      </c>
      <c r="S123" s="9" t="str">
        <f t="shared" si="4"/>
        <v>@@@</v>
      </c>
      <c r="W123" s="195"/>
    </row>
    <row r="124" spans="16:23">
      <c r="P124" s="975" t="s">
        <v>10550</v>
      </c>
      <c r="Q124" s="975"/>
      <c r="R124" s="975" t="s">
        <v>10695</v>
      </c>
      <c r="S124" s="9" t="str">
        <f t="shared" si="4"/>
        <v>@@@</v>
      </c>
      <c r="W124" s="195"/>
    </row>
    <row r="125" spans="16:23">
      <c r="P125" s="975" t="s">
        <v>10551</v>
      </c>
      <c r="Q125" s="975"/>
      <c r="R125" s="975" t="s">
        <v>10696</v>
      </c>
      <c r="S125" s="9" t="str">
        <f t="shared" si="4"/>
        <v>@@@</v>
      </c>
      <c r="W125" s="195"/>
    </row>
    <row r="126" spans="16:23">
      <c r="P126" s="975" t="s">
        <v>10552</v>
      </c>
      <c r="Q126" s="975"/>
      <c r="R126" s="975" t="s">
        <v>10697</v>
      </c>
      <c r="S126" s="9" t="str">
        <f t="shared" si="4"/>
        <v>@@@</v>
      </c>
      <c r="W126" s="195"/>
    </row>
    <row r="127" spans="16:23">
      <c r="P127" s="975" t="s">
        <v>10553</v>
      </c>
      <c r="Q127" s="975"/>
      <c r="R127" s="975" t="s">
        <v>10698</v>
      </c>
      <c r="S127" s="9" t="str">
        <f t="shared" si="4"/>
        <v>@@@</v>
      </c>
      <c r="W127" s="195"/>
    </row>
    <row r="128" spans="16:23">
      <c r="P128" s="975" t="s">
        <v>10554</v>
      </c>
      <c r="Q128" s="975"/>
      <c r="R128" s="975" t="s">
        <v>10699</v>
      </c>
      <c r="S128" s="9" t="str">
        <f t="shared" si="4"/>
        <v>@@@</v>
      </c>
      <c r="W128" s="195"/>
    </row>
    <row r="129" spans="16:23">
      <c r="P129" s="975" t="s">
        <v>10555</v>
      </c>
      <c r="Q129" s="975"/>
      <c r="R129" s="975" t="s">
        <v>10700</v>
      </c>
      <c r="S129" s="9" t="str">
        <f t="shared" si="4"/>
        <v>@@@</v>
      </c>
      <c r="W129" s="195"/>
    </row>
    <row r="130" spans="16:23">
      <c r="P130" s="975" t="s">
        <v>10556</v>
      </c>
      <c r="Q130" s="975"/>
      <c r="R130" s="975" t="s">
        <v>10701</v>
      </c>
      <c r="S130" s="9" t="str">
        <f t="shared" si="4"/>
        <v>@@@</v>
      </c>
      <c r="W130" s="195"/>
    </row>
    <row r="131" spans="16:23">
      <c r="P131" s="975" t="s">
        <v>10557</v>
      </c>
      <c r="Q131" s="975"/>
      <c r="R131" s="975" t="s">
        <v>10702</v>
      </c>
      <c r="S131" s="9" t="str">
        <f t="shared" si="4"/>
        <v>@@@</v>
      </c>
      <c r="W131" s="195"/>
    </row>
    <row r="132" spans="16:23">
      <c r="P132" s="975" t="s">
        <v>10558</v>
      </c>
      <c r="Q132" s="975"/>
      <c r="R132" s="975" t="s">
        <v>10703</v>
      </c>
      <c r="S132" s="9" t="str">
        <f t="shared" si="4"/>
        <v>@@@</v>
      </c>
      <c r="W132" s="195"/>
    </row>
    <row r="133" spans="16:23">
      <c r="P133" s="975" t="s">
        <v>10559</v>
      </c>
      <c r="Q133" s="975"/>
      <c r="R133" s="975" t="s">
        <v>10704</v>
      </c>
      <c r="S133" s="9" t="str">
        <f t="shared" si="4"/>
        <v>@@@</v>
      </c>
      <c r="W133" s="195"/>
    </row>
    <row r="134" spans="16:23">
      <c r="P134" s="975" t="s">
        <v>10560</v>
      </c>
      <c r="Q134" s="975"/>
      <c r="R134" s="975" t="s">
        <v>10705</v>
      </c>
      <c r="S134" s="9" t="str">
        <f t="shared" si="4"/>
        <v>@@@</v>
      </c>
      <c r="W134" s="195"/>
    </row>
    <row r="135" spans="16:23">
      <c r="P135" s="975" t="s">
        <v>10561</v>
      </c>
      <c r="Q135" s="975"/>
      <c r="R135" s="975" t="s">
        <v>10706</v>
      </c>
      <c r="S135" s="9" t="str">
        <f t="shared" si="4"/>
        <v>@@@</v>
      </c>
      <c r="W135" s="195"/>
    </row>
    <row r="136" spans="16:23">
      <c r="P136" s="976" t="s">
        <v>10562</v>
      </c>
      <c r="Q136" s="976"/>
      <c r="R136" s="976" t="s">
        <v>10707</v>
      </c>
      <c r="S136" s="9" t="str">
        <f>IF(Q119&lt;&gt;"","","@@@")</f>
        <v>@@@</v>
      </c>
      <c r="W136" s="195"/>
    </row>
    <row r="137" spans="16:23">
      <c r="P137" s="976" t="s">
        <v>10563</v>
      </c>
      <c r="Q137" s="976"/>
      <c r="R137" s="976" t="s">
        <v>10708</v>
      </c>
      <c r="S137" s="9" t="str">
        <f>IF(Q119&lt;&gt;"","","@@@")</f>
        <v>@@@</v>
      </c>
      <c r="W137" s="195"/>
    </row>
    <row r="138" spans="16:23">
      <c r="P138" s="976" t="s">
        <v>10564</v>
      </c>
      <c r="Q138" s="976"/>
      <c r="R138" s="976" t="s">
        <v>10709</v>
      </c>
      <c r="S138" s="9" t="str">
        <f>IF(Q119&lt;&gt;"","","@@@")</f>
        <v>@@@</v>
      </c>
      <c r="W138" s="195"/>
    </row>
    <row r="139" spans="16:23">
      <c r="P139" s="976" t="s">
        <v>10565</v>
      </c>
      <c r="Q139" s="976"/>
      <c r="R139" s="976" t="s">
        <v>10710</v>
      </c>
      <c r="S139" s="9" t="str">
        <f>IF(Q119&lt;&gt;"","","@@@")</f>
        <v>@@@</v>
      </c>
      <c r="W139" s="195"/>
    </row>
    <row r="140" spans="16:23">
      <c r="P140" s="9" t="s">
        <v>10566</v>
      </c>
      <c r="Q140" s="9"/>
      <c r="R140" s="9" t="s">
        <v>10711</v>
      </c>
      <c r="S140" s="9" t="str">
        <f t="shared" si="4"/>
        <v>@@@</v>
      </c>
      <c r="W140" s="195"/>
    </row>
    <row r="141" spans="16:23">
      <c r="P141" s="9" t="s">
        <v>10554</v>
      </c>
      <c r="Q141" s="9"/>
      <c r="R141" s="9" t="s">
        <v>10712</v>
      </c>
      <c r="S141" s="9" t="str">
        <f t="shared" si="4"/>
        <v>@@@</v>
      </c>
      <c r="W141" s="195"/>
    </row>
    <row r="142" spans="16:23">
      <c r="P142" s="9" t="s">
        <v>10555</v>
      </c>
      <c r="Q142" s="9"/>
      <c r="R142" s="9" t="s">
        <v>10713</v>
      </c>
      <c r="S142" s="9" t="str">
        <f t="shared" si="4"/>
        <v>@@@</v>
      </c>
      <c r="W142" s="195"/>
    </row>
    <row r="143" spans="16:23">
      <c r="P143" s="9" t="s">
        <v>10556</v>
      </c>
      <c r="Q143" s="9"/>
      <c r="R143" s="9" t="s">
        <v>10714</v>
      </c>
      <c r="S143" s="9" t="str">
        <f t="shared" si="4"/>
        <v>@@@</v>
      </c>
      <c r="W143" s="195"/>
    </row>
    <row r="144" spans="16:23">
      <c r="P144" s="9" t="s">
        <v>10557</v>
      </c>
      <c r="Q144" s="9"/>
      <c r="R144" s="9" t="s">
        <v>10715</v>
      </c>
      <c r="S144" s="9" t="str">
        <f t="shared" si="4"/>
        <v>@@@</v>
      </c>
      <c r="W144" s="195"/>
    </row>
    <row r="145" spans="16:23">
      <c r="P145" s="9" t="s">
        <v>10558</v>
      </c>
      <c r="Q145" s="9"/>
      <c r="R145" s="9" t="s">
        <v>10716</v>
      </c>
      <c r="S145" s="9" t="str">
        <f t="shared" si="4"/>
        <v>@@@</v>
      </c>
      <c r="W145" s="195"/>
    </row>
    <row r="146" spans="16:23">
      <c r="P146" s="9" t="s">
        <v>10559</v>
      </c>
      <c r="Q146" s="9"/>
      <c r="R146" s="9" t="s">
        <v>10717</v>
      </c>
      <c r="S146" s="9" t="str">
        <f t="shared" si="4"/>
        <v>@@@</v>
      </c>
      <c r="W146" s="195"/>
    </row>
    <row r="147" spans="16:23">
      <c r="P147" s="9" t="s">
        <v>10567</v>
      </c>
      <c r="Q147" s="9"/>
      <c r="R147" s="9" t="s">
        <v>10718</v>
      </c>
      <c r="S147" s="9" t="str">
        <f t="shared" si="4"/>
        <v>@@@</v>
      </c>
      <c r="W147" s="195"/>
    </row>
    <row r="148" spans="16:23">
      <c r="P148" s="9" t="s">
        <v>10568</v>
      </c>
      <c r="Q148" s="9"/>
      <c r="R148" s="9" t="s">
        <v>10719</v>
      </c>
      <c r="S148" s="9" t="str">
        <f t="shared" si="4"/>
        <v>@@@</v>
      </c>
      <c r="W148" s="195"/>
    </row>
    <row r="149" spans="16:23">
      <c r="P149" s="9" t="s">
        <v>10569</v>
      </c>
      <c r="Q149" s="9"/>
      <c r="R149" s="9" t="s">
        <v>10720</v>
      </c>
      <c r="S149" s="9" t="str">
        <f t="shared" si="4"/>
        <v>@@@</v>
      </c>
      <c r="W149" s="195"/>
    </row>
    <row r="150" spans="16:23">
      <c r="P150" s="9" t="s">
        <v>10570</v>
      </c>
      <c r="Q150" s="9"/>
      <c r="R150" s="9" t="s">
        <v>10721</v>
      </c>
      <c r="S150" s="9" t="str">
        <f t="shared" si="4"/>
        <v>@@@</v>
      </c>
      <c r="W150" s="195"/>
    </row>
    <row r="151" spans="16:23">
      <c r="P151" s="9" t="s">
        <v>10546</v>
      </c>
      <c r="Q151" s="9"/>
      <c r="R151" s="9" t="s">
        <v>10722</v>
      </c>
      <c r="S151" s="9" t="str">
        <f t="shared" si="4"/>
        <v>@@@</v>
      </c>
      <c r="W151" s="195"/>
    </row>
    <row r="152" spans="16:23">
      <c r="P152" s="976" t="s">
        <v>10562</v>
      </c>
      <c r="Q152" s="976"/>
      <c r="R152" s="976" t="s">
        <v>10723</v>
      </c>
      <c r="S152" s="9" t="str">
        <f>IF(Q140&lt;&gt;"","","@@@")</f>
        <v>@@@</v>
      </c>
      <c r="W152" s="195"/>
    </row>
    <row r="153" spans="16:23">
      <c r="P153" s="976" t="s">
        <v>10563</v>
      </c>
      <c r="Q153" s="976"/>
      <c r="R153" s="976" t="s">
        <v>10724</v>
      </c>
      <c r="S153" s="9" t="str">
        <f>IF(Q140&lt;&gt;"","","@@@")</f>
        <v>@@@</v>
      </c>
      <c r="W153" s="195"/>
    </row>
    <row r="154" spans="16:23">
      <c r="P154" s="976" t="s">
        <v>10564</v>
      </c>
      <c r="Q154" s="976"/>
      <c r="R154" s="976" t="s">
        <v>10725</v>
      </c>
      <c r="S154" s="9" t="str">
        <f>IF(Q140&lt;&gt;"","","@@@")</f>
        <v>@@@</v>
      </c>
      <c r="W154" s="195"/>
    </row>
    <row r="155" spans="16:23">
      <c r="P155" s="976" t="s">
        <v>10565</v>
      </c>
      <c r="Q155" s="976"/>
      <c r="R155" s="976" t="s">
        <v>10726</v>
      </c>
      <c r="S155" s="9" t="str">
        <f>IF(Q140&lt;&gt;"","","@@@")</f>
        <v>@@@</v>
      </c>
      <c r="W155" s="195"/>
    </row>
    <row r="156" spans="16:23">
      <c r="P156" s="975" t="s">
        <v>10748</v>
      </c>
      <c r="Q156" s="975"/>
      <c r="R156" s="975" t="s">
        <v>10749</v>
      </c>
      <c r="S156" s="9" t="str">
        <f>IF(Q156="","@@@",Q156)</f>
        <v>@@@</v>
      </c>
    </row>
    <row r="157" spans="16:23">
      <c r="P157" s="975" t="s">
        <v>10750</v>
      </c>
      <c r="Q157" s="975"/>
      <c r="R157" s="975" t="s">
        <v>10751</v>
      </c>
      <c r="S157" s="9" t="str">
        <f t="shared" ref="S157:S188" si="5">IF(Q157="","@@@",Q157)</f>
        <v>@@@</v>
      </c>
    </row>
    <row r="158" spans="16:23">
      <c r="P158" s="975" t="s">
        <v>10752</v>
      </c>
      <c r="Q158" s="975"/>
      <c r="R158" s="975" t="s">
        <v>10753</v>
      </c>
      <c r="S158" s="9" t="str">
        <f t="shared" si="5"/>
        <v>@@@</v>
      </c>
    </row>
    <row r="159" spans="16:23">
      <c r="P159" s="975" t="s">
        <v>10754</v>
      </c>
      <c r="Q159" s="975"/>
      <c r="R159" s="975" t="s">
        <v>10755</v>
      </c>
      <c r="S159" s="9" t="str">
        <f t="shared" si="5"/>
        <v>@@@</v>
      </c>
    </row>
    <row r="160" spans="16:23">
      <c r="P160" s="975" t="s">
        <v>10756</v>
      </c>
      <c r="Q160" s="975"/>
      <c r="R160" s="975" t="s">
        <v>10757</v>
      </c>
      <c r="S160" s="9" t="str">
        <f t="shared" si="5"/>
        <v>@@@</v>
      </c>
    </row>
    <row r="161" spans="16:19">
      <c r="P161" s="975" t="s">
        <v>10758</v>
      </c>
      <c r="Q161" s="975"/>
      <c r="R161" s="975" t="s">
        <v>10759</v>
      </c>
      <c r="S161" s="9" t="str">
        <f t="shared" si="5"/>
        <v>@@@</v>
      </c>
    </row>
    <row r="162" spans="16:19">
      <c r="P162" s="975" t="s">
        <v>10760</v>
      </c>
      <c r="Q162" s="975"/>
      <c r="R162" s="975" t="s">
        <v>10761</v>
      </c>
      <c r="S162" s="9" t="str">
        <f t="shared" si="5"/>
        <v>@@@</v>
      </c>
    </row>
    <row r="163" spans="16:19">
      <c r="P163" s="975" t="s">
        <v>10762</v>
      </c>
      <c r="Q163" s="975"/>
      <c r="R163" s="975" t="s">
        <v>10763</v>
      </c>
      <c r="S163" s="9" t="str">
        <f t="shared" si="5"/>
        <v>@@@</v>
      </c>
    </row>
    <row r="164" spans="16:19">
      <c r="P164" s="975" t="s">
        <v>10764</v>
      </c>
      <c r="Q164" s="975"/>
      <c r="R164" s="975" t="s">
        <v>10765</v>
      </c>
      <c r="S164" s="9" t="str">
        <f t="shared" si="5"/>
        <v>@@@</v>
      </c>
    </row>
    <row r="165" spans="16:19">
      <c r="P165" s="975" t="s">
        <v>10766</v>
      </c>
      <c r="Q165" s="975"/>
      <c r="R165" s="975" t="s">
        <v>10767</v>
      </c>
      <c r="S165" s="9" t="str">
        <f t="shared" si="5"/>
        <v>@@@</v>
      </c>
    </row>
    <row r="166" spans="16:19">
      <c r="P166" s="975" t="s">
        <v>10768</v>
      </c>
      <c r="Q166" s="975"/>
      <c r="R166" s="975" t="s">
        <v>10769</v>
      </c>
      <c r="S166" s="9" t="str">
        <f t="shared" si="5"/>
        <v>@@@</v>
      </c>
    </row>
    <row r="167" spans="16:19">
      <c r="P167" s="975" t="s">
        <v>10770</v>
      </c>
      <c r="Q167" s="975"/>
      <c r="R167" s="975" t="s">
        <v>10771</v>
      </c>
      <c r="S167" s="9" t="str">
        <f t="shared" si="5"/>
        <v>@@@</v>
      </c>
    </row>
    <row r="168" spans="16:19">
      <c r="P168" s="975" t="s">
        <v>10772</v>
      </c>
      <c r="Q168" s="975"/>
      <c r="R168" s="975" t="s">
        <v>10773</v>
      </c>
      <c r="S168" s="9" t="str">
        <f t="shared" si="5"/>
        <v>@@@</v>
      </c>
    </row>
    <row r="169" spans="16:19">
      <c r="P169" s="975" t="s">
        <v>10774</v>
      </c>
      <c r="Q169" s="975"/>
      <c r="R169" s="975" t="s">
        <v>10775</v>
      </c>
      <c r="S169" s="9" t="str">
        <f t="shared" si="5"/>
        <v>@@@</v>
      </c>
    </row>
    <row r="170" spans="16:19">
      <c r="P170" s="975" t="s">
        <v>10776</v>
      </c>
      <c r="Q170" s="975"/>
      <c r="R170" s="975" t="s">
        <v>10777</v>
      </c>
      <c r="S170" s="9" t="str">
        <f t="shared" si="5"/>
        <v>@@@</v>
      </c>
    </row>
    <row r="171" spans="16:19">
      <c r="P171" s="975" t="s">
        <v>10778</v>
      </c>
      <c r="Q171" s="975"/>
      <c r="R171" s="975" t="s">
        <v>10779</v>
      </c>
      <c r="S171" s="9" t="str">
        <f t="shared" si="5"/>
        <v>@@@</v>
      </c>
    </row>
    <row r="172" spans="16:19">
      <c r="P172" s="975" t="s">
        <v>10780</v>
      </c>
      <c r="Q172" s="975"/>
      <c r="R172" s="975" t="s">
        <v>10781</v>
      </c>
      <c r="S172" s="9" t="str">
        <f t="shared" si="5"/>
        <v>@@@</v>
      </c>
    </row>
    <row r="173" spans="16:19">
      <c r="P173" s="976" t="s">
        <v>10782</v>
      </c>
      <c r="Q173" s="976"/>
      <c r="R173" s="976" t="s">
        <v>10783</v>
      </c>
      <c r="S173" s="9" t="str">
        <f>IF(Q156&lt;&gt;"","","@@@")</f>
        <v>@@@</v>
      </c>
    </row>
    <row r="174" spans="16:19">
      <c r="P174" s="976" t="s">
        <v>10784</v>
      </c>
      <c r="Q174" s="976"/>
      <c r="R174" s="976" t="s">
        <v>10785</v>
      </c>
      <c r="S174" s="9" t="str">
        <f>IF(Q156&lt;&gt;"","","@@@")</f>
        <v>@@@</v>
      </c>
    </row>
    <row r="175" spans="16:19">
      <c r="P175" s="976" t="s">
        <v>10786</v>
      </c>
      <c r="Q175" s="976"/>
      <c r="R175" s="976" t="s">
        <v>10787</v>
      </c>
      <c r="S175" s="9" t="str">
        <f>IF(Q156&lt;&gt;"","","@@@")</f>
        <v>@@@</v>
      </c>
    </row>
    <row r="176" spans="16:19">
      <c r="P176" s="976" t="s">
        <v>10788</v>
      </c>
      <c r="Q176" s="976"/>
      <c r="R176" s="976" t="s">
        <v>10789</v>
      </c>
      <c r="S176" s="9" t="str">
        <f>IF(Q156&lt;&gt;"","","@@@")</f>
        <v>@@@</v>
      </c>
    </row>
    <row r="177" spans="16:19">
      <c r="P177" s="9" t="s">
        <v>10790</v>
      </c>
      <c r="Q177" s="9"/>
      <c r="R177" s="9" t="s">
        <v>10791</v>
      </c>
      <c r="S177" s="9" t="str">
        <f t="shared" si="5"/>
        <v>@@@</v>
      </c>
    </row>
    <row r="178" spans="16:19">
      <c r="P178" s="9" t="s">
        <v>10766</v>
      </c>
      <c r="Q178" s="9"/>
      <c r="R178" s="9" t="s">
        <v>10792</v>
      </c>
      <c r="S178" s="9" t="str">
        <f t="shared" si="5"/>
        <v>@@@</v>
      </c>
    </row>
    <row r="179" spans="16:19">
      <c r="P179" s="9" t="s">
        <v>10768</v>
      </c>
      <c r="Q179" s="9"/>
      <c r="R179" s="9" t="s">
        <v>10793</v>
      </c>
      <c r="S179" s="9" t="str">
        <f t="shared" si="5"/>
        <v>@@@</v>
      </c>
    </row>
    <row r="180" spans="16:19">
      <c r="P180" s="9" t="s">
        <v>10770</v>
      </c>
      <c r="Q180" s="9"/>
      <c r="R180" s="9" t="s">
        <v>10794</v>
      </c>
      <c r="S180" s="9" t="str">
        <f t="shared" si="5"/>
        <v>@@@</v>
      </c>
    </row>
    <row r="181" spans="16:19">
      <c r="P181" s="9" t="s">
        <v>10772</v>
      </c>
      <c r="Q181" s="9"/>
      <c r="R181" s="9" t="s">
        <v>10795</v>
      </c>
      <c r="S181" s="9" t="str">
        <f t="shared" si="5"/>
        <v>@@@</v>
      </c>
    </row>
    <row r="182" spans="16:19">
      <c r="P182" s="9" t="s">
        <v>10774</v>
      </c>
      <c r="Q182" s="9"/>
      <c r="R182" s="9" t="s">
        <v>10796</v>
      </c>
      <c r="S182" s="9" t="str">
        <f t="shared" si="5"/>
        <v>@@@</v>
      </c>
    </row>
    <row r="183" spans="16:19">
      <c r="P183" s="9" t="s">
        <v>10776</v>
      </c>
      <c r="Q183" s="9"/>
      <c r="R183" s="9" t="s">
        <v>10797</v>
      </c>
      <c r="S183" s="9" t="str">
        <f t="shared" si="5"/>
        <v>@@@</v>
      </c>
    </row>
    <row r="184" spans="16:19">
      <c r="P184" s="9" t="s">
        <v>10798</v>
      </c>
      <c r="Q184" s="9"/>
      <c r="R184" s="9" t="s">
        <v>10799</v>
      </c>
      <c r="S184" s="9" t="str">
        <f t="shared" si="5"/>
        <v>@@@</v>
      </c>
    </row>
    <row r="185" spans="16:19">
      <c r="P185" s="9" t="s">
        <v>10800</v>
      </c>
      <c r="Q185" s="9"/>
      <c r="R185" s="9" t="s">
        <v>10801</v>
      </c>
      <c r="S185" s="9" t="str">
        <f t="shared" si="5"/>
        <v>@@@</v>
      </c>
    </row>
    <row r="186" spans="16:19">
      <c r="P186" s="9" t="s">
        <v>10802</v>
      </c>
      <c r="Q186" s="9"/>
      <c r="R186" s="9" t="s">
        <v>10803</v>
      </c>
      <c r="S186" s="9" t="str">
        <f t="shared" si="5"/>
        <v>@@@</v>
      </c>
    </row>
    <row r="187" spans="16:19">
      <c r="P187" s="9" t="s">
        <v>10804</v>
      </c>
      <c r="Q187" s="9"/>
      <c r="R187" s="9" t="s">
        <v>10805</v>
      </c>
      <c r="S187" s="9" t="str">
        <f t="shared" si="5"/>
        <v>@@@</v>
      </c>
    </row>
    <row r="188" spans="16:19">
      <c r="P188" s="9" t="s">
        <v>10750</v>
      </c>
      <c r="Q188" s="9"/>
      <c r="R188" s="9" t="s">
        <v>10806</v>
      </c>
      <c r="S188" s="9" t="str">
        <f t="shared" si="5"/>
        <v>@@@</v>
      </c>
    </row>
    <row r="189" spans="16:19">
      <c r="P189" s="976" t="s">
        <v>10782</v>
      </c>
      <c r="Q189" s="976"/>
      <c r="R189" s="976" t="s">
        <v>10807</v>
      </c>
      <c r="S189" s="9" t="str">
        <f>IF(Q177&lt;&gt;"","","@@@")</f>
        <v>@@@</v>
      </c>
    </row>
    <row r="190" spans="16:19">
      <c r="P190" s="976" t="s">
        <v>10784</v>
      </c>
      <c r="Q190" s="976"/>
      <c r="R190" s="976" t="s">
        <v>10808</v>
      </c>
      <c r="S190" s="9" t="str">
        <f>IF(Q177&lt;&gt;"","","@@@")</f>
        <v>@@@</v>
      </c>
    </row>
    <row r="191" spans="16:19">
      <c r="P191" s="976" t="s">
        <v>10786</v>
      </c>
      <c r="Q191" s="976"/>
      <c r="R191" s="976" t="s">
        <v>10809</v>
      </c>
      <c r="S191" s="9" t="str">
        <f>IF(Q177&lt;&gt;"","","@@@")</f>
        <v>@@@</v>
      </c>
    </row>
    <row r="192" spans="16:19">
      <c r="P192" s="976" t="s">
        <v>10788</v>
      </c>
      <c r="Q192" s="976"/>
      <c r="R192" s="976" t="s">
        <v>10810</v>
      </c>
      <c r="S192" s="9" t="str">
        <f>IF(Q177&lt;&gt;"","","@@@")</f>
        <v>@@@</v>
      </c>
    </row>
    <row r="193" spans="16:19">
      <c r="P193" s="975" t="s">
        <v>10811</v>
      </c>
      <c r="Q193" s="975"/>
      <c r="R193" s="975" t="s">
        <v>10812</v>
      </c>
      <c r="S193" s="9" t="str">
        <f>IF(Q193="","@@@",Q193)</f>
        <v>@@@</v>
      </c>
    </row>
    <row r="194" spans="16:19">
      <c r="P194" s="975" t="s">
        <v>10813</v>
      </c>
      <c r="Q194" s="975"/>
      <c r="R194" s="975" t="s">
        <v>10814</v>
      </c>
      <c r="S194" s="9" t="str">
        <f t="shared" ref="S194:S225" si="6">IF(Q194="","@@@",Q194)</f>
        <v>@@@</v>
      </c>
    </row>
    <row r="195" spans="16:19">
      <c r="P195" s="975" t="s">
        <v>10815</v>
      </c>
      <c r="Q195" s="975"/>
      <c r="R195" s="975" t="s">
        <v>10816</v>
      </c>
      <c r="S195" s="9" t="str">
        <f t="shared" si="6"/>
        <v>@@@</v>
      </c>
    </row>
    <row r="196" spans="16:19">
      <c r="P196" s="975" t="s">
        <v>10817</v>
      </c>
      <c r="Q196" s="975"/>
      <c r="R196" s="975" t="s">
        <v>10818</v>
      </c>
      <c r="S196" s="9" t="str">
        <f t="shared" si="6"/>
        <v>@@@</v>
      </c>
    </row>
    <row r="197" spans="16:19">
      <c r="P197" s="975" t="s">
        <v>10819</v>
      </c>
      <c r="Q197" s="975"/>
      <c r="R197" s="975" t="s">
        <v>10820</v>
      </c>
      <c r="S197" s="9" t="str">
        <f t="shared" si="6"/>
        <v>@@@</v>
      </c>
    </row>
    <row r="198" spans="16:19">
      <c r="P198" s="975" t="s">
        <v>10821</v>
      </c>
      <c r="Q198" s="975"/>
      <c r="R198" s="975" t="s">
        <v>10822</v>
      </c>
      <c r="S198" s="9" t="str">
        <f t="shared" si="6"/>
        <v>@@@</v>
      </c>
    </row>
    <row r="199" spans="16:19">
      <c r="P199" s="975" t="s">
        <v>10823</v>
      </c>
      <c r="Q199" s="975"/>
      <c r="R199" s="975" t="s">
        <v>10824</v>
      </c>
      <c r="S199" s="9" t="str">
        <f t="shared" si="6"/>
        <v>@@@</v>
      </c>
    </row>
    <row r="200" spans="16:19">
      <c r="P200" s="975" t="s">
        <v>10825</v>
      </c>
      <c r="Q200" s="975"/>
      <c r="R200" s="975" t="s">
        <v>10826</v>
      </c>
      <c r="S200" s="9" t="str">
        <f t="shared" si="6"/>
        <v>@@@</v>
      </c>
    </row>
    <row r="201" spans="16:19">
      <c r="P201" s="975" t="s">
        <v>10827</v>
      </c>
      <c r="Q201" s="975"/>
      <c r="R201" s="975" t="s">
        <v>10828</v>
      </c>
      <c r="S201" s="9" t="str">
        <f t="shared" si="6"/>
        <v>@@@</v>
      </c>
    </row>
    <row r="202" spans="16:19">
      <c r="P202" s="975" t="s">
        <v>10829</v>
      </c>
      <c r="Q202" s="975"/>
      <c r="R202" s="975" t="s">
        <v>10830</v>
      </c>
      <c r="S202" s="9" t="str">
        <f t="shared" si="6"/>
        <v>@@@</v>
      </c>
    </row>
    <row r="203" spans="16:19">
      <c r="P203" s="975" t="s">
        <v>10831</v>
      </c>
      <c r="Q203" s="975"/>
      <c r="R203" s="975" t="s">
        <v>10832</v>
      </c>
      <c r="S203" s="9" t="str">
        <f t="shared" si="6"/>
        <v>@@@</v>
      </c>
    </row>
    <row r="204" spans="16:19">
      <c r="P204" s="975" t="s">
        <v>10833</v>
      </c>
      <c r="Q204" s="975"/>
      <c r="R204" s="975" t="s">
        <v>10834</v>
      </c>
      <c r="S204" s="9" t="str">
        <f t="shared" si="6"/>
        <v>@@@</v>
      </c>
    </row>
    <row r="205" spans="16:19">
      <c r="P205" s="975" t="s">
        <v>10835</v>
      </c>
      <c r="Q205" s="975"/>
      <c r="R205" s="975" t="s">
        <v>10836</v>
      </c>
      <c r="S205" s="9" t="str">
        <f t="shared" si="6"/>
        <v>@@@</v>
      </c>
    </row>
    <row r="206" spans="16:19">
      <c r="P206" s="975" t="s">
        <v>10837</v>
      </c>
      <c r="Q206" s="975"/>
      <c r="R206" s="975" t="s">
        <v>10838</v>
      </c>
      <c r="S206" s="9" t="str">
        <f t="shared" si="6"/>
        <v>@@@</v>
      </c>
    </row>
    <row r="207" spans="16:19">
      <c r="P207" s="975" t="s">
        <v>10839</v>
      </c>
      <c r="Q207" s="975"/>
      <c r="R207" s="975" t="s">
        <v>10840</v>
      </c>
      <c r="S207" s="9" t="str">
        <f t="shared" si="6"/>
        <v>@@@</v>
      </c>
    </row>
    <row r="208" spans="16:19">
      <c r="P208" s="975" t="s">
        <v>10841</v>
      </c>
      <c r="Q208" s="975"/>
      <c r="R208" s="975" t="s">
        <v>10842</v>
      </c>
      <c r="S208" s="9" t="str">
        <f t="shared" si="6"/>
        <v>@@@</v>
      </c>
    </row>
    <row r="209" spans="16:19">
      <c r="P209" s="975" t="s">
        <v>10843</v>
      </c>
      <c r="Q209" s="975"/>
      <c r="R209" s="975" t="s">
        <v>10844</v>
      </c>
      <c r="S209" s="9" t="str">
        <f t="shared" si="6"/>
        <v>@@@</v>
      </c>
    </row>
    <row r="210" spans="16:19">
      <c r="P210" s="976" t="s">
        <v>10845</v>
      </c>
      <c r="Q210" s="976"/>
      <c r="R210" s="976" t="s">
        <v>10846</v>
      </c>
      <c r="S210" s="9" t="str">
        <f>IF(Q193&lt;&gt;"","","@@@")</f>
        <v>@@@</v>
      </c>
    </row>
    <row r="211" spans="16:19">
      <c r="P211" s="976" t="s">
        <v>10847</v>
      </c>
      <c r="Q211" s="976"/>
      <c r="R211" s="976" t="s">
        <v>10848</v>
      </c>
      <c r="S211" s="9" t="str">
        <f>IF(Q193&lt;&gt;"","","@@@")</f>
        <v>@@@</v>
      </c>
    </row>
    <row r="212" spans="16:19">
      <c r="P212" s="976" t="s">
        <v>10849</v>
      </c>
      <c r="Q212" s="976"/>
      <c r="R212" s="976" t="s">
        <v>10850</v>
      </c>
      <c r="S212" s="9" t="str">
        <f>IF(Q193&lt;&gt;"","","@@@")</f>
        <v>@@@</v>
      </c>
    </row>
    <row r="213" spans="16:19">
      <c r="P213" s="976" t="s">
        <v>10851</v>
      </c>
      <c r="Q213" s="976"/>
      <c r="R213" s="976" t="s">
        <v>10852</v>
      </c>
      <c r="S213" s="9" t="str">
        <f>IF(Q193&lt;&gt;"","","@@@")</f>
        <v>@@@</v>
      </c>
    </row>
    <row r="214" spans="16:19">
      <c r="P214" s="9" t="s">
        <v>10853</v>
      </c>
      <c r="Q214" s="9"/>
      <c r="R214" s="9" t="s">
        <v>10854</v>
      </c>
      <c r="S214" s="9" t="str">
        <f t="shared" si="6"/>
        <v>@@@</v>
      </c>
    </row>
    <row r="215" spans="16:19">
      <c r="P215" s="9" t="s">
        <v>10829</v>
      </c>
      <c r="Q215" s="9"/>
      <c r="R215" s="9" t="s">
        <v>10855</v>
      </c>
      <c r="S215" s="9" t="str">
        <f t="shared" si="6"/>
        <v>@@@</v>
      </c>
    </row>
    <row r="216" spans="16:19">
      <c r="P216" s="9" t="s">
        <v>10831</v>
      </c>
      <c r="Q216" s="9"/>
      <c r="R216" s="9" t="s">
        <v>10856</v>
      </c>
      <c r="S216" s="9" t="str">
        <f t="shared" si="6"/>
        <v>@@@</v>
      </c>
    </row>
    <row r="217" spans="16:19">
      <c r="P217" s="9" t="s">
        <v>10833</v>
      </c>
      <c r="Q217" s="9"/>
      <c r="R217" s="9" t="s">
        <v>10857</v>
      </c>
      <c r="S217" s="9" t="str">
        <f t="shared" si="6"/>
        <v>@@@</v>
      </c>
    </row>
    <row r="218" spans="16:19">
      <c r="P218" s="9" t="s">
        <v>10835</v>
      </c>
      <c r="Q218" s="9"/>
      <c r="R218" s="9" t="s">
        <v>10858</v>
      </c>
      <c r="S218" s="9" t="str">
        <f t="shared" si="6"/>
        <v>@@@</v>
      </c>
    </row>
    <row r="219" spans="16:19">
      <c r="P219" s="9" t="s">
        <v>10837</v>
      </c>
      <c r="Q219" s="9"/>
      <c r="R219" s="9" t="s">
        <v>10859</v>
      </c>
      <c r="S219" s="9" t="str">
        <f t="shared" si="6"/>
        <v>@@@</v>
      </c>
    </row>
    <row r="220" spans="16:19">
      <c r="P220" s="9" t="s">
        <v>10839</v>
      </c>
      <c r="Q220" s="9"/>
      <c r="R220" s="9" t="s">
        <v>10860</v>
      </c>
      <c r="S220" s="9" t="str">
        <f t="shared" si="6"/>
        <v>@@@</v>
      </c>
    </row>
    <row r="221" spans="16:19">
      <c r="P221" s="9" t="s">
        <v>10861</v>
      </c>
      <c r="Q221" s="9"/>
      <c r="R221" s="9" t="s">
        <v>10862</v>
      </c>
      <c r="S221" s="9" t="str">
        <f t="shared" si="6"/>
        <v>@@@</v>
      </c>
    </row>
    <row r="222" spans="16:19">
      <c r="P222" s="9" t="s">
        <v>10863</v>
      </c>
      <c r="Q222" s="9"/>
      <c r="R222" s="9" t="s">
        <v>10864</v>
      </c>
      <c r="S222" s="9" t="str">
        <f t="shared" si="6"/>
        <v>@@@</v>
      </c>
    </row>
    <row r="223" spans="16:19">
      <c r="P223" s="9" t="s">
        <v>10865</v>
      </c>
      <c r="Q223" s="9"/>
      <c r="R223" s="9" t="s">
        <v>10866</v>
      </c>
      <c r="S223" s="9" t="str">
        <f t="shared" si="6"/>
        <v>@@@</v>
      </c>
    </row>
    <row r="224" spans="16:19">
      <c r="P224" s="9" t="s">
        <v>10867</v>
      </c>
      <c r="Q224" s="9"/>
      <c r="R224" s="9" t="s">
        <v>10868</v>
      </c>
      <c r="S224" s="9" t="str">
        <f t="shared" si="6"/>
        <v>@@@</v>
      </c>
    </row>
    <row r="225" spans="16:19">
      <c r="P225" s="9" t="s">
        <v>10813</v>
      </c>
      <c r="Q225" s="9"/>
      <c r="R225" s="9" t="s">
        <v>10869</v>
      </c>
      <c r="S225" s="9" t="str">
        <f t="shared" si="6"/>
        <v>@@@</v>
      </c>
    </row>
    <row r="226" spans="16:19">
      <c r="P226" s="976" t="s">
        <v>10845</v>
      </c>
      <c r="Q226" s="976"/>
      <c r="R226" s="976" t="s">
        <v>10870</v>
      </c>
      <c r="S226" s="9" t="str">
        <f>IF(Q214&lt;&gt;"","","@@@")</f>
        <v>@@@</v>
      </c>
    </row>
    <row r="227" spans="16:19">
      <c r="P227" s="976" t="s">
        <v>10847</v>
      </c>
      <c r="Q227" s="976"/>
      <c r="R227" s="976" t="s">
        <v>10871</v>
      </c>
      <c r="S227" s="9" t="str">
        <f>IF(Q214&lt;&gt;"","","@@@")</f>
        <v>@@@</v>
      </c>
    </row>
    <row r="228" spans="16:19">
      <c r="P228" s="976" t="s">
        <v>10849</v>
      </c>
      <c r="Q228" s="976"/>
      <c r="R228" s="976" t="s">
        <v>10872</v>
      </c>
      <c r="S228" s="9" t="str">
        <f>IF(Q214&lt;&gt;"","","@@@")</f>
        <v>@@@</v>
      </c>
    </row>
    <row r="229" spans="16:19">
      <c r="P229" s="976" t="s">
        <v>10851</v>
      </c>
      <c r="Q229" s="976"/>
      <c r="R229" s="976" t="s">
        <v>10873</v>
      </c>
      <c r="S229" s="9" t="str">
        <f>IF(Q214&lt;&gt;"","","@@@")</f>
        <v>@@@</v>
      </c>
    </row>
    <row r="230" spans="16:19">
      <c r="P230" s="975" t="s">
        <v>10874</v>
      </c>
      <c r="Q230" s="975"/>
      <c r="R230" s="975" t="s">
        <v>10875</v>
      </c>
      <c r="S230" s="9" t="str">
        <f>IF(Q230="","@@@",Q230)</f>
        <v>@@@</v>
      </c>
    </row>
    <row r="231" spans="16:19">
      <c r="P231" s="975" t="s">
        <v>10876</v>
      </c>
      <c r="Q231" s="975"/>
      <c r="R231" s="975" t="s">
        <v>10877</v>
      </c>
      <c r="S231" s="9" t="str">
        <f t="shared" ref="S231:S262" si="7">IF(Q231="","@@@",Q231)</f>
        <v>@@@</v>
      </c>
    </row>
    <row r="232" spans="16:19">
      <c r="P232" s="975" t="s">
        <v>10878</v>
      </c>
      <c r="Q232" s="975"/>
      <c r="R232" s="975" t="s">
        <v>10879</v>
      </c>
      <c r="S232" s="9" t="str">
        <f t="shared" si="7"/>
        <v>@@@</v>
      </c>
    </row>
    <row r="233" spans="16:19">
      <c r="P233" s="975" t="s">
        <v>10880</v>
      </c>
      <c r="Q233" s="975"/>
      <c r="R233" s="975" t="s">
        <v>10881</v>
      </c>
      <c r="S233" s="9" t="str">
        <f t="shared" si="7"/>
        <v>@@@</v>
      </c>
    </row>
    <row r="234" spans="16:19">
      <c r="P234" s="975" t="s">
        <v>10882</v>
      </c>
      <c r="Q234" s="975"/>
      <c r="R234" s="975" t="s">
        <v>10883</v>
      </c>
      <c r="S234" s="9" t="str">
        <f t="shared" si="7"/>
        <v>@@@</v>
      </c>
    </row>
    <row r="235" spans="16:19">
      <c r="P235" s="975" t="s">
        <v>10884</v>
      </c>
      <c r="Q235" s="975"/>
      <c r="R235" s="975" t="s">
        <v>10885</v>
      </c>
      <c r="S235" s="9" t="str">
        <f t="shared" si="7"/>
        <v>@@@</v>
      </c>
    </row>
    <row r="236" spans="16:19">
      <c r="P236" s="975" t="s">
        <v>10886</v>
      </c>
      <c r="Q236" s="975"/>
      <c r="R236" s="975" t="s">
        <v>10887</v>
      </c>
      <c r="S236" s="9" t="str">
        <f t="shared" si="7"/>
        <v>@@@</v>
      </c>
    </row>
    <row r="237" spans="16:19">
      <c r="P237" s="975" t="s">
        <v>10888</v>
      </c>
      <c r="Q237" s="975"/>
      <c r="R237" s="975" t="s">
        <v>10889</v>
      </c>
      <c r="S237" s="9" t="str">
        <f t="shared" si="7"/>
        <v>@@@</v>
      </c>
    </row>
    <row r="238" spans="16:19">
      <c r="P238" s="975" t="s">
        <v>10890</v>
      </c>
      <c r="Q238" s="975"/>
      <c r="R238" s="975" t="s">
        <v>10891</v>
      </c>
      <c r="S238" s="9" t="str">
        <f t="shared" si="7"/>
        <v>@@@</v>
      </c>
    </row>
    <row r="239" spans="16:19">
      <c r="P239" s="975" t="s">
        <v>10892</v>
      </c>
      <c r="Q239" s="975"/>
      <c r="R239" s="975" t="s">
        <v>10893</v>
      </c>
      <c r="S239" s="9" t="str">
        <f t="shared" si="7"/>
        <v>@@@</v>
      </c>
    </row>
    <row r="240" spans="16:19">
      <c r="P240" s="975" t="s">
        <v>10894</v>
      </c>
      <c r="Q240" s="975"/>
      <c r="R240" s="975" t="s">
        <v>10895</v>
      </c>
      <c r="S240" s="9" t="str">
        <f t="shared" si="7"/>
        <v>@@@</v>
      </c>
    </row>
    <row r="241" spans="16:19">
      <c r="P241" s="975" t="s">
        <v>10896</v>
      </c>
      <c r="Q241" s="975"/>
      <c r="R241" s="975" t="s">
        <v>10897</v>
      </c>
      <c r="S241" s="9" t="str">
        <f t="shared" si="7"/>
        <v>@@@</v>
      </c>
    </row>
    <row r="242" spans="16:19">
      <c r="P242" s="975" t="s">
        <v>10898</v>
      </c>
      <c r="Q242" s="975"/>
      <c r="R242" s="975" t="s">
        <v>10899</v>
      </c>
      <c r="S242" s="9" t="str">
        <f t="shared" si="7"/>
        <v>@@@</v>
      </c>
    </row>
    <row r="243" spans="16:19">
      <c r="P243" s="975" t="s">
        <v>10900</v>
      </c>
      <c r="Q243" s="975"/>
      <c r="R243" s="975" t="s">
        <v>10901</v>
      </c>
      <c r="S243" s="9" t="str">
        <f t="shared" si="7"/>
        <v>@@@</v>
      </c>
    </row>
    <row r="244" spans="16:19">
      <c r="P244" s="975" t="s">
        <v>10902</v>
      </c>
      <c r="Q244" s="975"/>
      <c r="R244" s="975" t="s">
        <v>10903</v>
      </c>
      <c r="S244" s="9" t="str">
        <f t="shared" si="7"/>
        <v>@@@</v>
      </c>
    </row>
    <row r="245" spans="16:19">
      <c r="P245" s="975" t="s">
        <v>10904</v>
      </c>
      <c r="Q245" s="975"/>
      <c r="R245" s="975" t="s">
        <v>10905</v>
      </c>
      <c r="S245" s="9" t="str">
        <f t="shared" si="7"/>
        <v>@@@</v>
      </c>
    </row>
    <row r="246" spans="16:19">
      <c r="P246" s="975" t="s">
        <v>10906</v>
      </c>
      <c r="Q246" s="975"/>
      <c r="R246" s="975" t="s">
        <v>10907</v>
      </c>
      <c r="S246" s="9" t="str">
        <f t="shared" si="7"/>
        <v>@@@</v>
      </c>
    </row>
    <row r="247" spans="16:19">
      <c r="P247" s="976" t="s">
        <v>10908</v>
      </c>
      <c r="Q247" s="976"/>
      <c r="R247" s="976" t="s">
        <v>10909</v>
      </c>
      <c r="S247" s="9" t="str">
        <f>IF(Q230&lt;&gt;"","","@@@")</f>
        <v>@@@</v>
      </c>
    </row>
    <row r="248" spans="16:19">
      <c r="P248" s="976" t="s">
        <v>10910</v>
      </c>
      <c r="Q248" s="976"/>
      <c r="R248" s="976" t="s">
        <v>10911</v>
      </c>
      <c r="S248" s="9" t="str">
        <f>IF(Q230&lt;&gt;"","","@@@")</f>
        <v>@@@</v>
      </c>
    </row>
    <row r="249" spans="16:19">
      <c r="P249" s="976" t="s">
        <v>10912</v>
      </c>
      <c r="Q249" s="976"/>
      <c r="R249" s="976" t="s">
        <v>10913</v>
      </c>
      <c r="S249" s="9" t="str">
        <f>IF(Q230&lt;&gt;"","","@@@")</f>
        <v>@@@</v>
      </c>
    </row>
    <row r="250" spans="16:19">
      <c r="P250" s="976" t="s">
        <v>10914</v>
      </c>
      <c r="Q250" s="976"/>
      <c r="R250" s="976" t="s">
        <v>10915</v>
      </c>
      <c r="S250" s="9" t="str">
        <f>IF(Q230&lt;&gt;"","","@@@")</f>
        <v>@@@</v>
      </c>
    </row>
    <row r="251" spans="16:19">
      <c r="P251" s="9" t="s">
        <v>10916</v>
      </c>
      <c r="Q251" s="9"/>
      <c r="R251" s="9" t="s">
        <v>10917</v>
      </c>
      <c r="S251" s="9" t="str">
        <f t="shared" si="7"/>
        <v>@@@</v>
      </c>
    </row>
    <row r="252" spans="16:19">
      <c r="P252" s="9" t="s">
        <v>10892</v>
      </c>
      <c r="Q252" s="9"/>
      <c r="R252" s="9" t="s">
        <v>10918</v>
      </c>
      <c r="S252" s="9" t="str">
        <f t="shared" si="7"/>
        <v>@@@</v>
      </c>
    </row>
    <row r="253" spans="16:19">
      <c r="P253" s="9" t="s">
        <v>10894</v>
      </c>
      <c r="Q253" s="9"/>
      <c r="R253" s="9" t="s">
        <v>10919</v>
      </c>
      <c r="S253" s="9" t="str">
        <f t="shared" si="7"/>
        <v>@@@</v>
      </c>
    </row>
    <row r="254" spans="16:19">
      <c r="P254" s="9" t="s">
        <v>10896</v>
      </c>
      <c r="Q254" s="9"/>
      <c r="R254" s="9" t="s">
        <v>10920</v>
      </c>
      <c r="S254" s="9" t="str">
        <f t="shared" si="7"/>
        <v>@@@</v>
      </c>
    </row>
    <row r="255" spans="16:19">
      <c r="P255" s="9" t="s">
        <v>10898</v>
      </c>
      <c r="Q255" s="9"/>
      <c r="R255" s="9" t="s">
        <v>10921</v>
      </c>
      <c r="S255" s="9" t="str">
        <f t="shared" si="7"/>
        <v>@@@</v>
      </c>
    </row>
    <row r="256" spans="16:19">
      <c r="P256" s="9" t="s">
        <v>10900</v>
      </c>
      <c r="Q256" s="9"/>
      <c r="R256" s="9" t="s">
        <v>10922</v>
      </c>
      <c r="S256" s="9" t="str">
        <f t="shared" si="7"/>
        <v>@@@</v>
      </c>
    </row>
    <row r="257" spans="16:19">
      <c r="P257" s="9" t="s">
        <v>10902</v>
      </c>
      <c r="Q257" s="9"/>
      <c r="R257" s="9" t="s">
        <v>10923</v>
      </c>
      <c r="S257" s="9" t="str">
        <f t="shared" si="7"/>
        <v>@@@</v>
      </c>
    </row>
    <row r="258" spans="16:19">
      <c r="P258" s="9" t="s">
        <v>10924</v>
      </c>
      <c r="Q258" s="9"/>
      <c r="R258" s="9" t="s">
        <v>10925</v>
      </c>
      <c r="S258" s="9" t="str">
        <f t="shared" si="7"/>
        <v>@@@</v>
      </c>
    </row>
    <row r="259" spans="16:19">
      <c r="P259" s="9" t="s">
        <v>10926</v>
      </c>
      <c r="Q259" s="9"/>
      <c r="R259" s="9" t="s">
        <v>10927</v>
      </c>
      <c r="S259" s="9" t="str">
        <f t="shared" si="7"/>
        <v>@@@</v>
      </c>
    </row>
    <row r="260" spans="16:19">
      <c r="P260" s="9" t="s">
        <v>10928</v>
      </c>
      <c r="Q260" s="9"/>
      <c r="R260" s="9" t="s">
        <v>10929</v>
      </c>
      <c r="S260" s="9" t="str">
        <f t="shared" si="7"/>
        <v>@@@</v>
      </c>
    </row>
    <row r="261" spans="16:19">
      <c r="P261" s="9" t="s">
        <v>10930</v>
      </c>
      <c r="Q261" s="9"/>
      <c r="R261" s="9" t="s">
        <v>10931</v>
      </c>
      <c r="S261" s="9" t="str">
        <f t="shared" si="7"/>
        <v>@@@</v>
      </c>
    </row>
    <row r="262" spans="16:19">
      <c r="P262" s="9" t="s">
        <v>10876</v>
      </c>
      <c r="Q262" s="9"/>
      <c r="R262" s="9" t="s">
        <v>10932</v>
      </c>
      <c r="S262" s="9" t="str">
        <f t="shared" si="7"/>
        <v>@@@</v>
      </c>
    </row>
    <row r="263" spans="16:19">
      <c r="P263" s="976" t="s">
        <v>10908</v>
      </c>
      <c r="Q263" s="976"/>
      <c r="R263" s="976" t="s">
        <v>10933</v>
      </c>
      <c r="S263" s="9" t="str">
        <f>IF(Q251&lt;&gt;"","","@@@")</f>
        <v>@@@</v>
      </c>
    </row>
    <row r="264" spans="16:19">
      <c r="P264" s="976" t="s">
        <v>10910</v>
      </c>
      <c r="Q264" s="976"/>
      <c r="R264" s="976" t="s">
        <v>10934</v>
      </c>
      <c r="S264" s="9" t="str">
        <f>IF(Q251&lt;&gt;"","","@@@")</f>
        <v>@@@</v>
      </c>
    </row>
    <row r="265" spans="16:19">
      <c r="P265" s="976" t="s">
        <v>10912</v>
      </c>
      <c r="Q265" s="976"/>
      <c r="R265" s="976" t="s">
        <v>10935</v>
      </c>
      <c r="S265" s="9" t="str">
        <f>IF(Q251&lt;&gt;"","","@@@")</f>
        <v>@@@</v>
      </c>
    </row>
    <row r="266" spans="16:19">
      <c r="P266" s="976" t="s">
        <v>10914</v>
      </c>
      <c r="Q266" s="976"/>
      <c r="R266" s="976" t="s">
        <v>10936</v>
      </c>
      <c r="S266" s="9" t="str">
        <f>IF(Q251&lt;&gt;"","","@@@")</f>
        <v>@@@</v>
      </c>
    </row>
    <row r="267" spans="16:19">
      <c r="P267" s="975" t="s">
        <v>10937</v>
      </c>
      <c r="Q267" s="975"/>
      <c r="R267" s="975" t="s">
        <v>10938</v>
      </c>
      <c r="S267" s="9" t="str">
        <f>IF(Q267="","@@@",Q267)</f>
        <v>@@@</v>
      </c>
    </row>
    <row r="268" spans="16:19">
      <c r="P268" s="975" t="s">
        <v>10939</v>
      </c>
      <c r="Q268" s="975"/>
      <c r="R268" s="975" t="s">
        <v>10940</v>
      </c>
      <c r="S268" s="9" t="str">
        <f t="shared" ref="S268:S299" si="8">IF(Q268="","@@@",Q268)</f>
        <v>@@@</v>
      </c>
    </row>
    <row r="269" spans="16:19">
      <c r="P269" s="975" t="s">
        <v>10941</v>
      </c>
      <c r="Q269" s="975"/>
      <c r="R269" s="975" t="s">
        <v>10942</v>
      </c>
      <c r="S269" s="9" t="str">
        <f t="shared" si="8"/>
        <v>@@@</v>
      </c>
    </row>
    <row r="270" spans="16:19">
      <c r="P270" s="975" t="s">
        <v>10943</v>
      </c>
      <c r="Q270" s="975"/>
      <c r="R270" s="975" t="s">
        <v>10944</v>
      </c>
      <c r="S270" s="9" t="str">
        <f t="shared" si="8"/>
        <v>@@@</v>
      </c>
    </row>
    <row r="271" spans="16:19">
      <c r="P271" s="975" t="s">
        <v>10945</v>
      </c>
      <c r="Q271" s="975"/>
      <c r="R271" s="975" t="s">
        <v>10946</v>
      </c>
      <c r="S271" s="9" t="str">
        <f t="shared" si="8"/>
        <v>@@@</v>
      </c>
    </row>
    <row r="272" spans="16:19">
      <c r="P272" s="975" t="s">
        <v>10947</v>
      </c>
      <c r="Q272" s="975"/>
      <c r="R272" s="975" t="s">
        <v>10948</v>
      </c>
      <c r="S272" s="9" t="str">
        <f t="shared" si="8"/>
        <v>@@@</v>
      </c>
    </row>
    <row r="273" spans="16:19">
      <c r="P273" s="975" t="s">
        <v>10949</v>
      </c>
      <c r="Q273" s="975"/>
      <c r="R273" s="975" t="s">
        <v>10950</v>
      </c>
      <c r="S273" s="9" t="str">
        <f t="shared" si="8"/>
        <v>@@@</v>
      </c>
    </row>
    <row r="274" spans="16:19">
      <c r="P274" s="975" t="s">
        <v>10951</v>
      </c>
      <c r="Q274" s="975"/>
      <c r="R274" s="975" t="s">
        <v>10952</v>
      </c>
      <c r="S274" s="9" t="str">
        <f t="shared" si="8"/>
        <v>@@@</v>
      </c>
    </row>
    <row r="275" spans="16:19">
      <c r="P275" s="975" t="s">
        <v>10953</v>
      </c>
      <c r="Q275" s="975"/>
      <c r="R275" s="975" t="s">
        <v>10954</v>
      </c>
      <c r="S275" s="9" t="str">
        <f t="shared" si="8"/>
        <v>@@@</v>
      </c>
    </row>
    <row r="276" spans="16:19">
      <c r="P276" s="975" t="s">
        <v>10955</v>
      </c>
      <c r="Q276" s="975"/>
      <c r="R276" s="975" t="s">
        <v>10956</v>
      </c>
      <c r="S276" s="9" t="str">
        <f t="shared" si="8"/>
        <v>@@@</v>
      </c>
    </row>
    <row r="277" spans="16:19">
      <c r="P277" s="975" t="s">
        <v>10957</v>
      </c>
      <c r="Q277" s="975"/>
      <c r="R277" s="975" t="s">
        <v>10958</v>
      </c>
      <c r="S277" s="9" t="str">
        <f t="shared" si="8"/>
        <v>@@@</v>
      </c>
    </row>
    <row r="278" spans="16:19">
      <c r="P278" s="975" t="s">
        <v>10959</v>
      </c>
      <c r="Q278" s="975"/>
      <c r="R278" s="975" t="s">
        <v>10960</v>
      </c>
      <c r="S278" s="9" t="str">
        <f t="shared" si="8"/>
        <v>@@@</v>
      </c>
    </row>
    <row r="279" spans="16:19">
      <c r="P279" s="975" t="s">
        <v>10961</v>
      </c>
      <c r="Q279" s="975"/>
      <c r="R279" s="975" t="s">
        <v>10962</v>
      </c>
      <c r="S279" s="9" t="str">
        <f t="shared" si="8"/>
        <v>@@@</v>
      </c>
    </row>
    <row r="280" spans="16:19">
      <c r="P280" s="975" t="s">
        <v>10963</v>
      </c>
      <c r="Q280" s="975"/>
      <c r="R280" s="975" t="s">
        <v>10964</v>
      </c>
      <c r="S280" s="9" t="str">
        <f t="shared" si="8"/>
        <v>@@@</v>
      </c>
    </row>
    <row r="281" spans="16:19">
      <c r="P281" s="975" t="s">
        <v>10965</v>
      </c>
      <c r="Q281" s="975"/>
      <c r="R281" s="975" t="s">
        <v>10966</v>
      </c>
      <c r="S281" s="9" t="str">
        <f t="shared" si="8"/>
        <v>@@@</v>
      </c>
    </row>
    <row r="282" spans="16:19">
      <c r="P282" s="975" t="s">
        <v>10967</v>
      </c>
      <c r="Q282" s="975"/>
      <c r="R282" s="975" t="s">
        <v>10968</v>
      </c>
      <c r="S282" s="9" t="str">
        <f t="shared" si="8"/>
        <v>@@@</v>
      </c>
    </row>
    <row r="283" spans="16:19">
      <c r="P283" s="975" t="s">
        <v>10969</v>
      </c>
      <c r="Q283" s="975"/>
      <c r="R283" s="975" t="s">
        <v>10970</v>
      </c>
      <c r="S283" s="9" t="str">
        <f t="shared" si="8"/>
        <v>@@@</v>
      </c>
    </row>
    <row r="284" spans="16:19">
      <c r="P284" s="976" t="s">
        <v>10971</v>
      </c>
      <c r="Q284" s="976"/>
      <c r="R284" s="976" t="s">
        <v>10972</v>
      </c>
      <c r="S284" s="9" t="str">
        <f>IF(Q267&lt;&gt;"","","@@@")</f>
        <v>@@@</v>
      </c>
    </row>
    <row r="285" spans="16:19">
      <c r="P285" s="976" t="s">
        <v>10973</v>
      </c>
      <c r="Q285" s="976"/>
      <c r="R285" s="976" t="s">
        <v>10974</v>
      </c>
      <c r="S285" s="9" t="str">
        <f>IF(Q267&lt;&gt;"","","@@@")</f>
        <v>@@@</v>
      </c>
    </row>
    <row r="286" spans="16:19">
      <c r="P286" s="976" t="s">
        <v>10975</v>
      </c>
      <c r="Q286" s="976"/>
      <c r="R286" s="976" t="s">
        <v>10976</v>
      </c>
      <c r="S286" s="9" t="str">
        <f>IF(Q267&lt;&gt;"","","@@@")</f>
        <v>@@@</v>
      </c>
    </row>
    <row r="287" spans="16:19">
      <c r="P287" s="976" t="s">
        <v>10977</v>
      </c>
      <c r="Q287" s="976"/>
      <c r="R287" s="976" t="s">
        <v>10978</v>
      </c>
      <c r="S287" s="9" t="str">
        <f>IF(Q267&lt;&gt;"","","@@@")</f>
        <v>@@@</v>
      </c>
    </row>
    <row r="288" spans="16:19">
      <c r="P288" s="9" t="s">
        <v>10979</v>
      </c>
      <c r="Q288" s="9"/>
      <c r="R288" s="9" t="s">
        <v>10980</v>
      </c>
      <c r="S288" s="9" t="str">
        <f t="shared" si="8"/>
        <v>@@@</v>
      </c>
    </row>
    <row r="289" spans="16:19">
      <c r="P289" s="9" t="s">
        <v>10955</v>
      </c>
      <c r="Q289" s="9"/>
      <c r="R289" s="9" t="s">
        <v>10981</v>
      </c>
      <c r="S289" s="9" t="str">
        <f t="shared" si="8"/>
        <v>@@@</v>
      </c>
    </row>
    <row r="290" spans="16:19">
      <c r="P290" s="9" t="s">
        <v>10957</v>
      </c>
      <c r="Q290" s="9"/>
      <c r="R290" s="9" t="s">
        <v>10982</v>
      </c>
      <c r="S290" s="9" t="str">
        <f t="shared" si="8"/>
        <v>@@@</v>
      </c>
    </row>
    <row r="291" spans="16:19">
      <c r="P291" s="9" t="s">
        <v>10959</v>
      </c>
      <c r="Q291" s="9"/>
      <c r="R291" s="9" t="s">
        <v>10983</v>
      </c>
      <c r="S291" s="9" t="str">
        <f t="shared" si="8"/>
        <v>@@@</v>
      </c>
    </row>
    <row r="292" spans="16:19">
      <c r="P292" s="9" t="s">
        <v>10961</v>
      </c>
      <c r="Q292" s="9"/>
      <c r="R292" s="9" t="s">
        <v>10984</v>
      </c>
      <c r="S292" s="9" t="str">
        <f t="shared" si="8"/>
        <v>@@@</v>
      </c>
    </row>
    <row r="293" spans="16:19">
      <c r="P293" s="9" t="s">
        <v>10963</v>
      </c>
      <c r="Q293" s="9"/>
      <c r="R293" s="9" t="s">
        <v>10985</v>
      </c>
      <c r="S293" s="9" t="str">
        <f t="shared" si="8"/>
        <v>@@@</v>
      </c>
    </row>
    <row r="294" spans="16:19">
      <c r="P294" s="9" t="s">
        <v>10965</v>
      </c>
      <c r="Q294" s="9"/>
      <c r="R294" s="9" t="s">
        <v>10986</v>
      </c>
      <c r="S294" s="9" t="str">
        <f t="shared" si="8"/>
        <v>@@@</v>
      </c>
    </row>
    <row r="295" spans="16:19">
      <c r="P295" s="9" t="s">
        <v>10987</v>
      </c>
      <c r="Q295" s="9"/>
      <c r="R295" s="9" t="s">
        <v>10988</v>
      </c>
      <c r="S295" s="9" t="str">
        <f t="shared" si="8"/>
        <v>@@@</v>
      </c>
    </row>
    <row r="296" spans="16:19">
      <c r="P296" s="9" t="s">
        <v>10989</v>
      </c>
      <c r="Q296" s="9"/>
      <c r="R296" s="9" t="s">
        <v>10990</v>
      </c>
      <c r="S296" s="9" t="str">
        <f t="shared" si="8"/>
        <v>@@@</v>
      </c>
    </row>
    <row r="297" spans="16:19">
      <c r="P297" s="9" t="s">
        <v>10991</v>
      </c>
      <c r="Q297" s="9"/>
      <c r="R297" s="9" t="s">
        <v>10992</v>
      </c>
      <c r="S297" s="9" t="str">
        <f t="shared" si="8"/>
        <v>@@@</v>
      </c>
    </row>
    <row r="298" spans="16:19">
      <c r="P298" s="9" t="s">
        <v>10993</v>
      </c>
      <c r="Q298" s="9"/>
      <c r="R298" s="9" t="s">
        <v>10994</v>
      </c>
      <c r="S298" s="9" t="str">
        <f t="shared" si="8"/>
        <v>@@@</v>
      </c>
    </row>
    <row r="299" spans="16:19">
      <c r="P299" s="9" t="s">
        <v>10939</v>
      </c>
      <c r="Q299" s="9"/>
      <c r="R299" s="9" t="s">
        <v>10995</v>
      </c>
      <c r="S299" s="9" t="str">
        <f t="shared" si="8"/>
        <v>@@@</v>
      </c>
    </row>
    <row r="300" spans="16:19">
      <c r="P300" s="976" t="s">
        <v>10971</v>
      </c>
      <c r="Q300" s="976"/>
      <c r="R300" s="976" t="s">
        <v>10996</v>
      </c>
      <c r="S300" s="9" t="str">
        <f>IF(Q288&lt;&gt;"","","@@@")</f>
        <v>@@@</v>
      </c>
    </row>
    <row r="301" spans="16:19">
      <c r="P301" s="976" t="s">
        <v>10973</v>
      </c>
      <c r="Q301" s="976"/>
      <c r="R301" s="976" t="s">
        <v>10997</v>
      </c>
      <c r="S301" s="9" t="str">
        <f>IF(Q288&lt;&gt;"","","@@@")</f>
        <v>@@@</v>
      </c>
    </row>
    <row r="302" spans="16:19">
      <c r="P302" s="976" t="s">
        <v>10975</v>
      </c>
      <c r="Q302" s="976"/>
      <c r="R302" s="976" t="s">
        <v>10998</v>
      </c>
      <c r="S302" s="9" t="str">
        <f>IF(Q288&lt;&gt;"","","@@@")</f>
        <v>@@@</v>
      </c>
    </row>
    <row r="303" spans="16:19">
      <c r="P303" s="976" t="s">
        <v>10977</v>
      </c>
      <c r="Q303" s="976"/>
      <c r="R303" s="976" t="s">
        <v>10999</v>
      </c>
      <c r="S303" s="9" t="str">
        <f>IF(Q288&lt;&gt;"","","@@@")</f>
        <v>@@@</v>
      </c>
    </row>
    <row r="304" spans="16:19">
      <c r="P304" s="976" t="s">
        <v>11000</v>
      </c>
      <c r="Q304" s="976"/>
      <c r="R304" s="976" t="s">
        <v>11001</v>
      </c>
      <c r="S304" s="9" t="str">
        <f>IF(OR(Q156&lt;&gt;"",Q177&lt;&gt;""),"","@@@")</f>
        <v>@@@</v>
      </c>
    </row>
  </sheetData>
  <mergeCells count="1">
    <mergeCell ref="P6:W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D361-1E6C-4774-8F11-1E46C77DC98B}">
  <sheetPr codeName="Planilha10">
    <tabColor rgb="FF7030A0"/>
  </sheetPr>
  <dimension ref="A1:ASC416"/>
  <sheetViews>
    <sheetView topLeftCell="O21" zoomScale="87" zoomScaleNormal="87" workbookViewId="0">
      <selection activeCell="D11" sqref="D11"/>
    </sheetView>
  </sheetViews>
  <sheetFormatPr defaultColWidth="0" defaultRowHeight="15.75" zeroHeight="1" outlineLevelCol="1"/>
  <cols>
    <col min="1" max="1" width="1.7109375" style="922" customWidth="1"/>
    <col min="2" max="2" width="1.7109375" style="921" customWidth="1"/>
    <col min="3" max="3" width="23" style="921" customWidth="1"/>
    <col min="4" max="4" width="16.42578125" style="921" customWidth="1"/>
    <col min="5" max="5" width="18.7109375" style="921" customWidth="1"/>
    <col min="6" max="6" width="19" style="921" customWidth="1"/>
    <col min="7" max="7" width="19.7109375" style="921" customWidth="1"/>
    <col min="8" max="8" width="14.28515625" style="921" customWidth="1"/>
    <col min="9" max="9" width="12.28515625" style="921" customWidth="1"/>
    <col min="10" max="10" width="3.28515625" style="921" customWidth="1"/>
    <col min="11" max="11" width="2" style="921" customWidth="1"/>
    <col min="12" max="12" width="1.7109375" style="921" customWidth="1"/>
    <col min="13" max="13" width="2.28515625" style="921" customWidth="1"/>
    <col min="14" max="14" width="14.42578125" style="921" customWidth="1"/>
    <col min="15" max="15" width="21.28515625" style="921" customWidth="1"/>
    <col min="16" max="16" width="2.42578125" style="921" customWidth="1"/>
    <col min="17" max="17" width="20.5703125" style="921" customWidth="1"/>
    <col min="18" max="18" width="4.5703125" style="921" customWidth="1"/>
    <col min="19" max="19" width="2" style="922" customWidth="1"/>
    <col min="20" max="20" width="0.7109375" style="921" customWidth="1"/>
    <col min="21" max="21" width="1.7109375" style="921" customWidth="1"/>
    <col min="22" max="22" width="34.5703125" style="921" customWidth="1"/>
    <col min="23" max="23" width="17.7109375" style="921" customWidth="1"/>
    <col min="24" max="24" width="2.28515625" style="921" customWidth="1"/>
    <col min="25" max="25" width="16.42578125" style="921" customWidth="1"/>
    <col min="26" max="26" width="18.5703125" style="921" customWidth="1"/>
    <col min="27" max="27" width="15.5703125" style="921" customWidth="1"/>
    <col min="28" max="30" width="15.5703125" style="921" customWidth="1" outlineLevel="1"/>
    <col min="31" max="31" width="2" style="921" customWidth="1"/>
    <col min="32" max="32" width="17.28515625" style="921" customWidth="1" outlineLevel="1"/>
    <col min="33" max="33" width="15.28515625" style="921" customWidth="1"/>
    <col min="34" max="34" width="13" style="921" customWidth="1"/>
    <col min="35" max="37" width="15.5703125" style="921" customWidth="1"/>
    <col min="38" max="38" width="12.5703125" style="921" customWidth="1"/>
    <col min="39" max="39" width="3.28515625" style="921" customWidth="1"/>
    <col min="40" max="1173" width="0" style="921" hidden="1" customWidth="1"/>
    <col min="1174" max="16384" width="8.7109375" style="921" hidden="1"/>
  </cols>
  <sheetData>
    <row r="1" spans="1:39" s="610" customFormat="1" ht="8.85" customHeight="1">
      <c r="A1" s="840"/>
      <c r="B1" s="840"/>
      <c r="C1" s="840"/>
      <c r="D1" s="840"/>
      <c r="E1" s="840"/>
      <c r="F1" s="840"/>
      <c r="G1" s="840"/>
      <c r="H1" s="840"/>
      <c r="I1" s="840"/>
      <c r="J1" s="840"/>
      <c r="K1" s="840"/>
      <c r="L1" s="840"/>
      <c r="M1" s="840"/>
      <c r="N1" s="840"/>
      <c r="O1" s="840"/>
      <c r="P1" s="840"/>
      <c r="Q1" s="840"/>
      <c r="R1" s="840"/>
      <c r="S1" s="840"/>
      <c r="T1" s="840"/>
      <c r="U1" s="840"/>
      <c r="V1" s="840"/>
      <c r="W1" s="840"/>
      <c r="X1" s="840"/>
      <c r="Y1" s="840"/>
      <c r="Z1" s="840"/>
      <c r="AA1" s="840"/>
      <c r="AB1" s="840"/>
      <c r="AC1" s="840"/>
      <c r="AD1" s="840"/>
      <c r="AE1" s="840"/>
      <c r="AF1" s="840"/>
      <c r="AG1" s="840"/>
      <c r="AH1" s="840"/>
      <c r="AI1" s="840"/>
      <c r="AJ1" s="840"/>
      <c r="AK1" s="840"/>
      <c r="AL1" s="840"/>
      <c r="AM1" s="840"/>
    </row>
    <row r="2" spans="1:39" s="610" customFormat="1">
      <c r="A2" s="840"/>
      <c r="B2" s="527"/>
      <c r="C2" s="527"/>
      <c r="D2" s="527"/>
      <c r="E2" s="527"/>
      <c r="F2" s="527"/>
      <c r="G2" s="527"/>
      <c r="H2" s="527"/>
      <c r="I2" s="527"/>
      <c r="J2" s="527"/>
      <c r="K2" s="527"/>
      <c r="L2" s="527"/>
      <c r="M2" s="840"/>
      <c r="N2" s="848"/>
      <c r="O2" s="849"/>
      <c r="P2" s="849"/>
      <c r="Q2" s="849"/>
      <c r="R2" s="849"/>
      <c r="S2" s="840"/>
      <c r="T2" s="840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  <c r="AG2" s="641"/>
      <c r="AH2" s="641"/>
      <c r="AI2" s="641"/>
      <c r="AJ2" s="641"/>
      <c r="AK2" s="641"/>
      <c r="AL2" s="641"/>
      <c r="AM2" s="641"/>
    </row>
    <row r="3" spans="1:39" s="610" customFormat="1">
      <c r="A3" s="840"/>
      <c r="B3" s="527"/>
      <c r="C3" s="527"/>
      <c r="D3" s="527"/>
      <c r="E3" s="527"/>
      <c r="F3" s="527"/>
      <c r="G3" s="527"/>
      <c r="H3" s="527"/>
      <c r="I3" s="527"/>
      <c r="J3" s="527"/>
      <c r="K3" s="527"/>
      <c r="L3" s="527"/>
      <c r="M3" s="840"/>
      <c r="N3" s="850"/>
      <c r="O3" s="621"/>
      <c r="P3" s="621"/>
      <c r="Q3" s="621"/>
      <c r="R3" s="621"/>
      <c r="S3" s="840"/>
      <c r="T3" s="840"/>
      <c r="U3" s="641"/>
      <c r="V3" s="641"/>
      <c r="W3" s="641"/>
      <c r="X3" s="641"/>
      <c r="Y3" s="641"/>
      <c r="Z3" s="641"/>
      <c r="AA3" s="641"/>
      <c r="AB3" s="641"/>
      <c r="AC3" s="641"/>
      <c r="AD3" s="641"/>
      <c r="AE3" s="641"/>
      <c r="AF3" s="641"/>
      <c r="AG3" s="641"/>
      <c r="AH3" s="641"/>
      <c r="AI3" s="641"/>
      <c r="AJ3" s="641"/>
      <c r="AK3" s="641"/>
      <c r="AL3" s="641"/>
      <c r="AM3" s="641"/>
    </row>
    <row r="4" spans="1:39" s="610" customFormat="1">
      <c r="A4" s="840"/>
      <c r="B4" s="527"/>
      <c r="C4" s="527"/>
      <c r="D4" s="527"/>
      <c r="E4" s="527"/>
      <c r="F4" s="527"/>
      <c r="G4" s="527"/>
      <c r="H4" s="527"/>
      <c r="I4" s="527"/>
      <c r="J4" s="527"/>
      <c r="K4" s="527"/>
      <c r="L4" s="527"/>
      <c r="M4" s="840"/>
      <c r="N4" s="850"/>
      <c r="O4" s="621"/>
      <c r="P4" s="621"/>
      <c r="Q4" s="621"/>
      <c r="R4" s="621"/>
      <c r="S4" s="840"/>
      <c r="T4" s="840"/>
      <c r="U4" s="641"/>
      <c r="V4" s="641"/>
      <c r="W4" s="641"/>
      <c r="X4" s="641"/>
      <c r="Y4" s="641"/>
      <c r="Z4" s="641"/>
      <c r="AA4" s="641"/>
      <c r="AB4" s="641"/>
      <c r="AC4" s="641"/>
      <c r="AD4" s="641"/>
      <c r="AE4" s="641"/>
      <c r="AF4" s="641"/>
      <c r="AG4" s="641"/>
      <c r="AH4" s="641"/>
      <c r="AI4" s="641"/>
      <c r="AJ4" s="641"/>
      <c r="AK4" s="641"/>
      <c r="AL4" s="641"/>
      <c r="AM4" s="641"/>
    </row>
    <row r="5" spans="1:39" s="610" customFormat="1" ht="12.6" customHeight="1">
      <c r="A5" s="840"/>
      <c r="B5" s="527"/>
      <c r="C5" s="527"/>
      <c r="D5" s="527"/>
      <c r="E5" s="527"/>
      <c r="F5" s="527"/>
      <c r="G5" s="527"/>
      <c r="H5" s="527"/>
      <c r="I5" s="527"/>
      <c r="J5" s="527"/>
      <c r="K5" s="527"/>
      <c r="L5" s="527"/>
      <c r="M5" s="840"/>
      <c r="N5" s="850"/>
      <c r="O5" s="621"/>
      <c r="P5" s="621"/>
      <c r="Q5" s="621"/>
      <c r="R5" s="621"/>
      <c r="S5" s="840"/>
      <c r="T5" s="840"/>
      <c r="U5" s="641"/>
      <c r="V5" s="641"/>
      <c r="W5" s="641"/>
      <c r="X5" s="641"/>
      <c r="Y5" s="641"/>
      <c r="Z5" s="641"/>
      <c r="AA5" s="641"/>
      <c r="AB5" s="641"/>
      <c r="AC5" s="641"/>
      <c r="AD5" s="641"/>
      <c r="AE5" s="641"/>
      <c r="AF5" s="641"/>
      <c r="AG5" s="641"/>
      <c r="AH5" s="641"/>
      <c r="AI5" s="641"/>
      <c r="AJ5" s="641"/>
      <c r="AK5" s="641"/>
      <c r="AL5" s="641"/>
      <c r="AM5" s="641"/>
    </row>
    <row r="6" spans="1:39" s="610" customFormat="1" ht="26.85" customHeight="1">
      <c r="A6" s="840"/>
      <c r="B6" s="527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840"/>
      <c r="N6" s="850"/>
      <c r="O6" s="621"/>
      <c r="P6" s="621"/>
      <c r="Q6" s="621"/>
      <c r="R6" s="621"/>
      <c r="S6" s="840"/>
      <c r="T6" s="840"/>
      <c r="U6" s="641"/>
      <c r="V6" s="641"/>
      <c r="W6" s="641"/>
      <c r="X6" s="641"/>
      <c r="Y6" s="641"/>
      <c r="Z6" s="641"/>
      <c r="AA6" s="641"/>
      <c r="AB6" s="641"/>
      <c r="AC6" s="641"/>
      <c r="AD6" s="641"/>
      <c r="AE6" s="641"/>
      <c r="AF6" s="641"/>
      <c r="AG6" s="641"/>
      <c r="AH6" s="641"/>
      <c r="AI6" s="641"/>
      <c r="AJ6" s="641"/>
      <c r="AK6" s="641"/>
      <c r="AL6" s="641"/>
      <c r="AM6" s="641"/>
    </row>
    <row r="7" spans="1:39" s="610" customFormat="1" ht="44.85" customHeight="1">
      <c r="A7" s="840"/>
      <c r="B7" s="527"/>
      <c r="C7" s="527"/>
      <c r="D7" s="527"/>
      <c r="E7" s="913"/>
      <c r="F7" s="913"/>
      <c r="G7" s="913"/>
      <c r="H7" s="913"/>
      <c r="I7" s="913"/>
      <c r="J7" s="913"/>
      <c r="K7" s="527"/>
      <c r="L7" s="527"/>
      <c r="M7" s="840"/>
      <c r="N7" s="850"/>
      <c r="O7" s="919" t="s">
        <v>632</v>
      </c>
      <c r="P7" s="621"/>
      <c r="Q7" s="529" t="s">
        <v>120</v>
      </c>
      <c r="R7" s="621"/>
      <c r="S7" s="840"/>
      <c r="T7" s="840"/>
      <c r="U7" s="641"/>
      <c r="V7" s="641"/>
      <c r="W7" s="641"/>
      <c r="X7" s="641"/>
      <c r="Y7" s="641"/>
      <c r="Z7" s="641"/>
      <c r="AA7" s="641"/>
      <c r="AB7" s="641"/>
      <c r="AC7" s="641"/>
      <c r="AD7" s="641"/>
      <c r="AE7" s="641"/>
      <c r="AF7" s="641"/>
      <c r="AG7" s="641"/>
      <c r="AH7" s="641"/>
      <c r="AI7" s="641"/>
      <c r="AJ7" s="641"/>
      <c r="AK7" s="641"/>
      <c r="AL7" s="641"/>
      <c r="AM7" s="641"/>
    </row>
    <row r="8" spans="1:39" s="610" customFormat="1" ht="16.5" thickBot="1">
      <c r="A8" s="840"/>
      <c r="B8" s="527"/>
      <c r="C8" s="527" t="s">
        <v>525</v>
      </c>
      <c r="D8" s="527"/>
      <c r="E8" s="1007" t="s">
        <v>11027</v>
      </c>
      <c r="F8" s="1008"/>
      <c r="G8" s="1008"/>
      <c r="H8" s="1008"/>
      <c r="I8" s="1008"/>
      <c r="J8" s="1009"/>
      <c r="K8" s="527"/>
      <c r="L8" s="527"/>
      <c r="M8" s="840"/>
      <c r="N8" s="850"/>
      <c r="O8" s="621"/>
      <c r="P8" s="621"/>
      <c r="Q8" s="621"/>
      <c r="R8" s="621"/>
      <c r="S8" s="840"/>
      <c r="T8" s="840"/>
      <c r="U8" s="641"/>
      <c r="V8" s="641"/>
      <c r="W8" s="641"/>
      <c r="X8" s="642"/>
      <c r="Y8" s="642"/>
      <c r="Z8" s="642"/>
      <c r="AA8" s="642"/>
      <c r="AB8" s="642"/>
      <c r="AC8" s="642"/>
      <c r="AD8" s="642"/>
      <c r="AE8" s="642"/>
      <c r="AF8" s="642"/>
      <c r="AG8" s="642"/>
      <c r="AH8" s="642"/>
      <c r="AI8" s="642"/>
      <c r="AJ8" s="642"/>
      <c r="AK8" s="641"/>
      <c r="AL8" s="641"/>
      <c r="AM8" s="641"/>
    </row>
    <row r="9" spans="1:39" s="610" customFormat="1">
      <c r="A9" s="840"/>
      <c r="B9" s="527"/>
      <c r="C9" s="527"/>
      <c r="D9" s="527"/>
      <c r="E9" s="527"/>
      <c r="F9" s="527"/>
      <c r="G9" s="527"/>
      <c r="H9" s="527"/>
      <c r="I9" s="527"/>
      <c r="J9" s="527"/>
      <c r="K9" s="527"/>
      <c r="L9" s="527"/>
      <c r="M9" s="840"/>
      <c r="N9" s="851"/>
      <c r="O9" s="846" t="str">
        <f>IF(D22="PF",IF($C$22&lt;&gt;"",$C$22,""),"")</f>
        <v>AGOSTINHO FRANCISCO DE SOUZA</v>
      </c>
      <c r="P9" s="847"/>
      <c r="Q9" s="846" t="str">
        <f>IF(D23="PF",IF($C$23&lt;&gt;"",$C$23,""),"")</f>
        <v>MARIETE DIEGUES DE SOUZA</v>
      </c>
      <c r="R9" s="621"/>
      <c r="S9" s="840"/>
      <c r="T9" s="840"/>
      <c r="U9" s="641"/>
      <c r="V9" s="1004" t="s">
        <v>524</v>
      </c>
      <c r="W9" s="1006"/>
      <c r="X9" s="642"/>
      <c r="Y9" s="642"/>
      <c r="Z9" s="1004" t="s">
        <v>523</v>
      </c>
      <c r="AA9" s="1006"/>
      <c r="AB9" s="643"/>
      <c r="AC9" s="643"/>
      <c r="AD9" s="643"/>
      <c r="AE9" s="643"/>
      <c r="AF9" s="643"/>
      <c r="AG9" s="643"/>
      <c r="AH9" s="1004" t="s">
        <v>522</v>
      </c>
      <c r="AI9" s="1005"/>
      <c r="AJ9" s="1006"/>
      <c r="AK9" s="641"/>
      <c r="AL9" s="641"/>
      <c r="AM9" s="641"/>
    </row>
    <row r="10" spans="1:39" s="610" customFormat="1">
      <c r="A10" s="840"/>
      <c r="B10" s="527"/>
      <c r="C10" s="527"/>
      <c r="D10" s="527"/>
      <c r="E10" s="527"/>
      <c r="F10" s="527"/>
      <c r="G10" s="527"/>
      <c r="H10" s="527"/>
      <c r="I10" s="527"/>
      <c r="J10" s="527"/>
      <c r="K10" s="527"/>
      <c r="L10" s="527"/>
      <c r="M10" s="840"/>
      <c r="N10" s="852" t="s">
        <v>521</v>
      </c>
      <c r="O10" s="843" t="s">
        <v>520</v>
      </c>
      <c r="P10" s="621"/>
      <c r="Q10" s="841" t="s">
        <v>520</v>
      </c>
      <c r="R10" s="621"/>
      <c r="S10" s="840"/>
      <c r="T10" s="840"/>
      <c r="U10" s="641"/>
      <c r="V10" s="644" t="s">
        <v>519</v>
      </c>
      <c r="W10" s="636">
        <f ca="1">IF(W31="SAC",SAC_CORR!C2,PRICE_CORR!C2)</f>
        <v>185234.90145170517</v>
      </c>
      <c r="X10" s="642"/>
      <c r="Y10" s="642"/>
      <c r="Z10" s="645"/>
      <c r="AA10" s="646"/>
      <c r="AB10" s="647"/>
      <c r="AC10" s="647"/>
      <c r="AD10" s="647"/>
      <c r="AE10" s="647"/>
      <c r="AF10" s="647"/>
      <c r="AG10" s="647"/>
      <c r="AH10" s="648"/>
      <c r="AI10" s="649"/>
      <c r="AJ10" s="650"/>
      <c r="AK10" s="641"/>
      <c r="AL10" s="641"/>
      <c r="AM10" s="641"/>
    </row>
    <row r="11" spans="1:39" s="610" customFormat="1">
      <c r="A11" s="840"/>
      <c r="B11" s="527"/>
      <c r="C11" s="611" t="s">
        <v>518</v>
      </c>
      <c r="D11" s="845">
        <v>250000</v>
      </c>
      <c r="E11" s="614" t="s">
        <v>694</v>
      </c>
      <c r="F11" s="526">
        <v>528701355</v>
      </c>
      <c r="G11" s="612" t="s">
        <v>517</v>
      </c>
      <c r="H11" s="517">
        <v>2</v>
      </c>
      <c r="I11" s="527"/>
      <c r="J11" s="527"/>
      <c r="K11" s="527"/>
      <c r="L11" s="527"/>
      <c r="M11" s="840"/>
      <c r="N11" s="852" t="s">
        <v>516</v>
      </c>
      <c r="O11" s="518" t="s">
        <v>122</v>
      </c>
      <c r="P11" s="621"/>
      <c r="Q11" s="518" t="s">
        <v>122</v>
      </c>
      <c r="R11" s="621"/>
      <c r="S11" s="840"/>
      <c r="T11" s="840"/>
      <c r="U11" s="641"/>
      <c r="V11" s="651" t="s">
        <v>515</v>
      </c>
      <c r="W11" s="637">
        <f>MIN(D11,AA14,AA13)</f>
        <v>169200</v>
      </c>
      <c r="X11" s="642"/>
      <c r="Y11" s="642"/>
      <c r="Z11" s="645"/>
      <c r="AA11" s="646"/>
      <c r="AB11" s="647"/>
      <c r="AC11" s="647"/>
      <c r="AD11" s="647"/>
      <c r="AE11" s="647"/>
      <c r="AF11" s="647"/>
      <c r="AG11" s="647"/>
      <c r="AH11" s="645"/>
      <c r="AI11" s="647"/>
      <c r="AJ11" s="652"/>
      <c r="AK11" s="641"/>
      <c r="AL11" s="641"/>
      <c r="AM11" s="641"/>
    </row>
    <row r="12" spans="1:39" s="610" customFormat="1">
      <c r="A12" s="840"/>
      <c r="B12" s="527"/>
      <c r="C12" s="611" t="s">
        <v>514</v>
      </c>
      <c r="D12" s="518">
        <v>240</v>
      </c>
      <c r="E12" s="527"/>
      <c r="F12" s="527"/>
      <c r="G12" s="527"/>
      <c r="H12" s="527"/>
      <c r="I12" s="527"/>
      <c r="J12" s="527"/>
      <c r="K12" s="527"/>
      <c r="L12" s="527"/>
      <c r="M12" s="840"/>
      <c r="N12" s="852" t="s">
        <v>513</v>
      </c>
      <c r="O12" s="841" t="s">
        <v>399</v>
      </c>
      <c r="P12" s="621"/>
      <c r="Q12" s="841" t="s">
        <v>399</v>
      </c>
      <c r="R12" s="621"/>
      <c r="S12" s="840"/>
      <c r="T12" s="840"/>
      <c r="U12" s="641"/>
      <c r="V12" s="644" t="s">
        <v>512</v>
      </c>
      <c r="W12" s="636">
        <f>IF(Colateral!P68&gt;0,Colateral!P68,Colateral!P71)</f>
        <v>376000</v>
      </c>
      <c r="X12" s="642"/>
      <c r="Y12" s="642"/>
      <c r="Z12" s="644" t="s">
        <v>511</v>
      </c>
      <c r="AA12" s="636">
        <f>AA13+(AA13*3.5%)+(AA13/(1-3.38%)-AA13)+LOOKUP(D11,Registro!B:D)</f>
        <v>183334.96297660941</v>
      </c>
      <c r="AB12" s="647"/>
      <c r="AC12" s="647"/>
      <c r="AD12" s="647"/>
      <c r="AE12" s="647"/>
      <c r="AF12" s="647"/>
      <c r="AG12" s="647"/>
      <c r="AH12" s="653" t="s">
        <v>510</v>
      </c>
      <c r="AI12" s="654"/>
      <c r="AJ12" s="652"/>
      <c r="AK12" s="641"/>
      <c r="AL12" s="641"/>
      <c r="AM12" s="641"/>
    </row>
    <row r="13" spans="1:39" s="610" customFormat="1">
      <c r="A13" s="840"/>
      <c r="B13" s="527"/>
      <c r="C13" s="611" t="s">
        <v>509</v>
      </c>
      <c r="D13" s="841" t="s">
        <v>45</v>
      </c>
      <c r="E13" s="614" t="s">
        <v>772</v>
      </c>
      <c r="F13" s="516" t="s">
        <v>11030</v>
      </c>
      <c r="G13" s="616" t="s">
        <v>69</v>
      </c>
      <c r="H13" s="516" t="s">
        <v>110</v>
      </c>
      <c r="I13" s="527"/>
      <c r="J13" s="527"/>
      <c r="K13" s="527"/>
      <c r="L13" s="527"/>
      <c r="M13" s="840"/>
      <c r="N13" s="852" t="s">
        <v>508</v>
      </c>
      <c r="O13" s="518" t="s">
        <v>397</v>
      </c>
      <c r="P13" s="621"/>
      <c r="Q13" s="518" t="s">
        <v>404</v>
      </c>
      <c r="R13" s="621"/>
      <c r="S13" s="840"/>
      <c r="T13" s="840"/>
      <c r="U13" s="641"/>
      <c r="V13" s="651" t="s">
        <v>507</v>
      </c>
      <c r="W13" s="638">
        <f ca="1">W10/W12</f>
        <v>0.49264601449921586</v>
      </c>
      <c r="X13" s="642"/>
      <c r="Y13" s="642"/>
      <c r="Z13" s="644" t="s">
        <v>506</v>
      </c>
      <c r="AA13" s="636">
        <f>IF(D15="Residencial",W12*50%,IF(D15="Comercial",W12*45%,IF(D15="Logísitco",W12*40%,W12*40%)))</f>
        <v>169200</v>
      </c>
      <c r="AB13" s="647"/>
      <c r="AC13" s="647"/>
      <c r="AD13" s="647"/>
      <c r="AE13" s="647"/>
      <c r="AF13" s="647"/>
      <c r="AG13" s="647"/>
      <c r="AH13" s="653" t="s">
        <v>505</v>
      </c>
      <c r="AI13" s="654"/>
      <c r="AJ13" s="652"/>
      <c r="AK13" s="641"/>
      <c r="AL13" s="641"/>
      <c r="AM13" s="641"/>
    </row>
    <row r="14" spans="1:39" s="610" customFormat="1">
      <c r="A14" s="840"/>
      <c r="B14" s="527"/>
      <c r="C14" s="611" t="s">
        <v>504</v>
      </c>
      <c r="D14" s="518" t="s">
        <v>24</v>
      </c>
      <c r="E14" s="615" t="s">
        <v>628</v>
      </c>
      <c r="F14" s="615"/>
      <c r="G14" s="527"/>
      <c r="H14" s="527"/>
      <c r="I14" s="527"/>
      <c r="J14" s="527"/>
      <c r="K14" s="527"/>
      <c r="L14" s="527"/>
      <c r="M14" s="840"/>
      <c r="N14" s="852" t="s">
        <v>503</v>
      </c>
      <c r="O14" s="841" t="s">
        <v>568</v>
      </c>
      <c r="P14" s="621"/>
      <c r="Q14" s="841" t="s">
        <v>568</v>
      </c>
      <c r="R14" s="621"/>
      <c r="S14" s="840"/>
      <c r="T14" s="840"/>
      <c r="U14" s="641"/>
      <c r="V14" s="644" t="s">
        <v>501</v>
      </c>
      <c r="W14" s="639">
        <f>W11/W12</f>
        <v>0.45</v>
      </c>
      <c r="X14" s="642"/>
      <c r="Y14" s="642"/>
      <c r="Z14" s="644" t="s">
        <v>500</v>
      </c>
      <c r="AA14" s="636">
        <f>AA15-(VLOOKUP(W12,Registro!B:D,3))-(AA15*(IF(D14="PF",3.312%,1.836%)))-(AA15*3.5%)</f>
        <v>729567.62645907246</v>
      </c>
      <c r="AB14" s="641"/>
      <c r="AC14" s="641"/>
      <c r="AD14" s="641"/>
      <c r="AE14" s="641"/>
      <c r="AF14" s="641"/>
      <c r="AG14" s="641"/>
      <c r="AH14" s="653" t="s">
        <v>499</v>
      </c>
      <c r="AI14" s="654"/>
      <c r="AJ14" s="652"/>
      <c r="AK14" s="641"/>
      <c r="AL14" s="641"/>
      <c r="AM14" s="641"/>
    </row>
    <row r="15" spans="1:39" s="610" customFormat="1">
      <c r="A15" s="840"/>
      <c r="B15" s="527"/>
      <c r="C15" s="611" t="s">
        <v>498</v>
      </c>
      <c r="D15" s="841" t="s">
        <v>385</v>
      </c>
      <c r="E15" s="615"/>
      <c r="F15" s="615"/>
      <c r="G15" s="527"/>
      <c r="H15" s="527"/>
      <c r="I15" s="527"/>
      <c r="J15" s="527"/>
      <c r="K15" s="527"/>
      <c r="L15" s="527"/>
      <c r="M15" s="840"/>
      <c r="N15" s="852" t="s">
        <v>497</v>
      </c>
      <c r="O15" s="518">
        <v>940</v>
      </c>
      <c r="P15" s="621"/>
      <c r="Q15" s="518">
        <v>877</v>
      </c>
      <c r="R15" s="621"/>
      <c r="S15" s="840"/>
      <c r="T15" s="840"/>
      <c r="U15" s="641"/>
      <c r="V15" s="644" t="s">
        <v>496</v>
      </c>
      <c r="W15" s="639">
        <f ca="1">IF(D13="SAC",MAX(SAC_CORR!E18:E339),MAX(PRICE_CORR!E18:E339))/Inputs!W12</f>
        <v>0.52547341446158502</v>
      </c>
      <c r="X15" s="642"/>
      <c r="Y15" s="642"/>
      <c r="Z15" s="644" t="s">
        <v>495</v>
      </c>
      <c r="AA15" s="636">
        <f>IF(D13="SAC",((H29*35%)-W23-W25*W12)/(1+$W$32)^D16/(1+D12*(W32+W24))*D12,-PV(W32+W24,D12,(H29*0.3-W23-W25*W12)/(1+W32)^D16))</f>
        <v>785867.5971788991</v>
      </c>
      <c r="AB15" s="641"/>
      <c r="AC15" s="641"/>
      <c r="AD15" s="641"/>
      <c r="AE15" s="641"/>
      <c r="AF15" s="641"/>
      <c r="AG15" s="641"/>
      <c r="AH15" s="655"/>
      <c r="AI15" s="641"/>
      <c r="AJ15" s="652"/>
      <c r="AK15" s="641"/>
      <c r="AL15" s="641"/>
      <c r="AM15" s="641"/>
    </row>
    <row r="16" spans="1:39" s="610" customFormat="1">
      <c r="A16" s="840"/>
      <c r="B16" s="527"/>
      <c r="C16" s="611" t="s">
        <v>26</v>
      </c>
      <c r="D16" s="518">
        <v>6</v>
      </c>
      <c r="E16" s="615" t="s">
        <v>628</v>
      </c>
      <c r="F16" s="615"/>
      <c r="G16" s="527"/>
      <c r="H16" s="527"/>
      <c r="I16" s="527"/>
      <c r="J16" s="527"/>
      <c r="K16" s="527"/>
      <c r="L16" s="527"/>
      <c r="M16" s="840"/>
      <c r="N16" s="850"/>
      <c r="O16" s="621"/>
      <c r="P16" s="621"/>
      <c r="Q16" s="621"/>
      <c r="R16" s="621"/>
      <c r="S16" s="840"/>
      <c r="T16" s="840"/>
      <c r="U16" s="641"/>
      <c r="V16" s="651" t="s">
        <v>494</v>
      </c>
      <c r="W16" s="638">
        <f ca="1">W17/H29</f>
        <v>8.656213508662057E-2</v>
      </c>
      <c r="X16" s="642"/>
      <c r="Y16" s="642"/>
      <c r="Z16" s="656"/>
      <c r="AA16" s="652"/>
      <c r="AB16" s="641"/>
      <c r="AC16" s="641"/>
      <c r="AD16" s="641"/>
      <c r="AE16" s="641"/>
      <c r="AF16" s="641"/>
      <c r="AG16" s="641"/>
      <c r="AH16" s="653" t="s">
        <v>493</v>
      </c>
      <c r="AI16" s="654"/>
      <c r="AJ16" s="652"/>
      <c r="AK16" s="641"/>
      <c r="AL16" s="641"/>
      <c r="AM16" s="641"/>
    </row>
    <row r="17" spans="1:39" s="610" customFormat="1" ht="16.5" thickBot="1">
      <c r="A17" s="840"/>
      <c r="B17" s="527"/>
      <c r="C17" s="611" t="s">
        <v>492</v>
      </c>
      <c r="D17" s="841" t="s">
        <v>111</v>
      </c>
      <c r="E17" s="626">
        <f>VLOOKUP(D17,'Simulador PDF'!L3:M15,2,0)</f>
        <v>0</v>
      </c>
      <c r="F17" s="627" t="s">
        <v>628</v>
      </c>
      <c r="G17" s="527"/>
      <c r="H17" s="527"/>
      <c r="I17" s="527"/>
      <c r="J17" s="527"/>
      <c r="K17" s="527"/>
      <c r="L17" s="527"/>
      <c r="M17" s="840"/>
      <c r="N17" s="853"/>
      <c r="O17" s="846"/>
      <c r="P17" s="847"/>
      <c r="Q17" s="846"/>
      <c r="R17" s="621"/>
      <c r="S17" s="840"/>
      <c r="T17" s="840"/>
      <c r="U17" s="641"/>
      <c r="V17" s="657" t="s">
        <v>491</v>
      </c>
      <c r="W17" s="640">
        <f ca="1">IF(D13="SAC",SAC_CORR!C10,PRICE_CORR!C10)</f>
        <v>2800.5200244188391</v>
      </c>
      <c r="X17" s="642"/>
      <c r="Y17" s="642"/>
      <c r="Z17" s="658"/>
      <c r="AA17" s="659"/>
      <c r="AB17" s="641"/>
      <c r="AC17" s="641"/>
      <c r="AD17" s="641"/>
      <c r="AE17" s="641"/>
      <c r="AF17" s="641"/>
      <c r="AG17" s="641"/>
      <c r="AH17" s="653" t="s">
        <v>490</v>
      </c>
      <c r="AI17" s="654"/>
      <c r="AJ17" s="652"/>
      <c r="AK17" s="641"/>
      <c r="AL17" s="641"/>
      <c r="AM17" s="641"/>
    </row>
    <row r="18" spans="1:39" s="610" customFormat="1" ht="16.5" thickBot="1">
      <c r="A18" s="840"/>
      <c r="B18" s="527"/>
      <c r="C18" s="611" t="s">
        <v>489</v>
      </c>
      <c r="D18" s="516">
        <v>15000</v>
      </c>
      <c r="E18" s="615"/>
      <c r="F18" s="615"/>
      <c r="G18" s="527"/>
      <c r="H18" s="527"/>
      <c r="I18" s="527"/>
      <c r="J18" s="527"/>
      <c r="K18" s="527"/>
      <c r="L18" s="527"/>
      <c r="M18" s="840"/>
      <c r="N18" s="617"/>
      <c r="O18" s="841"/>
      <c r="P18" s="527"/>
      <c r="Q18" s="841"/>
      <c r="R18" s="527"/>
      <c r="S18" s="840"/>
      <c r="T18" s="840"/>
      <c r="U18" s="641"/>
      <c r="V18" s="642"/>
      <c r="W18" s="642"/>
      <c r="X18" s="642"/>
      <c r="Y18" s="642"/>
      <c r="Z18" s="660"/>
      <c r="AA18" s="641"/>
      <c r="AB18" s="641"/>
      <c r="AC18" s="641"/>
      <c r="AD18" s="641"/>
      <c r="AE18" s="641"/>
      <c r="AF18" s="641"/>
      <c r="AG18" s="641"/>
      <c r="AH18" s="653" t="s">
        <v>488</v>
      </c>
      <c r="AI18" s="654"/>
      <c r="AJ18" s="652"/>
      <c r="AK18" s="641"/>
      <c r="AL18" s="641"/>
      <c r="AM18" s="641"/>
    </row>
    <row r="19" spans="1:39" s="610" customFormat="1">
      <c r="A19" s="840"/>
      <c r="B19" s="527"/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840"/>
      <c r="N19" s="617"/>
      <c r="O19" s="518"/>
      <c r="P19" s="527"/>
      <c r="Q19" s="518"/>
      <c r="R19" s="527"/>
      <c r="S19" s="840"/>
      <c r="T19" s="840"/>
      <c r="U19" s="641"/>
      <c r="V19" s="1004" t="s">
        <v>487</v>
      </c>
      <c r="W19" s="1006"/>
      <c r="X19" s="642"/>
      <c r="Y19" s="642"/>
      <c r="Z19" s="1004" t="s">
        <v>486</v>
      </c>
      <c r="AA19" s="1006"/>
      <c r="AB19" s="641"/>
      <c r="AC19" s="641"/>
      <c r="AD19" s="641"/>
      <c r="AE19" s="641"/>
      <c r="AF19" s="641"/>
      <c r="AG19" s="641"/>
      <c r="AH19" s="655"/>
      <c r="AI19" s="641"/>
      <c r="AJ19" s="652"/>
      <c r="AK19" s="641"/>
      <c r="AL19" s="641"/>
      <c r="AM19" s="641"/>
    </row>
    <row r="20" spans="1:39" s="610" customFormat="1">
      <c r="A20" s="840"/>
      <c r="B20" s="527"/>
      <c r="C20" s="527" t="s">
        <v>485</v>
      </c>
      <c r="D20" s="527"/>
      <c r="E20" s="527"/>
      <c r="F20" s="527"/>
      <c r="G20" s="527"/>
      <c r="H20" s="527"/>
      <c r="I20" s="527"/>
      <c r="J20" s="527"/>
      <c r="K20" s="527"/>
      <c r="L20" s="527"/>
      <c r="M20" s="840"/>
      <c r="N20" s="617"/>
      <c r="O20" s="841"/>
      <c r="P20" s="527"/>
      <c r="Q20" s="854"/>
      <c r="R20" s="527"/>
      <c r="S20" s="840"/>
      <c r="T20" s="840"/>
      <c r="U20" s="641"/>
      <c r="V20" s="644" t="s">
        <v>4</v>
      </c>
      <c r="W20" s="636">
        <f>IF(W11&lt;2000000,W11*4%,W11*5%)</f>
        <v>6768</v>
      </c>
      <c r="X20" s="642"/>
      <c r="Y20" s="642"/>
      <c r="Z20" s="656"/>
      <c r="AA20" s="652"/>
      <c r="AB20" s="641"/>
      <c r="AC20" s="641"/>
      <c r="AD20" s="641"/>
      <c r="AE20" s="641"/>
      <c r="AF20" s="641"/>
      <c r="AG20" s="641"/>
      <c r="AH20" s="655"/>
      <c r="AI20" s="641"/>
      <c r="AJ20" s="652"/>
      <c r="AK20" s="641"/>
      <c r="AL20" s="641"/>
      <c r="AM20" s="641"/>
    </row>
    <row r="21" spans="1:39" s="610" customFormat="1">
      <c r="A21" s="840"/>
      <c r="B21" s="527"/>
      <c r="C21" s="616" t="s">
        <v>259</v>
      </c>
      <c r="D21" s="616" t="s">
        <v>484</v>
      </c>
      <c r="E21" s="616" t="s">
        <v>461</v>
      </c>
      <c r="F21" s="616" t="s">
        <v>483</v>
      </c>
      <c r="G21" s="616" t="s">
        <v>409</v>
      </c>
      <c r="H21" s="616" t="s">
        <v>482</v>
      </c>
      <c r="I21" s="616" t="s">
        <v>481</v>
      </c>
      <c r="J21" s="527"/>
      <c r="K21" s="527"/>
      <c r="L21" s="527"/>
      <c r="M21" s="840"/>
      <c r="N21" s="617"/>
      <c r="O21" s="518"/>
      <c r="P21" s="527"/>
      <c r="Q21" s="518"/>
      <c r="R21" s="527"/>
      <c r="S21" s="840"/>
      <c r="T21" s="840"/>
      <c r="U21" s="641"/>
      <c r="V21" s="644" t="s">
        <v>3</v>
      </c>
      <c r="W21" s="636">
        <f ca="1">IF(W31="SAC",SAC_CORR!C4,PRICE_CORR!C4)</f>
        <v>6224.2314517051609</v>
      </c>
      <c r="X21" s="642"/>
      <c r="Y21" s="642"/>
      <c r="Z21" s="656"/>
      <c r="AA21" s="652"/>
      <c r="AB21" s="641"/>
      <c r="AC21" s="641"/>
      <c r="AD21" s="641"/>
      <c r="AE21" s="641"/>
      <c r="AF21" s="641"/>
      <c r="AG21" s="641"/>
      <c r="AH21" s="655"/>
      <c r="AI21" s="641"/>
      <c r="AJ21" s="652"/>
      <c r="AK21" s="641"/>
      <c r="AL21" s="641"/>
      <c r="AM21" s="641"/>
    </row>
    <row r="22" spans="1:39" s="610" customFormat="1">
      <c r="A22" s="840"/>
      <c r="B22" s="611"/>
      <c r="C22" s="841" t="s">
        <v>11006</v>
      </c>
      <c r="D22" s="841" t="s">
        <v>24</v>
      </c>
      <c r="E22" s="841" t="s">
        <v>11007</v>
      </c>
      <c r="F22" s="842">
        <v>22432</v>
      </c>
      <c r="G22" s="843" t="s">
        <v>406</v>
      </c>
      <c r="H22" s="628">
        <f>Renda!J38</f>
        <v>32352.714285714286</v>
      </c>
      <c r="I22" s="628">
        <f>IF(AL44&gt;0,AL44,"")</f>
        <v>13672</v>
      </c>
      <c r="J22" s="629">
        <f>H22/$H$29</f>
        <v>1</v>
      </c>
      <c r="K22" s="630">
        <f t="shared" ref="K22:K27" si="0">IF(H22&gt;0,1,"")</f>
        <v>1</v>
      </c>
      <c r="L22" s="631"/>
      <c r="M22" s="840"/>
      <c r="N22" s="617"/>
      <c r="O22" s="841"/>
      <c r="P22" s="527"/>
      <c r="Q22" s="841"/>
      <c r="R22" s="527"/>
      <c r="S22" s="840"/>
      <c r="T22" s="840"/>
      <c r="U22" s="641"/>
      <c r="V22" s="644" t="s">
        <v>478</v>
      </c>
      <c r="W22" s="636">
        <f>VLOOKUP(W12,Registro!B:D,3)+138*H11</f>
        <v>3042.67</v>
      </c>
      <c r="X22" s="642"/>
      <c r="Y22" s="642"/>
      <c r="Z22" s="656"/>
      <c r="AA22" s="652"/>
      <c r="AB22" s="641"/>
      <c r="AC22" s="641"/>
      <c r="AD22" s="641"/>
      <c r="AE22" s="641"/>
      <c r="AF22" s="641"/>
      <c r="AG22" s="641"/>
      <c r="AH22" s="655"/>
      <c r="AI22" s="641"/>
      <c r="AJ22" s="652"/>
      <c r="AK22" s="641"/>
      <c r="AL22" s="641"/>
      <c r="AM22" s="641"/>
    </row>
    <row r="23" spans="1:39" s="610" customFormat="1">
      <c r="A23" s="840"/>
      <c r="B23" s="611">
        <v>2</v>
      </c>
      <c r="C23" s="518" t="s">
        <v>11008</v>
      </c>
      <c r="D23" s="518" t="s">
        <v>24</v>
      </c>
      <c r="E23" s="518" t="s">
        <v>11009</v>
      </c>
      <c r="F23" s="519">
        <v>22914</v>
      </c>
      <c r="G23" s="520" t="s">
        <v>406</v>
      </c>
      <c r="H23" s="628">
        <f>Renda!U38</f>
        <v>0</v>
      </c>
      <c r="I23" s="628">
        <f>IF(AL55&gt;0,AL55,"")</f>
        <v>50468</v>
      </c>
      <c r="J23" s="629">
        <f t="shared" ref="J23:J27" si="1">H23/$H$29</f>
        <v>0</v>
      </c>
      <c r="K23" s="630" t="str">
        <f t="shared" si="0"/>
        <v/>
      </c>
      <c r="L23" s="631"/>
      <c r="M23" s="840"/>
      <c r="N23" s="617"/>
      <c r="O23" s="518"/>
      <c r="P23" s="527"/>
      <c r="Q23" s="518"/>
      <c r="R23" s="527"/>
      <c r="S23" s="840"/>
      <c r="T23" s="840"/>
      <c r="U23" s="641"/>
      <c r="V23" s="644" t="s">
        <v>477</v>
      </c>
      <c r="W23" s="636">
        <v>25</v>
      </c>
      <c r="X23" s="642"/>
      <c r="Y23" s="642"/>
      <c r="Z23" s="644" t="s">
        <v>476</v>
      </c>
      <c r="AA23" s="636">
        <f>SUM(AA31,W51,W62,W73,W84,W95,W106)</f>
        <v>22788.839999999997</v>
      </c>
      <c r="AB23" s="641"/>
      <c r="AC23" s="641"/>
      <c r="AD23" s="641"/>
      <c r="AE23" s="641"/>
      <c r="AF23" s="641"/>
      <c r="AG23" s="641"/>
      <c r="AH23" s="655"/>
      <c r="AI23" s="641"/>
      <c r="AJ23" s="652"/>
      <c r="AK23" s="641"/>
      <c r="AL23" s="641"/>
      <c r="AM23" s="641"/>
    </row>
    <row r="24" spans="1:39" s="610" customFormat="1">
      <c r="A24" s="840"/>
      <c r="B24" s="611">
        <v>3</v>
      </c>
      <c r="C24" s="841" t="s">
        <v>11010</v>
      </c>
      <c r="D24" s="841" t="s">
        <v>36</v>
      </c>
      <c r="E24" s="841" t="s">
        <v>11011</v>
      </c>
      <c r="F24" s="842"/>
      <c r="G24" s="843"/>
      <c r="H24" s="628">
        <f>Renda!AF38</f>
        <v>0</v>
      </c>
      <c r="I24" s="628" t="str">
        <f>IF(AL66&gt;0,AL66,"")</f>
        <v/>
      </c>
      <c r="J24" s="629">
        <f t="shared" si="1"/>
        <v>0</v>
      </c>
      <c r="K24" s="630" t="str">
        <f t="shared" si="0"/>
        <v/>
      </c>
      <c r="L24" s="631"/>
      <c r="M24" s="840"/>
      <c r="N24" s="527"/>
      <c r="O24" s="527"/>
      <c r="P24" s="527"/>
      <c r="Q24" s="527"/>
      <c r="R24" s="527"/>
      <c r="S24" s="840"/>
      <c r="T24" s="840"/>
      <c r="U24" s="641"/>
      <c r="V24" s="644" t="s">
        <v>18</v>
      </c>
      <c r="W24" s="661">
        <v>2.1000000000000001E-4</v>
      </c>
      <c r="X24" s="642"/>
      <c r="Y24" s="642"/>
      <c r="Z24" s="644" t="s">
        <v>474</v>
      </c>
      <c r="AA24" s="636">
        <f>SUM(AK51,AK62,AK73,AK84,AK95,AK106,AA31)</f>
        <v>45.6</v>
      </c>
      <c r="AB24" s="641"/>
      <c r="AC24" s="641"/>
      <c r="AD24" s="641"/>
      <c r="AE24" s="641"/>
      <c r="AF24" s="641"/>
      <c r="AG24" s="641"/>
      <c r="AH24" s="655"/>
      <c r="AI24" s="641"/>
      <c r="AJ24" s="652"/>
      <c r="AK24" s="641"/>
      <c r="AL24" s="641"/>
      <c r="AM24" s="641"/>
    </row>
    <row r="25" spans="1:39" s="610" customFormat="1" ht="16.5" thickBot="1">
      <c r="A25" s="840"/>
      <c r="B25" s="611">
        <v>4</v>
      </c>
      <c r="C25" s="518"/>
      <c r="D25" s="518"/>
      <c r="E25" s="518"/>
      <c r="F25" s="518"/>
      <c r="G25" s="520"/>
      <c r="H25" s="628">
        <f>Renda!AQ38</f>
        <v>0</v>
      </c>
      <c r="I25" s="628" t="str">
        <f>IF(AL77&gt;0,AL77,"")</f>
        <v/>
      </c>
      <c r="J25" s="629">
        <f t="shared" si="1"/>
        <v>0</v>
      </c>
      <c r="K25" s="630" t="str">
        <f t="shared" si="0"/>
        <v/>
      </c>
      <c r="L25" s="627"/>
      <c r="M25" s="840"/>
      <c r="N25" s="617"/>
      <c r="O25" s="635" t="str">
        <f>IF(D26="PF",IF($C$26&lt;&gt;"",$C$26,""),"")</f>
        <v/>
      </c>
      <c r="P25" s="613"/>
      <c r="Q25" s="635" t="str">
        <f>IF(D27="PF",IF($C$27&lt;&gt;"",$C$27,""),"")</f>
        <v/>
      </c>
      <c r="R25" s="527"/>
      <c r="S25" s="840"/>
      <c r="T25" s="840"/>
      <c r="U25" s="641"/>
      <c r="V25" s="657" t="s">
        <v>19</v>
      </c>
      <c r="W25" s="662">
        <v>6.9999999999999994E-5</v>
      </c>
      <c r="X25" s="642"/>
      <c r="Y25" s="642"/>
      <c r="Z25" s="644" t="s">
        <v>473</v>
      </c>
      <c r="AA25" s="636">
        <f>AA23-AA24</f>
        <v>22743.239999999998</v>
      </c>
      <c r="AB25" s="641"/>
      <c r="AC25" s="641"/>
      <c r="AD25" s="641"/>
      <c r="AE25" s="641"/>
      <c r="AF25" s="641"/>
      <c r="AG25" s="641"/>
      <c r="AH25" s="655"/>
      <c r="AI25" s="641"/>
      <c r="AJ25" s="652"/>
      <c r="AK25" s="641"/>
      <c r="AL25" s="641"/>
      <c r="AM25" s="641"/>
    </row>
    <row r="26" spans="1:39" s="610" customFormat="1" ht="16.5" thickBot="1">
      <c r="A26" s="840"/>
      <c r="B26" s="611">
        <v>5</v>
      </c>
      <c r="C26" s="841"/>
      <c r="D26" s="841"/>
      <c r="E26" s="841"/>
      <c r="F26" s="842"/>
      <c r="G26" s="843"/>
      <c r="H26" s="628">
        <f>Renda!BB38</f>
        <v>0</v>
      </c>
      <c r="I26" s="628" t="str">
        <f>IF(AL88&gt;0,AL88,"")</f>
        <v/>
      </c>
      <c r="J26" s="629">
        <f t="shared" si="1"/>
        <v>0</v>
      </c>
      <c r="K26" s="630" t="str">
        <f t="shared" si="0"/>
        <v/>
      </c>
      <c r="L26" s="627"/>
      <c r="M26" s="840"/>
      <c r="N26" s="617"/>
      <c r="O26" s="841"/>
      <c r="P26" s="527"/>
      <c r="Q26" s="841"/>
      <c r="R26" s="527"/>
      <c r="S26" s="840"/>
      <c r="T26" s="840"/>
      <c r="U26" s="641"/>
      <c r="V26" s="642"/>
      <c r="W26" s="642"/>
      <c r="X26" s="642"/>
      <c r="Y26" s="642"/>
      <c r="Z26" s="644" t="s">
        <v>472</v>
      </c>
      <c r="AA26" s="636">
        <f ca="1">W10</f>
        <v>185234.90145170517</v>
      </c>
      <c r="AB26" s="643"/>
      <c r="AC26" s="643"/>
      <c r="AD26" s="643"/>
      <c r="AE26" s="643"/>
      <c r="AF26" s="643"/>
      <c r="AG26" s="643"/>
      <c r="AH26" s="663"/>
      <c r="AI26" s="664"/>
      <c r="AJ26" s="659"/>
      <c r="AK26" s="641"/>
      <c r="AL26" s="641"/>
      <c r="AM26" s="641"/>
    </row>
    <row r="27" spans="1:39" s="610" customFormat="1" ht="16.5" thickBot="1">
      <c r="A27" s="840"/>
      <c r="B27" s="611">
        <v>6</v>
      </c>
      <c r="C27" s="518"/>
      <c r="D27" s="518"/>
      <c r="E27" s="518"/>
      <c r="F27" s="519"/>
      <c r="G27" s="520"/>
      <c r="H27" s="628">
        <f>Renda!BM38</f>
        <v>0</v>
      </c>
      <c r="I27" s="628" t="str">
        <f>IF(AL99&gt;0,AL99,"")</f>
        <v/>
      </c>
      <c r="J27" s="629">
        <f t="shared" si="1"/>
        <v>0</v>
      </c>
      <c r="K27" s="630" t="str">
        <f t="shared" si="0"/>
        <v/>
      </c>
      <c r="L27" s="627"/>
      <c r="M27" s="840"/>
      <c r="N27" s="617"/>
      <c r="O27" s="518"/>
      <c r="P27" s="527"/>
      <c r="Q27" s="518"/>
      <c r="R27" s="527"/>
      <c r="S27" s="840"/>
      <c r="T27" s="840"/>
      <c r="U27" s="641"/>
      <c r="V27" s="642"/>
      <c r="W27" s="642"/>
      <c r="X27" s="642"/>
      <c r="Y27" s="642"/>
      <c r="Z27" s="651" t="s">
        <v>471</v>
      </c>
      <c r="AA27" s="637">
        <f>W11-AA24</f>
        <v>169154.4</v>
      </c>
      <c r="AB27" s="647"/>
      <c r="AC27" s="647"/>
      <c r="AD27" s="647"/>
      <c r="AE27" s="647"/>
      <c r="AF27" s="647"/>
      <c r="AG27" s="647"/>
      <c r="AH27" s="647"/>
      <c r="AI27" s="647"/>
      <c r="AJ27" s="641"/>
      <c r="AK27" s="641"/>
      <c r="AL27" s="641"/>
      <c r="AM27" s="641"/>
    </row>
    <row r="28" spans="1:39" s="610" customFormat="1">
      <c r="A28" s="840"/>
      <c r="B28" s="527"/>
      <c r="C28" s="527"/>
      <c r="D28" s="527"/>
      <c r="E28" s="527"/>
      <c r="F28" s="527"/>
      <c r="G28" s="527"/>
      <c r="H28" s="943">
        <f>IFERROR(H29-VLOOKUP("PJ",D22:H27,5,0),H29)</f>
        <v>32352.714285714286</v>
      </c>
      <c r="I28" s="527"/>
      <c r="J28" s="527"/>
      <c r="K28" s="527"/>
      <c r="L28" s="527"/>
      <c r="M28" s="840"/>
      <c r="N28" s="617"/>
      <c r="O28" s="841"/>
      <c r="P28" s="527"/>
      <c r="Q28" s="841"/>
      <c r="R28" s="527"/>
      <c r="S28" s="840"/>
      <c r="T28" s="840"/>
      <c r="U28" s="641"/>
      <c r="V28" s="1004" t="s">
        <v>470</v>
      </c>
      <c r="W28" s="1006"/>
      <c r="X28" s="642"/>
      <c r="Y28" s="642"/>
      <c r="Z28" s="651" t="s">
        <v>469</v>
      </c>
      <c r="AA28" s="637">
        <f ca="1">IF(D13="SAC",((H29*35%)-W23-W25*W12)/(1+$W$32)^D16/(1+(MIN((80-F29)*12,240)*(W32+W24)))*(MIN((80-F29)*12,240)),-PV(W32+W24,MIN((80-F29)*12,240),(H29*0.3-W23-W25*W12)/(1+W32)^D16))</f>
        <v>773375.58328628342</v>
      </c>
      <c r="AB28" s="647"/>
      <c r="AC28" s="647"/>
      <c r="AD28" s="647"/>
      <c r="AE28" s="647"/>
      <c r="AF28" s="647"/>
      <c r="AG28" s="647"/>
      <c r="AH28" s="647"/>
      <c r="AI28" s="647"/>
      <c r="AJ28" s="641"/>
      <c r="AK28" s="641"/>
      <c r="AL28" s="641"/>
      <c r="AM28" s="641"/>
    </row>
    <row r="29" spans="1:39" s="610" customFormat="1">
      <c r="A29" s="840"/>
      <c r="B29" s="527"/>
      <c r="C29" s="527"/>
      <c r="D29" s="527"/>
      <c r="E29" s="616" t="s">
        <v>468</v>
      </c>
      <c r="F29" s="634">
        <f ca="1">ROUNDDOWN(J29,0)</f>
        <v>61</v>
      </c>
      <c r="G29" s="616" t="s">
        <v>467</v>
      </c>
      <c r="H29" s="632">
        <f>SUM(H22:H27)</f>
        <v>32352.714285714286</v>
      </c>
      <c r="I29" s="633">
        <f>MIN(F22:F27)</f>
        <v>22432</v>
      </c>
      <c r="J29" s="627">
        <f ca="1">INT(TODAY()-I29)/365.25</f>
        <v>61.00479123887748</v>
      </c>
      <c r="K29" s="527"/>
      <c r="L29" s="527"/>
      <c r="M29" s="840"/>
      <c r="N29" s="617"/>
      <c r="O29" s="518"/>
      <c r="P29" s="527"/>
      <c r="Q29" s="518"/>
      <c r="R29" s="527"/>
      <c r="S29" s="840"/>
      <c r="T29" s="840"/>
      <c r="U29" s="641"/>
      <c r="V29" s="651" t="s">
        <v>7</v>
      </c>
      <c r="W29" s="665">
        <f ca="1">IF(MIN(D12,(80-F29)*12)&gt;=60,MIN(D12,(80-F29)*12),"ERRO")</f>
        <v>228</v>
      </c>
      <c r="X29" s="642"/>
      <c r="Y29" s="642"/>
      <c r="Z29" s="651" t="s">
        <v>466</v>
      </c>
      <c r="AA29" s="637">
        <f ca="1">AA28-AA26-AA25</f>
        <v>565397.44183457829</v>
      </c>
      <c r="AB29" s="647"/>
      <c r="AC29" s="647"/>
      <c r="AD29" s="647"/>
      <c r="AE29" s="647"/>
      <c r="AF29" s="647"/>
      <c r="AG29" s="647"/>
      <c r="AH29" s="647"/>
      <c r="AI29" s="647"/>
      <c r="AJ29" s="641"/>
      <c r="AK29" s="641"/>
      <c r="AL29" s="641"/>
      <c r="AM29" s="641"/>
    </row>
    <row r="30" spans="1:39" s="610" customFormat="1">
      <c r="A30" s="840"/>
      <c r="B30" s="527"/>
      <c r="C30" s="527"/>
      <c r="D30" s="527"/>
      <c r="E30" s="527"/>
      <c r="F30" s="527"/>
      <c r="G30" s="527"/>
      <c r="H30" s="527"/>
      <c r="I30" s="527"/>
      <c r="J30" s="527"/>
      <c r="K30" s="527"/>
      <c r="L30" s="527"/>
      <c r="M30" s="840"/>
      <c r="N30" s="617"/>
      <c r="O30" s="841"/>
      <c r="P30" s="527"/>
      <c r="Q30" s="841"/>
      <c r="R30" s="527"/>
      <c r="S30" s="840"/>
      <c r="T30" s="840"/>
      <c r="U30" s="641"/>
      <c r="V30" s="644" t="s">
        <v>69</v>
      </c>
      <c r="W30" s="666" t="str">
        <f>H13</f>
        <v>IPCA</v>
      </c>
      <c r="X30" s="642"/>
      <c r="Y30" s="642"/>
      <c r="Z30" s="644" t="s">
        <v>465</v>
      </c>
      <c r="AA30" s="667" t="str">
        <f ca="1">IF(AA28&lt;AA23,"Endividado","N/A")</f>
        <v>N/A</v>
      </c>
      <c r="AB30" s="647"/>
      <c r="AC30" s="647"/>
      <c r="AD30" s="647"/>
      <c r="AE30" s="647"/>
      <c r="AF30" s="647"/>
      <c r="AG30" s="647"/>
      <c r="AH30" s="647"/>
      <c r="AI30" s="647"/>
      <c r="AJ30" s="641"/>
      <c r="AK30" s="641"/>
      <c r="AL30" s="641"/>
      <c r="AM30" s="641"/>
    </row>
    <row r="31" spans="1:39" s="610" customFormat="1">
      <c r="A31" s="840"/>
      <c r="B31" s="527"/>
      <c r="C31" s="527"/>
      <c r="D31" s="527"/>
      <c r="E31" s="527"/>
      <c r="F31" s="527"/>
      <c r="G31" s="527"/>
      <c r="H31" s="527"/>
      <c r="I31" s="527"/>
      <c r="J31" s="527"/>
      <c r="K31" s="527"/>
      <c r="L31" s="527"/>
      <c r="M31" s="840"/>
      <c r="N31" s="617"/>
      <c r="O31" s="518"/>
      <c r="P31" s="527"/>
      <c r="Q31" s="518"/>
      <c r="R31" s="527"/>
      <c r="S31" s="840"/>
      <c r="T31" s="840"/>
      <c r="U31" s="641"/>
      <c r="V31" s="644" t="s">
        <v>463</v>
      </c>
      <c r="W31" s="668" t="str">
        <f>D13</f>
        <v>SAC</v>
      </c>
      <c r="X31" s="642"/>
      <c r="Y31" s="642"/>
      <c r="Z31" s="644" t="s">
        <v>462</v>
      </c>
      <c r="AA31" s="636">
        <f>IF(D58="Sim",LOOKUP(D59,Registro!M:O),0)</f>
        <v>0</v>
      </c>
      <c r="AB31" s="647"/>
      <c r="AC31" s="647"/>
      <c r="AD31" s="647"/>
      <c r="AE31" s="647"/>
      <c r="AF31" s="647"/>
      <c r="AG31" s="647"/>
      <c r="AH31" s="647"/>
      <c r="AI31" s="647"/>
      <c r="AJ31" s="641"/>
      <c r="AK31" s="641"/>
      <c r="AL31" s="641"/>
      <c r="AM31" s="641"/>
    </row>
    <row r="32" spans="1:39" s="610" customFormat="1">
      <c r="A32" s="840"/>
      <c r="B32" s="611"/>
      <c r="C32" s="527" t="s">
        <v>464</v>
      </c>
      <c r="D32" s="527"/>
      <c r="E32" s="527"/>
      <c r="F32" s="527"/>
      <c r="G32" s="527"/>
      <c r="H32" s="527" t="s">
        <v>637</v>
      </c>
      <c r="I32" s="527"/>
      <c r="J32" s="527"/>
      <c r="K32" s="527"/>
      <c r="L32" s="527"/>
      <c r="M32" s="840"/>
      <c r="N32" s="527"/>
      <c r="O32" s="527"/>
      <c r="P32" s="527"/>
      <c r="Q32" s="527"/>
      <c r="R32" s="527"/>
      <c r="S32" s="840"/>
      <c r="T32" s="840"/>
      <c r="U32" s="641"/>
      <c r="V32" s="651" t="s">
        <v>459</v>
      </c>
      <c r="W32" s="638">
        <f>Rating!B7</f>
        <v>9.1999999999999998E-3</v>
      </c>
      <c r="X32" s="642"/>
      <c r="Y32" s="642"/>
      <c r="Z32" s="656"/>
      <c r="AA32" s="652"/>
      <c r="AB32" s="647"/>
      <c r="AC32" s="647"/>
      <c r="AD32" s="647"/>
      <c r="AE32" s="647"/>
      <c r="AF32" s="647"/>
      <c r="AG32" s="647"/>
      <c r="AH32" s="647"/>
      <c r="AI32" s="647"/>
      <c r="AJ32" s="641"/>
      <c r="AK32" s="641"/>
      <c r="AL32" s="641"/>
      <c r="AM32" s="641"/>
    </row>
    <row r="33" spans="1:40" s="610" customFormat="1">
      <c r="A33" s="840"/>
      <c r="B33" s="611"/>
      <c r="C33" s="616" t="s">
        <v>259</v>
      </c>
      <c r="D33" s="616" t="s">
        <v>461</v>
      </c>
      <c r="E33" s="616" t="s">
        <v>460</v>
      </c>
      <c r="F33" s="527"/>
      <c r="G33" s="1013" t="s">
        <v>638</v>
      </c>
      <c r="H33" s="1013"/>
      <c r="I33" s="616" t="s">
        <v>819</v>
      </c>
      <c r="J33" s="527"/>
      <c r="K33" s="527"/>
      <c r="L33" s="527"/>
      <c r="M33" s="840"/>
      <c r="N33" s="527"/>
      <c r="O33" s="527"/>
      <c r="P33" s="527"/>
      <c r="Q33" s="527"/>
      <c r="R33" s="527"/>
      <c r="S33" s="840"/>
      <c r="T33" s="840"/>
      <c r="U33" s="641"/>
      <c r="V33" s="644" t="s">
        <v>458</v>
      </c>
      <c r="W33" s="639">
        <f>(1+W32)^(12)-1</f>
        <v>0.11616115026912621</v>
      </c>
      <c r="X33" s="642"/>
      <c r="Y33" s="642"/>
      <c r="Z33" s="656"/>
      <c r="AA33" s="652"/>
      <c r="AB33" s="647"/>
      <c r="AC33" s="647"/>
      <c r="AD33" s="647"/>
      <c r="AE33" s="647"/>
      <c r="AF33" s="647"/>
      <c r="AG33" s="647"/>
      <c r="AH33" s="647"/>
      <c r="AI33" s="647"/>
      <c r="AJ33" s="641"/>
      <c r="AK33" s="641"/>
      <c r="AL33" s="641"/>
      <c r="AM33" s="641"/>
    </row>
    <row r="34" spans="1:40" s="610" customFormat="1">
      <c r="A34" s="840"/>
      <c r="B34" s="611">
        <v>1</v>
      </c>
      <c r="C34" s="841"/>
      <c r="D34" s="859"/>
      <c r="E34" s="841"/>
      <c r="F34" s="527"/>
      <c r="G34" s="1010"/>
      <c r="H34" s="1011"/>
      <c r="I34" s="520"/>
      <c r="J34" s="527"/>
      <c r="K34" s="527"/>
      <c r="L34" s="527"/>
      <c r="M34" s="840"/>
      <c r="N34" s="617"/>
      <c r="O34" s="527"/>
      <c r="P34" s="527"/>
      <c r="Q34" s="527"/>
      <c r="R34" s="527"/>
      <c r="S34" s="840"/>
      <c r="T34" s="840"/>
      <c r="U34" s="641"/>
      <c r="V34" s="644" t="s">
        <v>457</v>
      </c>
      <c r="W34" s="639">
        <f ca="1">(1+W35)^(1/12)-1</f>
        <v>1.1281085405271396E-2</v>
      </c>
      <c r="X34" s="642"/>
      <c r="Y34" s="642"/>
      <c r="Z34" s="656"/>
      <c r="AA34" s="652"/>
      <c r="AB34" s="669"/>
      <c r="AC34" s="669"/>
      <c r="AD34" s="669"/>
      <c r="AE34" s="669"/>
      <c r="AF34" s="669"/>
      <c r="AG34" s="669"/>
      <c r="AH34" s="669"/>
      <c r="AI34" s="669"/>
      <c r="AJ34" s="641"/>
      <c r="AK34" s="641"/>
      <c r="AL34" s="641"/>
      <c r="AM34" s="641"/>
    </row>
    <row r="35" spans="1:40" s="610" customFormat="1" ht="16.5" thickBot="1">
      <c r="A35" s="840"/>
      <c r="B35" s="611">
        <v>2</v>
      </c>
      <c r="C35" s="517"/>
      <c r="D35" s="517"/>
      <c r="E35" s="517"/>
      <c r="F35" s="527"/>
      <c r="G35" s="1012"/>
      <c r="H35" s="1009"/>
      <c r="I35" s="520"/>
      <c r="J35" s="527"/>
      <c r="K35" s="527"/>
      <c r="L35" s="527"/>
      <c r="M35" s="840"/>
      <c r="N35" s="617"/>
      <c r="O35" s="527"/>
      <c r="P35" s="527"/>
      <c r="Q35" s="527"/>
      <c r="R35" s="527"/>
      <c r="S35" s="840"/>
      <c r="T35" s="840"/>
      <c r="U35" s="641"/>
      <c r="V35" s="670" t="s">
        <v>456</v>
      </c>
      <c r="W35" s="671">
        <f ca="1">IF(W31="SAC",SAC_CORR!C14,PRICE_CORR!C14)</f>
        <v>0.14409638500653799</v>
      </c>
      <c r="X35" s="642"/>
      <c r="Y35" s="642"/>
      <c r="Z35" s="658"/>
      <c r="AA35" s="659"/>
      <c r="AB35" s="647"/>
      <c r="AC35" s="647"/>
      <c r="AD35" s="647"/>
      <c r="AE35" s="647"/>
      <c r="AF35" s="647"/>
      <c r="AG35" s="647"/>
      <c r="AH35" s="647"/>
      <c r="AI35" s="647"/>
      <c r="AJ35" s="641"/>
      <c r="AK35" s="641"/>
      <c r="AL35" s="641"/>
      <c r="AM35" s="641"/>
    </row>
    <row r="36" spans="1:40" s="610" customFormat="1">
      <c r="A36" s="840"/>
      <c r="B36" s="611">
        <v>3</v>
      </c>
      <c r="C36" s="844"/>
      <c r="D36" s="844"/>
      <c r="E36" s="844"/>
      <c r="F36" s="527"/>
      <c r="G36" s="527"/>
      <c r="H36" s="527"/>
      <c r="I36" s="527"/>
      <c r="J36" s="527"/>
      <c r="K36" s="527"/>
      <c r="L36" s="527"/>
      <c r="M36" s="840"/>
      <c r="N36" s="617"/>
      <c r="O36" s="527"/>
      <c r="P36" s="527"/>
      <c r="Q36" s="527"/>
      <c r="R36" s="527"/>
      <c r="S36" s="840"/>
      <c r="T36" s="840"/>
      <c r="U36" s="641"/>
      <c r="V36" s="672"/>
      <c r="W36" s="673"/>
      <c r="X36" s="642"/>
      <c r="Y36" s="642"/>
      <c r="Z36" s="674"/>
      <c r="AA36" s="675"/>
      <c r="AB36" s="647"/>
      <c r="AC36" s="647"/>
      <c r="AD36" s="647"/>
      <c r="AE36" s="647"/>
      <c r="AF36" s="647"/>
      <c r="AG36" s="647"/>
      <c r="AH36" s="647"/>
      <c r="AI36" s="647"/>
      <c r="AJ36" s="641"/>
      <c r="AK36" s="641"/>
      <c r="AL36" s="641"/>
      <c r="AM36" s="641"/>
    </row>
    <row r="37" spans="1:40" s="610" customFormat="1">
      <c r="A37" s="840"/>
      <c r="B37" s="527"/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840"/>
      <c r="N37" s="527"/>
      <c r="O37" s="527"/>
      <c r="P37" s="527"/>
      <c r="Q37" s="527"/>
      <c r="R37" s="527"/>
      <c r="S37" s="840"/>
      <c r="T37" s="840"/>
      <c r="U37" s="641"/>
      <c r="V37" s="642"/>
      <c r="W37" s="642"/>
      <c r="X37" s="642"/>
      <c r="Y37" s="642"/>
      <c r="Z37" s="642"/>
      <c r="AA37" s="641"/>
      <c r="AB37" s="641"/>
      <c r="AC37" s="641"/>
      <c r="AD37" s="641"/>
      <c r="AE37" s="641"/>
      <c r="AF37" s="641"/>
      <c r="AG37" s="641"/>
      <c r="AH37" s="641"/>
      <c r="AI37" s="641"/>
      <c r="AJ37" s="641"/>
      <c r="AK37" s="641"/>
      <c r="AL37" s="641"/>
      <c r="AM37" s="641"/>
    </row>
    <row r="38" spans="1:40" s="610" customFormat="1" ht="14.1" customHeight="1">
      <c r="A38" s="840"/>
      <c r="B38" s="840"/>
      <c r="C38" s="840"/>
      <c r="D38" s="840"/>
      <c r="E38" s="840"/>
      <c r="F38" s="840"/>
      <c r="G38" s="840"/>
      <c r="H38" s="840"/>
      <c r="I38" s="840"/>
      <c r="J38" s="840"/>
      <c r="K38" s="840"/>
      <c r="L38" s="840"/>
      <c r="M38" s="840"/>
      <c r="N38" s="840"/>
      <c r="O38" s="840"/>
      <c r="P38" s="840"/>
      <c r="Q38" s="840"/>
      <c r="R38" s="840"/>
      <c r="S38" s="840"/>
      <c r="T38" s="840"/>
      <c r="U38" s="840"/>
      <c r="V38" s="840"/>
      <c r="W38" s="840"/>
      <c r="X38" s="840"/>
      <c r="Y38" s="840"/>
      <c r="Z38" s="840"/>
      <c r="AA38" s="840"/>
      <c r="AB38" s="840"/>
      <c r="AC38" s="840"/>
      <c r="AD38" s="840"/>
      <c r="AE38" s="840"/>
      <c r="AF38" s="840"/>
      <c r="AG38" s="840"/>
      <c r="AH38" s="840"/>
      <c r="AI38" s="840"/>
      <c r="AJ38" s="840"/>
      <c r="AK38" s="840"/>
      <c r="AL38" s="840"/>
      <c r="AM38" s="840"/>
      <c r="AN38" s="618"/>
    </row>
    <row r="39" spans="1:40" s="610" customFormat="1">
      <c r="A39" s="840"/>
      <c r="B39" s="527"/>
      <c r="C39" s="527"/>
      <c r="D39" s="527"/>
      <c r="E39" s="527"/>
      <c r="F39" s="527"/>
      <c r="G39" s="527"/>
      <c r="H39" s="527"/>
      <c r="I39" s="527"/>
      <c r="J39" s="527"/>
      <c r="K39" s="527"/>
      <c r="L39" s="527"/>
      <c r="M39" s="840"/>
      <c r="N39" s="527"/>
      <c r="O39" s="527"/>
      <c r="P39" s="527"/>
      <c r="Q39" s="527"/>
      <c r="R39" s="527"/>
      <c r="S39" s="840"/>
      <c r="T39" s="840"/>
      <c r="U39" s="527"/>
      <c r="V39" s="527"/>
      <c r="W39" s="527"/>
      <c r="X39" s="527"/>
      <c r="Y39" s="527"/>
      <c r="Z39" s="527"/>
      <c r="AA39" s="527"/>
      <c r="AB39" s="527"/>
      <c r="AC39" s="527"/>
      <c r="AD39" s="527"/>
      <c r="AE39" s="527"/>
      <c r="AF39" s="527"/>
      <c r="AG39" s="527"/>
      <c r="AH39" s="527"/>
      <c r="AI39" s="527"/>
      <c r="AJ39" s="527"/>
      <c r="AK39" s="527"/>
      <c r="AL39" s="527"/>
      <c r="AM39" s="527"/>
    </row>
    <row r="40" spans="1:40" s="610" customFormat="1" ht="10.35" customHeight="1">
      <c r="A40" s="840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840"/>
      <c r="N40" s="527"/>
      <c r="O40" s="527"/>
      <c r="P40" s="527"/>
      <c r="Q40" s="527"/>
      <c r="R40" s="527"/>
      <c r="S40" s="840"/>
      <c r="T40" s="840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</row>
    <row r="41" spans="1:40" s="610" customFormat="1">
      <c r="A41" s="840"/>
      <c r="B41" s="527"/>
      <c r="C41" s="527"/>
      <c r="D41" s="527"/>
      <c r="E41" s="527"/>
      <c r="F41" s="527"/>
      <c r="G41" s="527"/>
      <c r="H41" s="527"/>
      <c r="I41" s="527"/>
      <c r="J41" s="527"/>
      <c r="K41" s="527"/>
      <c r="L41" s="527"/>
      <c r="M41" s="840"/>
      <c r="N41" s="527"/>
      <c r="O41" s="527"/>
      <c r="P41" s="527"/>
      <c r="Q41" s="527"/>
      <c r="R41" s="527"/>
      <c r="S41" s="840"/>
      <c r="T41" s="840"/>
      <c r="U41" s="527"/>
      <c r="V41" s="527"/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7"/>
      <c r="AL41" s="527"/>
      <c r="AM41" s="527"/>
    </row>
    <row r="42" spans="1:40" s="610" customFormat="1">
      <c r="A42" s="840"/>
      <c r="B42" s="527"/>
      <c r="C42" s="527" t="s">
        <v>288</v>
      </c>
      <c r="D42" s="527"/>
      <c r="E42" s="527"/>
      <c r="F42" s="527"/>
      <c r="G42" s="527"/>
      <c r="H42" s="527"/>
      <c r="I42" s="527"/>
      <c r="J42" s="527"/>
      <c r="K42" s="527"/>
      <c r="L42" s="527"/>
      <c r="M42" s="840"/>
      <c r="N42" s="527"/>
      <c r="O42" s="527"/>
      <c r="P42" s="527"/>
      <c r="Q42" s="527"/>
      <c r="R42" s="527"/>
      <c r="S42" s="840"/>
      <c r="T42" s="840"/>
      <c r="U42" s="527"/>
      <c r="V42" s="527"/>
      <c r="W42" s="527"/>
      <c r="X42" s="527"/>
      <c r="Y42" s="527"/>
      <c r="Z42" s="527"/>
      <c r="AA42" s="527"/>
      <c r="AB42" s="527"/>
      <c r="AC42" s="527"/>
      <c r="AD42" s="527"/>
      <c r="AE42" s="527"/>
      <c r="AF42" s="527"/>
      <c r="AG42" s="527"/>
      <c r="AH42" s="527"/>
      <c r="AI42" s="527"/>
      <c r="AJ42" s="527"/>
      <c r="AK42" s="527"/>
      <c r="AL42" s="527"/>
      <c r="AM42" s="527"/>
    </row>
    <row r="43" spans="1:40" s="610" customFormat="1">
      <c r="A43" s="840"/>
      <c r="B43" s="527"/>
      <c r="C43" s="527"/>
      <c r="D43" s="527"/>
      <c r="E43" s="527"/>
      <c r="F43" s="527"/>
      <c r="G43" s="527"/>
      <c r="H43" s="527"/>
      <c r="I43" s="527"/>
      <c r="J43" s="527"/>
      <c r="K43" s="527"/>
      <c r="L43" s="527"/>
      <c r="M43" s="840"/>
      <c r="N43" s="527"/>
      <c r="O43" s="527"/>
      <c r="P43" s="527"/>
      <c r="Q43" s="527"/>
      <c r="R43" s="527"/>
      <c r="S43" s="840"/>
      <c r="T43" s="840"/>
      <c r="U43" s="527"/>
      <c r="V43" s="631" t="str">
        <f>IF($C$22&lt;&gt;"",$C$22,"")</f>
        <v>AGOSTINHO FRANCISCO DE SOUZA</v>
      </c>
      <c r="W43" s="619" t="s">
        <v>80</v>
      </c>
      <c r="X43" s="527"/>
      <c r="Y43" s="619" t="s">
        <v>426</v>
      </c>
      <c r="Z43" s="619" t="s">
        <v>425</v>
      </c>
      <c r="AA43" s="619" t="s">
        <v>418</v>
      </c>
      <c r="AB43" s="619" t="s">
        <v>424</v>
      </c>
      <c r="AC43" s="619" t="s">
        <v>423</v>
      </c>
      <c r="AD43" s="619" t="s">
        <v>422</v>
      </c>
      <c r="AE43" s="527"/>
      <c r="AF43" s="619" t="s">
        <v>663</v>
      </c>
      <c r="AG43" s="619" t="s">
        <v>421</v>
      </c>
      <c r="AH43" s="619" t="s">
        <v>420</v>
      </c>
      <c r="AI43" s="619" t="s">
        <v>419</v>
      </c>
      <c r="AJ43" s="619" t="s">
        <v>455</v>
      </c>
      <c r="AK43" s="619" t="s">
        <v>417</v>
      </c>
      <c r="AL43" s="619" t="s">
        <v>416</v>
      </c>
      <c r="AM43" s="527"/>
    </row>
    <row r="44" spans="1:40" s="610" customFormat="1" ht="16.5" thickBot="1">
      <c r="A44" s="840"/>
      <c r="B44" s="527"/>
      <c r="C44" s="611" t="s">
        <v>454</v>
      </c>
      <c r="D44" s="841" t="s">
        <v>387</v>
      </c>
      <c r="E44" s="522"/>
      <c r="F44" s="527"/>
      <c r="G44" s="611" t="s">
        <v>453</v>
      </c>
      <c r="H44" s="841" t="s">
        <v>120</v>
      </c>
      <c r="I44" s="527"/>
      <c r="J44" s="527"/>
      <c r="K44" s="527"/>
      <c r="L44" s="527"/>
      <c r="M44" s="840"/>
      <c r="N44" s="527"/>
      <c r="O44" s="527"/>
      <c r="P44" s="527"/>
      <c r="Q44" s="527"/>
      <c r="R44" s="527"/>
      <c r="S44" s="840"/>
      <c r="T44" s="840"/>
      <c r="U44" s="527"/>
      <c r="V44" s="532" t="s">
        <v>11012</v>
      </c>
      <c r="W44" s="676">
        <f>IFERROR(SUM(Y44:AA44,AG44:AI44),"")</f>
        <v>6868</v>
      </c>
      <c r="X44" s="527"/>
      <c r="Y44" s="944">
        <v>0</v>
      </c>
      <c r="Z44" s="944">
        <v>0</v>
      </c>
      <c r="AA44" s="944">
        <f>SUM(AB44:AD44)</f>
        <v>6868</v>
      </c>
      <c r="AB44" s="944">
        <v>1783</v>
      </c>
      <c r="AC44" s="944">
        <v>749</v>
      </c>
      <c r="AD44" s="944">
        <v>4336</v>
      </c>
      <c r="AE44" s="527"/>
      <c r="AF44" s="944"/>
      <c r="AG44" s="944">
        <v>0</v>
      </c>
      <c r="AH44" s="944">
        <v>0</v>
      </c>
      <c r="AI44" s="944">
        <v>0</v>
      </c>
      <c r="AJ44" s="945" t="s">
        <v>120</v>
      </c>
      <c r="AK44" s="946">
        <f>IF(AJ44="Sim",(Y44+Z44+AA44+AG44+AH44+AI44),(Z44+Y44+AG44+AH44+AI44))</f>
        <v>0</v>
      </c>
      <c r="AL44" s="531">
        <v>13672</v>
      </c>
      <c r="AM44" s="527"/>
    </row>
    <row r="45" spans="1:40" s="610" customFormat="1" ht="16.5" thickTop="1">
      <c r="A45" s="840"/>
      <c r="B45" s="527"/>
      <c r="C45" s="611" t="s">
        <v>452</v>
      </c>
      <c r="D45" s="516">
        <v>500000</v>
      </c>
      <c r="E45" s="522"/>
      <c r="F45" s="527"/>
      <c r="G45" s="611" t="s">
        <v>451</v>
      </c>
      <c r="H45" s="518" t="s">
        <v>120</v>
      </c>
      <c r="I45" s="527"/>
      <c r="J45" s="527"/>
      <c r="K45" s="527"/>
      <c r="L45" s="527"/>
      <c r="M45" s="840"/>
      <c r="N45" s="527"/>
      <c r="O45" s="527"/>
      <c r="P45" s="527"/>
      <c r="Q45" s="527"/>
      <c r="R45" s="527"/>
      <c r="S45" s="840"/>
      <c r="T45" s="840"/>
      <c r="U45" s="527"/>
      <c r="V45" s="532" t="s">
        <v>414</v>
      </c>
      <c r="W45" s="676">
        <f t="shared" ref="W45:W50" si="2">SUM(Y45:AA45,AG45:AI45)</f>
        <v>0</v>
      </c>
      <c r="X45" s="527"/>
      <c r="Y45" s="521">
        <v>0</v>
      </c>
      <c r="Z45" s="521">
        <v>0</v>
      </c>
      <c r="AA45" s="521">
        <f t="shared" ref="AA45:AA50" si="3">SUM(AB45:AD45)</f>
        <v>0</v>
      </c>
      <c r="AB45" s="521">
        <v>0</v>
      </c>
      <c r="AC45" s="521">
        <v>0</v>
      </c>
      <c r="AD45" s="521">
        <v>0</v>
      </c>
      <c r="AE45" s="527"/>
      <c r="AF45" s="521"/>
      <c r="AG45" s="521">
        <v>0</v>
      </c>
      <c r="AH45" s="521">
        <v>0</v>
      </c>
      <c r="AI45" s="521">
        <v>0</v>
      </c>
      <c r="AJ45" s="530" t="s">
        <v>120</v>
      </c>
      <c r="AK45" s="679">
        <f t="shared" ref="AK45:AK50" si="4">IF(AJ45="Sim",(Y45+Z45+AA45+AG45+AH45+AI45),(Z45+Y45+AG45+AH45+AI45))</f>
        <v>0</v>
      </c>
      <c r="AL45" s="527"/>
      <c r="AM45" s="527"/>
    </row>
    <row r="46" spans="1:40" s="610" customFormat="1">
      <c r="A46" s="840"/>
      <c r="B46" s="527"/>
      <c r="C46" s="611" t="s">
        <v>231</v>
      </c>
      <c r="D46" s="841" t="s">
        <v>450</v>
      </c>
      <c r="E46" s="523">
        <f>IF(D46&lt;&gt;"",VLOOKUP(D46,Municípios!D1:E5573,2,FALSE),1)</f>
        <v>12252023</v>
      </c>
      <c r="F46" s="527"/>
      <c r="G46" s="611" t="s">
        <v>630</v>
      </c>
      <c r="H46" s="845"/>
      <c r="I46" s="527"/>
      <c r="J46" s="527"/>
      <c r="K46" s="527"/>
      <c r="L46" s="527"/>
      <c r="M46" s="840"/>
      <c r="N46" s="527"/>
      <c r="O46" s="527"/>
      <c r="P46" s="527"/>
      <c r="Q46" s="527"/>
      <c r="R46" s="527"/>
      <c r="S46" s="840"/>
      <c r="T46" s="840"/>
      <c r="U46" s="527"/>
      <c r="V46" s="532" t="s">
        <v>413</v>
      </c>
      <c r="W46" s="676">
        <f t="shared" si="2"/>
        <v>2.2400000000000002</v>
      </c>
      <c r="X46" s="527"/>
      <c r="Y46" s="944">
        <v>0</v>
      </c>
      <c r="Z46" s="944">
        <v>0</v>
      </c>
      <c r="AA46" s="944">
        <f t="shared" si="3"/>
        <v>2.2400000000000002</v>
      </c>
      <c r="AB46" s="944">
        <v>2.2400000000000002</v>
      </c>
      <c r="AC46" s="944">
        <v>0</v>
      </c>
      <c r="AD46" s="944">
        <v>0</v>
      </c>
      <c r="AE46" s="527"/>
      <c r="AF46" s="944"/>
      <c r="AG46" s="944">
        <v>0</v>
      </c>
      <c r="AH46" s="944">
        <v>0</v>
      </c>
      <c r="AI46" s="945">
        <v>0</v>
      </c>
      <c r="AJ46" s="946" t="s">
        <v>120</v>
      </c>
      <c r="AK46" s="946">
        <f t="shared" si="4"/>
        <v>0</v>
      </c>
      <c r="AL46" s="527"/>
      <c r="AM46" s="527"/>
    </row>
    <row r="47" spans="1:40" s="610" customFormat="1">
      <c r="A47" s="840"/>
      <c r="B47" s="527"/>
      <c r="C47" s="611" t="s">
        <v>230</v>
      </c>
      <c r="D47" s="524" t="s">
        <v>354</v>
      </c>
      <c r="E47" s="522"/>
      <c r="F47" s="527"/>
      <c r="G47" s="611" t="s">
        <v>449</v>
      </c>
      <c r="H47" s="516">
        <v>376000</v>
      </c>
      <c r="I47" s="527"/>
      <c r="J47" s="527"/>
      <c r="K47" s="527"/>
      <c r="L47" s="527"/>
      <c r="M47" s="840"/>
      <c r="N47" s="527"/>
      <c r="O47" s="527"/>
      <c r="P47" s="527"/>
      <c r="Q47" s="527"/>
      <c r="R47" s="527"/>
      <c r="S47" s="840"/>
      <c r="T47" s="840"/>
      <c r="U47" s="527"/>
      <c r="V47" s="532" t="s">
        <v>412</v>
      </c>
      <c r="W47" s="676">
        <f t="shared" si="2"/>
        <v>14648</v>
      </c>
      <c r="X47" s="527"/>
      <c r="Y47" s="521">
        <v>0</v>
      </c>
      <c r="Z47" s="521">
        <v>0</v>
      </c>
      <c r="AA47" s="521">
        <f t="shared" si="3"/>
        <v>14648</v>
      </c>
      <c r="AB47" s="521">
        <v>3893</v>
      </c>
      <c r="AC47" s="521">
        <v>10686</v>
      </c>
      <c r="AD47" s="521">
        <v>69</v>
      </c>
      <c r="AE47" s="527"/>
      <c r="AF47" s="521"/>
      <c r="AG47" s="521">
        <v>0</v>
      </c>
      <c r="AH47" s="521">
        <v>0</v>
      </c>
      <c r="AI47" s="521">
        <v>0</v>
      </c>
      <c r="AJ47" s="530" t="s">
        <v>120</v>
      </c>
      <c r="AK47" s="679">
        <f t="shared" si="4"/>
        <v>0</v>
      </c>
      <c r="AL47" s="527"/>
      <c r="AM47" s="527"/>
    </row>
    <row r="48" spans="1:40" s="610" customFormat="1">
      <c r="A48" s="840"/>
      <c r="B48" s="527"/>
      <c r="C48" s="611" t="s">
        <v>448</v>
      </c>
      <c r="D48" s="1002" t="s">
        <v>11005</v>
      </c>
      <c r="E48" s="1003"/>
      <c r="F48" s="527"/>
      <c r="G48" s="611" t="s">
        <v>266</v>
      </c>
      <c r="H48" s="845">
        <f>Colateral!P71</f>
        <v>414000</v>
      </c>
      <c r="I48" s="527"/>
      <c r="J48" s="527"/>
      <c r="K48" s="527"/>
      <c r="L48" s="527"/>
      <c r="M48" s="840"/>
      <c r="N48" s="527"/>
      <c r="O48" s="527"/>
      <c r="P48" s="527"/>
      <c r="Q48" s="527"/>
      <c r="R48" s="527"/>
      <c r="S48" s="840"/>
      <c r="T48" s="840"/>
      <c r="U48" s="527"/>
      <c r="V48" s="532" t="s">
        <v>411</v>
      </c>
      <c r="W48" s="676">
        <f t="shared" si="2"/>
        <v>0</v>
      </c>
      <c r="X48" s="527"/>
      <c r="Y48" s="944">
        <v>0</v>
      </c>
      <c r="Z48" s="944">
        <v>0</v>
      </c>
      <c r="AA48" s="944">
        <f t="shared" si="3"/>
        <v>0</v>
      </c>
      <c r="AB48" s="944">
        <v>0</v>
      </c>
      <c r="AC48" s="944">
        <v>0</v>
      </c>
      <c r="AD48" s="944">
        <v>0</v>
      </c>
      <c r="AE48" s="527"/>
      <c r="AF48" s="944"/>
      <c r="AG48" s="944">
        <v>0</v>
      </c>
      <c r="AH48" s="945">
        <v>0</v>
      </c>
      <c r="AI48" s="946">
        <v>0</v>
      </c>
      <c r="AJ48" s="946" t="s">
        <v>120</v>
      </c>
      <c r="AK48" s="679">
        <f t="shared" si="4"/>
        <v>0</v>
      </c>
      <c r="AL48" s="527"/>
      <c r="AM48" s="527"/>
    </row>
    <row r="49" spans="1:39" s="610" customFormat="1">
      <c r="A49" s="840"/>
      <c r="B49" s="527"/>
      <c r="C49" s="611" t="s">
        <v>232</v>
      </c>
      <c r="D49" s="518" t="s">
        <v>7406</v>
      </c>
      <c r="E49" s="518" t="s">
        <v>445</v>
      </c>
      <c r="F49" s="527"/>
      <c r="G49" s="527"/>
      <c r="H49" s="527"/>
      <c r="I49" s="527"/>
      <c r="J49" s="527"/>
      <c r="K49" s="527"/>
      <c r="L49" s="527"/>
      <c r="M49" s="840"/>
      <c r="N49" s="527"/>
      <c r="O49" s="527"/>
      <c r="P49" s="527"/>
      <c r="Q49" s="527"/>
      <c r="R49" s="527"/>
      <c r="S49" s="840"/>
      <c r="T49" s="840"/>
      <c r="U49" s="527"/>
      <c r="V49" s="532" t="s">
        <v>410</v>
      </c>
      <c r="W49" s="676">
        <f t="shared" si="2"/>
        <v>0</v>
      </c>
      <c r="X49" s="527"/>
      <c r="Y49" s="521">
        <v>0</v>
      </c>
      <c r="Z49" s="521">
        <v>0</v>
      </c>
      <c r="AA49" s="521">
        <f t="shared" si="3"/>
        <v>0</v>
      </c>
      <c r="AB49" s="521">
        <v>0</v>
      </c>
      <c r="AC49" s="521">
        <v>0</v>
      </c>
      <c r="AD49" s="521">
        <v>0</v>
      </c>
      <c r="AE49" s="527"/>
      <c r="AF49" s="521"/>
      <c r="AG49" s="521">
        <v>0</v>
      </c>
      <c r="AH49" s="521">
        <v>0</v>
      </c>
      <c r="AI49" s="521">
        <v>0</v>
      </c>
      <c r="AJ49" s="530" t="s">
        <v>120</v>
      </c>
      <c r="AK49" s="679">
        <f t="shared" si="4"/>
        <v>0</v>
      </c>
      <c r="AL49" s="527"/>
      <c r="AM49" s="527"/>
    </row>
    <row r="50" spans="1:39" s="610" customFormat="1">
      <c r="A50" s="840"/>
      <c r="B50" s="527"/>
      <c r="C50" s="611" t="s">
        <v>446</v>
      </c>
      <c r="D50" s="855">
        <v>141951</v>
      </c>
      <c r="E50" s="522"/>
      <c r="F50" s="527"/>
      <c r="G50" s="611" t="s">
        <v>237</v>
      </c>
      <c r="H50" s="841" t="s">
        <v>445</v>
      </c>
      <c r="I50" s="527"/>
      <c r="J50" s="527"/>
      <c r="K50" s="527"/>
      <c r="L50" s="527"/>
      <c r="M50" s="840"/>
      <c r="N50" s="527"/>
      <c r="O50" s="527"/>
      <c r="P50" s="527"/>
      <c r="Q50" s="527"/>
      <c r="R50" s="527"/>
      <c r="S50" s="840"/>
      <c r="T50" s="840"/>
      <c r="U50" s="527"/>
      <c r="V50" s="533" t="s">
        <v>131</v>
      </c>
      <c r="W50" s="676">
        <f t="shared" si="2"/>
        <v>0</v>
      </c>
      <c r="X50" s="527"/>
      <c r="Y50" s="944">
        <v>0</v>
      </c>
      <c r="Z50" s="944">
        <v>0</v>
      </c>
      <c r="AA50" s="944">
        <f t="shared" si="3"/>
        <v>0</v>
      </c>
      <c r="AB50" s="944">
        <v>0</v>
      </c>
      <c r="AC50" s="944">
        <v>0</v>
      </c>
      <c r="AD50" s="944">
        <v>0</v>
      </c>
      <c r="AE50" s="527"/>
      <c r="AF50" s="944"/>
      <c r="AG50" s="945">
        <v>0</v>
      </c>
      <c r="AH50" s="946">
        <v>0</v>
      </c>
      <c r="AI50" s="946">
        <v>0</v>
      </c>
      <c r="AJ50" s="679" t="s">
        <v>120</v>
      </c>
      <c r="AK50" s="679">
        <f t="shared" si="4"/>
        <v>0</v>
      </c>
      <c r="AL50" s="527"/>
      <c r="AM50" s="527"/>
    </row>
    <row r="51" spans="1:39" s="610" customFormat="1" ht="16.5" thickBot="1">
      <c r="A51" s="840"/>
      <c r="B51" s="527"/>
      <c r="C51" s="527"/>
      <c r="D51" s="527"/>
      <c r="E51" s="527"/>
      <c r="F51" s="527"/>
      <c r="G51" s="611" t="s">
        <v>162</v>
      </c>
      <c r="H51" s="525">
        <v>8</v>
      </c>
      <c r="I51" s="527"/>
      <c r="J51" s="527"/>
      <c r="K51" s="527"/>
      <c r="L51" s="527"/>
      <c r="M51" s="840"/>
      <c r="N51" s="527"/>
      <c r="O51" s="527"/>
      <c r="P51" s="527"/>
      <c r="Q51" s="527"/>
      <c r="R51" s="527"/>
      <c r="S51" s="840"/>
      <c r="T51" s="840"/>
      <c r="U51" s="527"/>
      <c r="V51" s="677" t="s">
        <v>80</v>
      </c>
      <c r="W51" s="676">
        <f>SUM(W44:W50)</f>
        <v>21518.239999999998</v>
      </c>
      <c r="X51" s="527"/>
      <c r="Y51" s="676">
        <f t="shared" ref="Y51:AD51" si="5">SUM(Y44:Y50)</f>
        <v>0</v>
      </c>
      <c r="Z51" s="676">
        <f t="shared" si="5"/>
        <v>0</v>
      </c>
      <c r="AA51" s="676">
        <f t="shared" si="5"/>
        <v>21518.239999999998</v>
      </c>
      <c r="AB51" s="676">
        <f t="shared" si="5"/>
        <v>5678.24</v>
      </c>
      <c r="AC51" s="676">
        <f t="shared" si="5"/>
        <v>11435</v>
      </c>
      <c r="AD51" s="676">
        <f t="shared" si="5"/>
        <v>4405</v>
      </c>
      <c r="AE51" s="631"/>
      <c r="AF51" s="631"/>
      <c r="AG51" s="676">
        <f>SUM(AG44:AG50)</f>
        <v>0</v>
      </c>
      <c r="AH51" s="676">
        <f>SUM(AH44:AH50)</f>
        <v>0</v>
      </c>
      <c r="AI51" s="676">
        <f>SUM(AI44:AI50)</f>
        <v>0</v>
      </c>
      <c r="AJ51" s="678" t="s">
        <v>120</v>
      </c>
      <c r="AK51" s="676">
        <f>SUM(AK44:AK50)</f>
        <v>0</v>
      </c>
      <c r="AL51" s="527"/>
      <c r="AM51" s="527"/>
    </row>
    <row r="52" spans="1:39" s="610" customFormat="1">
      <c r="A52" s="840"/>
      <c r="B52" s="527"/>
      <c r="C52" s="611" t="s">
        <v>444</v>
      </c>
      <c r="D52" s="856">
        <v>46.73</v>
      </c>
      <c r="E52" s="527"/>
      <c r="F52" s="527"/>
      <c r="G52" s="611" t="s">
        <v>443</v>
      </c>
      <c r="H52" s="857">
        <v>15</v>
      </c>
      <c r="I52" s="527"/>
      <c r="J52" s="527"/>
      <c r="K52" s="527"/>
      <c r="L52" s="527"/>
      <c r="M52" s="840"/>
      <c r="N52" s="527"/>
      <c r="O52" s="527"/>
      <c r="P52" s="527"/>
      <c r="Q52" s="527"/>
      <c r="R52" s="527"/>
      <c r="S52" s="840"/>
      <c r="T52" s="840"/>
      <c r="U52" s="527"/>
      <c r="V52" s="527"/>
      <c r="W52" s="527"/>
      <c r="X52" s="527"/>
      <c r="Y52" s="527"/>
      <c r="Z52" s="527"/>
      <c r="AA52" s="527"/>
      <c r="AB52" s="527"/>
      <c r="AC52" s="527"/>
      <c r="AD52" s="527"/>
      <c r="AE52" s="527"/>
      <c r="AF52" s="527"/>
      <c r="AG52" s="527"/>
      <c r="AH52" s="527"/>
      <c r="AI52" s="527"/>
      <c r="AJ52" s="527"/>
      <c r="AK52" s="527"/>
      <c r="AL52" s="527"/>
      <c r="AM52" s="527"/>
    </row>
    <row r="53" spans="1:39" s="610" customFormat="1">
      <c r="A53" s="840"/>
      <c r="B53" s="527"/>
      <c r="C53" s="611" t="s">
        <v>442</v>
      </c>
      <c r="D53" s="528">
        <v>0</v>
      </c>
      <c r="E53" s="527"/>
      <c r="F53" s="527"/>
      <c r="G53" s="611" t="s">
        <v>631</v>
      </c>
      <c r="H53" s="526">
        <v>2005</v>
      </c>
      <c r="I53" s="527"/>
      <c r="J53" s="527"/>
      <c r="K53" s="527"/>
      <c r="L53" s="527"/>
      <c r="M53" s="840"/>
      <c r="N53" s="527"/>
      <c r="O53" s="527"/>
      <c r="P53" s="527"/>
      <c r="Q53" s="527"/>
      <c r="R53" s="527"/>
      <c r="S53" s="840"/>
      <c r="T53" s="840"/>
      <c r="U53" s="527"/>
      <c r="V53" s="527"/>
      <c r="W53" s="527"/>
      <c r="X53" s="527"/>
      <c r="Y53" s="527"/>
      <c r="Z53" s="527"/>
      <c r="AA53" s="527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  <c r="AL53" s="527"/>
      <c r="AM53" s="527"/>
    </row>
    <row r="54" spans="1:39" s="610" customFormat="1">
      <c r="A54" s="840"/>
      <c r="B54" s="527"/>
      <c r="C54" s="611" t="s">
        <v>441</v>
      </c>
      <c r="D54" s="856">
        <v>82.96</v>
      </c>
      <c r="E54" s="527"/>
      <c r="F54" s="527"/>
      <c r="G54" s="611" t="s">
        <v>216</v>
      </c>
      <c r="H54" s="858" t="s">
        <v>155</v>
      </c>
      <c r="I54" s="527"/>
      <c r="J54" s="527"/>
      <c r="K54" s="527"/>
      <c r="L54" s="527"/>
      <c r="M54" s="840"/>
      <c r="N54" s="527"/>
      <c r="O54" s="527"/>
      <c r="P54" s="527"/>
      <c r="Q54" s="527"/>
      <c r="R54" s="527"/>
      <c r="S54" s="840"/>
      <c r="T54" s="840"/>
      <c r="U54" s="527"/>
      <c r="V54" s="631" t="str">
        <f>IF($C$23&lt;&gt;"",$C$23,"")</f>
        <v>MARIETE DIEGUES DE SOUZA</v>
      </c>
      <c r="W54" s="619" t="s">
        <v>80</v>
      </c>
      <c r="X54" s="620"/>
      <c r="Y54" s="619" t="s">
        <v>426</v>
      </c>
      <c r="Z54" s="619" t="s">
        <v>425</v>
      </c>
      <c r="AA54" s="619" t="s">
        <v>418</v>
      </c>
      <c r="AB54" s="619" t="s">
        <v>424</v>
      </c>
      <c r="AC54" s="619" t="s">
        <v>423</v>
      </c>
      <c r="AD54" s="619" t="s">
        <v>422</v>
      </c>
      <c r="AE54" s="527"/>
      <c r="AF54" s="619" t="s">
        <v>663</v>
      </c>
      <c r="AG54" s="619" t="s">
        <v>421</v>
      </c>
      <c r="AH54" s="619" t="s">
        <v>420</v>
      </c>
      <c r="AI54" s="619" t="s">
        <v>419</v>
      </c>
      <c r="AJ54" s="619" t="s">
        <v>455</v>
      </c>
      <c r="AK54" s="619" t="s">
        <v>417</v>
      </c>
      <c r="AL54" s="619" t="s">
        <v>416</v>
      </c>
      <c r="AM54" s="527"/>
    </row>
    <row r="55" spans="1:39" s="610" customFormat="1" ht="16.5" thickBot="1">
      <c r="A55" s="840"/>
      <c r="B55" s="527"/>
      <c r="C55" s="611" t="s">
        <v>440</v>
      </c>
      <c r="D55" s="528">
        <v>0</v>
      </c>
      <c r="E55" s="527"/>
      <c r="F55" s="527"/>
      <c r="G55" s="527"/>
      <c r="H55" s="621"/>
      <c r="I55" s="527"/>
      <c r="J55" s="527"/>
      <c r="K55" s="527"/>
      <c r="L55" s="527"/>
      <c r="M55" s="840"/>
      <c r="N55" s="527"/>
      <c r="O55" s="527"/>
      <c r="P55" s="527"/>
      <c r="Q55" s="527"/>
      <c r="R55" s="527"/>
      <c r="S55" s="840"/>
      <c r="T55" s="840"/>
      <c r="U55" s="527"/>
      <c r="V55" s="532" t="s">
        <v>415</v>
      </c>
      <c r="W55" s="676">
        <f t="shared" ref="W55:W61" si="6">SUM(Y55:AA55,AG55:AI55)</f>
        <v>0</v>
      </c>
      <c r="X55" s="527"/>
      <c r="Y55" s="944">
        <v>0</v>
      </c>
      <c r="Z55" s="944">
        <v>0</v>
      </c>
      <c r="AA55" s="944">
        <f>SUM(AB55:AD55)</f>
        <v>0</v>
      </c>
      <c r="AB55" s="944">
        <v>0</v>
      </c>
      <c r="AC55" s="944">
        <v>0</v>
      </c>
      <c r="AD55" s="944">
        <v>0</v>
      </c>
      <c r="AE55" s="527"/>
      <c r="AF55" s="944"/>
      <c r="AG55" s="944">
        <v>0</v>
      </c>
      <c r="AH55" s="944">
        <v>0</v>
      </c>
      <c r="AI55" s="944">
        <v>0</v>
      </c>
      <c r="AJ55" s="945" t="s">
        <v>120</v>
      </c>
      <c r="AK55" s="946">
        <f t="shared" ref="AK55:AK61" si="7">IF(AJ55="Sim",(Y55+Z55+AA55+AG55+AH55+AI55),(Z55+Y55+AG55+AH55+AI55))</f>
        <v>0</v>
      </c>
      <c r="AL55" s="531">
        <v>50468</v>
      </c>
      <c r="AM55" s="527"/>
    </row>
    <row r="56" spans="1:39" s="610" customFormat="1" ht="16.5" thickTop="1">
      <c r="A56" s="840"/>
      <c r="B56" s="527"/>
      <c r="C56" s="611" t="s">
        <v>227</v>
      </c>
      <c r="D56" s="841">
        <v>1</v>
      </c>
      <c r="E56" s="527"/>
      <c r="F56" s="527"/>
      <c r="G56" s="804" t="s">
        <v>770</v>
      </c>
      <c r="H56" s="805"/>
      <c r="I56" s="617"/>
      <c r="J56" s="527"/>
      <c r="K56" s="527"/>
      <c r="L56" s="527"/>
      <c r="M56" s="840"/>
      <c r="N56" s="527"/>
      <c r="O56" s="527"/>
      <c r="P56" s="527"/>
      <c r="Q56" s="527"/>
      <c r="R56" s="527"/>
      <c r="S56" s="840"/>
      <c r="T56" s="840"/>
      <c r="U56" s="527"/>
      <c r="V56" s="532" t="s">
        <v>414</v>
      </c>
      <c r="W56" s="676">
        <f t="shared" si="6"/>
        <v>0</v>
      </c>
      <c r="X56" s="527"/>
      <c r="Y56" s="521">
        <v>0</v>
      </c>
      <c r="Z56" s="521">
        <v>0</v>
      </c>
      <c r="AA56" s="521">
        <f t="shared" ref="AA56:AA61" si="8">SUM(AB56:AD56)</f>
        <v>0</v>
      </c>
      <c r="AB56" s="521">
        <v>0</v>
      </c>
      <c r="AC56" s="521">
        <v>0</v>
      </c>
      <c r="AD56" s="521">
        <v>0</v>
      </c>
      <c r="AE56" s="527"/>
      <c r="AF56" s="521"/>
      <c r="AG56" s="521">
        <v>0</v>
      </c>
      <c r="AH56" s="521">
        <v>0</v>
      </c>
      <c r="AI56" s="521">
        <v>0</v>
      </c>
      <c r="AJ56" s="530" t="s">
        <v>120</v>
      </c>
      <c r="AK56" s="679">
        <f t="shared" si="7"/>
        <v>0</v>
      </c>
      <c r="AL56" s="527"/>
      <c r="AM56" s="527"/>
    </row>
    <row r="57" spans="1:39" s="610" customFormat="1">
      <c r="A57" s="840"/>
      <c r="B57" s="527"/>
      <c r="C57" s="527"/>
      <c r="D57" s="527"/>
      <c r="E57" s="527"/>
      <c r="F57" s="527"/>
      <c r="G57" s="1000" t="s">
        <v>11006</v>
      </c>
      <c r="H57" s="1000"/>
      <c r="I57" s="617"/>
      <c r="J57" s="527"/>
      <c r="K57" s="527"/>
      <c r="L57" s="527"/>
      <c r="M57" s="840"/>
      <c r="N57" s="527"/>
      <c r="O57" s="527"/>
      <c r="P57" s="527"/>
      <c r="Q57" s="527"/>
      <c r="R57" s="527"/>
      <c r="S57" s="840"/>
      <c r="T57" s="840"/>
      <c r="U57" s="527"/>
      <c r="V57" s="532" t="s">
        <v>412</v>
      </c>
      <c r="W57" s="676">
        <f t="shared" si="6"/>
        <v>45.6</v>
      </c>
      <c r="X57" s="527"/>
      <c r="Y57" s="944">
        <v>45.6</v>
      </c>
      <c r="Z57" s="944">
        <v>0</v>
      </c>
      <c r="AA57" s="944">
        <f t="shared" si="8"/>
        <v>0</v>
      </c>
      <c r="AB57" s="944">
        <v>0</v>
      </c>
      <c r="AC57" s="944">
        <v>0</v>
      </c>
      <c r="AD57" s="944">
        <v>0</v>
      </c>
      <c r="AE57" s="527"/>
      <c r="AF57" s="944"/>
      <c r="AG57" s="944">
        <v>0</v>
      </c>
      <c r="AH57" s="944">
        <v>0</v>
      </c>
      <c r="AI57" s="945">
        <v>0</v>
      </c>
      <c r="AJ57" s="946" t="s">
        <v>120</v>
      </c>
      <c r="AK57" s="946">
        <f t="shared" si="7"/>
        <v>45.6</v>
      </c>
      <c r="AL57" s="527"/>
      <c r="AM57" s="527"/>
    </row>
    <row r="58" spans="1:39" s="610" customFormat="1">
      <c r="A58" s="840"/>
      <c r="B58" s="527"/>
      <c r="C58" s="611" t="s">
        <v>439</v>
      </c>
      <c r="D58" s="841" t="s">
        <v>120</v>
      </c>
      <c r="E58" s="527"/>
      <c r="F58" s="527"/>
      <c r="G58" s="1001" t="s">
        <v>11008</v>
      </c>
      <c r="H58" s="1001"/>
      <c r="I58" s="617"/>
      <c r="J58" s="527"/>
      <c r="K58" s="527"/>
      <c r="L58" s="527"/>
      <c r="M58" s="840"/>
      <c r="N58" s="527"/>
      <c r="O58" s="527"/>
      <c r="P58" s="527"/>
      <c r="Q58" s="527"/>
      <c r="R58" s="527"/>
      <c r="S58" s="840"/>
      <c r="T58" s="840"/>
      <c r="U58" s="527"/>
      <c r="V58" s="532" t="s">
        <v>412</v>
      </c>
      <c r="W58" s="676">
        <f t="shared" si="6"/>
        <v>1225</v>
      </c>
      <c r="X58" s="527"/>
      <c r="Y58" s="521">
        <v>0</v>
      </c>
      <c r="Z58" s="521">
        <v>0</v>
      </c>
      <c r="AA58" s="521">
        <f t="shared" si="8"/>
        <v>1225</v>
      </c>
      <c r="AB58" s="521">
        <v>785</v>
      </c>
      <c r="AC58" s="521">
        <v>440</v>
      </c>
      <c r="AD58" s="521">
        <v>0</v>
      </c>
      <c r="AE58" s="527"/>
      <c r="AF58" s="521"/>
      <c r="AG58" s="521">
        <v>0</v>
      </c>
      <c r="AH58" s="521">
        <v>0</v>
      </c>
      <c r="AI58" s="521">
        <v>0</v>
      </c>
      <c r="AJ58" s="530" t="s">
        <v>120</v>
      </c>
      <c r="AK58" s="679">
        <f t="shared" si="7"/>
        <v>0</v>
      </c>
      <c r="AL58" s="527"/>
      <c r="AM58" s="527"/>
    </row>
    <row r="59" spans="1:39" s="610" customFormat="1">
      <c r="A59" s="840"/>
      <c r="B59" s="527"/>
      <c r="C59" s="611" t="s">
        <v>438</v>
      </c>
      <c r="D59" s="516">
        <v>0</v>
      </c>
      <c r="E59" s="527"/>
      <c r="F59" s="527"/>
      <c r="G59" s="1000"/>
      <c r="H59" s="1000"/>
      <c r="I59" s="617"/>
      <c r="J59" s="527"/>
      <c r="K59" s="527"/>
      <c r="L59" s="527"/>
      <c r="M59" s="840"/>
      <c r="N59" s="527"/>
      <c r="O59" s="527"/>
      <c r="P59" s="527"/>
      <c r="Q59" s="527"/>
      <c r="R59" s="527"/>
      <c r="S59" s="840"/>
      <c r="T59" s="840"/>
      <c r="U59" s="527"/>
      <c r="V59" s="532" t="s">
        <v>411</v>
      </c>
      <c r="W59" s="676">
        <f t="shared" si="6"/>
        <v>0</v>
      </c>
      <c r="X59" s="527"/>
      <c r="Y59" s="944">
        <v>0</v>
      </c>
      <c r="Z59" s="944">
        <v>0</v>
      </c>
      <c r="AA59" s="944">
        <f t="shared" si="8"/>
        <v>0</v>
      </c>
      <c r="AB59" s="944">
        <v>0</v>
      </c>
      <c r="AC59" s="944">
        <v>0</v>
      </c>
      <c r="AD59" s="944">
        <v>0</v>
      </c>
      <c r="AE59" s="527"/>
      <c r="AF59" s="944"/>
      <c r="AG59" s="944">
        <v>0</v>
      </c>
      <c r="AH59" s="945">
        <v>0</v>
      </c>
      <c r="AI59" s="946">
        <v>0</v>
      </c>
      <c r="AJ59" s="946" t="s">
        <v>120</v>
      </c>
      <c r="AK59" s="679">
        <f t="shared" si="7"/>
        <v>0</v>
      </c>
      <c r="AL59" s="527"/>
      <c r="AM59" s="527"/>
    </row>
    <row r="60" spans="1:39" s="610" customFormat="1">
      <c r="A60" s="840"/>
      <c r="B60" s="527"/>
      <c r="C60" s="611" t="s">
        <v>437</v>
      </c>
      <c r="D60" s="845">
        <v>0</v>
      </c>
      <c r="E60" s="527"/>
      <c r="F60" s="527"/>
      <c r="G60" s="1001"/>
      <c r="H60" s="1001"/>
      <c r="I60" s="527"/>
      <c r="J60" s="527"/>
      <c r="K60" s="527"/>
      <c r="L60" s="527"/>
      <c r="M60" s="840"/>
      <c r="N60" s="527"/>
      <c r="O60" s="527"/>
      <c r="P60" s="527"/>
      <c r="Q60" s="527"/>
      <c r="R60" s="527"/>
      <c r="S60" s="840"/>
      <c r="T60" s="840"/>
      <c r="U60" s="527"/>
      <c r="V60" s="532" t="s">
        <v>410</v>
      </c>
      <c r="W60" s="676">
        <f t="shared" si="6"/>
        <v>0</v>
      </c>
      <c r="X60" s="527"/>
      <c r="Y60" s="521">
        <v>0</v>
      </c>
      <c r="Z60" s="521">
        <v>0</v>
      </c>
      <c r="AA60" s="521">
        <f t="shared" si="8"/>
        <v>0</v>
      </c>
      <c r="AB60" s="521">
        <v>0</v>
      </c>
      <c r="AC60" s="521">
        <v>0</v>
      </c>
      <c r="AD60" s="521">
        <v>0</v>
      </c>
      <c r="AE60" s="527"/>
      <c r="AF60" s="521"/>
      <c r="AG60" s="521">
        <v>0</v>
      </c>
      <c r="AH60" s="521">
        <v>0</v>
      </c>
      <c r="AI60" s="521">
        <v>0</v>
      </c>
      <c r="AJ60" s="530" t="s">
        <v>120</v>
      </c>
      <c r="AK60" s="679">
        <f t="shared" si="7"/>
        <v>0</v>
      </c>
      <c r="AL60" s="527"/>
      <c r="AM60" s="527"/>
    </row>
    <row r="61" spans="1:39" s="610" customFormat="1" ht="14.85" customHeight="1" thickBot="1">
      <c r="A61" s="840"/>
      <c r="B61" s="527"/>
      <c r="C61" s="611" t="s">
        <v>436</v>
      </c>
      <c r="D61" s="518" t="s">
        <v>111</v>
      </c>
      <c r="E61" s="622"/>
      <c r="F61" s="527"/>
      <c r="G61" s="901" t="s">
        <v>769</v>
      </c>
      <c r="H61" s="527"/>
      <c r="I61" s="527"/>
      <c r="J61" s="527"/>
      <c r="K61" s="527"/>
      <c r="L61" s="527"/>
      <c r="M61" s="840"/>
      <c r="N61" s="527"/>
      <c r="O61" s="527"/>
      <c r="P61" s="527"/>
      <c r="Q61" s="527"/>
      <c r="R61" s="527"/>
      <c r="S61" s="840"/>
      <c r="T61" s="840"/>
      <c r="U61" s="527"/>
      <c r="V61" s="532" t="s">
        <v>131</v>
      </c>
      <c r="W61" s="676">
        <f t="shared" si="6"/>
        <v>0</v>
      </c>
      <c r="X61" s="527"/>
      <c r="Y61" s="944">
        <v>0</v>
      </c>
      <c r="Z61" s="944">
        <v>0</v>
      </c>
      <c r="AA61" s="944">
        <f t="shared" si="8"/>
        <v>0</v>
      </c>
      <c r="AB61" s="944">
        <v>0</v>
      </c>
      <c r="AC61" s="944">
        <v>0</v>
      </c>
      <c r="AD61" s="944">
        <v>0</v>
      </c>
      <c r="AE61" s="527"/>
      <c r="AF61" s="944"/>
      <c r="AG61" s="945">
        <v>0</v>
      </c>
      <c r="AH61" s="946">
        <v>0</v>
      </c>
      <c r="AI61" s="946">
        <v>0</v>
      </c>
      <c r="AJ61" s="679" t="s">
        <v>120</v>
      </c>
      <c r="AK61" s="679">
        <f t="shared" si="7"/>
        <v>0</v>
      </c>
      <c r="AL61" s="527"/>
      <c r="AM61" s="527"/>
    </row>
    <row r="62" spans="1:39" s="610" customFormat="1" ht="15" customHeight="1" thickBot="1">
      <c r="A62" s="840"/>
      <c r="B62" s="527"/>
      <c r="C62" s="527"/>
      <c r="D62" s="527"/>
      <c r="E62" s="527"/>
      <c r="F62" s="527"/>
      <c r="G62" s="994"/>
      <c r="H62" s="995"/>
      <c r="I62" s="527"/>
      <c r="J62" s="527"/>
      <c r="K62" s="527"/>
      <c r="L62" s="527"/>
      <c r="M62" s="840"/>
      <c r="N62" s="527"/>
      <c r="O62" s="527"/>
      <c r="P62" s="527"/>
      <c r="Q62" s="527"/>
      <c r="R62" s="527"/>
      <c r="S62" s="840"/>
      <c r="T62" s="840"/>
      <c r="U62" s="527"/>
      <c r="V62" s="677" t="s">
        <v>80</v>
      </c>
      <c r="W62" s="676">
        <f>SUM(W55:W61)</f>
        <v>1270.5999999999999</v>
      </c>
      <c r="X62" s="527"/>
      <c r="Y62" s="676">
        <f t="shared" ref="Y62:AD62" si="9">SUM(Y55:Y61)</f>
        <v>45.6</v>
      </c>
      <c r="Z62" s="676">
        <f t="shared" si="9"/>
        <v>0</v>
      </c>
      <c r="AA62" s="676">
        <f t="shared" si="9"/>
        <v>1225</v>
      </c>
      <c r="AB62" s="676">
        <f t="shared" si="9"/>
        <v>785</v>
      </c>
      <c r="AC62" s="676">
        <f t="shared" si="9"/>
        <v>440</v>
      </c>
      <c r="AD62" s="676">
        <f t="shared" si="9"/>
        <v>0</v>
      </c>
      <c r="AE62" s="631"/>
      <c r="AF62" s="631"/>
      <c r="AG62" s="676">
        <f>SUM(AG55:AG61)</f>
        <v>0</v>
      </c>
      <c r="AH62" s="676">
        <f>SUM(AH55:AH61)</f>
        <v>0</v>
      </c>
      <c r="AI62" s="676">
        <f>SUM(AI55:AI61)</f>
        <v>0</v>
      </c>
      <c r="AJ62" s="678" t="s">
        <v>120</v>
      </c>
      <c r="AK62" s="676">
        <f>SUM(AK55:AK61)</f>
        <v>45.6</v>
      </c>
      <c r="AL62" s="527"/>
      <c r="AM62" s="527"/>
    </row>
    <row r="63" spans="1:39" s="610" customFormat="1" ht="14.85" customHeight="1" thickBot="1">
      <c r="A63" s="840"/>
      <c r="B63" s="527"/>
      <c r="C63" s="527"/>
      <c r="D63" s="527"/>
      <c r="E63" s="527"/>
      <c r="F63" s="527"/>
      <c r="G63" s="996"/>
      <c r="H63" s="997"/>
      <c r="I63" s="527"/>
      <c r="J63" s="527"/>
      <c r="K63" s="527"/>
      <c r="L63" s="527"/>
      <c r="M63" s="840"/>
      <c r="N63" s="527"/>
      <c r="O63" s="527"/>
      <c r="P63" s="527"/>
      <c r="Q63" s="527"/>
      <c r="R63" s="527"/>
      <c r="S63" s="840"/>
      <c r="T63" s="840"/>
      <c r="U63" s="527"/>
      <c r="V63" s="527"/>
      <c r="W63" s="527"/>
      <c r="X63" s="527"/>
      <c r="Y63" s="527"/>
      <c r="Z63" s="527"/>
      <c r="AA63" s="527"/>
      <c r="AB63" s="527"/>
      <c r="AC63" s="527"/>
      <c r="AD63" s="527"/>
      <c r="AE63" s="527"/>
      <c r="AF63" s="527"/>
      <c r="AG63" s="527"/>
      <c r="AH63" s="527"/>
      <c r="AI63" s="527"/>
      <c r="AJ63" s="527"/>
      <c r="AK63" s="527"/>
      <c r="AL63" s="527"/>
      <c r="AM63" s="527"/>
    </row>
    <row r="64" spans="1:39" s="610" customFormat="1" ht="14.85" customHeight="1" thickBot="1">
      <c r="A64" s="840"/>
      <c r="B64" s="527"/>
      <c r="C64" s="527"/>
      <c r="D64" s="527"/>
      <c r="E64" s="527"/>
      <c r="F64" s="527"/>
      <c r="G64" s="996"/>
      <c r="H64" s="997"/>
      <c r="I64" s="527"/>
      <c r="J64" s="527"/>
      <c r="K64" s="527"/>
      <c r="L64" s="527"/>
      <c r="M64" s="840"/>
      <c r="N64" s="527"/>
      <c r="O64" s="527"/>
      <c r="P64" s="527"/>
      <c r="Q64" s="527"/>
      <c r="R64" s="527"/>
      <c r="S64" s="840"/>
      <c r="T64" s="840"/>
      <c r="U64" s="527"/>
      <c r="V64" s="527"/>
      <c r="W64" s="527"/>
      <c r="X64" s="527"/>
      <c r="Y64" s="992" t="s">
        <v>11013</v>
      </c>
      <c r="Z64" s="993"/>
      <c r="AA64" s="527"/>
      <c r="AB64" s="527"/>
      <c r="AC64" s="527"/>
      <c r="AD64" s="527"/>
      <c r="AE64" s="527"/>
      <c r="AF64" s="527"/>
      <c r="AG64" s="527"/>
      <c r="AH64" s="527"/>
      <c r="AI64" s="527"/>
      <c r="AJ64" s="527"/>
      <c r="AK64" s="527"/>
      <c r="AL64" s="527"/>
      <c r="AM64" s="527"/>
    </row>
    <row r="65" spans="1:39" s="610" customFormat="1">
      <c r="A65" s="840"/>
      <c r="B65" s="527"/>
      <c r="C65" s="527"/>
      <c r="D65" s="527"/>
      <c r="E65" s="527"/>
      <c r="F65" s="527"/>
      <c r="G65" s="996"/>
      <c r="H65" s="997"/>
      <c r="I65" s="527"/>
      <c r="J65" s="527"/>
      <c r="K65" s="527"/>
      <c r="L65" s="527"/>
      <c r="M65" s="840"/>
      <c r="N65" s="527"/>
      <c r="O65" s="527"/>
      <c r="P65" s="527"/>
      <c r="Q65" s="527"/>
      <c r="R65" s="527"/>
      <c r="S65" s="840"/>
      <c r="T65" s="840"/>
      <c r="U65" s="527"/>
      <c r="V65" s="631" t="str">
        <f>IF($C$24&lt;&gt;"",$C$24,"")</f>
        <v>ELETRO VOLUNTARIOS LTDA</v>
      </c>
      <c r="W65" s="619" t="s">
        <v>80</v>
      </c>
      <c r="X65" s="620"/>
      <c r="Y65" s="619" t="s">
        <v>426</v>
      </c>
      <c r="Z65" s="619" t="s">
        <v>425</v>
      </c>
      <c r="AA65" s="619" t="s">
        <v>418</v>
      </c>
      <c r="AB65" s="619" t="s">
        <v>424</v>
      </c>
      <c r="AC65" s="619" t="s">
        <v>423</v>
      </c>
      <c r="AD65" s="619" t="s">
        <v>422</v>
      </c>
      <c r="AE65" s="527"/>
      <c r="AF65" s="619" t="s">
        <v>663</v>
      </c>
      <c r="AG65" s="619" t="s">
        <v>421</v>
      </c>
      <c r="AH65" s="619" t="s">
        <v>420</v>
      </c>
      <c r="AI65" s="619" t="s">
        <v>419</v>
      </c>
      <c r="AJ65" s="619" t="s">
        <v>455</v>
      </c>
      <c r="AK65" s="619" t="s">
        <v>417</v>
      </c>
      <c r="AL65" s="619" t="s">
        <v>416</v>
      </c>
      <c r="AM65" s="527"/>
    </row>
    <row r="66" spans="1:39" s="610" customFormat="1" ht="15" customHeight="1" thickBot="1">
      <c r="A66" s="840"/>
      <c r="B66" s="527"/>
      <c r="C66" s="527"/>
      <c r="D66" s="527"/>
      <c r="E66" s="527"/>
      <c r="F66" s="527"/>
      <c r="G66" s="998"/>
      <c r="H66" s="999"/>
      <c r="I66" s="527"/>
      <c r="J66" s="527"/>
      <c r="K66" s="527"/>
      <c r="L66" s="527"/>
      <c r="M66" s="840"/>
      <c r="N66" s="527"/>
      <c r="O66" s="527"/>
      <c r="P66" s="527"/>
      <c r="Q66" s="527"/>
      <c r="R66" s="527"/>
      <c r="S66" s="840"/>
      <c r="T66" s="840"/>
      <c r="U66" s="527"/>
      <c r="V66" s="532" t="s">
        <v>415</v>
      </c>
      <c r="W66" s="676">
        <f t="shared" ref="W66:W72" si="10">SUM(Y66:AA66,AG66:AI66)</f>
        <v>0</v>
      </c>
      <c r="X66" s="527"/>
      <c r="Y66" s="944">
        <v>0</v>
      </c>
      <c r="Z66" s="944">
        <v>0</v>
      </c>
      <c r="AA66" s="944">
        <f>SUM(AB66:AD66)</f>
        <v>0</v>
      </c>
      <c r="AB66" s="944">
        <v>0</v>
      </c>
      <c r="AC66" s="944">
        <v>0</v>
      </c>
      <c r="AD66" s="944">
        <v>0</v>
      </c>
      <c r="AE66" s="527"/>
      <c r="AF66" s="944"/>
      <c r="AG66" s="944">
        <v>0</v>
      </c>
      <c r="AH66" s="944">
        <v>0</v>
      </c>
      <c r="AI66" s="944">
        <v>0</v>
      </c>
      <c r="AJ66" s="945" t="s">
        <v>120</v>
      </c>
      <c r="AK66" s="946">
        <f t="shared" ref="AK66:AK72" si="11">IF(AJ66="Sim",(Y66+Z66+AA66+AG66+AH66+AI66),(Z66+Y66+AG66+AH66+AI66))</f>
        <v>0</v>
      </c>
      <c r="AL66" s="531"/>
      <c r="AM66" s="527"/>
    </row>
    <row r="67" spans="1:39" s="610" customFormat="1">
      <c r="A67" s="840"/>
      <c r="B67" s="527"/>
      <c r="C67" s="527"/>
      <c r="D67" s="527"/>
      <c r="E67" s="527"/>
      <c r="F67" s="527"/>
      <c r="G67" s="527"/>
      <c r="H67" s="527"/>
      <c r="I67" s="527"/>
      <c r="J67" s="527"/>
      <c r="K67" s="527"/>
      <c r="L67" s="527"/>
      <c r="M67" s="840"/>
      <c r="N67" s="527"/>
      <c r="O67" s="527"/>
      <c r="P67" s="527"/>
      <c r="Q67" s="527"/>
      <c r="R67" s="527"/>
      <c r="S67" s="840"/>
      <c r="T67" s="840"/>
      <c r="U67" s="527"/>
      <c r="V67" s="532" t="s">
        <v>414</v>
      </c>
      <c r="W67" s="676">
        <f t="shared" si="10"/>
        <v>0</v>
      </c>
      <c r="X67" s="527"/>
      <c r="Y67" s="521">
        <v>0</v>
      </c>
      <c r="Z67" s="521">
        <v>0</v>
      </c>
      <c r="AA67" s="521">
        <f t="shared" ref="AA67:AA72" si="12">SUM(AB67:AD67)</f>
        <v>0</v>
      </c>
      <c r="AB67" s="521">
        <v>0</v>
      </c>
      <c r="AC67" s="521">
        <v>0</v>
      </c>
      <c r="AD67" s="521">
        <v>0</v>
      </c>
      <c r="AE67" s="527"/>
      <c r="AF67" s="521"/>
      <c r="AG67" s="521">
        <v>0</v>
      </c>
      <c r="AH67" s="521">
        <v>0</v>
      </c>
      <c r="AI67" s="521">
        <v>0</v>
      </c>
      <c r="AJ67" s="530" t="s">
        <v>120</v>
      </c>
      <c r="AK67" s="679">
        <f t="shared" si="11"/>
        <v>0</v>
      </c>
      <c r="AL67" s="527"/>
      <c r="AM67" s="527"/>
    </row>
    <row r="68" spans="1:39" s="610" customFormat="1">
      <c r="A68" s="840"/>
      <c r="B68" s="840"/>
      <c r="C68" s="840"/>
      <c r="D68" s="840"/>
      <c r="E68" s="840"/>
      <c r="F68" s="840"/>
      <c r="G68" s="840"/>
      <c r="H68" s="840"/>
      <c r="I68" s="840"/>
      <c r="J68" s="840"/>
      <c r="K68" s="840"/>
      <c r="L68" s="840"/>
      <c r="M68" s="840"/>
      <c r="N68" s="840"/>
      <c r="O68" s="840"/>
      <c r="P68" s="840"/>
      <c r="Q68" s="840"/>
      <c r="R68" s="840"/>
      <c r="S68" s="840"/>
      <c r="T68" s="840"/>
      <c r="U68" s="527"/>
      <c r="V68" s="532" t="s">
        <v>413</v>
      </c>
      <c r="W68" s="676">
        <f t="shared" si="10"/>
        <v>0</v>
      </c>
      <c r="X68" s="527"/>
      <c r="Y68" s="944">
        <v>0</v>
      </c>
      <c r="Z68" s="944">
        <v>0</v>
      </c>
      <c r="AA68" s="944">
        <f t="shared" si="12"/>
        <v>0</v>
      </c>
      <c r="AB68" s="944">
        <v>0</v>
      </c>
      <c r="AC68" s="944">
        <v>0</v>
      </c>
      <c r="AD68" s="944">
        <v>0</v>
      </c>
      <c r="AE68" s="527"/>
      <c r="AF68" s="944"/>
      <c r="AG68" s="944">
        <v>0</v>
      </c>
      <c r="AH68" s="944">
        <v>0</v>
      </c>
      <c r="AI68" s="945">
        <v>0</v>
      </c>
      <c r="AJ68" s="946" t="s">
        <v>120</v>
      </c>
      <c r="AK68" s="946">
        <f t="shared" si="11"/>
        <v>0</v>
      </c>
      <c r="AL68" s="527"/>
      <c r="AM68" s="527"/>
    </row>
    <row r="69" spans="1:39" s="610" customFormat="1">
      <c r="A69" s="840"/>
      <c r="B69" s="527"/>
      <c r="C69" s="527"/>
      <c r="D69" s="527"/>
      <c r="E69" s="527"/>
      <c r="F69" s="527"/>
      <c r="G69" s="527"/>
      <c r="H69" s="527"/>
      <c r="I69" s="527"/>
      <c r="J69" s="527"/>
      <c r="K69" s="527"/>
      <c r="L69" s="527"/>
      <c r="M69" s="527"/>
      <c r="N69" s="527"/>
      <c r="O69" s="527"/>
      <c r="P69" s="527"/>
      <c r="Q69" s="527"/>
      <c r="R69" s="527"/>
      <c r="S69" s="840"/>
      <c r="T69" s="840"/>
      <c r="U69" s="527"/>
      <c r="V69" s="532" t="s">
        <v>412</v>
      </c>
      <c r="W69" s="676">
        <f t="shared" si="10"/>
        <v>0</v>
      </c>
      <c r="X69" s="527"/>
      <c r="Y69" s="521">
        <v>0</v>
      </c>
      <c r="Z69" s="521">
        <v>0</v>
      </c>
      <c r="AA69" s="521">
        <f t="shared" si="12"/>
        <v>0</v>
      </c>
      <c r="AB69" s="521">
        <v>0</v>
      </c>
      <c r="AC69" s="521">
        <v>0</v>
      </c>
      <c r="AD69" s="521">
        <v>0</v>
      </c>
      <c r="AE69" s="527"/>
      <c r="AF69" s="521"/>
      <c r="AG69" s="521">
        <v>0</v>
      </c>
      <c r="AH69" s="521">
        <v>0</v>
      </c>
      <c r="AI69" s="521">
        <v>0</v>
      </c>
      <c r="AJ69" s="530" t="s">
        <v>120</v>
      </c>
      <c r="AK69" s="679">
        <f t="shared" si="11"/>
        <v>0</v>
      </c>
      <c r="AL69" s="527"/>
      <c r="AM69" s="527"/>
    </row>
    <row r="70" spans="1:39" s="610" customFormat="1">
      <c r="A70" s="840"/>
      <c r="B70" s="527"/>
      <c r="C70" s="527"/>
      <c r="D70" s="527"/>
      <c r="E70" s="527"/>
      <c r="F70" s="527"/>
      <c r="G70" s="527"/>
      <c r="H70" s="527"/>
      <c r="I70" s="527"/>
      <c r="J70" s="527"/>
      <c r="K70" s="527"/>
      <c r="L70" s="527"/>
      <c r="M70" s="527"/>
      <c r="N70" s="527"/>
      <c r="O70" s="527"/>
      <c r="P70" s="527"/>
      <c r="Q70" s="527"/>
      <c r="R70" s="527"/>
      <c r="S70" s="840"/>
      <c r="T70" s="840"/>
      <c r="U70" s="527"/>
      <c r="V70" s="532" t="s">
        <v>411</v>
      </c>
      <c r="W70" s="676">
        <f t="shared" si="10"/>
        <v>0</v>
      </c>
      <c r="X70" s="527"/>
      <c r="Y70" s="944">
        <v>0</v>
      </c>
      <c r="Z70" s="944">
        <v>0</v>
      </c>
      <c r="AA70" s="944">
        <f t="shared" si="12"/>
        <v>0</v>
      </c>
      <c r="AB70" s="944">
        <v>0</v>
      </c>
      <c r="AC70" s="944">
        <v>0</v>
      </c>
      <c r="AD70" s="944">
        <v>0</v>
      </c>
      <c r="AE70" s="527"/>
      <c r="AF70" s="944"/>
      <c r="AG70" s="944">
        <v>0</v>
      </c>
      <c r="AH70" s="945">
        <v>0</v>
      </c>
      <c r="AI70" s="946">
        <v>0</v>
      </c>
      <c r="AJ70" s="946" t="s">
        <v>120</v>
      </c>
      <c r="AK70" s="679">
        <f t="shared" si="11"/>
        <v>0</v>
      </c>
      <c r="AL70" s="527"/>
      <c r="AM70" s="527"/>
    </row>
    <row r="71" spans="1:39" s="610" customFormat="1">
      <c r="A71" s="840"/>
      <c r="B71" s="527"/>
      <c r="C71" s="527"/>
      <c r="D71" s="527"/>
      <c r="E71" s="527"/>
      <c r="F71" s="527"/>
      <c r="G71" s="527"/>
      <c r="H71" s="527"/>
      <c r="I71" s="527"/>
      <c r="J71" s="527"/>
      <c r="K71" s="527"/>
      <c r="L71" s="527"/>
      <c r="M71" s="527"/>
      <c r="N71" s="527"/>
      <c r="O71" s="527"/>
      <c r="P71" s="527"/>
      <c r="Q71" s="527"/>
      <c r="R71" s="527"/>
      <c r="S71" s="840"/>
      <c r="T71" s="840"/>
      <c r="U71" s="527"/>
      <c r="V71" s="532" t="s">
        <v>410</v>
      </c>
      <c r="W71" s="676">
        <f t="shared" si="10"/>
        <v>0</v>
      </c>
      <c r="X71" s="527"/>
      <c r="Y71" s="521">
        <v>0</v>
      </c>
      <c r="Z71" s="521">
        <v>0</v>
      </c>
      <c r="AA71" s="521">
        <f t="shared" si="12"/>
        <v>0</v>
      </c>
      <c r="AB71" s="521">
        <v>0</v>
      </c>
      <c r="AC71" s="521">
        <v>0</v>
      </c>
      <c r="AD71" s="521">
        <v>0</v>
      </c>
      <c r="AE71" s="527"/>
      <c r="AF71" s="521"/>
      <c r="AG71" s="521">
        <v>0</v>
      </c>
      <c r="AH71" s="521">
        <v>0</v>
      </c>
      <c r="AI71" s="521">
        <v>0</v>
      </c>
      <c r="AJ71" s="530" t="s">
        <v>120</v>
      </c>
      <c r="AK71" s="679">
        <f t="shared" si="11"/>
        <v>0</v>
      </c>
      <c r="AL71" s="527"/>
      <c r="AM71" s="527"/>
    </row>
    <row r="72" spans="1:39" s="610" customFormat="1">
      <c r="A72" s="840"/>
      <c r="B72" s="527"/>
      <c r="C72" s="527"/>
      <c r="D72" s="527"/>
      <c r="E72" s="527"/>
      <c r="F72" s="527"/>
      <c r="G72" s="527"/>
      <c r="H72" s="527"/>
      <c r="I72" s="527"/>
      <c r="J72" s="527"/>
      <c r="K72" s="527"/>
      <c r="L72" s="527"/>
      <c r="M72" s="527"/>
      <c r="N72" s="527"/>
      <c r="O72" s="527"/>
      <c r="P72" s="527"/>
      <c r="Q72" s="527"/>
      <c r="R72" s="527"/>
      <c r="S72" s="840"/>
      <c r="T72" s="840"/>
      <c r="U72" s="527"/>
      <c r="V72" s="532" t="s">
        <v>131</v>
      </c>
      <c r="W72" s="676">
        <f t="shared" si="10"/>
        <v>0</v>
      </c>
      <c r="X72" s="527"/>
      <c r="Y72" s="944">
        <v>0</v>
      </c>
      <c r="Z72" s="944">
        <v>0</v>
      </c>
      <c r="AA72" s="944">
        <f t="shared" si="12"/>
        <v>0</v>
      </c>
      <c r="AB72" s="944">
        <v>0</v>
      </c>
      <c r="AC72" s="944">
        <v>0</v>
      </c>
      <c r="AD72" s="944">
        <v>0</v>
      </c>
      <c r="AE72" s="527"/>
      <c r="AF72" s="944"/>
      <c r="AG72" s="945">
        <v>0</v>
      </c>
      <c r="AH72" s="946">
        <v>0</v>
      </c>
      <c r="AI72" s="946">
        <v>0</v>
      </c>
      <c r="AJ72" s="679" t="s">
        <v>120</v>
      </c>
      <c r="AK72" s="679">
        <f t="shared" si="11"/>
        <v>0</v>
      </c>
      <c r="AL72" s="527"/>
      <c r="AM72" s="527"/>
    </row>
    <row r="73" spans="1:39" s="610" customFormat="1" ht="16.5" thickBot="1">
      <c r="A73" s="840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840"/>
      <c r="T73" s="840"/>
      <c r="U73" s="527"/>
      <c r="V73" s="680" t="s">
        <v>80</v>
      </c>
      <c r="W73" s="676">
        <f>SUM(W66:W72)</f>
        <v>0</v>
      </c>
      <c r="X73" s="527"/>
      <c r="Y73" s="676">
        <f t="shared" ref="Y73:AD73" si="13">SUM(Y66:Y72)</f>
        <v>0</v>
      </c>
      <c r="Z73" s="676">
        <f t="shared" si="13"/>
        <v>0</v>
      </c>
      <c r="AA73" s="676">
        <f t="shared" si="13"/>
        <v>0</v>
      </c>
      <c r="AB73" s="676">
        <f t="shared" si="13"/>
        <v>0</v>
      </c>
      <c r="AC73" s="676">
        <f t="shared" si="13"/>
        <v>0</v>
      </c>
      <c r="AD73" s="676">
        <f t="shared" si="13"/>
        <v>0</v>
      </c>
      <c r="AE73" s="631"/>
      <c r="AF73" s="631"/>
      <c r="AG73" s="676">
        <f>SUM(AG66:AG72)</f>
        <v>0</v>
      </c>
      <c r="AH73" s="676">
        <f>SUM(AH66:AH72)</f>
        <v>0</v>
      </c>
      <c r="AI73" s="676">
        <f>SUM(AI66:AI72)</f>
        <v>0</v>
      </c>
      <c r="AJ73" s="678" t="s">
        <v>120</v>
      </c>
      <c r="AK73" s="676">
        <f>SUM(AK66:AK72)</f>
        <v>0</v>
      </c>
      <c r="AL73" s="527"/>
      <c r="AM73" s="527"/>
    </row>
    <row r="74" spans="1:39" s="610" customFormat="1">
      <c r="A74" s="840"/>
      <c r="B74" s="527"/>
      <c r="C74" s="527"/>
      <c r="D74" s="527"/>
      <c r="E74" s="527"/>
      <c r="F74" s="527"/>
      <c r="G74" s="527"/>
      <c r="H74" s="527"/>
      <c r="I74" s="916" t="s">
        <v>794</v>
      </c>
      <c r="J74" s="916"/>
      <c r="K74" s="916"/>
      <c r="L74" s="916"/>
      <c r="M74" s="916"/>
      <c r="N74" s="916"/>
      <c r="O74" s="916"/>
      <c r="P74" s="916"/>
      <c r="Q74" s="916"/>
      <c r="R74" s="527"/>
      <c r="S74" s="840"/>
      <c r="T74" s="840"/>
      <c r="U74" s="527"/>
      <c r="V74" s="527"/>
      <c r="W74" s="527"/>
      <c r="X74" s="527"/>
      <c r="Y74" s="527"/>
      <c r="Z74" s="527"/>
      <c r="AA74" s="527"/>
      <c r="AB74" s="527"/>
      <c r="AC74" s="527"/>
      <c r="AD74" s="527"/>
      <c r="AE74" s="527"/>
      <c r="AF74" s="527"/>
      <c r="AG74" s="527"/>
      <c r="AH74" s="527"/>
      <c r="AI74" s="527"/>
      <c r="AJ74" s="527"/>
      <c r="AK74" s="527"/>
      <c r="AL74" s="527"/>
      <c r="AM74" s="527"/>
    </row>
    <row r="75" spans="1:39" s="610" customFormat="1">
      <c r="A75" s="840"/>
      <c r="B75" s="527"/>
      <c r="C75" s="527"/>
      <c r="D75" s="527"/>
      <c r="E75" s="527"/>
      <c r="F75" s="527"/>
      <c r="G75" s="527"/>
      <c r="H75" s="527"/>
      <c r="I75" s="527"/>
      <c r="J75" s="527"/>
      <c r="K75" s="527"/>
      <c r="L75" s="527"/>
      <c r="M75" s="527"/>
      <c r="N75" s="527"/>
      <c r="O75" s="527"/>
      <c r="P75" s="527"/>
      <c r="Q75" s="527"/>
      <c r="R75" s="527"/>
      <c r="S75" s="840"/>
      <c r="T75" s="840"/>
      <c r="U75" s="527"/>
      <c r="V75" s="527"/>
      <c r="W75" s="527"/>
      <c r="X75" s="527"/>
      <c r="Y75" s="527"/>
      <c r="Z75" s="527"/>
      <c r="AA75" s="527"/>
      <c r="AB75" s="527"/>
      <c r="AC75" s="527"/>
      <c r="AD75" s="527"/>
      <c r="AE75" s="527"/>
      <c r="AF75" s="527"/>
      <c r="AG75" s="527"/>
      <c r="AH75" s="527"/>
      <c r="AI75" s="527"/>
      <c r="AJ75" s="527"/>
      <c r="AK75" s="527"/>
      <c r="AL75" s="527"/>
      <c r="AM75" s="527"/>
    </row>
    <row r="76" spans="1:39" s="610" customFormat="1">
      <c r="A76" s="840"/>
      <c r="B76" s="527"/>
      <c r="C76" s="527"/>
      <c r="D76" s="527"/>
      <c r="E76" s="527"/>
      <c r="F76" s="527"/>
      <c r="G76" s="527"/>
      <c r="H76" s="527"/>
      <c r="I76" s="527"/>
      <c r="J76" s="527"/>
      <c r="K76" s="527"/>
      <c r="L76" s="527"/>
      <c r="M76" s="527"/>
      <c r="N76" s="527"/>
      <c r="O76" s="527"/>
      <c r="P76" s="527"/>
      <c r="Q76" s="527"/>
      <c r="R76" s="527"/>
      <c r="S76" s="840"/>
      <c r="T76" s="840"/>
      <c r="U76" s="527"/>
      <c r="V76" s="631" t="str">
        <f>IF($C$25&lt;&gt;"",$C$25,"")</f>
        <v/>
      </c>
      <c r="W76" s="619" t="s">
        <v>80</v>
      </c>
      <c r="X76" s="620"/>
      <c r="Y76" s="619" t="s">
        <v>426</v>
      </c>
      <c r="Z76" s="619" t="s">
        <v>425</v>
      </c>
      <c r="AA76" s="619" t="s">
        <v>418</v>
      </c>
      <c r="AB76" s="619" t="s">
        <v>424</v>
      </c>
      <c r="AC76" s="619" t="s">
        <v>423</v>
      </c>
      <c r="AD76" s="619" t="s">
        <v>422</v>
      </c>
      <c r="AE76" s="527"/>
      <c r="AF76" s="619" t="s">
        <v>663</v>
      </c>
      <c r="AG76" s="619" t="s">
        <v>421</v>
      </c>
      <c r="AH76" s="619" t="s">
        <v>420</v>
      </c>
      <c r="AI76" s="619" t="s">
        <v>419</v>
      </c>
      <c r="AJ76" s="619" t="s">
        <v>455</v>
      </c>
      <c r="AK76" s="619" t="s">
        <v>417</v>
      </c>
      <c r="AL76" s="619" t="s">
        <v>416</v>
      </c>
      <c r="AM76" s="527"/>
    </row>
    <row r="77" spans="1:39" s="610" customFormat="1" ht="14.85" customHeight="1" thickBot="1">
      <c r="A77" s="840"/>
      <c r="B77" s="527"/>
      <c r="C77" s="527"/>
      <c r="D77" s="527"/>
      <c r="E77" s="527"/>
      <c r="F77" s="527"/>
      <c r="G77" s="527"/>
      <c r="H77" s="527"/>
      <c r="I77" s="1016" t="s">
        <v>797</v>
      </c>
      <c r="J77" s="1016"/>
      <c r="K77" s="1016"/>
      <c r="L77" s="1016"/>
      <c r="M77" s="527"/>
      <c r="N77" s="527" t="s">
        <v>798</v>
      </c>
      <c r="O77" s="915"/>
      <c r="P77" s="915"/>
      <c r="Q77" s="915"/>
      <c r="R77" s="915"/>
      <c r="S77" s="840"/>
      <c r="T77" s="840"/>
      <c r="U77" s="527"/>
      <c r="V77" s="532" t="s">
        <v>415</v>
      </c>
      <c r="W77" s="676">
        <f t="shared" ref="W77:W83" si="14">SUM(Y77:AA77,AG77:AI77)</f>
        <v>0</v>
      </c>
      <c r="X77" s="527"/>
      <c r="Y77" s="944">
        <v>0</v>
      </c>
      <c r="Z77" s="944">
        <v>0</v>
      </c>
      <c r="AA77" s="944">
        <f>SUM(AB77:AD77)</f>
        <v>0</v>
      </c>
      <c r="AB77" s="944">
        <v>0</v>
      </c>
      <c r="AC77" s="944">
        <v>0</v>
      </c>
      <c r="AD77" s="944">
        <v>0</v>
      </c>
      <c r="AE77" s="527"/>
      <c r="AF77" s="944"/>
      <c r="AG77" s="944">
        <v>0</v>
      </c>
      <c r="AH77" s="944">
        <v>0</v>
      </c>
      <c r="AI77" s="944">
        <v>0</v>
      </c>
      <c r="AJ77" s="945" t="s">
        <v>120</v>
      </c>
      <c r="AK77" s="946">
        <f t="shared" ref="AK77:AK83" si="15">IF(AJ77="Sim",(Y77+Z77+AA77+AG77+AH77+AI77),(Z77+Y77+AG77+AH77+AI77))</f>
        <v>0</v>
      </c>
      <c r="AL77" s="531"/>
      <c r="AM77" s="527"/>
    </row>
    <row r="78" spans="1:39" s="610" customFormat="1" ht="16.5" thickTop="1">
      <c r="A78" s="840"/>
      <c r="B78" s="527"/>
      <c r="C78" s="527"/>
      <c r="D78" s="527"/>
      <c r="E78" s="527"/>
      <c r="F78" s="527"/>
      <c r="G78" s="527"/>
      <c r="H78" s="527"/>
      <c r="I78" s="1014" t="s">
        <v>800</v>
      </c>
      <c r="J78" s="1014"/>
      <c r="K78" s="1014"/>
      <c r="L78" s="1014"/>
      <c r="M78" s="527"/>
      <c r="N78" s="625" t="s">
        <v>795</v>
      </c>
      <c r="O78" s="915"/>
      <c r="P78" s="915"/>
      <c r="Q78" s="915"/>
      <c r="R78" s="915"/>
      <c r="S78" s="840"/>
      <c r="T78" s="840"/>
      <c r="U78" s="527"/>
      <c r="V78" s="532" t="s">
        <v>414</v>
      </c>
      <c r="W78" s="676">
        <f t="shared" si="14"/>
        <v>0</v>
      </c>
      <c r="X78" s="527"/>
      <c r="Y78" s="521">
        <v>0</v>
      </c>
      <c r="Z78" s="521">
        <v>0</v>
      </c>
      <c r="AA78" s="521">
        <f t="shared" ref="AA78:AA83" si="16">SUM(AB78:AD78)</f>
        <v>0</v>
      </c>
      <c r="AB78" s="521">
        <v>0</v>
      </c>
      <c r="AC78" s="521">
        <v>0</v>
      </c>
      <c r="AD78" s="521">
        <v>0</v>
      </c>
      <c r="AE78" s="527"/>
      <c r="AF78" s="521"/>
      <c r="AG78" s="521">
        <v>0</v>
      </c>
      <c r="AH78" s="521">
        <v>0</v>
      </c>
      <c r="AI78" s="521">
        <v>0</v>
      </c>
      <c r="AJ78" s="530" t="s">
        <v>120</v>
      </c>
      <c r="AK78" s="679">
        <f t="shared" si="15"/>
        <v>0</v>
      </c>
      <c r="AL78" s="527"/>
      <c r="AM78" s="527"/>
    </row>
    <row r="79" spans="1:39" s="610" customFormat="1" ht="14.85" customHeight="1">
      <c r="A79" s="840"/>
      <c r="B79" s="527"/>
      <c r="C79" s="527"/>
      <c r="D79" s="527"/>
      <c r="E79" s="527"/>
      <c r="F79" s="527"/>
      <c r="G79" s="527"/>
      <c r="H79" s="527"/>
      <c r="I79" s="1014" t="s">
        <v>800</v>
      </c>
      <c r="J79" s="1014"/>
      <c r="K79" s="1014"/>
      <c r="L79" s="1014"/>
      <c r="M79" s="527"/>
      <c r="N79" s="1017" t="s">
        <v>799</v>
      </c>
      <c r="O79" s="1017"/>
      <c r="P79" s="1017"/>
      <c r="Q79" s="1017"/>
      <c r="R79" s="1017"/>
      <c r="S79" s="840"/>
      <c r="T79" s="840"/>
      <c r="U79" s="527"/>
      <c r="V79" s="532" t="s">
        <v>413</v>
      </c>
      <c r="W79" s="676">
        <f t="shared" si="14"/>
        <v>0</v>
      </c>
      <c r="X79" s="527"/>
      <c r="Y79" s="944">
        <v>0</v>
      </c>
      <c r="Z79" s="944">
        <v>0</v>
      </c>
      <c r="AA79" s="944">
        <f t="shared" si="16"/>
        <v>0</v>
      </c>
      <c r="AB79" s="944">
        <v>0</v>
      </c>
      <c r="AC79" s="944">
        <v>0</v>
      </c>
      <c r="AD79" s="944">
        <v>0</v>
      </c>
      <c r="AE79" s="527"/>
      <c r="AF79" s="944"/>
      <c r="AG79" s="944">
        <v>0</v>
      </c>
      <c r="AH79" s="944">
        <v>0</v>
      </c>
      <c r="AI79" s="945">
        <v>0</v>
      </c>
      <c r="AJ79" s="946" t="s">
        <v>120</v>
      </c>
      <c r="AK79" s="946">
        <f t="shared" si="15"/>
        <v>0</v>
      </c>
      <c r="AL79" s="527"/>
      <c r="AM79" s="527"/>
    </row>
    <row r="80" spans="1:39" s="610" customFormat="1" ht="14.85" customHeight="1">
      <c r="A80" s="840"/>
      <c r="B80" s="527"/>
      <c r="C80" s="527"/>
      <c r="D80" s="527"/>
      <c r="E80" s="527"/>
      <c r="F80" s="527"/>
      <c r="G80" s="527"/>
      <c r="H80" s="527"/>
      <c r="I80" s="1016"/>
      <c r="J80" s="1016"/>
      <c r="K80" s="1016"/>
      <c r="L80" s="1016"/>
      <c r="M80" s="527"/>
      <c r="N80" s="1017"/>
      <c r="O80" s="1017"/>
      <c r="P80" s="1017"/>
      <c r="Q80" s="1017"/>
      <c r="R80" s="1017"/>
      <c r="S80" s="840"/>
      <c r="T80" s="840"/>
      <c r="U80" s="527"/>
      <c r="V80" s="532" t="s">
        <v>412</v>
      </c>
      <c r="W80" s="676">
        <f t="shared" si="14"/>
        <v>0</v>
      </c>
      <c r="X80" s="527"/>
      <c r="Y80" s="521">
        <v>0</v>
      </c>
      <c r="Z80" s="521">
        <v>0</v>
      </c>
      <c r="AA80" s="521">
        <f t="shared" si="16"/>
        <v>0</v>
      </c>
      <c r="AB80" s="521">
        <v>0</v>
      </c>
      <c r="AC80" s="521">
        <v>0</v>
      </c>
      <c r="AD80" s="521">
        <v>0</v>
      </c>
      <c r="AE80" s="527"/>
      <c r="AF80" s="521"/>
      <c r="AG80" s="521">
        <v>0</v>
      </c>
      <c r="AH80" s="521">
        <v>0</v>
      </c>
      <c r="AI80" s="521">
        <v>0</v>
      </c>
      <c r="AJ80" s="530" t="s">
        <v>120</v>
      </c>
      <c r="AK80" s="679">
        <f t="shared" si="15"/>
        <v>0</v>
      </c>
      <c r="AL80" s="527"/>
      <c r="AM80" s="527"/>
    </row>
    <row r="81" spans="1:39" s="610" customFormat="1" ht="14.1" customHeight="1">
      <c r="A81" s="840"/>
      <c r="B81" s="527"/>
      <c r="C81" s="527"/>
      <c r="D81" s="527"/>
      <c r="E81" s="527"/>
      <c r="F81" s="527"/>
      <c r="G81" s="527"/>
      <c r="H81" s="527"/>
      <c r="I81" s="1014" t="s">
        <v>801</v>
      </c>
      <c r="J81" s="1014"/>
      <c r="K81" s="1014"/>
      <c r="L81" s="1014"/>
      <c r="M81" s="527"/>
      <c r="N81" s="625" t="s">
        <v>796</v>
      </c>
      <c r="O81" s="914"/>
      <c r="P81" s="914"/>
      <c r="Q81" s="914"/>
      <c r="R81" s="914"/>
      <c r="S81" s="840"/>
      <c r="T81" s="840"/>
      <c r="U81" s="527"/>
      <c r="V81" s="532" t="s">
        <v>411</v>
      </c>
      <c r="W81" s="676">
        <f t="shared" si="14"/>
        <v>0</v>
      </c>
      <c r="X81" s="527"/>
      <c r="Y81" s="944">
        <v>0</v>
      </c>
      <c r="Z81" s="944">
        <v>0</v>
      </c>
      <c r="AA81" s="944">
        <f t="shared" si="16"/>
        <v>0</v>
      </c>
      <c r="AB81" s="944">
        <v>0</v>
      </c>
      <c r="AC81" s="944">
        <v>0</v>
      </c>
      <c r="AD81" s="944">
        <v>0</v>
      </c>
      <c r="AE81" s="527"/>
      <c r="AF81" s="944"/>
      <c r="AG81" s="944">
        <v>0</v>
      </c>
      <c r="AH81" s="945">
        <v>0</v>
      </c>
      <c r="AI81" s="946">
        <v>0</v>
      </c>
      <c r="AJ81" s="946" t="s">
        <v>120</v>
      </c>
      <c r="AK81" s="679">
        <f t="shared" si="15"/>
        <v>0</v>
      </c>
      <c r="AL81" s="527"/>
      <c r="AM81" s="527"/>
    </row>
    <row r="82" spans="1:39" s="610" customFormat="1">
      <c r="A82" s="840"/>
      <c r="B82" s="527"/>
      <c r="C82" s="527"/>
      <c r="D82" s="527"/>
      <c r="E82" s="527"/>
      <c r="F82" s="527"/>
      <c r="G82" s="527"/>
      <c r="H82" s="527"/>
      <c r="I82" s="1014" t="s">
        <v>803</v>
      </c>
      <c r="J82" s="1014"/>
      <c r="K82" s="1014"/>
      <c r="L82" s="1014"/>
      <c r="M82" s="527"/>
      <c r="N82" s="625" t="s">
        <v>802</v>
      </c>
      <c r="O82" s="914"/>
      <c r="P82" s="914"/>
      <c r="Q82" s="914"/>
      <c r="R82" s="914"/>
      <c r="S82" s="840"/>
      <c r="T82" s="840"/>
      <c r="U82" s="527"/>
      <c r="V82" s="532" t="s">
        <v>410</v>
      </c>
      <c r="W82" s="676">
        <f t="shared" si="14"/>
        <v>0</v>
      </c>
      <c r="X82" s="527"/>
      <c r="Y82" s="521">
        <v>0</v>
      </c>
      <c r="Z82" s="521">
        <v>0</v>
      </c>
      <c r="AA82" s="521">
        <f t="shared" si="16"/>
        <v>0</v>
      </c>
      <c r="AB82" s="521">
        <v>0</v>
      </c>
      <c r="AC82" s="521">
        <v>0</v>
      </c>
      <c r="AD82" s="521">
        <v>0</v>
      </c>
      <c r="AE82" s="527"/>
      <c r="AF82" s="521"/>
      <c r="AG82" s="521">
        <v>0</v>
      </c>
      <c r="AH82" s="521">
        <v>0</v>
      </c>
      <c r="AI82" s="521">
        <v>0</v>
      </c>
      <c r="AJ82" s="530" t="s">
        <v>120</v>
      </c>
      <c r="AK82" s="679">
        <f t="shared" si="15"/>
        <v>0</v>
      </c>
      <c r="AL82" s="527"/>
      <c r="AM82" s="527"/>
    </row>
    <row r="83" spans="1:39" s="610" customFormat="1" ht="14.85" customHeight="1">
      <c r="A83" s="840"/>
      <c r="B83" s="527"/>
      <c r="C83" s="527"/>
      <c r="D83" s="527"/>
      <c r="E83" s="527"/>
      <c r="F83" s="527"/>
      <c r="G83" s="527"/>
      <c r="H83" s="527"/>
      <c r="I83" s="1014" t="s">
        <v>800</v>
      </c>
      <c r="J83" s="1014"/>
      <c r="K83" s="1014"/>
      <c r="L83" s="1014"/>
      <c r="M83" s="527"/>
      <c r="N83" s="625" t="s">
        <v>804</v>
      </c>
      <c r="O83" s="918"/>
      <c r="P83" s="918"/>
      <c r="Q83" s="918"/>
      <c r="R83" s="918"/>
      <c r="S83" s="840"/>
      <c r="T83" s="840"/>
      <c r="U83" s="527"/>
      <c r="V83" s="532" t="s">
        <v>131</v>
      </c>
      <c r="W83" s="676">
        <f t="shared" si="14"/>
        <v>0</v>
      </c>
      <c r="X83" s="527"/>
      <c r="Y83" s="944">
        <v>0</v>
      </c>
      <c r="Z83" s="944">
        <v>0</v>
      </c>
      <c r="AA83" s="944">
        <f t="shared" si="16"/>
        <v>0</v>
      </c>
      <c r="AB83" s="944">
        <v>0</v>
      </c>
      <c r="AC83" s="944">
        <v>0</v>
      </c>
      <c r="AD83" s="944">
        <v>0</v>
      </c>
      <c r="AE83" s="527"/>
      <c r="AF83" s="944"/>
      <c r="AG83" s="945">
        <v>0</v>
      </c>
      <c r="AH83" s="946">
        <v>0</v>
      </c>
      <c r="AI83" s="946">
        <v>0</v>
      </c>
      <c r="AJ83" s="679" t="s">
        <v>120</v>
      </c>
      <c r="AK83" s="679">
        <f t="shared" si="15"/>
        <v>0</v>
      </c>
      <c r="AL83" s="527"/>
      <c r="AM83" s="527"/>
    </row>
    <row r="84" spans="1:39" s="610" customFormat="1" ht="14.85" customHeight="1" thickBot="1">
      <c r="A84" s="840"/>
      <c r="B84" s="527"/>
      <c r="C84" s="527"/>
      <c r="D84" s="527"/>
      <c r="E84" s="527"/>
      <c r="F84" s="527"/>
      <c r="G84" s="527"/>
      <c r="H84" s="527"/>
      <c r="I84" s="1014" t="s">
        <v>800</v>
      </c>
      <c r="J84" s="1014"/>
      <c r="K84" s="1014"/>
      <c r="L84" s="1014"/>
      <c r="M84" s="527"/>
      <c r="N84" s="1015" t="s">
        <v>805</v>
      </c>
      <c r="O84" s="1015"/>
      <c r="P84" s="1015"/>
      <c r="Q84" s="1015"/>
      <c r="R84" s="1015"/>
      <c r="S84" s="840"/>
      <c r="T84" s="840"/>
      <c r="U84" s="527"/>
      <c r="V84" s="680" t="s">
        <v>80</v>
      </c>
      <c r="W84" s="676">
        <f>SUM(W77:W83)</f>
        <v>0</v>
      </c>
      <c r="X84" s="527"/>
      <c r="Y84" s="676">
        <f t="shared" ref="Y84:AD84" si="17">SUM(Y77:Y83)</f>
        <v>0</v>
      </c>
      <c r="Z84" s="676">
        <f t="shared" si="17"/>
        <v>0</v>
      </c>
      <c r="AA84" s="676">
        <f t="shared" si="17"/>
        <v>0</v>
      </c>
      <c r="AB84" s="676">
        <f t="shared" si="17"/>
        <v>0</v>
      </c>
      <c r="AC84" s="676">
        <f t="shared" si="17"/>
        <v>0</v>
      </c>
      <c r="AD84" s="676">
        <f t="shared" si="17"/>
        <v>0</v>
      </c>
      <c r="AE84" s="631"/>
      <c r="AF84" s="631"/>
      <c r="AG84" s="676">
        <f>SUM(AG77:AG83)</f>
        <v>0</v>
      </c>
      <c r="AH84" s="676">
        <f>SUM(AH77:AH83)</f>
        <v>0</v>
      </c>
      <c r="AI84" s="676">
        <f>SUM(AI77:AI83)</f>
        <v>0</v>
      </c>
      <c r="AJ84" s="678" t="s">
        <v>120</v>
      </c>
      <c r="AK84" s="676">
        <f>SUM(AK77:AK83)</f>
        <v>0</v>
      </c>
      <c r="AL84" s="527"/>
      <c r="AM84" s="527"/>
    </row>
    <row r="85" spans="1:39" s="610" customFormat="1">
      <c r="A85" s="840"/>
      <c r="B85" s="527"/>
      <c r="C85" s="527"/>
      <c r="D85" s="527"/>
      <c r="E85" s="527"/>
      <c r="F85" s="527"/>
      <c r="G85" s="527"/>
      <c r="H85" s="527"/>
      <c r="I85" s="1014"/>
      <c r="J85" s="1014"/>
      <c r="K85" s="1014"/>
      <c r="L85" s="1014"/>
      <c r="M85" s="527"/>
      <c r="N85" s="1015"/>
      <c r="O85" s="1015"/>
      <c r="P85" s="1015"/>
      <c r="Q85" s="1015"/>
      <c r="R85" s="1015"/>
      <c r="S85" s="840"/>
      <c r="T85" s="840"/>
      <c r="U85" s="527"/>
      <c r="V85" s="527"/>
      <c r="W85" s="527"/>
      <c r="X85" s="527"/>
      <c r="Y85" s="527"/>
      <c r="Z85" s="527"/>
      <c r="AA85" s="527"/>
      <c r="AB85" s="527"/>
      <c r="AC85" s="527"/>
      <c r="AD85" s="527"/>
      <c r="AE85" s="527"/>
      <c r="AF85" s="527"/>
      <c r="AG85" s="527"/>
      <c r="AH85" s="527"/>
      <c r="AI85" s="527"/>
      <c r="AJ85" s="527"/>
      <c r="AK85" s="527"/>
      <c r="AL85" s="527"/>
      <c r="AM85" s="527"/>
    </row>
    <row r="86" spans="1:39" s="610" customFormat="1">
      <c r="A86" s="840"/>
      <c r="B86" s="527"/>
      <c r="C86" s="527"/>
      <c r="D86" s="527"/>
      <c r="E86" s="527"/>
      <c r="F86" s="527"/>
      <c r="G86" s="527"/>
      <c r="H86" s="527"/>
      <c r="I86" s="1014" t="s">
        <v>800</v>
      </c>
      <c r="J86" s="1014"/>
      <c r="K86" s="1014"/>
      <c r="L86" s="1014"/>
      <c r="M86" s="527"/>
      <c r="N86" s="917" t="s">
        <v>806</v>
      </c>
      <c r="O86" s="917"/>
      <c r="P86" s="917"/>
      <c r="Q86" s="917"/>
      <c r="R86" s="917"/>
      <c r="S86" s="840"/>
      <c r="T86" s="840"/>
      <c r="U86" s="527"/>
      <c r="V86" s="527"/>
      <c r="W86" s="527"/>
      <c r="X86" s="527"/>
      <c r="Y86" s="527"/>
      <c r="Z86" s="527"/>
      <c r="AA86" s="527"/>
      <c r="AB86" s="527"/>
      <c r="AC86" s="527"/>
      <c r="AD86" s="527"/>
      <c r="AE86" s="527"/>
      <c r="AF86" s="527"/>
      <c r="AG86" s="527"/>
      <c r="AH86" s="527"/>
      <c r="AI86" s="527"/>
      <c r="AJ86" s="527"/>
      <c r="AK86" s="527"/>
      <c r="AL86" s="527"/>
      <c r="AM86" s="527"/>
    </row>
    <row r="87" spans="1:39" s="610" customFormat="1">
      <c r="A87" s="840"/>
      <c r="B87" s="527"/>
      <c r="C87" s="527"/>
      <c r="D87" s="527"/>
      <c r="E87" s="527"/>
      <c r="F87" s="527"/>
      <c r="G87" s="527"/>
      <c r="H87" s="527"/>
      <c r="I87" s="1014" t="s">
        <v>808</v>
      </c>
      <c r="J87" s="1014"/>
      <c r="K87" s="1014"/>
      <c r="L87" s="1014"/>
      <c r="M87" s="527"/>
      <c r="N87" s="917" t="s">
        <v>807</v>
      </c>
      <c r="O87" s="917"/>
      <c r="P87" s="917"/>
      <c r="Q87" s="917"/>
      <c r="R87" s="917"/>
      <c r="S87" s="840"/>
      <c r="T87" s="840"/>
      <c r="U87" s="527"/>
      <c r="V87" s="631" t="str">
        <f>IF($C$26&lt;&gt;"",$C$26,"")</f>
        <v/>
      </c>
      <c r="W87" s="619" t="s">
        <v>80</v>
      </c>
      <c r="X87" s="620"/>
      <c r="Y87" s="619" t="s">
        <v>426</v>
      </c>
      <c r="Z87" s="619" t="s">
        <v>425</v>
      </c>
      <c r="AA87" s="619" t="s">
        <v>418</v>
      </c>
      <c r="AB87" s="619" t="s">
        <v>424</v>
      </c>
      <c r="AC87" s="619" t="s">
        <v>423</v>
      </c>
      <c r="AD87" s="619" t="s">
        <v>422</v>
      </c>
      <c r="AE87" s="527"/>
      <c r="AF87" s="619" t="s">
        <v>663</v>
      </c>
      <c r="AG87" s="619" t="s">
        <v>421</v>
      </c>
      <c r="AH87" s="619" t="s">
        <v>420</v>
      </c>
      <c r="AI87" s="619" t="s">
        <v>419</v>
      </c>
      <c r="AJ87" s="619" t="s">
        <v>455</v>
      </c>
      <c r="AK87" s="619" t="s">
        <v>417</v>
      </c>
      <c r="AL87" s="619" t="s">
        <v>416</v>
      </c>
      <c r="AM87" s="527"/>
    </row>
    <row r="88" spans="1:39" s="610" customFormat="1" ht="16.5" thickBot="1">
      <c r="A88" s="840"/>
      <c r="B88" s="527"/>
      <c r="C88" s="624"/>
      <c r="D88" s="527"/>
      <c r="E88" s="625"/>
      <c r="F88" s="527"/>
      <c r="G88" s="527"/>
      <c r="H88" s="527"/>
      <c r="I88" s="527"/>
      <c r="J88" s="527"/>
      <c r="K88" s="527"/>
      <c r="L88" s="527"/>
      <c r="M88" s="527"/>
      <c r="N88" s="527"/>
      <c r="O88" s="527"/>
      <c r="P88" s="527"/>
      <c r="Q88" s="527"/>
      <c r="R88" s="527"/>
      <c r="S88" s="840"/>
      <c r="T88" s="840"/>
      <c r="U88" s="527"/>
      <c r="V88" s="532" t="s">
        <v>415</v>
      </c>
      <c r="W88" s="676">
        <f t="shared" ref="W88:W94" si="18">SUM(Y88:AA88,AG88:AI88)</f>
        <v>0</v>
      </c>
      <c r="X88" s="527"/>
      <c r="Y88" s="944">
        <v>0</v>
      </c>
      <c r="Z88" s="944">
        <v>0</v>
      </c>
      <c r="AA88" s="944">
        <f>SUM(AB88:AD88)</f>
        <v>0</v>
      </c>
      <c r="AB88" s="944">
        <v>0</v>
      </c>
      <c r="AC88" s="944">
        <v>0</v>
      </c>
      <c r="AD88" s="944">
        <v>0</v>
      </c>
      <c r="AE88" s="527"/>
      <c r="AF88" s="944"/>
      <c r="AG88" s="944">
        <v>0</v>
      </c>
      <c r="AH88" s="944">
        <v>0</v>
      </c>
      <c r="AI88" s="944">
        <v>0</v>
      </c>
      <c r="AJ88" s="945" t="s">
        <v>120</v>
      </c>
      <c r="AK88" s="946">
        <f t="shared" ref="AK88:AK94" si="19">IF(AJ88="Sim",(Y88+Z88+AA88+AG88+AH88+AI88),(Z88+Y88+AG88+AH88+AI88))</f>
        <v>0</v>
      </c>
      <c r="AL88" s="531"/>
      <c r="AM88" s="527"/>
    </row>
    <row r="89" spans="1:39" s="610" customFormat="1" ht="16.5" thickTop="1">
      <c r="A89" s="840"/>
      <c r="B89" s="527"/>
      <c r="C89" s="624"/>
      <c r="D89" s="527"/>
      <c r="E89" s="625"/>
      <c r="F89" s="527"/>
      <c r="G89" s="527"/>
      <c r="H89" s="527"/>
      <c r="I89" s="916" t="s">
        <v>813</v>
      </c>
      <c r="J89" s="916"/>
      <c r="K89" s="916"/>
      <c r="L89" s="916"/>
      <c r="M89" s="916"/>
      <c r="N89" s="916"/>
      <c r="O89" s="916"/>
      <c r="P89" s="916"/>
      <c r="Q89" s="916"/>
      <c r="R89" s="527"/>
      <c r="S89" s="840"/>
      <c r="T89" s="840"/>
      <c r="U89" s="527"/>
      <c r="V89" s="532" t="s">
        <v>414</v>
      </c>
      <c r="W89" s="676">
        <f t="shared" si="18"/>
        <v>0</v>
      </c>
      <c r="X89" s="527"/>
      <c r="Y89" s="521">
        <v>0</v>
      </c>
      <c r="Z89" s="521">
        <v>0</v>
      </c>
      <c r="AA89" s="521">
        <f t="shared" ref="AA89:AA94" si="20">SUM(AB89:AD89)</f>
        <v>0</v>
      </c>
      <c r="AB89" s="521">
        <v>0</v>
      </c>
      <c r="AC89" s="521">
        <v>0</v>
      </c>
      <c r="AD89" s="521">
        <v>0</v>
      </c>
      <c r="AE89" s="527"/>
      <c r="AF89" s="521"/>
      <c r="AG89" s="521">
        <v>0</v>
      </c>
      <c r="AH89" s="521">
        <v>0</v>
      </c>
      <c r="AI89" s="521">
        <v>0</v>
      </c>
      <c r="AJ89" s="530" t="s">
        <v>120</v>
      </c>
      <c r="AK89" s="679">
        <f t="shared" si="19"/>
        <v>0</v>
      </c>
      <c r="AL89" s="527"/>
      <c r="AM89" s="527"/>
    </row>
    <row r="90" spans="1:39" s="610" customFormat="1">
      <c r="A90" s="840"/>
      <c r="B90" s="527"/>
      <c r="C90" s="527"/>
      <c r="D90" s="527"/>
      <c r="E90" s="625"/>
      <c r="F90" s="527"/>
      <c r="G90" s="527"/>
      <c r="H90" s="527"/>
      <c r="I90" s="527"/>
      <c r="J90" s="527"/>
      <c r="K90" s="527"/>
      <c r="L90" s="527"/>
      <c r="M90" s="527"/>
      <c r="N90" s="527"/>
      <c r="O90" s="527"/>
      <c r="P90" s="527"/>
      <c r="Q90" s="527"/>
      <c r="R90" s="527"/>
      <c r="S90" s="840"/>
      <c r="T90" s="840"/>
      <c r="U90" s="527"/>
      <c r="V90" s="532" t="s">
        <v>413</v>
      </c>
      <c r="W90" s="676">
        <f t="shared" si="18"/>
        <v>0</v>
      </c>
      <c r="X90" s="527"/>
      <c r="Y90" s="944">
        <v>0</v>
      </c>
      <c r="Z90" s="944">
        <v>0</v>
      </c>
      <c r="AA90" s="944">
        <f t="shared" si="20"/>
        <v>0</v>
      </c>
      <c r="AB90" s="944">
        <v>0</v>
      </c>
      <c r="AC90" s="944">
        <v>0</v>
      </c>
      <c r="AD90" s="944">
        <v>0</v>
      </c>
      <c r="AE90" s="527"/>
      <c r="AF90" s="944"/>
      <c r="AG90" s="944">
        <v>0</v>
      </c>
      <c r="AH90" s="944">
        <v>0</v>
      </c>
      <c r="AI90" s="945">
        <v>0</v>
      </c>
      <c r="AJ90" s="946" t="s">
        <v>120</v>
      </c>
      <c r="AK90" s="946">
        <f t="shared" si="19"/>
        <v>0</v>
      </c>
      <c r="AL90" s="527"/>
      <c r="AM90" s="527"/>
    </row>
    <row r="91" spans="1:39" s="610" customFormat="1">
      <c r="A91" s="840"/>
      <c r="B91" s="527"/>
      <c r="C91" s="527"/>
      <c r="D91" s="527"/>
      <c r="E91" s="527"/>
      <c r="F91" s="527"/>
      <c r="G91" s="527"/>
      <c r="H91" s="527"/>
      <c r="I91" s="527" t="s">
        <v>814</v>
      </c>
      <c r="J91" s="527"/>
      <c r="K91" s="527"/>
      <c r="L91" s="527"/>
      <c r="M91" s="527"/>
      <c r="N91" s="527"/>
      <c r="O91" s="527"/>
      <c r="P91" s="527"/>
      <c r="Q91" s="527"/>
      <c r="R91" s="527"/>
      <c r="S91" s="840"/>
      <c r="T91" s="840"/>
      <c r="U91" s="527"/>
      <c r="V91" s="532" t="s">
        <v>412</v>
      </c>
      <c r="W91" s="676">
        <f t="shared" si="18"/>
        <v>0</v>
      </c>
      <c r="X91" s="527"/>
      <c r="Y91" s="521">
        <v>0</v>
      </c>
      <c r="Z91" s="521">
        <v>0</v>
      </c>
      <c r="AA91" s="521">
        <f t="shared" si="20"/>
        <v>0</v>
      </c>
      <c r="AB91" s="521">
        <v>0</v>
      </c>
      <c r="AC91" s="521">
        <v>0</v>
      </c>
      <c r="AD91" s="521">
        <v>0</v>
      </c>
      <c r="AE91" s="527"/>
      <c r="AF91" s="521"/>
      <c r="AG91" s="521">
        <v>0</v>
      </c>
      <c r="AH91" s="521">
        <v>0</v>
      </c>
      <c r="AI91" s="521">
        <v>0</v>
      </c>
      <c r="AJ91" s="530" t="s">
        <v>120</v>
      </c>
      <c r="AK91" s="679">
        <f t="shared" si="19"/>
        <v>0</v>
      </c>
      <c r="AL91" s="527"/>
      <c r="AM91" s="527"/>
    </row>
    <row r="92" spans="1:39" s="610" customFormat="1">
      <c r="A92" s="840"/>
      <c r="B92" s="527"/>
      <c r="C92" s="527"/>
      <c r="D92" s="527"/>
      <c r="E92" s="527"/>
      <c r="F92" s="527"/>
      <c r="G92" s="527"/>
      <c r="H92" s="527"/>
      <c r="I92" s="527"/>
      <c r="J92" s="527"/>
      <c r="K92" s="527"/>
      <c r="L92" s="527"/>
      <c r="M92" s="527"/>
      <c r="N92" s="527"/>
      <c r="O92" s="527"/>
      <c r="P92" s="527"/>
      <c r="Q92" s="527"/>
      <c r="R92" s="527"/>
      <c r="S92" s="840"/>
      <c r="T92" s="840"/>
      <c r="U92" s="527"/>
      <c r="V92" s="532" t="s">
        <v>411</v>
      </c>
      <c r="W92" s="676">
        <f t="shared" si="18"/>
        <v>0</v>
      </c>
      <c r="X92" s="527"/>
      <c r="Y92" s="944">
        <v>0</v>
      </c>
      <c r="Z92" s="944">
        <v>0</v>
      </c>
      <c r="AA92" s="944">
        <f t="shared" si="20"/>
        <v>0</v>
      </c>
      <c r="AB92" s="944">
        <v>0</v>
      </c>
      <c r="AC92" s="944">
        <v>0</v>
      </c>
      <c r="AD92" s="944">
        <v>0</v>
      </c>
      <c r="AE92" s="527"/>
      <c r="AF92" s="944"/>
      <c r="AG92" s="944">
        <v>0</v>
      </c>
      <c r="AH92" s="945">
        <v>0</v>
      </c>
      <c r="AI92" s="946">
        <v>0</v>
      </c>
      <c r="AJ92" s="946" t="s">
        <v>120</v>
      </c>
      <c r="AK92" s="679">
        <f t="shared" si="19"/>
        <v>0</v>
      </c>
      <c r="AL92" s="527"/>
      <c r="AM92" s="527"/>
    </row>
    <row r="93" spans="1:39" s="610" customFormat="1" ht="14.85" customHeight="1">
      <c r="A93" s="840"/>
      <c r="B93" s="527"/>
      <c r="C93" s="527"/>
      <c r="D93" s="527"/>
      <c r="E93" s="527"/>
      <c r="F93" s="527"/>
      <c r="G93" s="527"/>
      <c r="H93" s="527"/>
      <c r="I93" s="1015" t="s">
        <v>815</v>
      </c>
      <c r="J93" s="1015"/>
      <c r="K93" s="1015"/>
      <c r="L93" s="1015"/>
      <c r="M93" s="1015"/>
      <c r="N93" s="1015"/>
      <c r="O93" s="1015"/>
      <c r="P93" s="1015"/>
      <c r="Q93" s="1015"/>
      <c r="R93" s="527"/>
      <c r="S93" s="840"/>
      <c r="T93" s="840"/>
      <c r="U93" s="527"/>
      <c r="V93" s="532" t="s">
        <v>410</v>
      </c>
      <c r="W93" s="676">
        <f t="shared" si="18"/>
        <v>0</v>
      </c>
      <c r="X93" s="527"/>
      <c r="Y93" s="521">
        <v>0</v>
      </c>
      <c r="Z93" s="521">
        <v>0</v>
      </c>
      <c r="AA93" s="521">
        <f t="shared" si="20"/>
        <v>0</v>
      </c>
      <c r="AB93" s="521">
        <v>0</v>
      </c>
      <c r="AC93" s="521">
        <v>0</v>
      </c>
      <c r="AD93" s="521">
        <v>0</v>
      </c>
      <c r="AE93" s="527"/>
      <c r="AF93" s="521"/>
      <c r="AG93" s="521">
        <v>0</v>
      </c>
      <c r="AH93" s="521">
        <v>0</v>
      </c>
      <c r="AI93" s="521">
        <v>0</v>
      </c>
      <c r="AJ93" s="530" t="s">
        <v>120</v>
      </c>
      <c r="AK93" s="679">
        <f t="shared" si="19"/>
        <v>0</v>
      </c>
      <c r="AL93" s="527"/>
      <c r="AM93" s="527"/>
    </row>
    <row r="94" spans="1:39" s="610" customFormat="1">
      <c r="A94" s="840"/>
      <c r="B94" s="527"/>
      <c r="C94" s="527"/>
      <c r="D94" s="527"/>
      <c r="E94" s="527"/>
      <c r="F94" s="527"/>
      <c r="G94" s="527"/>
      <c r="H94" s="527"/>
      <c r="I94" s="1015"/>
      <c r="J94" s="1015"/>
      <c r="K94" s="1015"/>
      <c r="L94" s="1015"/>
      <c r="M94" s="1015"/>
      <c r="N94" s="1015"/>
      <c r="O94" s="1015"/>
      <c r="P94" s="1015"/>
      <c r="Q94" s="1015"/>
      <c r="R94" s="527"/>
      <c r="S94" s="840"/>
      <c r="T94" s="840"/>
      <c r="U94" s="527"/>
      <c r="V94" s="532" t="s">
        <v>131</v>
      </c>
      <c r="W94" s="676">
        <f t="shared" si="18"/>
        <v>0</v>
      </c>
      <c r="X94" s="527"/>
      <c r="Y94" s="944">
        <v>0</v>
      </c>
      <c r="Z94" s="944">
        <v>0</v>
      </c>
      <c r="AA94" s="944">
        <f t="shared" si="20"/>
        <v>0</v>
      </c>
      <c r="AB94" s="944">
        <v>0</v>
      </c>
      <c r="AC94" s="944">
        <v>0</v>
      </c>
      <c r="AD94" s="944">
        <v>0</v>
      </c>
      <c r="AE94" s="527"/>
      <c r="AF94" s="944"/>
      <c r="AG94" s="945">
        <v>0</v>
      </c>
      <c r="AH94" s="946">
        <v>0</v>
      </c>
      <c r="AI94" s="946">
        <v>0</v>
      </c>
      <c r="AJ94" s="679" t="s">
        <v>120</v>
      </c>
      <c r="AK94" s="679">
        <f t="shared" si="19"/>
        <v>0</v>
      </c>
      <c r="AL94" s="527"/>
      <c r="AM94" s="527"/>
    </row>
    <row r="95" spans="1:39" s="610" customFormat="1" ht="16.5" thickBot="1">
      <c r="A95" s="840"/>
      <c r="B95" s="527"/>
      <c r="C95" s="527"/>
      <c r="D95" s="527"/>
      <c r="E95" s="527"/>
      <c r="F95" s="527"/>
      <c r="G95" s="527"/>
      <c r="H95" s="527"/>
      <c r="I95" s="1015"/>
      <c r="J95" s="1015"/>
      <c r="K95" s="1015"/>
      <c r="L95" s="1015"/>
      <c r="M95" s="1015"/>
      <c r="N95" s="1015"/>
      <c r="O95" s="1015"/>
      <c r="P95" s="1015"/>
      <c r="Q95" s="1015"/>
      <c r="R95" s="527"/>
      <c r="S95" s="840"/>
      <c r="T95" s="840"/>
      <c r="U95" s="527"/>
      <c r="V95" s="623" t="s">
        <v>80</v>
      </c>
      <c r="W95" s="676">
        <f>SUM(W88:W94)</f>
        <v>0</v>
      </c>
      <c r="X95" s="527"/>
      <c r="Y95" s="676">
        <f t="shared" ref="Y95:AD95" si="21">SUM(Y88:Y94)</f>
        <v>0</v>
      </c>
      <c r="Z95" s="676">
        <f t="shared" si="21"/>
        <v>0</v>
      </c>
      <c r="AA95" s="676">
        <f t="shared" si="21"/>
        <v>0</v>
      </c>
      <c r="AB95" s="676">
        <f t="shared" si="21"/>
        <v>0</v>
      </c>
      <c r="AC95" s="676">
        <f t="shared" si="21"/>
        <v>0</v>
      </c>
      <c r="AD95" s="676">
        <f t="shared" si="21"/>
        <v>0</v>
      </c>
      <c r="AE95" s="631"/>
      <c r="AF95" s="631"/>
      <c r="AG95" s="676">
        <f>SUM(AG88:AG94)</f>
        <v>0</v>
      </c>
      <c r="AH95" s="676">
        <f>SUM(AH88:AH94)</f>
        <v>0</v>
      </c>
      <c r="AI95" s="676">
        <f>SUM(AI88:AI94)</f>
        <v>0</v>
      </c>
      <c r="AJ95" s="678" t="s">
        <v>120</v>
      </c>
      <c r="AK95" s="676">
        <f>SUM(AK88:AK94)</f>
        <v>0</v>
      </c>
      <c r="AL95" s="527"/>
      <c r="AM95" s="527"/>
    </row>
    <row r="96" spans="1:39" s="610" customFormat="1" ht="14.1" customHeight="1">
      <c r="A96" s="840"/>
      <c r="B96" s="527"/>
      <c r="C96" s="527"/>
      <c r="D96" s="527"/>
      <c r="E96" s="527"/>
      <c r="F96" s="527"/>
      <c r="G96" s="527"/>
      <c r="H96" s="527"/>
      <c r="I96" s="1015" t="s">
        <v>816</v>
      </c>
      <c r="J96" s="1015"/>
      <c r="K96" s="1015"/>
      <c r="L96" s="1015"/>
      <c r="M96" s="1015"/>
      <c r="N96" s="1015"/>
      <c r="O96" s="1015"/>
      <c r="P96" s="1015"/>
      <c r="Q96" s="1015"/>
      <c r="R96" s="527"/>
      <c r="S96" s="840"/>
      <c r="T96" s="840"/>
      <c r="U96" s="527"/>
      <c r="V96" s="527"/>
      <c r="W96" s="527"/>
      <c r="X96" s="527"/>
      <c r="Y96" s="527"/>
      <c r="Z96" s="527"/>
      <c r="AA96" s="527"/>
      <c r="AB96" s="527"/>
      <c r="AC96" s="527"/>
      <c r="AD96" s="527"/>
      <c r="AE96" s="527"/>
      <c r="AF96" s="527"/>
      <c r="AG96" s="527"/>
      <c r="AH96" s="527"/>
      <c r="AI96" s="527"/>
      <c r="AJ96" s="527"/>
      <c r="AK96" s="527"/>
      <c r="AL96" s="527"/>
      <c r="AM96" s="527"/>
    </row>
    <row r="97" spans="1:39" s="610" customFormat="1" ht="14.1" customHeight="1">
      <c r="A97" s="840"/>
      <c r="B97" s="527"/>
      <c r="C97" s="527"/>
      <c r="D97" s="527"/>
      <c r="E97" s="527"/>
      <c r="F97" s="527"/>
      <c r="G97" s="527"/>
      <c r="H97" s="527"/>
      <c r="I97" s="1015"/>
      <c r="J97" s="1015"/>
      <c r="K97" s="1015"/>
      <c r="L97" s="1015"/>
      <c r="M97" s="1015"/>
      <c r="N97" s="1015"/>
      <c r="O97" s="1015"/>
      <c r="P97" s="1015"/>
      <c r="Q97" s="1015"/>
      <c r="R97" s="527"/>
      <c r="S97" s="840"/>
      <c r="T97" s="840"/>
      <c r="U97" s="527"/>
      <c r="V97" s="527"/>
      <c r="W97" s="527"/>
      <c r="X97" s="527"/>
      <c r="Y97" s="527"/>
      <c r="Z97" s="527"/>
      <c r="AA97" s="527"/>
      <c r="AB97" s="527"/>
      <c r="AC97" s="527"/>
      <c r="AD97" s="527"/>
      <c r="AE97" s="527"/>
      <c r="AF97" s="527"/>
      <c r="AG97" s="527"/>
      <c r="AH97" s="527"/>
      <c r="AI97" s="527"/>
      <c r="AJ97" s="527"/>
      <c r="AK97" s="527"/>
      <c r="AL97" s="527"/>
      <c r="AM97" s="527"/>
    </row>
    <row r="98" spans="1:39" s="610" customFormat="1">
      <c r="A98" s="840"/>
      <c r="B98" s="527"/>
      <c r="C98" s="527"/>
      <c r="D98" s="527"/>
      <c r="E98" s="527"/>
      <c r="F98" s="527"/>
      <c r="G98" s="527"/>
      <c r="H98" s="527"/>
      <c r="I98" s="1015"/>
      <c r="J98" s="1015"/>
      <c r="K98" s="1015"/>
      <c r="L98" s="1015"/>
      <c r="M98" s="1015"/>
      <c r="N98" s="1015"/>
      <c r="O98" s="1015"/>
      <c r="P98" s="1015"/>
      <c r="Q98" s="1015"/>
      <c r="R98" s="527"/>
      <c r="S98" s="840"/>
      <c r="T98" s="840"/>
      <c r="U98" s="527"/>
      <c r="V98" s="631" t="str">
        <f>IF($C$27&lt;&gt;"",$C$27,"")</f>
        <v/>
      </c>
      <c r="W98" s="619" t="s">
        <v>80</v>
      </c>
      <c r="X98" s="620"/>
      <c r="Y98" s="619" t="s">
        <v>426</v>
      </c>
      <c r="Z98" s="619" t="s">
        <v>425</v>
      </c>
      <c r="AA98" s="619" t="s">
        <v>418</v>
      </c>
      <c r="AB98" s="619" t="s">
        <v>424</v>
      </c>
      <c r="AC98" s="619" t="s">
        <v>423</v>
      </c>
      <c r="AD98" s="619" t="s">
        <v>422</v>
      </c>
      <c r="AE98" s="527"/>
      <c r="AF98" s="619" t="s">
        <v>663</v>
      </c>
      <c r="AG98" s="619" t="s">
        <v>421</v>
      </c>
      <c r="AH98" s="619" t="s">
        <v>420</v>
      </c>
      <c r="AI98" s="619" t="s">
        <v>419</v>
      </c>
      <c r="AJ98" s="619" t="s">
        <v>455</v>
      </c>
      <c r="AK98" s="619" t="s">
        <v>417</v>
      </c>
      <c r="AL98" s="619" t="s">
        <v>416</v>
      </c>
      <c r="AM98" s="527"/>
    </row>
    <row r="99" spans="1:39" s="610" customFormat="1" ht="16.5" thickBot="1">
      <c r="A99" s="840"/>
      <c r="B99" s="527"/>
      <c r="C99" s="527"/>
      <c r="D99" s="527"/>
      <c r="E99" s="527"/>
      <c r="F99" s="527"/>
      <c r="G99" s="527"/>
      <c r="H99" s="527"/>
      <c r="I99" s="1015"/>
      <c r="J99" s="1015"/>
      <c r="K99" s="1015"/>
      <c r="L99" s="1015"/>
      <c r="M99" s="1015"/>
      <c r="N99" s="1015"/>
      <c r="O99" s="1015"/>
      <c r="P99" s="1015"/>
      <c r="Q99" s="1015"/>
      <c r="R99" s="527"/>
      <c r="S99" s="840"/>
      <c r="T99" s="840"/>
      <c r="U99" s="527"/>
      <c r="V99" s="532" t="s">
        <v>415</v>
      </c>
      <c r="W99" s="676">
        <f t="shared" ref="W99:W105" si="22">SUM(Y99:AA99,AG99:AI99)</f>
        <v>0</v>
      </c>
      <c r="X99" s="527"/>
      <c r="Y99" s="944">
        <v>0</v>
      </c>
      <c r="Z99" s="944">
        <v>0</v>
      </c>
      <c r="AA99" s="944">
        <f>SUM(AB99:AD99)</f>
        <v>0</v>
      </c>
      <c r="AB99" s="944">
        <v>0</v>
      </c>
      <c r="AC99" s="944">
        <v>0</v>
      </c>
      <c r="AD99" s="944">
        <v>0</v>
      </c>
      <c r="AE99" s="527"/>
      <c r="AF99" s="944"/>
      <c r="AG99" s="944">
        <v>0</v>
      </c>
      <c r="AH99" s="944">
        <v>0</v>
      </c>
      <c r="AI99" s="944">
        <v>0</v>
      </c>
      <c r="AJ99" s="945" t="s">
        <v>120</v>
      </c>
      <c r="AK99" s="946">
        <f t="shared" ref="AK99:AK105" si="23">IF(AJ99="Sim",(Y99+Z99+AA99+AG99+AH99+AI99),(Z99+Y99+AG99+AH99+AI99))</f>
        <v>0</v>
      </c>
      <c r="AL99" s="531"/>
      <c r="AM99" s="527"/>
    </row>
    <row r="100" spans="1:39" s="610" customFormat="1" ht="16.5" thickTop="1">
      <c r="A100" s="840"/>
      <c r="B100" s="527"/>
      <c r="C100" s="527"/>
      <c r="D100" s="527"/>
      <c r="E100" s="527"/>
      <c r="F100" s="527"/>
      <c r="G100" s="527"/>
      <c r="H100" s="527"/>
      <c r="I100" s="1015"/>
      <c r="J100" s="1015"/>
      <c r="K100" s="1015"/>
      <c r="L100" s="1015"/>
      <c r="M100" s="1015"/>
      <c r="N100" s="1015"/>
      <c r="O100" s="1015"/>
      <c r="P100" s="1015"/>
      <c r="Q100" s="1015"/>
      <c r="R100" s="527"/>
      <c r="S100" s="840"/>
      <c r="T100" s="840"/>
      <c r="U100" s="527"/>
      <c r="V100" s="532" t="s">
        <v>414</v>
      </c>
      <c r="W100" s="676">
        <f t="shared" si="22"/>
        <v>0</v>
      </c>
      <c r="X100" s="527"/>
      <c r="Y100" s="521">
        <v>0</v>
      </c>
      <c r="Z100" s="521">
        <v>0</v>
      </c>
      <c r="AA100" s="521">
        <f t="shared" ref="AA100:AA105" si="24">SUM(AB100:AD100)</f>
        <v>0</v>
      </c>
      <c r="AB100" s="521">
        <v>0</v>
      </c>
      <c r="AC100" s="521">
        <v>0</v>
      </c>
      <c r="AD100" s="521">
        <v>0</v>
      </c>
      <c r="AE100" s="527"/>
      <c r="AF100" s="521"/>
      <c r="AG100" s="521">
        <v>0</v>
      </c>
      <c r="AH100" s="521">
        <v>0</v>
      </c>
      <c r="AI100" s="521">
        <v>0</v>
      </c>
      <c r="AJ100" s="530" t="s">
        <v>120</v>
      </c>
      <c r="AK100" s="679">
        <f t="shared" si="23"/>
        <v>0</v>
      </c>
      <c r="AL100" s="527"/>
      <c r="AM100" s="527"/>
    </row>
    <row r="101" spans="1:39" s="610" customFormat="1">
      <c r="A101" s="840"/>
      <c r="B101" s="527"/>
      <c r="C101" s="527"/>
      <c r="D101" s="527"/>
      <c r="E101" s="527"/>
      <c r="F101" s="527"/>
      <c r="G101" s="527"/>
      <c r="H101" s="527"/>
      <c r="I101" s="1015" t="s">
        <v>817</v>
      </c>
      <c r="J101" s="1015"/>
      <c r="K101" s="1015"/>
      <c r="L101" s="1015"/>
      <c r="M101" s="1015"/>
      <c r="N101" s="1015"/>
      <c r="O101" s="1015"/>
      <c r="P101" s="1015"/>
      <c r="Q101" s="1015"/>
      <c r="R101" s="527"/>
      <c r="S101" s="840"/>
      <c r="T101" s="840"/>
      <c r="U101" s="527"/>
      <c r="V101" s="532" t="s">
        <v>413</v>
      </c>
      <c r="W101" s="676">
        <f t="shared" si="22"/>
        <v>0</v>
      </c>
      <c r="X101" s="527"/>
      <c r="Y101" s="944">
        <v>0</v>
      </c>
      <c r="Z101" s="944">
        <v>0</v>
      </c>
      <c r="AA101" s="944">
        <f t="shared" si="24"/>
        <v>0</v>
      </c>
      <c r="AB101" s="944">
        <v>0</v>
      </c>
      <c r="AC101" s="944">
        <v>0</v>
      </c>
      <c r="AD101" s="944">
        <v>0</v>
      </c>
      <c r="AE101" s="527"/>
      <c r="AF101" s="944"/>
      <c r="AG101" s="944">
        <v>0</v>
      </c>
      <c r="AH101" s="944">
        <v>0</v>
      </c>
      <c r="AI101" s="945">
        <v>0</v>
      </c>
      <c r="AJ101" s="946" t="s">
        <v>120</v>
      </c>
      <c r="AK101" s="946">
        <f t="shared" si="23"/>
        <v>0</v>
      </c>
      <c r="AL101" s="527"/>
      <c r="AM101" s="527"/>
    </row>
    <row r="102" spans="1:39" s="610" customFormat="1">
      <c r="A102" s="840"/>
      <c r="B102" s="527"/>
      <c r="C102" s="527"/>
      <c r="D102" s="527"/>
      <c r="E102" s="527"/>
      <c r="F102" s="527"/>
      <c r="G102" s="527"/>
      <c r="H102" s="527"/>
      <c r="I102" s="1015"/>
      <c r="J102" s="1015"/>
      <c r="K102" s="1015"/>
      <c r="L102" s="1015"/>
      <c r="M102" s="1015"/>
      <c r="N102" s="1015"/>
      <c r="O102" s="1015"/>
      <c r="P102" s="1015"/>
      <c r="Q102" s="1015"/>
      <c r="R102" s="527"/>
      <c r="S102" s="840"/>
      <c r="T102" s="840"/>
      <c r="U102" s="527"/>
      <c r="V102" s="532" t="s">
        <v>412</v>
      </c>
      <c r="W102" s="676">
        <f t="shared" si="22"/>
        <v>0</v>
      </c>
      <c r="X102" s="527"/>
      <c r="Y102" s="521">
        <v>0</v>
      </c>
      <c r="Z102" s="521">
        <v>0</v>
      </c>
      <c r="AA102" s="521">
        <f t="shared" si="24"/>
        <v>0</v>
      </c>
      <c r="AB102" s="521">
        <v>0</v>
      </c>
      <c r="AC102" s="521">
        <v>0</v>
      </c>
      <c r="AD102" s="521">
        <v>0</v>
      </c>
      <c r="AE102" s="527"/>
      <c r="AF102" s="521"/>
      <c r="AG102" s="521">
        <v>0</v>
      </c>
      <c r="AH102" s="521">
        <v>0</v>
      </c>
      <c r="AI102" s="521">
        <v>0</v>
      </c>
      <c r="AJ102" s="530" t="s">
        <v>120</v>
      </c>
      <c r="AK102" s="679">
        <f t="shared" si="23"/>
        <v>0</v>
      </c>
      <c r="AL102" s="527"/>
      <c r="AM102" s="527"/>
    </row>
    <row r="103" spans="1:39" s="610" customFormat="1">
      <c r="A103" s="840"/>
      <c r="B103" s="527"/>
      <c r="C103" s="527"/>
      <c r="D103" s="527"/>
      <c r="E103" s="527"/>
      <c r="F103" s="527"/>
      <c r="G103" s="527"/>
      <c r="H103" s="527"/>
      <c r="I103" s="1015"/>
      <c r="J103" s="1015"/>
      <c r="K103" s="1015"/>
      <c r="L103" s="1015"/>
      <c r="M103" s="1015"/>
      <c r="N103" s="1015"/>
      <c r="O103" s="1015"/>
      <c r="P103" s="1015"/>
      <c r="Q103" s="1015"/>
      <c r="R103" s="527"/>
      <c r="S103" s="840"/>
      <c r="T103" s="840"/>
      <c r="U103" s="527"/>
      <c r="V103" s="532" t="s">
        <v>411</v>
      </c>
      <c r="W103" s="676">
        <f t="shared" si="22"/>
        <v>0</v>
      </c>
      <c r="X103" s="527"/>
      <c r="Y103" s="944">
        <v>0</v>
      </c>
      <c r="Z103" s="944">
        <v>0</v>
      </c>
      <c r="AA103" s="944">
        <f t="shared" si="24"/>
        <v>0</v>
      </c>
      <c r="AB103" s="944">
        <v>0</v>
      </c>
      <c r="AC103" s="944">
        <v>0</v>
      </c>
      <c r="AD103" s="944">
        <v>0</v>
      </c>
      <c r="AE103" s="527"/>
      <c r="AF103" s="944"/>
      <c r="AG103" s="944">
        <v>0</v>
      </c>
      <c r="AH103" s="945">
        <v>0</v>
      </c>
      <c r="AI103" s="946">
        <v>0</v>
      </c>
      <c r="AJ103" s="946" t="s">
        <v>120</v>
      </c>
      <c r="AK103" s="679">
        <f t="shared" si="23"/>
        <v>0</v>
      </c>
      <c r="AL103" s="527"/>
      <c r="AM103" s="527"/>
    </row>
    <row r="104" spans="1:39" s="610" customFormat="1">
      <c r="A104" s="840"/>
      <c r="B104" s="527"/>
      <c r="C104" s="527"/>
      <c r="D104" s="527"/>
      <c r="E104" s="527"/>
      <c r="F104" s="527"/>
      <c r="G104" s="527"/>
      <c r="H104" s="527"/>
      <c r="I104" s="1015" t="s">
        <v>818</v>
      </c>
      <c r="J104" s="1015"/>
      <c r="K104" s="1015"/>
      <c r="L104" s="1015"/>
      <c r="M104" s="1015"/>
      <c r="N104" s="1015"/>
      <c r="O104" s="1015"/>
      <c r="P104" s="1015"/>
      <c r="Q104" s="1015"/>
      <c r="R104" s="527"/>
      <c r="S104" s="840"/>
      <c r="T104" s="840"/>
      <c r="U104" s="527"/>
      <c r="V104" s="532" t="s">
        <v>410</v>
      </c>
      <c r="W104" s="676">
        <f t="shared" si="22"/>
        <v>0</v>
      </c>
      <c r="X104" s="527"/>
      <c r="Y104" s="521">
        <v>0</v>
      </c>
      <c r="Z104" s="521">
        <v>0</v>
      </c>
      <c r="AA104" s="521">
        <f t="shared" si="24"/>
        <v>0</v>
      </c>
      <c r="AB104" s="521">
        <v>0</v>
      </c>
      <c r="AC104" s="521">
        <v>0</v>
      </c>
      <c r="AD104" s="521">
        <v>0</v>
      </c>
      <c r="AE104" s="527"/>
      <c r="AF104" s="521"/>
      <c r="AG104" s="521">
        <v>0</v>
      </c>
      <c r="AH104" s="521">
        <v>0</v>
      </c>
      <c r="AI104" s="521">
        <v>0</v>
      </c>
      <c r="AJ104" s="530" t="s">
        <v>120</v>
      </c>
      <c r="AK104" s="679">
        <f t="shared" si="23"/>
        <v>0</v>
      </c>
      <c r="AL104" s="527"/>
      <c r="AM104" s="527"/>
    </row>
    <row r="105" spans="1:39" s="610" customFormat="1">
      <c r="A105" s="840"/>
      <c r="B105" s="527"/>
      <c r="C105" s="527"/>
      <c r="D105" s="527"/>
      <c r="E105" s="527"/>
      <c r="F105" s="527"/>
      <c r="G105" s="527"/>
      <c r="H105" s="527"/>
      <c r="I105" s="1015"/>
      <c r="J105" s="1015"/>
      <c r="K105" s="1015"/>
      <c r="L105" s="1015"/>
      <c r="M105" s="1015"/>
      <c r="N105" s="1015"/>
      <c r="O105" s="1015"/>
      <c r="P105" s="1015"/>
      <c r="Q105" s="1015"/>
      <c r="R105" s="527"/>
      <c r="S105" s="840"/>
      <c r="T105" s="840"/>
      <c r="U105" s="527"/>
      <c r="V105" s="532" t="s">
        <v>131</v>
      </c>
      <c r="W105" s="676">
        <f t="shared" si="22"/>
        <v>0</v>
      </c>
      <c r="X105" s="527"/>
      <c r="Y105" s="944">
        <v>0</v>
      </c>
      <c r="Z105" s="944">
        <v>0</v>
      </c>
      <c r="AA105" s="944">
        <f t="shared" si="24"/>
        <v>0</v>
      </c>
      <c r="AB105" s="944">
        <v>0</v>
      </c>
      <c r="AC105" s="944">
        <v>0</v>
      </c>
      <c r="AD105" s="944">
        <v>0</v>
      </c>
      <c r="AE105" s="527"/>
      <c r="AF105" s="944"/>
      <c r="AG105" s="945">
        <v>0</v>
      </c>
      <c r="AH105" s="946">
        <v>0</v>
      </c>
      <c r="AI105" s="946">
        <v>0</v>
      </c>
      <c r="AJ105" s="679" t="s">
        <v>120</v>
      </c>
      <c r="AK105" s="679">
        <f t="shared" si="23"/>
        <v>0</v>
      </c>
      <c r="AL105" s="527"/>
      <c r="AM105" s="527"/>
    </row>
    <row r="106" spans="1:39" s="610" customFormat="1" ht="16.5" thickBot="1">
      <c r="A106" s="840"/>
      <c r="B106" s="527"/>
      <c r="C106" s="527"/>
      <c r="D106" s="527"/>
      <c r="E106" s="527"/>
      <c r="F106" s="527"/>
      <c r="G106" s="527"/>
      <c r="H106" s="527"/>
      <c r="I106" s="527"/>
      <c r="J106" s="527"/>
      <c r="K106" s="527"/>
      <c r="L106" s="527"/>
      <c r="M106" s="527"/>
      <c r="N106" s="527"/>
      <c r="O106" s="527"/>
      <c r="P106" s="527"/>
      <c r="Q106" s="527"/>
      <c r="R106" s="527"/>
      <c r="S106" s="840"/>
      <c r="T106" s="840"/>
      <c r="U106" s="527"/>
      <c r="V106" s="680" t="s">
        <v>80</v>
      </c>
      <c r="W106" s="676">
        <f>SUM(W99:W105)</f>
        <v>0</v>
      </c>
      <c r="X106" s="527"/>
      <c r="Y106" s="676">
        <f t="shared" ref="Y106:AD106" si="25">SUM(Y99:Y105)</f>
        <v>0</v>
      </c>
      <c r="Z106" s="676">
        <f t="shared" si="25"/>
        <v>0</v>
      </c>
      <c r="AA106" s="676">
        <f t="shared" si="25"/>
        <v>0</v>
      </c>
      <c r="AB106" s="676">
        <f t="shared" si="25"/>
        <v>0</v>
      </c>
      <c r="AC106" s="676">
        <f t="shared" si="25"/>
        <v>0</v>
      </c>
      <c r="AD106" s="676">
        <f t="shared" si="25"/>
        <v>0</v>
      </c>
      <c r="AE106" s="631"/>
      <c r="AF106" s="631"/>
      <c r="AG106" s="676">
        <f>SUM(AG99:AG105)</f>
        <v>0</v>
      </c>
      <c r="AH106" s="676">
        <f>SUM(AH99:AH105)</f>
        <v>0</v>
      </c>
      <c r="AI106" s="676">
        <f>SUM(AI99:AI105)</f>
        <v>0</v>
      </c>
      <c r="AJ106" s="678" t="s">
        <v>120</v>
      </c>
      <c r="AK106" s="676">
        <f>SUM(AK99:AK105)</f>
        <v>0</v>
      </c>
      <c r="AL106" s="527"/>
      <c r="AM106" s="527"/>
    </row>
    <row r="107" spans="1:39" s="610" customFormat="1">
      <c r="A107" s="840"/>
      <c r="B107" s="527"/>
      <c r="C107" s="527"/>
      <c r="D107" s="527"/>
      <c r="E107" s="527"/>
      <c r="F107" s="527"/>
      <c r="G107" s="527"/>
      <c r="H107" s="527"/>
      <c r="I107" s="527"/>
      <c r="J107" s="527"/>
      <c r="K107" s="527"/>
      <c r="L107" s="527"/>
      <c r="M107" s="527"/>
      <c r="N107" s="527"/>
      <c r="O107" s="527"/>
      <c r="P107" s="527"/>
      <c r="Q107" s="527"/>
      <c r="R107" s="527"/>
      <c r="S107" s="840"/>
      <c r="T107" s="840"/>
      <c r="U107" s="527"/>
      <c r="V107" s="527"/>
      <c r="W107" s="527"/>
      <c r="X107" s="527"/>
      <c r="Y107" s="527"/>
      <c r="Z107" s="527"/>
      <c r="AA107" s="527"/>
      <c r="AB107" s="527"/>
      <c r="AC107" s="527"/>
      <c r="AD107" s="527"/>
      <c r="AE107" s="527"/>
      <c r="AF107" s="527"/>
      <c r="AG107" s="527"/>
      <c r="AH107" s="527"/>
      <c r="AI107" s="527"/>
      <c r="AJ107" s="527"/>
      <c r="AK107" s="527"/>
      <c r="AL107" s="527"/>
      <c r="AM107" s="527"/>
    </row>
    <row r="108" spans="1:39" s="610" customFormat="1">
      <c r="A108" s="840"/>
      <c r="B108" s="840"/>
      <c r="C108" s="840"/>
      <c r="D108" s="840"/>
      <c r="E108" s="840"/>
      <c r="F108" s="840"/>
      <c r="G108" s="840"/>
      <c r="H108" s="840"/>
      <c r="I108" s="840"/>
      <c r="J108" s="840"/>
      <c r="K108" s="840"/>
      <c r="L108" s="840"/>
      <c r="M108" s="840"/>
      <c r="N108" s="840"/>
      <c r="O108" s="840"/>
      <c r="P108" s="840"/>
      <c r="Q108" s="840"/>
      <c r="R108" s="840"/>
      <c r="S108" s="840"/>
      <c r="T108" s="840"/>
      <c r="U108" s="840"/>
      <c r="V108" s="840"/>
      <c r="W108" s="840"/>
      <c r="X108" s="840"/>
      <c r="Y108" s="840"/>
      <c r="Z108" s="840"/>
      <c r="AA108" s="840"/>
      <c r="AB108" s="840"/>
      <c r="AC108" s="840"/>
      <c r="AD108" s="840"/>
      <c r="AE108" s="840"/>
      <c r="AF108" s="840"/>
      <c r="AG108" s="840"/>
      <c r="AH108" s="840"/>
      <c r="AI108" s="840"/>
      <c r="AJ108" s="840"/>
      <c r="AK108" s="840"/>
      <c r="AL108" s="840"/>
      <c r="AM108" s="840"/>
    </row>
    <row r="109" spans="1:39" s="922" customFormat="1" hidden="1">
      <c r="A109" s="920"/>
      <c r="B109" s="921"/>
      <c r="C109" s="921"/>
      <c r="D109" s="921"/>
      <c r="E109" s="921"/>
      <c r="F109" s="921"/>
      <c r="G109" s="921"/>
      <c r="H109" s="921"/>
      <c r="I109" s="921"/>
      <c r="J109" s="921"/>
      <c r="K109" s="921"/>
      <c r="L109" s="921"/>
      <c r="M109" s="921"/>
      <c r="N109" s="921"/>
      <c r="O109" s="921"/>
      <c r="P109" s="921"/>
      <c r="Q109" s="921"/>
      <c r="R109" s="921"/>
      <c r="U109" s="921"/>
      <c r="V109" s="921"/>
      <c r="W109" s="921"/>
      <c r="X109" s="921"/>
      <c r="Y109" s="921"/>
      <c r="Z109" s="921"/>
      <c r="AA109" s="921"/>
      <c r="AB109" s="921"/>
      <c r="AC109" s="921"/>
      <c r="AD109" s="921"/>
      <c r="AE109" s="921"/>
      <c r="AF109" s="921"/>
      <c r="AG109" s="921"/>
      <c r="AH109" s="921"/>
      <c r="AI109" s="921"/>
      <c r="AJ109" s="921"/>
      <c r="AK109" s="921"/>
      <c r="AL109" s="921"/>
      <c r="AM109" s="921"/>
    </row>
    <row r="110" spans="1:39" s="922" customFormat="1" hidden="1">
      <c r="A110" s="920"/>
      <c r="B110" s="921"/>
      <c r="C110" s="923" t="s">
        <v>691</v>
      </c>
      <c r="D110" s="923"/>
      <c r="E110" s="923" t="s">
        <v>692</v>
      </c>
      <c r="F110" s="921"/>
      <c r="G110" s="921"/>
      <c r="H110" s="921"/>
      <c r="I110" s="921"/>
      <c r="J110" s="921"/>
      <c r="K110" s="921"/>
      <c r="L110" s="921"/>
      <c r="M110" s="921"/>
      <c r="N110" s="921"/>
      <c r="O110" s="921"/>
      <c r="P110" s="921"/>
      <c r="Q110" s="921"/>
      <c r="R110" s="921"/>
      <c r="U110" s="921"/>
      <c r="V110" s="924"/>
      <c r="W110" s="924"/>
      <c r="X110" s="924"/>
      <c r="Y110" s="924"/>
      <c r="Z110" s="924"/>
      <c r="AA110" s="924"/>
      <c r="AB110" s="924"/>
      <c r="AC110" s="924"/>
      <c r="AD110" s="924"/>
      <c r="AE110" s="924"/>
      <c r="AF110" s="924"/>
      <c r="AG110" s="924"/>
      <c r="AH110" s="924"/>
      <c r="AI110" s="924"/>
      <c r="AJ110" s="924"/>
      <c r="AK110" s="924"/>
      <c r="AL110" s="921"/>
      <c r="AM110" s="921"/>
    </row>
    <row r="111" spans="1:39" s="922" customFormat="1" hidden="1">
      <c r="A111" s="920"/>
      <c r="B111" s="921"/>
      <c r="C111" s="925" t="s">
        <v>68</v>
      </c>
      <c r="D111" s="921"/>
      <c r="E111" s="926" t="s">
        <v>690</v>
      </c>
      <c r="F111" s="921"/>
      <c r="G111" s="921"/>
      <c r="H111" s="921"/>
      <c r="I111" s="921"/>
      <c r="J111" s="921"/>
      <c r="K111" s="921"/>
      <c r="L111" s="921"/>
      <c r="M111" s="921"/>
      <c r="N111" s="921"/>
      <c r="O111" s="921"/>
      <c r="P111" s="921"/>
      <c r="Q111" s="921"/>
      <c r="R111" s="921"/>
      <c r="U111" s="921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1"/>
      <c r="AM111" s="921"/>
    </row>
    <row r="112" spans="1:39" s="922" customFormat="1" hidden="1">
      <c r="A112" s="920"/>
      <c r="B112" s="921"/>
      <c r="C112" s="925" t="s">
        <v>435</v>
      </c>
      <c r="D112" s="921"/>
      <c r="E112" s="926" t="s">
        <v>664</v>
      </c>
      <c r="F112" s="921"/>
      <c r="G112" s="921"/>
      <c r="H112" s="921"/>
      <c r="I112" s="921"/>
      <c r="J112" s="921"/>
      <c r="K112" s="921"/>
      <c r="L112" s="921"/>
      <c r="M112" s="921"/>
      <c r="N112" s="921"/>
      <c r="O112" s="921"/>
      <c r="P112" s="921"/>
      <c r="Q112" s="921"/>
      <c r="R112" s="921"/>
      <c r="U112" s="921"/>
      <c r="V112" s="924"/>
      <c r="W112" s="924"/>
      <c r="X112" s="924"/>
      <c r="Y112" s="924"/>
      <c r="Z112" s="924"/>
      <c r="AA112" s="924"/>
      <c r="AB112" s="924"/>
      <c r="AC112" s="924"/>
      <c r="AD112" s="924"/>
      <c r="AE112" s="924"/>
      <c r="AF112" s="924"/>
      <c r="AG112" s="924"/>
      <c r="AH112" s="924"/>
      <c r="AI112" s="924"/>
      <c r="AJ112" s="924"/>
      <c r="AK112" s="924"/>
      <c r="AL112" s="921"/>
      <c r="AM112" s="921"/>
    </row>
    <row r="113" spans="1:39" s="922" customFormat="1" hidden="1">
      <c r="A113" s="920"/>
      <c r="B113" s="921"/>
      <c r="C113" s="925" t="s">
        <v>434</v>
      </c>
      <c r="D113" s="921"/>
      <c r="E113" s="926" t="s">
        <v>668</v>
      </c>
      <c r="F113" s="921"/>
      <c r="G113" s="921"/>
      <c r="H113" s="921"/>
      <c r="I113" s="921"/>
      <c r="J113" s="921"/>
      <c r="K113" s="921"/>
      <c r="L113" s="921"/>
      <c r="M113" s="921"/>
      <c r="N113" s="921"/>
      <c r="O113" s="921"/>
      <c r="P113" s="921"/>
      <c r="Q113" s="921"/>
      <c r="R113" s="921"/>
      <c r="U113" s="921"/>
      <c r="V113" s="924"/>
      <c r="W113" s="924"/>
      <c r="X113" s="924"/>
      <c r="Y113" s="924"/>
      <c r="Z113" s="924"/>
      <c r="AA113" s="924"/>
      <c r="AB113" s="924"/>
      <c r="AC113" s="924"/>
      <c r="AD113" s="924"/>
      <c r="AE113" s="924"/>
      <c r="AF113" s="924"/>
      <c r="AG113" s="924"/>
      <c r="AH113" s="924"/>
      <c r="AI113" s="924"/>
      <c r="AJ113" s="924"/>
      <c r="AK113" s="924"/>
      <c r="AL113" s="921"/>
      <c r="AM113" s="921"/>
    </row>
    <row r="114" spans="1:39" s="922" customFormat="1" hidden="1">
      <c r="A114" s="920"/>
      <c r="B114" s="921"/>
      <c r="C114" s="925" t="s">
        <v>433</v>
      </c>
      <c r="D114" s="921"/>
      <c r="E114" s="926" t="s">
        <v>665</v>
      </c>
      <c r="F114" s="921"/>
      <c r="G114" s="921"/>
      <c r="H114" s="921"/>
      <c r="I114" s="921"/>
      <c r="J114" s="921"/>
      <c r="K114" s="921"/>
      <c r="L114" s="921"/>
      <c r="M114" s="921"/>
      <c r="N114" s="921"/>
      <c r="O114" s="921"/>
      <c r="P114" s="921"/>
      <c r="Q114" s="921"/>
      <c r="R114" s="921"/>
      <c r="U114" s="921"/>
      <c r="V114" s="924"/>
      <c r="W114" s="924"/>
      <c r="X114" s="924"/>
      <c r="Y114" s="924"/>
      <c r="Z114" s="924"/>
      <c r="AA114" s="924"/>
      <c r="AB114" s="924"/>
      <c r="AC114" s="924"/>
      <c r="AD114" s="924"/>
      <c r="AE114" s="924"/>
      <c r="AF114" s="924"/>
      <c r="AG114" s="924"/>
      <c r="AH114" s="924"/>
      <c r="AI114" s="924"/>
      <c r="AJ114" s="924"/>
      <c r="AK114" s="924"/>
      <c r="AL114" s="921"/>
      <c r="AM114" s="921"/>
    </row>
    <row r="115" spans="1:39" s="922" customFormat="1" hidden="1">
      <c r="A115" s="920"/>
      <c r="B115" s="921"/>
      <c r="C115" s="925" t="s">
        <v>432</v>
      </c>
      <c r="D115" s="921"/>
      <c r="E115" s="926" t="s">
        <v>670</v>
      </c>
      <c r="F115" s="921"/>
      <c r="G115" s="921"/>
      <c r="H115" s="921"/>
      <c r="I115" s="921"/>
      <c r="J115" s="921"/>
      <c r="K115" s="921"/>
      <c r="L115" s="921"/>
      <c r="M115" s="921"/>
      <c r="N115" s="921"/>
      <c r="O115" s="921"/>
      <c r="P115" s="921"/>
      <c r="Q115" s="921"/>
      <c r="R115" s="921"/>
      <c r="U115" s="921"/>
      <c r="V115" s="924"/>
      <c r="W115" s="924"/>
      <c r="X115" s="924"/>
      <c r="Y115" s="924"/>
      <c r="Z115" s="924"/>
      <c r="AA115" s="924"/>
      <c r="AB115" s="924"/>
      <c r="AC115" s="924"/>
      <c r="AD115" s="924"/>
      <c r="AE115" s="924"/>
      <c r="AF115" s="924"/>
      <c r="AG115" s="924"/>
      <c r="AH115" s="924"/>
      <c r="AI115" s="924"/>
      <c r="AJ115" s="924"/>
      <c r="AK115" s="924"/>
      <c r="AL115" s="921"/>
      <c r="AM115" s="921"/>
    </row>
    <row r="116" spans="1:39" s="922" customFormat="1" hidden="1">
      <c r="A116" s="920"/>
      <c r="B116" s="921"/>
      <c r="C116" s="925" t="s">
        <v>671</v>
      </c>
      <c r="D116" s="921"/>
      <c r="E116" s="926" t="s">
        <v>666</v>
      </c>
      <c r="F116" s="921"/>
      <c r="G116" s="921"/>
      <c r="H116" s="921"/>
      <c r="I116" s="921"/>
      <c r="J116" s="921"/>
      <c r="K116" s="921"/>
      <c r="L116" s="921"/>
      <c r="M116" s="921"/>
      <c r="N116" s="921"/>
      <c r="O116" s="921"/>
      <c r="P116" s="921"/>
      <c r="Q116" s="921"/>
      <c r="R116" s="921"/>
      <c r="U116" s="921"/>
      <c r="V116" s="924"/>
      <c r="W116" s="924"/>
      <c r="X116" s="924"/>
      <c r="Y116" s="924"/>
      <c r="Z116" s="924"/>
      <c r="AA116" s="924"/>
      <c r="AB116" s="924"/>
      <c r="AC116" s="924"/>
      <c r="AD116" s="924"/>
      <c r="AE116" s="924"/>
      <c r="AF116" s="924"/>
      <c r="AG116" s="924"/>
      <c r="AH116" s="924"/>
      <c r="AI116" s="924"/>
      <c r="AJ116" s="924"/>
      <c r="AK116" s="924"/>
      <c r="AL116" s="921"/>
      <c r="AM116" s="921"/>
    </row>
    <row r="117" spans="1:39" s="922" customFormat="1" hidden="1">
      <c r="A117" s="920"/>
      <c r="B117" s="921"/>
      <c r="C117" s="925" t="s">
        <v>431</v>
      </c>
      <c r="D117" s="921"/>
      <c r="E117" s="926" t="s">
        <v>667</v>
      </c>
      <c r="F117" s="921"/>
      <c r="G117" s="921"/>
      <c r="H117" s="921"/>
      <c r="I117" s="921"/>
      <c r="J117" s="921"/>
      <c r="K117" s="921"/>
      <c r="L117" s="921"/>
      <c r="M117" s="921"/>
      <c r="N117" s="921"/>
      <c r="O117" s="921"/>
      <c r="P117" s="921"/>
      <c r="Q117" s="921"/>
      <c r="R117" s="921"/>
      <c r="U117" s="921"/>
      <c r="V117" s="924"/>
      <c r="W117" s="924"/>
      <c r="X117" s="924"/>
      <c r="Y117" s="924"/>
      <c r="Z117" s="924"/>
      <c r="AA117" s="924"/>
      <c r="AB117" s="924"/>
      <c r="AC117" s="924"/>
      <c r="AD117" s="924"/>
      <c r="AE117" s="924"/>
      <c r="AF117" s="924"/>
      <c r="AG117" s="924"/>
      <c r="AH117" s="924"/>
      <c r="AI117" s="924"/>
      <c r="AJ117" s="924"/>
      <c r="AK117" s="924"/>
      <c r="AL117" s="921"/>
      <c r="AM117" s="921"/>
    </row>
    <row r="118" spans="1:39" s="922" customFormat="1" hidden="1">
      <c r="A118" s="920"/>
      <c r="B118" s="921"/>
      <c r="C118" s="925" t="s">
        <v>430</v>
      </c>
      <c r="D118" s="921"/>
      <c r="E118" s="926" t="s">
        <v>669</v>
      </c>
      <c r="F118" s="921"/>
      <c r="G118" s="921"/>
      <c r="H118" s="921"/>
      <c r="I118" s="921"/>
      <c r="J118" s="921"/>
      <c r="K118" s="921"/>
      <c r="L118" s="921"/>
      <c r="M118" s="921"/>
      <c r="N118" s="921"/>
      <c r="O118" s="921"/>
      <c r="P118" s="921"/>
      <c r="Q118" s="921"/>
      <c r="R118" s="921"/>
      <c r="U118" s="921"/>
      <c r="V118" s="921"/>
      <c r="W118" s="921"/>
      <c r="X118" s="921"/>
      <c r="Y118" s="921"/>
      <c r="Z118" s="921"/>
      <c r="AA118" s="921"/>
      <c r="AB118" s="921"/>
      <c r="AC118" s="921"/>
      <c r="AD118" s="921"/>
      <c r="AE118" s="921"/>
      <c r="AF118" s="921"/>
      <c r="AG118" s="921"/>
      <c r="AH118" s="921"/>
      <c r="AI118" s="921"/>
      <c r="AJ118" s="921"/>
      <c r="AK118" s="921"/>
      <c r="AL118" s="921"/>
      <c r="AM118" s="921"/>
    </row>
    <row r="119" spans="1:39" s="922" customFormat="1" hidden="1">
      <c r="A119" s="920"/>
      <c r="B119" s="921"/>
      <c r="C119" s="925" t="s">
        <v>429</v>
      </c>
      <c r="D119" s="921"/>
      <c r="E119" s="926" t="s">
        <v>683</v>
      </c>
      <c r="F119" s="921"/>
      <c r="G119" s="921"/>
      <c r="H119" s="921"/>
      <c r="I119" s="921"/>
      <c r="J119" s="921"/>
      <c r="K119" s="921"/>
      <c r="L119" s="921"/>
      <c r="M119" s="921"/>
      <c r="N119" s="921"/>
      <c r="O119" s="921"/>
      <c r="P119" s="921"/>
      <c r="Q119" s="921"/>
      <c r="R119" s="921"/>
      <c r="U119" s="921"/>
      <c r="V119" s="921"/>
      <c r="W119" s="921"/>
      <c r="X119" s="921"/>
      <c r="Y119" s="921"/>
      <c r="Z119" s="921"/>
      <c r="AA119" s="921"/>
      <c r="AB119" s="921"/>
      <c r="AC119" s="921"/>
      <c r="AD119" s="921"/>
      <c r="AE119" s="921"/>
      <c r="AF119" s="921"/>
      <c r="AG119" s="921"/>
      <c r="AH119" s="921"/>
      <c r="AI119" s="921"/>
      <c r="AJ119" s="921"/>
      <c r="AK119" s="921"/>
      <c r="AL119" s="921"/>
      <c r="AM119" s="921"/>
    </row>
    <row r="120" spans="1:39" s="922" customFormat="1" hidden="1">
      <c r="A120" s="920"/>
      <c r="B120" s="921"/>
      <c r="C120" s="925" t="s">
        <v>428</v>
      </c>
      <c r="D120" s="921"/>
      <c r="E120" s="926" t="s">
        <v>672</v>
      </c>
      <c r="F120" s="921"/>
      <c r="G120" s="921"/>
      <c r="H120" s="921"/>
      <c r="I120" s="921"/>
      <c r="J120" s="921"/>
      <c r="K120" s="921"/>
      <c r="L120" s="921"/>
      <c r="M120" s="921"/>
      <c r="N120" s="921"/>
      <c r="O120" s="921"/>
      <c r="P120" s="921"/>
      <c r="Q120" s="921"/>
      <c r="R120" s="921"/>
      <c r="U120" s="921"/>
      <c r="V120" s="921"/>
      <c r="W120" s="921"/>
      <c r="X120" s="921"/>
      <c r="Y120" s="921"/>
      <c r="Z120" s="921"/>
      <c r="AA120" s="921"/>
      <c r="AB120" s="921"/>
      <c r="AC120" s="921"/>
      <c r="AD120" s="921"/>
      <c r="AE120" s="921"/>
      <c r="AF120" s="921"/>
      <c r="AG120" s="921"/>
      <c r="AH120" s="921"/>
      <c r="AI120" s="921"/>
      <c r="AJ120" s="921"/>
      <c r="AK120" s="921"/>
      <c r="AL120" s="921"/>
      <c r="AM120" s="921"/>
    </row>
    <row r="121" spans="1:39" s="922" customFormat="1" hidden="1">
      <c r="A121" s="920"/>
      <c r="B121" s="921"/>
      <c r="C121" s="925" t="s">
        <v>676</v>
      </c>
      <c r="D121" s="921"/>
      <c r="E121" s="926" t="s">
        <v>677</v>
      </c>
      <c r="F121" s="921"/>
      <c r="G121" s="921"/>
      <c r="H121" s="921"/>
      <c r="I121" s="921"/>
      <c r="J121" s="921"/>
      <c r="K121" s="921"/>
      <c r="L121" s="921"/>
      <c r="M121" s="921"/>
      <c r="N121" s="921"/>
      <c r="O121" s="921"/>
      <c r="P121" s="921"/>
      <c r="Q121" s="921"/>
      <c r="R121" s="921"/>
      <c r="U121" s="921"/>
      <c r="V121" s="921"/>
      <c r="W121" s="921"/>
      <c r="X121" s="921"/>
      <c r="Y121" s="921"/>
      <c r="Z121" s="921"/>
      <c r="AA121" s="921"/>
      <c r="AB121" s="921"/>
      <c r="AC121" s="921"/>
      <c r="AD121" s="921"/>
      <c r="AE121" s="921"/>
      <c r="AF121" s="921"/>
      <c r="AG121" s="921"/>
      <c r="AH121" s="921"/>
      <c r="AI121" s="921"/>
      <c r="AJ121" s="921"/>
      <c r="AK121" s="921"/>
      <c r="AL121" s="921"/>
      <c r="AM121" s="921"/>
    </row>
    <row r="122" spans="1:39" s="922" customFormat="1" hidden="1">
      <c r="A122" s="920"/>
      <c r="B122" s="921"/>
      <c r="C122" s="925" t="s">
        <v>427</v>
      </c>
      <c r="D122" s="921"/>
      <c r="E122" s="926" t="s">
        <v>673</v>
      </c>
      <c r="F122" s="921"/>
      <c r="G122" s="921"/>
      <c r="H122" s="921"/>
      <c r="I122" s="921"/>
      <c r="J122" s="921"/>
      <c r="K122" s="921"/>
      <c r="L122" s="921"/>
      <c r="M122" s="921"/>
      <c r="N122" s="921"/>
      <c r="O122" s="921"/>
      <c r="P122" s="921"/>
      <c r="Q122" s="921"/>
      <c r="R122" s="921"/>
      <c r="U122" s="921"/>
      <c r="V122" s="921"/>
      <c r="W122" s="921"/>
      <c r="X122" s="921"/>
      <c r="Y122" s="921"/>
      <c r="Z122" s="921"/>
      <c r="AA122" s="921"/>
      <c r="AB122" s="921"/>
      <c r="AC122" s="921"/>
      <c r="AD122" s="921"/>
      <c r="AE122" s="921"/>
      <c r="AF122" s="921"/>
      <c r="AG122" s="921"/>
      <c r="AH122" s="921"/>
      <c r="AI122" s="921"/>
      <c r="AJ122" s="921"/>
      <c r="AK122" s="921"/>
      <c r="AL122" s="921"/>
      <c r="AM122" s="921"/>
    </row>
    <row r="123" spans="1:39" s="922" customFormat="1" hidden="1">
      <c r="A123" s="920"/>
      <c r="B123" s="921"/>
      <c r="C123" s="925" t="s">
        <v>674</v>
      </c>
      <c r="D123" s="921"/>
      <c r="E123" s="926" t="s">
        <v>675</v>
      </c>
      <c r="F123" s="921"/>
      <c r="G123" s="921"/>
      <c r="H123" s="921"/>
      <c r="I123" s="921"/>
      <c r="J123" s="921"/>
      <c r="K123" s="921"/>
      <c r="L123" s="921"/>
      <c r="M123" s="921"/>
      <c r="N123" s="921"/>
      <c r="O123" s="921"/>
      <c r="P123" s="921"/>
      <c r="Q123" s="921"/>
      <c r="R123" s="921"/>
      <c r="U123" s="921"/>
      <c r="V123" s="921"/>
      <c r="W123" s="921"/>
      <c r="X123" s="921"/>
      <c r="Y123" s="921"/>
      <c r="Z123" s="921"/>
      <c r="AA123" s="921"/>
      <c r="AB123" s="921"/>
      <c r="AC123" s="921"/>
      <c r="AD123" s="921"/>
      <c r="AE123" s="921"/>
      <c r="AF123" s="921"/>
      <c r="AG123" s="921"/>
      <c r="AH123" s="921"/>
      <c r="AI123" s="921"/>
      <c r="AJ123" s="921"/>
      <c r="AK123" s="921"/>
      <c r="AL123" s="921"/>
      <c r="AM123" s="921"/>
    </row>
    <row r="124" spans="1:39" s="922" customFormat="1" hidden="1">
      <c r="A124" s="920"/>
      <c r="B124" s="921"/>
      <c r="C124" s="925" t="s">
        <v>678</v>
      </c>
      <c r="D124" s="921"/>
      <c r="E124" s="926" t="s">
        <v>679</v>
      </c>
      <c r="F124" s="921"/>
      <c r="G124" s="921"/>
      <c r="H124" s="921"/>
      <c r="I124" s="921"/>
      <c r="J124" s="921"/>
      <c r="K124" s="921"/>
      <c r="L124" s="921"/>
      <c r="M124" s="921"/>
      <c r="N124" s="921"/>
      <c r="O124" s="921"/>
      <c r="P124" s="921"/>
      <c r="Q124" s="921"/>
      <c r="R124" s="921"/>
      <c r="U124" s="921"/>
      <c r="V124" s="921"/>
      <c r="W124" s="921"/>
      <c r="X124" s="921"/>
      <c r="Y124" s="921"/>
      <c r="Z124" s="921"/>
      <c r="AA124" s="921"/>
      <c r="AB124" s="921"/>
      <c r="AC124" s="921"/>
      <c r="AD124" s="921"/>
      <c r="AE124" s="921"/>
      <c r="AF124" s="921"/>
      <c r="AG124" s="921"/>
      <c r="AH124" s="921"/>
      <c r="AI124" s="921"/>
      <c r="AJ124" s="921"/>
      <c r="AK124" s="921"/>
      <c r="AL124" s="921"/>
      <c r="AM124" s="921"/>
    </row>
    <row r="125" spans="1:39" s="922" customFormat="1" hidden="1">
      <c r="A125" s="920"/>
      <c r="B125" s="921"/>
      <c r="C125" s="925" t="s">
        <v>680</v>
      </c>
      <c r="D125" s="921"/>
      <c r="E125" s="926" t="s">
        <v>681</v>
      </c>
      <c r="F125" s="921"/>
      <c r="G125" s="921"/>
      <c r="H125" s="921"/>
      <c r="I125" s="921"/>
      <c r="J125" s="921"/>
      <c r="K125" s="921"/>
      <c r="L125" s="921"/>
      <c r="M125" s="921"/>
      <c r="N125" s="921"/>
      <c r="O125" s="921"/>
      <c r="P125" s="921"/>
      <c r="Q125" s="921"/>
      <c r="R125" s="921"/>
      <c r="U125" s="921"/>
      <c r="V125" s="921"/>
      <c r="W125" s="921"/>
      <c r="X125" s="921"/>
      <c r="Y125" s="921"/>
      <c r="Z125" s="921"/>
      <c r="AA125" s="921"/>
      <c r="AB125" s="921"/>
      <c r="AC125" s="921"/>
      <c r="AD125" s="921"/>
      <c r="AE125" s="921"/>
      <c r="AF125" s="921"/>
      <c r="AG125" s="921"/>
      <c r="AH125" s="921"/>
      <c r="AI125" s="921"/>
      <c r="AJ125" s="921"/>
      <c r="AK125" s="921"/>
      <c r="AL125" s="921"/>
      <c r="AM125" s="921"/>
    </row>
    <row r="126" spans="1:39" s="922" customFormat="1" hidden="1">
      <c r="A126" s="920"/>
      <c r="B126" s="921"/>
      <c r="C126" s="925" t="s">
        <v>682</v>
      </c>
      <c r="D126" s="921"/>
      <c r="E126" s="927" t="s">
        <v>689</v>
      </c>
      <c r="F126" s="921"/>
      <c r="G126" s="921"/>
      <c r="H126" s="921"/>
      <c r="I126" s="921"/>
      <c r="J126" s="921"/>
      <c r="K126" s="921"/>
      <c r="L126" s="921"/>
      <c r="M126" s="921"/>
      <c r="N126" s="921"/>
      <c r="O126" s="921"/>
      <c r="P126" s="921"/>
      <c r="Q126" s="921"/>
      <c r="R126" s="921"/>
      <c r="U126" s="921"/>
      <c r="V126" s="921"/>
      <c r="W126" s="921"/>
      <c r="X126" s="921"/>
      <c r="Y126" s="921"/>
      <c r="Z126" s="921"/>
      <c r="AA126" s="921"/>
      <c r="AB126" s="921"/>
      <c r="AC126" s="921"/>
      <c r="AD126" s="921"/>
      <c r="AE126" s="921"/>
      <c r="AF126" s="921"/>
      <c r="AG126" s="921"/>
      <c r="AH126" s="921"/>
      <c r="AI126" s="921"/>
      <c r="AJ126" s="921"/>
      <c r="AK126" s="921"/>
      <c r="AL126" s="921"/>
      <c r="AM126" s="921"/>
    </row>
    <row r="127" spans="1:39" s="922" customFormat="1" hidden="1">
      <c r="A127" s="920"/>
      <c r="B127" s="921"/>
      <c r="C127" s="925" t="s">
        <v>299</v>
      </c>
      <c r="D127" s="921"/>
      <c r="E127" s="926" t="s">
        <v>685</v>
      </c>
      <c r="F127" s="921"/>
      <c r="G127" s="921"/>
      <c r="H127" s="921"/>
      <c r="I127" s="921"/>
      <c r="J127" s="921"/>
      <c r="K127" s="921"/>
      <c r="L127" s="921"/>
      <c r="M127" s="921"/>
      <c r="N127" s="921"/>
      <c r="O127" s="921"/>
      <c r="P127" s="921"/>
      <c r="Q127" s="921"/>
      <c r="R127" s="921"/>
      <c r="U127" s="921"/>
      <c r="V127" s="921"/>
      <c r="W127" s="921"/>
      <c r="X127" s="921"/>
      <c r="Y127" s="921"/>
      <c r="Z127" s="921"/>
      <c r="AA127" s="921"/>
      <c r="AB127" s="921"/>
      <c r="AC127" s="921"/>
      <c r="AD127" s="921"/>
      <c r="AE127" s="921"/>
      <c r="AF127" s="921"/>
      <c r="AG127" s="921"/>
      <c r="AH127" s="921"/>
      <c r="AI127" s="921"/>
      <c r="AJ127" s="921"/>
      <c r="AK127" s="921"/>
      <c r="AL127" s="921"/>
      <c r="AM127" s="921"/>
    </row>
    <row r="128" spans="1:39" s="922" customFormat="1" hidden="1">
      <c r="A128" s="920"/>
      <c r="B128" s="921"/>
      <c r="C128" s="925" t="s">
        <v>684</v>
      </c>
      <c r="D128" s="921"/>
      <c r="E128" s="926" t="s">
        <v>686</v>
      </c>
      <c r="F128" s="921"/>
      <c r="G128" s="921"/>
      <c r="H128" s="921"/>
      <c r="I128" s="921"/>
      <c r="J128" s="921"/>
      <c r="K128" s="921"/>
      <c r="L128" s="921"/>
      <c r="M128" s="921"/>
      <c r="N128" s="921"/>
      <c r="O128" s="921"/>
      <c r="P128" s="921"/>
      <c r="Q128" s="921"/>
      <c r="R128" s="921"/>
      <c r="U128" s="921"/>
      <c r="V128" s="921"/>
      <c r="W128" s="921"/>
      <c r="X128" s="921"/>
      <c r="Y128" s="921"/>
      <c r="Z128" s="921"/>
      <c r="AA128" s="921"/>
      <c r="AB128" s="921"/>
      <c r="AC128" s="921"/>
      <c r="AD128" s="921"/>
      <c r="AE128" s="921"/>
      <c r="AF128" s="921"/>
      <c r="AG128" s="921"/>
      <c r="AH128" s="921"/>
      <c r="AI128" s="921"/>
      <c r="AJ128" s="921"/>
      <c r="AK128" s="921"/>
      <c r="AL128" s="921"/>
      <c r="AM128" s="921"/>
    </row>
    <row r="129" spans="1:39" s="922" customFormat="1" hidden="1">
      <c r="A129" s="920"/>
      <c r="B129" s="921"/>
      <c r="C129" s="925" t="s">
        <v>687</v>
      </c>
      <c r="D129" s="921"/>
      <c r="E129" s="926" t="s">
        <v>688</v>
      </c>
      <c r="F129" s="921"/>
      <c r="G129" s="921"/>
      <c r="H129" s="921"/>
      <c r="I129" s="921"/>
      <c r="J129" s="921"/>
      <c r="K129" s="921"/>
      <c r="L129" s="921"/>
      <c r="M129" s="921"/>
      <c r="N129" s="921"/>
      <c r="O129" s="921"/>
      <c r="P129" s="921"/>
      <c r="Q129" s="921"/>
      <c r="R129" s="921"/>
      <c r="U129" s="921"/>
      <c r="V129" s="921"/>
      <c r="W129" s="921"/>
      <c r="X129" s="921"/>
      <c r="Y129" s="921"/>
      <c r="Z129" s="921"/>
      <c r="AA129" s="921"/>
      <c r="AB129" s="921"/>
      <c r="AC129" s="921"/>
      <c r="AD129" s="921"/>
      <c r="AE129" s="921"/>
      <c r="AF129" s="921"/>
      <c r="AG129" s="921"/>
      <c r="AH129" s="921"/>
      <c r="AI129" s="921"/>
      <c r="AJ129" s="921"/>
      <c r="AK129" s="921"/>
      <c r="AL129" s="921"/>
      <c r="AM129" s="921"/>
    </row>
    <row r="130" spans="1:39" s="922" customFormat="1" hidden="1">
      <c r="A130" s="920"/>
      <c r="B130" s="921"/>
      <c r="C130" s="921"/>
      <c r="D130" s="921"/>
      <c r="E130" s="921"/>
      <c r="F130" s="921"/>
      <c r="G130" s="921"/>
      <c r="H130" s="921"/>
      <c r="I130" s="921"/>
      <c r="J130" s="921"/>
      <c r="K130" s="921"/>
      <c r="L130" s="921"/>
      <c r="M130" s="921"/>
      <c r="N130" s="921"/>
      <c r="O130" s="921"/>
      <c r="P130" s="921"/>
      <c r="Q130" s="921"/>
      <c r="R130" s="921"/>
      <c r="U130" s="921"/>
      <c r="V130" s="921"/>
      <c r="W130" s="921"/>
      <c r="X130" s="921"/>
      <c r="Y130" s="921"/>
      <c r="Z130" s="921"/>
      <c r="AA130" s="921"/>
      <c r="AB130" s="921"/>
      <c r="AC130" s="921"/>
      <c r="AD130" s="921"/>
      <c r="AE130" s="921"/>
      <c r="AF130" s="921"/>
      <c r="AG130" s="921"/>
      <c r="AH130" s="921"/>
      <c r="AI130" s="921"/>
      <c r="AJ130" s="921"/>
      <c r="AK130" s="921"/>
      <c r="AL130" s="921"/>
      <c r="AM130" s="921"/>
    </row>
    <row r="131" spans="1:39" s="922" customFormat="1" hidden="1">
      <c r="A131" s="920"/>
      <c r="B131" s="921"/>
      <c r="C131" s="921"/>
      <c r="D131" s="921"/>
      <c r="E131" s="921"/>
      <c r="F131" s="921"/>
      <c r="G131" s="921"/>
      <c r="H131" s="921"/>
      <c r="I131" s="921"/>
      <c r="J131" s="921"/>
      <c r="K131" s="921"/>
      <c r="L131" s="921"/>
      <c r="M131" s="921"/>
      <c r="N131" s="921"/>
      <c r="O131" s="921"/>
      <c r="P131" s="921"/>
      <c r="Q131" s="921"/>
      <c r="R131" s="921"/>
      <c r="U131" s="921"/>
      <c r="V131" s="921"/>
      <c r="W131" s="921"/>
      <c r="X131" s="921"/>
      <c r="Y131" s="921"/>
      <c r="Z131" s="921"/>
      <c r="AA131" s="921"/>
      <c r="AB131" s="921"/>
      <c r="AC131" s="921"/>
      <c r="AD131" s="921"/>
      <c r="AE131" s="921"/>
      <c r="AF131" s="921"/>
      <c r="AG131" s="921"/>
      <c r="AH131" s="921"/>
      <c r="AI131" s="921"/>
      <c r="AJ131" s="921"/>
      <c r="AK131" s="921"/>
      <c r="AL131" s="921"/>
      <c r="AM131" s="921"/>
    </row>
    <row r="132" spans="1:39" s="922" customFormat="1" hidden="1">
      <c r="A132" s="920"/>
      <c r="B132" s="921"/>
      <c r="C132" s="921"/>
      <c r="D132" s="921"/>
      <c r="E132" s="921"/>
      <c r="F132" s="921"/>
      <c r="G132" s="921"/>
      <c r="H132" s="921"/>
      <c r="I132" s="921"/>
      <c r="J132" s="921"/>
      <c r="K132" s="921"/>
      <c r="L132" s="921"/>
      <c r="M132" s="921"/>
      <c r="N132" s="921"/>
      <c r="O132" s="921"/>
      <c r="P132" s="921"/>
      <c r="Q132" s="921"/>
      <c r="R132" s="921"/>
      <c r="U132" s="921"/>
      <c r="V132" s="921"/>
      <c r="W132" s="921"/>
      <c r="X132" s="921"/>
      <c r="Y132" s="921"/>
      <c r="Z132" s="921"/>
      <c r="AA132" s="921"/>
      <c r="AB132" s="921"/>
      <c r="AC132" s="921"/>
      <c r="AD132" s="921"/>
      <c r="AE132" s="921"/>
      <c r="AF132" s="921"/>
      <c r="AG132" s="921"/>
      <c r="AH132" s="921"/>
      <c r="AI132" s="921"/>
      <c r="AJ132" s="921"/>
      <c r="AK132" s="921"/>
      <c r="AL132" s="921"/>
      <c r="AM132" s="921"/>
    </row>
    <row r="133" spans="1:39" s="922" customFormat="1" hidden="1">
      <c r="A133" s="920"/>
      <c r="B133" s="921"/>
      <c r="C133" s="921"/>
      <c r="D133" s="921"/>
      <c r="E133" s="921"/>
      <c r="F133" s="921"/>
      <c r="G133" s="921"/>
      <c r="H133" s="921"/>
      <c r="I133" s="921"/>
      <c r="J133" s="921"/>
      <c r="K133" s="921"/>
      <c r="L133" s="921"/>
      <c r="M133" s="921"/>
      <c r="N133" s="921"/>
      <c r="O133" s="921"/>
      <c r="P133" s="921"/>
      <c r="Q133" s="921"/>
      <c r="R133" s="921"/>
      <c r="U133" s="921"/>
      <c r="V133" s="921"/>
      <c r="W133" s="921"/>
      <c r="X133" s="921"/>
      <c r="Y133" s="921"/>
      <c r="Z133" s="921"/>
      <c r="AA133" s="921"/>
      <c r="AB133" s="921"/>
      <c r="AC133" s="921"/>
      <c r="AD133" s="921"/>
      <c r="AE133" s="921"/>
      <c r="AF133" s="921"/>
      <c r="AG133" s="921"/>
      <c r="AH133" s="921"/>
      <c r="AI133" s="921"/>
      <c r="AJ133" s="921"/>
      <c r="AK133" s="921"/>
      <c r="AL133" s="921"/>
      <c r="AM133" s="921"/>
    </row>
    <row r="134" spans="1:39" s="922" customFormat="1" hidden="1">
      <c r="A134" s="920"/>
      <c r="B134" s="921"/>
      <c r="C134" s="921"/>
      <c r="D134" s="921"/>
      <c r="E134" s="921"/>
      <c r="F134" s="921"/>
      <c r="G134" s="921"/>
      <c r="H134" s="921"/>
      <c r="I134" s="921"/>
      <c r="J134" s="921"/>
      <c r="K134" s="921"/>
      <c r="L134" s="921"/>
      <c r="M134" s="921"/>
      <c r="N134" s="921"/>
      <c r="O134" s="921"/>
      <c r="P134" s="921"/>
      <c r="Q134" s="921"/>
      <c r="R134" s="921"/>
      <c r="U134" s="921"/>
      <c r="V134" s="921"/>
      <c r="W134" s="921"/>
      <c r="X134" s="921"/>
      <c r="Y134" s="921"/>
      <c r="Z134" s="921"/>
      <c r="AA134" s="921"/>
      <c r="AB134" s="921"/>
      <c r="AC134" s="921"/>
      <c r="AD134" s="921"/>
      <c r="AE134" s="921"/>
      <c r="AF134" s="921"/>
      <c r="AG134" s="921"/>
      <c r="AH134" s="921"/>
      <c r="AI134" s="921"/>
      <c r="AJ134" s="921"/>
      <c r="AK134" s="921"/>
      <c r="AL134" s="921"/>
      <c r="AM134" s="921"/>
    </row>
    <row r="135" spans="1:39" s="922" customFormat="1" hidden="1">
      <c r="A135" s="920"/>
      <c r="B135" s="921"/>
      <c r="C135" s="921"/>
      <c r="D135" s="921"/>
      <c r="E135" s="921"/>
      <c r="F135" s="921"/>
      <c r="G135" s="921"/>
      <c r="H135" s="921"/>
      <c r="I135" s="921"/>
      <c r="J135" s="921"/>
      <c r="K135" s="921"/>
      <c r="L135" s="921"/>
      <c r="M135" s="921"/>
      <c r="N135" s="921"/>
      <c r="O135" s="921"/>
      <c r="P135" s="921"/>
      <c r="Q135" s="921"/>
      <c r="R135" s="921"/>
      <c r="U135" s="921"/>
      <c r="V135" s="921"/>
      <c r="W135" s="921"/>
      <c r="X135" s="921"/>
      <c r="Y135" s="921"/>
      <c r="Z135" s="921"/>
      <c r="AA135" s="921"/>
      <c r="AB135" s="921"/>
      <c r="AC135" s="921"/>
      <c r="AD135" s="921"/>
      <c r="AE135" s="921"/>
      <c r="AF135" s="921"/>
      <c r="AG135" s="921"/>
      <c r="AH135" s="921"/>
      <c r="AI135" s="921"/>
      <c r="AJ135" s="921"/>
      <c r="AK135" s="921"/>
      <c r="AL135" s="921"/>
      <c r="AM135" s="921"/>
    </row>
    <row r="136" spans="1:39" s="922" customFormat="1" hidden="1">
      <c r="A136" s="920"/>
      <c r="B136" s="921"/>
      <c r="C136" s="921"/>
      <c r="D136" s="921"/>
      <c r="E136" s="921"/>
      <c r="F136" s="921"/>
      <c r="G136" s="921"/>
      <c r="H136" s="921"/>
      <c r="I136" s="921"/>
      <c r="J136" s="921"/>
      <c r="K136" s="921"/>
      <c r="L136" s="921"/>
      <c r="M136" s="921"/>
      <c r="N136" s="921"/>
      <c r="O136" s="921"/>
      <c r="P136" s="921"/>
      <c r="Q136" s="921"/>
      <c r="R136" s="921"/>
      <c r="U136" s="921"/>
      <c r="V136" s="921"/>
      <c r="W136" s="921"/>
      <c r="X136" s="921"/>
      <c r="Y136" s="921"/>
      <c r="Z136" s="921"/>
      <c r="AA136" s="921"/>
      <c r="AB136" s="921"/>
      <c r="AC136" s="921"/>
      <c r="AD136" s="921"/>
      <c r="AE136" s="921"/>
      <c r="AF136" s="921"/>
      <c r="AG136" s="921"/>
      <c r="AH136" s="921"/>
      <c r="AI136" s="921"/>
      <c r="AJ136" s="921"/>
      <c r="AK136" s="921"/>
      <c r="AL136" s="921"/>
      <c r="AM136" s="921"/>
    </row>
    <row r="137" spans="1:39" s="922" customFormat="1" hidden="1">
      <c r="A137" s="920"/>
      <c r="B137" s="921"/>
      <c r="C137" s="921"/>
      <c r="D137" s="921"/>
      <c r="E137" s="921"/>
      <c r="F137" s="921"/>
      <c r="G137" s="921"/>
      <c r="H137" s="921"/>
      <c r="I137" s="921"/>
      <c r="J137" s="921"/>
      <c r="K137" s="921"/>
      <c r="L137" s="921"/>
      <c r="M137" s="921"/>
      <c r="N137" s="921"/>
      <c r="O137" s="921"/>
      <c r="P137" s="921"/>
      <c r="Q137" s="921"/>
      <c r="R137" s="921"/>
      <c r="U137" s="921"/>
      <c r="V137" s="921"/>
      <c r="W137" s="921"/>
      <c r="X137" s="921"/>
      <c r="Y137" s="921"/>
      <c r="Z137" s="921"/>
      <c r="AA137" s="921"/>
      <c r="AB137" s="921"/>
      <c r="AC137" s="921"/>
      <c r="AD137" s="921"/>
      <c r="AE137" s="921"/>
      <c r="AF137" s="921"/>
      <c r="AG137" s="921"/>
      <c r="AH137" s="921"/>
      <c r="AI137" s="921"/>
      <c r="AJ137" s="921"/>
      <c r="AK137" s="921"/>
      <c r="AL137" s="921"/>
      <c r="AM137" s="921"/>
    </row>
    <row r="138" spans="1:39" s="922" customFormat="1" hidden="1">
      <c r="A138" s="920"/>
      <c r="B138" s="921"/>
      <c r="C138" s="921"/>
      <c r="D138" s="921"/>
      <c r="E138" s="921"/>
      <c r="F138" s="921"/>
      <c r="G138" s="921"/>
      <c r="H138" s="921"/>
      <c r="I138" s="921"/>
      <c r="J138" s="921"/>
      <c r="K138" s="921"/>
      <c r="L138" s="921"/>
      <c r="M138" s="921"/>
      <c r="N138" s="921"/>
      <c r="O138" s="921"/>
      <c r="P138" s="921"/>
      <c r="Q138" s="921"/>
      <c r="R138" s="921"/>
      <c r="U138" s="921"/>
      <c r="V138" s="921"/>
      <c r="W138" s="921"/>
      <c r="X138" s="921"/>
      <c r="Y138" s="921"/>
      <c r="Z138" s="921"/>
      <c r="AA138" s="921"/>
      <c r="AB138" s="921"/>
      <c r="AC138" s="921"/>
      <c r="AD138" s="921"/>
      <c r="AE138" s="921"/>
      <c r="AF138" s="921"/>
      <c r="AG138" s="921"/>
      <c r="AH138" s="921"/>
      <c r="AI138" s="921"/>
      <c r="AJ138" s="921"/>
      <c r="AK138" s="921"/>
      <c r="AL138" s="921"/>
      <c r="AM138" s="921"/>
    </row>
    <row r="139" spans="1:39" s="922" customFormat="1" hidden="1">
      <c r="A139" s="920"/>
      <c r="B139" s="921"/>
      <c r="C139" s="921"/>
      <c r="D139" s="921"/>
      <c r="E139" s="921"/>
      <c r="F139" s="921"/>
      <c r="G139" s="921"/>
      <c r="H139" s="921"/>
      <c r="I139" s="921"/>
      <c r="J139" s="921"/>
      <c r="K139" s="921"/>
      <c r="L139" s="921"/>
      <c r="M139" s="921"/>
      <c r="N139" s="921"/>
      <c r="O139" s="921"/>
      <c r="P139" s="921"/>
      <c r="Q139" s="921"/>
      <c r="R139" s="921"/>
      <c r="U139" s="921"/>
      <c r="V139" s="921"/>
      <c r="W139" s="921"/>
      <c r="X139" s="921"/>
      <c r="Y139" s="921"/>
      <c r="Z139" s="921"/>
      <c r="AA139" s="921"/>
      <c r="AB139" s="921"/>
      <c r="AC139" s="921"/>
      <c r="AD139" s="921"/>
      <c r="AE139" s="921"/>
      <c r="AF139" s="921"/>
      <c r="AG139" s="921"/>
      <c r="AH139" s="921"/>
      <c r="AI139" s="921"/>
      <c r="AJ139" s="921"/>
      <c r="AK139" s="921"/>
      <c r="AL139" s="921"/>
      <c r="AM139" s="921"/>
    </row>
    <row r="140" spans="1:39" s="922" customFormat="1" hidden="1">
      <c r="A140" s="920"/>
      <c r="B140" s="921"/>
      <c r="C140" s="921"/>
      <c r="D140" s="921"/>
      <c r="E140" s="921"/>
      <c r="F140" s="921"/>
      <c r="G140" s="921"/>
      <c r="H140" s="921"/>
      <c r="I140" s="921"/>
      <c r="J140" s="921"/>
      <c r="K140" s="921"/>
      <c r="L140" s="921"/>
      <c r="M140" s="921"/>
      <c r="N140" s="921"/>
      <c r="O140" s="921"/>
      <c r="P140" s="921"/>
      <c r="Q140" s="921"/>
      <c r="R140" s="921"/>
      <c r="U140" s="921"/>
      <c r="V140" s="921"/>
      <c r="W140" s="921"/>
      <c r="X140" s="921"/>
      <c r="Y140" s="921"/>
      <c r="Z140" s="921"/>
      <c r="AA140" s="921"/>
      <c r="AB140" s="921"/>
      <c r="AC140" s="921"/>
      <c r="AD140" s="921"/>
      <c r="AE140" s="921"/>
      <c r="AF140" s="921"/>
      <c r="AG140" s="921"/>
      <c r="AH140" s="921"/>
      <c r="AI140" s="921"/>
      <c r="AJ140" s="921"/>
      <c r="AK140" s="921"/>
      <c r="AL140" s="921"/>
      <c r="AM140" s="921"/>
    </row>
    <row r="141" spans="1:39" s="922" customFormat="1" hidden="1">
      <c r="A141" s="920"/>
      <c r="B141" s="921"/>
      <c r="C141" s="921"/>
      <c r="D141" s="921"/>
      <c r="E141" s="921"/>
      <c r="F141" s="921"/>
      <c r="G141" s="921"/>
      <c r="H141" s="921"/>
      <c r="I141" s="921"/>
      <c r="J141" s="921"/>
      <c r="K141" s="921"/>
      <c r="L141" s="921"/>
      <c r="M141" s="921"/>
      <c r="N141" s="921"/>
      <c r="O141" s="921"/>
      <c r="P141" s="921"/>
      <c r="Q141" s="921"/>
      <c r="R141" s="921"/>
      <c r="U141" s="921"/>
      <c r="V141" s="921"/>
      <c r="W141" s="921"/>
      <c r="X141" s="921"/>
      <c r="Y141" s="921"/>
      <c r="Z141" s="921"/>
      <c r="AA141" s="921"/>
      <c r="AB141" s="921"/>
      <c r="AC141" s="921"/>
      <c r="AD141" s="921"/>
      <c r="AE141" s="921"/>
      <c r="AF141" s="921"/>
      <c r="AG141" s="921"/>
      <c r="AH141" s="921"/>
      <c r="AI141" s="921"/>
      <c r="AJ141" s="921"/>
      <c r="AK141" s="921"/>
      <c r="AL141" s="921"/>
      <c r="AM141" s="921"/>
    </row>
    <row r="142" spans="1:39" s="922" customFormat="1" hidden="1">
      <c r="A142" s="920"/>
      <c r="B142" s="921"/>
      <c r="C142" s="921"/>
      <c r="D142" s="921"/>
      <c r="E142" s="921"/>
      <c r="F142" s="921"/>
      <c r="G142" s="921"/>
      <c r="H142" s="921"/>
      <c r="I142" s="921"/>
      <c r="J142" s="921"/>
      <c r="K142" s="921"/>
      <c r="L142" s="921"/>
      <c r="M142" s="921"/>
      <c r="N142" s="921"/>
      <c r="O142" s="921"/>
      <c r="P142" s="921"/>
      <c r="Q142" s="921"/>
      <c r="R142" s="921"/>
      <c r="U142" s="921"/>
      <c r="V142" s="921"/>
      <c r="W142" s="921"/>
      <c r="X142" s="921"/>
      <c r="Y142" s="921"/>
      <c r="Z142" s="921"/>
      <c r="AA142" s="921"/>
      <c r="AB142" s="921"/>
      <c r="AC142" s="921"/>
      <c r="AD142" s="921"/>
      <c r="AE142" s="921"/>
      <c r="AF142" s="921"/>
      <c r="AG142" s="921"/>
      <c r="AH142" s="921"/>
      <c r="AI142" s="921"/>
      <c r="AJ142" s="921"/>
      <c r="AK142" s="921"/>
      <c r="AL142" s="921"/>
      <c r="AM142" s="921"/>
    </row>
    <row r="143" spans="1:39" s="922" customFormat="1" hidden="1">
      <c r="A143" s="920"/>
      <c r="B143" s="921"/>
      <c r="C143" s="921"/>
      <c r="D143" s="921"/>
      <c r="E143" s="921"/>
      <c r="F143" s="921"/>
      <c r="G143" s="921"/>
      <c r="H143" s="921"/>
      <c r="I143" s="921"/>
      <c r="J143" s="921"/>
      <c r="K143" s="921"/>
      <c r="L143" s="921"/>
      <c r="M143" s="921"/>
      <c r="N143" s="921"/>
      <c r="O143" s="921"/>
      <c r="P143" s="921"/>
      <c r="Q143" s="921"/>
      <c r="R143" s="921"/>
      <c r="U143" s="921"/>
      <c r="V143" s="921"/>
      <c r="W143" s="921"/>
      <c r="X143" s="921"/>
      <c r="Y143" s="921"/>
      <c r="Z143" s="921"/>
      <c r="AA143" s="921"/>
      <c r="AB143" s="921"/>
      <c r="AC143" s="921"/>
      <c r="AD143" s="921"/>
      <c r="AE143" s="921"/>
      <c r="AF143" s="921"/>
      <c r="AG143" s="921"/>
      <c r="AH143" s="921"/>
      <c r="AI143" s="921"/>
      <c r="AJ143" s="921"/>
      <c r="AK143" s="921"/>
      <c r="AL143" s="921"/>
      <c r="AM143" s="921"/>
    </row>
    <row r="144" spans="1:39" s="922" customFormat="1" hidden="1">
      <c r="A144" s="920"/>
      <c r="B144" s="921"/>
      <c r="C144" s="921"/>
      <c r="D144" s="921"/>
      <c r="E144" s="921"/>
      <c r="F144" s="921"/>
      <c r="G144" s="921"/>
      <c r="H144" s="921"/>
      <c r="I144" s="921"/>
      <c r="J144" s="921"/>
      <c r="K144" s="921"/>
      <c r="L144" s="921"/>
      <c r="M144" s="921"/>
      <c r="N144" s="921"/>
      <c r="O144" s="921"/>
      <c r="P144" s="921"/>
      <c r="Q144" s="921"/>
      <c r="R144" s="921"/>
      <c r="U144" s="921"/>
      <c r="V144" s="921"/>
      <c r="W144" s="921"/>
      <c r="X144" s="921"/>
      <c r="Y144" s="921"/>
      <c r="Z144" s="921"/>
      <c r="AA144" s="921"/>
      <c r="AB144" s="921"/>
      <c r="AC144" s="921"/>
      <c r="AD144" s="921"/>
      <c r="AE144" s="921"/>
      <c r="AF144" s="921"/>
      <c r="AG144" s="921"/>
      <c r="AH144" s="921"/>
      <c r="AI144" s="921"/>
      <c r="AJ144" s="921"/>
      <c r="AK144" s="921"/>
      <c r="AL144" s="921"/>
      <c r="AM144" s="921"/>
    </row>
    <row r="145" spans="1:1173" s="922" customFormat="1" hidden="1">
      <c r="A145" s="920"/>
      <c r="B145" s="921"/>
      <c r="C145" s="921"/>
      <c r="D145" s="921"/>
      <c r="E145" s="921"/>
      <c r="F145" s="921"/>
      <c r="G145" s="921"/>
      <c r="H145" s="921"/>
      <c r="I145" s="921"/>
      <c r="J145" s="921"/>
      <c r="K145" s="921"/>
      <c r="L145" s="921"/>
      <c r="M145" s="921"/>
      <c r="N145" s="921"/>
      <c r="O145" s="921"/>
      <c r="P145" s="921"/>
      <c r="Q145" s="921"/>
      <c r="R145" s="921"/>
      <c r="U145" s="921"/>
      <c r="V145" s="921"/>
      <c r="W145" s="921"/>
      <c r="X145" s="921"/>
      <c r="Y145" s="921"/>
      <c r="Z145" s="921"/>
      <c r="AA145" s="921"/>
      <c r="AB145" s="921"/>
      <c r="AC145" s="921"/>
      <c r="AD145" s="921"/>
      <c r="AE145" s="921"/>
      <c r="AF145" s="921"/>
      <c r="AG145" s="921"/>
      <c r="AH145" s="921"/>
      <c r="AI145" s="921"/>
      <c r="AJ145" s="921"/>
      <c r="AK145" s="921"/>
      <c r="AL145" s="921"/>
      <c r="AM145" s="921"/>
    </row>
    <row r="146" spans="1:1173" s="922" customFormat="1" hidden="1">
      <c r="A146" s="920"/>
      <c r="B146" s="921"/>
      <c r="C146" s="921"/>
      <c r="D146" s="921"/>
      <c r="E146" s="921"/>
      <c r="F146" s="921"/>
      <c r="G146" s="921"/>
      <c r="H146" s="921"/>
      <c r="I146" s="921"/>
      <c r="J146" s="921"/>
      <c r="K146" s="921"/>
      <c r="L146" s="921"/>
      <c r="M146" s="921"/>
      <c r="N146" s="921"/>
      <c r="O146" s="921"/>
      <c r="P146" s="921"/>
      <c r="Q146" s="921"/>
      <c r="R146" s="921"/>
      <c r="U146" s="921"/>
      <c r="V146" s="921"/>
      <c r="W146" s="921"/>
      <c r="X146" s="921"/>
      <c r="Y146" s="921"/>
      <c r="Z146" s="921"/>
      <c r="AA146" s="921"/>
      <c r="AB146" s="921"/>
      <c r="AC146" s="921"/>
      <c r="AD146" s="921"/>
      <c r="AE146" s="921"/>
      <c r="AF146" s="921"/>
      <c r="AG146" s="921"/>
      <c r="AH146" s="921"/>
      <c r="AI146" s="921"/>
      <c r="AJ146" s="921"/>
      <c r="AK146" s="921"/>
      <c r="AL146" s="921"/>
      <c r="AM146" s="921"/>
    </row>
    <row r="147" spans="1:1173" s="922" customFormat="1" hidden="1">
      <c r="A147" s="920"/>
      <c r="B147" s="921"/>
      <c r="C147" s="921"/>
      <c r="D147" s="921"/>
      <c r="E147" s="921"/>
      <c r="F147" s="921"/>
      <c r="G147" s="921"/>
      <c r="H147" s="921"/>
      <c r="I147" s="921"/>
      <c r="J147" s="921"/>
      <c r="K147" s="921"/>
      <c r="L147" s="921"/>
      <c r="M147" s="921"/>
      <c r="N147" s="921"/>
      <c r="O147" s="921"/>
      <c r="P147" s="921"/>
      <c r="Q147" s="921"/>
      <c r="R147" s="921"/>
      <c r="U147" s="921"/>
      <c r="V147" s="921"/>
      <c r="W147" s="921"/>
      <c r="X147" s="921"/>
      <c r="Y147" s="921"/>
      <c r="Z147" s="921"/>
      <c r="AA147" s="921"/>
      <c r="AB147" s="921"/>
      <c r="AC147" s="921"/>
      <c r="AD147" s="921"/>
      <c r="AE147" s="921"/>
      <c r="AF147" s="921"/>
      <c r="AG147" s="921"/>
      <c r="AH147" s="921"/>
      <c r="AI147" s="921"/>
      <c r="AJ147" s="921"/>
      <c r="AK147" s="921"/>
      <c r="AL147" s="921"/>
      <c r="AM147" s="921"/>
    </row>
    <row r="148" spans="1:1173" s="922" customFormat="1" hidden="1">
      <c r="A148" s="920"/>
      <c r="B148" s="921"/>
      <c r="C148" s="921"/>
      <c r="D148" s="921"/>
      <c r="E148" s="921"/>
      <c r="F148" s="921"/>
      <c r="G148" s="921"/>
      <c r="H148" s="921"/>
      <c r="I148" s="921"/>
      <c r="J148" s="921"/>
      <c r="K148" s="921"/>
      <c r="L148" s="921"/>
      <c r="M148" s="921"/>
      <c r="N148" s="921"/>
      <c r="O148" s="921"/>
      <c r="P148" s="921"/>
      <c r="Q148" s="921"/>
      <c r="R148" s="921"/>
      <c r="U148" s="921"/>
      <c r="V148" s="921"/>
      <c r="W148" s="921"/>
      <c r="X148" s="921"/>
      <c r="Y148" s="921"/>
      <c r="Z148" s="921"/>
      <c r="AA148" s="921"/>
      <c r="AB148" s="921"/>
      <c r="AC148" s="921"/>
      <c r="AD148" s="921"/>
      <c r="AE148" s="921"/>
      <c r="AF148" s="921"/>
      <c r="AG148" s="921"/>
      <c r="AH148" s="921"/>
      <c r="AI148" s="921"/>
      <c r="AJ148" s="921"/>
      <c r="AK148" s="921"/>
      <c r="AL148" s="921"/>
      <c r="AM148" s="921"/>
    </row>
    <row r="149" spans="1:1173" s="922" customFormat="1" hidden="1">
      <c r="A149" s="920"/>
      <c r="B149" s="921"/>
      <c r="C149" s="921"/>
      <c r="D149" s="921"/>
      <c r="E149" s="921"/>
      <c r="F149" s="921"/>
      <c r="G149" s="921"/>
      <c r="H149" s="921"/>
      <c r="I149" s="921"/>
      <c r="J149" s="921"/>
      <c r="K149" s="921"/>
      <c r="L149" s="921"/>
      <c r="M149" s="921"/>
      <c r="N149" s="921"/>
      <c r="O149" s="921"/>
      <c r="P149" s="921"/>
      <c r="Q149" s="921"/>
      <c r="R149" s="921"/>
      <c r="U149" s="921"/>
      <c r="V149" s="921"/>
      <c r="W149" s="921"/>
      <c r="X149" s="921"/>
      <c r="Y149" s="921"/>
      <c r="Z149" s="921"/>
      <c r="AA149" s="921"/>
      <c r="AB149" s="921"/>
      <c r="AC149" s="921"/>
      <c r="AD149" s="921"/>
      <c r="AE149" s="921"/>
      <c r="AF149" s="921"/>
      <c r="AG149" s="921"/>
      <c r="AH149" s="921"/>
      <c r="AI149" s="921"/>
      <c r="AJ149" s="921"/>
      <c r="AK149" s="921"/>
      <c r="AL149" s="921"/>
      <c r="AM149" s="921"/>
    </row>
    <row r="150" spans="1:1173" s="922" customFormat="1" hidden="1">
      <c r="A150" s="920"/>
      <c r="B150" s="921"/>
      <c r="C150" s="921"/>
      <c r="D150" s="921"/>
      <c r="E150" s="921"/>
      <c r="F150" s="921"/>
      <c r="G150" s="921"/>
      <c r="H150" s="921"/>
      <c r="I150" s="921"/>
      <c r="J150" s="921"/>
      <c r="K150" s="921"/>
      <c r="L150" s="921"/>
      <c r="M150" s="921"/>
      <c r="N150" s="921"/>
      <c r="O150" s="921"/>
      <c r="P150" s="921"/>
      <c r="Q150" s="921"/>
      <c r="R150" s="921"/>
      <c r="U150" s="921"/>
      <c r="V150" s="921"/>
      <c r="W150" s="921"/>
      <c r="X150" s="921"/>
      <c r="Y150" s="921"/>
      <c r="Z150" s="921"/>
      <c r="AA150" s="921"/>
      <c r="AB150" s="921"/>
      <c r="AC150" s="921"/>
      <c r="AD150" s="921"/>
      <c r="AE150" s="921"/>
      <c r="AF150" s="921"/>
      <c r="AG150" s="921"/>
      <c r="AH150" s="921"/>
      <c r="AI150" s="921"/>
      <c r="AJ150" s="921"/>
      <c r="AK150" s="921"/>
      <c r="AL150" s="921"/>
      <c r="AM150" s="921"/>
    </row>
    <row r="151" spans="1:1173" s="922" customFormat="1" hidden="1">
      <c r="A151" s="920"/>
      <c r="B151" s="921"/>
      <c r="C151" s="921"/>
      <c r="D151" s="921"/>
      <c r="E151" s="921"/>
      <c r="F151" s="921"/>
      <c r="G151" s="921"/>
      <c r="H151" s="921"/>
      <c r="I151" s="921"/>
      <c r="J151" s="921"/>
      <c r="K151" s="921"/>
      <c r="L151" s="921"/>
      <c r="M151" s="921"/>
      <c r="N151" s="921"/>
      <c r="O151" s="921"/>
      <c r="P151" s="921"/>
      <c r="Q151" s="921"/>
      <c r="R151" s="921"/>
      <c r="U151" s="921"/>
      <c r="V151" s="921"/>
      <c r="W151" s="921"/>
      <c r="X151" s="921"/>
      <c r="Y151" s="921"/>
      <c r="Z151" s="921"/>
      <c r="AA151" s="921"/>
      <c r="AB151" s="921"/>
      <c r="AC151" s="921"/>
      <c r="AD151" s="921"/>
      <c r="AE151" s="921"/>
      <c r="AF151" s="921"/>
      <c r="AG151" s="921"/>
      <c r="AH151" s="921"/>
      <c r="AI151" s="921"/>
      <c r="AJ151" s="921"/>
      <c r="AK151" s="921"/>
      <c r="AL151" s="921"/>
      <c r="AM151" s="921"/>
    </row>
    <row r="152" spans="1:1173" s="922" customFormat="1" hidden="1">
      <c r="A152" s="920"/>
      <c r="B152" s="921"/>
      <c r="C152" s="921"/>
      <c r="D152" s="921"/>
      <c r="E152" s="921"/>
      <c r="F152" s="921"/>
      <c r="G152" s="921"/>
      <c r="H152" s="921"/>
      <c r="I152" s="921"/>
      <c r="J152" s="921"/>
      <c r="K152" s="921"/>
      <c r="L152" s="921"/>
      <c r="M152" s="921"/>
      <c r="N152" s="921"/>
      <c r="O152" s="921"/>
      <c r="P152" s="921"/>
      <c r="Q152" s="921"/>
      <c r="R152" s="921"/>
      <c r="U152" s="921"/>
      <c r="V152" s="921"/>
      <c r="W152" s="921"/>
      <c r="X152" s="921"/>
      <c r="Y152" s="921"/>
      <c r="Z152" s="921"/>
      <c r="AA152" s="921"/>
      <c r="AB152" s="921"/>
      <c r="AC152" s="921"/>
      <c r="AD152" s="921"/>
      <c r="AE152" s="921"/>
      <c r="AF152" s="921"/>
      <c r="AG152" s="921"/>
      <c r="AH152" s="921"/>
      <c r="AI152" s="921"/>
      <c r="AJ152" s="921"/>
      <c r="AK152" s="921"/>
      <c r="AL152" s="921"/>
      <c r="AM152" s="921"/>
    </row>
    <row r="153" spans="1:1173" s="922" customFormat="1" hidden="1">
      <c r="A153" s="920"/>
      <c r="B153" s="921"/>
      <c r="C153" s="921"/>
      <c r="D153" s="921"/>
      <c r="E153" s="921"/>
      <c r="F153" s="921"/>
      <c r="G153" s="921"/>
      <c r="H153" s="921"/>
      <c r="I153" s="921"/>
      <c r="J153" s="921"/>
      <c r="K153" s="921"/>
      <c r="L153" s="921"/>
      <c r="M153" s="921"/>
      <c r="N153" s="921"/>
      <c r="O153" s="921"/>
      <c r="P153" s="921"/>
      <c r="Q153" s="921"/>
      <c r="R153" s="921"/>
      <c r="U153" s="921"/>
      <c r="V153" s="921"/>
      <c r="W153" s="921"/>
      <c r="X153" s="921"/>
      <c r="Y153" s="921"/>
      <c r="Z153" s="921"/>
      <c r="AA153" s="921"/>
      <c r="AB153" s="921"/>
      <c r="AC153" s="921"/>
      <c r="AD153" s="921"/>
      <c r="AE153" s="921"/>
      <c r="AF153" s="921"/>
      <c r="AG153" s="921"/>
      <c r="AH153" s="921"/>
      <c r="AI153" s="921"/>
      <c r="AJ153" s="921"/>
      <c r="AK153" s="921"/>
      <c r="AL153" s="921"/>
      <c r="AM153" s="921"/>
    </row>
    <row r="154" spans="1:1173" hidden="1">
      <c r="A154" s="920"/>
      <c r="T154" s="922"/>
      <c r="AN154" s="922"/>
      <c r="AO154" s="922"/>
      <c r="AP154" s="922"/>
      <c r="AQ154" s="922"/>
      <c r="AR154" s="922"/>
      <c r="AS154" s="922"/>
      <c r="AT154" s="922"/>
      <c r="AU154" s="922"/>
      <c r="AV154" s="922"/>
      <c r="AW154" s="922"/>
      <c r="AX154" s="922"/>
      <c r="AY154" s="922"/>
      <c r="AZ154" s="922"/>
      <c r="BA154" s="922"/>
      <c r="BB154" s="922"/>
      <c r="BC154" s="922"/>
      <c r="BD154" s="922"/>
      <c r="BE154" s="922"/>
      <c r="BF154" s="922"/>
      <c r="BG154" s="922"/>
      <c r="BH154" s="922"/>
      <c r="BI154" s="922"/>
      <c r="BJ154" s="922"/>
      <c r="BK154" s="922"/>
      <c r="BL154" s="922"/>
      <c r="BM154" s="922"/>
      <c r="BN154" s="922"/>
      <c r="BO154" s="922"/>
      <c r="BP154" s="922"/>
      <c r="BQ154" s="922"/>
      <c r="BR154" s="922"/>
      <c r="BS154" s="922"/>
      <c r="BT154" s="922"/>
      <c r="BU154" s="922"/>
      <c r="BV154" s="922"/>
      <c r="BW154" s="922"/>
      <c r="BX154" s="922"/>
      <c r="BY154" s="922"/>
      <c r="BZ154" s="922"/>
      <c r="CA154" s="922"/>
      <c r="CB154" s="922"/>
      <c r="CC154" s="922"/>
      <c r="CD154" s="922"/>
      <c r="CE154" s="922"/>
      <c r="CF154" s="922"/>
      <c r="CG154" s="922"/>
      <c r="CH154" s="922"/>
      <c r="CI154" s="922"/>
      <c r="CJ154" s="922"/>
      <c r="CK154" s="922"/>
      <c r="CL154" s="922"/>
      <c r="CM154" s="922"/>
      <c r="CN154" s="922"/>
      <c r="CO154" s="922"/>
      <c r="CP154" s="922"/>
      <c r="CQ154" s="922"/>
      <c r="CR154" s="922"/>
      <c r="CS154" s="922"/>
      <c r="CT154" s="922"/>
      <c r="CU154" s="922"/>
      <c r="CV154" s="922"/>
      <c r="CW154" s="922"/>
      <c r="CX154" s="922"/>
      <c r="CY154" s="922"/>
      <c r="CZ154" s="922"/>
      <c r="DA154" s="922"/>
      <c r="DB154" s="922"/>
      <c r="DC154" s="922"/>
      <c r="DD154" s="922"/>
      <c r="DE154" s="922"/>
      <c r="DF154" s="922"/>
      <c r="DG154" s="922"/>
      <c r="DH154" s="922"/>
      <c r="DI154" s="922"/>
      <c r="DJ154" s="922"/>
      <c r="DK154" s="922"/>
      <c r="DL154" s="922"/>
      <c r="DM154" s="922"/>
      <c r="DN154" s="922"/>
      <c r="DO154" s="922"/>
      <c r="DP154" s="922"/>
      <c r="DQ154" s="922"/>
      <c r="DR154" s="922"/>
      <c r="DS154" s="922"/>
      <c r="DT154" s="922"/>
      <c r="DU154" s="922"/>
      <c r="DV154" s="922"/>
      <c r="DW154" s="922"/>
      <c r="DX154" s="922"/>
      <c r="DY154" s="922"/>
      <c r="DZ154" s="922"/>
      <c r="EA154" s="922"/>
      <c r="EB154" s="922"/>
      <c r="EC154" s="922"/>
      <c r="ED154" s="922"/>
      <c r="EE154" s="922"/>
      <c r="EF154" s="922"/>
      <c r="EG154" s="922"/>
      <c r="EH154" s="922"/>
      <c r="EI154" s="922"/>
      <c r="EJ154" s="922"/>
      <c r="EK154" s="922"/>
      <c r="EL154" s="922"/>
      <c r="EM154" s="922"/>
      <c r="EN154" s="922"/>
      <c r="EO154" s="922"/>
      <c r="EP154" s="922"/>
      <c r="EQ154" s="922"/>
      <c r="ER154" s="922"/>
      <c r="ES154" s="922"/>
      <c r="ET154" s="922"/>
      <c r="EU154" s="922"/>
      <c r="EV154" s="922"/>
      <c r="EW154" s="922"/>
      <c r="EX154" s="922"/>
      <c r="EY154" s="922"/>
      <c r="EZ154" s="922"/>
      <c r="FA154" s="922"/>
      <c r="FB154" s="922"/>
      <c r="FC154" s="922"/>
      <c r="FD154" s="922"/>
      <c r="FE154" s="922"/>
      <c r="FF154" s="922"/>
      <c r="FG154" s="922"/>
      <c r="FH154" s="922"/>
      <c r="FI154" s="922"/>
      <c r="FJ154" s="922"/>
      <c r="FK154" s="922"/>
      <c r="FL154" s="922"/>
      <c r="FM154" s="922"/>
      <c r="FN154" s="922"/>
      <c r="FO154" s="922"/>
      <c r="FP154" s="922"/>
      <c r="FQ154" s="922"/>
      <c r="FR154" s="922"/>
      <c r="FS154" s="922"/>
      <c r="FT154" s="922"/>
      <c r="FU154" s="922"/>
      <c r="FV154" s="922"/>
      <c r="FW154" s="922"/>
      <c r="FX154" s="922"/>
      <c r="FY154" s="922"/>
      <c r="FZ154" s="922"/>
      <c r="GA154" s="922"/>
      <c r="GB154" s="922"/>
      <c r="GC154" s="922"/>
      <c r="GD154" s="922"/>
      <c r="GE154" s="922"/>
      <c r="GF154" s="922"/>
      <c r="GG154" s="922"/>
      <c r="GH154" s="922"/>
      <c r="GI154" s="922"/>
      <c r="GJ154" s="922"/>
      <c r="GK154" s="922"/>
      <c r="GL154" s="922"/>
      <c r="GM154" s="922"/>
      <c r="GN154" s="922"/>
      <c r="GO154" s="922"/>
      <c r="GP154" s="922"/>
      <c r="GQ154" s="922"/>
      <c r="GR154" s="922"/>
      <c r="GS154" s="922"/>
      <c r="GT154" s="922"/>
      <c r="GU154" s="922"/>
      <c r="GV154" s="922"/>
      <c r="GW154" s="922"/>
      <c r="GX154" s="922"/>
      <c r="GY154" s="922"/>
      <c r="GZ154" s="922"/>
      <c r="HA154" s="922"/>
      <c r="HB154" s="922"/>
      <c r="HC154" s="922"/>
      <c r="HD154" s="922"/>
      <c r="HE154" s="922"/>
      <c r="HF154" s="922"/>
      <c r="HG154" s="922"/>
      <c r="HH154" s="922"/>
      <c r="HI154" s="922"/>
      <c r="HJ154" s="922"/>
      <c r="HK154" s="922"/>
      <c r="HL154" s="922"/>
      <c r="HM154" s="922"/>
      <c r="HN154" s="922"/>
      <c r="HO154" s="922"/>
      <c r="HP154" s="922"/>
      <c r="HQ154" s="922"/>
      <c r="HR154" s="922"/>
      <c r="HS154" s="922"/>
      <c r="HT154" s="922"/>
      <c r="HU154" s="922"/>
      <c r="HV154" s="922"/>
      <c r="HW154" s="922"/>
      <c r="HX154" s="922"/>
      <c r="HY154" s="922"/>
      <c r="HZ154" s="922"/>
      <c r="IA154" s="922"/>
      <c r="IB154" s="922"/>
      <c r="IC154" s="922"/>
      <c r="ID154" s="922"/>
      <c r="IE154" s="922"/>
      <c r="IF154" s="922"/>
      <c r="IG154" s="922"/>
      <c r="IH154" s="922"/>
      <c r="II154" s="922"/>
      <c r="IJ154" s="922"/>
      <c r="IK154" s="922"/>
      <c r="IL154" s="922"/>
      <c r="IM154" s="922"/>
      <c r="IN154" s="922"/>
      <c r="IO154" s="922"/>
      <c r="IP154" s="922"/>
      <c r="IQ154" s="922"/>
      <c r="IR154" s="922"/>
      <c r="IS154" s="922"/>
      <c r="IT154" s="922"/>
      <c r="IU154" s="922"/>
      <c r="IV154" s="922"/>
      <c r="IW154" s="922"/>
      <c r="IX154" s="922"/>
      <c r="IY154" s="922"/>
      <c r="IZ154" s="922"/>
      <c r="JA154" s="922"/>
      <c r="JB154" s="922"/>
      <c r="JC154" s="922"/>
      <c r="JD154" s="922"/>
      <c r="JE154" s="922"/>
      <c r="JF154" s="922"/>
      <c r="JG154" s="922"/>
      <c r="JH154" s="922"/>
      <c r="JI154" s="922"/>
      <c r="JJ154" s="922"/>
      <c r="JK154" s="922"/>
      <c r="JL154" s="922"/>
      <c r="JM154" s="922"/>
      <c r="JN154" s="922"/>
      <c r="JO154" s="922"/>
      <c r="JP154" s="922"/>
      <c r="JQ154" s="922"/>
      <c r="JR154" s="922"/>
      <c r="JS154" s="922"/>
      <c r="JT154" s="922"/>
      <c r="JU154" s="922"/>
      <c r="JV154" s="922"/>
      <c r="JW154" s="922"/>
      <c r="JX154" s="922"/>
      <c r="JY154" s="922"/>
      <c r="JZ154" s="922"/>
      <c r="KA154" s="922"/>
      <c r="KB154" s="922"/>
      <c r="KC154" s="922"/>
      <c r="KD154" s="922"/>
      <c r="KE154" s="922"/>
      <c r="KF154" s="922"/>
      <c r="KG154" s="922"/>
      <c r="KH154" s="922"/>
      <c r="KI154" s="922"/>
      <c r="KJ154" s="922"/>
      <c r="KK154" s="922"/>
      <c r="KL154" s="922"/>
      <c r="KM154" s="922"/>
      <c r="KN154" s="922"/>
      <c r="KO154" s="922"/>
      <c r="KP154" s="922"/>
      <c r="KQ154" s="922"/>
      <c r="KR154" s="922"/>
      <c r="KS154" s="922"/>
      <c r="KT154" s="922"/>
      <c r="KU154" s="922"/>
      <c r="KV154" s="922"/>
      <c r="KW154" s="922"/>
      <c r="KX154" s="922"/>
      <c r="KY154" s="922"/>
      <c r="KZ154" s="922"/>
      <c r="LA154" s="922"/>
      <c r="LB154" s="922"/>
      <c r="LC154" s="922"/>
      <c r="LD154" s="922"/>
      <c r="LE154" s="922"/>
      <c r="LF154" s="922"/>
      <c r="LG154" s="922"/>
      <c r="LH154" s="922"/>
      <c r="LI154" s="922"/>
      <c r="LJ154" s="922"/>
      <c r="LK154" s="922"/>
      <c r="LL154" s="922"/>
      <c r="LM154" s="922"/>
      <c r="LN154" s="922"/>
      <c r="LO154" s="922"/>
      <c r="LP154" s="922"/>
      <c r="LQ154" s="922"/>
      <c r="LR154" s="922"/>
      <c r="LS154" s="922"/>
      <c r="LT154" s="922"/>
      <c r="LU154" s="922"/>
      <c r="LV154" s="922"/>
      <c r="LW154" s="922"/>
      <c r="LX154" s="922"/>
      <c r="LY154" s="922"/>
      <c r="LZ154" s="922"/>
      <c r="MA154" s="922"/>
      <c r="MB154" s="922"/>
      <c r="MC154" s="922"/>
      <c r="MD154" s="922"/>
      <c r="ME154" s="922"/>
      <c r="MF154" s="922"/>
      <c r="MG154" s="922"/>
      <c r="MH154" s="922"/>
      <c r="MI154" s="922"/>
      <c r="MJ154" s="922"/>
      <c r="MK154" s="922"/>
      <c r="ML154" s="922"/>
      <c r="MM154" s="922"/>
      <c r="MN154" s="922"/>
      <c r="MO154" s="922"/>
      <c r="MP154" s="922"/>
      <c r="MQ154" s="922"/>
      <c r="MR154" s="922"/>
      <c r="MS154" s="922"/>
      <c r="MT154" s="922"/>
      <c r="MU154" s="922"/>
      <c r="MV154" s="922"/>
      <c r="MW154" s="922"/>
      <c r="MX154" s="922"/>
      <c r="MY154" s="922"/>
      <c r="MZ154" s="922"/>
      <c r="NA154" s="922"/>
      <c r="NB154" s="922"/>
      <c r="NC154" s="922"/>
      <c r="ND154" s="922"/>
      <c r="NE154" s="922"/>
      <c r="NF154" s="922"/>
      <c r="NG154" s="922"/>
      <c r="NH154" s="922"/>
      <c r="NI154" s="922"/>
      <c r="NJ154" s="922"/>
      <c r="NK154" s="922"/>
      <c r="NL154" s="922"/>
      <c r="NM154" s="922"/>
      <c r="NN154" s="922"/>
      <c r="NO154" s="922"/>
      <c r="NP154" s="922"/>
      <c r="NQ154" s="922"/>
      <c r="NR154" s="922"/>
      <c r="NS154" s="922"/>
      <c r="NT154" s="922"/>
      <c r="NU154" s="922"/>
      <c r="NV154" s="922"/>
      <c r="NW154" s="922"/>
      <c r="NX154" s="922"/>
      <c r="NY154" s="922"/>
      <c r="NZ154" s="922"/>
      <c r="OA154" s="922"/>
      <c r="OB154" s="922"/>
      <c r="OC154" s="922"/>
      <c r="OD154" s="922"/>
      <c r="OE154" s="922"/>
      <c r="OF154" s="922"/>
      <c r="OG154" s="922"/>
      <c r="OH154" s="922"/>
      <c r="OI154" s="922"/>
      <c r="OJ154" s="922"/>
      <c r="OK154" s="922"/>
      <c r="OL154" s="922"/>
      <c r="OM154" s="922"/>
      <c r="ON154" s="922"/>
      <c r="OO154" s="922"/>
      <c r="OP154" s="922"/>
      <c r="OQ154" s="922"/>
      <c r="OR154" s="922"/>
      <c r="OS154" s="922"/>
      <c r="OT154" s="922"/>
      <c r="OU154" s="922"/>
      <c r="OV154" s="922"/>
      <c r="OW154" s="922"/>
      <c r="OX154" s="922"/>
      <c r="OY154" s="922"/>
      <c r="OZ154" s="922"/>
      <c r="PA154" s="922"/>
      <c r="PB154" s="922"/>
      <c r="PC154" s="922"/>
      <c r="PD154" s="922"/>
      <c r="PE154" s="922"/>
      <c r="PF154" s="922"/>
      <c r="PG154" s="922"/>
      <c r="PH154" s="922"/>
      <c r="PI154" s="922"/>
      <c r="PJ154" s="922"/>
      <c r="PK154" s="922"/>
      <c r="PL154" s="922"/>
      <c r="PM154" s="922"/>
      <c r="PN154" s="922"/>
      <c r="PO154" s="922"/>
      <c r="PP154" s="922"/>
      <c r="PQ154" s="922"/>
      <c r="PR154" s="922"/>
      <c r="PS154" s="922"/>
      <c r="PT154" s="922"/>
      <c r="PU154" s="922"/>
      <c r="PV154" s="922"/>
      <c r="PW154" s="922"/>
      <c r="PX154" s="922"/>
      <c r="PY154" s="922"/>
      <c r="PZ154" s="922"/>
      <c r="QA154" s="922"/>
      <c r="QB154" s="922"/>
      <c r="QC154" s="922"/>
      <c r="QD154" s="922"/>
      <c r="QE154" s="922"/>
      <c r="QF154" s="922"/>
      <c r="QG154" s="922"/>
      <c r="QH154" s="922"/>
      <c r="QI154" s="922"/>
      <c r="QJ154" s="922"/>
      <c r="QK154" s="922"/>
      <c r="QL154" s="922"/>
      <c r="QM154" s="922"/>
      <c r="QN154" s="922"/>
      <c r="QO154" s="922"/>
      <c r="QP154" s="922"/>
      <c r="QQ154" s="922"/>
      <c r="QR154" s="922"/>
      <c r="QS154" s="922"/>
      <c r="QT154" s="922"/>
      <c r="QU154" s="922"/>
      <c r="QV154" s="922"/>
      <c r="QW154" s="922"/>
      <c r="QX154" s="922"/>
      <c r="QY154" s="922"/>
      <c r="QZ154" s="922"/>
      <c r="RA154" s="922"/>
      <c r="RB154" s="922"/>
      <c r="RC154" s="922"/>
      <c r="RD154" s="922"/>
      <c r="RE154" s="922"/>
      <c r="RF154" s="922"/>
      <c r="RG154" s="922"/>
      <c r="RH154" s="922"/>
      <c r="RI154" s="922"/>
      <c r="RJ154" s="922"/>
      <c r="RK154" s="922"/>
      <c r="RL154" s="922"/>
      <c r="RM154" s="922"/>
      <c r="RN154" s="922"/>
      <c r="RO154" s="922"/>
      <c r="RP154" s="922"/>
      <c r="RQ154" s="922"/>
      <c r="RR154" s="922"/>
      <c r="RS154" s="922"/>
      <c r="RT154" s="922"/>
      <c r="RU154" s="922"/>
      <c r="RV154" s="922"/>
      <c r="RW154" s="922"/>
      <c r="RX154" s="922"/>
      <c r="RY154" s="922"/>
      <c r="RZ154" s="922"/>
      <c r="SA154" s="922"/>
      <c r="SB154" s="922"/>
      <c r="SC154" s="922"/>
      <c r="SD154" s="922"/>
      <c r="SE154" s="922"/>
      <c r="SF154" s="922"/>
      <c r="SG154" s="922"/>
      <c r="SH154" s="922"/>
      <c r="SI154" s="922"/>
      <c r="SJ154" s="922"/>
      <c r="SK154" s="922"/>
      <c r="SL154" s="922"/>
      <c r="SM154" s="922"/>
      <c r="SN154" s="922"/>
      <c r="SO154" s="922"/>
      <c r="SP154" s="922"/>
      <c r="SQ154" s="922"/>
      <c r="SR154" s="922"/>
      <c r="SS154" s="922"/>
      <c r="ST154" s="922"/>
      <c r="SU154" s="922"/>
      <c r="SV154" s="922"/>
      <c r="SW154" s="922"/>
      <c r="SX154" s="922"/>
      <c r="SY154" s="922"/>
      <c r="SZ154" s="922"/>
      <c r="TA154" s="922"/>
      <c r="TB154" s="922"/>
      <c r="TC154" s="922"/>
      <c r="TD154" s="922"/>
      <c r="TE154" s="922"/>
      <c r="TF154" s="922"/>
      <c r="TG154" s="922"/>
      <c r="TH154" s="922"/>
      <c r="TI154" s="922"/>
      <c r="TJ154" s="922"/>
      <c r="TK154" s="922"/>
      <c r="TL154" s="922"/>
      <c r="TM154" s="922"/>
      <c r="TN154" s="922"/>
      <c r="TO154" s="922"/>
      <c r="TP154" s="922"/>
      <c r="TQ154" s="922"/>
      <c r="TR154" s="922"/>
      <c r="TS154" s="922"/>
      <c r="TT154" s="922"/>
      <c r="TU154" s="922"/>
      <c r="TV154" s="922"/>
      <c r="TW154" s="922"/>
      <c r="TX154" s="922"/>
      <c r="TY154" s="922"/>
      <c r="TZ154" s="922"/>
      <c r="UA154" s="922"/>
      <c r="UB154" s="922"/>
      <c r="UC154" s="922"/>
      <c r="UD154" s="922"/>
      <c r="UE154" s="922"/>
      <c r="UF154" s="922"/>
      <c r="UG154" s="922"/>
      <c r="UH154" s="922"/>
      <c r="UI154" s="922"/>
      <c r="UJ154" s="922"/>
      <c r="UK154" s="922"/>
      <c r="UL154" s="922"/>
      <c r="UM154" s="922"/>
      <c r="UN154" s="922"/>
      <c r="UO154" s="922"/>
      <c r="UP154" s="922"/>
      <c r="UQ154" s="922"/>
      <c r="UR154" s="922"/>
      <c r="US154" s="922"/>
      <c r="UT154" s="922"/>
      <c r="UU154" s="922"/>
      <c r="UV154" s="922"/>
      <c r="UW154" s="922"/>
      <c r="UX154" s="922"/>
      <c r="UY154" s="922"/>
      <c r="UZ154" s="922"/>
      <c r="VA154" s="922"/>
      <c r="VB154" s="922"/>
      <c r="VC154" s="922"/>
      <c r="VD154" s="922"/>
      <c r="VE154" s="922"/>
      <c r="VF154" s="922"/>
      <c r="VG154" s="922"/>
      <c r="VH154" s="922"/>
      <c r="VI154" s="922"/>
      <c r="VJ154" s="922"/>
      <c r="VK154" s="922"/>
      <c r="VL154" s="922"/>
      <c r="VM154" s="922"/>
      <c r="VN154" s="922"/>
      <c r="VO154" s="922"/>
      <c r="VP154" s="922"/>
      <c r="VQ154" s="922"/>
      <c r="VR154" s="922"/>
      <c r="VS154" s="922"/>
      <c r="VT154" s="922"/>
      <c r="VU154" s="922"/>
      <c r="VV154" s="922"/>
      <c r="VW154" s="922"/>
      <c r="VX154" s="922"/>
      <c r="VY154" s="922"/>
      <c r="VZ154" s="922"/>
      <c r="WA154" s="922"/>
      <c r="WB154" s="922"/>
      <c r="WC154" s="922"/>
      <c r="WD154" s="922"/>
      <c r="WE154" s="922"/>
      <c r="WF154" s="922"/>
      <c r="WG154" s="922"/>
      <c r="WH154" s="922"/>
      <c r="WI154" s="922"/>
      <c r="WJ154" s="922"/>
      <c r="WK154" s="922"/>
      <c r="WL154" s="922"/>
      <c r="WM154" s="922"/>
      <c r="WN154" s="922"/>
      <c r="WO154" s="922"/>
      <c r="WP154" s="922"/>
      <c r="WQ154" s="922"/>
      <c r="WR154" s="922"/>
      <c r="WS154" s="922"/>
      <c r="WT154" s="922"/>
      <c r="WU154" s="922"/>
      <c r="WV154" s="922"/>
      <c r="WW154" s="922"/>
      <c r="WX154" s="922"/>
      <c r="WY154" s="922"/>
      <c r="WZ154" s="922"/>
      <c r="XA154" s="922"/>
      <c r="XB154" s="922"/>
      <c r="XC154" s="922"/>
      <c r="XD154" s="922"/>
      <c r="XE154" s="922"/>
      <c r="XF154" s="922"/>
      <c r="XG154" s="922"/>
      <c r="XH154" s="922"/>
      <c r="XI154" s="922"/>
      <c r="XJ154" s="922"/>
      <c r="XK154" s="922"/>
      <c r="XL154" s="922"/>
      <c r="XM154" s="922"/>
      <c r="XN154" s="922"/>
      <c r="XO154" s="922"/>
      <c r="XP154" s="922"/>
      <c r="XQ154" s="922"/>
      <c r="XR154" s="922"/>
      <c r="XS154" s="922"/>
      <c r="XT154" s="922"/>
      <c r="XU154" s="922"/>
      <c r="XV154" s="922"/>
      <c r="XW154" s="922"/>
      <c r="XX154" s="922"/>
      <c r="XY154" s="922"/>
      <c r="XZ154" s="922"/>
      <c r="YA154" s="922"/>
      <c r="YB154" s="922"/>
      <c r="YC154" s="922"/>
      <c r="YD154" s="922"/>
      <c r="YE154" s="922"/>
      <c r="YF154" s="922"/>
      <c r="YG154" s="922"/>
      <c r="YH154" s="922"/>
      <c r="YI154" s="922"/>
      <c r="YJ154" s="922"/>
      <c r="YK154" s="922"/>
      <c r="YL154" s="922"/>
      <c r="YM154" s="922"/>
      <c r="YN154" s="922"/>
      <c r="YO154" s="922"/>
      <c r="YP154" s="922"/>
      <c r="YQ154" s="922"/>
      <c r="YR154" s="922"/>
      <c r="YS154" s="922"/>
      <c r="YT154" s="922"/>
      <c r="YU154" s="922"/>
      <c r="YV154" s="922"/>
      <c r="YW154" s="922"/>
      <c r="YX154" s="922"/>
      <c r="YY154" s="922"/>
      <c r="YZ154" s="922"/>
      <c r="ZA154" s="922"/>
      <c r="ZB154" s="922"/>
      <c r="ZC154" s="922"/>
      <c r="ZD154" s="922"/>
      <c r="ZE154" s="922"/>
      <c r="ZF154" s="922"/>
      <c r="ZG154" s="922"/>
      <c r="ZH154" s="922"/>
      <c r="ZI154" s="922"/>
      <c r="ZJ154" s="922"/>
      <c r="ZK154" s="922"/>
      <c r="ZL154" s="922"/>
      <c r="ZM154" s="922"/>
      <c r="ZN154" s="922"/>
      <c r="ZO154" s="922"/>
      <c r="ZP154" s="922"/>
      <c r="ZQ154" s="922"/>
      <c r="ZR154" s="922"/>
      <c r="ZS154" s="922"/>
      <c r="ZT154" s="922"/>
      <c r="ZU154" s="922"/>
      <c r="ZV154" s="922"/>
      <c r="ZW154" s="922"/>
      <c r="ZX154" s="922"/>
      <c r="ZY154" s="922"/>
      <c r="ZZ154" s="922"/>
      <c r="AAA154" s="922"/>
      <c r="AAB154" s="922"/>
      <c r="AAC154" s="922"/>
      <c r="AAD154" s="922"/>
      <c r="AAE154" s="922"/>
      <c r="AAF154" s="922"/>
      <c r="AAG154" s="922"/>
      <c r="AAH154" s="922"/>
      <c r="AAI154" s="922"/>
      <c r="AAJ154" s="922"/>
      <c r="AAK154" s="922"/>
      <c r="AAL154" s="922"/>
      <c r="AAM154" s="922"/>
      <c r="AAN154" s="922"/>
      <c r="AAO154" s="922"/>
      <c r="AAP154" s="922"/>
      <c r="AAQ154" s="922"/>
      <c r="AAR154" s="922"/>
      <c r="AAS154" s="922"/>
      <c r="AAT154" s="922"/>
      <c r="AAU154" s="922"/>
      <c r="AAV154" s="922"/>
      <c r="AAW154" s="922"/>
      <c r="AAX154" s="922"/>
      <c r="AAY154" s="922"/>
      <c r="AAZ154" s="922"/>
      <c r="ABA154" s="922"/>
      <c r="ABB154" s="922"/>
      <c r="ABC154" s="922"/>
      <c r="ABD154" s="922"/>
      <c r="ABE154" s="922"/>
      <c r="ABF154" s="922"/>
      <c r="ABG154" s="922"/>
      <c r="ABH154" s="922"/>
      <c r="ABI154" s="922"/>
      <c r="ABJ154" s="922"/>
      <c r="ABK154" s="922"/>
      <c r="ABL154" s="922"/>
      <c r="ABM154" s="922"/>
      <c r="ABN154" s="922"/>
      <c r="ABO154" s="922"/>
      <c r="ABP154" s="922"/>
      <c r="ABQ154" s="922"/>
      <c r="ABR154" s="922"/>
      <c r="ABS154" s="922"/>
      <c r="ABT154" s="922"/>
      <c r="ABU154" s="922"/>
      <c r="ABV154" s="922"/>
      <c r="ABW154" s="922"/>
      <c r="ABX154" s="922"/>
      <c r="ABY154" s="922"/>
      <c r="ABZ154" s="922"/>
      <c r="ACA154" s="922"/>
      <c r="ACB154" s="922"/>
      <c r="ACC154" s="922"/>
      <c r="ACD154" s="922"/>
      <c r="ACE154" s="922"/>
      <c r="ACF154" s="922"/>
      <c r="ACG154" s="922"/>
      <c r="ACH154" s="922"/>
      <c r="ACI154" s="922"/>
      <c r="ACJ154" s="922"/>
      <c r="ACK154" s="922"/>
      <c r="ACL154" s="922"/>
      <c r="ACM154" s="922"/>
      <c r="ACN154" s="922"/>
      <c r="ACO154" s="922"/>
      <c r="ACP154" s="922"/>
      <c r="ACQ154" s="922"/>
      <c r="ACR154" s="922"/>
      <c r="ACS154" s="922"/>
      <c r="ACT154" s="922"/>
      <c r="ACU154" s="922"/>
      <c r="ACV154" s="922"/>
      <c r="ACW154" s="922"/>
      <c r="ACX154" s="922"/>
      <c r="ACY154" s="922"/>
      <c r="ACZ154" s="922"/>
      <c r="ADA154" s="922"/>
      <c r="ADB154" s="922"/>
      <c r="ADC154" s="922"/>
      <c r="ADD154" s="922"/>
      <c r="ADE154" s="922"/>
      <c r="ADF154" s="922"/>
      <c r="ADG154" s="922"/>
      <c r="ADH154" s="922"/>
      <c r="ADI154" s="922"/>
      <c r="ADJ154" s="922"/>
      <c r="ADK154" s="922"/>
      <c r="ADL154" s="922"/>
      <c r="ADM154" s="922"/>
      <c r="ADN154" s="922"/>
      <c r="ADO154" s="922"/>
      <c r="ADP154" s="922"/>
      <c r="ADQ154" s="922"/>
      <c r="ADR154" s="922"/>
      <c r="ADS154" s="922"/>
      <c r="ADT154" s="922"/>
      <c r="ADU154" s="922"/>
      <c r="ADV154" s="922"/>
      <c r="ADW154" s="922"/>
      <c r="ADX154" s="922"/>
      <c r="ADY154" s="922"/>
      <c r="ADZ154" s="922"/>
      <c r="AEA154" s="922"/>
      <c r="AEB154" s="922"/>
      <c r="AEC154" s="922"/>
      <c r="AED154" s="922"/>
      <c r="AEE154" s="922"/>
      <c r="AEF154" s="922"/>
      <c r="AEG154" s="922"/>
      <c r="AEH154" s="922"/>
      <c r="AEI154" s="922"/>
      <c r="AEJ154" s="922"/>
      <c r="AEK154" s="922"/>
      <c r="AEL154" s="922"/>
      <c r="AEM154" s="922"/>
      <c r="AEN154" s="922"/>
      <c r="AEO154" s="922"/>
      <c r="AEP154" s="922"/>
      <c r="AEQ154" s="922"/>
      <c r="AER154" s="922"/>
      <c r="AES154" s="922"/>
      <c r="AET154" s="922"/>
      <c r="AEU154" s="922"/>
      <c r="AEV154" s="922"/>
      <c r="AEW154" s="922"/>
      <c r="AEX154" s="922"/>
      <c r="AEY154" s="922"/>
      <c r="AEZ154" s="922"/>
      <c r="AFA154" s="922"/>
      <c r="AFB154" s="922"/>
      <c r="AFC154" s="922"/>
      <c r="AFD154" s="922"/>
      <c r="AFE154" s="922"/>
      <c r="AFF154" s="922"/>
      <c r="AFG154" s="922"/>
      <c r="AFH154" s="922"/>
      <c r="AFI154" s="922"/>
      <c r="AFJ154" s="922"/>
      <c r="AFK154" s="922"/>
      <c r="AFL154" s="922"/>
      <c r="AFM154" s="922"/>
      <c r="AFN154" s="922"/>
      <c r="AFO154" s="922"/>
      <c r="AFP154" s="922"/>
      <c r="AFQ154" s="922"/>
      <c r="AFR154" s="922"/>
      <c r="AFS154" s="922"/>
      <c r="AFT154" s="922"/>
      <c r="AFU154" s="922"/>
      <c r="AFV154" s="922"/>
      <c r="AFW154" s="922"/>
      <c r="AFX154" s="922"/>
      <c r="AFY154" s="922"/>
      <c r="AFZ154" s="922"/>
      <c r="AGA154" s="922"/>
      <c r="AGB154" s="922"/>
      <c r="AGC154" s="922"/>
      <c r="AGD154" s="922"/>
      <c r="AGE154" s="922"/>
      <c r="AGF154" s="922"/>
      <c r="AGG154" s="922"/>
      <c r="AGH154" s="922"/>
      <c r="AGI154" s="922"/>
      <c r="AGJ154" s="922"/>
      <c r="AGK154" s="922"/>
      <c r="AGL154" s="922"/>
      <c r="AGM154" s="922"/>
      <c r="AGN154" s="922"/>
      <c r="AGO154" s="922"/>
      <c r="AGP154" s="922"/>
      <c r="AGQ154" s="922"/>
      <c r="AGR154" s="922"/>
      <c r="AGS154" s="922"/>
      <c r="AGT154" s="922"/>
      <c r="AGU154" s="922"/>
      <c r="AGV154" s="922"/>
      <c r="AGW154" s="922"/>
      <c r="AGX154" s="922"/>
      <c r="AGY154" s="922"/>
      <c r="AGZ154" s="922"/>
      <c r="AHA154" s="922"/>
      <c r="AHB154" s="922"/>
      <c r="AHC154" s="922"/>
      <c r="AHD154" s="922"/>
      <c r="AHE154" s="922"/>
      <c r="AHF154" s="922"/>
      <c r="AHG154" s="922"/>
      <c r="AHH154" s="922"/>
      <c r="AHI154" s="922"/>
      <c r="AHJ154" s="922"/>
      <c r="AHK154" s="922"/>
      <c r="AHL154" s="922"/>
      <c r="AHM154" s="922"/>
      <c r="AHN154" s="922"/>
      <c r="AHO154" s="922"/>
      <c r="AHP154" s="922"/>
      <c r="AHQ154" s="922"/>
      <c r="AHR154" s="922"/>
      <c r="AHS154" s="922"/>
      <c r="AHT154" s="922"/>
      <c r="AHU154" s="922"/>
      <c r="AHV154" s="922"/>
      <c r="AHW154" s="922"/>
      <c r="AHX154" s="922"/>
      <c r="AHY154" s="922"/>
      <c r="AHZ154" s="922"/>
      <c r="AIA154" s="922"/>
      <c r="AIB154" s="922"/>
      <c r="AIC154" s="922"/>
      <c r="AID154" s="922"/>
      <c r="AIE154" s="922"/>
      <c r="AIF154" s="922"/>
      <c r="AIG154" s="922"/>
      <c r="AIH154" s="922"/>
      <c r="AII154" s="922"/>
      <c r="AIJ154" s="922"/>
      <c r="AIK154" s="922"/>
      <c r="AIL154" s="922"/>
      <c r="AIM154" s="922"/>
      <c r="AIN154" s="922"/>
      <c r="AIO154" s="922"/>
      <c r="AIP154" s="922"/>
      <c r="AIQ154" s="922"/>
      <c r="AIR154" s="922"/>
      <c r="AIS154" s="922"/>
      <c r="AIT154" s="922"/>
      <c r="AIU154" s="922"/>
      <c r="AIV154" s="922"/>
      <c r="AIW154" s="922"/>
      <c r="AIX154" s="922"/>
      <c r="AIY154" s="922"/>
      <c r="AIZ154" s="922"/>
      <c r="AJA154" s="922"/>
      <c r="AJB154" s="922"/>
      <c r="AJC154" s="922"/>
      <c r="AJD154" s="922"/>
      <c r="AJE154" s="922"/>
      <c r="AJF154" s="922"/>
      <c r="AJG154" s="922"/>
      <c r="AJH154" s="922"/>
      <c r="AJI154" s="922"/>
      <c r="AJJ154" s="922"/>
      <c r="AJK154" s="922"/>
      <c r="AJL154" s="922"/>
      <c r="AJM154" s="922"/>
      <c r="AJN154" s="922"/>
      <c r="AJO154" s="922"/>
      <c r="AJP154" s="922"/>
      <c r="AJQ154" s="922"/>
      <c r="AJR154" s="922"/>
      <c r="AJS154" s="922"/>
      <c r="AJT154" s="922"/>
      <c r="AJU154" s="922"/>
      <c r="AJV154" s="922"/>
      <c r="AJW154" s="922"/>
      <c r="AJX154" s="922"/>
      <c r="AJY154" s="922"/>
      <c r="AJZ154" s="922"/>
      <c r="AKA154" s="922"/>
      <c r="AKB154" s="922"/>
      <c r="AKC154" s="922"/>
      <c r="AKD154" s="922"/>
      <c r="AKE154" s="922"/>
      <c r="AKF154" s="922"/>
      <c r="AKG154" s="922"/>
      <c r="AKH154" s="922"/>
      <c r="AKI154" s="922"/>
      <c r="AKJ154" s="922"/>
      <c r="AKK154" s="922"/>
      <c r="AKL154" s="922"/>
      <c r="AKM154" s="922"/>
      <c r="AKN154" s="922"/>
      <c r="AKO154" s="922"/>
      <c r="AKP154" s="922"/>
      <c r="AKQ154" s="922"/>
      <c r="AKR154" s="922"/>
      <c r="AKS154" s="922"/>
      <c r="AKT154" s="922"/>
      <c r="AKU154" s="922"/>
      <c r="AKV154" s="922"/>
      <c r="AKW154" s="922"/>
      <c r="AKX154" s="922"/>
      <c r="AKY154" s="922"/>
      <c r="AKZ154" s="922"/>
      <c r="ALA154" s="922"/>
      <c r="ALB154" s="922"/>
      <c r="ALC154" s="922"/>
      <c r="ALD154" s="922"/>
      <c r="ALE154" s="922"/>
      <c r="ALF154" s="922"/>
      <c r="ALG154" s="922"/>
      <c r="ALH154" s="922"/>
      <c r="ALI154" s="922"/>
      <c r="ALJ154" s="922"/>
      <c r="ALK154" s="922"/>
      <c r="ALL154" s="922"/>
      <c r="ALM154" s="922"/>
      <c r="ALN154" s="922"/>
      <c r="ALO154" s="922"/>
      <c r="ALP154" s="922"/>
      <c r="ALQ154" s="922"/>
      <c r="ALR154" s="922"/>
      <c r="ALS154" s="922"/>
      <c r="ALT154" s="922"/>
      <c r="ALU154" s="922"/>
      <c r="ALV154" s="922"/>
      <c r="ALW154" s="922"/>
      <c r="ALX154" s="922"/>
      <c r="ALY154" s="922"/>
      <c r="ALZ154" s="922"/>
      <c r="AMA154" s="922"/>
      <c r="AMB154" s="922"/>
      <c r="AMC154" s="922"/>
      <c r="AMD154" s="922"/>
      <c r="AME154" s="922"/>
      <c r="AMF154" s="922"/>
      <c r="AMG154" s="922"/>
      <c r="AMH154" s="922"/>
      <c r="AMI154" s="922"/>
      <c r="AMJ154" s="922"/>
      <c r="AMK154" s="922"/>
      <c r="AML154" s="922"/>
      <c r="AMM154" s="922"/>
      <c r="AMN154" s="922"/>
      <c r="AMO154" s="922"/>
      <c r="AMP154" s="922"/>
      <c r="AMQ154" s="922"/>
      <c r="AMR154" s="922"/>
      <c r="AMS154" s="922"/>
      <c r="AMT154" s="922"/>
      <c r="AMU154" s="922"/>
      <c r="AMV154" s="922"/>
      <c r="AMW154" s="922"/>
      <c r="AMX154" s="922"/>
      <c r="AMY154" s="922"/>
      <c r="AMZ154" s="922"/>
      <c r="ANA154" s="922"/>
      <c r="ANB154" s="922"/>
      <c r="ANC154" s="922"/>
      <c r="AND154" s="922"/>
      <c r="ANE154" s="922"/>
      <c r="ANF154" s="922"/>
      <c r="ANG154" s="922"/>
      <c r="ANH154" s="922"/>
      <c r="ANI154" s="922"/>
      <c r="ANJ154" s="922"/>
      <c r="ANK154" s="922"/>
      <c r="ANL154" s="922"/>
      <c r="ANM154" s="922"/>
      <c r="ANN154" s="922"/>
      <c r="ANO154" s="922"/>
      <c r="ANP154" s="922"/>
      <c r="ANQ154" s="922"/>
      <c r="ANR154" s="922"/>
      <c r="ANS154" s="922"/>
      <c r="ANT154" s="922"/>
      <c r="ANU154" s="922"/>
      <c r="ANV154" s="922"/>
      <c r="ANW154" s="922"/>
      <c r="ANX154" s="922"/>
      <c r="ANY154" s="922"/>
      <c r="ANZ154" s="922"/>
      <c r="AOA154" s="922"/>
      <c r="AOB154" s="922"/>
      <c r="AOC154" s="922"/>
      <c r="AOD154" s="922"/>
      <c r="AOE154" s="922"/>
      <c r="AOF154" s="922"/>
      <c r="AOG154" s="922"/>
      <c r="AOH154" s="922"/>
      <c r="AOI154" s="922"/>
      <c r="AOJ154" s="922"/>
      <c r="AOK154" s="922"/>
      <c r="AOL154" s="922"/>
      <c r="AOM154" s="922"/>
      <c r="AON154" s="922"/>
      <c r="AOO154" s="922"/>
      <c r="AOP154" s="922"/>
      <c r="AOQ154" s="922"/>
      <c r="AOR154" s="922"/>
      <c r="AOS154" s="922"/>
      <c r="AOT154" s="922"/>
      <c r="AOU154" s="922"/>
      <c r="AOV154" s="922"/>
      <c r="AOW154" s="922"/>
      <c r="AOX154" s="922"/>
      <c r="AOY154" s="922"/>
      <c r="AOZ154" s="922"/>
      <c r="APA154" s="922"/>
      <c r="APB154" s="922"/>
      <c r="APC154" s="922"/>
      <c r="APD154" s="922"/>
      <c r="APE154" s="922"/>
      <c r="APF154" s="922"/>
      <c r="APG154" s="922"/>
      <c r="APH154" s="922"/>
      <c r="API154" s="922"/>
      <c r="APJ154" s="922"/>
      <c r="APK154" s="922"/>
      <c r="APL154" s="922"/>
      <c r="APM154" s="922"/>
      <c r="APN154" s="922"/>
      <c r="APO154" s="922"/>
      <c r="APP154" s="922"/>
      <c r="APQ154" s="922"/>
      <c r="APR154" s="922"/>
      <c r="APS154" s="922"/>
      <c r="APT154" s="922"/>
      <c r="APU154" s="922"/>
      <c r="APV154" s="922"/>
      <c r="APW154" s="922"/>
      <c r="APX154" s="922"/>
      <c r="APY154" s="922"/>
      <c r="APZ154" s="922"/>
      <c r="AQA154" s="922"/>
      <c r="AQB154" s="922"/>
      <c r="AQC154" s="922"/>
      <c r="AQD154" s="922"/>
      <c r="AQE154" s="922"/>
      <c r="AQF154" s="922"/>
      <c r="AQG154" s="922"/>
      <c r="AQH154" s="922"/>
      <c r="AQI154" s="922"/>
      <c r="AQJ154" s="922"/>
      <c r="AQK154" s="922"/>
      <c r="AQL154" s="922"/>
      <c r="AQM154" s="922"/>
      <c r="AQN154" s="922"/>
      <c r="AQO154" s="922"/>
      <c r="AQP154" s="922"/>
      <c r="AQQ154" s="922"/>
      <c r="AQR154" s="922"/>
      <c r="AQS154" s="922"/>
      <c r="AQT154" s="922"/>
      <c r="AQU154" s="922"/>
      <c r="AQV154" s="922"/>
      <c r="AQW154" s="922"/>
      <c r="AQX154" s="922"/>
      <c r="AQY154" s="922"/>
      <c r="AQZ154" s="922"/>
      <c r="ARA154" s="922"/>
      <c r="ARB154" s="922"/>
      <c r="ARC154" s="922"/>
      <c r="ARD154" s="922"/>
      <c r="ARE154" s="922"/>
      <c r="ARF154" s="922"/>
      <c r="ARG154" s="922"/>
      <c r="ARH154" s="922"/>
      <c r="ARI154" s="922"/>
      <c r="ARJ154" s="922"/>
      <c r="ARK154" s="922"/>
      <c r="ARL154" s="922"/>
      <c r="ARM154" s="922"/>
      <c r="ARN154" s="922"/>
      <c r="ARO154" s="922"/>
      <c r="ARP154" s="922"/>
      <c r="ARQ154" s="922"/>
      <c r="ARR154" s="922"/>
      <c r="ARS154" s="922"/>
      <c r="ART154" s="922"/>
      <c r="ARU154" s="922"/>
      <c r="ARV154" s="922"/>
      <c r="ARW154" s="922"/>
      <c r="ARX154" s="922"/>
      <c r="ARY154" s="922"/>
      <c r="ARZ154" s="922"/>
      <c r="ASA154" s="922"/>
      <c r="ASB154" s="922"/>
      <c r="ASC154" s="922"/>
    </row>
    <row r="155" spans="1:1173" hidden="1">
      <c r="A155" s="920"/>
      <c r="T155" s="922"/>
      <c r="AN155" s="922"/>
      <c r="AO155" s="922"/>
      <c r="AP155" s="922"/>
      <c r="AQ155" s="922"/>
      <c r="AR155" s="922"/>
      <c r="AS155" s="922"/>
      <c r="AT155" s="922"/>
      <c r="AU155" s="922"/>
      <c r="AV155" s="922"/>
      <c r="AW155" s="922"/>
      <c r="AX155" s="922"/>
      <c r="AY155" s="922"/>
      <c r="AZ155" s="922"/>
      <c r="BA155" s="922"/>
      <c r="BB155" s="922"/>
      <c r="BC155" s="922"/>
      <c r="BD155" s="922"/>
      <c r="BE155" s="922"/>
      <c r="BF155" s="922"/>
      <c r="BG155" s="922"/>
      <c r="BH155" s="922"/>
      <c r="BI155" s="922"/>
      <c r="BJ155" s="922"/>
      <c r="BK155" s="922"/>
      <c r="BL155" s="922"/>
      <c r="BM155" s="922"/>
      <c r="BN155" s="922"/>
      <c r="BO155" s="922"/>
      <c r="BP155" s="922"/>
      <c r="BQ155" s="922"/>
      <c r="BR155" s="922"/>
      <c r="BS155" s="922"/>
      <c r="BT155" s="922"/>
      <c r="BU155" s="922"/>
      <c r="BV155" s="922"/>
      <c r="BW155" s="922"/>
      <c r="BX155" s="922"/>
      <c r="BY155" s="922"/>
      <c r="BZ155" s="922"/>
      <c r="CA155" s="922"/>
      <c r="CB155" s="922"/>
      <c r="CC155" s="922"/>
      <c r="CD155" s="922"/>
      <c r="CE155" s="922"/>
      <c r="CF155" s="922"/>
      <c r="CG155" s="922"/>
      <c r="CH155" s="922"/>
      <c r="CI155" s="922"/>
      <c r="CJ155" s="922"/>
      <c r="CK155" s="922"/>
      <c r="CL155" s="922"/>
      <c r="CM155" s="922"/>
      <c r="CN155" s="922"/>
      <c r="CO155" s="922"/>
      <c r="CP155" s="922"/>
      <c r="CQ155" s="922"/>
      <c r="CR155" s="922"/>
      <c r="CS155" s="922"/>
      <c r="CT155" s="922"/>
      <c r="CU155" s="922"/>
      <c r="CV155" s="922"/>
      <c r="CW155" s="922"/>
      <c r="CX155" s="922"/>
      <c r="CY155" s="922"/>
      <c r="CZ155" s="922"/>
      <c r="DA155" s="922"/>
      <c r="DB155" s="922"/>
      <c r="DC155" s="922"/>
      <c r="DD155" s="922"/>
      <c r="DE155" s="922"/>
      <c r="DF155" s="922"/>
      <c r="DG155" s="922"/>
      <c r="DH155" s="922"/>
      <c r="DI155" s="922"/>
      <c r="DJ155" s="922"/>
      <c r="DK155" s="922"/>
      <c r="DL155" s="922"/>
      <c r="DM155" s="922"/>
      <c r="DN155" s="922"/>
      <c r="DO155" s="922"/>
      <c r="DP155" s="922"/>
      <c r="DQ155" s="922"/>
      <c r="DR155" s="922"/>
      <c r="DS155" s="922"/>
      <c r="DT155" s="922"/>
      <c r="DU155" s="922"/>
      <c r="DV155" s="922"/>
      <c r="DW155" s="922"/>
      <c r="DX155" s="922"/>
      <c r="DY155" s="922"/>
      <c r="DZ155" s="922"/>
      <c r="EA155" s="922"/>
      <c r="EB155" s="922"/>
      <c r="EC155" s="922"/>
      <c r="ED155" s="922"/>
      <c r="EE155" s="922"/>
      <c r="EF155" s="922"/>
      <c r="EG155" s="922"/>
      <c r="EH155" s="922"/>
      <c r="EI155" s="922"/>
      <c r="EJ155" s="922"/>
      <c r="EK155" s="922"/>
      <c r="EL155" s="922"/>
      <c r="EM155" s="922"/>
      <c r="EN155" s="922"/>
      <c r="EO155" s="922"/>
      <c r="EP155" s="922"/>
      <c r="EQ155" s="922"/>
      <c r="ER155" s="922"/>
      <c r="ES155" s="922"/>
      <c r="ET155" s="922"/>
      <c r="EU155" s="922"/>
      <c r="EV155" s="922"/>
      <c r="EW155" s="922"/>
      <c r="EX155" s="922"/>
      <c r="EY155" s="922"/>
      <c r="EZ155" s="922"/>
      <c r="FA155" s="922"/>
      <c r="FB155" s="922"/>
      <c r="FC155" s="922"/>
      <c r="FD155" s="922"/>
      <c r="FE155" s="922"/>
      <c r="FF155" s="922"/>
      <c r="FG155" s="922"/>
      <c r="FH155" s="922"/>
      <c r="FI155" s="922"/>
      <c r="FJ155" s="922"/>
      <c r="FK155" s="922"/>
      <c r="FL155" s="922"/>
      <c r="FM155" s="922"/>
      <c r="FN155" s="922"/>
      <c r="FO155" s="922"/>
      <c r="FP155" s="922"/>
      <c r="FQ155" s="922"/>
      <c r="FR155" s="922"/>
      <c r="FS155" s="922"/>
      <c r="FT155" s="922"/>
      <c r="FU155" s="922"/>
      <c r="FV155" s="922"/>
      <c r="FW155" s="922"/>
      <c r="FX155" s="922"/>
      <c r="FY155" s="922"/>
      <c r="FZ155" s="922"/>
      <c r="GA155" s="922"/>
      <c r="GB155" s="922"/>
      <c r="GC155" s="922"/>
      <c r="GD155" s="922"/>
      <c r="GE155" s="922"/>
      <c r="GF155" s="922"/>
      <c r="GG155" s="922"/>
      <c r="GH155" s="922"/>
      <c r="GI155" s="922"/>
      <c r="GJ155" s="922"/>
      <c r="GK155" s="922"/>
      <c r="GL155" s="922"/>
      <c r="GM155" s="922"/>
      <c r="GN155" s="922"/>
      <c r="GO155" s="922"/>
      <c r="GP155" s="922"/>
      <c r="GQ155" s="922"/>
      <c r="GR155" s="922"/>
      <c r="GS155" s="922"/>
      <c r="GT155" s="922"/>
      <c r="GU155" s="922"/>
      <c r="GV155" s="922"/>
      <c r="GW155" s="922"/>
      <c r="GX155" s="922"/>
      <c r="GY155" s="922"/>
      <c r="GZ155" s="922"/>
      <c r="HA155" s="922"/>
      <c r="HB155" s="922"/>
      <c r="HC155" s="922"/>
      <c r="HD155" s="922"/>
      <c r="HE155" s="922"/>
      <c r="HF155" s="922"/>
      <c r="HG155" s="922"/>
      <c r="HH155" s="922"/>
      <c r="HI155" s="922"/>
      <c r="HJ155" s="922"/>
      <c r="HK155" s="922"/>
      <c r="HL155" s="922"/>
      <c r="HM155" s="922"/>
      <c r="HN155" s="922"/>
      <c r="HO155" s="922"/>
      <c r="HP155" s="922"/>
      <c r="HQ155" s="922"/>
      <c r="HR155" s="922"/>
      <c r="HS155" s="922"/>
      <c r="HT155" s="922"/>
      <c r="HU155" s="922"/>
      <c r="HV155" s="922"/>
      <c r="HW155" s="922"/>
      <c r="HX155" s="922"/>
      <c r="HY155" s="922"/>
      <c r="HZ155" s="922"/>
      <c r="IA155" s="922"/>
      <c r="IB155" s="922"/>
      <c r="IC155" s="922"/>
      <c r="ID155" s="922"/>
      <c r="IE155" s="922"/>
      <c r="IF155" s="922"/>
      <c r="IG155" s="922"/>
      <c r="IH155" s="922"/>
      <c r="II155" s="922"/>
      <c r="IJ155" s="922"/>
      <c r="IK155" s="922"/>
      <c r="IL155" s="922"/>
      <c r="IM155" s="922"/>
      <c r="IN155" s="922"/>
      <c r="IO155" s="922"/>
      <c r="IP155" s="922"/>
      <c r="IQ155" s="922"/>
      <c r="IR155" s="922"/>
      <c r="IS155" s="922"/>
      <c r="IT155" s="922"/>
      <c r="IU155" s="922"/>
      <c r="IV155" s="922"/>
      <c r="IW155" s="922"/>
      <c r="IX155" s="922"/>
      <c r="IY155" s="922"/>
      <c r="IZ155" s="922"/>
      <c r="JA155" s="922"/>
      <c r="JB155" s="922"/>
      <c r="JC155" s="922"/>
      <c r="JD155" s="922"/>
      <c r="JE155" s="922"/>
      <c r="JF155" s="922"/>
      <c r="JG155" s="922"/>
      <c r="JH155" s="922"/>
      <c r="JI155" s="922"/>
      <c r="JJ155" s="922"/>
      <c r="JK155" s="922"/>
      <c r="JL155" s="922"/>
      <c r="JM155" s="922"/>
      <c r="JN155" s="922"/>
      <c r="JO155" s="922"/>
      <c r="JP155" s="922"/>
      <c r="JQ155" s="922"/>
      <c r="JR155" s="922"/>
      <c r="JS155" s="922"/>
      <c r="JT155" s="922"/>
      <c r="JU155" s="922"/>
      <c r="JV155" s="922"/>
      <c r="JW155" s="922"/>
      <c r="JX155" s="922"/>
      <c r="JY155" s="922"/>
      <c r="JZ155" s="922"/>
      <c r="KA155" s="922"/>
      <c r="KB155" s="922"/>
      <c r="KC155" s="922"/>
      <c r="KD155" s="922"/>
      <c r="KE155" s="922"/>
      <c r="KF155" s="922"/>
      <c r="KG155" s="922"/>
      <c r="KH155" s="922"/>
      <c r="KI155" s="922"/>
      <c r="KJ155" s="922"/>
      <c r="KK155" s="922"/>
      <c r="KL155" s="922"/>
      <c r="KM155" s="922"/>
      <c r="KN155" s="922"/>
      <c r="KO155" s="922"/>
      <c r="KP155" s="922"/>
      <c r="KQ155" s="922"/>
      <c r="KR155" s="922"/>
      <c r="KS155" s="922"/>
      <c r="KT155" s="922"/>
      <c r="KU155" s="922"/>
      <c r="KV155" s="922"/>
      <c r="KW155" s="922"/>
      <c r="KX155" s="922"/>
      <c r="KY155" s="922"/>
      <c r="KZ155" s="922"/>
      <c r="LA155" s="922"/>
      <c r="LB155" s="922"/>
      <c r="LC155" s="922"/>
      <c r="LD155" s="922"/>
      <c r="LE155" s="922"/>
      <c r="LF155" s="922"/>
      <c r="LG155" s="922"/>
      <c r="LH155" s="922"/>
      <c r="LI155" s="922"/>
      <c r="LJ155" s="922"/>
      <c r="LK155" s="922"/>
      <c r="LL155" s="922"/>
      <c r="LM155" s="922"/>
      <c r="LN155" s="922"/>
      <c r="LO155" s="922"/>
      <c r="LP155" s="922"/>
      <c r="LQ155" s="922"/>
      <c r="LR155" s="922"/>
      <c r="LS155" s="922"/>
      <c r="LT155" s="922"/>
      <c r="LU155" s="922"/>
      <c r="LV155" s="922"/>
      <c r="LW155" s="922"/>
      <c r="LX155" s="922"/>
      <c r="LY155" s="922"/>
      <c r="LZ155" s="922"/>
      <c r="MA155" s="922"/>
      <c r="MB155" s="922"/>
      <c r="MC155" s="922"/>
      <c r="MD155" s="922"/>
      <c r="ME155" s="922"/>
      <c r="MF155" s="922"/>
      <c r="MG155" s="922"/>
      <c r="MH155" s="922"/>
      <c r="MI155" s="922"/>
      <c r="MJ155" s="922"/>
      <c r="MK155" s="922"/>
      <c r="ML155" s="922"/>
      <c r="MM155" s="922"/>
      <c r="MN155" s="922"/>
      <c r="MO155" s="922"/>
      <c r="MP155" s="922"/>
      <c r="MQ155" s="922"/>
      <c r="MR155" s="922"/>
      <c r="MS155" s="922"/>
      <c r="MT155" s="922"/>
      <c r="MU155" s="922"/>
      <c r="MV155" s="922"/>
      <c r="MW155" s="922"/>
      <c r="MX155" s="922"/>
      <c r="MY155" s="922"/>
      <c r="MZ155" s="922"/>
      <c r="NA155" s="922"/>
      <c r="NB155" s="922"/>
      <c r="NC155" s="922"/>
      <c r="ND155" s="922"/>
      <c r="NE155" s="922"/>
      <c r="NF155" s="922"/>
      <c r="NG155" s="922"/>
      <c r="NH155" s="922"/>
      <c r="NI155" s="922"/>
      <c r="NJ155" s="922"/>
      <c r="NK155" s="922"/>
      <c r="NL155" s="922"/>
      <c r="NM155" s="922"/>
      <c r="NN155" s="922"/>
      <c r="NO155" s="922"/>
      <c r="NP155" s="922"/>
      <c r="NQ155" s="922"/>
      <c r="NR155" s="922"/>
      <c r="NS155" s="922"/>
      <c r="NT155" s="922"/>
      <c r="NU155" s="922"/>
      <c r="NV155" s="922"/>
      <c r="NW155" s="922"/>
      <c r="NX155" s="922"/>
      <c r="NY155" s="922"/>
      <c r="NZ155" s="922"/>
      <c r="OA155" s="922"/>
      <c r="OB155" s="922"/>
      <c r="OC155" s="922"/>
      <c r="OD155" s="922"/>
      <c r="OE155" s="922"/>
      <c r="OF155" s="922"/>
      <c r="OG155" s="922"/>
      <c r="OH155" s="922"/>
      <c r="OI155" s="922"/>
      <c r="OJ155" s="922"/>
      <c r="OK155" s="922"/>
      <c r="OL155" s="922"/>
      <c r="OM155" s="922"/>
      <c r="ON155" s="922"/>
      <c r="OO155" s="922"/>
      <c r="OP155" s="922"/>
      <c r="OQ155" s="922"/>
      <c r="OR155" s="922"/>
      <c r="OS155" s="922"/>
      <c r="OT155" s="922"/>
      <c r="OU155" s="922"/>
      <c r="OV155" s="922"/>
      <c r="OW155" s="922"/>
      <c r="OX155" s="922"/>
      <c r="OY155" s="922"/>
      <c r="OZ155" s="922"/>
      <c r="PA155" s="922"/>
      <c r="PB155" s="922"/>
      <c r="PC155" s="922"/>
      <c r="PD155" s="922"/>
      <c r="PE155" s="922"/>
      <c r="PF155" s="922"/>
      <c r="PG155" s="922"/>
      <c r="PH155" s="922"/>
      <c r="PI155" s="922"/>
      <c r="PJ155" s="922"/>
      <c r="PK155" s="922"/>
      <c r="PL155" s="922"/>
      <c r="PM155" s="922"/>
      <c r="PN155" s="922"/>
      <c r="PO155" s="922"/>
      <c r="PP155" s="922"/>
      <c r="PQ155" s="922"/>
      <c r="PR155" s="922"/>
      <c r="PS155" s="922"/>
      <c r="PT155" s="922"/>
      <c r="PU155" s="922"/>
      <c r="PV155" s="922"/>
      <c r="PW155" s="922"/>
      <c r="PX155" s="922"/>
      <c r="PY155" s="922"/>
      <c r="PZ155" s="922"/>
      <c r="QA155" s="922"/>
      <c r="QB155" s="922"/>
      <c r="QC155" s="922"/>
      <c r="QD155" s="922"/>
      <c r="QE155" s="922"/>
      <c r="QF155" s="922"/>
      <c r="QG155" s="922"/>
      <c r="QH155" s="922"/>
      <c r="QI155" s="922"/>
      <c r="QJ155" s="922"/>
      <c r="QK155" s="922"/>
      <c r="QL155" s="922"/>
      <c r="QM155" s="922"/>
      <c r="QN155" s="922"/>
      <c r="QO155" s="922"/>
      <c r="QP155" s="922"/>
      <c r="QQ155" s="922"/>
      <c r="QR155" s="922"/>
      <c r="QS155" s="922"/>
      <c r="QT155" s="922"/>
      <c r="QU155" s="922"/>
      <c r="QV155" s="922"/>
      <c r="QW155" s="922"/>
      <c r="QX155" s="922"/>
      <c r="QY155" s="922"/>
      <c r="QZ155" s="922"/>
      <c r="RA155" s="922"/>
      <c r="RB155" s="922"/>
      <c r="RC155" s="922"/>
      <c r="RD155" s="922"/>
      <c r="RE155" s="922"/>
      <c r="RF155" s="922"/>
      <c r="RG155" s="922"/>
      <c r="RH155" s="922"/>
      <c r="RI155" s="922"/>
      <c r="RJ155" s="922"/>
      <c r="RK155" s="922"/>
      <c r="RL155" s="922"/>
      <c r="RM155" s="922"/>
      <c r="RN155" s="922"/>
      <c r="RO155" s="922"/>
      <c r="RP155" s="922"/>
      <c r="RQ155" s="922"/>
      <c r="RR155" s="922"/>
      <c r="RS155" s="922"/>
      <c r="RT155" s="922"/>
      <c r="RU155" s="922"/>
      <c r="RV155" s="922"/>
      <c r="RW155" s="922"/>
      <c r="RX155" s="922"/>
      <c r="RY155" s="922"/>
      <c r="RZ155" s="922"/>
      <c r="SA155" s="922"/>
      <c r="SB155" s="922"/>
      <c r="SC155" s="922"/>
      <c r="SD155" s="922"/>
      <c r="SE155" s="922"/>
      <c r="SF155" s="922"/>
      <c r="SG155" s="922"/>
      <c r="SH155" s="922"/>
      <c r="SI155" s="922"/>
      <c r="SJ155" s="922"/>
      <c r="SK155" s="922"/>
      <c r="SL155" s="922"/>
      <c r="SM155" s="922"/>
      <c r="SN155" s="922"/>
      <c r="SO155" s="922"/>
      <c r="SP155" s="922"/>
      <c r="SQ155" s="922"/>
      <c r="SR155" s="922"/>
      <c r="SS155" s="922"/>
      <c r="ST155" s="922"/>
      <c r="SU155" s="922"/>
      <c r="SV155" s="922"/>
      <c r="SW155" s="922"/>
      <c r="SX155" s="922"/>
      <c r="SY155" s="922"/>
      <c r="SZ155" s="922"/>
      <c r="TA155" s="922"/>
      <c r="TB155" s="922"/>
      <c r="TC155" s="922"/>
      <c r="TD155" s="922"/>
      <c r="TE155" s="922"/>
      <c r="TF155" s="922"/>
      <c r="TG155" s="922"/>
      <c r="TH155" s="922"/>
      <c r="TI155" s="922"/>
      <c r="TJ155" s="922"/>
      <c r="TK155" s="922"/>
      <c r="TL155" s="922"/>
      <c r="TM155" s="922"/>
      <c r="TN155" s="922"/>
      <c r="TO155" s="922"/>
      <c r="TP155" s="922"/>
      <c r="TQ155" s="922"/>
      <c r="TR155" s="922"/>
      <c r="TS155" s="922"/>
      <c r="TT155" s="922"/>
      <c r="TU155" s="922"/>
      <c r="TV155" s="922"/>
      <c r="TW155" s="922"/>
      <c r="TX155" s="922"/>
      <c r="TY155" s="922"/>
      <c r="TZ155" s="922"/>
      <c r="UA155" s="922"/>
      <c r="UB155" s="922"/>
      <c r="UC155" s="922"/>
      <c r="UD155" s="922"/>
      <c r="UE155" s="922"/>
      <c r="UF155" s="922"/>
      <c r="UG155" s="922"/>
      <c r="UH155" s="922"/>
      <c r="UI155" s="922"/>
      <c r="UJ155" s="922"/>
      <c r="UK155" s="922"/>
      <c r="UL155" s="922"/>
      <c r="UM155" s="922"/>
      <c r="UN155" s="922"/>
      <c r="UO155" s="922"/>
      <c r="UP155" s="922"/>
      <c r="UQ155" s="922"/>
      <c r="UR155" s="922"/>
      <c r="US155" s="922"/>
      <c r="UT155" s="922"/>
      <c r="UU155" s="922"/>
      <c r="UV155" s="922"/>
      <c r="UW155" s="922"/>
      <c r="UX155" s="922"/>
      <c r="UY155" s="922"/>
      <c r="UZ155" s="922"/>
      <c r="VA155" s="922"/>
      <c r="VB155" s="922"/>
      <c r="VC155" s="922"/>
      <c r="VD155" s="922"/>
      <c r="VE155" s="922"/>
      <c r="VF155" s="922"/>
      <c r="VG155" s="922"/>
      <c r="VH155" s="922"/>
      <c r="VI155" s="922"/>
      <c r="VJ155" s="922"/>
      <c r="VK155" s="922"/>
      <c r="VL155" s="922"/>
      <c r="VM155" s="922"/>
      <c r="VN155" s="922"/>
      <c r="VO155" s="922"/>
      <c r="VP155" s="922"/>
      <c r="VQ155" s="922"/>
      <c r="VR155" s="922"/>
      <c r="VS155" s="922"/>
      <c r="VT155" s="922"/>
      <c r="VU155" s="922"/>
      <c r="VV155" s="922"/>
      <c r="VW155" s="922"/>
      <c r="VX155" s="922"/>
      <c r="VY155" s="922"/>
      <c r="VZ155" s="922"/>
      <c r="WA155" s="922"/>
      <c r="WB155" s="922"/>
      <c r="WC155" s="922"/>
      <c r="WD155" s="922"/>
      <c r="WE155" s="922"/>
      <c r="WF155" s="922"/>
      <c r="WG155" s="922"/>
      <c r="WH155" s="922"/>
      <c r="WI155" s="922"/>
      <c r="WJ155" s="922"/>
      <c r="WK155" s="922"/>
      <c r="WL155" s="922"/>
      <c r="WM155" s="922"/>
      <c r="WN155" s="922"/>
      <c r="WO155" s="922"/>
      <c r="WP155" s="922"/>
      <c r="WQ155" s="922"/>
      <c r="WR155" s="922"/>
      <c r="WS155" s="922"/>
      <c r="WT155" s="922"/>
      <c r="WU155" s="922"/>
      <c r="WV155" s="922"/>
      <c r="WW155" s="922"/>
      <c r="WX155" s="922"/>
      <c r="WY155" s="922"/>
      <c r="WZ155" s="922"/>
      <c r="XA155" s="922"/>
      <c r="XB155" s="922"/>
      <c r="XC155" s="922"/>
      <c r="XD155" s="922"/>
      <c r="XE155" s="922"/>
      <c r="XF155" s="922"/>
      <c r="XG155" s="922"/>
      <c r="XH155" s="922"/>
      <c r="XI155" s="922"/>
      <c r="XJ155" s="922"/>
      <c r="XK155" s="922"/>
      <c r="XL155" s="922"/>
      <c r="XM155" s="922"/>
      <c r="XN155" s="922"/>
      <c r="XO155" s="922"/>
      <c r="XP155" s="922"/>
      <c r="XQ155" s="922"/>
      <c r="XR155" s="922"/>
      <c r="XS155" s="922"/>
      <c r="XT155" s="922"/>
      <c r="XU155" s="922"/>
      <c r="XV155" s="922"/>
      <c r="XW155" s="922"/>
      <c r="XX155" s="922"/>
      <c r="XY155" s="922"/>
      <c r="XZ155" s="922"/>
      <c r="YA155" s="922"/>
      <c r="YB155" s="922"/>
      <c r="YC155" s="922"/>
      <c r="YD155" s="922"/>
      <c r="YE155" s="922"/>
      <c r="YF155" s="922"/>
      <c r="YG155" s="922"/>
      <c r="YH155" s="922"/>
      <c r="YI155" s="922"/>
      <c r="YJ155" s="922"/>
      <c r="YK155" s="922"/>
      <c r="YL155" s="922"/>
      <c r="YM155" s="922"/>
      <c r="YN155" s="922"/>
      <c r="YO155" s="922"/>
      <c r="YP155" s="922"/>
      <c r="YQ155" s="922"/>
      <c r="YR155" s="922"/>
      <c r="YS155" s="922"/>
      <c r="YT155" s="922"/>
      <c r="YU155" s="922"/>
      <c r="YV155" s="922"/>
      <c r="YW155" s="922"/>
      <c r="YX155" s="922"/>
      <c r="YY155" s="922"/>
      <c r="YZ155" s="922"/>
      <c r="ZA155" s="922"/>
      <c r="ZB155" s="922"/>
      <c r="ZC155" s="922"/>
      <c r="ZD155" s="922"/>
      <c r="ZE155" s="922"/>
      <c r="ZF155" s="922"/>
      <c r="ZG155" s="922"/>
      <c r="ZH155" s="922"/>
      <c r="ZI155" s="922"/>
      <c r="ZJ155" s="922"/>
      <c r="ZK155" s="922"/>
      <c r="ZL155" s="922"/>
      <c r="ZM155" s="922"/>
      <c r="ZN155" s="922"/>
      <c r="ZO155" s="922"/>
      <c r="ZP155" s="922"/>
      <c r="ZQ155" s="922"/>
      <c r="ZR155" s="922"/>
      <c r="ZS155" s="922"/>
      <c r="ZT155" s="922"/>
      <c r="ZU155" s="922"/>
      <c r="ZV155" s="922"/>
      <c r="ZW155" s="922"/>
      <c r="ZX155" s="922"/>
      <c r="ZY155" s="922"/>
      <c r="ZZ155" s="922"/>
      <c r="AAA155" s="922"/>
      <c r="AAB155" s="922"/>
      <c r="AAC155" s="922"/>
      <c r="AAD155" s="922"/>
      <c r="AAE155" s="922"/>
      <c r="AAF155" s="922"/>
      <c r="AAG155" s="922"/>
      <c r="AAH155" s="922"/>
      <c r="AAI155" s="922"/>
      <c r="AAJ155" s="922"/>
      <c r="AAK155" s="922"/>
      <c r="AAL155" s="922"/>
      <c r="AAM155" s="922"/>
      <c r="AAN155" s="922"/>
      <c r="AAO155" s="922"/>
      <c r="AAP155" s="922"/>
      <c r="AAQ155" s="922"/>
      <c r="AAR155" s="922"/>
      <c r="AAS155" s="922"/>
      <c r="AAT155" s="922"/>
      <c r="AAU155" s="922"/>
      <c r="AAV155" s="922"/>
      <c r="AAW155" s="922"/>
      <c r="AAX155" s="922"/>
      <c r="AAY155" s="922"/>
      <c r="AAZ155" s="922"/>
      <c r="ABA155" s="922"/>
      <c r="ABB155" s="922"/>
      <c r="ABC155" s="922"/>
      <c r="ABD155" s="922"/>
      <c r="ABE155" s="922"/>
      <c r="ABF155" s="922"/>
      <c r="ABG155" s="922"/>
      <c r="ABH155" s="922"/>
      <c r="ABI155" s="922"/>
      <c r="ABJ155" s="922"/>
      <c r="ABK155" s="922"/>
      <c r="ABL155" s="922"/>
      <c r="ABM155" s="922"/>
      <c r="ABN155" s="922"/>
      <c r="ABO155" s="922"/>
      <c r="ABP155" s="922"/>
      <c r="ABQ155" s="922"/>
      <c r="ABR155" s="922"/>
      <c r="ABS155" s="922"/>
      <c r="ABT155" s="922"/>
      <c r="ABU155" s="922"/>
      <c r="ABV155" s="922"/>
      <c r="ABW155" s="922"/>
      <c r="ABX155" s="922"/>
      <c r="ABY155" s="922"/>
      <c r="ABZ155" s="922"/>
      <c r="ACA155" s="922"/>
      <c r="ACB155" s="922"/>
      <c r="ACC155" s="922"/>
      <c r="ACD155" s="922"/>
      <c r="ACE155" s="922"/>
      <c r="ACF155" s="922"/>
      <c r="ACG155" s="922"/>
      <c r="ACH155" s="922"/>
      <c r="ACI155" s="922"/>
      <c r="ACJ155" s="922"/>
      <c r="ACK155" s="922"/>
      <c r="ACL155" s="922"/>
      <c r="ACM155" s="922"/>
      <c r="ACN155" s="922"/>
      <c r="ACO155" s="922"/>
      <c r="ACP155" s="922"/>
      <c r="ACQ155" s="922"/>
      <c r="ACR155" s="922"/>
      <c r="ACS155" s="922"/>
      <c r="ACT155" s="922"/>
      <c r="ACU155" s="922"/>
      <c r="ACV155" s="922"/>
      <c r="ACW155" s="922"/>
      <c r="ACX155" s="922"/>
      <c r="ACY155" s="922"/>
      <c r="ACZ155" s="922"/>
      <c r="ADA155" s="922"/>
      <c r="ADB155" s="922"/>
      <c r="ADC155" s="922"/>
      <c r="ADD155" s="922"/>
      <c r="ADE155" s="922"/>
      <c r="ADF155" s="922"/>
      <c r="ADG155" s="922"/>
      <c r="ADH155" s="922"/>
      <c r="ADI155" s="922"/>
      <c r="ADJ155" s="922"/>
      <c r="ADK155" s="922"/>
      <c r="ADL155" s="922"/>
      <c r="ADM155" s="922"/>
      <c r="ADN155" s="922"/>
      <c r="ADO155" s="922"/>
      <c r="ADP155" s="922"/>
      <c r="ADQ155" s="922"/>
      <c r="ADR155" s="922"/>
      <c r="ADS155" s="922"/>
      <c r="ADT155" s="922"/>
      <c r="ADU155" s="922"/>
      <c r="ADV155" s="922"/>
      <c r="ADW155" s="922"/>
      <c r="ADX155" s="922"/>
      <c r="ADY155" s="922"/>
      <c r="ADZ155" s="922"/>
      <c r="AEA155" s="922"/>
      <c r="AEB155" s="922"/>
      <c r="AEC155" s="922"/>
      <c r="AED155" s="922"/>
      <c r="AEE155" s="922"/>
      <c r="AEF155" s="922"/>
      <c r="AEG155" s="922"/>
      <c r="AEH155" s="922"/>
      <c r="AEI155" s="922"/>
      <c r="AEJ155" s="922"/>
      <c r="AEK155" s="922"/>
      <c r="AEL155" s="922"/>
      <c r="AEM155" s="922"/>
      <c r="AEN155" s="922"/>
      <c r="AEO155" s="922"/>
      <c r="AEP155" s="922"/>
      <c r="AEQ155" s="922"/>
      <c r="AER155" s="922"/>
      <c r="AES155" s="922"/>
      <c r="AET155" s="922"/>
      <c r="AEU155" s="922"/>
      <c r="AEV155" s="922"/>
      <c r="AEW155" s="922"/>
      <c r="AEX155" s="922"/>
      <c r="AEY155" s="922"/>
      <c r="AEZ155" s="922"/>
      <c r="AFA155" s="922"/>
      <c r="AFB155" s="922"/>
      <c r="AFC155" s="922"/>
      <c r="AFD155" s="922"/>
      <c r="AFE155" s="922"/>
      <c r="AFF155" s="922"/>
      <c r="AFG155" s="922"/>
      <c r="AFH155" s="922"/>
      <c r="AFI155" s="922"/>
      <c r="AFJ155" s="922"/>
      <c r="AFK155" s="922"/>
      <c r="AFL155" s="922"/>
      <c r="AFM155" s="922"/>
      <c r="AFN155" s="922"/>
      <c r="AFO155" s="922"/>
      <c r="AFP155" s="922"/>
      <c r="AFQ155" s="922"/>
      <c r="AFR155" s="922"/>
      <c r="AFS155" s="922"/>
      <c r="AFT155" s="922"/>
      <c r="AFU155" s="922"/>
      <c r="AFV155" s="922"/>
      <c r="AFW155" s="922"/>
      <c r="AFX155" s="922"/>
      <c r="AFY155" s="922"/>
      <c r="AFZ155" s="922"/>
      <c r="AGA155" s="922"/>
      <c r="AGB155" s="922"/>
      <c r="AGC155" s="922"/>
      <c r="AGD155" s="922"/>
      <c r="AGE155" s="922"/>
      <c r="AGF155" s="922"/>
      <c r="AGG155" s="922"/>
      <c r="AGH155" s="922"/>
      <c r="AGI155" s="922"/>
      <c r="AGJ155" s="922"/>
      <c r="AGK155" s="922"/>
      <c r="AGL155" s="922"/>
      <c r="AGM155" s="922"/>
      <c r="AGN155" s="922"/>
      <c r="AGO155" s="922"/>
      <c r="AGP155" s="922"/>
      <c r="AGQ155" s="922"/>
      <c r="AGR155" s="922"/>
      <c r="AGS155" s="922"/>
      <c r="AGT155" s="922"/>
      <c r="AGU155" s="922"/>
      <c r="AGV155" s="922"/>
      <c r="AGW155" s="922"/>
      <c r="AGX155" s="922"/>
      <c r="AGY155" s="922"/>
      <c r="AGZ155" s="922"/>
      <c r="AHA155" s="922"/>
      <c r="AHB155" s="922"/>
      <c r="AHC155" s="922"/>
      <c r="AHD155" s="922"/>
      <c r="AHE155" s="922"/>
      <c r="AHF155" s="922"/>
      <c r="AHG155" s="922"/>
      <c r="AHH155" s="922"/>
      <c r="AHI155" s="922"/>
      <c r="AHJ155" s="922"/>
      <c r="AHK155" s="922"/>
      <c r="AHL155" s="922"/>
      <c r="AHM155" s="922"/>
      <c r="AHN155" s="922"/>
      <c r="AHO155" s="922"/>
      <c r="AHP155" s="922"/>
      <c r="AHQ155" s="922"/>
      <c r="AHR155" s="922"/>
      <c r="AHS155" s="922"/>
      <c r="AHT155" s="922"/>
      <c r="AHU155" s="922"/>
      <c r="AHV155" s="922"/>
      <c r="AHW155" s="922"/>
      <c r="AHX155" s="922"/>
      <c r="AHY155" s="922"/>
      <c r="AHZ155" s="922"/>
      <c r="AIA155" s="922"/>
      <c r="AIB155" s="922"/>
      <c r="AIC155" s="922"/>
      <c r="AID155" s="922"/>
      <c r="AIE155" s="922"/>
      <c r="AIF155" s="922"/>
      <c r="AIG155" s="922"/>
      <c r="AIH155" s="922"/>
      <c r="AII155" s="922"/>
      <c r="AIJ155" s="922"/>
      <c r="AIK155" s="922"/>
      <c r="AIL155" s="922"/>
      <c r="AIM155" s="922"/>
      <c r="AIN155" s="922"/>
      <c r="AIO155" s="922"/>
      <c r="AIP155" s="922"/>
      <c r="AIQ155" s="922"/>
      <c r="AIR155" s="922"/>
      <c r="AIS155" s="922"/>
      <c r="AIT155" s="922"/>
      <c r="AIU155" s="922"/>
      <c r="AIV155" s="922"/>
      <c r="AIW155" s="922"/>
      <c r="AIX155" s="922"/>
      <c r="AIY155" s="922"/>
      <c r="AIZ155" s="922"/>
      <c r="AJA155" s="922"/>
      <c r="AJB155" s="922"/>
      <c r="AJC155" s="922"/>
      <c r="AJD155" s="922"/>
      <c r="AJE155" s="922"/>
      <c r="AJF155" s="922"/>
      <c r="AJG155" s="922"/>
      <c r="AJH155" s="922"/>
      <c r="AJI155" s="922"/>
      <c r="AJJ155" s="922"/>
      <c r="AJK155" s="922"/>
      <c r="AJL155" s="922"/>
      <c r="AJM155" s="922"/>
      <c r="AJN155" s="922"/>
      <c r="AJO155" s="922"/>
      <c r="AJP155" s="922"/>
      <c r="AJQ155" s="922"/>
      <c r="AJR155" s="922"/>
      <c r="AJS155" s="922"/>
      <c r="AJT155" s="922"/>
      <c r="AJU155" s="922"/>
      <c r="AJV155" s="922"/>
      <c r="AJW155" s="922"/>
      <c r="AJX155" s="922"/>
      <c r="AJY155" s="922"/>
      <c r="AJZ155" s="922"/>
      <c r="AKA155" s="922"/>
      <c r="AKB155" s="922"/>
      <c r="AKC155" s="922"/>
      <c r="AKD155" s="922"/>
      <c r="AKE155" s="922"/>
      <c r="AKF155" s="922"/>
      <c r="AKG155" s="922"/>
      <c r="AKH155" s="922"/>
      <c r="AKI155" s="922"/>
      <c r="AKJ155" s="922"/>
      <c r="AKK155" s="922"/>
      <c r="AKL155" s="922"/>
      <c r="AKM155" s="922"/>
      <c r="AKN155" s="922"/>
      <c r="AKO155" s="922"/>
      <c r="AKP155" s="922"/>
      <c r="AKQ155" s="922"/>
      <c r="AKR155" s="922"/>
      <c r="AKS155" s="922"/>
      <c r="AKT155" s="922"/>
      <c r="AKU155" s="922"/>
      <c r="AKV155" s="922"/>
      <c r="AKW155" s="922"/>
      <c r="AKX155" s="922"/>
      <c r="AKY155" s="922"/>
      <c r="AKZ155" s="922"/>
      <c r="ALA155" s="922"/>
      <c r="ALB155" s="922"/>
      <c r="ALC155" s="922"/>
      <c r="ALD155" s="922"/>
      <c r="ALE155" s="922"/>
      <c r="ALF155" s="922"/>
      <c r="ALG155" s="922"/>
      <c r="ALH155" s="922"/>
      <c r="ALI155" s="922"/>
      <c r="ALJ155" s="922"/>
      <c r="ALK155" s="922"/>
      <c r="ALL155" s="922"/>
      <c r="ALM155" s="922"/>
      <c r="ALN155" s="922"/>
      <c r="ALO155" s="922"/>
      <c r="ALP155" s="922"/>
      <c r="ALQ155" s="922"/>
      <c r="ALR155" s="922"/>
      <c r="ALS155" s="922"/>
      <c r="ALT155" s="922"/>
      <c r="ALU155" s="922"/>
      <c r="ALV155" s="922"/>
      <c r="ALW155" s="922"/>
      <c r="ALX155" s="922"/>
      <c r="ALY155" s="922"/>
      <c r="ALZ155" s="922"/>
      <c r="AMA155" s="922"/>
      <c r="AMB155" s="922"/>
      <c r="AMC155" s="922"/>
      <c r="AMD155" s="922"/>
      <c r="AME155" s="922"/>
      <c r="AMF155" s="922"/>
      <c r="AMG155" s="922"/>
      <c r="AMH155" s="922"/>
      <c r="AMI155" s="922"/>
      <c r="AMJ155" s="922"/>
      <c r="AMK155" s="922"/>
      <c r="AML155" s="922"/>
      <c r="AMM155" s="922"/>
      <c r="AMN155" s="922"/>
      <c r="AMO155" s="922"/>
      <c r="AMP155" s="922"/>
      <c r="AMQ155" s="922"/>
      <c r="AMR155" s="922"/>
      <c r="AMS155" s="922"/>
      <c r="AMT155" s="922"/>
      <c r="AMU155" s="922"/>
      <c r="AMV155" s="922"/>
      <c r="AMW155" s="922"/>
      <c r="AMX155" s="922"/>
      <c r="AMY155" s="922"/>
      <c r="AMZ155" s="922"/>
      <c r="ANA155" s="922"/>
      <c r="ANB155" s="922"/>
      <c r="ANC155" s="922"/>
      <c r="AND155" s="922"/>
      <c r="ANE155" s="922"/>
      <c r="ANF155" s="922"/>
      <c r="ANG155" s="922"/>
      <c r="ANH155" s="922"/>
      <c r="ANI155" s="922"/>
      <c r="ANJ155" s="922"/>
      <c r="ANK155" s="922"/>
      <c r="ANL155" s="922"/>
      <c r="ANM155" s="922"/>
      <c r="ANN155" s="922"/>
      <c r="ANO155" s="922"/>
      <c r="ANP155" s="922"/>
      <c r="ANQ155" s="922"/>
      <c r="ANR155" s="922"/>
      <c r="ANS155" s="922"/>
      <c r="ANT155" s="922"/>
      <c r="ANU155" s="922"/>
      <c r="ANV155" s="922"/>
      <c r="ANW155" s="922"/>
      <c r="ANX155" s="922"/>
      <c r="ANY155" s="922"/>
      <c r="ANZ155" s="922"/>
      <c r="AOA155" s="922"/>
      <c r="AOB155" s="922"/>
      <c r="AOC155" s="922"/>
      <c r="AOD155" s="922"/>
      <c r="AOE155" s="922"/>
      <c r="AOF155" s="922"/>
      <c r="AOG155" s="922"/>
      <c r="AOH155" s="922"/>
      <c r="AOI155" s="922"/>
      <c r="AOJ155" s="922"/>
      <c r="AOK155" s="922"/>
      <c r="AOL155" s="922"/>
      <c r="AOM155" s="922"/>
      <c r="AON155" s="922"/>
      <c r="AOO155" s="922"/>
      <c r="AOP155" s="922"/>
      <c r="AOQ155" s="922"/>
      <c r="AOR155" s="922"/>
      <c r="AOS155" s="922"/>
      <c r="AOT155" s="922"/>
      <c r="AOU155" s="922"/>
      <c r="AOV155" s="922"/>
      <c r="AOW155" s="922"/>
      <c r="AOX155" s="922"/>
      <c r="AOY155" s="922"/>
      <c r="AOZ155" s="922"/>
      <c r="APA155" s="922"/>
      <c r="APB155" s="922"/>
      <c r="APC155" s="922"/>
      <c r="APD155" s="922"/>
      <c r="APE155" s="922"/>
      <c r="APF155" s="922"/>
      <c r="APG155" s="922"/>
      <c r="APH155" s="922"/>
      <c r="API155" s="922"/>
      <c r="APJ155" s="922"/>
      <c r="APK155" s="922"/>
      <c r="APL155" s="922"/>
      <c r="APM155" s="922"/>
      <c r="APN155" s="922"/>
      <c r="APO155" s="922"/>
      <c r="APP155" s="922"/>
      <c r="APQ155" s="922"/>
      <c r="APR155" s="922"/>
      <c r="APS155" s="922"/>
      <c r="APT155" s="922"/>
      <c r="APU155" s="922"/>
      <c r="APV155" s="922"/>
      <c r="APW155" s="922"/>
      <c r="APX155" s="922"/>
      <c r="APY155" s="922"/>
      <c r="APZ155" s="922"/>
      <c r="AQA155" s="922"/>
      <c r="AQB155" s="922"/>
      <c r="AQC155" s="922"/>
      <c r="AQD155" s="922"/>
      <c r="AQE155" s="922"/>
      <c r="AQF155" s="922"/>
      <c r="AQG155" s="922"/>
      <c r="AQH155" s="922"/>
      <c r="AQI155" s="922"/>
      <c r="AQJ155" s="922"/>
      <c r="AQK155" s="922"/>
      <c r="AQL155" s="922"/>
      <c r="AQM155" s="922"/>
      <c r="AQN155" s="922"/>
      <c r="AQO155" s="922"/>
      <c r="AQP155" s="922"/>
      <c r="AQQ155" s="922"/>
      <c r="AQR155" s="922"/>
      <c r="AQS155" s="922"/>
      <c r="AQT155" s="922"/>
      <c r="AQU155" s="922"/>
      <c r="AQV155" s="922"/>
      <c r="AQW155" s="922"/>
      <c r="AQX155" s="922"/>
      <c r="AQY155" s="922"/>
      <c r="AQZ155" s="922"/>
      <c r="ARA155" s="922"/>
      <c r="ARB155" s="922"/>
      <c r="ARC155" s="922"/>
      <c r="ARD155" s="922"/>
      <c r="ARE155" s="922"/>
      <c r="ARF155" s="922"/>
      <c r="ARG155" s="922"/>
      <c r="ARH155" s="922"/>
      <c r="ARI155" s="922"/>
      <c r="ARJ155" s="922"/>
      <c r="ARK155" s="922"/>
      <c r="ARL155" s="922"/>
      <c r="ARM155" s="922"/>
      <c r="ARN155" s="922"/>
      <c r="ARO155" s="922"/>
      <c r="ARP155" s="922"/>
      <c r="ARQ155" s="922"/>
      <c r="ARR155" s="922"/>
      <c r="ARS155" s="922"/>
      <c r="ART155" s="922"/>
      <c r="ARU155" s="922"/>
      <c r="ARV155" s="922"/>
      <c r="ARW155" s="922"/>
      <c r="ARX155" s="922"/>
      <c r="ARY155" s="922"/>
      <c r="ARZ155" s="922"/>
      <c r="ASA155" s="922"/>
      <c r="ASB155" s="922"/>
      <c r="ASC155" s="922"/>
    </row>
    <row r="156" spans="1:1173" hidden="1">
      <c r="A156" s="920"/>
      <c r="T156" s="922"/>
      <c r="AN156" s="922"/>
      <c r="AO156" s="922"/>
      <c r="AP156" s="922"/>
      <c r="AQ156" s="922"/>
      <c r="AR156" s="922"/>
      <c r="AS156" s="922"/>
      <c r="AT156" s="922"/>
      <c r="AU156" s="922"/>
      <c r="AV156" s="922"/>
      <c r="AW156" s="922"/>
      <c r="AX156" s="922"/>
      <c r="AY156" s="922"/>
      <c r="AZ156" s="922"/>
      <c r="BA156" s="922"/>
      <c r="BB156" s="922"/>
      <c r="BC156" s="922"/>
      <c r="BD156" s="922"/>
      <c r="BE156" s="922"/>
      <c r="BF156" s="922"/>
      <c r="BG156" s="922"/>
      <c r="BH156" s="922"/>
      <c r="BI156" s="922"/>
      <c r="BJ156" s="922"/>
      <c r="BK156" s="922"/>
      <c r="BL156" s="922"/>
      <c r="BM156" s="922"/>
      <c r="BN156" s="922"/>
      <c r="BO156" s="922"/>
      <c r="BP156" s="922"/>
      <c r="BQ156" s="922"/>
      <c r="BR156" s="922"/>
      <c r="BS156" s="922"/>
      <c r="BT156" s="922"/>
      <c r="BU156" s="922"/>
      <c r="BV156" s="922"/>
      <c r="BW156" s="922"/>
      <c r="BX156" s="922"/>
      <c r="BY156" s="922"/>
      <c r="BZ156" s="922"/>
      <c r="CA156" s="922"/>
      <c r="CB156" s="922"/>
      <c r="CC156" s="922"/>
      <c r="CD156" s="922"/>
      <c r="CE156" s="922"/>
      <c r="CF156" s="922"/>
      <c r="CG156" s="922"/>
      <c r="CH156" s="922"/>
      <c r="CI156" s="922"/>
      <c r="CJ156" s="922"/>
      <c r="CK156" s="922"/>
      <c r="CL156" s="922"/>
      <c r="CM156" s="922"/>
      <c r="CN156" s="922"/>
      <c r="CO156" s="922"/>
      <c r="CP156" s="922"/>
      <c r="CQ156" s="922"/>
      <c r="CR156" s="922"/>
      <c r="CS156" s="922"/>
      <c r="CT156" s="922"/>
      <c r="CU156" s="922"/>
      <c r="CV156" s="922"/>
      <c r="CW156" s="922"/>
      <c r="CX156" s="922"/>
      <c r="CY156" s="922"/>
      <c r="CZ156" s="922"/>
      <c r="DA156" s="922"/>
      <c r="DB156" s="922"/>
      <c r="DC156" s="922"/>
      <c r="DD156" s="922"/>
      <c r="DE156" s="922"/>
      <c r="DF156" s="922"/>
      <c r="DG156" s="922"/>
      <c r="DH156" s="922"/>
      <c r="DI156" s="922"/>
      <c r="DJ156" s="922"/>
      <c r="DK156" s="922"/>
      <c r="DL156" s="922"/>
      <c r="DM156" s="922"/>
      <c r="DN156" s="922"/>
      <c r="DO156" s="922"/>
      <c r="DP156" s="922"/>
      <c r="DQ156" s="922"/>
      <c r="DR156" s="922"/>
      <c r="DS156" s="922"/>
      <c r="DT156" s="922"/>
      <c r="DU156" s="922"/>
      <c r="DV156" s="922"/>
      <c r="DW156" s="922"/>
      <c r="DX156" s="922"/>
      <c r="DY156" s="922"/>
      <c r="DZ156" s="922"/>
      <c r="EA156" s="922"/>
      <c r="EB156" s="922"/>
      <c r="EC156" s="922"/>
      <c r="ED156" s="922"/>
      <c r="EE156" s="922"/>
      <c r="EF156" s="922"/>
      <c r="EG156" s="922"/>
      <c r="EH156" s="922"/>
      <c r="EI156" s="922"/>
      <c r="EJ156" s="922"/>
      <c r="EK156" s="922"/>
      <c r="EL156" s="922"/>
      <c r="EM156" s="922"/>
      <c r="EN156" s="922"/>
      <c r="EO156" s="922"/>
      <c r="EP156" s="922"/>
      <c r="EQ156" s="922"/>
      <c r="ER156" s="922"/>
      <c r="ES156" s="922"/>
      <c r="ET156" s="922"/>
      <c r="EU156" s="922"/>
      <c r="EV156" s="922"/>
      <c r="EW156" s="922"/>
      <c r="EX156" s="922"/>
      <c r="EY156" s="922"/>
      <c r="EZ156" s="922"/>
      <c r="FA156" s="922"/>
      <c r="FB156" s="922"/>
      <c r="FC156" s="922"/>
      <c r="FD156" s="922"/>
      <c r="FE156" s="922"/>
      <c r="FF156" s="922"/>
      <c r="FG156" s="922"/>
      <c r="FH156" s="922"/>
      <c r="FI156" s="922"/>
      <c r="FJ156" s="922"/>
      <c r="FK156" s="922"/>
      <c r="FL156" s="922"/>
      <c r="FM156" s="922"/>
      <c r="FN156" s="922"/>
      <c r="FO156" s="922"/>
      <c r="FP156" s="922"/>
      <c r="FQ156" s="922"/>
      <c r="FR156" s="922"/>
      <c r="FS156" s="922"/>
      <c r="FT156" s="922"/>
      <c r="FU156" s="922"/>
      <c r="FV156" s="922"/>
      <c r="FW156" s="922"/>
      <c r="FX156" s="922"/>
      <c r="FY156" s="922"/>
      <c r="FZ156" s="922"/>
      <c r="GA156" s="922"/>
      <c r="GB156" s="922"/>
      <c r="GC156" s="922"/>
      <c r="GD156" s="922"/>
      <c r="GE156" s="922"/>
      <c r="GF156" s="922"/>
      <c r="GG156" s="922"/>
      <c r="GH156" s="922"/>
      <c r="GI156" s="922"/>
      <c r="GJ156" s="922"/>
      <c r="GK156" s="922"/>
      <c r="GL156" s="922"/>
      <c r="GM156" s="922"/>
      <c r="GN156" s="922"/>
      <c r="GO156" s="922"/>
      <c r="GP156" s="922"/>
      <c r="GQ156" s="922"/>
      <c r="GR156" s="922"/>
      <c r="GS156" s="922"/>
      <c r="GT156" s="922"/>
      <c r="GU156" s="922"/>
      <c r="GV156" s="922"/>
      <c r="GW156" s="922"/>
      <c r="GX156" s="922"/>
      <c r="GY156" s="922"/>
      <c r="GZ156" s="922"/>
      <c r="HA156" s="922"/>
      <c r="HB156" s="922"/>
      <c r="HC156" s="922"/>
      <c r="HD156" s="922"/>
      <c r="HE156" s="922"/>
      <c r="HF156" s="922"/>
      <c r="HG156" s="922"/>
      <c r="HH156" s="922"/>
      <c r="HI156" s="922"/>
      <c r="HJ156" s="922"/>
      <c r="HK156" s="922"/>
      <c r="HL156" s="922"/>
      <c r="HM156" s="922"/>
      <c r="HN156" s="922"/>
      <c r="HO156" s="922"/>
      <c r="HP156" s="922"/>
      <c r="HQ156" s="922"/>
      <c r="HR156" s="922"/>
      <c r="HS156" s="922"/>
      <c r="HT156" s="922"/>
      <c r="HU156" s="922"/>
      <c r="HV156" s="922"/>
      <c r="HW156" s="922"/>
      <c r="HX156" s="922"/>
      <c r="HY156" s="922"/>
      <c r="HZ156" s="922"/>
      <c r="IA156" s="922"/>
      <c r="IB156" s="922"/>
      <c r="IC156" s="922"/>
      <c r="ID156" s="922"/>
      <c r="IE156" s="922"/>
      <c r="IF156" s="922"/>
      <c r="IG156" s="922"/>
      <c r="IH156" s="922"/>
      <c r="II156" s="922"/>
      <c r="IJ156" s="922"/>
      <c r="IK156" s="922"/>
      <c r="IL156" s="922"/>
      <c r="IM156" s="922"/>
      <c r="IN156" s="922"/>
      <c r="IO156" s="922"/>
      <c r="IP156" s="922"/>
      <c r="IQ156" s="922"/>
      <c r="IR156" s="922"/>
      <c r="IS156" s="922"/>
      <c r="IT156" s="922"/>
      <c r="IU156" s="922"/>
      <c r="IV156" s="922"/>
      <c r="IW156" s="922"/>
      <c r="IX156" s="922"/>
      <c r="IY156" s="922"/>
      <c r="IZ156" s="922"/>
      <c r="JA156" s="922"/>
      <c r="JB156" s="922"/>
      <c r="JC156" s="922"/>
      <c r="JD156" s="922"/>
      <c r="JE156" s="922"/>
      <c r="JF156" s="922"/>
      <c r="JG156" s="922"/>
      <c r="JH156" s="922"/>
      <c r="JI156" s="922"/>
      <c r="JJ156" s="922"/>
      <c r="JK156" s="922"/>
      <c r="JL156" s="922"/>
      <c r="JM156" s="922"/>
      <c r="JN156" s="922"/>
      <c r="JO156" s="922"/>
      <c r="JP156" s="922"/>
      <c r="JQ156" s="922"/>
      <c r="JR156" s="922"/>
      <c r="JS156" s="922"/>
      <c r="JT156" s="922"/>
      <c r="JU156" s="922"/>
      <c r="JV156" s="922"/>
      <c r="JW156" s="922"/>
      <c r="JX156" s="922"/>
      <c r="JY156" s="922"/>
      <c r="JZ156" s="922"/>
      <c r="KA156" s="922"/>
      <c r="KB156" s="922"/>
      <c r="KC156" s="922"/>
      <c r="KD156" s="922"/>
      <c r="KE156" s="922"/>
      <c r="KF156" s="922"/>
      <c r="KG156" s="922"/>
      <c r="KH156" s="922"/>
      <c r="KI156" s="922"/>
      <c r="KJ156" s="922"/>
      <c r="KK156" s="922"/>
      <c r="KL156" s="922"/>
      <c r="KM156" s="922"/>
      <c r="KN156" s="922"/>
      <c r="KO156" s="922"/>
      <c r="KP156" s="922"/>
      <c r="KQ156" s="922"/>
      <c r="KR156" s="922"/>
      <c r="KS156" s="922"/>
      <c r="KT156" s="922"/>
      <c r="KU156" s="922"/>
      <c r="KV156" s="922"/>
      <c r="KW156" s="922"/>
      <c r="KX156" s="922"/>
      <c r="KY156" s="922"/>
      <c r="KZ156" s="922"/>
      <c r="LA156" s="922"/>
      <c r="LB156" s="922"/>
      <c r="LC156" s="922"/>
      <c r="LD156" s="922"/>
      <c r="LE156" s="922"/>
      <c r="LF156" s="922"/>
      <c r="LG156" s="922"/>
      <c r="LH156" s="922"/>
      <c r="LI156" s="922"/>
      <c r="LJ156" s="922"/>
      <c r="LK156" s="922"/>
      <c r="LL156" s="922"/>
      <c r="LM156" s="922"/>
      <c r="LN156" s="922"/>
      <c r="LO156" s="922"/>
      <c r="LP156" s="922"/>
      <c r="LQ156" s="922"/>
      <c r="LR156" s="922"/>
      <c r="LS156" s="922"/>
      <c r="LT156" s="922"/>
      <c r="LU156" s="922"/>
      <c r="LV156" s="922"/>
      <c r="LW156" s="922"/>
      <c r="LX156" s="922"/>
      <c r="LY156" s="922"/>
      <c r="LZ156" s="922"/>
      <c r="MA156" s="922"/>
      <c r="MB156" s="922"/>
      <c r="MC156" s="922"/>
      <c r="MD156" s="922"/>
      <c r="ME156" s="922"/>
      <c r="MF156" s="922"/>
      <c r="MG156" s="922"/>
      <c r="MH156" s="922"/>
      <c r="MI156" s="922"/>
      <c r="MJ156" s="922"/>
      <c r="MK156" s="922"/>
      <c r="ML156" s="922"/>
      <c r="MM156" s="922"/>
      <c r="MN156" s="922"/>
      <c r="MO156" s="922"/>
      <c r="MP156" s="922"/>
      <c r="MQ156" s="922"/>
      <c r="MR156" s="922"/>
      <c r="MS156" s="922"/>
      <c r="MT156" s="922"/>
      <c r="MU156" s="922"/>
      <c r="MV156" s="922"/>
      <c r="MW156" s="922"/>
      <c r="MX156" s="922"/>
      <c r="MY156" s="922"/>
      <c r="MZ156" s="922"/>
      <c r="NA156" s="922"/>
      <c r="NB156" s="922"/>
      <c r="NC156" s="922"/>
      <c r="ND156" s="922"/>
      <c r="NE156" s="922"/>
      <c r="NF156" s="922"/>
      <c r="NG156" s="922"/>
      <c r="NH156" s="922"/>
      <c r="NI156" s="922"/>
      <c r="NJ156" s="922"/>
      <c r="NK156" s="922"/>
      <c r="NL156" s="922"/>
      <c r="NM156" s="922"/>
      <c r="NN156" s="922"/>
      <c r="NO156" s="922"/>
      <c r="NP156" s="922"/>
      <c r="NQ156" s="922"/>
      <c r="NR156" s="922"/>
      <c r="NS156" s="922"/>
      <c r="NT156" s="922"/>
      <c r="NU156" s="922"/>
      <c r="NV156" s="922"/>
      <c r="NW156" s="922"/>
      <c r="NX156" s="922"/>
      <c r="NY156" s="922"/>
      <c r="NZ156" s="922"/>
      <c r="OA156" s="922"/>
      <c r="OB156" s="922"/>
      <c r="OC156" s="922"/>
      <c r="OD156" s="922"/>
      <c r="OE156" s="922"/>
      <c r="OF156" s="922"/>
      <c r="OG156" s="922"/>
      <c r="OH156" s="922"/>
      <c r="OI156" s="922"/>
      <c r="OJ156" s="922"/>
      <c r="OK156" s="922"/>
      <c r="OL156" s="922"/>
      <c r="OM156" s="922"/>
      <c r="ON156" s="922"/>
      <c r="OO156" s="922"/>
      <c r="OP156" s="922"/>
      <c r="OQ156" s="922"/>
      <c r="OR156" s="922"/>
      <c r="OS156" s="922"/>
      <c r="OT156" s="922"/>
      <c r="OU156" s="922"/>
      <c r="OV156" s="922"/>
      <c r="OW156" s="922"/>
      <c r="OX156" s="922"/>
      <c r="OY156" s="922"/>
      <c r="OZ156" s="922"/>
      <c r="PA156" s="922"/>
      <c r="PB156" s="922"/>
      <c r="PC156" s="922"/>
      <c r="PD156" s="922"/>
      <c r="PE156" s="922"/>
      <c r="PF156" s="922"/>
      <c r="PG156" s="922"/>
      <c r="PH156" s="922"/>
      <c r="PI156" s="922"/>
      <c r="PJ156" s="922"/>
      <c r="PK156" s="922"/>
      <c r="PL156" s="922"/>
      <c r="PM156" s="922"/>
      <c r="PN156" s="922"/>
      <c r="PO156" s="922"/>
      <c r="PP156" s="922"/>
      <c r="PQ156" s="922"/>
      <c r="PR156" s="922"/>
      <c r="PS156" s="922"/>
      <c r="PT156" s="922"/>
      <c r="PU156" s="922"/>
      <c r="PV156" s="922"/>
      <c r="PW156" s="922"/>
      <c r="PX156" s="922"/>
      <c r="PY156" s="922"/>
      <c r="PZ156" s="922"/>
      <c r="QA156" s="922"/>
      <c r="QB156" s="922"/>
      <c r="QC156" s="922"/>
      <c r="QD156" s="922"/>
      <c r="QE156" s="922"/>
      <c r="QF156" s="922"/>
      <c r="QG156" s="922"/>
      <c r="QH156" s="922"/>
      <c r="QI156" s="922"/>
      <c r="QJ156" s="922"/>
      <c r="QK156" s="922"/>
      <c r="QL156" s="922"/>
      <c r="QM156" s="922"/>
      <c r="QN156" s="922"/>
      <c r="QO156" s="922"/>
      <c r="QP156" s="922"/>
      <c r="QQ156" s="922"/>
      <c r="QR156" s="922"/>
      <c r="QS156" s="922"/>
      <c r="QT156" s="922"/>
      <c r="QU156" s="922"/>
      <c r="QV156" s="922"/>
      <c r="QW156" s="922"/>
      <c r="QX156" s="922"/>
      <c r="QY156" s="922"/>
      <c r="QZ156" s="922"/>
      <c r="RA156" s="922"/>
      <c r="RB156" s="922"/>
      <c r="RC156" s="922"/>
      <c r="RD156" s="922"/>
      <c r="RE156" s="922"/>
      <c r="RF156" s="922"/>
      <c r="RG156" s="922"/>
      <c r="RH156" s="922"/>
      <c r="RI156" s="922"/>
      <c r="RJ156" s="922"/>
      <c r="RK156" s="922"/>
      <c r="RL156" s="922"/>
      <c r="RM156" s="922"/>
      <c r="RN156" s="922"/>
      <c r="RO156" s="922"/>
      <c r="RP156" s="922"/>
      <c r="RQ156" s="922"/>
      <c r="RR156" s="922"/>
      <c r="RS156" s="922"/>
      <c r="RT156" s="922"/>
      <c r="RU156" s="922"/>
      <c r="RV156" s="922"/>
      <c r="RW156" s="922"/>
      <c r="RX156" s="922"/>
      <c r="RY156" s="922"/>
      <c r="RZ156" s="922"/>
      <c r="SA156" s="922"/>
      <c r="SB156" s="922"/>
      <c r="SC156" s="922"/>
      <c r="SD156" s="922"/>
      <c r="SE156" s="922"/>
      <c r="SF156" s="922"/>
      <c r="SG156" s="922"/>
      <c r="SH156" s="922"/>
      <c r="SI156" s="922"/>
      <c r="SJ156" s="922"/>
      <c r="SK156" s="922"/>
      <c r="SL156" s="922"/>
      <c r="SM156" s="922"/>
      <c r="SN156" s="922"/>
      <c r="SO156" s="922"/>
      <c r="SP156" s="922"/>
      <c r="SQ156" s="922"/>
      <c r="SR156" s="922"/>
      <c r="SS156" s="922"/>
      <c r="ST156" s="922"/>
      <c r="SU156" s="922"/>
      <c r="SV156" s="922"/>
      <c r="SW156" s="922"/>
      <c r="SX156" s="922"/>
      <c r="SY156" s="922"/>
      <c r="SZ156" s="922"/>
      <c r="TA156" s="922"/>
      <c r="TB156" s="922"/>
      <c r="TC156" s="922"/>
      <c r="TD156" s="922"/>
      <c r="TE156" s="922"/>
      <c r="TF156" s="922"/>
      <c r="TG156" s="922"/>
      <c r="TH156" s="922"/>
      <c r="TI156" s="922"/>
      <c r="TJ156" s="922"/>
      <c r="TK156" s="922"/>
      <c r="TL156" s="922"/>
      <c r="TM156" s="922"/>
      <c r="TN156" s="922"/>
      <c r="TO156" s="922"/>
      <c r="TP156" s="922"/>
      <c r="TQ156" s="922"/>
      <c r="TR156" s="922"/>
      <c r="TS156" s="922"/>
      <c r="TT156" s="922"/>
      <c r="TU156" s="922"/>
      <c r="TV156" s="922"/>
      <c r="TW156" s="922"/>
      <c r="TX156" s="922"/>
      <c r="TY156" s="922"/>
      <c r="TZ156" s="922"/>
      <c r="UA156" s="922"/>
      <c r="UB156" s="922"/>
      <c r="UC156" s="922"/>
      <c r="UD156" s="922"/>
      <c r="UE156" s="922"/>
      <c r="UF156" s="922"/>
      <c r="UG156" s="922"/>
      <c r="UH156" s="922"/>
      <c r="UI156" s="922"/>
      <c r="UJ156" s="922"/>
      <c r="UK156" s="922"/>
      <c r="UL156" s="922"/>
      <c r="UM156" s="922"/>
      <c r="UN156" s="922"/>
      <c r="UO156" s="922"/>
      <c r="UP156" s="922"/>
      <c r="UQ156" s="922"/>
      <c r="UR156" s="922"/>
      <c r="US156" s="922"/>
      <c r="UT156" s="922"/>
      <c r="UU156" s="922"/>
      <c r="UV156" s="922"/>
      <c r="UW156" s="922"/>
      <c r="UX156" s="922"/>
      <c r="UY156" s="922"/>
      <c r="UZ156" s="922"/>
      <c r="VA156" s="922"/>
      <c r="VB156" s="922"/>
      <c r="VC156" s="922"/>
      <c r="VD156" s="922"/>
      <c r="VE156" s="922"/>
      <c r="VF156" s="922"/>
      <c r="VG156" s="922"/>
      <c r="VH156" s="922"/>
      <c r="VI156" s="922"/>
      <c r="VJ156" s="922"/>
      <c r="VK156" s="922"/>
      <c r="VL156" s="922"/>
      <c r="VM156" s="922"/>
      <c r="VN156" s="922"/>
      <c r="VO156" s="922"/>
      <c r="VP156" s="922"/>
      <c r="VQ156" s="922"/>
      <c r="VR156" s="922"/>
      <c r="VS156" s="922"/>
      <c r="VT156" s="922"/>
      <c r="VU156" s="922"/>
      <c r="VV156" s="922"/>
      <c r="VW156" s="922"/>
      <c r="VX156" s="922"/>
      <c r="VY156" s="922"/>
      <c r="VZ156" s="922"/>
      <c r="WA156" s="922"/>
      <c r="WB156" s="922"/>
      <c r="WC156" s="922"/>
      <c r="WD156" s="922"/>
      <c r="WE156" s="922"/>
      <c r="WF156" s="922"/>
      <c r="WG156" s="922"/>
      <c r="WH156" s="922"/>
      <c r="WI156" s="922"/>
      <c r="WJ156" s="922"/>
      <c r="WK156" s="922"/>
      <c r="WL156" s="922"/>
      <c r="WM156" s="922"/>
      <c r="WN156" s="922"/>
      <c r="WO156" s="922"/>
      <c r="WP156" s="922"/>
      <c r="WQ156" s="922"/>
      <c r="WR156" s="922"/>
      <c r="WS156" s="922"/>
      <c r="WT156" s="922"/>
      <c r="WU156" s="922"/>
      <c r="WV156" s="922"/>
      <c r="WW156" s="922"/>
      <c r="WX156" s="922"/>
      <c r="WY156" s="922"/>
      <c r="WZ156" s="922"/>
      <c r="XA156" s="922"/>
      <c r="XB156" s="922"/>
      <c r="XC156" s="922"/>
      <c r="XD156" s="922"/>
      <c r="XE156" s="922"/>
      <c r="XF156" s="922"/>
      <c r="XG156" s="922"/>
      <c r="XH156" s="922"/>
      <c r="XI156" s="922"/>
      <c r="XJ156" s="922"/>
      <c r="XK156" s="922"/>
      <c r="XL156" s="922"/>
      <c r="XM156" s="922"/>
      <c r="XN156" s="922"/>
      <c r="XO156" s="922"/>
      <c r="XP156" s="922"/>
      <c r="XQ156" s="922"/>
      <c r="XR156" s="922"/>
      <c r="XS156" s="922"/>
      <c r="XT156" s="922"/>
      <c r="XU156" s="922"/>
      <c r="XV156" s="922"/>
      <c r="XW156" s="922"/>
      <c r="XX156" s="922"/>
      <c r="XY156" s="922"/>
      <c r="XZ156" s="922"/>
      <c r="YA156" s="922"/>
      <c r="YB156" s="922"/>
      <c r="YC156" s="922"/>
      <c r="YD156" s="922"/>
      <c r="YE156" s="922"/>
      <c r="YF156" s="922"/>
      <c r="YG156" s="922"/>
      <c r="YH156" s="922"/>
      <c r="YI156" s="922"/>
      <c r="YJ156" s="922"/>
      <c r="YK156" s="922"/>
      <c r="YL156" s="922"/>
      <c r="YM156" s="922"/>
      <c r="YN156" s="922"/>
      <c r="YO156" s="922"/>
      <c r="YP156" s="922"/>
      <c r="YQ156" s="922"/>
      <c r="YR156" s="922"/>
      <c r="YS156" s="922"/>
      <c r="YT156" s="922"/>
      <c r="YU156" s="922"/>
      <c r="YV156" s="922"/>
      <c r="YW156" s="922"/>
      <c r="YX156" s="922"/>
      <c r="YY156" s="922"/>
      <c r="YZ156" s="922"/>
      <c r="ZA156" s="922"/>
      <c r="ZB156" s="922"/>
      <c r="ZC156" s="922"/>
      <c r="ZD156" s="922"/>
      <c r="ZE156" s="922"/>
      <c r="ZF156" s="922"/>
      <c r="ZG156" s="922"/>
      <c r="ZH156" s="922"/>
      <c r="ZI156" s="922"/>
      <c r="ZJ156" s="922"/>
      <c r="ZK156" s="922"/>
      <c r="ZL156" s="922"/>
      <c r="ZM156" s="922"/>
      <c r="ZN156" s="922"/>
      <c r="ZO156" s="922"/>
      <c r="ZP156" s="922"/>
      <c r="ZQ156" s="922"/>
      <c r="ZR156" s="922"/>
      <c r="ZS156" s="922"/>
      <c r="ZT156" s="922"/>
      <c r="ZU156" s="922"/>
      <c r="ZV156" s="922"/>
      <c r="ZW156" s="922"/>
      <c r="ZX156" s="922"/>
      <c r="ZY156" s="922"/>
      <c r="ZZ156" s="922"/>
      <c r="AAA156" s="922"/>
      <c r="AAB156" s="922"/>
      <c r="AAC156" s="922"/>
      <c r="AAD156" s="922"/>
      <c r="AAE156" s="922"/>
      <c r="AAF156" s="922"/>
      <c r="AAG156" s="922"/>
      <c r="AAH156" s="922"/>
      <c r="AAI156" s="922"/>
      <c r="AAJ156" s="922"/>
      <c r="AAK156" s="922"/>
      <c r="AAL156" s="922"/>
      <c r="AAM156" s="922"/>
      <c r="AAN156" s="922"/>
      <c r="AAO156" s="922"/>
      <c r="AAP156" s="922"/>
      <c r="AAQ156" s="922"/>
      <c r="AAR156" s="922"/>
      <c r="AAS156" s="922"/>
      <c r="AAT156" s="922"/>
      <c r="AAU156" s="922"/>
      <c r="AAV156" s="922"/>
      <c r="AAW156" s="922"/>
      <c r="AAX156" s="922"/>
      <c r="AAY156" s="922"/>
      <c r="AAZ156" s="922"/>
      <c r="ABA156" s="922"/>
      <c r="ABB156" s="922"/>
      <c r="ABC156" s="922"/>
      <c r="ABD156" s="922"/>
      <c r="ABE156" s="922"/>
      <c r="ABF156" s="922"/>
      <c r="ABG156" s="922"/>
      <c r="ABH156" s="922"/>
      <c r="ABI156" s="922"/>
      <c r="ABJ156" s="922"/>
      <c r="ABK156" s="922"/>
      <c r="ABL156" s="922"/>
      <c r="ABM156" s="922"/>
      <c r="ABN156" s="922"/>
      <c r="ABO156" s="922"/>
      <c r="ABP156" s="922"/>
      <c r="ABQ156" s="922"/>
      <c r="ABR156" s="922"/>
      <c r="ABS156" s="922"/>
      <c r="ABT156" s="922"/>
      <c r="ABU156" s="922"/>
      <c r="ABV156" s="922"/>
      <c r="ABW156" s="922"/>
      <c r="ABX156" s="922"/>
      <c r="ABY156" s="922"/>
      <c r="ABZ156" s="922"/>
      <c r="ACA156" s="922"/>
      <c r="ACB156" s="922"/>
      <c r="ACC156" s="922"/>
      <c r="ACD156" s="922"/>
      <c r="ACE156" s="922"/>
      <c r="ACF156" s="922"/>
      <c r="ACG156" s="922"/>
      <c r="ACH156" s="922"/>
      <c r="ACI156" s="922"/>
      <c r="ACJ156" s="922"/>
      <c r="ACK156" s="922"/>
      <c r="ACL156" s="922"/>
      <c r="ACM156" s="922"/>
      <c r="ACN156" s="922"/>
      <c r="ACO156" s="922"/>
      <c r="ACP156" s="922"/>
      <c r="ACQ156" s="922"/>
      <c r="ACR156" s="922"/>
      <c r="ACS156" s="922"/>
      <c r="ACT156" s="922"/>
      <c r="ACU156" s="922"/>
      <c r="ACV156" s="922"/>
      <c r="ACW156" s="922"/>
      <c r="ACX156" s="922"/>
      <c r="ACY156" s="922"/>
      <c r="ACZ156" s="922"/>
      <c r="ADA156" s="922"/>
      <c r="ADB156" s="922"/>
      <c r="ADC156" s="922"/>
      <c r="ADD156" s="922"/>
      <c r="ADE156" s="922"/>
      <c r="ADF156" s="922"/>
      <c r="ADG156" s="922"/>
      <c r="ADH156" s="922"/>
      <c r="ADI156" s="922"/>
      <c r="ADJ156" s="922"/>
      <c r="ADK156" s="922"/>
      <c r="ADL156" s="922"/>
      <c r="ADM156" s="922"/>
      <c r="ADN156" s="922"/>
      <c r="ADO156" s="922"/>
      <c r="ADP156" s="922"/>
      <c r="ADQ156" s="922"/>
      <c r="ADR156" s="922"/>
      <c r="ADS156" s="922"/>
      <c r="ADT156" s="922"/>
      <c r="ADU156" s="922"/>
      <c r="ADV156" s="922"/>
      <c r="ADW156" s="922"/>
      <c r="ADX156" s="922"/>
      <c r="ADY156" s="922"/>
      <c r="ADZ156" s="922"/>
      <c r="AEA156" s="922"/>
      <c r="AEB156" s="922"/>
      <c r="AEC156" s="922"/>
      <c r="AED156" s="922"/>
      <c r="AEE156" s="922"/>
      <c r="AEF156" s="922"/>
      <c r="AEG156" s="922"/>
      <c r="AEH156" s="922"/>
      <c r="AEI156" s="922"/>
      <c r="AEJ156" s="922"/>
      <c r="AEK156" s="922"/>
      <c r="AEL156" s="922"/>
      <c r="AEM156" s="922"/>
      <c r="AEN156" s="922"/>
      <c r="AEO156" s="922"/>
      <c r="AEP156" s="922"/>
      <c r="AEQ156" s="922"/>
      <c r="AER156" s="922"/>
      <c r="AES156" s="922"/>
      <c r="AET156" s="922"/>
      <c r="AEU156" s="922"/>
      <c r="AEV156" s="922"/>
      <c r="AEW156" s="922"/>
      <c r="AEX156" s="922"/>
      <c r="AEY156" s="922"/>
      <c r="AEZ156" s="922"/>
      <c r="AFA156" s="922"/>
      <c r="AFB156" s="922"/>
      <c r="AFC156" s="922"/>
      <c r="AFD156" s="922"/>
      <c r="AFE156" s="922"/>
      <c r="AFF156" s="922"/>
      <c r="AFG156" s="922"/>
      <c r="AFH156" s="922"/>
      <c r="AFI156" s="922"/>
      <c r="AFJ156" s="922"/>
      <c r="AFK156" s="922"/>
      <c r="AFL156" s="922"/>
      <c r="AFM156" s="922"/>
      <c r="AFN156" s="922"/>
      <c r="AFO156" s="922"/>
      <c r="AFP156" s="922"/>
      <c r="AFQ156" s="922"/>
      <c r="AFR156" s="922"/>
      <c r="AFS156" s="922"/>
      <c r="AFT156" s="922"/>
      <c r="AFU156" s="922"/>
      <c r="AFV156" s="922"/>
      <c r="AFW156" s="922"/>
      <c r="AFX156" s="922"/>
      <c r="AFY156" s="922"/>
      <c r="AFZ156" s="922"/>
      <c r="AGA156" s="922"/>
      <c r="AGB156" s="922"/>
      <c r="AGC156" s="922"/>
      <c r="AGD156" s="922"/>
      <c r="AGE156" s="922"/>
      <c r="AGF156" s="922"/>
      <c r="AGG156" s="922"/>
      <c r="AGH156" s="922"/>
      <c r="AGI156" s="922"/>
      <c r="AGJ156" s="922"/>
      <c r="AGK156" s="922"/>
      <c r="AGL156" s="922"/>
      <c r="AGM156" s="922"/>
      <c r="AGN156" s="922"/>
      <c r="AGO156" s="922"/>
      <c r="AGP156" s="922"/>
      <c r="AGQ156" s="922"/>
      <c r="AGR156" s="922"/>
      <c r="AGS156" s="922"/>
      <c r="AGT156" s="922"/>
      <c r="AGU156" s="922"/>
      <c r="AGV156" s="922"/>
      <c r="AGW156" s="922"/>
      <c r="AGX156" s="922"/>
      <c r="AGY156" s="922"/>
      <c r="AGZ156" s="922"/>
      <c r="AHA156" s="922"/>
      <c r="AHB156" s="922"/>
      <c r="AHC156" s="922"/>
      <c r="AHD156" s="922"/>
      <c r="AHE156" s="922"/>
      <c r="AHF156" s="922"/>
      <c r="AHG156" s="922"/>
      <c r="AHH156" s="922"/>
      <c r="AHI156" s="922"/>
      <c r="AHJ156" s="922"/>
      <c r="AHK156" s="922"/>
      <c r="AHL156" s="922"/>
      <c r="AHM156" s="922"/>
      <c r="AHN156" s="922"/>
      <c r="AHO156" s="922"/>
      <c r="AHP156" s="922"/>
      <c r="AHQ156" s="922"/>
      <c r="AHR156" s="922"/>
      <c r="AHS156" s="922"/>
      <c r="AHT156" s="922"/>
      <c r="AHU156" s="922"/>
      <c r="AHV156" s="922"/>
      <c r="AHW156" s="922"/>
      <c r="AHX156" s="922"/>
      <c r="AHY156" s="922"/>
      <c r="AHZ156" s="922"/>
      <c r="AIA156" s="922"/>
      <c r="AIB156" s="922"/>
      <c r="AIC156" s="922"/>
      <c r="AID156" s="922"/>
      <c r="AIE156" s="922"/>
      <c r="AIF156" s="922"/>
      <c r="AIG156" s="922"/>
      <c r="AIH156" s="922"/>
      <c r="AII156" s="922"/>
      <c r="AIJ156" s="922"/>
      <c r="AIK156" s="922"/>
      <c r="AIL156" s="922"/>
      <c r="AIM156" s="922"/>
      <c r="AIN156" s="922"/>
      <c r="AIO156" s="922"/>
      <c r="AIP156" s="922"/>
      <c r="AIQ156" s="922"/>
      <c r="AIR156" s="922"/>
      <c r="AIS156" s="922"/>
      <c r="AIT156" s="922"/>
      <c r="AIU156" s="922"/>
      <c r="AIV156" s="922"/>
      <c r="AIW156" s="922"/>
      <c r="AIX156" s="922"/>
      <c r="AIY156" s="922"/>
      <c r="AIZ156" s="922"/>
      <c r="AJA156" s="922"/>
      <c r="AJB156" s="922"/>
      <c r="AJC156" s="922"/>
      <c r="AJD156" s="922"/>
      <c r="AJE156" s="922"/>
      <c r="AJF156" s="922"/>
      <c r="AJG156" s="922"/>
      <c r="AJH156" s="922"/>
      <c r="AJI156" s="922"/>
      <c r="AJJ156" s="922"/>
      <c r="AJK156" s="922"/>
      <c r="AJL156" s="922"/>
      <c r="AJM156" s="922"/>
      <c r="AJN156" s="922"/>
      <c r="AJO156" s="922"/>
      <c r="AJP156" s="922"/>
      <c r="AJQ156" s="922"/>
      <c r="AJR156" s="922"/>
      <c r="AJS156" s="922"/>
      <c r="AJT156" s="922"/>
      <c r="AJU156" s="922"/>
      <c r="AJV156" s="922"/>
      <c r="AJW156" s="922"/>
      <c r="AJX156" s="922"/>
      <c r="AJY156" s="922"/>
      <c r="AJZ156" s="922"/>
      <c r="AKA156" s="922"/>
      <c r="AKB156" s="922"/>
      <c r="AKC156" s="922"/>
      <c r="AKD156" s="922"/>
      <c r="AKE156" s="922"/>
      <c r="AKF156" s="922"/>
      <c r="AKG156" s="922"/>
      <c r="AKH156" s="922"/>
      <c r="AKI156" s="922"/>
      <c r="AKJ156" s="922"/>
      <c r="AKK156" s="922"/>
      <c r="AKL156" s="922"/>
      <c r="AKM156" s="922"/>
      <c r="AKN156" s="922"/>
      <c r="AKO156" s="922"/>
      <c r="AKP156" s="922"/>
      <c r="AKQ156" s="922"/>
      <c r="AKR156" s="922"/>
      <c r="AKS156" s="922"/>
      <c r="AKT156" s="922"/>
      <c r="AKU156" s="922"/>
      <c r="AKV156" s="922"/>
      <c r="AKW156" s="922"/>
      <c r="AKX156" s="922"/>
      <c r="AKY156" s="922"/>
      <c r="AKZ156" s="922"/>
      <c r="ALA156" s="922"/>
      <c r="ALB156" s="922"/>
      <c r="ALC156" s="922"/>
      <c r="ALD156" s="922"/>
      <c r="ALE156" s="922"/>
      <c r="ALF156" s="922"/>
      <c r="ALG156" s="922"/>
      <c r="ALH156" s="922"/>
      <c r="ALI156" s="922"/>
      <c r="ALJ156" s="922"/>
      <c r="ALK156" s="922"/>
      <c r="ALL156" s="922"/>
      <c r="ALM156" s="922"/>
      <c r="ALN156" s="922"/>
      <c r="ALO156" s="922"/>
      <c r="ALP156" s="922"/>
      <c r="ALQ156" s="922"/>
      <c r="ALR156" s="922"/>
      <c r="ALS156" s="922"/>
      <c r="ALT156" s="922"/>
      <c r="ALU156" s="922"/>
      <c r="ALV156" s="922"/>
      <c r="ALW156" s="922"/>
      <c r="ALX156" s="922"/>
      <c r="ALY156" s="922"/>
      <c r="ALZ156" s="922"/>
      <c r="AMA156" s="922"/>
      <c r="AMB156" s="922"/>
      <c r="AMC156" s="922"/>
      <c r="AMD156" s="922"/>
      <c r="AME156" s="922"/>
      <c r="AMF156" s="922"/>
      <c r="AMG156" s="922"/>
      <c r="AMH156" s="922"/>
      <c r="AMI156" s="922"/>
      <c r="AMJ156" s="922"/>
      <c r="AMK156" s="922"/>
      <c r="AML156" s="922"/>
      <c r="AMM156" s="922"/>
      <c r="AMN156" s="922"/>
      <c r="AMO156" s="922"/>
      <c r="AMP156" s="922"/>
      <c r="AMQ156" s="922"/>
      <c r="AMR156" s="922"/>
      <c r="AMS156" s="922"/>
      <c r="AMT156" s="922"/>
      <c r="AMU156" s="922"/>
      <c r="AMV156" s="922"/>
      <c r="AMW156" s="922"/>
      <c r="AMX156" s="922"/>
      <c r="AMY156" s="922"/>
      <c r="AMZ156" s="922"/>
      <c r="ANA156" s="922"/>
      <c r="ANB156" s="922"/>
      <c r="ANC156" s="922"/>
      <c r="AND156" s="922"/>
      <c r="ANE156" s="922"/>
      <c r="ANF156" s="922"/>
      <c r="ANG156" s="922"/>
      <c r="ANH156" s="922"/>
      <c r="ANI156" s="922"/>
      <c r="ANJ156" s="922"/>
      <c r="ANK156" s="922"/>
      <c r="ANL156" s="922"/>
      <c r="ANM156" s="922"/>
      <c r="ANN156" s="922"/>
      <c r="ANO156" s="922"/>
      <c r="ANP156" s="922"/>
      <c r="ANQ156" s="922"/>
      <c r="ANR156" s="922"/>
      <c r="ANS156" s="922"/>
      <c r="ANT156" s="922"/>
      <c r="ANU156" s="922"/>
      <c r="ANV156" s="922"/>
      <c r="ANW156" s="922"/>
      <c r="ANX156" s="922"/>
      <c r="ANY156" s="922"/>
      <c r="ANZ156" s="922"/>
      <c r="AOA156" s="922"/>
      <c r="AOB156" s="922"/>
      <c r="AOC156" s="922"/>
      <c r="AOD156" s="922"/>
      <c r="AOE156" s="922"/>
      <c r="AOF156" s="922"/>
      <c r="AOG156" s="922"/>
      <c r="AOH156" s="922"/>
      <c r="AOI156" s="922"/>
      <c r="AOJ156" s="922"/>
      <c r="AOK156" s="922"/>
      <c r="AOL156" s="922"/>
      <c r="AOM156" s="922"/>
      <c r="AON156" s="922"/>
      <c r="AOO156" s="922"/>
      <c r="AOP156" s="922"/>
      <c r="AOQ156" s="922"/>
      <c r="AOR156" s="922"/>
      <c r="AOS156" s="922"/>
      <c r="AOT156" s="922"/>
      <c r="AOU156" s="922"/>
      <c r="AOV156" s="922"/>
      <c r="AOW156" s="922"/>
      <c r="AOX156" s="922"/>
      <c r="AOY156" s="922"/>
      <c r="AOZ156" s="922"/>
      <c r="APA156" s="922"/>
      <c r="APB156" s="922"/>
      <c r="APC156" s="922"/>
      <c r="APD156" s="922"/>
      <c r="APE156" s="922"/>
      <c r="APF156" s="922"/>
      <c r="APG156" s="922"/>
      <c r="APH156" s="922"/>
      <c r="API156" s="922"/>
      <c r="APJ156" s="922"/>
      <c r="APK156" s="922"/>
      <c r="APL156" s="922"/>
      <c r="APM156" s="922"/>
      <c r="APN156" s="922"/>
      <c r="APO156" s="922"/>
      <c r="APP156" s="922"/>
      <c r="APQ156" s="922"/>
      <c r="APR156" s="922"/>
      <c r="APS156" s="922"/>
      <c r="APT156" s="922"/>
      <c r="APU156" s="922"/>
      <c r="APV156" s="922"/>
      <c r="APW156" s="922"/>
      <c r="APX156" s="922"/>
      <c r="APY156" s="922"/>
      <c r="APZ156" s="922"/>
      <c r="AQA156" s="922"/>
      <c r="AQB156" s="922"/>
      <c r="AQC156" s="922"/>
      <c r="AQD156" s="922"/>
      <c r="AQE156" s="922"/>
      <c r="AQF156" s="922"/>
      <c r="AQG156" s="922"/>
      <c r="AQH156" s="922"/>
      <c r="AQI156" s="922"/>
      <c r="AQJ156" s="922"/>
      <c r="AQK156" s="922"/>
      <c r="AQL156" s="922"/>
      <c r="AQM156" s="922"/>
      <c r="AQN156" s="922"/>
      <c r="AQO156" s="922"/>
      <c r="AQP156" s="922"/>
      <c r="AQQ156" s="922"/>
      <c r="AQR156" s="922"/>
      <c r="AQS156" s="922"/>
      <c r="AQT156" s="922"/>
      <c r="AQU156" s="922"/>
      <c r="AQV156" s="922"/>
      <c r="AQW156" s="922"/>
      <c r="AQX156" s="922"/>
      <c r="AQY156" s="922"/>
      <c r="AQZ156" s="922"/>
      <c r="ARA156" s="922"/>
      <c r="ARB156" s="922"/>
      <c r="ARC156" s="922"/>
      <c r="ARD156" s="922"/>
      <c r="ARE156" s="922"/>
      <c r="ARF156" s="922"/>
      <c r="ARG156" s="922"/>
      <c r="ARH156" s="922"/>
      <c r="ARI156" s="922"/>
      <c r="ARJ156" s="922"/>
      <c r="ARK156" s="922"/>
      <c r="ARL156" s="922"/>
      <c r="ARM156" s="922"/>
      <c r="ARN156" s="922"/>
      <c r="ARO156" s="922"/>
      <c r="ARP156" s="922"/>
      <c r="ARQ156" s="922"/>
      <c r="ARR156" s="922"/>
      <c r="ARS156" s="922"/>
      <c r="ART156" s="922"/>
      <c r="ARU156" s="922"/>
      <c r="ARV156" s="922"/>
      <c r="ARW156" s="922"/>
      <c r="ARX156" s="922"/>
      <c r="ARY156" s="922"/>
      <c r="ARZ156" s="922"/>
      <c r="ASA156" s="922"/>
      <c r="ASB156" s="922"/>
      <c r="ASC156" s="922"/>
    </row>
    <row r="157" spans="1:1173" hidden="1">
      <c r="A157" s="920"/>
      <c r="T157" s="922"/>
      <c r="AN157" s="922"/>
      <c r="AO157" s="922"/>
      <c r="AP157" s="922"/>
      <c r="AQ157" s="922"/>
      <c r="AR157" s="922"/>
      <c r="AS157" s="922"/>
      <c r="AT157" s="922"/>
      <c r="AU157" s="922"/>
      <c r="AV157" s="922"/>
      <c r="AW157" s="922"/>
      <c r="AX157" s="922"/>
      <c r="AY157" s="922"/>
      <c r="AZ157" s="922"/>
      <c r="BA157" s="922"/>
      <c r="BB157" s="922"/>
      <c r="BC157" s="922"/>
      <c r="BD157" s="922"/>
      <c r="BE157" s="922"/>
      <c r="BF157" s="922"/>
      <c r="BG157" s="922"/>
      <c r="BH157" s="922"/>
      <c r="BI157" s="922"/>
      <c r="BJ157" s="922"/>
      <c r="BK157" s="922"/>
      <c r="BL157" s="922"/>
      <c r="BM157" s="922"/>
      <c r="BN157" s="922"/>
      <c r="BO157" s="922"/>
      <c r="BP157" s="922"/>
      <c r="BQ157" s="922"/>
      <c r="BR157" s="922"/>
      <c r="BS157" s="922"/>
      <c r="BT157" s="922"/>
      <c r="BU157" s="922"/>
      <c r="BV157" s="922"/>
      <c r="BW157" s="922"/>
      <c r="BX157" s="922"/>
      <c r="BY157" s="922"/>
      <c r="BZ157" s="922"/>
      <c r="CA157" s="922"/>
      <c r="CB157" s="922"/>
      <c r="CC157" s="922"/>
      <c r="CD157" s="922"/>
      <c r="CE157" s="922"/>
      <c r="CF157" s="922"/>
      <c r="CG157" s="922"/>
      <c r="CH157" s="922"/>
      <c r="CI157" s="922"/>
      <c r="CJ157" s="922"/>
      <c r="CK157" s="922"/>
      <c r="CL157" s="922"/>
      <c r="CM157" s="922"/>
      <c r="CN157" s="922"/>
      <c r="CO157" s="922"/>
      <c r="CP157" s="922"/>
      <c r="CQ157" s="922"/>
      <c r="CR157" s="922"/>
      <c r="CS157" s="922"/>
      <c r="CT157" s="922"/>
      <c r="CU157" s="922"/>
      <c r="CV157" s="922"/>
      <c r="CW157" s="922"/>
      <c r="CX157" s="922"/>
      <c r="CY157" s="922"/>
      <c r="CZ157" s="922"/>
      <c r="DA157" s="922"/>
      <c r="DB157" s="922"/>
      <c r="DC157" s="922"/>
      <c r="DD157" s="922"/>
      <c r="DE157" s="922"/>
      <c r="DF157" s="922"/>
      <c r="DG157" s="922"/>
      <c r="DH157" s="922"/>
      <c r="DI157" s="922"/>
      <c r="DJ157" s="922"/>
      <c r="DK157" s="922"/>
      <c r="DL157" s="922"/>
      <c r="DM157" s="922"/>
      <c r="DN157" s="922"/>
      <c r="DO157" s="922"/>
      <c r="DP157" s="922"/>
      <c r="DQ157" s="922"/>
      <c r="DR157" s="922"/>
      <c r="DS157" s="922"/>
      <c r="DT157" s="922"/>
      <c r="DU157" s="922"/>
      <c r="DV157" s="922"/>
      <c r="DW157" s="922"/>
      <c r="DX157" s="922"/>
      <c r="DY157" s="922"/>
      <c r="DZ157" s="922"/>
      <c r="EA157" s="922"/>
      <c r="EB157" s="922"/>
      <c r="EC157" s="922"/>
      <c r="ED157" s="922"/>
      <c r="EE157" s="922"/>
      <c r="EF157" s="922"/>
      <c r="EG157" s="922"/>
      <c r="EH157" s="922"/>
      <c r="EI157" s="922"/>
      <c r="EJ157" s="922"/>
      <c r="EK157" s="922"/>
      <c r="EL157" s="922"/>
      <c r="EM157" s="922"/>
      <c r="EN157" s="922"/>
      <c r="EO157" s="922"/>
      <c r="EP157" s="922"/>
      <c r="EQ157" s="922"/>
      <c r="ER157" s="922"/>
      <c r="ES157" s="922"/>
      <c r="ET157" s="922"/>
      <c r="EU157" s="922"/>
      <c r="EV157" s="922"/>
      <c r="EW157" s="922"/>
      <c r="EX157" s="922"/>
      <c r="EY157" s="922"/>
      <c r="EZ157" s="922"/>
      <c r="FA157" s="922"/>
      <c r="FB157" s="922"/>
      <c r="FC157" s="922"/>
      <c r="FD157" s="922"/>
      <c r="FE157" s="922"/>
      <c r="FF157" s="922"/>
      <c r="FG157" s="922"/>
      <c r="FH157" s="922"/>
      <c r="FI157" s="922"/>
      <c r="FJ157" s="922"/>
      <c r="FK157" s="922"/>
      <c r="FL157" s="922"/>
      <c r="FM157" s="922"/>
      <c r="FN157" s="922"/>
      <c r="FO157" s="922"/>
      <c r="FP157" s="922"/>
      <c r="FQ157" s="922"/>
      <c r="FR157" s="922"/>
      <c r="FS157" s="922"/>
      <c r="FT157" s="922"/>
      <c r="FU157" s="922"/>
      <c r="FV157" s="922"/>
      <c r="FW157" s="922"/>
      <c r="FX157" s="922"/>
      <c r="FY157" s="922"/>
      <c r="FZ157" s="922"/>
      <c r="GA157" s="922"/>
      <c r="GB157" s="922"/>
      <c r="GC157" s="922"/>
      <c r="GD157" s="922"/>
      <c r="GE157" s="922"/>
      <c r="GF157" s="922"/>
      <c r="GG157" s="922"/>
      <c r="GH157" s="922"/>
      <c r="GI157" s="922"/>
      <c r="GJ157" s="922"/>
      <c r="GK157" s="922"/>
      <c r="GL157" s="922"/>
      <c r="GM157" s="922"/>
      <c r="GN157" s="922"/>
      <c r="GO157" s="922"/>
      <c r="GP157" s="922"/>
      <c r="GQ157" s="922"/>
      <c r="GR157" s="922"/>
      <c r="GS157" s="922"/>
      <c r="GT157" s="922"/>
      <c r="GU157" s="922"/>
      <c r="GV157" s="922"/>
      <c r="GW157" s="922"/>
      <c r="GX157" s="922"/>
      <c r="GY157" s="922"/>
      <c r="GZ157" s="922"/>
      <c r="HA157" s="922"/>
      <c r="HB157" s="922"/>
      <c r="HC157" s="922"/>
      <c r="HD157" s="922"/>
      <c r="HE157" s="922"/>
      <c r="HF157" s="922"/>
      <c r="HG157" s="922"/>
      <c r="HH157" s="922"/>
      <c r="HI157" s="922"/>
      <c r="HJ157" s="922"/>
      <c r="HK157" s="922"/>
      <c r="HL157" s="922"/>
      <c r="HM157" s="922"/>
      <c r="HN157" s="922"/>
      <c r="HO157" s="922"/>
      <c r="HP157" s="922"/>
      <c r="HQ157" s="922"/>
      <c r="HR157" s="922"/>
      <c r="HS157" s="922"/>
      <c r="HT157" s="922"/>
      <c r="HU157" s="922"/>
      <c r="HV157" s="922"/>
      <c r="HW157" s="922"/>
      <c r="HX157" s="922"/>
      <c r="HY157" s="922"/>
      <c r="HZ157" s="922"/>
      <c r="IA157" s="922"/>
      <c r="IB157" s="922"/>
      <c r="IC157" s="922"/>
      <c r="ID157" s="922"/>
      <c r="IE157" s="922"/>
      <c r="IF157" s="922"/>
      <c r="IG157" s="922"/>
      <c r="IH157" s="922"/>
      <c r="II157" s="922"/>
      <c r="IJ157" s="922"/>
      <c r="IK157" s="922"/>
      <c r="IL157" s="922"/>
      <c r="IM157" s="922"/>
      <c r="IN157" s="922"/>
      <c r="IO157" s="922"/>
      <c r="IP157" s="922"/>
      <c r="IQ157" s="922"/>
      <c r="IR157" s="922"/>
      <c r="IS157" s="922"/>
      <c r="IT157" s="922"/>
      <c r="IU157" s="922"/>
      <c r="IV157" s="922"/>
      <c r="IW157" s="922"/>
      <c r="IX157" s="922"/>
      <c r="IY157" s="922"/>
      <c r="IZ157" s="922"/>
      <c r="JA157" s="922"/>
      <c r="JB157" s="922"/>
      <c r="JC157" s="922"/>
      <c r="JD157" s="922"/>
      <c r="JE157" s="922"/>
      <c r="JF157" s="922"/>
      <c r="JG157" s="922"/>
      <c r="JH157" s="922"/>
      <c r="JI157" s="922"/>
      <c r="JJ157" s="922"/>
      <c r="JK157" s="922"/>
      <c r="JL157" s="922"/>
      <c r="JM157" s="922"/>
      <c r="JN157" s="922"/>
      <c r="JO157" s="922"/>
      <c r="JP157" s="922"/>
      <c r="JQ157" s="922"/>
      <c r="JR157" s="922"/>
      <c r="JS157" s="922"/>
      <c r="JT157" s="922"/>
      <c r="JU157" s="922"/>
      <c r="JV157" s="922"/>
      <c r="JW157" s="922"/>
      <c r="JX157" s="922"/>
      <c r="JY157" s="922"/>
      <c r="JZ157" s="922"/>
      <c r="KA157" s="922"/>
      <c r="KB157" s="922"/>
      <c r="KC157" s="922"/>
      <c r="KD157" s="922"/>
      <c r="KE157" s="922"/>
      <c r="KF157" s="922"/>
      <c r="KG157" s="922"/>
      <c r="KH157" s="922"/>
      <c r="KI157" s="922"/>
      <c r="KJ157" s="922"/>
      <c r="KK157" s="922"/>
      <c r="KL157" s="922"/>
      <c r="KM157" s="922"/>
      <c r="KN157" s="922"/>
      <c r="KO157" s="922"/>
      <c r="KP157" s="922"/>
      <c r="KQ157" s="922"/>
      <c r="KR157" s="922"/>
      <c r="KS157" s="922"/>
      <c r="KT157" s="922"/>
      <c r="KU157" s="922"/>
      <c r="KV157" s="922"/>
      <c r="KW157" s="922"/>
      <c r="KX157" s="922"/>
      <c r="KY157" s="922"/>
      <c r="KZ157" s="922"/>
      <c r="LA157" s="922"/>
      <c r="LB157" s="922"/>
      <c r="LC157" s="922"/>
      <c r="LD157" s="922"/>
      <c r="LE157" s="922"/>
      <c r="LF157" s="922"/>
      <c r="LG157" s="922"/>
      <c r="LH157" s="922"/>
      <c r="LI157" s="922"/>
      <c r="LJ157" s="922"/>
      <c r="LK157" s="922"/>
      <c r="LL157" s="922"/>
      <c r="LM157" s="922"/>
      <c r="LN157" s="922"/>
      <c r="LO157" s="922"/>
      <c r="LP157" s="922"/>
      <c r="LQ157" s="922"/>
      <c r="LR157" s="922"/>
      <c r="LS157" s="922"/>
      <c r="LT157" s="922"/>
      <c r="LU157" s="922"/>
      <c r="LV157" s="922"/>
      <c r="LW157" s="922"/>
      <c r="LX157" s="922"/>
      <c r="LY157" s="922"/>
      <c r="LZ157" s="922"/>
      <c r="MA157" s="922"/>
      <c r="MB157" s="922"/>
      <c r="MC157" s="922"/>
      <c r="MD157" s="922"/>
      <c r="ME157" s="922"/>
      <c r="MF157" s="922"/>
      <c r="MG157" s="922"/>
      <c r="MH157" s="922"/>
      <c r="MI157" s="922"/>
      <c r="MJ157" s="922"/>
      <c r="MK157" s="922"/>
      <c r="ML157" s="922"/>
      <c r="MM157" s="922"/>
      <c r="MN157" s="922"/>
      <c r="MO157" s="922"/>
      <c r="MP157" s="922"/>
      <c r="MQ157" s="922"/>
      <c r="MR157" s="922"/>
      <c r="MS157" s="922"/>
      <c r="MT157" s="922"/>
      <c r="MU157" s="922"/>
      <c r="MV157" s="922"/>
      <c r="MW157" s="922"/>
      <c r="MX157" s="922"/>
      <c r="MY157" s="922"/>
      <c r="MZ157" s="922"/>
      <c r="NA157" s="922"/>
      <c r="NB157" s="922"/>
      <c r="NC157" s="922"/>
      <c r="ND157" s="922"/>
      <c r="NE157" s="922"/>
      <c r="NF157" s="922"/>
      <c r="NG157" s="922"/>
      <c r="NH157" s="922"/>
      <c r="NI157" s="922"/>
      <c r="NJ157" s="922"/>
      <c r="NK157" s="922"/>
      <c r="NL157" s="922"/>
      <c r="NM157" s="922"/>
      <c r="NN157" s="922"/>
      <c r="NO157" s="922"/>
      <c r="NP157" s="922"/>
      <c r="NQ157" s="922"/>
      <c r="NR157" s="922"/>
      <c r="NS157" s="922"/>
      <c r="NT157" s="922"/>
      <c r="NU157" s="922"/>
      <c r="NV157" s="922"/>
      <c r="NW157" s="922"/>
      <c r="NX157" s="922"/>
      <c r="NY157" s="922"/>
      <c r="NZ157" s="922"/>
      <c r="OA157" s="922"/>
      <c r="OB157" s="922"/>
      <c r="OC157" s="922"/>
      <c r="OD157" s="922"/>
      <c r="OE157" s="922"/>
      <c r="OF157" s="922"/>
      <c r="OG157" s="922"/>
      <c r="OH157" s="922"/>
      <c r="OI157" s="922"/>
      <c r="OJ157" s="922"/>
      <c r="OK157" s="922"/>
      <c r="OL157" s="922"/>
      <c r="OM157" s="922"/>
      <c r="ON157" s="922"/>
      <c r="OO157" s="922"/>
      <c r="OP157" s="922"/>
      <c r="OQ157" s="922"/>
      <c r="OR157" s="922"/>
      <c r="OS157" s="922"/>
      <c r="OT157" s="922"/>
      <c r="OU157" s="922"/>
      <c r="OV157" s="922"/>
      <c r="OW157" s="922"/>
      <c r="OX157" s="922"/>
      <c r="OY157" s="922"/>
      <c r="OZ157" s="922"/>
      <c r="PA157" s="922"/>
      <c r="PB157" s="922"/>
      <c r="PC157" s="922"/>
      <c r="PD157" s="922"/>
      <c r="PE157" s="922"/>
      <c r="PF157" s="922"/>
      <c r="PG157" s="922"/>
      <c r="PH157" s="922"/>
      <c r="PI157" s="922"/>
      <c r="PJ157" s="922"/>
      <c r="PK157" s="922"/>
      <c r="PL157" s="922"/>
      <c r="PM157" s="922"/>
      <c r="PN157" s="922"/>
      <c r="PO157" s="922"/>
      <c r="PP157" s="922"/>
      <c r="PQ157" s="922"/>
      <c r="PR157" s="922"/>
      <c r="PS157" s="922"/>
      <c r="PT157" s="922"/>
      <c r="PU157" s="922"/>
      <c r="PV157" s="922"/>
      <c r="PW157" s="922"/>
      <c r="PX157" s="922"/>
      <c r="PY157" s="922"/>
      <c r="PZ157" s="922"/>
      <c r="QA157" s="922"/>
      <c r="QB157" s="922"/>
      <c r="QC157" s="922"/>
      <c r="QD157" s="922"/>
      <c r="QE157" s="922"/>
      <c r="QF157" s="922"/>
      <c r="QG157" s="922"/>
      <c r="QH157" s="922"/>
      <c r="QI157" s="922"/>
      <c r="QJ157" s="922"/>
      <c r="QK157" s="922"/>
      <c r="QL157" s="922"/>
      <c r="QM157" s="922"/>
      <c r="QN157" s="922"/>
      <c r="QO157" s="922"/>
      <c r="QP157" s="922"/>
      <c r="QQ157" s="922"/>
      <c r="QR157" s="922"/>
      <c r="QS157" s="922"/>
      <c r="QT157" s="922"/>
      <c r="QU157" s="922"/>
      <c r="QV157" s="922"/>
      <c r="QW157" s="922"/>
      <c r="QX157" s="922"/>
      <c r="QY157" s="922"/>
      <c r="QZ157" s="922"/>
      <c r="RA157" s="922"/>
      <c r="RB157" s="922"/>
      <c r="RC157" s="922"/>
      <c r="RD157" s="922"/>
      <c r="RE157" s="922"/>
      <c r="RF157" s="922"/>
      <c r="RG157" s="922"/>
      <c r="RH157" s="922"/>
      <c r="RI157" s="922"/>
      <c r="RJ157" s="922"/>
      <c r="RK157" s="922"/>
      <c r="RL157" s="922"/>
      <c r="RM157" s="922"/>
      <c r="RN157" s="922"/>
      <c r="RO157" s="922"/>
      <c r="RP157" s="922"/>
      <c r="RQ157" s="922"/>
      <c r="RR157" s="922"/>
      <c r="RS157" s="922"/>
      <c r="RT157" s="922"/>
      <c r="RU157" s="922"/>
      <c r="RV157" s="922"/>
      <c r="RW157" s="922"/>
      <c r="RX157" s="922"/>
      <c r="RY157" s="922"/>
      <c r="RZ157" s="922"/>
      <c r="SA157" s="922"/>
      <c r="SB157" s="922"/>
      <c r="SC157" s="922"/>
      <c r="SD157" s="922"/>
      <c r="SE157" s="922"/>
      <c r="SF157" s="922"/>
      <c r="SG157" s="922"/>
      <c r="SH157" s="922"/>
      <c r="SI157" s="922"/>
      <c r="SJ157" s="922"/>
      <c r="SK157" s="922"/>
      <c r="SL157" s="922"/>
      <c r="SM157" s="922"/>
      <c r="SN157" s="922"/>
      <c r="SO157" s="922"/>
      <c r="SP157" s="922"/>
      <c r="SQ157" s="922"/>
      <c r="SR157" s="922"/>
      <c r="SS157" s="922"/>
      <c r="ST157" s="922"/>
      <c r="SU157" s="922"/>
      <c r="SV157" s="922"/>
      <c r="SW157" s="922"/>
      <c r="SX157" s="922"/>
      <c r="SY157" s="922"/>
      <c r="SZ157" s="922"/>
      <c r="TA157" s="922"/>
      <c r="TB157" s="922"/>
      <c r="TC157" s="922"/>
      <c r="TD157" s="922"/>
      <c r="TE157" s="922"/>
      <c r="TF157" s="922"/>
      <c r="TG157" s="922"/>
      <c r="TH157" s="922"/>
      <c r="TI157" s="922"/>
      <c r="TJ157" s="922"/>
      <c r="TK157" s="922"/>
      <c r="TL157" s="922"/>
      <c r="TM157" s="922"/>
      <c r="TN157" s="922"/>
      <c r="TO157" s="922"/>
      <c r="TP157" s="922"/>
      <c r="TQ157" s="922"/>
      <c r="TR157" s="922"/>
      <c r="TS157" s="922"/>
      <c r="TT157" s="922"/>
      <c r="TU157" s="922"/>
      <c r="TV157" s="922"/>
      <c r="TW157" s="922"/>
      <c r="TX157" s="922"/>
      <c r="TY157" s="922"/>
      <c r="TZ157" s="922"/>
      <c r="UA157" s="922"/>
      <c r="UB157" s="922"/>
      <c r="UC157" s="922"/>
      <c r="UD157" s="922"/>
      <c r="UE157" s="922"/>
      <c r="UF157" s="922"/>
      <c r="UG157" s="922"/>
      <c r="UH157" s="922"/>
      <c r="UI157" s="922"/>
      <c r="UJ157" s="922"/>
      <c r="UK157" s="922"/>
      <c r="UL157" s="922"/>
      <c r="UM157" s="922"/>
      <c r="UN157" s="922"/>
      <c r="UO157" s="922"/>
      <c r="UP157" s="922"/>
      <c r="UQ157" s="922"/>
      <c r="UR157" s="922"/>
      <c r="US157" s="922"/>
      <c r="UT157" s="922"/>
      <c r="UU157" s="922"/>
      <c r="UV157" s="922"/>
      <c r="UW157" s="922"/>
      <c r="UX157" s="922"/>
      <c r="UY157" s="922"/>
      <c r="UZ157" s="922"/>
      <c r="VA157" s="922"/>
      <c r="VB157" s="922"/>
      <c r="VC157" s="922"/>
      <c r="VD157" s="922"/>
      <c r="VE157" s="922"/>
      <c r="VF157" s="922"/>
      <c r="VG157" s="922"/>
      <c r="VH157" s="922"/>
      <c r="VI157" s="922"/>
      <c r="VJ157" s="922"/>
      <c r="VK157" s="922"/>
      <c r="VL157" s="922"/>
      <c r="VM157" s="922"/>
      <c r="VN157" s="922"/>
      <c r="VO157" s="922"/>
      <c r="VP157" s="922"/>
      <c r="VQ157" s="922"/>
      <c r="VR157" s="922"/>
      <c r="VS157" s="922"/>
      <c r="VT157" s="922"/>
      <c r="VU157" s="922"/>
      <c r="VV157" s="922"/>
      <c r="VW157" s="922"/>
      <c r="VX157" s="922"/>
      <c r="VY157" s="922"/>
      <c r="VZ157" s="922"/>
      <c r="WA157" s="922"/>
      <c r="WB157" s="922"/>
      <c r="WC157" s="922"/>
      <c r="WD157" s="922"/>
      <c r="WE157" s="922"/>
      <c r="WF157" s="922"/>
      <c r="WG157" s="922"/>
      <c r="WH157" s="922"/>
      <c r="WI157" s="922"/>
      <c r="WJ157" s="922"/>
      <c r="WK157" s="922"/>
      <c r="WL157" s="922"/>
      <c r="WM157" s="922"/>
      <c r="WN157" s="922"/>
      <c r="WO157" s="922"/>
      <c r="WP157" s="922"/>
      <c r="WQ157" s="922"/>
      <c r="WR157" s="922"/>
      <c r="WS157" s="922"/>
      <c r="WT157" s="922"/>
      <c r="WU157" s="922"/>
      <c r="WV157" s="922"/>
      <c r="WW157" s="922"/>
      <c r="WX157" s="922"/>
      <c r="WY157" s="922"/>
      <c r="WZ157" s="922"/>
      <c r="XA157" s="922"/>
      <c r="XB157" s="922"/>
      <c r="XC157" s="922"/>
      <c r="XD157" s="922"/>
      <c r="XE157" s="922"/>
      <c r="XF157" s="922"/>
      <c r="XG157" s="922"/>
      <c r="XH157" s="922"/>
      <c r="XI157" s="922"/>
      <c r="XJ157" s="922"/>
      <c r="XK157" s="922"/>
      <c r="XL157" s="922"/>
      <c r="XM157" s="922"/>
      <c r="XN157" s="922"/>
      <c r="XO157" s="922"/>
      <c r="XP157" s="922"/>
      <c r="XQ157" s="922"/>
      <c r="XR157" s="922"/>
      <c r="XS157" s="922"/>
      <c r="XT157" s="922"/>
      <c r="XU157" s="922"/>
      <c r="XV157" s="922"/>
      <c r="XW157" s="922"/>
      <c r="XX157" s="922"/>
      <c r="XY157" s="922"/>
      <c r="XZ157" s="922"/>
      <c r="YA157" s="922"/>
      <c r="YB157" s="922"/>
      <c r="YC157" s="922"/>
      <c r="YD157" s="922"/>
      <c r="YE157" s="922"/>
      <c r="YF157" s="922"/>
      <c r="YG157" s="922"/>
      <c r="YH157" s="922"/>
      <c r="YI157" s="922"/>
      <c r="YJ157" s="922"/>
      <c r="YK157" s="922"/>
      <c r="YL157" s="922"/>
      <c r="YM157" s="922"/>
      <c r="YN157" s="922"/>
      <c r="YO157" s="922"/>
      <c r="YP157" s="922"/>
      <c r="YQ157" s="922"/>
      <c r="YR157" s="922"/>
      <c r="YS157" s="922"/>
      <c r="YT157" s="922"/>
      <c r="YU157" s="922"/>
      <c r="YV157" s="922"/>
      <c r="YW157" s="922"/>
      <c r="YX157" s="922"/>
      <c r="YY157" s="922"/>
      <c r="YZ157" s="922"/>
      <c r="ZA157" s="922"/>
      <c r="ZB157" s="922"/>
      <c r="ZC157" s="922"/>
      <c r="ZD157" s="922"/>
      <c r="ZE157" s="922"/>
      <c r="ZF157" s="922"/>
      <c r="ZG157" s="922"/>
      <c r="ZH157" s="922"/>
      <c r="ZI157" s="922"/>
      <c r="ZJ157" s="922"/>
      <c r="ZK157" s="922"/>
      <c r="ZL157" s="922"/>
      <c r="ZM157" s="922"/>
      <c r="ZN157" s="922"/>
      <c r="ZO157" s="922"/>
      <c r="ZP157" s="922"/>
      <c r="ZQ157" s="922"/>
      <c r="ZR157" s="922"/>
      <c r="ZS157" s="922"/>
      <c r="ZT157" s="922"/>
      <c r="ZU157" s="922"/>
      <c r="ZV157" s="922"/>
      <c r="ZW157" s="922"/>
      <c r="ZX157" s="922"/>
      <c r="ZY157" s="922"/>
      <c r="ZZ157" s="922"/>
      <c r="AAA157" s="922"/>
      <c r="AAB157" s="922"/>
      <c r="AAC157" s="922"/>
      <c r="AAD157" s="922"/>
      <c r="AAE157" s="922"/>
      <c r="AAF157" s="922"/>
      <c r="AAG157" s="922"/>
      <c r="AAH157" s="922"/>
      <c r="AAI157" s="922"/>
      <c r="AAJ157" s="922"/>
      <c r="AAK157" s="922"/>
      <c r="AAL157" s="922"/>
      <c r="AAM157" s="922"/>
      <c r="AAN157" s="922"/>
      <c r="AAO157" s="922"/>
      <c r="AAP157" s="922"/>
      <c r="AAQ157" s="922"/>
      <c r="AAR157" s="922"/>
      <c r="AAS157" s="922"/>
      <c r="AAT157" s="922"/>
      <c r="AAU157" s="922"/>
      <c r="AAV157" s="922"/>
      <c r="AAW157" s="922"/>
      <c r="AAX157" s="922"/>
      <c r="AAY157" s="922"/>
      <c r="AAZ157" s="922"/>
      <c r="ABA157" s="922"/>
      <c r="ABB157" s="922"/>
      <c r="ABC157" s="922"/>
      <c r="ABD157" s="922"/>
      <c r="ABE157" s="922"/>
      <c r="ABF157" s="922"/>
      <c r="ABG157" s="922"/>
      <c r="ABH157" s="922"/>
      <c r="ABI157" s="922"/>
      <c r="ABJ157" s="922"/>
      <c r="ABK157" s="922"/>
      <c r="ABL157" s="922"/>
      <c r="ABM157" s="922"/>
      <c r="ABN157" s="922"/>
      <c r="ABO157" s="922"/>
      <c r="ABP157" s="922"/>
      <c r="ABQ157" s="922"/>
      <c r="ABR157" s="922"/>
      <c r="ABS157" s="922"/>
      <c r="ABT157" s="922"/>
      <c r="ABU157" s="922"/>
      <c r="ABV157" s="922"/>
      <c r="ABW157" s="922"/>
      <c r="ABX157" s="922"/>
      <c r="ABY157" s="922"/>
      <c r="ABZ157" s="922"/>
      <c r="ACA157" s="922"/>
      <c r="ACB157" s="922"/>
      <c r="ACC157" s="922"/>
      <c r="ACD157" s="922"/>
      <c r="ACE157" s="922"/>
      <c r="ACF157" s="922"/>
      <c r="ACG157" s="922"/>
      <c r="ACH157" s="922"/>
      <c r="ACI157" s="922"/>
      <c r="ACJ157" s="922"/>
      <c r="ACK157" s="922"/>
      <c r="ACL157" s="922"/>
      <c r="ACM157" s="922"/>
      <c r="ACN157" s="922"/>
      <c r="ACO157" s="922"/>
      <c r="ACP157" s="922"/>
      <c r="ACQ157" s="922"/>
      <c r="ACR157" s="922"/>
      <c r="ACS157" s="922"/>
      <c r="ACT157" s="922"/>
      <c r="ACU157" s="922"/>
      <c r="ACV157" s="922"/>
      <c r="ACW157" s="922"/>
      <c r="ACX157" s="922"/>
      <c r="ACY157" s="922"/>
      <c r="ACZ157" s="922"/>
      <c r="ADA157" s="922"/>
      <c r="ADB157" s="922"/>
      <c r="ADC157" s="922"/>
      <c r="ADD157" s="922"/>
      <c r="ADE157" s="922"/>
      <c r="ADF157" s="922"/>
      <c r="ADG157" s="922"/>
      <c r="ADH157" s="922"/>
      <c r="ADI157" s="922"/>
      <c r="ADJ157" s="922"/>
      <c r="ADK157" s="922"/>
      <c r="ADL157" s="922"/>
      <c r="ADM157" s="922"/>
      <c r="ADN157" s="922"/>
      <c r="ADO157" s="922"/>
      <c r="ADP157" s="922"/>
      <c r="ADQ157" s="922"/>
      <c r="ADR157" s="922"/>
      <c r="ADS157" s="922"/>
      <c r="ADT157" s="922"/>
      <c r="ADU157" s="922"/>
      <c r="ADV157" s="922"/>
      <c r="ADW157" s="922"/>
      <c r="ADX157" s="922"/>
      <c r="ADY157" s="922"/>
      <c r="ADZ157" s="922"/>
      <c r="AEA157" s="922"/>
      <c r="AEB157" s="922"/>
      <c r="AEC157" s="922"/>
      <c r="AED157" s="922"/>
      <c r="AEE157" s="922"/>
      <c r="AEF157" s="922"/>
      <c r="AEG157" s="922"/>
      <c r="AEH157" s="922"/>
      <c r="AEI157" s="922"/>
      <c r="AEJ157" s="922"/>
      <c r="AEK157" s="922"/>
      <c r="AEL157" s="922"/>
      <c r="AEM157" s="922"/>
      <c r="AEN157" s="922"/>
      <c r="AEO157" s="922"/>
      <c r="AEP157" s="922"/>
      <c r="AEQ157" s="922"/>
      <c r="AER157" s="922"/>
      <c r="AES157" s="922"/>
      <c r="AET157" s="922"/>
      <c r="AEU157" s="922"/>
      <c r="AEV157" s="922"/>
      <c r="AEW157" s="922"/>
      <c r="AEX157" s="922"/>
      <c r="AEY157" s="922"/>
      <c r="AEZ157" s="922"/>
      <c r="AFA157" s="922"/>
      <c r="AFB157" s="922"/>
      <c r="AFC157" s="922"/>
      <c r="AFD157" s="922"/>
      <c r="AFE157" s="922"/>
      <c r="AFF157" s="922"/>
      <c r="AFG157" s="922"/>
      <c r="AFH157" s="922"/>
      <c r="AFI157" s="922"/>
      <c r="AFJ157" s="922"/>
      <c r="AFK157" s="922"/>
      <c r="AFL157" s="922"/>
      <c r="AFM157" s="922"/>
      <c r="AFN157" s="922"/>
      <c r="AFO157" s="922"/>
      <c r="AFP157" s="922"/>
      <c r="AFQ157" s="922"/>
      <c r="AFR157" s="922"/>
      <c r="AFS157" s="922"/>
      <c r="AFT157" s="922"/>
      <c r="AFU157" s="922"/>
      <c r="AFV157" s="922"/>
      <c r="AFW157" s="922"/>
      <c r="AFX157" s="922"/>
      <c r="AFY157" s="922"/>
      <c r="AFZ157" s="922"/>
      <c r="AGA157" s="922"/>
      <c r="AGB157" s="922"/>
      <c r="AGC157" s="922"/>
      <c r="AGD157" s="922"/>
      <c r="AGE157" s="922"/>
      <c r="AGF157" s="922"/>
      <c r="AGG157" s="922"/>
      <c r="AGH157" s="922"/>
      <c r="AGI157" s="922"/>
      <c r="AGJ157" s="922"/>
      <c r="AGK157" s="922"/>
      <c r="AGL157" s="922"/>
      <c r="AGM157" s="922"/>
      <c r="AGN157" s="922"/>
      <c r="AGO157" s="922"/>
      <c r="AGP157" s="922"/>
      <c r="AGQ157" s="922"/>
      <c r="AGR157" s="922"/>
      <c r="AGS157" s="922"/>
      <c r="AGT157" s="922"/>
      <c r="AGU157" s="922"/>
      <c r="AGV157" s="922"/>
      <c r="AGW157" s="922"/>
      <c r="AGX157" s="922"/>
      <c r="AGY157" s="922"/>
      <c r="AGZ157" s="922"/>
      <c r="AHA157" s="922"/>
      <c r="AHB157" s="922"/>
      <c r="AHC157" s="922"/>
      <c r="AHD157" s="922"/>
      <c r="AHE157" s="922"/>
      <c r="AHF157" s="922"/>
      <c r="AHG157" s="922"/>
      <c r="AHH157" s="922"/>
      <c r="AHI157" s="922"/>
      <c r="AHJ157" s="922"/>
      <c r="AHK157" s="922"/>
      <c r="AHL157" s="922"/>
      <c r="AHM157" s="922"/>
      <c r="AHN157" s="922"/>
      <c r="AHO157" s="922"/>
      <c r="AHP157" s="922"/>
      <c r="AHQ157" s="922"/>
      <c r="AHR157" s="922"/>
      <c r="AHS157" s="922"/>
      <c r="AHT157" s="922"/>
      <c r="AHU157" s="922"/>
      <c r="AHV157" s="922"/>
      <c r="AHW157" s="922"/>
      <c r="AHX157" s="922"/>
      <c r="AHY157" s="922"/>
      <c r="AHZ157" s="922"/>
      <c r="AIA157" s="922"/>
      <c r="AIB157" s="922"/>
      <c r="AIC157" s="922"/>
      <c r="AID157" s="922"/>
      <c r="AIE157" s="922"/>
      <c r="AIF157" s="922"/>
      <c r="AIG157" s="922"/>
      <c r="AIH157" s="922"/>
      <c r="AII157" s="922"/>
      <c r="AIJ157" s="922"/>
      <c r="AIK157" s="922"/>
      <c r="AIL157" s="922"/>
      <c r="AIM157" s="922"/>
      <c r="AIN157" s="922"/>
      <c r="AIO157" s="922"/>
      <c r="AIP157" s="922"/>
      <c r="AIQ157" s="922"/>
      <c r="AIR157" s="922"/>
      <c r="AIS157" s="922"/>
      <c r="AIT157" s="922"/>
      <c r="AIU157" s="922"/>
      <c r="AIV157" s="922"/>
      <c r="AIW157" s="922"/>
      <c r="AIX157" s="922"/>
      <c r="AIY157" s="922"/>
      <c r="AIZ157" s="922"/>
      <c r="AJA157" s="922"/>
      <c r="AJB157" s="922"/>
      <c r="AJC157" s="922"/>
      <c r="AJD157" s="922"/>
      <c r="AJE157" s="922"/>
      <c r="AJF157" s="922"/>
      <c r="AJG157" s="922"/>
      <c r="AJH157" s="922"/>
      <c r="AJI157" s="922"/>
      <c r="AJJ157" s="922"/>
      <c r="AJK157" s="922"/>
      <c r="AJL157" s="922"/>
      <c r="AJM157" s="922"/>
      <c r="AJN157" s="922"/>
      <c r="AJO157" s="922"/>
      <c r="AJP157" s="922"/>
      <c r="AJQ157" s="922"/>
      <c r="AJR157" s="922"/>
      <c r="AJS157" s="922"/>
      <c r="AJT157" s="922"/>
      <c r="AJU157" s="922"/>
      <c r="AJV157" s="922"/>
      <c r="AJW157" s="922"/>
      <c r="AJX157" s="922"/>
      <c r="AJY157" s="922"/>
      <c r="AJZ157" s="922"/>
      <c r="AKA157" s="922"/>
      <c r="AKB157" s="922"/>
      <c r="AKC157" s="922"/>
      <c r="AKD157" s="922"/>
      <c r="AKE157" s="922"/>
      <c r="AKF157" s="922"/>
      <c r="AKG157" s="922"/>
      <c r="AKH157" s="922"/>
      <c r="AKI157" s="922"/>
      <c r="AKJ157" s="922"/>
      <c r="AKK157" s="922"/>
      <c r="AKL157" s="922"/>
      <c r="AKM157" s="922"/>
      <c r="AKN157" s="922"/>
      <c r="AKO157" s="922"/>
      <c r="AKP157" s="922"/>
      <c r="AKQ157" s="922"/>
      <c r="AKR157" s="922"/>
      <c r="AKS157" s="922"/>
      <c r="AKT157" s="922"/>
      <c r="AKU157" s="922"/>
      <c r="AKV157" s="922"/>
      <c r="AKW157" s="922"/>
      <c r="AKX157" s="922"/>
      <c r="AKY157" s="922"/>
      <c r="AKZ157" s="922"/>
      <c r="ALA157" s="922"/>
      <c r="ALB157" s="922"/>
      <c r="ALC157" s="922"/>
      <c r="ALD157" s="922"/>
      <c r="ALE157" s="922"/>
      <c r="ALF157" s="922"/>
      <c r="ALG157" s="922"/>
      <c r="ALH157" s="922"/>
      <c r="ALI157" s="922"/>
      <c r="ALJ157" s="922"/>
      <c r="ALK157" s="922"/>
      <c r="ALL157" s="922"/>
      <c r="ALM157" s="922"/>
      <c r="ALN157" s="922"/>
      <c r="ALO157" s="922"/>
      <c r="ALP157" s="922"/>
      <c r="ALQ157" s="922"/>
      <c r="ALR157" s="922"/>
      <c r="ALS157" s="922"/>
      <c r="ALT157" s="922"/>
      <c r="ALU157" s="922"/>
      <c r="ALV157" s="922"/>
      <c r="ALW157" s="922"/>
      <c r="ALX157" s="922"/>
      <c r="ALY157" s="922"/>
      <c r="ALZ157" s="922"/>
      <c r="AMA157" s="922"/>
      <c r="AMB157" s="922"/>
      <c r="AMC157" s="922"/>
      <c r="AMD157" s="922"/>
      <c r="AME157" s="922"/>
      <c r="AMF157" s="922"/>
      <c r="AMG157" s="922"/>
      <c r="AMH157" s="922"/>
      <c r="AMI157" s="922"/>
      <c r="AMJ157" s="922"/>
      <c r="AMK157" s="922"/>
      <c r="AML157" s="922"/>
      <c r="AMM157" s="922"/>
      <c r="AMN157" s="922"/>
      <c r="AMO157" s="922"/>
      <c r="AMP157" s="922"/>
      <c r="AMQ157" s="922"/>
      <c r="AMR157" s="922"/>
      <c r="AMS157" s="922"/>
      <c r="AMT157" s="922"/>
      <c r="AMU157" s="922"/>
      <c r="AMV157" s="922"/>
      <c r="AMW157" s="922"/>
      <c r="AMX157" s="922"/>
      <c r="AMY157" s="922"/>
      <c r="AMZ157" s="922"/>
      <c r="ANA157" s="922"/>
      <c r="ANB157" s="922"/>
      <c r="ANC157" s="922"/>
      <c r="AND157" s="922"/>
      <c r="ANE157" s="922"/>
      <c r="ANF157" s="922"/>
      <c r="ANG157" s="922"/>
      <c r="ANH157" s="922"/>
      <c r="ANI157" s="922"/>
      <c r="ANJ157" s="922"/>
      <c r="ANK157" s="922"/>
      <c r="ANL157" s="922"/>
      <c r="ANM157" s="922"/>
      <c r="ANN157" s="922"/>
      <c r="ANO157" s="922"/>
      <c r="ANP157" s="922"/>
      <c r="ANQ157" s="922"/>
      <c r="ANR157" s="922"/>
      <c r="ANS157" s="922"/>
      <c r="ANT157" s="922"/>
      <c r="ANU157" s="922"/>
      <c r="ANV157" s="922"/>
      <c r="ANW157" s="922"/>
      <c r="ANX157" s="922"/>
      <c r="ANY157" s="922"/>
      <c r="ANZ157" s="922"/>
      <c r="AOA157" s="922"/>
      <c r="AOB157" s="922"/>
      <c r="AOC157" s="922"/>
      <c r="AOD157" s="922"/>
      <c r="AOE157" s="922"/>
      <c r="AOF157" s="922"/>
      <c r="AOG157" s="922"/>
      <c r="AOH157" s="922"/>
      <c r="AOI157" s="922"/>
      <c r="AOJ157" s="922"/>
      <c r="AOK157" s="922"/>
      <c r="AOL157" s="922"/>
      <c r="AOM157" s="922"/>
      <c r="AON157" s="922"/>
      <c r="AOO157" s="922"/>
      <c r="AOP157" s="922"/>
      <c r="AOQ157" s="922"/>
      <c r="AOR157" s="922"/>
      <c r="AOS157" s="922"/>
      <c r="AOT157" s="922"/>
      <c r="AOU157" s="922"/>
      <c r="AOV157" s="922"/>
      <c r="AOW157" s="922"/>
      <c r="AOX157" s="922"/>
      <c r="AOY157" s="922"/>
      <c r="AOZ157" s="922"/>
      <c r="APA157" s="922"/>
      <c r="APB157" s="922"/>
      <c r="APC157" s="922"/>
      <c r="APD157" s="922"/>
      <c r="APE157" s="922"/>
      <c r="APF157" s="922"/>
      <c r="APG157" s="922"/>
      <c r="APH157" s="922"/>
      <c r="API157" s="922"/>
      <c r="APJ157" s="922"/>
      <c r="APK157" s="922"/>
      <c r="APL157" s="922"/>
      <c r="APM157" s="922"/>
      <c r="APN157" s="922"/>
      <c r="APO157" s="922"/>
      <c r="APP157" s="922"/>
      <c r="APQ157" s="922"/>
      <c r="APR157" s="922"/>
      <c r="APS157" s="922"/>
      <c r="APT157" s="922"/>
      <c r="APU157" s="922"/>
      <c r="APV157" s="922"/>
      <c r="APW157" s="922"/>
      <c r="APX157" s="922"/>
      <c r="APY157" s="922"/>
      <c r="APZ157" s="922"/>
      <c r="AQA157" s="922"/>
      <c r="AQB157" s="922"/>
      <c r="AQC157" s="922"/>
      <c r="AQD157" s="922"/>
      <c r="AQE157" s="922"/>
      <c r="AQF157" s="922"/>
      <c r="AQG157" s="922"/>
      <c r="AQH157" s="922"/>
      <c r="AQI157" s="922"/>
      <c r="AQJ157" s="922"/>
      <c r="AQK157" s="922"/>
      <c r="AQL157" s="922"/>
      <c r="AQM157" s="922"/>
      <c r="AQN157" s="922"/>
      <c r="AQO157" s="922"/>
      <c r="AQP157" s="922"/>
      <c r="AQQ157" s="922"/>
      <c r="AQR157" s="922"/>
      <c r="AQS157" s="922"/>
      <c r="AQT157" s="922"/>
      <c r="AQU157" s="922"/>
      <c r="AQV157" s="922"/>
      <c r="AQW157" s="922"/>
      <c r="AQX157" s="922"/>
      <c r="AQY157" s="922"/>
      <c r="AQZ157" s="922"/>
      <c r="ARA157" s="922"/>
      <c r="ARB157" s="922"/>
      <c r="ARC157" s="922"/>
      <c r="ARD157" s="922"/>
      <c r="ARE157" s="922"/>
      <c r="ARF157" s="922"/>
      <c r="ARG157" s="922"/>
      <c r="ARH157" s="922"/>
      <c r="ARI157" s="922"/>
      <c r="ARJ157" s="922"/>
      <c r="ARK157" s="922"/>
      <c r="ARL157" s="922"/>
      <c r="ARM157" s="922"/>
      <c r="ARN157" s="922"/>
      <c r="ARO157" s="922"/>
      <c r="ARP157" s="922"/>
      <c r="ARQ157" s="922"/>
      <c r="ARR157" s="922"/>
      <c r="ARS157" s="922"/>
      <c r="ART157" s="922"/>
      <c r="ARU157" s="922"/>
      <c r="ARV157" s="922"/>
      <c r="ARW157" s="922"/>
      <c r="ARX157" s="922"/>
      <c r="ARY157" s="922"/>
      <c r="ARZ157" s="922"/>
      <c r="ASA157" s="922"/>
      <c r="ASB157" s="922"/>
      <c r="ASC157" s="922"/>
    </row>
    <row r="158" spans="1:1173" hidden="1">
      <c r="A158" s="920"/>
      <c r="T158" s="922"/>
      <c r="AN158" s="922"/>
      <c r="AO158" s="922"/>
      <c r="AP158" s="922"/>
      <c r="AQ158" s="922"/>
      <c r="AR158" s="922"/>
      <c r="AS158" s="922"/>
      <c r="AT158" s="922"/>
      <c r="AU158" s="922"/>
      <c r="AV158" s="922"/>
      <c r="AW158" s="922"/>
      <c r="AX158" s="922"/>
      <c r="AY158" s="922"/>
      <c r="AZ158" s="922"/>
      <c r="BA158" s="922"/>
      <c r="BB158" s="922"/>
      <c r="BC158" s="922"/>
      <c r="BD158" s="922"/>
      <c r="BE158" s="922"/>
      <c r="BF158" s="922"/>
      <c r="BG158" s="922"/>
      <c r="BH158" s="922"/>
      <c r="BI158" s="922"/>
      <c r="BJ158" s="922"/>
      <c r="BK158" s="922"/>
      <c r="BL158" s="922"/>
      <c r="BM158" s="922"/>
      <c r="BN158" s="922"/>
      <c r="BO158" s="922"/>
      <c r="BP158" s="922"/>
      <c r="BQ158" s="922"/>
      <c r="BR158" s="922"/>
      <c r="BS158" s="922"/>
      <c r="BT158" s="922"/>
      <c r="BU158" s="922"/>
      <c r="BV158" s="922"/>
      <c r="BW158" s="922"/>
      <c r="BX158" s="922"/>
      <c r="BY158" s="922"/>
      <c r="BZ158" s="922"/>
      <c r="CA158" s="922"/>
      <c r="CB158" s="922"/>
      <c r="CC158" s="922"/>
      <c r="CD158" s="922"/>
      <c r="CE158" s="922"/>
      <c r="CF158" s="922"/>
      <c r="CG158" s="922"/>
      <c r="CH158" s="922"/>
      <c r="CI158" s="922"/>
      <c r="CJ158" s="922"/>
      <c r="CK158" s="922"/>
      <c r="CL158" s="922"/>
      <c r="CM158" s="922"/>
      <c r="CN158" s="922"/>
      <c r="CO158" s="922"/>
      <c r="CP158" s="922"/>
      <c r="CQ158" s="922"/>
      <c r="CR158" s="922"/>
      <c r="CS158" s="922"/>
      <c r="CT158" s="922"/>
      <c r="CU158" s="922"/>
      <c r="CV158" s="922"/>
      <c r="CW158" s="922"/>
      <c r="CX158" s="922"/>
      <c r="CY158" s="922"/>
      <c r="CZ158" s="922"/>
      <c r="DA158" s="922"/>
      <c r="DB158" s="922"/>
      <c r="DC158" s="922"/>
      <c r="DD158" s="922"/>
      <c r="DE158" s="922"/>
      <c r="DF158" s="922"/>
      <c r="DG158" s="922"/>
      <c r="DH158" s="922"/>
      <c r="DI158" s="922"/>
      <c r="DJ158" s="922"/>
      <c r="DK158" s="922"/>
      <c r="DL158" s="922"/>
      <c r="DM158" s="922"/>
      <c r="DN158" s="922"/>
      <c r="DO158" s="922"/>
      <c r="DP158" s="922"/>
      <c r="DQ158" s="922"/>
      <c r="DR158" s="922"/>
      <c r="DS158" s="922"/>
      <c r="DT158" s="922"/>
      <c r="DU158" s="922"/>
      <c r="DV158" s="922"/>
      <c r="DW158" s="922"/>
      <c r="DX158" s="922"/>
      <c r="DY158" s="922"/>
      <c r="DZ158" s="922"/>
      <c r="EA158" s="922"/>
      <c r="EB158" s="922"/>
      <c r="EC158" s="922"/>
      <c r="ED158" s="922"/>
      <c r="EE158" s="922"/>
      <c r="EF158" s="922"/>
      <c r="EG158" s="922"/>
      <c r="EH158" s="922"/>
      <c r="EI158" s="922"/>
      <c r="EJ158" s="922"/>
      <c r="EK158" s="922"/>
      <c r="EL158" s="922"/>
      <c r="EM158" s="922"/>
      <c r="EN158" s="922"/>
      <c r="EO158" s="922"/>
      <c r="EP158" s="922"/>
      <c r="EQ158" s="922"/>
      <c r="ER158" s="922"/>
      <c r="ES158" s="922"/>
      <c r="ET158" s="922"/>
      <c r="EU158" s="922"/>
      <c r="EV158" s="922"/>
      <c r="EW158" s="922"/>
      <c r="EX158" s="922"/>
      <c r="EY158" s="922"/>
      <c r="EZ158" s="922"/>
      <c r="FA158" s="922"/>
      <c r="FB158" s="922"/>
      <c r="FC158" s="922"/>
      <c r="FD158" s="922"/>
      <c r="FE158" s="922"/>
      <c r="FF158" s="922"/>
      <c r="FG158" s="922"/>
      <c r="FH158" s="922"/>
      <c r="FI158" s="922"/>
      <c r="FJ158" s="922"/>
      <c r="FK158" s="922"/>
      <c r="FL158" s="922"/>
      <c r="FM158" s="922"/>
      <c r="FN158" s="922"/>
      <c r="FO158" s="922"/>
      <c r="FP158" s="922"/>
      <c r="FQ158" s="922"/>
      <c r="FR158" s="922"/>
      <c r="FS158" s="922"/>
      <c r="FT158" s="922"/>
      <c r="FU158" s="922"/>
      <c r="FV158" s="922"/>
      <c r="FW158" s="922"/>
      <c r="FX158" s="922"/>
      <c r="FY158" s="922"/>
      <c r="FZ158" s="922"/>
      <c r="GA158" s="922"/>
      <c r="GB158" s="922"/>
      <c r="GC158" s="922"/>
      <c r="GD158" s="922"/>
      <c r="GE158" s="922"/>
      <c r="GF158" s="922"/>
      <c r="GG158" s="922"/>
      <c r="GH158" s="922"/>
      <c r="GI158" s="922"/>
      <c r="GJ158" s="922"/>
      <c r="GK158" s="922"/>
      <c r="GL158" s="922"/>
      <c r="GM158" s="922"/>
      <c r="GN158" s="922"/>
      <c r="GO158" s="922"/>
      <c r="GP158" s="922"/>
      <c r="GQ158" s="922"/>
      <c r="GR158" s="922"/>
      <c r="GS158" s="922"/>
      <c r="GT158" s="922"/>
      <c r="GU158" s="922"/>
      <c r="GV158" s="922"/>
      <c r="GW158" s="922"/>
      <c r="GX158" s="922"/>
      <c r="GY158" s="922"/>
      <c r="GZ158" s="922"/>
      <c r="HA158" s="922"/>
      <c r="HB158" s="922"/>
      <c r="HC158" s="922"/>
      <c r="HD158" s="922"/>
      <c r="HE158" s="922"/>
      <c r="HF158" s="922"/>
      <c r="HG158" s="922"/>
      <c r="HH158" s="922"/>
      <c r="HI158" s="922"/>
      <c r="HJ158" s="922"/>
      <c r="HK158" s="922"/>
      <c r="HL158" s="922"/>
      <c r="HM158" s="922"/>
      <c r="HN158" s="922"/>
      <c r="HO158" s="922"/>
      <c r="HP158" s="922"/>
      <c r="HQ158" s="922"/>
      <c r="HR158" s="922"/>
      <c r="HS158" s="922"/>
      <c r="HT158" s="922"/>
      <c r="HU158" s="922"/>
      <c r="HV158" s="922"/>
      <c r="HW158" s="922"/>
      <c r="HX158" s="922"/>
      <c r="HY158" s="922"/>
      <c r="HZ158" s="922"/>
      <c r="IA158" s="922"/>
      <c r="IB158" s="922"/>
      <c r="IC158" s="922"/>
      <c r="ID158" s="922"/>
      <c r="IE158" s="922"/>
      <c r="IF158" s="922"/>
      <c r="IG158" s="922"/>
      <c r="IH158" s="922"/>
      <c r="II158" s="922"/>
      <c r="IJ158" s="922"/>
      <c r="IK158" s="922"/>
      <c r="IL158" s="922"/>
      <c r="IM158" s="922"/>
      <c r="IN158" s="922"/>
      <c r="IO158" s="922"/>
      <c r="IP158" s="922"/>
      <c r="IQ158" s="922"/>
      <c r="IR158" s="922"/>
      <c r="IS158" s="922"/>
      <c r="IT158" s="922"/>
      <c r="IU158" s="922"/>
      <c r="IV158" s="922"/>
      <c r="IW158" s="922"/>
      <c r="IX158" s="922"/>
      <c r="IY158" s="922"/>
      <c r="IZ158" s="922"/>
      <c r="JA158" s="922"/>
      <c r="JB158" s="922"/>
      <c r="JC158" s="922"/>
      <c r="JD158" s="922"/>
      <c r="JE158" s="922"/>
      <c r="JF158" s="922"/>
      <c r="JG158" s="922"/>
      <c r="JH158" s="922"/>
      <c r="JI158" s="922"/>
      <c r="JJ158" s="922"/>
      <c r="JK158" s="922"/>
      <c r="JL158" s="922"/>
      <c r="JM158" s="922"/>
      <c r="JN158" s="922"/>
      <c r="JO158" s="922"/>
      <c r="JP158" s="922"/>
      <c r="JQ158" s="922"/>
      <c r="JR158" s="922"/>
      <c r="JS158" s="922"/>
      <c r="JT158" s="922"/>
      <c r="JU158" s="922"/>
      <c r="JV158" s="922"/>
      <c r="JW158" s="922"/>
      <c r="JX158" s="922"/>
      <c r="JY158" s="922"/>
      <c r="JZ158" s="922"/>
      <c r="KA158" s="922"/>
      <c r="KB158" s="922"/>
      <c r="KC158" s="922"/>
      <c r="KD158" s="922"/>
      <c r="KE158" s="922"/>
      <c r="KF158" s="922"/>
      <c r="KG158" s="922"/>
      <c r="KH158" s="922"/>
      <c r="KI158" s="922"/>
      <c r="KJ158" s="922"/>
      <c r="KK158" s="922"/>
      <c r="KL158" s="922"/>
      <c r="KM158" s="922"/>
      <c r="KN158" s="922"/>
      <c r="KO158" s="922"/>
      <c r="KP158" s="922"/>
      <c r="KQ158" s="922"/>
      <c r="KR158" s="922"/>
      <c r="KS158" s="922"/>
      <c r="KT158" s="922"/>
      <c r="KU158" s="922"/>
      <c r="KV158" s="922"/>
      <c r="KW158" s="922"/>
      <c r="KX158" s="922"/>
      <c r="KY158" s="922"/>
      <c r="KZ158" s="922"/>
      <c r="LA158" s="922"/>
      <c r="LB158" s="922"/>
      <c r="LC158" s="922"/>
      <c r="LD158" s="922"/>
      <c r="LE158" s="922"/>
      <c r="LF158" s="922"/>
      <c r="LG158" s="922"/>
      <c r="LH158" s="922"/>
      <c r="LI158" s="922"/>
      <c r="LJ158" s="922"/>
      <c r="LK158" s="922"/>
      <c r="LL158" s="922"/>
      <c r="LM158" s="922"/>
      <c r="LN158" s="922"/>
      <c r="LO158" s="922"/>
      <c r="LP158" s="922"/>
      <c r="LQ158" s="922"/>
      <c r="LR158" s="922"/>
      <c r="LS158" s="922"/>
      <c r="LT158" s="922"/>
      <c r="LU158" s="922"/>
      <c r="LV158" s="922"/>
      <c r="LW158" s="922"/>
      <c r="LX158" s="922"/>
      <c r="LY158" s="922"/>
      <c r="LZ158" s="922"/>
      <c r="MA158" s="922"/>
      <c r="MB158" s="922"/>
      <c r="MC158" s="922"/>
      <c r="MD158" s="922"/>
      <c r="ME158" s="922"/>
      <c r="MF158" s="922"/>
      <c r="MG158" s="922"/>
      <c r="MH158" s="922"/>
      <c r="MI158" s="922"/>
      <c r="MJ158" s="922"/>
      <c r="MK158" s="922"/>
      <c r="ML158" s="922"/>
      <c r="MM158" s="922"/>
      <c r="MN158" s="922"/>
      <c r="MO158" s="922"/>
      <c r="MP158" s="922"/>
      <c r="MQ158" s="922"/>
      <c r="MR158" s="922"/>
      <c r="MS158" s="922"/>
      <c r="MT158" s="922"/>
      <c r="MU158" s="922"/>
      <c r="MV158" s="922"/>
      <c r="MW158" s="922"/>
      <c r="MX158" s="922"/>
      <c r="MY158" s="922"/>
      <c r="MZ158" s="922"/>
      <c r="NA158" s="922"/>
      <c r="NB158" s="922"/>
      <c r="NC158" s="922"/>
      <c r="ND158" s="922"/>
      <c r="NE158" s="922"/>
      <c r="NF158" s="922"/>
      <c r="NG158" s="922"/>
      <c r="NH158" s="922"/>
      <c r="NI158" s="922"/>
      <c r="NJ158" s="922"/>
      <c r="NK158" s="922"/>
      <c r="NL158" s="922"/>
      <c r="NM158" s="922"/>
      <c r="NN158" s="922"/>
      <c r="NO158" s="922"/>
      <c r="NP158" s="922"/>
      <c r="NQ158" s="922"/>
      <c r="NR158" s="922"/>
      <c r="NS158" s="922"/>
      <c r="NT158" s="922"/>
      <c r="NU158" s="922"/>
      <c r="NV158" s="922"/>
      <c r="NW158" s="922"/>
      <c r="NX158" s="922"/>
      <c r="NY158" s="922"/>
      <c r="NZ158" s="922"/>
      <c r="OA158" s="922"/>
      <c r="OB158" s="922"/>
      <c r="OC158" s="922"/>
      <c r="OD158" s="922"/>
      <c r="OE158" s="922"/>
      <c r="OF158" s="922"/>
      <c r="OG158" s="922"/>
      <c r="OH158" s="922"/>
      <c r="OI158" s="922"/>
      <c r="OJ158" s="922"/>
      <c r="OK158" s="922"/>
      <c r="OL158" s="922"/>
      <c r="OM158" s="922"/>
      <c r="ON158" s="922"/>
      <c r="OO158" s="922"/>
      <c r="OP158" s="922"/>
      <c r="OQ158" s="922"/>
      <c r="OR158" s="922"/>
      <c r="OS158" s="922"/>
      <c r="OT158" s="922"/>
      <c r="OU158" s="922"/>
      <c r="OV158" s="922"/>
      <c r="OW158" s="922"/>
      <c r="OX158" s="922"/>
      <c r="OY158" s="922"/>
      <c r="OZ158" s="922"/>
      <c r="PA158" s="922"/>
      <c r="PB158" s="922"/>
      <c r="PC158" s="922"/>
      <c r="PD158" s="922"/>
      <c r="PE158" s="922"/>
      <c r="PF158" s="922"/>
      <c r="PG158" s="922"/>
      <c r="PH158" s="922"/>
      <c r="PI158" s="922"/>
      <c r="PJ158" s="922"/>
      <c r="PK158" s="922"/>
      <c r="PL158" s="922"/>
      <c r="PM158" s="922"/>
      <c r="PN158" s="922"/>
      <c r="PO158" s="922"/>
      <c r="PP158" s="922"/>
      <c r="PQ158" s="922"/>
      <c r="PR158" s="922"/>
      <c r="PS158" s="922"/>
      <c r="PT158" s="922"/>
      <c r="PU158" s="922"/>
      <c r="PV158" s="922"/>
      <c r="PW158" s="922"/>
      <c r="PX158" s="922"/>
      <c r="PY158" s="922"/>
      <c r="PZ158" s="922"/>
      <c r="QA158" s="922"/>
      <c r="QB158" s="922"/>
      <c r="QC158" s="922"/>
      <c r="QD158" s="922"/>
      <c r="QE158" s="922"/>
      <c r="QF158" s="922"/>
      <c r="QG158" s="922"/>
      <c r="QH158" s="922"/>
      <c r="QI158" s="922"/>
      <c r="QJ158" s="922"/>
      <c r="QK158" s="922"/>
      <c r="QL158" s="922"/>
      <c r="QM158" s="922"/>
      <c r="QN158" s="922"/>
      <c r="QO158" s="922"/>
      <c r="QP158" s="922"/>
      <c r="QQ158" s="922"/>
      <c r="QR158" s="922"/>
      <c r="QS158" s="922"/>
      <c r="QT158" s="922"/>
      <c r="QU158" s="922"/>
      <c r="QV158" s="922"/>
      <c r="QW158" s="922"/>
      <c r="QX158" s="922"/>
      <c r="QY158" s="922"/>
      <c r="QZ158" s="922"/>
      <c r="RA158" s="922"/>
      <c r="RB158" s="922"/>
      <c r="RC158" s="922"/>
      <c r="RD158" s="922"/>
      <c r="RE158" s="922"/>
      <c r="RF158" s="922"/>
      <c r="RG158" s="922"/>
      <c r="RH158" s="922"/>
      <c r="RI158" s="922"/>
      <c r="RJ158" s="922"/>
      <c r="RK158" s="922"/>
      <c r="RL158" s="922"/>
      <c r="RM158" s="922"/>
      <c r="RN158" s="922"/>
      <c r="RO158" s="922"/>
      <c r="RP158" s="922"/>
      <c r="RQ158" s="922"/>
      <c r="RR158" s="922"/>
      <c r="RS158" s="922"/>
      <c r="RT158" s="922"/>
      <c r="RU158" s="922"/>
      <c r="RV158" s="922"/>
      <c r="RW158" s="922"/>
      <c r="RX158" s="922"/>
      <c r="RY158" s="922"/>
      <c r="RZ158" s="922"/>
      <c r="SA158" s="922"/>
      <c r="SB158" s="922"/>
      <c r="SC158" s="922"/>
      <c r="SD158" s="922"/>
      <c r="SE158" s="922"/>
      <c r="SF158" s="922"/>
      <c r="SG158" s="922"/>
      <c r="SH158" s="922"/>
      <c r="SI158" s="922"/>
      <c r="SJ158" s="922"/>
      <c r="SK158" s="922"/>
      <c r="SL158" s="922"/>
      <c r="SM158" s="922"/>
      <c r="SN158" s="922"/>
      <c r="SO158" s="922"/>
      <c r="SP158" s="922"/>
      <c r="SQ158" s="922"/>
      <c r="SR158" s="922"/>
      <c r="SS158" s="922"/>
      <c r="ST158" s="922"/>
      <c r="SU158" s="922"/>
      <c r="SV158" s="922"/>
      <c r="SW158" s="922"/>
      <c r="SX158" s="922"/>
      <c r="SY158" s="922"/>
      <c r="SZ158" s="922"/>
      <c r="TA158" s="922"/>
      <c r="TB158" s="922"/>
      <c r="TC158" s="922"/>
      <c r="TD158" s="922"/>
      <c r="TE158" s="922"/>
      <c r="TF158" s="922"/>
      <c r="TG158" s="922"/>
      <c r="TH158" s="922"/>
      <c r="TI158" s="922"/>
      <c r="TJ158" s="922"/>
      <c r="TK158" s="922"/>
      <c r="TL158" s="922"/>
      <c r="TM158" s="922"/>
      <c r="TN158" s="922"/>
      <c r="TO158" s="922"/>
      <c r="TP158" s="922"/>
      <c r="TQ158" s="922"/>
      <c r="TR158" s="922"/>
      <c r="TS158" s="922"/>
      <c r="TT158" s="922"/>
      <c r="TU158" s="922"/>
      <c r="TV158" s="922"/>
      <c r="TW158" s="922"/>
      <c r="TX158" s="922"/>
      <c r="TY158" s="922"/>
      <c r="TZ158" s="922"/>
      <c r="UA158" s="922"/>
      <c r="UB158" s="922"/>
      <c r="UC158" s="922"/>
      <c r="UD158" s="922"/>
      <c r="UE158" s="922"/>
      <c r="UF158" s="922"/>
      <c r="UG158" s="922"/>
      <c r="UH158" s="922"/>
      <c r="UI158" s="922"/>
      <c r="UJ158" s="922"/>
      <c r="UK158" s="922"/>
      <c r="UL158" s="922"/>
      <c r="UM158" s="922"/>
      <c r="UN158" s="922"/>
      <c r="UO158" s="922"/>
      <c r="UP158" s="922"/>
      <c r="UQ158" s="922"/>
      <c r="UR158" s="922"/>
      <c r="US158" s="922"/>
      <c r="UT158" s="922"/>
      <c r="UU158" s="922"/>
      <c r="UV158" s="922"/>
      <c r="UW158" s="922"/>
      <c r="UX158" s="922"/>
      <c r="UY158" s="922"/>
      <c r="UZ158" s="922"/>
      <c r="VA158" s="922"/>
      <c r="VB158" s="922"/>
      <c r="VC158" s="922"/>
      <c r="VD158" s="922"/>
      <c r="VE158" s="922"/>
      <c r="VF158" s="922"/>
      <c r="VG158" s="922"/>
      <c r="VH158" s="922"/>
      <c r="VI158" s="922"/>
      <c r="VJ158" s="922"/>
      <c r="VK158" s="922"/>
      <c r="VL158" s="922"/>
      <c r="VM158" s="922"/>
      <c r="VN158" s="922"/>
      <c r="VO158" s="922"/>
      <c r="VP158" s="922"/>
      <c r="VQ158" s="922"/>
      <c r="VR158" s="922"/>
      <c r="VS158" s="922"/>
      <c r="VT158" s="922"/>
      <c r="VU158" s="922"/>
      <c r="VV158" s="922"/>
      <c r="VW158" s="922"/>
      <c r="VX158" s="922"/>
      <c r="VY158" s="922"/>
      <c r="VZ158" s="922"/>
      <c r="WA158" s="922"/>
      <c r="WB158" s="922"/>
      <c r="WC158" s="922"/>
      <c r="WD158" s="922"/>
      <c r="WE158" s="922"/>
      <c r="WF158" s="922"/>
      <c r="WG158" s="922"/>
      <c r="WH158" s="922"/>
      <c r="WI158" s="922"/>
      <c r="WJ158" s="922"/>
      <c r="WK158" s="922"/>
      <c r="WL158" s="922"/>
      <c r="WM158" s="922"/>
      <c r="WN158" s="922"/>
      <c r="WO158" s="922"/>
      <c r="WP158" s="922"/>
      <c r="WQ158" s="922"/>
      <c r="WR158" s="922"/>
      <c r="WS158" s="922"/>
      <c r="WT158" s="922"/>
      <c r="WU158" s="922"/>
      <c r="WV158" s="922"/>
      <c r="WW158" s="922"/>
      <c r="WX158" s="922"/>
      <c r="WY158" s="922"/>
      <c r="WZ158" s="922"/>
      <c r="XA158" s="922"/>
      <c r="XB158" s="922"/>
      <c r="XC158" s="922"/>
      <c r="XD158" s="922"/>
      <c r="XE158" s="922"/>
      <c r="XF158" s="922"/>
      <c r="XG158" s="922"/>
      <c r="XH158" s="922"/>
      <c r="XI158" s="922"/>
      <c r="XJ158" s="922"/>
      <c r="XK158" s="922"/>
      <c r="XL158" s="922"/>
      <c r="XM158" s="922"/>
      <c r="XN158" s="922"/>
      <c r="XO158" s="922"/>
      <c r="XP158" s="922"/>
      <c r="XQ158" s="922"/>
      <c r="XR158" s="922"/>
      <c r="XS158" s="922"/>
      <c r="XT158" s="922"/>
      <c r="XU158" s="922"/>
      <c r="XV158" s="922"/>
      <c r="XW158" s="922"/>
      <c r="XX158" s="922"/>
      <c r="XY158" s="922"/>
      <c r="XZ158" s="922"/>
      <c r="YA158" s="922"/>
      <c r="YB158" s="922"/>
      <c r="YC158" s="922"/>
      <c r="YD158" s="922"/>
      <c r="YE158" s="922"/>
      <c r="YF158" s="922"/>
      <c r="YG158" s="922"/>
      <c r="YH158" s="922"/>
      <c r="YI158" s="922"/>
      <c r="YJ158" s="922"/>
      <c r="YK158" s="922"/>
      <c r="YL158" s="922"/>
      <c r="YM158" s="922"/>
      <c r="YN158" s="922"/>
      <c r="YO158" s="922"/>
      <c r="YP158" s="922"/>
      <c r="YQ158" s="922"/>
      <c r="YR158" s="922"/>
      <c r="YS158" s="922"/>
      <c r="YT158" s="922"/>
      <c r="YU158" s="922"/>
      <c r="YV158" s="922"/>
      <c r="YW158" s="922"/>
      <c r="YX158" s="922"/>
      <c r="YY158" s="922"/>
      <c r="YZ158" s="922"/>
      <c r="ZA158" s="922"/>
      <c r="ZB158" s="922"/>
      <c r="ZC158" s="922"/>
      <c r="ZD158" s="922"/>
      <c r="ZE158" s="922"/>
      <c r="ZF158" s="922"/>
      <c r="ZG158" s="922"/>
      <c r="ZH158" s="922"/>
      <c r="ZI158" s="922"/>
      <c r="ZJ158" s="922"/>
      <c r="ZK158" s="922"/>
      <c r="ZL158" s="922"/>
      <c r="ZM158" s="922"/>
      <c r="ZN158" s="922"/>
      <c r="ZO158" s="922"/>
      <c r="ZP158" s="922"/>
      <c r="ZQ158" s="922"/>
      <c r="ZR158" s="922"/>
      <c r="ZS158" s="922"/>
      <c r="ZT158" s="922"/>
      <c r="ZU158" s="922"/>
      <c r="ZV158" s="922"/>
      <c r="ZW158" s="922"/>
      <c r="ZX158" s="922"/>
      <c r="ZY158" s="922"/>
      <c r="ZZ158" s="922"/>
      <c r="AAA158" s="922"/>
      <c r="AAB158" s="922"/>
      <c r="AAC158" s="922"/>
      <c r="AAD158" s="922"/>
      <c r="AAE158" s="922"/>
      <c r="AAF158" s="922"/>
      <c r="AAG158" s="922"/>
      <c r="AAH158" s="922"/>
      <c r="AAI158" s="922"/>
      <c r="AAJ158" s="922"/>
      <c r="AAK158" s="922"/>
      <c r="AAL158" s="922"/>
      <c r="AAM158" s="922"/>
      <c r="AAN158" s="922"/>
      <c r="AAO158" s="922"/>
      <c r="AAP158" s="922"/>
      <c r="AAQ158" s="922"/>
      <c r="AAR158" s="922"/>
      <c r="AAS158" s="922"/>
      <c r="AAT158" s="922"/>
      <c r="AAU158" s="922"/>
      <c r="AAV158" s="922"/>
      <c r="AAW158" s="922"/>
      <c r="AAX158" s="922"/>
      <c r="AAY158" s="922"/>
      <c r="AAZ158" s="922"/>
      <c r="ABA158" s="922"/>
      <c r="ABB158" s="922"/>
      <c r="ABC158" s="922"/>
      <c r="ABD158" s="922"/>
      <c r="ABE158" s="922"/>
      <c r="ABF158" s="922"/>
      <c r="ABG158" s="922"/>
      <c r="ABH158" s="922"/>
      <c r="ABI158" s="922"/>
      <c r="ABJ158" s="922"/>
      <c r="ABK158" s="922"/>
      <c r="ABL158" s="922"/>
      <c r="ABM158" s="922"/>
      <c r="ABN158" s="922"/>
      <c r="ABO158" s="922"/>
      <c r="ABP158" s="922"/>
      <c r="ABQ158" s="922"/>
      <c r="ABR158" s="922"/>
      <c r="ABS158" s="922"/>
      <c r="ABT158" s="922"/>
      <c r="ABU158" s="922"/>
      <c r="ABV158" s="922"/>
      <c r="ABW158" s="922"/>
      <c r="ABX158" s="922"/>
      <c r="ABY158" s="922"/>
      <c r="ABZ158" s="922"/>
      <c r="ACA158" s="922"/>
      <c r="ACB158" s="922"/>
      <c r="ACC158" s="922"/>
      <c r="ACD158" s="922"/>
      <c r="ACE158" s="922"/>
      <c r="ACF158" s="922"/>
      <c r="ACG158" s="922"/>
      <c r="ACH158" s="922"/>
      <c r="ACI158" s="922"/>
      <c r="ACJ158" s="922"/>
      <c r="ACK158" s="922"/>
      <c r="ACL158" s="922"/>
      <c r="ACM158" s="922"/>
      <c r="ACN158" s="922"/>
      <c r="ACO158" s="922"/>
      <c r="ACP158" s="922"/>
      <c r="ACQ158" s="922"/>
      <c r="ACR158" s="922"/>
      <c r="ACS158" s="922"/>
      <c r="ACT158" s="922"/>
      <c r="ACU158" s="922"/>
      <c r="ACV158" s="922"/>
      <c r="ACW158" s="922"/>
      <c r="ACX158" s="922"/>
      <c r="ACY158" s="922"/>
      <c r="ACZ158" s="922"/>
      <c r="ADA158" s="922"/>
      <c r="ADB158" s="922"/>
      <c r="ADC158" s="922"/>
      <c r="ADD158" s="922"/>
      <c r="ADE158" s="922"/>
      <c r="ADF158" s="922"/>
      <c r="ADG158" s="922"/>
      <c r="ADH158" s="922"/>
      <c r="ADI158" s="922"/>
      <c r="ADJ158" s="922"/>
      <c r="ADK158" s="922"/>
      <c r="ADL158" s="922"/>
      <c r="ADM158" s="922"/>
      <c r="ADN158" s="922"/>
      <c r="ADO158" s="922"/>
      <c r="ADP158" s="922"/>
      <c r="ADQ158" s="922"/>
      <c r="ADR158" s="922"/>
      <c r="ADS158" s="922"/>
      <c r="ADT158" s="922"/>
      <c r="ADU158" s="922"/>
      <c r="ADV158" s="922"/>
      <c r="ADW158" s="922"/>
      <c r="ADX158" s="922"/>
      <c r="ADY158" s="922"/>
      <c r="ADZ158" s="922"/>
      <c r="AEA158" s="922"/>
      <c r="AEB158" s="922"/>
      <c r="AEC158" s="922"/>
      <c r="AED158" s="922"/>
      <c r="AEE158" s="922"/>
      <c r="AEF158" s="922"/>
      <c r="AEG158" s="922"/>
      <c r="AEH158" s="922"/>
      <c r="AEI158" s="922"/>
      <c r="AEJ158" s="922"/>
      <c r="AEK158" s="922"/>
      <c r="AEL158" s="922"/>
      <c r="AEM158" s="922"/>
      <c r="AEN158" s="922"/>
      <c r="AEO158" s="922"/>
      <c r="AEP158" s="922"/>
      <c r="AEQ158" s="922"/>
      <c r="AER158" s="922"/>
      <c r="AES158" s="922"/>
      <c r="AET158" s="922"/>
      <c r="AEU158" s="922"/>
      <c r="AEV158" s="922"/>
      <c r="AEW158" s="922"/>
      <c r="AEX158" s="922"/>
      <c r="AEY158" s="922"/>
      <c r="AEZ158" s="922"/>
      <c r="AFA158" s="922"/>
      <c r="AFB158" s="922"/>
      <c r="AFC158" s="922"/>
      <c r="AFD158" s="922"/>
      <c r="AFE158" s="922"/>
      <c r="AFF158" s="922"/>
      <c r="AFG158" s="922"/>
      <c r="AFH158" s="922"/>
      <c r="AFI158" s="922"/>
      <c r="AFJ158" s="922"/>
      <c r="AFK158" s="922"/>
      <c r="AFL158" s="922"/>
      <c r="AFM158" s="922"/>
      <c r="AFN158" s="922"/>
      <c r="AFO158" s="922"/>
      <c r="AFP158" s="922"/>
      <c r="AFQ158" s="922"/>
      <c r="AFR158" s="922"/>
      <c r="AFS158" s="922"/>
      <c r="AFT158" s="922"/>
      <c r="AFU158" s="922"/>
      <c r="AFV158" s="922"/>
      <c r="AFW158" s="922"/>
      <c r="AFX158" s="922"/>
      <c r="AFY158" s="922"/>
      <c r="AFZ158" s="922"/>
      <c r="AGA158" s="922"/>
      <c r="AGB158" s="922"/>
      <c r="AGC158" s="922"/>
      <c r="AGD158" s="922"/>
      <c r="AGE158" s="922"/>
      <c r="AGF158" s="922"/>
      <c r="AGG158" s="922"/>
      <c r="AGH158" s="922"/>
      <c r="AGI158" s="922"/>
      <c r="AGJ158" s="922"/>
      <c r="AGK158" s="922"/>
      <c r="AGL158" s="922"/>
      <c r="AGM158" s="922"/>
      <c r="AGN158" s="922"/>
      <c r="AGO158" s="922"/>
      <c r="AGP158" s="922"/>
      <c r="AGQ158" s="922"/>
      <c r="AGR158" s="922"/>
      <c r="AGS158" s="922"/>
      <c r="AGT158" s="922"/>
      <c r="AGU158" s="922"/>
      <c r="AGV158" s="922"/>
      <c r="AGW158" s="922"/>
      <c r="AGX158" s="922"/>
      <c r="AGY158" s="922"/>
      <c r="AGZ158" s="922"/>
      <c r="AHA158" s="922"/>
      <c r="AHB158" s="922"/>
      <c r="AHC158" s="922"/>
      <c r="AHD158" s="922"/>
      <c r="AHE158" s="922"/>
      <c r="AHF158" s="922"/>
      <c r="AHG158" s="922"/>
      <c r="AHH158" s="922"/>
      <c r="AHI158" s="922"/>
      <c r="AHJ158" s="922"/>
      <c r="AHK158" s="922"/>
      <c r="AHL158" s="922"/>
      <c r="AHM158" s="922"/>
      <c r="AHN158" s="922"/>
      <c r="AHO158" s="922"/>
      <c r="AHP158" s="922"/>
      <c r="AHQ158" s="922"/>
      <c r="AHR158" s="922"/>
      <c r="AHS158" s="922"/>
      <c r="AHT158" s="922"/>
      <c r="AHU158" s="922"/>
      <c r="AHV158" s="922"/>
      <c r="AHW158" s="922"/>
      <c r="AHX158" s="922"/>
      <c r="AHY158" s="922"/>
      <c r="AHZ158" s="922"/>
      <c r="AIA158" s="922"/>
      <c r="AIB158" s="922"/>
      <c r="AIC158" s="922"/>
      <c r="AID158" s="922"/>
      <c r="AIE158" s="922"/>
      <c r="AIF158" s="922"/>
      <c r="AIG158" s="922"/>
      <c r="AIH158" s="922"/>
      <c r="AII158" s="922"/>
      <c r="AIJ158" s="922"/>
      <c r="AIK158" s="922"/>
      <c r="AIL158" s="922"/>
      <c r="AIM158" s="922"/>
      <c r="AIN158" s="922"/>
      <c r="AIO158" s="922"/>
      <c r="AIP158" s="922"/>
      <c r="AIQ158" s="922"/>
      <c r="AIR158" s="922"/>
      <c r="AIS158" s="922"/>
      <c r="AIT158" s="922"/>
      <c r="AIU158" s="922"/>
      <c r="AIV158" s="922"/>
      <c r="AIW158" s="922"/>
      <c r="AIX158" s="922"/>
      <c r="AIY158" s="922"/>
      <c r="AIZ158" s="922"/>
      <c r="AJA158" s="922"/>
      <c r="AJB158" s="922"/>
      <c r="AJC158" s="922"/>
      <c r="AJD158" s="922"/>
      <c r="AJE158" s="922"/>
      <c r="AJF158" s="922"/>
      <c r="AJG158" s="922"/>
      <c r="AJH158" s="922"/>
      <c r="AJI158" s="922"/>
      <c r="AJJ158" s="922"/>
      <c r="AJK158" s="922"/>
      <c r="AJL158" s="922"/>
      <c r="AJM158" s="922"/>
      <c r="AJN158" s="922"/>
      <c r="AJO158" s="922"/>
      <c r="AJP158" s="922"/>
      <c r="AJQ158" s="922"/>
      <c r="AJR158" s="922"/>
      <c r="AJS158" s="922"/>
      <c r="AJT158" s="922"/>
      <c r="AJU158" s="922"/>
      <c r="AJV158" s="922"/>
      <c r="AJW158" s="922"/>
      <c r="AJX158" s="922"/>
      <c r="AJY158" s="922"/>
      <c r="AJZ158" s="922"/>
      <c r="AKA158" s="922"/>
      <c r="AKB158" s="922"/>
      <c r="AKC158" s="922"/>
      <c r="AKD158" s="922"/>
      <c r="AKE158" s="922"/>
      <c r="AKF158" s="922"/>
      <c r="AKG158" s="922"/>
      <c r="AKH158" s="922"/>
      <c r="AKI158" s="922"/>
      <c r="AKJ158" s="922"/>
      <c r="AKK158" s="922"/>
      <c r="AKL158" s="922"/>
      <c r="AKM158" s="922"/>
      <c r="AKN158" s="922"/>
      <c r="AKO158" s="922"/>
      <c r="AKP158" s="922"/>
      <c r="AKQ158" s="922"/>
      <c r="AKR158" s="922"/>
      <c r="AKS158" s="922"/>
      <c r="AKT158" s="922"/>
      <c r="AKU158" s="922"/>
      <c r="AKV158" s="922"/>
      <c r="AKW158" s="922"/>
      <c r="AKX158" s="922"/>
      <c r="AKY158" s="922"/>
      <c r="AKZ158" s="922"/>
      <c r="ALA158" s="922"/>
      <c r="ALB158" s="922"/>
      <c r="ALC158" s="922"/>
      <c r="ALD158" s="922"/>
      <c r="ALE158" s="922"/>
      <c r="ALF158" s="922"/>
      <c r="ALG158" s="922"/>
      <c r="ALH158" s="922"/>
      <c r="ALI158" s="922"/>
      <c r="ALJ158" s="922"/>
      <c r="ALK158" s="922"/>
      <c r="ALL158" s="922"/>
      <c r="ALM158" s="922"/>
      <c r="ALN158" s="922"/>
      <c r="ALO158" s="922"/>
      <c r="ALP158" s="922"/>
      <c r="ALQ158" s="922"/>
      <c r="ALR158" s="922"/>
      <c r="ALS158" s="922"/>
      <c r="ALT158" s="922"/>
      <c r="ALU158" s="922"/>
      <c r="ALV158" s="922"/>
      <c r="ALW158" s="922"/>
      <c r="ALX158" s="922"/>
      <c r="ALY158" s="922"/>
      <c r="ALZ158" s="922"/>
      <c r="AMA158" s="922"/>
      <c r="AMB158" s="922"/>
      <c r="AMC158" s="922"/>
      <c r="AMD158" s="922"/>
      <c r="AME158" s="922"/>
      <c r="AMF158" s="922"/>
      <c r="AMG158" s="922"/>
      <c r="AMH158" s="922"/>
      <c r="AMI158" s="922"/>
      <c r="AMJ158" s="922"/>
      <c r="AMK158" s="922"/>
      <c r="AML158" s="922"/>
      <c r="AMM158" s="922"/>
      <c r="AMN158" s="922"/>
      <c r="AMO158" s="922"/>
      <c r="AMP158" s="922"/>
      <c r="AMQ158" s="922"/>
      <c r="AMR158" s="922"/>
      <c r="AMS158" s="922"/>
      <c r="AMT158" s="922"/>
      <c r="AMU158" s="922"/>
      <c r="AMV158" s="922"/>
      <c r="AMW158" s="922"/>
      <c r="AMX158" s="922"/>
      <c r="AMY158" s="922"/>
      <c r="AMZ158" s="922"/>
      <c r="ANA158" s="922"/>
      <c r="ANB158" s="922"/>
      <c r="ANC158" s="922"/>
      <c r="AND158" s="922"/>
      <c r="ANE158" s="922"/>
      <c r="ANF158" s="922"/>
      <c r="ANG158" s="922"/>
      <c r="ANH158" s="922"/>
      <c r="ANI158" s="922"/>
      <c r="ANJ158" s="922"/>
      <c r="ANK158" s="922"/>
      <c r="ANL158" s="922"/>
      <c r="ANM158" s="922"/>
      <c r="ANN158" s="922"/>
      <c r="ANO158" s="922"/>
      <c r="ANP158" s="922"/>
      <c r="ANQ158" s="922"/>
      <c r="ANR158" s="922"/>
      <c r="ANS158" s="922"/>
      <c r="ANT158" s="922"/>
      <c r="ANU158" s="922"/>
      <c r="ANV158" s="922"/>
      <c r="ANW158" s="922"/>
      <c r="ANX158" s="922"/>
      <c r="ANY158" s="922"/>
      <c r="ANZ158" s="922"/>
      <c r="AOA158" s="922"/>
      <c r="AOB158" s="922"/>
      <c r="AOC158" s="922"/>
      <c r="AOD158" s="922"/>
      <c r="AOE158" s="922"/>
      <c r="AOF158" s="922"/>
      <c r="AOG158" s="922"/>
      <c r="AOH158" s="922"/>
      <c r="AOI158" s="922"/>
      <c r="AOJ158" s="922"/>
      <c r="AOK158" s="922"/>
      <c r="AOL158" s="922"/>
      <c r="AOM158" s="922"/>
      <c r="AON158" s="922"/>
      <c r="AOO158" s="922"/>
      <c r="AOP158" s="922"/>
      <c r="AOQ158" s="922"/>
      <c r="AOR158" s="922"/>
      <c r="AOS158" s="922"/>
      <c r="AOT158" s="922"/>
      <c r="AOU158" s="922"/>
      <c r="AOV158" s="922"/>
      <c r="AOW158" s="922"/>
      <c r="AOX158" s="922"/>
      <c r="AOY158" s="922"/>
      <c r="AOZ158" s="922"/>
      <c r="APA158" s="922"/>
      <c r="APB158" s="922"/>
      <c r="APC158" s="922"/>
      <c r="APD158" s="922"/>
      <c r="APE158" s="922"/>
      <c r="APF158" s="922"/>
      <c r="APG158" s="922"/>
      <c r="APH158" s="922"/>
      <c r="API158" s="922"/>
      <c r="APJ158" s="922"/>
      <c r="APK158" s="922"/>
      <c r="APL158" s="922"/>
      <c r="APM158" s="922"/>
      <c r="APN158" s="922"/>
      <c r="APO158" s="922"/>
      <c r="APP158" s="922"/>
      <c r="APQ158" s="922"/>
      <c r="APR158" s="922"/>
      <c r="APS158" s="922"/>
      <c r="APT158" s="922"/>
      <c r="APU158" s="922"/>
      <c r="APV158" s="922"/>
      <c r="APW158" s="922"/>
      <c r="APX158" s="922"/>
      <c r="APY158" s="922"/>
      <c r="APZ158" s="922"/>
      <c r="AQA158" s="922"/>
      <c r="AQB158" s="922"/>
      <c r="AQC158" s="922"/>
      <c r="AQD158" s="922"/>
      <c r="AQE158" s="922"/>
      <c r="AQF158" s="922"/>
      <c r="AQG158" s="922"/>
      <c r="AQH158" s="922"/>
      <c r="AQI158" s="922"/>
      <c r="AQJ158" s="922"/>
      <c r="AQK158" s="922"/>
      <c r="AQL158" s="922"/>
      <c r="AQM158" s="922"/>
      <c r="AQN158" s="922"/>
      <c r="AQO158" s="922"/>
      <c r="AQP158" s="922"/>
      <c r="AQQ158" s="922"/>
      <c r="AQR158" s="922"/>
      <c r="AQS158" s="922"/>
      <c r="AQT158" s="922"/>
      <c r="AQU158" s="922"/>
      <c r="AQV158" s="922"/>
      <c r="AQW158" s="922"/>
      <c r="AQX158" s="922"/>
      <c r="AQY158" s="922"/>
      <c r="AQZ158" s="922"/>
      <c r="ARA158" s="922"/>
      <c r="ARB158" s="922"/>
      <c r="ARC158" s="922"/>
      <c r="ARD158" s="922"/>
      <c r="ARE158" s="922"/>
      <c r="ARF158" s="922"/>
      <c r="ARG158" s="922"/>
      <c r="ARH158" s="922"/>
      <c r="ARI158" s="922"/>
      <c r="ARJ158" s="922"/>
      <c r="ARK158" s="922"/>
      <c r="ARL158" s="922"/>
      <c r="ARM158" s="922"/>
      <c r="ARN158" s="922"/>
      <c r="ARO158" s="922"/>
      <c r="ARP158" s="922"/>
      <c r="ARQ158" s="922"/>
      <c r="ARR158" s="922"/>
      <c r="ARS158" s="922"/>
      <c r="ART158" s="922"/>
      <c r="ARU158" s="922"/>
      <c r="ARV158" s="922"/>
      <c r="ARW158" s="922"/>
      <c r="ARX158" s="922"/>
      <c r="ARY158" s="922"/>
      <c r="ARZ158" s="922"/>
      <c r="ASA158" s="922"/>
      <c r="ASB158" s="922"/>
      <c r="ASC158" s="922"/>
    </row>
    <row r="159" spans="1:1173" hidden="1">
      <c r="A159" s="920"/>
      <c r="T159" s="922"/>
      <c r="AN159" s="922"/>
      <c r="AO159" s="922"/>
      <c r="AP159" s="922"/>
      <c r="AQ159" s="922"/>
      <c r="AR159" s="922"/>
      <c r="AS159" s="922"/>
      <c r="AT159" s="922"/>
      <c r="AU159" s="922"/>
      <c r="AV159" s="922"/>
      <c r="AW159" s="922"/>
      <c r="AX159" s="922"/>
      <c r="AY159" s="922"/>
      <c r="AZ159" s="922"/>
      <c r="BA159" s="922"/>
      <c r="BB159" s="922"/>
      <c r="BC159" s="922"/>
      <c r="BD159" s="922"/>
      <c r="BE159" s="922"/>
      <c r="BF159" s="922"/>
      <c r="BG159" s="922"/>
      <c r="BH159" s="922"/>
      <c r="BI159" s="922"/>
      <c r="BJ159" s="922"/>
      <c r="BK159" s="922"/>
      <c r="BL159" s="922"/>
      <c r="BM159" s="922"/>
      <c r="BN159" s="922"/>
      <c r="BO159" s="922"/>
      <c r="BP159" s="922"/>
      <c r="BQ159" s="922"/>
      <c r="BR159" s="922"/>
      <c r="BS159" s="922"/>
      <c r="BT159" s="922"/>
      <c r="BU159" s="922"/>
      <c r="BV159" s="922"/>
      <c r="BW159" s="922"/>
      <c r="BX159" s="922"/>
      <c r="BY159" s="922"/>
      <c r="BZ159" s="922"/>
      <c r="CA159" s="922"/>
      <c r="CB159" s="922"/>
      <c r="CC159" s="922"/>
      <c r="CD159" s="922"/>
      <c r="CE159" s="922"/>
      <c r="CF159" s="922"/>
      <c r="CG159" s="922"/>
      <c r="CH159" s="922"/>
      <c r="CI159" s="922"/>
      <c r="CJ159" s="922"/>
      <c r="CK159" s="922"/>
      <c r="CL159" s="922"/>
      <c r="CM159" s="922"/>
      <c r="CN159" s="922"/>
      <c r="CO159" s="922"/>
      <c r="CP159" s="922"/>
      <c r="CQ159" s="922"/>
      <c r="CR159" s="922"/>
      <c r="CS159" s="922"/>
      <c r="CT159" s="922"/>
      <c r="CU159" s="922"/>
      <c r="CV159" s="922"/>
      <c r="CW159" s="922"/>
      <c r="CX159" s="922"/>
      <c r="CY159" s="922"/>
      <c r="CZ159" s="922"/>
      <c r="DA159" s="922"/>
      <c r="DB159" s="922"/>
      <c r="DC159" s="922"/>
      <c r="DD159" s="922"/>
      <c r="DE159" s="922"/>
      <c r="DF159" s="922"/>
      <c r="DG159" s="922"/>
      <c r="DH159" s="922"/>
      <c r="DI159" s="922"/>
      <c r="DJ159" s="922"/>
      <c r="DK159" s="922"/>
      <c r="DL159" s="922"/>
      <c r="DM159" s="922"/>
      <c r="DN159" s="922"/>
      <c r="DO159" s="922"/>
      <c r="DP159" s="922"/>
      <c r="DQ159" s="922"/>
      <c r="DR159" s="922"/>
      <c r="DS159" s="922"/>
      <c r="DT159" s="922"/>
      <c r="DU159" s="922"/>
      <c r="DV159" s="922"/>
      <c r="DW159" s="922"/>
      <c r="DX159" s="922"/>
      <c r="DY159" s="922"/>
      <c r="DZ159" s="922"/>
      <c r="EA159" s="922"/>
      <c r="EB159" s="922"/>
      <c r="EC159" s="922"/>
      <c r="ED159" s="922"/>
      <c r="EE159" s="922"/>
      <c r="EF159" s="922"/>
      <c r="EG159" s="922"/>
      <c r="EH159" s="922"/>
      <c r="EI159" s="922"/>
      <c r="EJ159" s="922"/>
      <c r="EK159" s="922"/>
      <c r="EL159" s="922"/>
      <c r="EM159" s="922"/>
      <c r="EN159" s="922"/>
      <c r="EO159" s="922"/>
      <c r="EP159" s="922"/>
      <c r="EQ159" s="922"/>
      <c r="ER159" s="922"/>
      <c r="ES159" s="922"/>
      <c r="ET159" s="922"/>
      <c r="EU159" s="922"/>
      <c r="EV159" s="922"/>
      <c r="EW159" s="922"/>
      <c r="EX159" s="922"/>
      <c r="EY159" s="922"/>
      <c r="EZ159" s="922"/>
      <c r="FA159" s="922"/>
      <c r="FB159" s="922"/>
      <c r="FC159" s="922"/>
      <c r="FD159" s="922"/>
      <c r="FE159" s="922"/>
      <c r="FF159" s="922"/>
      <c r="FG159" s="922"/>
      <c r="FH159" s="922"/>
      <c r="FI159" s="922"/>
      <c r="FJ159" s="922"/>
      <c r="FK159" s="922"/>
      <c r="FL159" s="922"/>
      <c r="FM159" s="922"/>
      <c r="FN159" s="922"/>
      <c r="FO159" s="922"/>
      <c r="FP159" s="922"/>
      <c r="FQ159" s="922"/>
      <c r="FR159" s="922"/>
      <c r="FS159" s="922"/>
      <c r="FT159" s="922"/>
      <c r="FU159" s="922"/>
      <c r="FV159" s="922"/>
      <c r="FW159" s="922"/>
      <c r="FX159" s="922"/>
      <c r="FY159" s="922"/>
      <c r="FZ159" s="922"/>
      <c r="GA159" s="922"/>
      <c r="GB159" s="922"/>
      <c r="GC159" s="922"/>
      <c r="GD159" s="922"/>
      <c r="GE159" s="922"/>
      <c r="GF159" s="922"/>
      <c r="GG159" s="922"/>
      <c r="GH159" s="922"/>
      <c r="GI159" s="922"/>
      <c r="GJ159" s="922"/>
      <c r="GK159" s="922"/>
      <c r="GL159" s="922"/>
      <c r="GM159" s="922"/>
      <c r="GN159" s="922"/>
      <c r="GO159" s="922"/>
      <c r="GP159" s="922"/>
      <c r="GQ159" s="922"/>
      <c r="GR159" s="922"/>
      <c r="GS159" s="922"/>
      <c r="GT159" s="922"/>
      <c r="GU159" s="922"/>
      <c r="GV159" s="922"/>
      <c r="GW159" s="922"/>
      <c r="GX159" s="922"/>
      <c r="GY159" s="922"/>
      <c r="GZ159" s="922"/>
      <c r="HA159" s="922"/>
      <c r="HB159" s="922"/>
      <c r="HC159" s="922"/>
      <c r="HD159" s="922"/>
      <c r="HE159" s="922"/>
      <c r="HF159" s="922"/>
      <c r="HG159" s="922"/>
      <c r="HH159" s="922"/>
      <c r="HI159" s="922"/>
      <c r="HJ159" s="922"/>
      <c r="HK159" s="922"/>
      <c r="HL159" s="922"/>
      <c r="HM159" s="922"/>
      <c r="HN159" s="922"/>
      <c r="HO159" s="922"/>
      <c r="HP159" s="922"/>
      <c r="HQ159" s="922"/>
      <c r="HR159" s="922"/>
      <c r="HS159" s="922"/>
      <c r="HT159" s="922"/>
      <c r="HU159" s="922"/>
      <c r="HV159" s="922"/>
      <c r="HW159" s="922"/>
      <c r="HX159" s="922"/>
      <c r="HY159" s="922"/>
      <c r="HZ159" s="922"/>
      <c r="IA159" s="922"/>
      <c r="IB159" s="922"/>
      <c r="IC159" s="922"/>
      <c r="ID159" s="922"/>
      <c r="IE159" s="922"/>
      <c r="IF159" s="922"/>
      <c r="IG159" s="922"/>
      <c r="IH159" s="922"/>
      <c r="II159" s="922"/>
      <c r="IJ159" s="922"/>
      <c r="IK159" s="922"/>
      <c r="IL159" s="922"/>
      <c r="IM159" s="922"/>
      <c r="IN159" s="922"/>
      <c r="IO159" s="922"/>
      <c r="IP159" s="922"/>
      <c r="IQ159" s="922"/>
      <c r="IR159" s="922"/>
      <c r="IS159" s="922"/>
      <c r="IT159" s="922"/>
      <c r="IU159" s="922"/>
      <c r="IV159" s="922"/>
      <c r="IW159" s="922"/>
      <c r="IX159" s="922"/>
      <c r="IY159" s="922"/>
      <c r="IZ159" s="922"/>
      <c r="JA159" s="922"/>
      <c r="JB159" s="922"/>
      <c r="JC159" s="922"/>
      <c r="JD159" s="922"/>
      <c r="JE159" s="922"/>
      <c r="JF159" s="922"/>
      <c r="JG159" s="922"/>
      <c r="JH159" s="922"/>
      <c r="JI159" s="922"/>
      <c r="JJ159" s="922"/>
      <c r="JK159" s="922"/>
      <c r="JL159" s="922"/>
      <c r="JM159" s="922"/>
      <c r="JN159" s="922"/>
      <c r="JO159" s="922"/>
      <c r="JP159" s="922"/>
      <c r="JQ159" s="922"/>
      <c r="JR159" s="922"/>
      <c r="JS159" s="922"/>
      <c r="JT159" s="922"/>
      <c r="JU159" s="922"/>
      <c r="JV159" s="922"/>
      <c r="JW159" s="922"/>
      <c r="JX159" s="922"/>
      <c r="JY159" s="922"/>
      <c r="JZ159" s="922"/>
      <c r="KA159" s="922"/>
      <c r="KB159" s="922"/>
      <c r="KC159" s="922"/>
      <c r="KD159" s="922"/>
      <c r="KE159" s="922"/>
      <c r="KF159" s="922"/>
      <c r="KG159" s="922"/>
      <c r="KH159" s="922"/>
      <c r="KI159" s="922"/>
      <c r="KJ159" s="922"/>
      <c r="KK159" s="922"/>
      <c r="KL159" s="922"/>
      <c r="KM159" s="922"/>
      <c r="KN159" s="922"/>
      <c r="KO159" s="922"/>
      <c r="KP159" s="922"/>
      <c r="KQ159" s="922"/>
      <c r="KR159" s="922"/>
      <c r="KS159" s="922"/>
      <c r="KT159" s="922"/>
      <c r="KU159" s="922"/>
      <c r="KV159" s="922"/>
      <c r="KW159" s="922"/>
      <c r="KX159" s="922"/>
      <c r="KY159" s="922"/>
      <c r="KZ159" s="922"/>
      <c r="LA159" s="922"/>
      <c r="LB159" s="922"/>
      <c r="LC159" s="922"/>
      <c r="LD159" s="922"/>
      <c r="LE159" s="922"/>
      <c r="LF159" s="922"/>
      <c r="LG159" s="922"/>
      <c r="LH159" s="922"/>
      <c r="LI159" s="922"/>
      <c r="LJ159" s="922"/>
      <c r="LK159" s="922"/>
      <c r="LL159" s="922"/>
      <c r="LM159" s="922"/>
      <c r="LN159" s="922"/>
      <c r="LO159" s="922"/>
      <c r="LP159" s="922"/>
      <c r="LQ159" s="922"/>
      <c r="LR159" s="922"/>
      <c r="LS159" s="922"/>
      <c r="LT159" s="922"/>
      <c r="LU159" s="922"/>
      <c r="LV159" s="922"/>
      <c r="LW159" s="922"/>
      <c r="LX159" s="922"/>
      <c r="LY159" s="922"/>
      <c r="LZ159" s="922"/>
      <c r="MA159" s="922"/>
      <c r="MB159" s="922"/>
      <c r="MC159" s="922"/>
      <c r="MD159" s="922"/>
      <c r="ME159" s="922"/>
      <c r="MF159" s="922"/>
      <c r="MG159" s="922"/>
      <c r="MH159" s="922"/>
      <c r="MI159" s="922"/>
      <c r="MJ159" s="922"/>
      <c r="MK159" s="922"/>
      <c r="ML159" s="922"/>
      <c r="MM159" s="922"/>
      <c r="MN159" s="922"/>
      <c r="MO159" s="922"/>
      <c r="MP159" s="922"/>
      <c r="MQ159" s="922"/>
      <c r="MR159" s="922"/>
      <c r="MS159" s="922"/>
      <c r="MT159" s="922"/>
      <c r="MU159" s="922"/>
      <c r="MV159" s="922"/>
      <c r="MW159" s="922"/>
      <c r="MX159" s="922"/>
      <c r="MY159" s="922"/>
      <c r="MZ159" s="922"/>
      <c r="NA159" s="922"/>
      <c r="NB159" s="922"/>
      <c r="NC159" s="922"/>
      <c r="ND159" s="922"/>
      <c r="NE159" s="922"/>
      <c r="NF159" s="922"/>
      <c r="NG159" s="922"/>
      <c r="NH159" s="922"/>
      <c r="NI159" s="922"/>
      <c r="NJ159" s="922"/>
      <c r="NK159" s="922"/>
      <c r="NL159" s="922"/>
      <c r="NM159" s="922"/>
      <c r="NN159" s="922"/>
      <c r="NO159" s="922"/>
      <c r="NP159" s="922"/>
      <c r="NQ159" s="922"/>
      <c r="NR159" s="922"/>
      <c r="NS159" s="922"/>
      <c r="NT159" s="922"/>
      <c r="NU159" s="922"/>
      <c r="NV159" s="922"/>
      <c r="NW159" s="922"/>
      <c r="NX159" s="922"/>
      <c r="NY159" s="922"/>
      <c r="NZ159" s="922"/>
      <c r="OA159" s="922"/>
      <c r="OB159" s="922"/>
      <c r="OC159" s="922"/>
      <c r="OD159" s="922"/>
      <c r="OE159" s="922"/>
      <c r="OF159" s="922"/>
      <c r="OG159" s="922"/>
      <c r="OH159" s="922"/>
      <c r="OI159" s="922"/>
      <c r="OJ159" s="922"/>
      <c r="OK159" s="922"/>
      <c r="OL159" s="922"/>
      <c r="OM159" s="922"/>
      <c r="ON159" s="922"/>
      <c r="OO159" s="922"/>
      <c r="OP159" s="922"/>
      <c r="OQ159" s="922"/>
      <c r="OR159" s="922"/>
      <c r="OS159" s="922"/>
      <c r="OT159" s="922"/>
      <c r="OU159" s="922"/>
      <c r="OV159" s="922"/>
      <c r="OW159" s="922"/>
      <c r="OX159" s="922"/>
      <c r="OY159" s="922"/>
      <c r="OZ159" s="922"/>
      <c r="PA159" s="922"/>
      <c r="PB159" s="922"/>
      <c r="PC159" s="922"/>
      <c r="PD159" s="922"/>
      <c r="PE159" s="922"/>
      <c r="PF159" s="922"/>
      <c r="PG159" s="922"/>
      <c r="PH159" s="922"/>
      <c r="PI159" s="922"/>
      <c r="PJ159" s="922"/>
      <c r="PK159" s="922"/>
      <c r="PL159" s="922"/>
      <c r="PM159" s="922"/>
      <c r="PN159" s="922"/>
      <c r="PO159" s="922"/>
      <c r="PP159" s="922"/>
      <c r="PQ159" s="922"/>
      <c r="PR159" s="922"/>
      <c r="PS159" s="922"/>
      <c r="PT159" s="922"/>
      <c r="PU159" s="922"/>
      <c r="PV159" s="922"/>
      <c r="PW159" s="922"/>
      <c r="PX159" s="922"/>
      <c r="PY159" s="922"/>
      <c r="PZ159" s="922"/>
      <c r="QA159" s="922"/>
      <c r="QB159" s="922"/>
      <c r="QC159" s="922"/>
      <c r="QD159" s="922"/>
      <c r="QE159" s="922"/>
      <c r="QF159" s="922"/>
      <c r="QG159" s="922"/>
      <c r="QH159" s="922"/>
      <c r="QI159" s="922"/>
      <c r="QJ159" s="922"/>
      <c r="QK159" s="922"/>
      <c r="QL159" s="922"/>
      <c r="QM159" s="922"/>
      <c r="QN159" s="922"/>
      <c r="QO159" s="922"/>
      <c r="QP159" s="922"/>
      <c r="QQ159" s="922"/>
      <c r="QR159" s="922"/>
      <c r="QS159" s="922"/>
      <c r="QT159" s="922"/>
      <c r="QU159" s="922"/>
      <c r="QV159" s="922"/>
      <c r="QW159" s="922"/>
      <c r="QX159" s="922"/>
      <c r="QY159" s="922"/>
      <c r="QZ159" s="922"/>
      <c r="RA159" s="922"/>
      <c r="RB159" s="922"/>
      <c r="RC159" s="922"/>
      <c r="RD159" s="922"/>
      <c r="RE159" s="922"/>
      <c r="RF159" s="922"/>
      <c r="RG159" s="922"/>
      <c r="RH159" s="922"/>
      <c r="RI159" s="922"/>
      <c r="RJ159" s="922"/>
      <c r="RK159" s="922"/>
      <c r="RL159" s="922"/>
      <c r="RM159" s="922"/>
      <c r="RN159" s="922"/>
      <c r="RO159" s="922"/>
      <c r="RP159" s="922"/>
      <c r="RQ159" s="922"/>
      <c r="RR159" s="922"/>
      <c r="RS159" s="922"/>
      <c r="RT159" s="922"/>
      <c r="RU159" s="922"/>
      <c r="RV159" s="922"/>
      <c r="RW159" s="922"/>
      <c r="RX159" s="922"/>
      <c r="RY159" s="922"/>
      <c r="RZ159" s="922"/>
      <c r="SA159" s="922"/>
      <c r="SB159" s="922"/>
      <c r="SC159" s="922"/>
      <c r="SD159" s="922"/>
      <c r="SE159" s="922"/>
      <c r="SF159" s="922"/>
      <c r="SG159" s="922"/>
      <c r="SH159" s="922"/>
      <c r="SI159" s="922"/>
      <c r="SJ159" s="922"/>
      <c r="SK159" s="922"/>
      <c r="SL159" s="922"/>
      <c r="SM159" s="922"/>
      <c r="SN159" s="922"/>
      <c r="SO159" s="922"/>
      <c r="SP159" s="922"/>
      <c r="SQ159" s="922"/>
      <c r="SR159" s="922"/>
      <c r="SS159" s="922"/>
      <c r="ST159" s="922"/>
      <c r="SU159" s="922"/>
      <c r="SV159" s="922"/>
      <c r="SW159" s="922"/>
      <c r="SX159" s="922"/>
      <c r="SY159" s="922"/>
      <c r="SZ159" s="922"/>
      <c r="TA159" s="922"/>
      <c r="TB159" s="922"/>
      <c r="TC159" s="922"/>
      <c r="TD159" s="922"/>
      <c r="TE159" s="922"/>
      <c r="TF159" s="922"/>
      <c r="TG159" s="922"/>
      <c r="TH159" s="922"/>
      <c r="TI159" s="922"/>
      <c r="TJ159" s="922"/>
      <c r="TK159" s="922"/>
      <c r="TL159" s="922"/>
      <c r="TM159" s="922"/>
      <c r="TN159" s="922"/>
      <c r="TO159" s="922"/>
      <c r="TP159" s="922"/>
      <c r="TQ159" s="922"/>
      <c r="TR159" s="922"/>
      <c r="TS159" s="922"/>
      <c r="TT159" s="922"/>
      <c r="TU159" s="922"/>
      <c r="TV159" s="922"/>
      <c r="TW159" s="922"/>
      <c r="TX159" s="922"/>
      <c r="TY159" s="922"/>
      <c r="TZ159" s="922"/>
      <c r="UA159" s="922"/>
      <c r="UB159" s="922"/>
      <c r="UC159" s="922"/>
      <c r="UD159" s="922"/>
      <c r="UE159" s="922"/>
      <c r="UF159" s="922"/>
      <c r="UG159" s="922"/>
      <c r="UH159" s="922"/>
      <c r="UI159" s="922"/>
      <c r="UJ159" s="922"/>
      <c r="UK159" s="922"/>
      <c r="UL159" s="922"/>
      <c r="UM159" s="922"/>
      <c r="UN159" s="922"/>
      <c r="UO159" s="922"/>
      <c r="UP159" s="922"/>
      <c r="UQ159" s="922"/>
      <c r="UR159" s="922"/>
      <c r="US159" s="922"/>
      <c r="UT159" s="922"/>
      <c r="UU159" s="922"/>
      <c r="UV159" s="922"/>
      <c r="UW159" s="922"/>
      <c r="UX159" s="922"/>
      <c r="UY159" s="922"/>
      <c r="UZ159" s="922"/>
      <c r="VA159" s="922"/>
      <c r="VB159" s="922"/>
      <c r="VC159" s="922"/>
      <c r="VD159" s="922"/>
      <c r="VE159" s="922"/>
      <c r="VF159" s="922"/>
      <c r="VG159" s="922"/>
      <c r="VH159" s="922"/>
      <c r="VI159" s="922"/>
      <c r="VJ159" s="922"/>
      <c r="VK159" s="922"/>
      <c r="VL159" s="922"/>
      <c r="VM159" s="922"/>
      <c r="VN159" s="922"/>
      <c r="VO159" s="922"/>
      <c r="VP159" s="922"/>
      <c r="VQ159" s="922"/>
      <c r="VR159" s="922"/>
      <c r="VS159" s="922"/>
      <c r="VT159" s="922"/>
      <c r="VU159" s="922"/>
      <c r="VV159" s="922"/>
      <c r="VW159" s="922"/>
      <c r="VX159" s="922"/>
      <c r="VY159" s="922"/>
      <c r="VZ159" s="922"/>
      <c r="WA159" s="922"/>
      <c r="WB159" s="922"/>
      <c r="WC159" s="922"/>
      <c r="WD159" s="922"/>
      <c r="WE159" s="922"/>
      <c r="WF159" s="922"/>
      <c r="WG159" s="922"/>
      <c r="WH159" s="922"/>
      <c r="WI159" s="922"/>
      <c r="WJ159" s="922"/>
      <c r="WK159" s="922"/>
      <c r="WL159" s="922"/>
      <c r="WM159" s="922"/>
      <c r="WN159" s="922"/>
      <c r="WO159" s="922"/>
      <c r="WP159" s="922"/>
      <c r="WQ159" s="922"/>
      <c r="WR159" s="922"/>
      <c r="WS159" s="922"/>
      <c r="WT159" s="922"/>
      <c r="WU159" s="922"/>
      <c r="WV159" s="922"/>
      <c r="WW159" s="922"/>
      <c r="WX159" s="922"/>
      <c r="WY159" s="922"/>
      <c r="WZ159" s="922"/>
      <c r="XA159" s="922"/>
      <c r="XB159" s="922"/>
      <c r="XC159" s="922"/>
      <c r="XD159" s="922"/>
      <c r="XE159" s="922"/>
      <c r="XF159" s="922"/>
      <c r="XG159" s="922"/>
      <c r="XH159" s="922"/>
      <c r="XI159" s="922"/>
      <c r="XJ159" s="922"/>
      <c r="XK159" s="922"/>
      <c r="XL159" s="922"/>
      <c r="XM159" s="922"/>
      <c r="XN159" s="922"/>
      <c r="XO159" s="922"/>
      <c r="XP159" s="922"/>
      <c r="XQ159" s="922"/>
      <c r="XR159" s="922"/>
      <c r="XS159" s="922"/>
      <c r="XT159" s="922"/>
      <c r="XU159" s="922"/>
      <c r="XV159" s="922"/>
      <c r="XW159" s="922"/>
      <c r="XX159" s="922"/>
      <c r="XY159" s="922"/>
      <c r="XZ159" s="922"/>
      <c r="YA159" s="922"/>
      <c r="YB159" s="922"/>
      <c r="YC159" s="922"/>
      <c r="YD159" s="922"/>
      <c r="YE159" s="922"/>
      <c r="YF159" s="922"/>
      <c r="YG159" s="922"/>
      <c r="YH159" s="922"/>
      <c r="YI159" s="922"/>
      <c r="YJ159" s="922"/>
      <c r="YK159" s="922"/>
      <c r="YL159" s="922"/>
      <c r="YM159" s="922"/>
      <c r="YN159" s="922"/>
      <c r="YO159" s="922"/>
      <c r="YP159" s="922"/>
      <c r="YQ159" s="922"/>
      <c r="YR159" s="922"/>
      <c r="YS159" s="922"/>
      <c r="YT159" s="922"/>
      <c r="YU159" s="922"/>
      <c r="YV159" s="922"/>
      <c r="YW159" s="922"/>
      <c r="YX159" s="922"/>
      <c r="YY159" s="922"/>
      <c r="YZ159" s="922"/>
      <c r="ZA159" s="922"/>
      <c r="ZB159" s="922"/>
      <c r="ZC159" s="922"/>
      <c r="ZD159" s="922"/>
      <c r="ZE159" s="922"/>
      <c r="ZF159" s="922"/>
      <c r="ZG159" s="922"/>
      <c r="ZH159" s="922"/>
      <c r="ZI159" s="922"/>
      <c r="ZJ159" s="922"/>
      <c r="ZK159" s="922"/>
      <c r="ZL159" s="922"/>
      <c r="ZM159" s="922"/>
      <c r="ZN159" s="922"/>
      <c r="ZO159" s="922"/>
      <c r="ZP159" s="922"/>
      <c r="ZQ159" s="922"/>
      <c r="ZR159" s="922"/>
      <c r="ZS159" s="922"/>
      <c r="ZT159" s="922"/>
      <c r="ZU159" s="922"/>
      <c r="ZV159" s="922"/>
      <c r="ZW159" s="922"/>
      <c r="ZX159" s="922"/>
      <c r="ZY159" s="922"/>
      <c r="ZZ159" s="922"/>
      <c r="AAA159" s="922"/>
      <c r="AAB159" s="922"/>
      <c r="AAC159" s="922"/>
      <c r="AAD159" s="922"/>
      <c r="AAE159" s="922"/>
      <c r="AAF159" s="922"/>
      <c r="AAG159" s="922"/>
      <c r="AAH159" s="922"/>
      <c r="AAI159" s="922"/>
      <c r="AAJ159" s="922"/>
      <c r="AAK159" s="922"/>
      <c r="AAL159" s="922"/>
      <c r="AAM159" s="922"/>
      <c r="AAN159" s="922"/>
      <c r="AAO159" s="922"/>
      <c r="AAP159" s="922"/>
      <c r="AAQ159" s="922"/>
      <c r="AAR159" s="922"/>
      <c r="AAS159" s="922"/>
      <c r="AAT159" s="922"/>
      <c r="AAU159" s="922"/>
      <c r="AAV159" s="922"/>
      <c r="AAW159" s="922"/>
      <c r="AAX159" s="922"/>
      <c r="AAY159" s="922"/>
      <c r="AAZ159" s="922"/>
      <c r="ABA159" s="922"/>
      <c r="ABB159" s="922"/>
      <c r="ABC159" s="922"/>
      <c r="ABD159" s="922"/>
      <c r="ABE159" s="922"/>
      <c r="ABF159" s="922"/>
      <c r="ABG159" s="922"/>
      <c r="ABH159" s="922"/>
      <c r="ABI159" s="922"/>
      <c r="ABJ159" s="922"/>
      <c r="ABK159" s="922"/>
      <c r="ABL159" s="922"/>
      <c r="ABM159" s="922"/>
      <c r="ABN159" s="922"/>
      <c r="ABO159" s="922"/>
      <c r="ABP159" s="922"/>
      <c r="ABQ159" s="922"/>
      <c r="ABR159" s="922"/>
      <c r="ABS159" s="922"/>
      <c r="ABT159" s="922"/>
      <c r="ABU159" s="922"/>
      <c r="ABV159" s="922"/>
      <c r="ABW159" s="922"/>
      <c r="ABX159" s="922"/>
      <c r="ABY159" s="922"/>
      <c r="ABZ159" s="922"/>
      <c r="ACA159" s="922"/>
      <c r="ACB159" s="922"/>
      <c r="ACC159" s="922"/>
      <c r="ACD159" s="922"/>
      <c r="ACE159" s="922"/>
      <c r="ACF159" s="922"/>
      <c r="ACG159" s="922"/>
      <c r="ACH159" s="922"/>
      <c r="ACI159" s="922"/>
      <c r="ACJ159" s="922"/>
      <c r="ACK159" s="922"/>
      <c r="ACL159" s="922"/>
      <c r="ACM159" s="922"/>
      <c r="ACN159" s="922"/>
      <c r="ACO159" s="922"/>
      <c r="ACP159" s="922"/>
      <c r="ACQ159" s="922"/>
      <c r="ACR159" s="922"/>
      <c r="ACS159" s="922"/>
      <c r="ACT159" s="922"/>
      <c r="ACU159" s="922"/>
      <c r="ACV159" s="922"/>
      <c r="ACW159" s="922"/>
      <c r="ACX159" s="922"/>
      <c r="ACY159" s="922"/>
      <c r="ACZ159" s="922"/>
      <c r="ADA159" s="922"/>
      <c r="ADB159" s="922"/>
      <c r="ADC159" s="922"/>
      <c r="ADD159" s="922"/>
      <c r="ADE159" s="922"/>
      <c r="ADF159" s="922"/>
      <c r="ADG159" s="922"/>
      <c r="ADH159" s="922"/>
      <c r="ADI159" s="922"/>
      <c r="ADJ159" s="922"/>
      <c r="ADK159" s="922"/>
      <c r="ADL159" s="922"/>
      <c r="ADM159" s="922"/>
      <c r="ADN159" s="922"/>
      <c r="ADO159" s="922"/>
      <c r="ADP159" s="922"/>
      <c r="ADQ159" s="922"/>
      <c r="ADR159" s="922"/>
      <c r="ADS159" s="922"/>
      <c r="ADT159" s="922"/>
      <c r="ADU159" s="922"/>
      <c r="ADV159" s="922"/>
      <c r="ADW159" s="922"/>
      <c r="ADX159" s="922"/>
      <c r="ADY159" s="922"/>
      <c r="ADZ159" s="922"/>
      <c r="AEA159" s="922"/>
      <c r="AEB159" s="922"/>
      <c r="AEC159" s="922"/>
      <c r="AED159" s="922"/>
      <c r="AEE159" s="922"/>
      <c r="AEF159" s="922"/>
      <c r="AEG159" s="922"/>
      <c r="AEH159" s="922"/>
      <c r="AEI159" s="922"/>
      <c r="AEJ159" s="922"/>
      <c r="AEK159" s="922"/>
      <c r="AEL159" s="922"/>
      <c r="AEM159" s="922"/>
      <c r="AEN159" s="922"/>
      <c r="AEO159" s="922"/>
      <c r="AEP159" s="922"/>
      <c r="AEQ159" s="922"/>
      <c r="AER159" s="922"/>
      <c r="AES159" s="922"/>
      <c r="AET159" s="922"/>
      <c r="AEU159" s="922"/>
      <c r="AEV159" s="922"/>
      <c r="AEW159" s="922"/>
      <c r="AEX159" s="922"/>
      <c r="AEY159" s="922"/>
      <c r="AEZ159" s="922"/>
      <c r="AFA159" s="922"/>
      <c r="AFB159" s="922"/>
      <c r="AFC159" s="922"/>
      <c r="AFD159" s="922"/>
      <c r="AFE159" s="922"/>
      <c r="AFF159" s="922"/>
      <c r="AFG159" s="922"/>
      <c r="AFH159" s="922"/>
      <c r="AFI159" s="922"/>
      <c r="AFJ159" s="922"/>
      <c r="AFK159" s="922"/>
      <c r="AFL159" s="922"/>
      <c r="AFM159" s="922"/>
      <c r="AFN159" s="922"/>
      <c r="AFO159" s="922"/>
      <c r="AFP159" s="922"/>
      <c r="AFQ159" s="922"/>
      <c r="AFR159" s="922"/>
      <c r="AFS159" s="922"/>
      <c r="AFT159" s="922"/>
      <c r="AFU159" s="922"/>
      <c r="AFV159" s="922"/>
      <c r="AFW159" s="922"/>
      <c r="AFX159" s="922"/>
      <c r="AFY159" s="922"/>
      <c r="AFZ159" s="922"/>
      <c r="AGA159" s="922"/>
      <c r="AGB159" s="922"/>
      <c r="AGC159" s="922"/>
      <c r="AGD159" s="922"/>
      <c r="AGE159" s="922"/>
      <c r="AGF159" s="922"/>
      <c r="AGG159" s="922"/>
      <c r="AGH159" s="922"/>
      <c r="AGI159" s="922"/>
      <c r="AGJ159" s="922"/>
      <c r="AGK159" s="922"/>
      <c r="AGL159" s="922"/>
      <c r="AGM159" s="922"/>
      <c r="AGN159" s="922"/>
      <c r="AGO159" s="922"/>
      <c r="AGP159" s="922"/>
      <c r="AGQ159" s="922"/>
      <c r="AGR159" s="922"/>
      <c r="AGS159" s="922"/>
      <c r="AGT159" s="922"/>
      <c r="AGU159" s="922"/>
      <c r="AGV159" s="922"/>
      <c r="AGW159" s="922"/>
      <c r="AGX159" s="922"/>
      <c r="AGY159" s="922"/>
      <c r="AGZ159" s="922"/>
      <c r="AHA159" s="922"/>
      <c r="AHB159" s="922"/>
      <c r="AHC159" s="922"/>
      <c r="AHD159" s="922"/>
      <c r="AHE159" s="922"/>
      <c r="AHF159" s="922"/>
      <c r="AHG159" s="922"/>
      <c r="AHH159" s="922"/>
      <c r="AHI159" s="922"/>
      <c r="AHJ159" s="922"/>
      <c r="AHK159" s="922"/>
      <c r="AHL159" s="922"/>
      <c r="AHM159" s="922"/>
      <c r="AHN159" s="922"/>
      <c r="AHO159" s="922"/>
      <c r="AHP159" s="922"/>
      <c r="AHQ159" s="922"/>
      <c r="AHR159" s="922"/>
      <c r="AHS159" s="922"/>
      <c r="AHT159" s="922"/>
      <c r="AHU159" s="922"/>
      <c r="AHV159" s="922"/>
      <c r="AHW159" s="922"/>
      <c r="AHX159" s="922"/>
      <c r="AHY159" s="922"/>
      <c r="AHZ159" s="922"/>
      <c r="AIA159" s="922"/>
      <c r="AIB159" s="922"/>
      <c r="AIC159" s="922"/>
      <c r="AID159" s="922"/>
      <c r="AIE159" s="922"/>
      <c r="AIF159" s="922"/>
      <c r="AIG159" s="922"/>
      <c r="AIH159" s="922"/>
      <c r="AII159" s="922"/>
      <c r="AIJ159" s="922"/>
      <c r="AIK159" s="922"/>
      <c r="AIL159" s="922"/>
      <c r="AIM159" s="922"/>
      <c r="AIN159" s="922"/>
      <c r="AIO159" s="922"/>
      <c r="AIP159" s="922"/>
      <c r="AIQ159" s="922"/>
      <c r="AIR159" s="922"/>
      <c r="AIS159" s="922"/>
      <c r="AIT159" s="922"/>
      <c r="AIU159" s="922"/>
      <c r="AIV159" s="922"/>
      <c r="AIW159" s="922"/>
      <c r="AIX159" s="922"/>
      <c r="AIY159" s="922"/>
      <c r="AIZ159" s="922"/>
      <c r="AJA159" s="922"/>
      <c r="AJB159" s="922"/>
      <c r="AJC159" s="922"/>
      <c r="AJD159" s="922"/>
      <c r="AJE159" s="922"/>
      <c r="AJF159" s="922"/>
      <c r="AJG159" s="922"/>
      <c r="AJH159" s="922"/>
      <c r="AJI159" s="922"/>
      <c r="AJJ159" s="922"/>
      <c r="AJK159" s="922"/>
      <c r="AJL159" s="922"/>
      <c r="AJM159" s="922"/>
      <c r="AJN159" s="922"/>
      <c r="AJO159" s="922"/>
      <c r="AJP159" s="922"/>
      <c r="AJQ159" s="922"/>
      <c r="AJR159" s="922"/>
      <c r="AJS159" s="922"/>
      <c r="AJT159" s="922"/>
      <c r="AJU159" s="922"/>
      <c r="AJV159" s="922"/>
      <c r="AJW159" s="922"/>
      <c r="AJX159" s="922"/>
      <c r="AJY159" s="922"/>
      <c r="AJZ159" s="922"/>
      <c r="AKA159" s="922"/>
      <c r="AKB159" s="922"/>
      <c r="AKC159" s="922"/>
      <c r="AKD159" s="922"/>
      <c r="AKE159" s="922"/>
      <c r="AKF159" s="922"/>
      <c r="AKG159" s="922"/>
      <c r="AKH159" s="922"/>
      <c r="AKI159" s="922"/>
      <c r="AKJ159" s="922"/>
      <c r="AKK159" s="922"/>
      <c r="AKL159" s="922"/>
      <c r="AKM159" s="922"/>
      <c r="AKN159" s="922"/>
      <c r="AKO159" s="922"/>
      <c r="AKP159" s="922"/>
      <c r="AKQ159" s="922"/>
      <c r="AKR159" s="922"/>
      <c r="AKS159" s="922"/>
      <c r="AKT159" s="922"/>
      <c r="AKU159" s="922"/>
      <c r="AKV159" s="922"/>
      <c r="AKW159" s="922"/>
      <c r="AKX159" s="922"/>
      <c r="AKY159" s="922"/>
      <c r="AKZ159" s="922"/>
      <c r="ALA159" s="922"/>
      <c r="ALB159" s="922"/>
      <c r="ALC159" s="922"/>
      <c r="ALD159" s="922"/>
      <c r="ALE159" s="922"/>
      <c r="ALF159" s="922"/>
      <c r="ALG159" s="922"/>
      <c r="ALH159" s="922"/>
      <c r="ALI159" s="922"/>
      <c r="ALJ159" s="922"/>
      <c r="ALK159" s="922"/>
      <c r="ALL159" s="922"/>
      <c r="ALM159" s="922"/>
      <c r="ALN159" s="922"/>
      <c r="ALO159" s="922"/>
      <c r="ALP159" s="922"/>
      <c r="ALQ159" s="922"/>
      <c r="ALR159" s="922"/>
      <c r="ALS159" s="922"/>
      <c r="ALT159" s="922"/>
      <c r="ALU159" s="922"/>
      <c r="ALV159" s="922"/>
      <c r="ALW159" s="922"/>
      <c r="ALX159" s="922"/>
      <c r="ALY159" s="922"/>
      <c r="ALZ159" s="922"/>
      <c r="AMA159" s="922"/>
      <c r="AMB159" s="922"/>
      <c r="AMC159" s="922"/>
      <c r="AMD159" s="922"/>
      <c r="AME159" s="922"/>
      <c r="AMF159" s="922"/>
      <c r="AMG159" s="922"/>
      <c r="AMH159" s="922"/>
      <c r="AMI159" s="922"/>
      <c r="AMJ159" s="922"/>
      <c r="AMK159" s="922"/>
      <c r="AML159" s="922"/>
      <c r="AMM159" s="922"/>
      <c r="AMN159" s="922"/>
      <c r="AMO159" s="922"/>
      <c r="AMP159" s="922"/>
      <c r="AMQ159" s="922"/>
      <c r="AMR159" s="922"/>
      <c r="AMS159" s="922"/>
      <c r="AMT159" s="922"/>
      <c r="AMU159" s="922"/>
      <c r="AMV159" s="922"/>
      <c r="AMW159" s="922"/>
      <c r="AMX159" s="922"/>
      <c r="AMY159" s="922"/>
      <c r="AMZ159" s="922"/>
      <c r="ANA159" s="922"/>
      <c r="ANB159" s="922"/>
      <c r="ANC159" s="922"/>
      <c r="AND159" s="922"/>
      <c r="ANE159" s="922"/>
      <c r="ANF159" s="922"/>
      <c r="ANG159" s="922"/>
      <c r="ANH159" s="922"/>
      <c r="ANI159" s="922"/>
      <c r="ANJ159" s="922"/>
      <c r="ANK159" s="922"/>
      <c r="ANL159" s="922"/>
      <c r="ANM159" s="922"/>
      <c r="ANN159" s="922"/>
      <c r="ANO159" s="922"/>
      <c r="ANP159" s="922"/>
      <c r="ANQ159" s="922"/>
      <c r="ANR159" s="922"/>
      <c r="ANS159" s="922"/>
      <c r="ANT159" s="922"/>
      <c r="ANU159" s="922"/>
      <c r="ANV159" s="922"/>
      <c r="ANW159" s="922"/>
      <c r="ANX159" s="922"/>
      <c r="ANY159" s="922"/>
      <c r="ANZ159" s="922"/>
      <c r="AOA159" s="922"/>
      <c r="AOB159" s="922"/>
      <c r="AOC159" s="922"/>
      <c r="AOD159" s="922"/>
      <c r="AOE159" s="922"/>
      <c r="AOF159" s="922"/>
      <c r="AOG159" s="922"/>
      <c r="AOH159" s="922"/>
      <c r="AOI159" s="922"/>
      <c r="AOJ159" s="922"/>
      <c r="AOK159" s="922"/>
      <c r="AOL159" s="922"/>
      <c r="AOM159" s="922"/>
      <c r="AON159" s="922"/>
      <c r="AOO159" s="922"/>
      <c r="AOP159" s="922"/>
      <c r="AOQ159" s="922"/>
      <c r="AOR159" s="922"/>
      <c r="AOS159" s="922"/>
      <c r="AOT159" s="922"/>
      <c r="AOU159" s="922"/>
      <c r="AOV159" s="922"/>
      <c r="AOW159" s="922"/>
      <c r="AOX159" s="922"/>
      <c r="AOY159" s="922"/>
      <c r="AOZ159" s="922"/>
      <c r="APA159" s="922"/>
      <c r="APB159" s="922"/>
      <c r="APC159" s="922"/>
      <c r="APD159" s="922"/>
      <c r="APE159" s="922"/>
      <c r="APF159" s="922"/>
      <c r="APG159" s="922"/>
      <c r="APH159" s="922"/>
      <c r="API159" s="922"/>
      <c r="APJ159" s="922"/>
      <c r="APK159" s="922"/>
      <c r="APL159" s="922"/>
      <c r="APM159" s="922"/>
      <c r="APN159" s="922"/>
      <c r="APO159" s="922"/>
      <c r="APP159" s="922"/>
      <c r="APQ159" s="922"/>
      <c r="APR159" s="922"/>
      <c r="APS159" s="922"/>
      <c r="APT159" s="922"/>
      <c r="APU159" s="922"/>
      <c r="APV159" s="922"/>
      <c r="APW159" s="922"/>
      <c r="APX159" s="922"/>
      <c r="APY159" s="922"/>
      <c r="APZ159" s="922"/>
      <c r="AQA159" s="922"/>
      <c r="AQB159" s="922"/>
      <c r="AQC159" s="922"/>
      <c r="AQD159" s="922"/>
      <c r="AQE159" s="922"/>
      <c r="AQF159" s="922"/>
      <c r="AQG159" s="922"/>
      <c r="AQH159" s="922"/>
      <c r="AQI159" s="922"/>
      <c r="AQJ159" s="922"/>
      <c r="AQK159" s="922"/>
      <c r="AQL159" s="922"/>
      <c r="AQM159" s="922"/>
      <c r="AQN159" s="922"/>
      <c r="AQO159" s="922"/>
      <c r="AQP159" s="922"/>
      <c r="AQQ159" s="922"/>
      <c r="AQR159" s="922"/>
      <c r="AQS159" s="922"/>
      <c r="AQT159" s="922"/>
      <c r="AQU159" s="922"/>
      <c r="AQV159" s="922"/>
      <c r="AQW159" s="922"/>
      <c r="AQX159" s="922"/>
      <c r="AQY159" s="922"/>
      <c r="AQZ159" s="922"/>
      <c r="ARA159" s="922"/>
      <c r="ARB159" s="922"/>
      <c r="ARC159" s="922"/>
      <c r="ARD159" s="922"/>
      <c r="ARE159" s="922"/>
      <c r="ARF159" s="922"/>
      <c r="ARG159" s="922"/>
      <c r="ARH159" s="922"/>
      <c r="ARI159" s="922"/>
      <c r="ARJ159" s="922"/>
      <c r="ARK159" s="922"/>
      <c r="ARL159" s="922"/>
      <c r="ARM159" s="922"/>
      <c r="ARN159" s="922"/>
      <c r="ARO159" s="922"/>
      <c r="ARP159" s="922"/>
      <c r="ARQ159" s="922"/>
      <c r="ARR159" s="922"/>
      <c r="ARS159" s="922"/>
      <c r="ART159" s="922"/>
      <c r="ARU159" s="922"/>
      <c r="ARV159" s="922"/>
      <c r="ARW159" s="922"/>
      <c r="ARX159" s="922"/>
      <c r="ARY159" s="922"/>
      <c r="ARZ159" s="922"/>
      <c r="ASA159" s="922"/>
      <c r="ASB159" s="922"/>
      <c r="ASC159" s="922"/>
    </row>
    <row r="160" spans="1:1173" hidden="1">
      <c r="A160" s="920"/>
      <c r="T160" s="922"/>
      <c r="AN160" s="922"/>
      <c r="AO160" s="922"/>
      <c r="AP160" s="922"/>
      <c r="AQ160" s="922"/>
      <c r="AR160" s="922"/>
      <c r="AS160" s="922"/>
      <c r="AT160" s="922"/>
      <c r="AU160" s="922"/>
      <c r="AV160" s="922"/>
      <c r="AW160" s="922"/>
      <c r="AX160" s="922"/>
      <c r="AY160" s="922"/>
      <c r="AZ160" s="922"/>
      <c r="BA160" s="922"/>
      <c r="BB160" s="922"/>
      <c r="BC160" s="922"/>
      <c r="BD160" s="922"/>
      <c r="BE160" s="922"/>
      <c r="BF160" s="922"/>
      <c r="BG160" s="922"/>
      <c r="BH160" s="922"/>
      <c r="BI160" s="922"/>
      <c r="BJ160" s="922"/>
      <c r="BK160" s="922"/>
      <c r="BL160" s="922"/>
      <c r="BM160" s="922"/>
      <c r="BN160" s="922"/>
      <c r="BO160" s="922"/>
      <c r="BP160" s="922"/>
      <c r="BQ160" s="922"/>
      <c r="BR160" s="922"/>
      <c r="BS160" s="922"/>
      <c r="BT160" s="922"/>
      <c r="BU160" s="922"/>
      <c r="BV160" s="922"/>
      <c r="BW160" s="922"/>
      <c r="BX160" s="922"/>
      <c r="BY160" s="922"/>
      <c r="BZ160" s="922"/>
      <c r="CA160" s="922"/>
      <c r="CB160" s="922"/>
      <c r="CC160" s="922"/>
      <c r="CD160" s="922"/>
      <c r="CE160" s="922"/>
      <c r="CF160" s="922"/>
      <c r="CG160" s="922"/>
      <c r="CH160" s="922"/>
      <c r="CI160" s="922"/>
      <c r="CJ160" s="922"/>
      <c r="CK160" s="922"/>
      <c r="CL160" s="922"/>
      <c r="CM160" s="922"/>
      <c r="CN160" s="922"/>
      <c r="CO160" s="922"/>
      <c r="CP160" s="922"/>
      <c r="CQ160" s="922"/>
      <c r="CR160" s="922"/>
      <c r="CS160" s="922"/>
      <c r="CT160" s="922"/>
      <c r="CU160" s="922"/>
      <c r="CV160" s="922"/>
      <c r="CW160" s="922"/>
      <c r="CX160" s="922"/>
      <c r="CY160" s="922"/>
      <c r="CZ160" s="922"/>
      <c r="DA160" s="922"/>
      <c r="DB160" s="922"/>
      <c r="DC160" s="922"/>
      <c r="DD160" s="922"/>
      <c r="DE160" s="922"/>
      <c r="DF160" s="922"/>
      <c r="DG160" s="922"/>
      <c r="DH160" s="922"/>
      <c r="DI160" s="922"/>
      <c r="DJ160" s="922"/>
      <c r="DK160" s="922"/>
      <c r="DL160" s="922"/>
      <c r="DM160" s="922"/>
      <c r="DN160" s="922"/>
      <c r="DO160" s="922"/>
      <c r="DP160" s="922"/>
      <c r="DQ160" s="922"/>
      <c r="DR160" s="922"/>
      <c r="DS160" s="922"/>
      <c r="DT160" s="922"/>
      <c r="DU160" s="922"/>
      <c r="DV160" s="922"/>
      <c r="DW160" s="922"/>
      <c r="DX160" s="922"/>
      <c r="DY160" s="922"/>
      <c r="DZ160" s="922"/>
      <c r="EA160" s="922"/>
      <c r="EB160" s="922"/>
      <c r="EC160" s="922"/>
      <c r="ED160" s="922"/>
      <c r="EE160" s="922"/>
      <c r="EF160" s="922"/>
      <c r="EG160" s="922"/>
      <c r="EH160" s="922"/>
      <c r="EI160" s="922"/>
      <c r="EJ160" s="922"/>
      <c r="EK160" s="922"/>
      <c r="EL160" s="922"/>
      <c r="EM160" s="922"/>
      <c r="EN160" s="922"/>
      <c r="EO160" s="922"/>
      <c r="EP160" s="922"/>
      <c r="EQ160" s="922"/>
      <c r="ER160" s="922"/>
      <c r="ES160" s="922"/>
      <c r="ET160" s="922"/>
      <c r="EU160" s="922"/>
      <c r="EV160" s="922"/>
      <c r="EW160" s="922"/>
      <c r="EX160" s="922"/>
      <c r="EY160" s="922"/>
      <c r="EZ160" s="922"/>
      <c r="FA160" s="922"/>
      <c r="FB160" s="922"/>
      <c r="FC160" s="922"/>
      <c r="FD160" s="922"/>
      <c r="FE160" s="922"/>
      <c r="FF160" s="922"/>
      <c r="FG160" s="922"/>
      <c r="FH160" s="922"/>
      <c r="FI160" s="922"/>
      <c r="FJ160" s="922"/>
      <c r="FK160" s="922"/>
      <c r="FL160" s="922"/>
      <c r="FM160" s="922"/>
      <c r="FN160" s="922"/>
      <c r="FO160" s="922"/>
      <c r="FP160" s="922"/>
      <c r="FQ160" s="922"/>
      <c r="FR160" s="922"/>
      <c r="FS160" s="922"/>
      <c r="FT160" s="922"/>
      <c r="FU160" s="922"/>
      <c r="FV160" s="922"/>
      <c r="FW160" s="922"/>
      <c r="FX160" s="922"/>
      <c r="FY160" s="922"/>
      <c r="FZ160" s="922"/>
      <c r="GA160" s="922"/>
      <c r="GB160" s="922"/>
      <c r="GC160" s="922"/>
      <c r="GD160" s="922"/>
      <c r="GE160" s="922"/>
      <c r="GF160" s="922"/>
      <c r="GG160" s="922"/>
      <c r="GH160" s="922"/>
      <c r="GI160" s="922"/>
      <c r="GJ160" s="922"/>
      <c r="GK160" s="922"/>
      <c r="GL160" s="922"/>
      <c r="GM160" s="922"/>
      <c r="GN160" s="922"/>
      <c r="GO160" s="922"/>
      <c r="GP160" s="922"/>
      <c r="GQ160" s="922"/>
      <c r="GR160" s="922"/>
      <c r="GS160" s="922"/>
      <c r="GT160" s="922"/>
      <c r="GU160" s="922"/>
      <c r="GV160" s="922"/>
      <c r="GW160" s="922"/>
      <c r="GX160" s="922"/>
      <c r="GY160" s="922"/>
      <c r="GZ160" s="922"/>
      <c r="HA160" s="922"/>
      <c r="HB160" s="922"/>
      <c r="HC160" s="922"/>
      <c r="HD160" s="922"/>
      <c r="HE160" s="922"/>
      <c r="HF160" s="922"/>
      <c r="HG160" s="922"/>
      <c r="HH160" s="922"/>
      <c r="HI160" s="922"/>
      <c r="HJ160" s="922"/>
      <c r="HK160" s="922"/>
      <c r="HL160" s="922"/>
      <c r="HM160" s="922"/>
      <c r="HN160" s="922"/>
      <c r="HO160" s="922"/>
      <c r="HP160" s="922"/>
      <c r="HQ160" s="922"/>
      <c r="HR160" s="922"/>
      <c r="HS160" s="922"/>
      <c r="HT160" s="922"/>
      <c r="HU160" s="922"/>
      <c r="HV160" s="922"/>
      <c r="HW160" s="922"/>
      <c r="HX160" s="922"/>
      <c r="HY160" s="922"/>
      <c r="HZ160" s="922"/>
      <c r="IA160" s="922"/>
      <c r="IB160" s="922"/>
      <c r="IC160" s="922"/>
      <c r="ID160" s="922"/>
      <c r="IE160" s="922"/>
      <c r="IF160" s="922"/>
      <c r="IG160" s="922"/>
      <c r="IH160" s="922"/>
      <c r="II160" s="922"/>
      <c r="IJ160" s="922"/>
      <c r="IK160" s="922"/>
      <c r="IL160" s="922"/>
      <c r="IM160" s="922"/>
      <c r="IN160" s="922"/>
      <c r="IO160" s="922"/>
      <c r="IP160" s="922"/>
      <c r="IQ160" s="922"/>
      <c r="IR160" s="922"/>
      <c r="IS160" s="922"/>
      <c r="IT160" s="922"/>
      <c r="IU160" s="922"/>
      <c r="IV160" s="922"/>
      <c r="IW160" s="922"/>
      <c r="IX160" s="922"/>
      <c r="IY160" s="922"/>
      <c r="IZ160" s="922"/>
      <c r="JA160" s="922"/>
      <c r="JB160" s="922"/>
      <c r="JC160" s="922"/>
      <c r="JD160" s="922"/>
      <c r="JE160" s="922"/>
      <c r="JF160" s="922"/>
      <c r="JG160" s="922"/>
      <c r="JH160" s="922"/>
      <c r="JI160" s="922"/>
      <c r="JJ160" s="922"/>
      <c r="JK160" s="922"/>
      <c r="JL160" s="922"/>
      <c r="JM160" s="922"/>
      <c r="JN160" s="922"/>
      <c r="JO160" s="922"/>
      <c r="JP160" s="922"/>
      <c r="JQ160" s="922"/>
      <c r="JR160" s="922"/>
      <c r="JS160" s="922"/>
      <c r="JT160" s="922"/>
      <c r="JU160" s="922"/>
      <c r="JV160" s="922"/>
      <c r="JW160" s="922"/>
      <c r="JX160" s="922"/>
      <c r="JY160" s="922"/>
      <c r="JZ160" s="922"/>
      <c r="KA160" s="922"/>
      <c r="KB160" s="922"/>
      <c r="KC160" s="922"/>
      <c r="KD160" s="922"/>
      <c r="KE160" s="922"/>
      <c r="KF160" s="922"/>
      <c r="KG160" s="922"/>
      <c r="KH160" s="922"/>
      <c r="KI160" s="922"/>
      <c r="KJ160" s="922"/>
      <c r="KK160" s="922"/>
      <c r="KL160" s="922"/>
      <c r="KM160" s="922"/>
      <c r="KN160" s="922"/>
      <c r="KO160" s="922"/>
      <c r="KP160" s="922"/>
      <c r="KQ160" s="922"/>
      <c r="KR160" s="922"/>
      <c r="KS160" s="922"/>
      <c r="KT160" s="922"/>
      <c r="KU160" s="922"/>
      <c r="KV160" s="922"/>
      <c r="KW160" s="922"/>
      <c r="KX160" s="922"/>
      <c r="KY160" s="922"/>
      <c r="KZ160" s="922"/>
      <c r="LA160" s="922"/>
      <c r="LB160" s="922"/>
      <c r="LC160" s="922"/>
      <c r="LD160" s="922"/>
      <c r="LE160" s="922"/>
      <c r="LF160" s="922"/>
      <c r="LG160" s="922"/>
      <c r="LH160" s="922"/>
      <c r="LI160" s="922"/>
      <c r="LJ160" s="922"/>
      <c r="LK160" s="922"/>
      <c r="LL160" s="922"/>
      <c r="LM160" s="922"/>
      <c r="LN160" s="922"/>
      <c r="LO160" s="922"/>
      <c r="LP160" s="922"/>
      <c r="LQ160" s="922"/>
      <c r="LR160" s="922"/>
      <c r="LS160" s="922"/>
      <c r="LT160" s="922"/>
      <c r="LU160" s="922"/>
      <c r="LV160" s="922"/>
      <c r="LW160" s="922"/>
      <c r="LX160" s="922"/>
      <c r="LY160" s="922"/>
      <c r="LZ160" s="922"/>
      <c r="MA160" s="922"/>
      <c r="MB160" s="922"/>
      <c r="MC160" s="922"/>
      <c r="MD160" s="922"/>
      <c r="ME160" s="922"/>
      <c r="MF160" s="922"/>
      <c r="MG160" s="922"/>
      <c r="MH160" s="922"/>
      <c r="MI160" s="922"/>
      <c r="MJ160" s="922"/>
      <c r="MK160" s="922"/>
      <c r="ML160" s="922"/>
      <c r="MM160" s="922"/>
      <c r="MN160" s="922"/>
      <c r="MO160" s="922"/>
      <c r="MP160" s="922"/>
      <c r="MQ160" s="922"/>
      <c r="MR160" s="922"/>
      <c r="MS160" s="922"/>
      <c r="MT160" s="922"/>
      <c r="MU160" s="922"/>
      <c r="MV160" s="922"/>
      <c r="MW160" s="922"/>
      <c r="MX160" s="922"/>
      <c r="MY160" s="922"/>
      <c r="MZ160" s="922"/>
      <c r="NA160" s="922"/>
      <c r="NB160" s="922"/>
      <c r="NC160" s="922"/>
      <c r="ND160" s="922"/>
      <c r="NE160" s="922"/>
      <c r="NF160" s="922"/>
      <c r="NG160" s="922"/>
      <c r="NH160" s="922"/>
      <c r="NI160" s="922"/>
      <c r="NJ160" s="922"/>
      <c r="NK160" s="922"/>
      <c r="NL160" s="922"/>
      <c r="NM160" s="922"/>
      <c r="NN160" s="922"/>
      <c r="NO160" s="922"/>
      <c r="NP160" s="922"/>
      <c r="NQ160" s="922"/>
      <c r="NR160" s="922"/>
      <c r="NS160" s="922"/>
      <c r="NT160" s="922"/>
      <c r="NU160" s="922"/>
      <c r="NV160" s="922"/>
      <c r="NW160" s="922"/>
      <c r="NX160" s="922"/>
      <c r="NY160" s="922"/>
      <c r="NZ160" s="922"/>
      <c r="OA160" s="922"/>
      <c r="OB160" s="922"/>
      <c r="OC160" s="922"/>
      <c r="OD160" s="922"/>
      <c r="OE160" s="922"/>
      <c r="OF160" s="922"/>
      <c r="OG160" s="922"/>
      <c r="OH160" s="922"/>
      <c r="OI160" s="922"/>
      <c r="OJ160" s="922"/>
      <c r="OK160" s="922"/>
      <c r="OL160" s="922"/>
      <c r="OM160" s="922"/>
      <c r="ON160" s="922"/>
      <c r="OO160" s="922"/>
      <c r="OP160" s="922"/>
      <c r="OQ160" s="922"/>
      <c r="OR160" s="922"/>
      <c r="OS160" s="922"/>
      <c r="OT160" s="922"/>
      <c r="OU160" s="922"/>
      <c r="OV160" s="922"/>
      <c r="OW160" s="922"/>
      <c r="OX160" s="922"/>
      <c r="OY160" s="922"/>
      <c r="OZ160" s="922"/>
      <c r="PA160" s="922"/>
      <c r="PB160" s="922"/>
      <c r="PC160" s="922"/>
      <c r="PD160" s="922"/>
      <c r="PE160" s="922"/>
      <c r="PF160" s="922"/>
      <c r="PG160" s="922"/>
      <c r="PH160" s="922"/>
      <c r="PI160" s="922"/>
      <c r="PJ160" s="922"/>
      <c r="PK160" s="922"/>
      <c r="PL160" s="922"/>
      <c r="PM160" s="922"/>
      <c r="PN160" s="922"/>
      <c r="PO160" s="922"/>
      <c r="PP160" s="922"/>
      <c r="PQ160" s="922"/>
      <c r="PR160" s="922"/>
      <c r="PS160" s="922"/>
      <c r="PT160" s="922"/>
      <c r="PU160" s="922"/>
      <c r="PV160" s="922"/>
      <c r="PW160" s="922"/>
      <c r="PX160" s="922"/>
      <c r="PY160" s="922"/>
      <c r="PZ160" s="922"/>
      <c r="QA160" s="922"/>
      <c r="QB160" s="922"/>
      <c r="QC160" s="922"/>
      <c r="QD160" s="922"/>
      <c r="QE160" s="922"/>
      <c r="QF160" s="922"/>
      <c r="QG160" s="922"/>
      <c r="QH160" s="922"/>
      <c r="QI160" s="922"/>
      <c r="QJ160" s="922"/>
      <c r="QK160" s="922"/>
      <c r="QL160" s="922"/>
      <c r="QM160" s="922"/>
      <c r="QN160" s="922"/>
      <c r="QO160" s="922"/>
      <c r="QP160" s="922"/>
      <c r="QQ160" s="922"/>
      <c r="QR160" s="922"/>
      <c r="QS160" s="922"/>
      <c r="QT160" s="922"/>
      <c r="QU160" s="922"/>
      <c r="QV160" s="922"/>
      <c r="QW160" s="922"/>
      <c r="QX160" s="922"/>
      <c r="QY160" s="922"/>
      <c r="QZ160" s="922"/>
      <c r="RA160" s="922"/>
      <c r="RB160" s="922"/>
      <c r="RC160" s="922"/>
      <c r="RD160" s="922"/>
      <c r="RE160" s="922"/>
      <c r="RF160" s="922"/>
      <c r="RG160" s="922"/>
      <c r="RH160" s="922"/>
      <c r="RI160" s="922"/>
      <c r="RJ160" s="922"/>
      <c r="RK160" s="922"/>
      <c r="RL160" s="922"/>
      <c r="RM160" s="922"/>
      <c r="RN160" s="922"/>
      <c r="RO160" s="922"/>
      <c r="RP160" s="922"/>
      <c r="RQ160" s="922"/>
      <c r="RR160" s="922"/>
      <c r="RS160" s="922"/>
      <c r="RT160" s="922"/>
      <c r="RU160" s="922"/>
      <c r="RV160" s="922"/>
      <c r="RW160" s="922"/>
      <c r="RX160" s="922"/>
      <c r="RY160" s="922"/>
      <c r="RZ160" s="922"/>
      <c r="SA160" s="922"/>
      <c r="SB160" s="922"/>
      <c r="SC160" s="922"/>
      <c r="SD160" s="922"/>
      <c r="SE160" s="922"/>
      <c r="SF160" s="922"/>
      <c r="SG160" s="922"/>
      <c r="SH160" s="922"/>
      <c r="SI160" s="922"/>
      <c r="SJ160" s="922"/>
      <c r="SK160" s="922"/>
      <c r="SL160" s="922"/>
      <c r="SM160" s="922"/>
      <c r="SN160" s="922"/>
      <c r="SO160" s="922"/>
      <c r="SP160" s="922"/>
      <c r="SQ160" s="922"/>
      <c r="SR160" s="922"/>
      <c r="SS160" s="922"/>
      <c r="ST160" s="922"/>
      <c r="SU160" s="922"/>
      <c r="SV160" s="922"/>
      <c r="SW160" s="922"/>
      <c r="SX160" s="922"/>
      <c r="SY160" s="922"/>
      <c r="SZ160" s="922"/>
      <c r="TA160" s="922"/>
      <c r="TB160" s="922"/>
      <c r="TC160" s="922"/>
      <c r="TD160" s="922"/>
      <c r="TE160" s="922"/>
      <c r="TF160" s="922"/>
      <c r="TG160" s="922"/>
      <c r="TH160" s="922"/>
      <c r="TI160" s="922"/>
      <c r="TJ160" s="922"/>
      <c r="TK160" s="922"/>
      <c r="TL160" s="922"/>
      <c r="TM160" s="922"/>
      <c r="TN160" s="922"/>
      <c r="TO160" s="922"/>
      <c r="TP160" s="922"/>
      <c r="TQ160" s="922"/>
      <c r="TR160" s="922"/>
      <c r="TS160" s="922"/>
      <c r="TT160" s="922"/>
      <c r="TU160" s="922"/>
      <c r="TV160" s="922"/>
      <c r="TW160" s="922"/>
      <c r="TX160" s="922"/>
      <c r="TY160" s="922"/>
      <c r="TZ160" s="922"/>
      <c r="UA160" s="922"/>
      <c r="UB160" s="922"/>
      <c r="UC160" s="922"/>
      <c r="UD160" s="922"/>
      <c r="UE160" s="922"/>
      <c r="UF160" s="922"/>
      <c r="UG160" s="922"/>
      <c r="UH160" s="922"/>
      <c r="UI160" s="922"/>
      <c r="UJ160" s="922"/>
      <c r="UK160" s="922"/>
      <c r="UL160" s="922"/>
      <c r="UM160" s="922"/>
      <c r="UN160" s="922"/>
      <c r="UO160" s="922"/>
      <c r="UP160" s="922"/>
      <c r="UQ160" s="922"/>
      <c r="UR160" s="922"/>
      <c r="US160" s="922"/>
      <c r="UT160" s="922"/>
      <c r="UU160" s="922"/>
      <c r="UV160" s="922"/>
      <c r="UW160" s="922"/>
      <c r="UX160" s="922"/>
      <c r="UY160" s="922"/>
      <c r="UZ160" s="922"/>
      <c r="VA160" s="922"/>
      <c r="VB160" s="922"/>
      <c r="VC160" s="922"/>
      <c r="VD160" s="922"/>
      <c r="VE160" s="922"/>
      <c r="VF160" s="922"/>
      <c r="VG160" s="922"/>
      <c r="VH160" s="922"/>
      <c r="VI160" s="922"/>
      <c r="VJ160" s="922"/>
      <c r="VK160" s="922"/>
      <c r="VL160" s="922"/>
      <c r="VM160" s="922"/>
      <c r="VN160" s="922"/>
      <c r="VO160" s="922"/>
      <c r="VP160" s="922"/>
      <c r="VQ160" s="922"/>
      <c r="VR160" s="922"/>
      <c r="VS160" s="922"/>
      <c r="VT160" s="922"/>
      <c r="VU160" s="922"/>
      <c r="VV160" s="922"/>
      <c r="VW160" s="922"/>
      <c r="VX160" s="922"/>
      <c r="VY160" s="922"/>
      <c r="VZ160" s="922"/>
      <c r="WA160" s="922"/>
      <c r="WB160" s="922"/>
      <c r="WC160" s="922"/>
      <c r="WD160" s="922"/>
      <c r="WE160" s="922"/>
      <c r="WF160" s="922"/>
      <c r="WG160" s="922"/>
      <c r="WH160" s="922"/>
      <c r="WI160" s="922"/>
      <c r="WJ160" s="922"/>
      <c r="WK160" s="922"/>
      <c r="WL160" s="922"/>
      <c r="WM160" s="922"/>
      <c r="WN160" s="922"/>
      <c r="WO160" s="922"/>
      <c r="WP160" s="922"/>
      <c r="WQ160" s="922"/>
      <c r="WR160" s="922"/>
      <c r="WS160" s="922"/>
      <c r="WT160" s="922"/>
      <c r="WU160" s="922"/>
      <c r="WV160" s="922"/>
      <c r="WW160" s="922"/>
      <c r="WX160" s="922"/>
      <c r="WY160" s="922"/>
      <c r="WZ160" s="922"/>
      <c r="XA160" s="922"/>
      <c r="XB160" s="922"/>
      <c r="XC160" s="922"/>
      <c r="XD160" s="922"/>
      <c r="XE160" s="922"/>
      <c r="XF160" s="922"/>
      <c r="XG160" s="922"/>
      <c r="XH160" s="922"/>
      <c r="XI160" s="922"/>
      <c r="XJ160" s="922"/>
      <c r="XK160" s="922"/>
      <c r="XL160" s="922"/>
      <c r="XM160" s="922"/>
      <c r="XN160" s="922"/>
      <c r="XO160" s="922"/>
      <c r="XP160" s="922"/>
      <c r="XQ160" s="922"/>
      <c r="XR160" s="922"/>
      <c r="XS160" s="922"/>
      <c r="XT160" s="922"/>
      <c r="XU160" s="922"/>
      <c r="XV160" s="922"/>
      <c r="XW160" s="922"/>
      <c r="XX160" s="922"/>
      <c r="XY160" s="922"/>
      <c r="XZ160" s="922"/>
      <c r="YA160" s="922"/>
      <c r="YB160" s="922"/>
      <c r="YC160" s="922"/>
      <c r="YD160" s="922"/>
      <c r="YE160" s="922"/>
      <c r="YF160" s="922"/>
      <c r="YG160" s="922"/>
      <c r="YH160" s="922"/>
      <c r="YI160" s="922"/>
      <c r="YJ160" s="922"/>
      <c r="YK160" s="922"/>
      <c r="YL160" s="922"/>
      <c r="YM160" s="922"/>
      <c r="YN160" s="922"/>
      <c r="YO160" s="922"/>
      <c r="YP160" s="922"/>
      <c r="YQ160" s="922"/>
      <c r="YR160" s="922"/>
      <c r="YS160" s="922"/>
      <c r="YT160" s="922"/>
      <c r="YU160" s="922"/>
      <c r="YV160" s="922"/>
      <c r="YW160" s="922"/>
      <c r="YX160" s="922"/>
      <c r="YY160" s="922"/>
      <c r="YZ160" s="922"/>
      <c r="ZA160" s="922"/>
      <c r="ZB160" s="922"/>
      <c r="ZC160" s="922"/>
      <c r="ZD160" s="922"/>
      <c r="ZE160" s="922"/>
      <c r="ZF160" s="922"/>
      <c r="ZG160" s="922"/>
      <c r="ZH160" s="922"/>
      <c r="ZI160" s="922"/>
      <c r="ZJ160" s="922"/>
      <c r="ZK160" s="922"/>
      <c r="ZL160" s="922"/>
      <c r="ZM160" s="922"/>
      <c r="ZN160" s="922"/>
      <c r="ZO160" s="922"/>
      <c r="ZP160" s="922"/>
      <c r="ZQ160" s="922"/>
      <c r="ZR160" s="922"/>
      <c r="ZS160" s="922"/>
      <c r="ZT160" s="922"/>
      <c r="ZU160" s="922"/>
      <c r="ZV160" s="922"/>
      <c r="ZW160" s="922"/>
      <c r="ZX160" s="922"/>
      <c r="ZY160" s="922"/>
      <c r="ZZ160" s="922"/>
      <c r="AAA160" s="922"/>
      <c r="AAB160" s="922"/>
      <c r="AAC160" s="922"/>
      <c r="AAD160" s="922"/>
      <c r="AAE160" s="922"/>
      <c r="AAF160" s="922"/>
      <c r="AAG160" s="922"/>
      <c r="AAH160" s="922"/>
      <c r="AAI160" s="922"/>
      <c r="AAJ160" s="922"/>
      <c r="AAK160" s="922"/>
      <c r="AAL160" s="922"/>
      <c r="AAM160" s="922"/>
      <c r="AAN160" s="922"/>
      <c r="AAO160" s="922"/>
      <c r="AAP160" s="922"/>
      <c r="AAQ160" s="922"/>
      <c r="AAR160" s="922"/>
      <c r="AAS160" s="922"/>
      <c r="AAT160" s="922"/>
      <c r="AAU160" s="922"/>
      <c r="AAV160" s="922"/>
      <c r="AAW160" s="922"/>
      <c r="AAX160" s="922"/>
      <c r="AAY160" s="922"/>
      <c r="AAZ160" s="922"/>
      <c r="ABA160" s="922"/>
      <c r="ABB160" s="922"/>
      <c r="ABC160" s="922"/>
      <c r="ABD160" s="922"/>
      <c r="ABE160" s="922"/>
      <c r="ABF160" s="922"/>
      <c r="ABG160" s="922"/>
      <c r="ABH160" s="922"/>
      <c r="ABI160" s="922"/>
      <c r="ABJ160" s="922"/>
      <c r="ABK160" s="922"/>
      <c r="ABL160" s="922"/>
      <c r="ABM160" s="922"/>
      <c r="ABN160" s="922"/>
      <c r="ABO160" s="922"/>
      <c r="ABP160" s="922"/>
      <c r="ABQ160" s="922"/>
      <c r="ABR160" s="922"/>
      <c r="ABS160" s="922"/>
      <c r="ABT160" s="922"/>
      <c r="ABU160" s="922"/>
      <c r="ABV160" s="922"/>
      <c r="ABW160" s="922"/>
      <c r="ABX160" s="922"/>
      <c r="ABY160" s="922"/>
      <c r="ABZ160" s="922"/>
      <c r="ACA160" s="922"/>
      <c r="ACB160" s="922"/>
      <c r="ACC160" s="922"/>
      <c r="ACD160" s="922"/>
      <c r="ACE160" s="922"/>
      <c r="ACF160" s="922"/>
      <c r="ACG160" s="922"/>
      <c r="ACH160" s="922"/>
      <c r="ACI160" s="922"/>
      <c r="ACJ160" s="922"/>
      <c r="ACK160" s="922"/>
      <c r="ACL160" s="922"/>
      <c r="ACM160" s="922"/>
      <c r="ACN160" s="922"/>
      <c r="ACO160" s="922"/>
      <c r="ACP160" s="922"/>
      <c r="ACQ160" s="922"/>
      <c r="ACR160" s="922"/>
      <c r="ACS160" s="922"/>
      <c r="ACT160" s="922"/>
      <c r="ACU160" s="922"/>
      <c r="ACV160" s="922"/>
      <c r="ACW160" s="922"/>
      <c r="ACX160" s="922"/>
      <c r="ACY160" s="922"/>
      <c r="ACZ160" s="922"/>
      <c r="ADA160" s="922"/>
      <c r="ADB160" s="922"/>
      <c r="ADC160" s="922"/>
      <c r="ADD160" s="922"/>
      <c r="ADE160" s="922"/>
      <c r="ADF160" s="922"/>
      <c r="ADG160" s="922"/>
      <c r="ADH160" s="922"/>
      <c r="ADI160" s="922"/>
      <c r="ADJ160" s="922"/>
      <c r="ADK160" s="922"/>
      <c r="ADL160" s="922"/>
      <c r="ADM160" s="922"/>
      <c r="ADN160" s="922"/>
      <c r="ADO160" s="922"/>
      <c r="ADP160" s="922"/>
      <c r="ADQ160" s="922"/>
      <c r="ADR160" s="922"/>
      <c r="ADS160" s="922"/>
      <c r="ADT160" s="922"/>
      <c r="ADU160" s="922"/>
      <c r="ADV160" s="922"/>
      <c r="ADW160" s="922"/>
      <c r="ADX160" s="922"/>
      <c r="ADY160" s="922"/>
      <c r="ADZ160" s="922"/>
      <c r="AEA160" s="922"/>
      <c r="AEB160" s="922"/>
      <c r="AEC160" s="922"/>
      <c r="AED160" s="922"/>
      <c r="AEE160" s="922"/>
      <c r="AEF160" s="922"/>
      <c r="AEG160" s="922"/>
      <c r="AEH160" s="922"/>
      <c r="AEI160" s="922"/>
      <c r="AEJ160" s="922"/>
      <c r="AEK160" s="922"/>
      <c r="AEL160" s="922"/>
      <c r="AEM160" s="922"/>
      <c r="AEN160" s="922"/>
      <c r="AEO160" s="922"/>
      <c r="AEP160" s="922"/>
      <c r="AEQ160" s="922"/>
      <c r="AER160" s="922"/>
      <c r="AES160" s="922"/>
      <c r="AET160" s="922"/>
      <c r="AEU160" s="922"/>
      <c r="AEV160" s="922"/>
      <c r="AEW160" s="922"/>
      <c r="AEX160" s="922"/>
      <c r="AEY160" s="922"/>
      <c r="AEZ160" s="922"/>
      <c r="AFA160" s="922"/>
      <c r="AFB160" s="922"/>
      <c r="AFC160" s="922"/>
      <c r="AFD160" s="922"/>
      <c r="AFE160" s="922"/>
      <c r="AFF160" s="922"/>
      <c r="AFG160" s="922"/>
      <c r="AFH160" s="922"/>
      <c r="AFI160" s="922"/>
      <c r="AFJ160" s="922"/>
      <c r="AFK160" s="922"/>
      <c r="AFL160" s="922"/>
      <c r="AFM160" s="922"/>
      <c r="AFN160" s="922"/>
      <c r="AFO160" s="922"/>
      <c r="AFP160" s="922"/>
      <c r="AFQ160" s="922"/>
      <c r="AFR160" s="922"/>
      <c r="AFS160" s="922"/>
      <c r="AFT160" s="922"/>
      <c r="AFU160" s="922"/>
      <c r="AFV160" s="922"/>
      <c r="AFW160" s="922"/>
      <c r="AFX160" s="922"/>
      <c r="AFY160" s="922"/>
      <c r="AFZ160" s="922"/>
      <c r="AGA160" s="922"/>
      <c r="AGB160" s="922"/>
      <c r="AGC160" s="922"/>
      <c r="AGD160" s="922"/>
      <c r="AGE160" s="922"/>
      <c r="AGF160" s="922"/>
      <c r="AGG160" s="922"/>
      <c r="AGH160" s="922"/>
      <c r="AGI160" s="922"/>
      <c r="AGJ160" s="922"/>
      <c r="AGK160" s="922"/>
      <c r="AGL160" s="922"/>
      <c r="AGM160" s="922"/>
      <c r="AGN160" s="922"/>
      <c r="AGO160" s="922"/>
      <c r="AGP160" s="922"/>
      <c r="AGQ160" s="922"/>
      <c r="AGR160" s="922"/>
      <c r="AGS160" s="922"/>
      <c r="AGT160" s="922"/>
      <c r="AGU160" s="922"/>
      <c r="AGV160" s="922"/>
      <c r="AGW160" s="922"/>
      <c r="AGX160" s="922"/>
      <c r="AGY160" s="922"/>
      <c r="AGZ160" s="922"/>
      <c r="AHA160" s="922"/>
      <c r="AHB160" s="922"/>
      <c r="AHC160" s="922"/>
      <c r="AHD160" s="922"/>
      <c r="AHE160" s="922"/>
      <c r="AHF160" s="922"/>
      <c r="AHG160" s="922"/>
      <c r="AHH160" s="922"/>
      <c r="AHI160" s="922"/>
      <c r="AHJ160" s="922"/>
      <c r="AHK160" s="922"/>
      <c r="AHL160" s="922"/>
      <c r="AHM160" s="922"/>
      <c r="AHN160" s="922"/>
      <c r="AHO160" s="922"/>
      <c r="AHP160" s="922"/>
      <c r="AHQ160" s="922"/>
      <c r="AHR160" s="922"/>
      <c r="AHS160" s="922"/>
      <c r="AHT160" s="922"/>
      <c r="AHU160" s="922"/>
      <c r="AHV160" s="922"/>
      <c r="AHW160" s="922"/>
      <c r="AHX160" s="922"/>
      <c r="AHY160" s="922"/>
      <c r="AHZ160" s="922"/>
      <c r="AIA160" s="922"/>
      <c r="AIB160" s="922"/>
      <c r="AIC160" s="922"/>
      <c r="AID160" s="922"/>
      <c r="AIE160" s="922"/>
      <c r="AIF160" s="922"/>
      <c r="AIG160" s="922"/>
      <c r="AIH160" s="922"/>
      <c r="AII160" s="922"/>
      <c r="AIJ160" s="922"/>
      <c r="AIK160" s="922"/>
      <c r="AIL160" s="922"/>
      <c r="AIM160" s="922"/>
      <c r="AIN160" s="922"/>
      <c r="AIO160" s="922"/>
      <c r="AIP160" s="922"/>
      <c r="AIQ160" s="922"/>
      <c r="AIR160" s="922"/>
      <c r="AIS160" s="922"/>
      <c r="AIT160" s="922"/>
      <c r="AIU160" s="922"/>
      <c r="AIV160" s="922"/>
      <c r="AIW160" s="922"/>
      <c r="AIX160" s="922"/>
      <c r="AIY160" s="922"/>
      <c r="AIZ160" s="922"/>
      <c r="AJA160" s="922"/>
      <c r="AJB160" s="922"/>
      <c r="AJC160" s="922"/>
      <c r="AJD160" s="922"/>
      <c r="AJE160" s="922"/>
      <c r="AJF160" s="922"/>
      <c r="AJG160" s="922"/>
      <c r="AJH160" s="922"/>
      <c r="AJI160" s="922"/>
      <c r="AJJ160" s="922"/>
      <c r="AJK160" s="922"/>
      <c r="AJL160" s="922"/>
      <c r="AJM160" s="922"/>
      <c r="AJN160" s="922"/>
      <c r="AJO160" s="922"/>
      <c r="AJP160" s="922"/>
      <c r="AJQ160" s="922"/>
      <c r="AJR160" s="922"/>
      <c r="AJS160" s="922"/>
      <c r="AJT160" s="922"/>
      <c r="AJU160" s="922"/>
      <c r="AJV160" s="922"/>
      <c r="AJW160" s="922"/>
      <c r="AJX160" s="922"/>
      <c r="AJY160" s="922"/>
      <c r="AJZ160" s="922"/>
      <c r="AKA160" s="922"/>
      <c r="AKB160" s="922"/>
      <c r="AKC160" s="922"/>
      <c r="AKD160" s="922"/>
      <c r="AKE160" s="922"/>
      <c r="AKF160" s="922"/>
      <c r="AKG160" s="922"/>
      <c r="AKH160" s="922"/>
      <c r="AKI160" s="922"/>
      <c r="AKJ160" s="922"/>
      <c r="AKK160" s="922"/>
      <c r="AKL160" s="922"/>
      <c r="AKM160" s="922"/>
      <c r="AKN160" s="922"/>
      <c r="AKO160" s="922"/>
      <c r="AKP160" s="922"/>
      <c r="AKQ160" s="922"/>
      <c r="AKR160" s="922"/>
      <c r="AKS160" s="922"/>
      <c r="AKT160" s="922"/>
      <c r="AKU160" s="922"/>
      <c r="AKV160" s="922"/>
      <c r="AKW160" s="922"/>
      <c r="AKX160" s="922"/>
      <c r="AKY160" s="922"/>
      <c r="AKZ160" s="922"/>
      <c r="ALA160" s="922"/>
      <c r="ALB160" s="922"/>
      <c r="ALC160" s="922"/>
      <c r="ALD160" s="922"/>
      <c r="ALE160" s="922"/>
      <c r="ALF160" s="922"/>
      <c r="ALG160" s="922"/>
      <c r="ALH160" s="922"/>
      <c r="ALI160" s="922"/>
      <c r="ALJ160" s="922"/>
      <c r="ALK160" s="922"/>
      <c r="ALL160" s="922"/>
      <c r="ALM160" s="922"/>
      <c r="ALN160" s="922"/>
      <c r="ALO160" s="922"/>
      <c r="ALP160" s="922"/>
      <c r="ALQ160" s="922"/>
      <c r="ALR160" s="922"/>
      <c r="ALS160" s="922"/>
      <c r="ALT160" s="922"/>
      <c r="ALU160" s="922"/>
      <c r="ALV160" s="922"/>
      <c r="ALW160" s="922"/>
      <c r="ALX160" s="922"/>
      <c r="ALY160" s="922"/>
      <c r="ALZ160" s="922"/>
      <c r="AMA160" s="922"/>
      <c r="AMB160" s="922"/>
      <c r="AMC160" s="922"/>
      <c r="AMD160" s="922"/>
      <c r="AME160" s="922"/>
      <c r="AMF160" s="922"/>
      <c r="AMG160" s="922"/>
      <c r="AMH160" s="922"/>
      <c r="AMI160" s="922"/>
      <c r="AMJ160" s="922"/>
      <c r="AMK160" s="922"/>
      <c r="AML160" s="922"/>
      <c r="AMM160" s="922"/>
      <c r="AMN160" s="922"/>
      <c r="AMO160" s="922"/>
      <c r="AMP160" s="922"/>
      <c r="AMQ160" s="922"/>
      <c r="AMR160" s="922"/>
      <c r="AMS160" s="922"/>
      <c r="AMT160" s="922"/>
      <c r="AMU160" s="922"/>
      <c r="AMV160" s="922"/>
      <c r="AMW160" s="922"/>
      <c r="AMX160" s="922"/>
      <c r="AMY160" s="922"/>
      <c r="AMZ160" s="922"/>
      <c r="ANA160" s="922"/>
      <c r="ANB160" s="922"/>
      <c r="ANC160" s="922"/>
      <c r="AND160" s="922"/>
      <c r="ANE160" s="922"/>
      <c r="ANF160" s="922"/>
      <c r="ANG160" s="922"/>
      <c r="ANH160" s="922"/>
      <c r="ANI160" s="922"/>
      <c r="ANJ160" s="922"/>
      <c r="ANK160" s="922"/>
      <c r="ANL160" s="922"/>
      <c r="ANM160" s="922"/>
      <c r="ANN160" s="922"/>
      <c r="ANO160" s="922"/>
      <c r="ANP160" s="922"/>
      <c r="ANQ160" s="922"/>
      <c r="ANR160" s="922"/>
      <c r="ANS160" s="922"/>
      <c r="ANT160" s="922"/>
      <c r="ANU160" s="922"/>
      <c r="ANV160" s="922"/>
      <c r="ANW160" s="922"/>
      <c r="ANX160" s="922"/>
      <c r="ANY160" s="922"/>
      <c r="ANZ160" s="922"/>
      <c r="AOA160" s="922"/>
      <c r="AOB160" s="922"/>
      <c r="AOC160" s="922"/>
      <c r="AOD160" s="922"/>
      <c r="AOE160" s="922"/>
      <c r="AOF160" s="922"/>
      <c r="AOG160" s="922"/>
      <c r="AOH160" s="922"/>
      <c r="AOI160" s="922"/>
      <c r="AOJ160" s="922"/>
      <c r="AOK160" s="922"/>
      <c r="AOL160" s="922"/>
      <c r="AOM160" s="922"/>
      <c r="AON160" s="922"/>
      <c r="AOO160" s="922"/>
      <c r="AOP160" s="922"/>
      <c r="AOQ160" s="922"/>
      <c r="AOR160" s="922"/>
      <c r="AOS160" s="922"/>
      <c r="AOT160" s="922"/>
      <c r="AOU160" s="922"/>
      <c r="AOV160" s="922"/>
      <c r="AOW160" s="922"/>
      <c r="AOX160" s="922"/>
      <c r="AOY160" s="922"/>
      <c r="AOZ160" s="922"/>
      <c r="APA160" s="922"/>
      <c r="APB160" s="922"/>
      <c r="APC160" s="922"/>
      <c r="APD160" s="922"/>
      <c r="APE160" s="922"/>
      <c r="APF160" s="922"/>
      <c r="APG160" s="922"/>
      <c r="APH160" s="922"/>
      <c r="API160" s="922"/>
      <c r="APJ160" s="922"/>
      <c r="APK160" s="922"/>
      <c r="APL160" s="922"/>
      <c r="APM160" s="922"/>
      <c r="APN160" s="922"/>
      <c r="APO160" s="922"/>
      <c r="APP160" s="922"/>
      <c r="APQ160" s="922"/>
      <c r="APR160" s="922"/>
      <c r="APS160" s="922"/>
      <c r="APT160" s="922"/>
      <c r="APU160" s="922"/>
      <c r="APV160" s="922"/>
      <c r="APW160" s="922"/>
      <c r="APX160" s="922"/>
      <c r="APY160" s="922"/>
      <c r="APZ160" s="922"/>
      <c r="AQA160" s="922"/>
      <c r="AQB160" s="922"/>
      <c r="AQC160" s="922"/>
      <c r="AQD160" s="922"/>
      <c r="AQE160" s="922"/>
      <c r="AQF160" s="922"/>
      <c r="AQG160" s="922"/>
      <c r="AQH160" s="922"/>
      <c r="AQI160" s="922"/>
      <c r="AQJ160" s="922"/>
      <c r="AQK160" s="922"/>
      <c r="AQL160" s="922"/>
      <c r="AQM160" s="922"/>
      <c r="AQN160" s="922"/>
      <c r="AQO160" s="922"/>
      <c r="AQP160" s="922"/>
      <c r="AQQ160" s="922"/>
      <c r="AQR160" s="922"/>
      <c r="AQS160" s="922"/>
      <c r="AQT160" s="922"/>
      <c r="AQU160" s="922"/>
      <c r="AQV160" s="922"/>
      <c r="AQW160" s="922"/>
      <c r="AQX160" s="922"/>
      <c r="AQY160" s="922"/>
      <c r="AQZ160" s="922"/>
      <c r="ARA160" s="922"/>
      <c r="ARB160" s="922"/>
      <c r="ARC160" s="922"/>
      <c r="ARD160" s="922"/>
      <c r="ARE160" s="922"/>
      <c r="ARF160" s="922"/>
      <c r="ARG160" s="922"/>
      <c r="ARH160" s="922"/>
      <c r="ARI160" s="922"/>
      <c r="ARJ160" s="922"/>
      <c r="ARK160" s="922"/>
      <c r="ARL160" s="922"/>
      <c r="ARM160" s="922"/>
      <c r="ARN160" s="922"/>
      <c r="ARO160" s="922"/>
      <c r="ARP160" s="922"/>
      <c r="ARQ160" s="922"/>
      <c r="ARR160" s="922"/>
      <c r="ARS160" s="922"/>
      <c r="ART160" s="922"/>
      <c r="ARU160" s="922"/>
      <c r="ARV160" s="922"/>
      <c r="ARW160" s="922"/>
      <c r="ARX160" s="922"/>
      <c r="ARY160" s="922"/>
      <c r="ARZ160" s="922"/>
      <c r="ASA160" s="922"/>
      <c r="ASB160" s="922"/>
      <c r="ASC160" s="922"/>
    </row>
    <row r="161" spans="1:1173" hidden="1">
      <c r="A161" s="920"/>
      <c r="T161" s="922"/>
      <c r="AN161" s="922"/>
      <c r="AO161" s="922"/>
      <c r="AP161" s="922"/>
      <c r="AQ161" s="922"/>
      <c r="AR161" s="922"/>
      <c r="AS161" s="922"/>
      <c r="AT161" s="922"/>
      <c r="AU161" s="922"/>
      <c r="AV161" s="922"/>
      <c r="AW161" s="922"/>
      <c r="AX161" s="922"/>
      <c r="AY161" s="922"/>
      <c r="AZ161" s="922"/>
      <c r="BA161" s="922"/>
      <c r="BB161" s="922"/>
      <c r="BC161" s="922"/>
      <c r="BD161" s="922"/>
      <c r="BE161" s="922"/>
      <c r="BF161" s="922"/>
      <c r="BG161" s="922"/>
      <c r="BH161" s="922"/>
      <c r="BI161" s="922"/>
      <c r="BJ161" s="922"/>
      <c r="BK161" s="922"/>
      <c r="BL161" s="922"/>
      <c r="BM161" s="922"/>
      <c r="BN161" s="922"/>
      <c r="BO161" s="922"/>
      <c r="BP161" s="922"/>
      <c r="BQ161" s="922"/>
      <c r="BR161" s="922"/>
      <c r="BS161" s="922"/>
      <c r="BT161" s="922"/>
      <c r="BU161" s="922"/>
      <c r="BV161" s="922"/>
      <c r="BW161" s="922"/>
      <c r="BX161" s="922"/>
      <c r="BY161" s="922"/>
      <c r="BZ161" s="922"/>
      <c r="CA161" s="922"/>
      <c r="CB161" s="922"/>
      <c r="CC161" s="922"/>
      <c r="CD161" s="922"/>
      <c r="CE161" s="922"/>
      <c r="CF161" s="922"/>
      <c r="CG161" s="922"/>
      <c r="CH161" s="922"/>
      <c r="CI161" s="922"/>
      <c r="CJ161" s="922"/>
      <c r="CK161" s="922"/>
      <c r="CL161" s="922"/>
      <c r="CM161" s="922"/>
      <c r="CN161" s="922"/>
      <c r="CO161" s="922"/>
      <c r="CP161" s="922"/>
      <c r="CQ161" s="922"/>
      <c r="CR161" s="922"/>
      <c r="CS161" s="922"/>
      <c r="CT161" s="922"/>
      <c r="CU161" s="922"/>
      <c r="CV161" s="922"/>
      <c r="CW161" s="922"/>
      <c r="CX161" s="922"/>
      <c r="CY161" s="922"/>
      <c r="CZ161" s="922"/>
      <c r="DA161" s="922"/>
      <c r="DB161" s="922"/>
      <c r="DC161" s="922"/>
      <c r="DD161" s="922"/>
      <c r="DE161" s="922"/>
      <c r="DF161" s="922"/>
      <c r="DG161" s="922"/>
      <c r="DH161" s="922"/>
      <c r="DI161" s="922"/>
      <c r="DJ161" s="922"/>
      <c r="DK161" s="922"/>
      <c r="DL161" s="922"/>
      <c r="DM161" s="922"/>
      <c r="DN161" s="922"/>
      <c r="DO161" s="922"/>
      <c r="DP161" s="922"/>
      <c r="DQ161" s="922"/>
      <c r="DR161" s="922"/>
      <c r="DS161" s="922"/>
      <c r="DT161" s="922"/>
      <c r="DU161" s="922"/>
      <c r="DV161" s="922"/>
      <c r="DW161" s="922"/>
      <c r="DX161" s="922"/>
      <c r="DY161" s="922"/>
      <c r="DZ161" s="922"/>
      <c r="EA161" s="922"/>
      <c r="EB161" s="922"/>
      <c r="EC161" s="922"/>
      <c r="ED161" s="922"/>
      <c r="EE161" s="922"/>
      <c r="EF161" s="922"/>
      <c r="EG161" s="922"/>
      <c r="EH161" s="922"/>
      <c r="EI161" s="922"/>
      <c r="EJ161" s="922"/>
      <c r="EK161" s="922"/>
      <c r="EL161" s="922"/>
      <c r="EM161" s="922"/>
      <c r="EN161" s="922"/>
      <c r="EO161" s="922"/>
      <c r="EP161" s="922"/>
      <c r="EQ161" s="922"/>
      <c r="ER161" s="922"/>
      <c r="ES161" s="922"/>
      <c r="ET161" s="922"/>
      <c r="EU161" s="922"/>
      <c r="EV161" s="922"/>
      <c r="EW161" s="922"/>
      <c r="EX161" s="922"/>
      <c r="EY161" s="922"/>
      <c r="EZ161" s="922"/>
      <c r="FA161" s="922"/>
      <c r="FB161" s="922"/>
      <c r="FC161" s="922"/>
      <c r="FD161" s="922"/>
      <c r="FE161" s="922"/>
      <c r="FF161" s="922"/>
      <c r="FG161" s="922"/>
      <c r="FH161" s="922"/>
      <c r="FI161" s="922"/>
      <c r="FJ161" s="922"/>
      <c r="FK161" s="922"/>
      <c r="FL161" s="922"/>
      <c r="FM161" s="922"/>
      <c r="FN161" s="922"/>
      <c r="FO161" s="922"/>
      <c r="FP161" s="922"/>
      <c r="FQ161" s="922"/>
      <c r="FR161" s="922"/>
      <c r="FS161" s="922"/>
      <c r="FT161" s="922"/>
      <c r="FU161" s="922"/>
      <c r="FV161" s="922"/>
      <c r="FW161" s="922"/>
      <c r="FX161" s="922"/>
      <c r="FY161" s="922"/>
      <c r="FZ161" s="922"/>
      <c r="GA161" s="922"/>
      <c r="GB161" s="922"/>
      <c r="GC161" s="922"/>
      <c r="GD161" s="922"/>
      <c r="GE161" s="922"/>
      <c r="GF161" s="922"/>
      <c r="GG161" s="922"/>
      <c r="GH161" s="922"/>
      <c r="GI161" s="922"/>
      <c r="GJ161" s="922"/>
      <c r="GK161" s="922"/>
      <c r="GL161" s="922"/>
      <c r="GM161" s="922"/>
      <c r="GN161" s="922"/>
      <c r="GO161" s="922"/>
      <c r="GP161" s="922"/>
      <c r="GQ161" s="922"/>
      <c r="GR161" s="922"/>
      <c r="GS161" s="922"/>
      <c r="GT161" s="922"/>
      <c r="GU161" s="922"/>
      <c r="GV161" s="922"/>
      <c r="GW161" s="922"/>
      <c r="GX161" s="922"/>
      <c r="GY161" s="922"/>
      <c r="GZ161" s="922"/>
      <c r="HA161" s="922"/>
      <c r="HB161" s="922"/>
      <c r="HC161" s="922"/>
      <c r="HD161" s="922"/>
      <c r="HE161" s="922"/>
      <c r="HF161" s="922"/>
      <c r="HG161" s="922"/>
      <c r="HH161" s="922"/>
      <c r="HI161" s="922"/>
      <c r="HJ161" s="922"/>
      <c r="HK161" s="922"/>
      <c r="HL161" s="922"/>
      <c r="HM161" s="922"/>
      <c r="HN161" s="922"/>
      <c r="HO161" s="922"/>
      <c r="HP161" s="922"/>
      <c r="HQ161" s="922"/>
      <c r="HR161" s="922"/>
      <c r="HS161" s="922"/>
      <c r="HT161" s="922"/>
      <c r="HU161" s="922"/>
      <c r="HV161" s="922"/>
      <c r="HW161" s="922"/>
      <c r="HX161" s="922"/>
      <c r="HY161" s="922"/>
      <c r="HZ161" s="922"/>
      <c r="IA161" s="922"/>
      <c r="IB161" s="922"/>
      <c r="IC161" s="922"/>
      <c r="ID161" s="922"/>
      <c r="IE161" s="922"/>
      <c r="IF161" s="922"/>
      <c r="IG161" s="922"/>
      <c r="IH161" s="922"/>
      <c r="II161" s="922"/>
      <c r="IJ161" s="922"/>
      <c r="IK161" s="922"/>
      <c r="IL161" s="922"/>
      <c r="IM161" s="922"/>
      <c r="IN161" s="922"/>
      <c r="IO161" s="922"/>
      <c r="IP161" s="922"/>
      <c r="IQ161" s="922"/>
      <c r="IR161" s="922"/>
      <c r="IS161" s="922"/>
      <c r="IT161" s="922"/>
      <c r="IU161" s="922"/>
      <c r="IV161" s="922"/>
      <c r="IW161" s="922"/>
      <c r="IX161" s="922"/>
      <c r="IY161" s="922"/>
      <c r="IZ161" s="922"/>
      <c r="JA161" s="922"/>
      <c r="JB161" s="922"/>
      <c r="JC161" s="922"/>
      <c r="JD161" s="922"/>
      <c r="JE161" s="922"/>
      <c r="JF161" s="922"/>
      <c r="JG161" s="922"/>
      <c r="JH161" s="922"/>
      <c r="JI161" s="922"/>
      <c r="JJ161" s="922"/>
      <c r="JK161" s="922"/>
      <c r="JL161" s="922"/>
      <c r="JM161" s="922"/>
      <c r="JN161" s="922"/>
      <c r="JO161" s="922"/>
      <c r="JP161" s="922"/>
      <c r="JQ161" s="922"/>
      <c r="JR161" s="922"/>
      <c r="JS161" s="922"/>
      <c r="JT161" s="922"/>
      <c r="JU161" s="922"/>
      <c r="JV161" s="922"/>
      <c r="JW161" s="922"/>
      <c r="JX161" s="922"/>
      <c r="JY161" s="922"/>
      <c r="JZ161" s="922"/>
      <c r="KA161" s="922"/>
      <c r="KB161" s="922"/>
      <c r="KC161" s="922"/>
      <c r="KD161" s="922"/>
      <c r="KE161" s="922"/>
      <c r="KF161" s="922"/>
      <c r="KG161" s="922"/>
      <c r="KH161" s="922"/>
      <c r="KI161" s="922"/>
      <c r="KJ161" s="922"/>
      <c r="KK161" s="922"/>
      <c r="KL161" s="922"/>
      <c r="KM161" s="922"/>
      <c r="KN161" s="922"/>
      <c r="KO161" s="922"/>
      <c r="KP161" s="922"/>
      <c r="KQ161" s="922"/>
      <c r="KR161" s="922"/>
      <c r="KS161" s="922"/>
      <c r="KT161" s="922"/>
      <c r="KU161" s="922"/>
      <c r="KV161" s="922"/>
      <c r="KW161" s="922"/>
      <c r="KX161" s="922"/>
      <c r="KY161" s="922"/>
      <c r="KZ161" s="922"/>
      <c r="LA161" s="922"/>
      <c r="LB161" s="922"/>
      <c r="LC161" s="922"/>
      <c r="LD161" s="922"/>
      <c r="LE161" s="922"/>
      <c r="LF161" s="922"/>
      <c r="LG161" s="922"/>
      <c r="LH161" s="922"/>
      <c r="LI161" s="922"/>
      <c r="LJ161" s="922"/>
      <c r="LK161" s="922"/>
      <c r="LL161" s="922"/>
      <c r="LM161" s="922"/>
      <c r="LN161" s="922"/>
      <c r="LO161" s="922"/>
      <c r="LP161" s="922"/>
      <c r="LQ161" s="922"/>
      <c r="LR161" s="922"/>
      <c r="LS161" s="922"/>
      <c r="LT161" s="922"/>
      <c r="LU161" s="922"/>
      <c r="LV161" s="922"/>
      <c r="LW161" s="922"/>
      <c r="LX161" s="922"/>
      <c r="LY161" s="922"/>
      <c r="LZ161" s="922"/>
      <c r="MA161" s="922"/>
      <c r="MB161" s="922"/>
      <c r="MC161" s="922"/>
      <c r="MD161" s="922"/>
      <c r="ME161" s="922"/>
      <c r="MF161" s="922"/>
      <c r="MG161" s="922"/>
      <c r="MH161" s="922"/>
      <c r="MI161" s="922"/>
      <c r="MJ161" s="922"/>
      <c r="MK161" s="922"/>
      <c r="ML161" s="922"/>
      <c r="MM161" s="922"/>
      <c r="MN161" s="922"/>
      <c r="MO161" s="922"/>
      <c r="MP161" s="922"/>
      <c r="MQ161" s="922"/>
      <c r="MR161" s="922"/>
      <c r="MS161" s="922"/>
      <c r="MT161" s="922"/>
      <c r="MU161" s="922"/>
      <c r="MV161" s="922"/>
      <c r="MW161" s="922"/>
      <c r="MX161" s="922"/>
      <c r="MY161" s="922"/>
      <c r="MZ161" s="922"/>
      <c r="NA161" s="922"/>
      <c r="NB161" s="922"/>
      <c r="NC161" s="922"/>
      <c r="ND161" s="922"/>
      <c r="NE161" s="922"/>
      <c r="NF161" s="922"/>
      <c r="NG161" s="922"/>
      <c r="NH161" s="922"/>
      <c r="NI161" s="922"/>
      <c r="NJ161" s="922"/>
      <c r="NK161" s="922"/>
      <c r="NL161" s="922"/>
      <c r="NM161" s="922"/>
      <c r="NN161" s="922"/>
      <c r="NO161" s="922"/>
      <c r="NP161" s="922"/>
      <c r="NQ161" s="922"/>
      <c r="NR161" s="922"/>
      <c r="NS161" s="922"/>
      <c r="NT161" s="922"/>
      <c r="NU161" s="922"/>
      <c r="NV161" s="922"/>
      <c r="NW161" s="922"/>
      <c r="NX161" s="922"/>
      <c r="NY161" s="922"/>
      <c r="NZ161" s="922"/>
      <c r="OA161" s="922"/>
      <c r="OB161" s="922"/>
      <c r="OC161" s="922"/>
      <c r="OD161" s="922"/>
      <c r="OE161" s="922"/>
      <c r="OF161" s="922"/>
      <c r="OG161" s="922"/>
      <c r="OH161" s="922"/>
      <c r="OI161" s="922"/>
      <c r="OJ161" s="922"/>
      <c r="OK161" s="922"/>
      <c r="OL161" s="922"/>
      <c r="OM161" s="922"/>
      <c r="ON161" s="922"/>
      <c r="OO161" s="922"/>
      <c r="OP161" s="922"/>
      <c r="OQ161" s="922"/>
      <c r="OR161" s="922"/>
      <c r="OS161" s="922"/>
      <c r="OT161" s="922"/>
      <c r="OU161" s="922"/>
      <c r="OV161" s="922"/>
      <c r="OW161" s="922"/>
      <c r="OX161" s="922"/>
      <c r="OY161" s="922"/>
      <c r="OZ161" s="922"/>
      <c r="PA161" s="922"/>
      <c r="PB161" s="922"/>
      <c r="PC161" s="922"/>
      <c r="PD161" s="922"/>
      <c r="PE161" s="922"/>
      <c r="PF161" s="922"/>
      <c r="PG161" s="922"/>
      <c r="PH161" s="922"/>
      <c r="PI161" s="922"/>
      <c r="PJ161" s="922"/>
      <c r="PK161" s="922"/>
      <c r="PL161" s="922"/>
      <c r="PM161" s="922"/>
      <c r="PN161" s="922"/>
      <c r="PO161" s="922"/>
      <c r="PP161" s="922"/>
      <c r="PQ161" s="922"/>
      <c r="PR161" s="922"/>
      <c r="PS161" s="922"/>
      <c r="PT161" s="922"/>
      <c r="PU161" s="922"/>
      <c r="PV161" s="922"/>
      <c r="PW161" s="922"/>
      <c r="PX161" s="922"/>
      <c r="PY161" s="922"/>
      <c r="PZ161" s="922"/>
      <c r="QA161" s="922"/>
      <c r="QB161" s="922"/>
      <c r="QC161" s="922"/>
      <c r="QD161" s="922"/>
      <c r="QE161" s="922"/>
      <c r="QF161" s="922"/>
      <c r="QG161" s="922"/>
      <c r="QH161" s="922"/>
      <c r="QI161" s="922"/>
      <c r="QJ161" s="922"/>
      <c r="QK161" s="922"/>
      <c r="QL161" s="922"/>
      <c r="QM161" s="922"/>
      <c r="QN161" s="922"/>
      <c r="QO161" s="922"/>
      <c r="QP161" s="922"/>
      <c r="QQ161" s="922"/>
      <c r="QR161" s="922"/>
      <c r="QS161" s="922"/>
      <c r="QT161" s="922"/>
      <c r="QU161" s="922"/>
      <c r="QV161" s="922"/>
      <c r="QW161" s="922"/>
      <c r="QX161" s="922"/>
      <c r="QY161" s="922"/>
      <c r="QZ161" s="922"/>
      <c r="RA161" s="922"/>
      <c r="RB161" s="922"/>
      <c r="RC161" s="922"/>
      <c r="RD161" s="922"/>
      <c r="RE161" s="922"/>
      <c r="RF161" s="922"/>
      <c r="RG161" s="922"/>
      <c r="RH161" s="922"/>
      <c r="RI161" s="922"/>
      <c r="RJ161" s="922"/>
      <c r="RK161" s="922"/>
      <c r="RL161" s="922"/>
      <c r="RM161" s="922"/>
      <c r="RN161" s="922"/>
      <c r="RO161" s="922"/>
      <c r="RP161" s="922"/>
      <c r="RQ161" s="922"/>
      <c r="RR161" s="922"/>
      <c r="RS161" s="922"/>
      <c r="RT161" s="922"/>
      <c r="RU161" s="922"/>
      <c r="RV161" s="922"/>
      <c r="RW161" s="922"/>
      <c r="RX161" s="922"/>
      <c r="RY161" s="922"/>
      <c r="RZ161" s="922"/>
      <c r="SA161" s="922"/>
      <c r="SB161" s="922"/>
      <c r="SC161" s="922"/>
      <c r="SD161" s="922"/>
      <c r="SE161" s="922"/>
      <c r="SF161" s="922"/>
      <c r="SG161" s="922"/>
      <c r="SH161" s="922"/>
      <c r="SI161" s="922"/>
      <c r="SJ161" s="922"/>
      <c r="SK161" s="922"/>
      <c r="SL161" s="922"/>
      <c r="SM161" s="922"/>
      <c r="SN161" s="922"/>
      <c r="SO161" s="922"/>
      <c r="SP161" s="922"/>
      <c r="SQ161" s="922"/>
      <c r="SR161" s="922"/>
      <c r="SS161" s="922"/>
      <c r="ST161" s="922"/>
      <c r="SU161" s="922"/>
      <c r="SV161" s="922"/>
      <c r="SW161" s="922"/>
      <c r="SX161" s="922"/>
      <c r="SY161" s="922"/>
      <c r="SZ161" s="922"/>
      <c r="TA161" s="922"/>
      <c r="TB161" s="922"/>
      <c r="TC161" s="922"/>
      <c r="TD161" s="922"/>
      <c r="TE161" s="922"/>
      <c r="TF161" s="922"/>
      <c r="TG161" s="922"/>
      <c r="TH161" s="922"/>
      <c r="TI161" s="922"/>
      <c r="TJ161" s="922"/>
      <c r="TK161" s="922"/>
      <c r="TL161" s="922"/>
      <c r="TM161" s="922"/>
      <c r="TN161" s="922"/>
      <c r="TO161" s="922"/>
      <c r="TP161" s="922"/>
      <c r="TQ161" s="922"/>
      <c r="TR161" s="922"/>
      <c r="TS161" s="922"/>
      <c r="TT161" s="922"/>
      <c r="TU161" s="922"/>
      <c r="TV161" s="922"/>
      <c r="TW161" s="922"/>
      <c r="TX161" s="922"/>
      <c r="TY161" s="922"/>
      <c r="TZ161" s="922"/>
      <c r="UA161" s="922"/>
      <c r="UB161" s="922"/>
      <c r="UC161" s="922"/>
      <c r="UD161" s="922"/>
      <c r="UE161" s="922"/>
      <c r="UF161" s="922"/>
      <c r="UG161" s="922"/>
      <c r="UH161" s="922"/>
      <c r="UI161" s="922"/>
      <c r="UJ161" s="922"/>
      <c r="UK161" s="922"/>
      <c r="UL161" s="922"/>
      <c r="UM161" s="922"/>
      <c r="UN161" s="922"/>
      <c r="UO161" s="922"/>
      <c r="UP161" s="922"/>
      <c r="UQ161" s="922"/>
      <c r="UR161" s="922"/>
      <c r="US161" s="922"/>
      <c r="UT161" s="922"/>
      <c r="UU161" s="922"/>
      <c r="UV161" s="922"/>
      <c r="UW161" s="922"/>
      <c r="UX161" s="922"/>
      <c r="UY161" s="922"/>
      <c r="UZ161" s="922"/>
      <c r="VA161" s="922"/>
      <c r="VB161" s="922"/>
      <c r="VC161" s="922"/>
      <c r="VD161" s="922"/>
      <c r="VE161" s="922"/>
      <c r="VF161" s="922"/>
      <c r="VG161" s="922"/>
      <c r="VH161" s="922"/>
      <c r="VI161" s="922"/>
      <c r="VJ161" s="922"/>
      <c r="VK161" s="922"/>
      <c r="VL161" s="922"/>
      <c r="VM161" s="922"/>
      <c r="VN161" s="922"/>
      <c r="VO161" s="922"/>
      <c r="VP161" s="922"/>
      <c r="VQ161" s="922"/>
      <c r="VR161" s="922"/>
      <c r="VS161" s="922"/>
      <c r="VT161" s="922"/>
      <c r="VU161" s="922"/>
      <c r="VV161" s="922"/>
      <c r="VW161" s="922"/>
      <c r="VX161" s="922"/>
      <c r="VY161" s="922"/>
      <c r="VZ161" s="922"/>
      <c r="WA161" s="922"/>
      <c r="WB161" s="922"/>
      <c r="WC161" s="922"/>
      <c r="WD161" s="922"/>
      <c r="WE161" s="922"/>
      <c r="WF161" s="922"/>
      <c r="WG161" s="922"/>
      <c r="WH161" s="922"/>
      <c r="WI161" s="922"/>
      <c r="WJ161" s="922"/>
      <c r="WK161" s="922"/>
      <c r="WL161" s="922"/>
      <c r="WM161" s="922"/>
      <c r="WN161" s="922"/>
      <c r="WO161" s="922"/>
      <c r="WP161" s="922"/>
      <c r="WQ161" s="922"/>
      <c r="WR161" s="922"/>
      <c r="WS161" s="922"/>
      <c r="WT161" s="922"/>
      <c r="WU161" s="922"/>
      <c r="WV161" s="922"/>
      <c r="WW161" s="922"/>
      <c r="WX161" s="922"/>
      <c r="WY161" s="922"/>
      <c r="WZ161" s="922"/>
      <c r="XA161" s="922"/>
      <c r="XB161" s="922"/>
      <c r="XC161" s="922"/>
      <c r="XD161" s="922"/>
      <c r="XE161" s="922"/>
      <c r="XF161" s="922"/>
      <c r="XG161" s="922"/>
      <c r="XH161" s="922"/>
      <c r="XI161" s="922"/>
      <c r="XJ161" s="922"/>
      <c r="XK161" s="922"/>
      <c r="XL161" s="922"/>
      <c r="XM161" s="922"/>
      <c r="XN161" s="922"/>
      <c r="XO161" s="922"/>
      <c r="XP161" s="922"/>
      <c r="XQ161" s="922"/>
      <c r="XR161" s="922"/>
      <c r="XS161" s="922"/>
      <c r="XT161" s="922"/>
      <c r="XU161" s="922"/>
      <c r="XV161" s="922"/>
      <c r="XW161" s="922"/>
      <c r="XX161" s="922"/>
      <c r="XY161" s="922"/>
      <c r="XZ161" s="922"/>
      <c r="YA161" s="922"/>
      <c r="YB161" s="922"/>
      <c r="YC161" s="922"/>
      <c r="YD161" s="922"/>
      <c r="YE161" s="922"/>
      <c r="YF161" s="922"/>
      <c r="YG161" s="922"/>
      <c r="YH161" s="922"/>
      <c r="YI161" s="922"/>
      <c r="YJ161" s="922"/>
      <c r="YK161" s="922"/>
      <c r="YL161" s="922"/>
      <c r="YM161" s="922"/>
      <c r="YN161" s="922"/>
      <c r="YO161" s="922"/>
      <c r="YP161" s="922"/>
      <c r="YQ161" s="922"/>
      <c r="YR161" s="922"/>
      <c r="YS161" s="922"/>
      <c r="YT161" s="922"/>
      <c r="YU161" s="922"/>
      <c r="YV161" s="922"/>
      <c r="YW161" s="922"/>
      <c r="YX161" s="922"/>
      <c r="YY161" s="922"/>
      <c r="YZ161" s="922"/>
      <c r="ZA161" s="922"/>
      <c r="ZB161" s="922"/>
      <c r="ZC161" s="922"/>
      <c r="ZD161" s="922"/>
      <c r="ZE161" s="922"/>
      <c r="ZF161" s="922"/>
      <c r="ZG161" s="922"/>
      <c r="ZH161" s="922"/>
      <c r="ZI161" s="922"/>
      <c r="ZJ161" s="922"/>
      <c r="ZK161" s="922"/>
      <c r="ZL161" s="922"/>
      <c r="ZM161" s="922"/>
      <c r="ZN161" s="922"/>
      <c r="ZO161" s="922"/>
      <c r="ZP161" s="922"/>
      <c r="ZQ161" s="922"/>
      <c r="ZR161" s="922"/>
      <c r="ZS161" s="922"/>
      <c r="ZT161" s="922"/>
      <c r="ZU161" s="922"/>
      <c r="ZV161" s="922"/>
      <c r="ZW161" s="922"/>
      <c r="ZX161" s="922"/>
      <c r="ZY161" s="922"/>
      <c r="ZZ161" s="922"/>
      <c r="AAA161" s="922"/>
      <c r="AAB161" s="922"/>
      <c r="AAC161" s="922"/>
      <c r="AAD161" s="922"/>
      <c r="AAE161" s="922"/>
      <c r="AAF161" s="922"/>
      <c r="AAG161" s="922"/>
      <c r="AAH161" s="922"/>
      <c r="AAI161" s="922"/>
      <c r="AAJ161" s="922"/>
      <c r="AAK161" s="922"/>
      <c r="AAL161" s="922"/>
      <c r="AAM161" s="922"/>
      <c r="AAN161" s="922"/>
      <c r="AAO161" s="922"/>
      <c r="AAP161" s="922"/>
      <c r="AAQ161" s="922"/>
      <c r="AAR161" s="922"/>
      <c r="AAS161" s="922"/>
      <c r="AAT161" s="922"/>
      <c r="AAU161" s="922"/>
      <c r="AAV161" s="922"/>
      <c r="AAW161" s="922"/>
      <c r="AAX161" s="922"/>
      <c r="AAY161" s="922"/>
      <c r="AAZ161" s="922"/>
      <c r="ABA161" s="922"/>
      <c r="ABB161" s="922"/>
      <c r="ABC161" s="922"/>
      <c r="ABD161" s="922"/>
      <c r="ABE161" s="922"/>
      <c r="ABF161" s="922"/>
      <c r="ABG161" s="922"/>
      <c r="ABH161" s="922"/>
      <c r="ABI161" s="922"/>
      <c r="ABJ161" s="922"/>
      <c r="ABK161" s="922"/>
      <c r="ABL161" s="922"/>
      <c r="ABM161" s="922"/>
      <c r="ABN161" s="922"/>
      <c r="ABO161" s="922"/>
      <c r="ABP161" s="922"/>
      <c r="ABQ161" s="922"/>
      <c r="ABR161" s="922"/>
      <c r="ABS161" s="922"/>
      <c r="ABT161" s="922"/>
      <c r="ABU161" s="922"/>
      <c r="ABV161" s="922"/>
      <c r="ABW161" s="922"/>
      <c r="ABX161" s="922"/>
      <c r="ABY161" s="922"/>
      <c r="ABZ161" s="922"/>
      <c r="ACA161" s="922"/>
      <c r="ACB161" s="922"/>
      <c r="ACC161" s="922"/>
      <c r="ACD161" s="922"/>
      <c r="ACE161" s="922"/>
      <c r="ACF161" s="922"/>
      <c r="ACG161" s="922"/>
      <c r="ACH161" s="922"/>
      <c r="ACI161" s="922"/>
      <c r="ACJ161" s="922"/>
      <c r="ACK161" s="922"/>
      <c r="ACL161" s="922"/>
      <c r="ACM161" s="922"/>
      <c r="ACN161" s="922"/>
      <c r="ACO161" s="922"/>
      <c r="ACP161" s="922"/>
      <c r="ACQ161" s="922"/>
      <c r="ACR161" s="922"/>
      <c r="ACS161" s="922"/>
      <c r="ACT161" s="922"/>
      <c r="ACU161" s="922"/>
      <c r="ACV161" s="922"/>
      <c r="ACW161" s="922"/>
      <c r="ACX161" s="922"/>
      <c r="ACY161" s="922"/>
      <c r="ACZ161" s="922"/>
      <c r="ADA161" s="922"/>
      <c r="ADB161" s="922"/>
      <c r="ADC161" s="922"/>
      <c r="ADD161" s="922"/>
      <c r="ADE161" s="922"/>
      <c r="ADF161" s="922"/>
      <c r="ADG161" s="922"/>
      <c r="ADH161" s="922"/>
      <c r="ADI161" s="922"/>
      <c r="ADJ161" s="922"/>
      <c r="ADK161" s="922"/>
      <c r="ADL161" s="922"/>
      <c r="ADM161" s="922"/>
      <c r="ADN161" s="922"/>
      <c r="ADO161" s="922"/>
      <c r="ADP161" s="922"/>
      <c r="ADQ161" s="922"/>
      <c r="ADR161" s="922"/>
      <c r="ADS161" s="922"/>
      <c r="ADT161" s="922"/>
      <c r="ADU161" s="922"/>
      <c r="ADV161" s="922"/>
      <c r="ADW161" s="922"/>
      <c r="ADX161" s="922"/>
      <c r="ADY161" s="922"/>
      <c r="ADZ161" s="922"/>
      <c r="AEA161" s="922"/>
      <c r="AEB161" s="922"/>
      <c r="AEC161" s="922"/>
      <c r="AED161" s="922"/>
      <c r="AEE161" s="922"/>
      <c r="AEF161" s="922"/>
      <c r="AEG161" s="922"/>
      <c r="AEH161" s="922"/>
      <c r="AEI161" s="922"/>
      <c r="AEJ161" s="922"/>
      <c r="AEK161" s="922"/>
      <c r="AEL161" s="922"/>
      <c r="AEM161" s="922"/>
      <c r="AEN161" s="922"/>
      <c r="AEO161" s="922"/>
      <c r="AEP161" s="922"/>
      <c r="AEQ161" s="922"/>
      <c r="AER161" s="922"/>
      <c r="AES161" s="922"/>
      <c r="AET161" s="922"/>
      <c r="AEU161" s="922"/>
      <c r="AEV161" s="922"/>
      <c r="AEW161" s="922"/>
      <c r="AEX161" s="922"/>
      <c r="AEY161" s="922"/>
      <c r="AEZ161" s="922"/>
      <c r="AFA161" s="922"/>
      <c r="AFB161" s="922"/>
      <c r="AFC161" s="922"/>
      <c r="AFD161" s="922"/>
      <c r="AFE161" s="922"/>
      <c r="AFF161" s="922"/>
      <c r="AFG161" s="922"/>
      <c r="AFH161" s="922"/>
      <c r="AFI161" s="922"/>
      <c r="AFJ161" s="922"/>
      <c r="AFK161" s="922"/>
      <c r="AFL161" s="922"/>
      <c r="AFM161" s="922"/>
      <c r="AFN161" s="922"/>
      <c r="AFO161" s="922"/>
      <c r="AFP161" s="922"/>
      <c r="AFQ161" s="922"/>
      <c r="AFR161" s="922"/>
      <c r="AFS161" s="922"/>
      <c r="AFT161" s="922"/>
      <c r="AFU161" s="922"/>
      <c r="AFV161" s="922"/>
      <c r="AFW161" s="922"/>
      <c r="AFX161" s="922"/>
      <c r="AFY161" s="922"/>
      <c r="AFZ161" s="922"/>
      <c r="AGA161" s="922"/>
      <c r="AGB161" s="922"/>
      <c r="AGC161" s="922"/>
      <c r="AGD161" s="922"/>
      <c r="AGE161" s="922"/>
      <c r="AGF161" s="922"/>
      <c r="AGG161" s="922"/>
      <c r="AGH161" s="922"/>
      <c r="AGI161" s="922"/>
      <c r="AGJ161" s="922"/>
      <c r="AGK161" s="922"/>
      <c r="AGL161" s="922"/>
      <c r="AGM161" s="922"/>
      <c r="AGN161" s="922"/>
      <c r="AGO161" s="922"/>
      <c r="AGP161" s="922"/>
      <c r="AGQ161" s="922"/>
      <c r="AGR161" s="922"/>
      <c r="AGS161" s="922"/>
      <c r="AGT161" s="922"/>
      <c r="AGU161" s="922"/>
      <c r="AGV161" s="922"/>
      <c r="AGW161" s="922"/>
      <c r="AGX161" s="922"/>
      <c r="AGY161" s="922"/>
      <c r="AGZ161" s="922"/>
      <c r="AHA161" s="922"/>
      <c r="AHB161" s="922"/>
      <c r="AHC161" s="922"/>
      <c r="AHD161" s="922"/>
      <c r="AHE161" s="922"/>
      <c r="AHF161" s="922"/>
      <c r="AHG161" s="922"/>
      <c r="AHH161" s="922"/>
      <c r="AHI161" s="922"/>
      <c r="AHJ161" s="922"/>
      <c r="AHK161" s="922"/>
      <c r="AHL161" s="922"/>
      <c r="AHM161" s="922"/>
      <c r="AHN161" s="922"/>
      <c r="AHO161" s="922"/>
      <c r="AHP161" s="922"/>
      <c r="AHQ161" s="922"/>
      <c r="AHR161" s="922"/>
      <c r="AHS161" s="922"/>
      <c r="AHT161" s="922"/>
      <c r="AHU161" s="922"/>
      <c r="AHV161" s="922"/>
      <c r="AHW161" s="922"/>
      <c r="AHX161" s="922"/>
      <c r="AHY161" s="922"/>
      <c r="AHZ161" s="922"/>
      <c r="AIA161" s="922"/>
      <c r="AIB161" s="922"/>
      <c r="AIC161" s="922"/>
      <c r="AID161" s="922"/>
      <c r="AIE161" s="922"/>
      <c r="AIF161" s="922"/>
      <c r="AIG161" s="922"/>
      <c r="AIH161" s="922"/>
      <c r="AII161" s="922"/>
      <c r="AIJ161" s="922"/>
      <c r="AIK161" s="922"/>
      <c r="AIL161" s="922"/>
      <c r="AIM161" s="922"/>
      <c r="AIN161" s="922"/>
      <c r="AIO161" s="922"/>
      <c r="AIP161" s="922"/>
      <c r="AIQ161" s="922"/>
      <c r="AIR161" s="922"/>
      <c r="AIS161" s="922"/>
      <c r="AIT161" s="922"/>
      <c r="AIU161" s="922"/>
      <c r="AIV161" s="922"/>
      <c r="AIW161" s="922"/>
      <c r="AIX161" s="922"/>
      <c r="AIY161" s="922"/>
      <c r="AIZ161" s="922"/>
      <c r="AJA161" s="922"/>
      <c r="AJB161" s="922"/>
      <c r="AJC161" s="922"/>
      <c r="AJD161" s="922"/>
      <c r="AJE161" s="922"/>
      <c r="AJF161" s="922"/>
      <c r="AJG161" s="922"/>
      <c r="AJH161" s="922"/>
      <c r="AJI161" s="922"/>
      <c r="AJJ161" s="922"/>
      <c r="AJK161" s="922"/>
      <c r="AJL161" s="922"/>
      <c r="AJM161" s="922"/>
      <c r="AJN161" s="922"/>
      <c r="AJO161" s="922"/>
      <c r="AJP161" s="922"/>
      <c r="AJQ161" s="922"/>
      <c r="AJR161" s="922"/>
      <c r="AJS161" s="922"/>
      <c r="AJT161" s="922"/>
      <c r="AJU161" s="922"/>
      <c r="AJV161" s="922"/>
      <c r="AJW161" s="922"/>
      <c r="AJX161" s="922"/>
      <c r="AJY161" s="922"/>
      <c r="AJZ161" s="922"/>
      <c r="AKA161" s="922"/>
      <c r="AKB161" s="922"/>
      <c r="AKC161" s="922"/>
      <c r="AKD161" s="922"/>
      <c r="AKE161" s="922"/>
      <c r="AKF161" s="922"/>
      <c r="AKG161" s="922"/>
      <c r="AKH161" s="922"/>
      <c r="AKI161" s="922"/>
      <c r="AKJ161" s="922"/>
      <c r="AKK161" s="922"/>
      <c r="AKL161" s="922"/>
      <c r="AKM161" s="922"/>
      <c r="AKN161" s="922"/>
      <c r="AKO161" s="922"/>
      <c r="AKP161" s="922"/>
      <c r="AKQ161" s="922"/>
      <c r="AKR161" s="922"/>
      <c r="AKS161" s="922"/>
      <c r="AKT161" s="922"/>
      <c r="AKU161" s="922"/>
      <c r="AKV161" s="922"/>
      <c r="AKW161" s="922"/>
      <c r="AKX161" s="922"/>
      <c r="AKY161" s="922"/>
      <c r="AKZ161" s="922"/>
      <c r="ALA161" s="922"/>
      <c r="ALB161" s="922"/>
      <c r="ALC161" s="922"/>
      <c r="ALD161" s="922"/>
      <c r="ALE161" s="922"/>
      <c r="ALF161" s="922"/>
      <c r="ALG161" s="922"/>
      <c r="ALH161" s="922"/>
      <c r="ALI161" s="922"/>
      <c r="ALJ161" s="922"/>
      <c r="ALK161" s="922"/>
      <c r="ALL161" s="922"/>
      <c r="ALM161" s="922"/>
      <c r="ALN161" s="922"/>
      <c r="ALO161" s="922"/>
      <c r="ALP161" s="922"/>
      <c r="ALQ161" s="922"/>
      <c r="ALR161" s="922"/>
      <c r="ALS161" s="922"/>
      <c r="ALT161" s="922"/>
      <c r="ALU161" s="922"/>
      <c r="ALV161" s="922"/>
      <c r="ALW161" s="922"/>
      <c r="ALX161" s="922"/>
      <c r="ALY161" s="922"/>
      <c r="ALZ161" s="922"/>
      <c r="AMA161" s="922"/>
      <c r="AMB161" s="922"/>
      <c r="AMC161" s="922"/>
      <c r="AMD161" s="922"/>
      <c r="AME161" s="922"/>
      <c r="AMF161" s="922"/>
      <c r="AMG161" s="922"/>
      <c r="AMH161" s="922"/>
      <c r="AMI161" s="922"/>
      <c r="AMJ161" s="922"/>
      <c r="AMK161" s="922"/>
      <c r="AML161" s="922"/>
      <c r="AMM161" s="922"/>
      <c r="AMN161" s="922"/>
      <c r="AMO161" s="922"/>
      <c r="AMP161" s="922"/>
      <c r="AMQ161" s="922"/>
      <c r="AMR161" s="922"/>
      <c r="AMS161" s="922"/>
      <c r="AMT161" s="922"/>
      <c r="AMU161" s="922"/>
      <c r="AMV161" s="922"/>
      <c r="AMW161" s="922"/>
      <c r="AMX161" s="922"/>
      <c r="AMY161" s="922"/>
      <c r="AMZ161" s="922"/>
      <c r="ANA161" s="922"/>
      <c r="ANB161" s="922"/>
      <c r="ANC161" s="922"/>
      <c r="AND161" s="922"/>
      <c r="ANE161" s="922"/>
      <c r="ANF161" s="922"/>
      <c r="ANG161" s="922"/>
      <c r="ANH161" s="922"/>
      <c r="ANI161" s="922"/>
      <c r="ANJ161" s="922"/>
      <c r="ANK161" s="922"/>
      <c r="ANL161" s="922"/>
      <c r="ANM161" s="922"/>
      <c r="ANN161" s="922"/>
      <c r="ANO161" s="922"/>
      <c r="ANP161" s="922"/>
      <c r="ANQ161" s="922"/>
      <c r="ANR161" s="922"/>
      <c r="ANS161" s="922"/>
      <c r="ANT161" s="922"/>
      <c r="ANU161" s="922"/>
      <c r="ANV161" s="922"/>
      <c r="ANW161" s="922"/>
      <c r="ANX161" s="922"/>
      <c r="ANY161" s="922"/>
      <c r="ANZ161" s="922"/>
      <c r="AOA161" s="922"/>
      <c r="AOB161" s="922"/>
      <c r="AOC161" s="922"/>
      <c r="AOD161" s="922"/>
      <c r="AOE161" s="922"/>
      <c r="AOF161" s="922"/>
      <c r="AOG161" s="922"/>
      <c r="AOH161" s="922"/>
      <c r="AOI161" s="922"/>
      <c r="AOJ161" s="922"/>
      <c r="AOK161" s="922"/>
      <c r="AOL161" s="922"/>
      <c r="AOM161" s="922"/>
      <c r="AON161" s="922"/>
      <c r="AOO161" s="922"/>
      <c r="AOP161" s="922"/>
      <c r="AOQ161" s="922"/>
      <c r="AOR161" s="922"/>
      <c r="AOS161" s="922"/>
      <c r="AOT161" s="922"/>
      <c r="AOU161" s="922"/>
      <c r="AOV161" s="922"/>
      <c r="AOW161" s="922"/>
      <c r="AOX161" s="922"/>
      <c r="AOY161" s="922"/>
      <c r="AOZ161" s="922"/>
      <c r="APA161" s="922"/>
      <c r="APB161" s="922"/>
      <c r="APC161" s="922"/>
      <c r="APD161" s="922"/>
      <c r="APE161" s="922"/>
      <c r="APF161" s="922"/>
      <c r="APG161" s="922"/>
      <c r="APH161" s="922"/>
      <c r="API161" s="922"/>
      <c r="APJ161" s="922"/>
      <c r="APK161" s="922"/>
      <c r="APL161" s="922"/>
      <c r="APM161" s="922"/>
      <c r="APN161" s="922"/>
      <c r="APO161" s="922"/>
      <c r="APP161" s="922"/>
      <c r="APQ161" s="922"/>
      <c r="APR161" s="922"/>
      <c r="APS161" s="922"/>
      <c r="APT161" s="922"/>
      <c r="APU161" s="922"/>
      <c r="APV161" s="922"/>
      <c r="APW161" s="922"/>
      <c r="APX161" s="922"/>
      <c r="APY161" s="922"/>
      <c r="APZ161" s="922"/>
      <c r="AQA161" s="922"/>
      <c r="AQB161" s="922"/>
      <c r="AQC161" s="922"/>
      <c r="AQD161" s="922"/>
      <c r="AQE161" s="922"/>
      <c r="AQF161" s="922"/>
      <c r="AQG161" s="922"/>
      <c r="AQH161" s="922"/>
      <c r="AQI161" s="922"/>
      <c r="AQJ161" s="922"/>
      <c r="AQK161" s="922"/>
      <c r="AQL161" s="922"/>
      <c r="AQM161" s="922"/>
      <c r="AQN161" s="922"/>
      <c r="AQO161" s="922"/>
      <c r="AQP161" s="922"/>
      <c r="AQQ161" s="922"/>
      <c r="AQR161" s="922"/>
      <c r="AQS161" s="922"/>
      <c r="AQT161" s="922"/>
      <c r="AQU161" s="922"/>
      <c r="AQV161" s="922"/>
      <c r="AQW161" s="922"/>
      <c r="AQX161" s="922"/>
      <c r="AQY161" s="922"/>
      <c r="AQZ161" s="922"/>
      <c r="ARA161" s="922"/>
      <c r="ARB161" s="922"/>
      <c r="ARC161" s="922"/>
      <c r="ARD161" s="922"/>
      <c r="ARE161" s="922"/>
      <c r="ARF161" s="922"/>
      <c r="ARG161" s="922"/>
      <c r="ARH161" s="922"/>
      <c r="ARI161" s="922"/>
      <c r="ARJ161" s="922"/>
      <c r="ARK161" s="922"/>
      <c r="ARL161" s="922"/>
      <c r="ARM161" s="922"/>
      <c r="ARN161" s="922"/>
      <c r="ARO161" s="922"/>
      <c r="ARP161" s="922"/>
      <c r="ARQ161" s="922"/>
      <c r="ARR161" s="922"/>
      <c r="ARS161" s="922"/>
      <c r="ART161" s="922"/>
      <c r="ARU161" s="922"/>
      <c r="ARV161" s="922"/>
      <c r="ARW161" s="922"/>
      <c r="ARX161" s="922"/>
      <c r="ARY161" s="922"/>
      <c r="ARZ161" s="922"/>
      <c r="ASA161" s="922"/>
      <c r="ASB161" s="922"/>
      <c r="ASC161" s="922"/>
    </row>
    <row r="162" spans="1:1173" hidden="1">
      <c r="A162" s="920"/>
      <c r="T162" s="922"/>
      <c r="AN162" s="922"/>
      <c r="AO162" s="922"/>
      <c r="AP162" s="922"/>
      <c r="AQ162" s="922"/>
      <c r="AR162" s="922"/>
      <c r="AS162" s="922"/>
      <c r="AT162" s="922"/>
      <c r="AU162" s="922"/>
      <c r="AV162" s="922"/>
      <c r="AW162" s="922"/>
      <c r="AX162" s="922"/>
      <c r="AY162" s="922"/>
      <c r="AZ162" s="922"/>
      <c r="BA162" s="922"/>
      <c r="BB162" s="922"/>
      <c r="BC162" s="922"/>
      <c r="BD162" s="922"/>
      <c r="BE162" s="922"/>
      <c r="BF162" s="922"/>
      <c r="BG162" s="922"/>
      <c r="BH162" s="922"/>
      <c r="BI162" s="922"/>
      <c r="BJ162" s="922"/>
      <c r="BK162" s="922"/>
      <c r="BL162" s="922"/>
      <c r="BM162" s="922"/>
      <c r="BN162" s="922"/>
      <c r="BO162" s="922"/>
      <c r="BP162" s="922"/>
      <c r="BQ162" s="922"/>
      <c r="BR162" s="922"/>
      <c r="BS162" s="922"/>
      <c r="BT162" s="922"/>
      <c r="BU162" s="922"/>
      <c r="BV162" s="922"/>
      <c r="BW162" s="922"/>
      <c r="BX162" s="922"/>
      <c r="BY162" s="922"/>
      <c r="BZ162" s="922"/>
      <c r="CA162" s="922"/>
      <c r="CB162" s="922"/>
      <c r="CC162" s="922"/>
      <c r="CD162" s="922"/>
      <c r="CE162" s="922"/>
      <c r="CF162" s="922"/>
      <c r="CG162" s="922"/>
      <c r="CH162" s="922"/>
      <c r="CI162" s="922"/>
      <c r="CJ162" s="922"/>
      <c r="CK162" s="922"/>
      <c r="CL162" s="922"/>
      <c r="CM162" s="922"/>
      <c r="CN162" s="922"/>
      <c r="CO162" s="922"/>
      <c r="CP162" s="922"/>
      <c r="CQ162" s="922"/>
      <c r="CR162" s="922"/>
      <c r="CS162" s="922"/>
      <c r="CT162" s="922"/>
      <c r="CU162" s="922"/>
      <c r="CV162" s="922"/>
      <c r="CW162" s="922"/>
      <c r="CX162" s="922"/>
      <c r="CY162" s="922"/>
      <c r="CZ162" s="922"/>
      <c r="DA162" s="922"/>
      <c r="DB162" s="922"/>
      <c r="DC162" s="922"/>
      <c r="DD162" s="922"/>
      <c r="DE162" s="922"/>
      <c r="DF162" s="922"/>
      <c r="DG162" s="922"/>
      <c r="DH162" s="922"/>
      <c r="DI162" s="922"/>
      <c r="DJ162" s="922"/>
      <c r="DK162" s="922"/>
      <c r="DL162" s="922"/>
      <c r="DM162" s="922"/>
      <c r="DN162" s="922"/>
      <c r="DO162" s="922"/>
      <c r="DP162" s="922"/>
      <c r="DQ162" s="922"/>
      <c r="DR162" s="922"/>
      <c r="DS162" s="922"/>
      <c r="DT162" s="922"/>
      <c r="DU162" s="922"/>
      <c r="DV162" s="922"/>
      <c r="DW162" s="922"/>
      <c r="DX162" s="922"/>
      <c r="DY162" s="922"/>
      <c r="DZ162" s="922"/>
      <c r="EA162" s="922"/>
      <c r="EB162" s="922"/>
      <c r="EC162" s="922"/>
      <c r="ED162" s="922"/>
      <c r="EE162" s="922"/>
      <c r="EF162" s="922"/>
      <c r="EG162" s="922"/>
      <c r="EH162" s="922"/>
      <c r="EI162" s="922"/>
      <c r="EJ162" s="922"/>
      <c r="EK162" s="922"/>
      <c r="EL162" s="922"/>
      <c r="EM162" s="922"/>
      <c r="EN162" s="922"/>
      <c r="EO162" s="922"/>
      <c r="EP162" s="922"/>
      <c r="EQ162" s="922"/>
      <c r="ER162" s="922"/>
      <c r="ES162" s="922"/>
      <c r="ET162" s="922"/>
      <c r="EU162" s="922"/>
      <c r="EV162" s="922"/>
      <c r="EW162" s="922"/>
      <c r="EX162" s="922"/>
      <c r="EY162" s="922"/>
      <c r="EZ162" s="922"/>
      <c r="FA162" s="922"/>
      <c r="FB162" s="922"/>
      <c r="FC162" s="922"/>
      <c r="FD162" s="922"/>
      <c r="FE162" s="922"/>
      <c r="FF162" s="922"/>
      <c r="FG162" s="922"/>
      <c r="FH162" s="922"/>
      <c r="FI162" s="922"/>
      <c r="FJ162" s="922"/>
      <c r="FK162" s="922"/>
      <c r="FL162" s="922"/>
      <c r="FM162" s="922"/>
      <c r="FN162" s="922"/>
      <c r="FO162" s="922"/>
      <c r="FP162" s="922"/>
      <c r="FQ162" s="922"/>
      <c r="FR162" s="922"/>
      <c r="FS162" s="922"/>
      <c r="FT162" s="922"/>
      <c r="FU162" s="922"/>
      <c r="FV162" s="922"/>
      <c r="FW162" s="922"/>
      <c r="FX162" s="922"/>
      <c r="FY162" s="922"/>
      <c r="FZ162" s="922"/>
      <c r="GA162" s="922"/>
      <c r="GB162" s="922"/>
      <c r="GC162" s="922"/>
      <c r="GD162" s="922"/>
      <c r="GE162" s="922"/>
      <c r="GF162" s="922"/>
      <c r="GG162" s="922"/>
      <c r="GH162" s="922"/>
      <c r="GI162" s="922"/>
      <c r="GJ162" s="922"/>
      <c r="GK162" s="922"/>
      <c r="GL162" s="922"/>
      <c r="GM162" s="922"/>
      <c r="GN162" s="922"/>
      <c r="GO162" s="922"/>
      <c r="GP162" s="922"/>
      <c r="GQ162" s="922"/>
      <c r="GR162" s="922"/>
      <c r="GS162" s="922"/>
      <c r="GT162" s="922"/>
      <c r="GU162" s="922"/>
      <c r="GV162" s="922"/>
      <c r="GW162" s="922"/>
      <c r="GX162" s="922"/>
      <c r="GY162" s="922"/>
      <c r="GZ162" s="922"/>
      <c r="HA162" s="922"/>
      <c r="HB162" s="922"/>
      <c r="HC162" s="922"/>
      <c r="HD162" s="922"/>
      <c r="HE162" s="922"/>
      <c r="HF162" s="922"/>
      <c r="HG162" s="922"/>
      <c r="HH162" s="922"/>
      <c r="HI162" s="922"/>
      <c r="HJ162" s="922"/>
      <c r="HK162" s="922"/>
      <c r="HL162" s="922"/>
      <c r="HM162" s="922"/>
      <c r="HN162" s="922"/>
      <c r="HO162" s="922"/>
      <c r="HP162" s="922"/>
      <c r="HQ162" s="922"/>
      <c r="HR162" s="922"/>
      <c r="HS162" s="922"/>
      <c r="HT162" s="922"/>
      <c r="HU162" s="922"/>
      <c r="HV162" s="922"/>
      <c r="HW162" s="922"/>
      <c r="HX162" s="922"/>
      <c r="HY162" s="922"/>
      <c r="HZ162" s="922"/>
      <c r="IA162" s="922"/>
      <c r="IB162" s="922"/>
      <c r="IC162" s="922"/>
      <c r="ID162" s="922"/>
      <c r="IE162" s="922"/>
      <c r="IF162" s="922"/>
      <c r="IG162" s="922"/>
      <c r="IH162" s="922"/>
      <c r="II162" s="922"/>
      <c r="IJ162" s="922"/>
      <c r="IK162" s="922"/>
      <c r="IL162" s="922"/>
      <c r="IM162" s="922"/>
      <c r="IN162" s="922"/>
      <c r="IO162" s="922"/>
      <c r="IP162" s="922"/>
      <c r="IQ162" s="922"/>
      <c r="IR162" s="922"/>
      <c r="IS162" s="922"/>
      <c r="IT162" s="922"/>
      <c r="IU162" s="922"/>
      <c r="IV162" s="922"/>
      <c r="IW162" s="922"/>
      <c r="IX162" s="922"/>
      <c r="IY162" s="922"/>
      <c r="IZ162" s="922"/>
      <c r="JA162" s="922"/>
      <c r="JB162" s="922"/>
      <c r="JC162" s="922"/>
      <c r="JD162" s="922"/>
      <c r="JE162" s="922"/>
      <c r="JF162" s="922"/>
      <c r="JG162" s="922"/>
      <c r="JH162" s="922"/>
      <c r="JI162" s="922"/>
      <c r="JJ162" s="922"/>
      <c r="JK162" s="922"/>
      <c r="JL162" s="922"/>
      <c r="JM162" s="922"/>
      <c r="JN162" s="922"/>
      <c r="JO162" s="922"/>
      <c r="JP162" s="922"/>
      <c r="JQ162" s="922"/>
      <c r="JR162" s="922"/>
      <c r="JS162" s="922"/>
      <c r="JT162" s="922"/>
      <c r="JU162" s="922"/>
      <c r="JV162" s="922"/>
      <c r="JW162" s="922"/>
      <c r="JX162" s="922"/>
      <c r="JY162" s="922"/>
      <c r="JZ162" s="922"/>
      <c r="KA162" s="922"/>
      <c r="KB162" s="922"/>
      <c r="KC162" s="922"/>
      <c r="KD162" s="922"/>
      <c r="KE162" s="922"/>
      <c r="KF162" s="922"/>
      <c r="KG162" s="922"/>
      <c r="KH162" s="922"/>
      <c r="KI162" s="922"/>
      <c r="KJ162" s="922"/>
      <c r="KK162" s="922"/>
      <c r="KL162" s="922"/>
      <c r="KM162" s="922"/>
      <c r="KN162" s="922"/>
      <c r="KO162" s="922"/>
      <c r="KP162" s="922"/>
      <c r="KQ162" s="922"/>
      <c r="KR162" s="922"/>
      <c r="KS162" s="922"/>
      <c r="KT162" s="922"/>
      <c r="KU162" s="922"/>
      <c r="KV162" s="922"/>
      <c r="KW162" s="922"/>
      <c r="KX162" s="922"/>
      <c r="KY162" s="922"/>
      <c r="KZ162" s="922"/>
      <c r="LA162" s="922"/>
      <c r="LB162" s="922"/>
      <c r="LC162" s="922"/>
      <c r="LD162" s="922"/>
      <c r="LE162" s="922"/>
      <c r="LF162" s="922"/>
      <c r="LG162" s="922"/>
      <c r="LH162" s="922"/>
      <c r="LI162" s="922"/>
      <c r="LJ162" s="922"/>
      <c r="LK162" s="922"/>
      <c r="LL162" s="922"/>
      <c r="LM162" s="922"/>
      <c r="LN162" s="922"/>
      <c r="LO162" s="922"/>
      <c r="LP162" s="922"/>
      <c r="LQ162" s="922"/>
      <c r="LR162" s="922"/>
      <c r="LS162" s="922"/>
      <c r="LT162" s="922"/>
      <c r="LU162" s="922"/>
      <c r="LV162" s="922"/>
      <c r="LW162" s="922"/>
      <c r="LX162" s="922"/>
      <c r="LY162" s="922"/>
      <c r="LZ162" s="922"/>
      <c r="MA162" s="922"/>
      <c r="MB162" s="922"/>
      <c r="MC162" s="922"/>
      <c r="MD162" s="922"/>
      <c r="ME162" s="922"/>
      <c r="MF162" s="922"/>
      <c r="MG162" s="922"/>
      <c r="MH162" s="922"/>
      <c r="MI162" s="922"/>
      <c r="MJ162" s="922"/>
      <c r="MK162" s="922"/>
      <c r="ML162" s="922"/>
      <c r="MM162" s="922"/>
      <c r="MN162" s="922"/>
      <c r="MO162" s="922"/>
      <c r="MP162" s="922"/>
      <c r="MQ162" s="922"/>
      <c r="MR162" s="922"/>
      <c r="MS162" s="922"/>
      <c r="MT162" s="922"/>
      <c r="MU162" s="922"/>
      <c r="MV162" s="922"/>
      <c r="MW162" s="922"/>
      <c r="MX162" s="922"/>
      <c r="MY162" s="922"/>
      <c r="MZ162" s="922"/>
      <c r="NA162" s="922"/>
      <c r="NB162" s="922"/>
      <c r="NC162" s="922"/>
      <c r="ND162" s="922"/>
      <c r="NE162" s="922"/>
      <c r="NF162" s="922"/>
      <c r="NG162" s="922"/>
      <c r="NH162" s="922"/>
      <c r="NI162" s="922"/>
      <c r="NJ162" s="922"/>
      <c r="NK162" s="922"/>
      <c r="NL162" s="922"/>
      <c r="NM162" s="922"/>
      <c r="NN162" s="922"/>
      <c r="NO162" s="922"/>
      <c r="NP162" s="922"/>
      <c r="NQ162" s="922"/>
      <c r="NR162" s="922"/>
      <c r="NS162" s="922"/>
      <c r="NT162" s="922"/>
      <c r="NU162" s="922"/>
      <c r="NV162" s="922"/>
      <c r="NW162" s="922"/>
      <c r="NX162" s="922"/>
      <c r="NY162" s="922"/>
      <c r="NZ162" s="922"/>
      <c r="OA162" s="922"/>
      <c r="OB162" s="922"/>
      <c r="OC162" s="922"/>
      <c r="OD162" s="922"/>
      <c r="OE162" s="922"/>
      <c r="OF162" s="922"/>
      <c r="OG162" s="922"/>
      <c r="OH162" s="922"/>
      <c r="OI162" s="922"/>
      <c r="OJ162" s="922"/>
      <c r="OK162" s="922"/>
      <c r="OL162" s="922"/>
      <c r="OM162" s="922"/>
      <c r="ON162" s="922"/>
      <c r="OO162" s="922"/>
      <c r="OP162" s="922"/>
      <c r="OQ162" s="922"/>
      <c r="OR162" s="922"/>
      <c r="OS162" s="922"/>
      <c r="OT162" s="922"/>
      <c r="OU162" s="922"/>
      <c r="OV162" s="922"/>
      <c r="OW162" s="922"/>
      <c r="OX162" s="922"/>
      <c r="OY162" s="922"/>
      <c r="OZ162" s="922"/>
      <c r="PA162" s="922"/>
      <c r="PB162" s="922"/>
      <c r="PC162" s="922"/>
      <c r="PD162" s="922"/>
      <c r="PE162" s="922"/>
      <c r="PF162" s="922"/>
      <c r="PG162" s="922"/>
      <c r="PH162" s="922"/>
      <c r="PI162" s="922"/>
      <c r="PJ162" s="922"/>
      <c r="PK162" s="922"/>
      <c r="PL162" s="922"/>
      <c r="PM162" s="922"/>
      <c r="PN162" s="922"/>
      <c r="PO162" s="922"/>
      <c r="PP162" s="922"/>
      <c r="PQ162" s="922"/>
      <c r="PR162" s="922"/>
      <c r="PS162" s="922"/>
      <c r="PT162" s="922"/>
      <c r="PU162" s="922"/>
      <c r="PV162" s="922"/>
      <c r="PW162" s="922"/>
      <c r="PX162" s="922"/>
      <c r="PY162" s="922"/>
      <c r="PZ162" s="922"/>
      <c r="QA162" s="922"/>
      <c r="QB162" s="922"/>
      <c r="QC162" s="922"/>
      <c r="QD162" s="922"/>
      <c r="QE162" s="922"/>
      <c r="QF162" s="922"/>
      <c r="QG162" s="922"/>
      <c r="QH162" s="922"/>
      <c r="QI162" s="922"/>
      <c r="QJ162" s="922"/>
      <c r="QK162" s="922"/>
      <c r="QL162" s="922"/>
      <c r="QM162" s="922"/>
      <c r="QN162" s="922"/>
      <c r="QO162" s="922"/>
      <c r="QP162" s="922"/>
      <c r="QQ162" s="922"/>
      <c r="QR162" s="922"/>
      <c r="QS162" s="922"/>
      <c r="QT162" s="922"/>
      <c r="QU162" s="922"/>
      <c r="QV162" s="922"/>
      <c r="QW162" s="922"/>
      <c r="QX162" s="922"/>
      <c r="QY162" s="922"/>
      <c r="QZ162" s="922"/>
      <c r="RA162" s="922"/>
      <c r="RB162" s="922"/>
      <c r="RC162" s="922"/>
      <c r="RD162" s="922"/>
      <c r="RE162" s="922"/>
      <c r="RF162" s="922"/>
      <c r="RG162" s="922"/>
      <c r="RH162" s="922"/>
      <c r="RI162" s="922"/>
      <c r="RJ162" s="922"/>
      <c r="RK162" s="922"/>
      <c r="RL162" s="922"/>
      <c r="RM162" s="922"/>
      <c r="RN162" s="922"/>
      <c r="RO162" s="922"/>
      <c r="RP162" s="922"/>
      <c r="RQ162" s="922"/>
      <c r="RR162" s="922"/>
      <c r="RS162" s="922"/>
      <c r="RT162" s="922"/>
      <c r="RU162" s="922"/>
      <c r="RV162" s="922"/>
      <c r="RW162" s="922"/>
      <c r="RX162" s="922"/>
      <c r="RY162" s="922"/>
      <c r="RZ162" s="922"/>
      <c r="SA162" s="922"/>
      <c r="SB162" s="922"/>
      <c r="SC162" s="922"/>
      <c r="SD162" s="922"/>
      <c r="SE162" s="922"/>
      <c r="SF162" s="922"/>
      <c r="SG162" s="922"/>
      <c r="SH162" s="922"/>
      <c r="SI162" s="922"/>
      <c r="SJ162" s="922"/>
      <c r="SK162" s="922"/>
      <c r="SL162" s="922"/>
      <c r="SM162" s="922"/>
      <c r="SN162" s="922"/>
      <c r="SO162" s="922"/>
      <c r="SP162" s="922"/>
      <c r="SQ162" s="922"/>
      <c r="SR162" s="922"/>
      <c r="SS162" s="922"/>
      <c r="ST162" s="922"/>
      <c r="SU162" s="922"/>
      <c r="SV162" s="922"/>
      <c r="SW162" s="922"/>
      <c r="SX162" s="922"/>
      <c r="SY162" s="922"/>
      <c r="SZ162" s="922"/>
      <c r="TA162" s="922"/>
      <c r="TB162" s="922"/>
      <c r="TC162" s="922"/>
      <c r="TD162" s="922"/>
      <c r="TE162" s="922"/>
      <c r="TF162" s="922"/>
      <c r="TG162" s="922"/>
      <c r="TH162" s="922"/>
      <c r="TI162" s="922"/>
      <c r="TJ162" s="922"/>
      <c r="TK162" s="922"/>
      <c r="TL162" s="922"/>
      <c r="TM162" s="922"/>
      <c r="TN162" s="922"/>
      <c r="TO162" s="922"/>
      <c r="TP162" s="922"/>
      <c r="TQ162" s="922"/>
      <c r="TR162" s="922"/>
      <c r="TS162" s="922"/>
      <c r="TT162" s="922"/>
      <c r="TU162" s="922"/>
      <c r="TV162" s="922"/>
      <c r="TW162" s="922"/>
      <c r="TX162" s="922"/>
      <c r="TY162" s="922"/>
      <c r="TZ162" s="922"/>
      <c r="UA162" s="922"/>
      <c r="UB162" s="922"/>
      <c r="UC162" s="922"/>
      <c r="UD162" s="922"/>
      <c r="UE162" s="922"/>
      <c r="UF162" s="922"/>
      <c r="UG162" s="922"/>
      <c r="UH162" s="922"/>
      <c r="UI162" s="922"/>
      <c r="UJ162" s="922"/>
      <c r="UK162" s="922"/>
      <c r="UL162" s="922"/>
      <c r="UM162" s="922"/>
      <c r="UN162" s="922"/>
      <c r="UO162" s="922"/>
      <c r="UP162" s="922"/>
      <c r="UQ162" s="922"/>
      <c r="UR162" s="922"/>
      <c r="US162" s="922"/>
      <c r="UT162" s="922"/>
      <c r="UU162" s="922"/>
      <c r="UV162" s="922"/>
      <c r="UW162" s="922"/>
      <c r="UX162" s="922"/>
      <c r="UY162" s="922"/>
      <c r="UZ162" s="922"/>
      <c r="VA162" s="922"/>
      <c r="VB162" s="922"/>
      <c r="VC162" s="922"/>
      <c r="VD162" s="922"/>
      <c r="VE162" s="922"/>
      <c r="VF162" s="922"/>
      <c r="VG162" s="922"/>
      <c r="VH162" s="922"/>
      <c r="VI162" s="922"/>
      <c r="VJ162" s="922"/>
      <c r="VK162" s="922"/>
      <c r="VL162" s="922"/>
      <c r="VM162" s="922"/>
      <c r="VN162" s="922"/>
      <c r="VO162" s="922"/>
      <c r="VP162" s="922"/>
      <c r="VQ162" s="922"/>
      <c r="VR162" s="922"/>
      <c r="VS162" s="922"/>
      <c r="VT162" s="922"/>
      <c r="VU162" s="922"/>
      <c r="VV162" s="922"/>
      <c r="VW162" s="922"/>
      <c r="VX162" s="922"/>
      <c r="VY162" s="922"/>
      <c r="VZ162" s="922"/>
      <c r="WA162" s="922"/>
      <c r="WB162" s="922"/>
      <c r="WC162" s="922"/>
      <c r="WD162" s="922"/>
      <c r="WE162" s="922"/>
      <c r="WF162" s="922"/>
      <c r="WG162" s="922"/>
      <c r="WH162" s="922"/>
      <c r="WI162" s="922"/>
      <c r="WJ162" s="922"/>
      <c r="WK162" s="922"/>
      <c r="WL162" s="922"/>
      <c r="WM162" s="922"/>
      <c r="WN162" s="922"/>
      <c r="WO162" s="922"/>
      <c r="WP162" s="922"/>
      <c r="WQ162" s="922"/>
      <c r="WR162" s="922"/>
      <c r="WS162" s="922"/>
      <c r="WT162" s="922"/>
      <c r="WU162" s="922"/>
      <c r="WV162" s="922"/>
      <c r="WW162" s="922"/>
      <c r="WX162" s="922"/>
      <c r="WY162" s="922"/>
      <c r="WZ162" s="922"/>
      <c r="XA162" s="922"/>
      <c r="XB162" s="922"/>
      <c r="XC162" s="922"/>
      <c r="XD162" s="922"/>
      <c r="XE162" s="922"/>
      <c r="XF162" s="922"/>
      <c r="XG162" s="922"/>
      <c r="XH162" s="922"/>
      <c r="XI162" s="922"/>
      <c r="XJ162" s="922"/>
      <c r="XK162" s="922"/>
      <c r="XL162" s="922"/>
      <c r="XM162" s="922"/>
      <c r="XN162" s="922"/>
      <c r="XO162" s="922"/>
      <c r="XP162" s="922"/>
      <c r="XQ162" s="922"/>
      <c r="XR162" s="922"/>
      <c r="XS162" s="922"/>
      <c r="XT162" s="922"/>
      <c r="XU162" s="922"/>
      <c r="XV162" s="922"/>
      <c r="XW162" s="922"/>
      <c r="XX162" s="922"/>
      <c r="XY162" s="922"/>
      <c r="XZ162" s="922"/>
      <c r="YA162" s="922"/>
      <c r="YB162" s="922"/>
      <c r="YC162" s="922"/>
      <c r="YD162" s="922"/>
      <c r="YE162" s="922"/>
      <c r="YF162" s="922"/>
      <c r="YG162" s="922"/>
      <c r="YH162" s="922"/>
      <c r="YI162" s="922"/>
      <c r="YJ162" s="922"/>
      <c r="YK162" s="922"/>
      <c r="YL162" s="922"/>
      <c r="YM162" s="922"/>
      <c r="YN162" s="922"/>
      <c r="YO162" s="922"/>
      <c r="YP162" s="922"/>
      <c r="YQ162" s="922"/>
      <c r="YR162" s="922"/>
      <c r="YS162" s="922"/>
      <c r="YT162" s="922"/>
      <c r="YU162" s="922"/>
      <c r="YV162" s="922"/>
      <c r="YW162" s="922"/>
      <c r="YX162" s="922"/>
      <c r="YY162" s="922"/>
      <c r="YZ162" s="922"/>
      <c r="ZA162" s="922"/>
      <c r="ZB162" s="922"/>
      <c r="ZC162" s="922"/>
      <c r="ZD162" s="922"/>
      <c r="ZE162" s="922"/>
      <c r="ZF162" s="922"/>
      <c r="ZG162" s="922"/>
      <c r="ZH162" s="922"/>
      <c r="ZI162" s="922"/>
      <c r="ZJ162" s="922"/>
      <c r="ZK162" s="922"/>
      <c r="ZL162" s="922"/>
      <c r="ZM162" s="922"/>
      <c r="ZN162" s="922"/>
      <c r="ZO162" s="922"/>
      <c r="ZP162" s="922"/>
      <c r="ZQ162" s="922"/>
      <c r="ZR162" s="922"/>
      <c r="ZS162" s="922"/>
      <c r="ZT162" s="922"/>
      <c r="ZU162" s="922"/>
      <c r="ZV162" s="922"/>
      <c r="ZW162" s="922"/>
      <c r="ZX162" s="922"/>
      <c r="ZY162" s="922"/>
      <c r="ZZ162" s="922"/>
      <c r="AAA162" s="922"/>
      <c r="AAB162" s="922"/>
      <c r="AAC162" s="922"/>
      <c r="AAD162" s="922"/>
      <c r="AAE162" s="922"/>
      <c r="AAF162" s="922"/>
      <c r="AAG162" s="922"/>
      <c r="AAH162" s="922"/>
      <c r="AAI162" s="922"/>
      <c r="AAJ162" s="922"/>
      <c r="AAK162" s="922"/>
      <c r="AAL162" s="922"/>
      <c r="AAM162" s="922"/>
      <c r="AAN162" s="922"/>
      <c r="AAO162" s="922"/>
      <c r="AAP162" s="922"/>
      <c r="AAQ162" s="922"/>
      <c r="AAR162" s="922"/>
      <c r="AAS162" s="922"/>
      <c r="AAT162" s="922"/>
      <c r="AAU162" s="922"/>
      <c r="AAV162" s="922"/>
      <c r="AAW162" s="922"/>
      <c r="AAX162" s="922"/>
      <c r="AAY162" s="922"/>
      <c r="AAZ162" s="922"/>
      <c r="ABA162" s="922"/>
      <c r="ABB162" s="922"/>
      <c r="ABC162" s="922"/>
      <c r="ABD162" s="922"/>
      <c r="ABE162" s="922"/>
      <c r="ABF162" s="922"/>
      <c r="ABG162" s="922"/>
      <c r="ABH162" s="922"/>
      <c r="ABI162" s="922"/>
      <c r="ABJ162" s="922"/>
      <c r="ABK162" s="922"/>
      <c r="ABL162" s="922"/>
      <c r="ABM162" s="922"/>
      <c r="ABN162" s="922"/>
      <c r="ABO162" s="922"/>
      <c r="ABP162" s="922"/>
      <c r="ABQ162" s="922"/>
      <c r="ABR162" s="922"/>
      <c r="ABS162" s="922"/>
      <c r="ABT162" s="922"/>
      <c r="ABU162" s="922"/>
      <c r="ABV162" s="922"/>
      <c r="ABW162" s="922"/>
      <c r="ABX162" s="922"/>
      <c r="ABY162" s="922"/>
      <c r="ABZ162" s="922"/>
      <c r="ACA162" s="922"/>
      <c r="ACB162" s="922"/>
      <c r="ACC162" s="922"/>
      <c r="ACD162" s="922"/>
      <c r="ACE162" s="922"/>
      <c r="ACF162" s="922"/>
      <c r="ACG162" s="922"/>
      <c r="ACH162" s="922"/>
      <c r="ACI162" s="922"/>
      <c r="ACJ162" s="922"/>
      <c r="ACK162" s="922"/>
      <c r="ACL162" s="922"/>
      <c r="ACM162" s="922"/>
      <c r="ACN162" s="922"/>
      <c r="ACO162" s="922"/>
      <c r="ACP162" s="922"/>
      <c r="ACQ162" s="922"/>
      <c r="ACR162" s="922"/>
      <c r="ACS162" s="922"/>
      <c r="ACT162" s="922"/>
      <c r="ACU162" s="922"/>
      <c r="ACV162" s="922"/>
      <c r="ACW162" s="922"/>
      <c r="ACX162" s="922"/>
      <c r="ACY162" s="922"/>
      <c r="ACZ162" s="922"/>
      <c r="ADA162" s="922"/>
      <c r="ADB162" s="922"/>
      <c r="ADC162" s="922"/>
      <c r="ADD162" s="922"/>
      <c r="ADE162" s="922"/>
      <c r="ADF162" s="922"/>
      <c r="ADG162" s="922"/>
      <c r="ADH162" s="922"/>
      <c r="ADI162" s="922"/>
      <c r="ADJ162" s="922"/>
      <c r="ADK162" s="922"/>
      <c r="ADL162" s="922"/>
      <c r="ADM162" s="922"/>
      <c r="ADN162" s="922"/>
      <c r="ADO162" s="922"/>
      <c r="ADP162" s="922"/>
      <c r="ADQ162" s="922"/>
      <c r="ADR162" s="922"/>
      <c r="ADS162" s="922"/>
      <c r="ADT162" s="922"/>
      <c r="ADU162" s="922"/>
      <c r="ADV162" s="922"/>
      <c r="ADW162" s="922"/>
      <c r="ADX162" s="922"/>
      <c r="ADY162" s="922"/>
      <c r="ADZ162" s="922"/>
      <c r="AEA162" s="922"/>
      <c r="AEB162" s="922"/>
      <c r="AEC162" s="922"/>
      <c r="AED162" s="922"/>
      <c r="AEE162" s="922"/>
      <c r="AEF162" s="922"/>
      <c r="AEG162" s="922"/>
      <c r="AEH162" s="922"/>
      <c r="AEI162" s="922"/>
      <c r="AEJ162" s="922"/>
      <c r="AEK162" s="922"/>
      <c r="AEL162" s="922"/>
      <c r="AEM162" s="922"/>
      <c r="AEN162" s="922"/>
      <c r="AEO162" s="922"/>
      <c r="AEP162" s="922"/>
      <c r="AEQ162" s="922"/>
      <c r="AER162" s="922"/>
      <c r="AES162" s="922"/>
      <c r="AET162" s="922"/>
      <c r="AEU162" s="922"/>
      <c r="AEV162" s="922"/>
      <c r="AEW162" s="922"/>
      <c r="AEX162" s="922"/>
      <c r="AEY162" s="922"/>
      <c r="AEZ162" s="922"/>
      <c r="AFA162" s="922"/>
      <c r="AFB162" s="922"/>
      <c r="AFC162" s="922"/>
      <c r="AFD162" s="922"/>
      <c r="AFE162" s="922"/>
      <c r="AFF162" s="922"/>
      <c r="AFG162" s="922"/>
      <c r="AFH162" s="922"/>
      <c r="AFI162" s="922"/>
      <c r="AFJ162" s="922"/>
      <c r="AFK162" s="922"/>
      <c r="AFL162" s="922"/>
      <c r="AFM162" s="922"/>
      <c r="AFN162" s="922"/>
      <c r="AFO162" s="922"/>
      <c r="AFP162" s="922"/>
      <c r="AFQ162" s="922"/>
      <c r="AFR162" s="922"/>
      <c r="AFS162" s="922"/>
      <c r="AFT162" s="922"/>
      <c r="AFU162" s="922"/>
      <c r="AFV162" s="922"/>
      <c r="AFW162" s="922"/>
      <c r="AFX162" s="922"/>
      <c r="AFY162" s="922"/>
      <c r="AFZ162" s="922"/>
      <c r="AGA162" s="922"/>
      <c r="AGB162" s="922"/>
      <c r="AGC162" s="922"/>
      <c r="AGD162" s="922"/>
      <c r="AGE162" s="922"/>
      <c r="AGF162" s="922"/>
      <c r="AGG162" s="922"/>
      <c r="AGH162" s="922"/>
      <c r="AGI162" s="922"/>
      <c r="AGJ162" s="922"/>
      <c r="AGK162" s="922"/>
      <c r="AGL162" s="922"/>
      <c r="AGM162" s="922"/>
      <c r="AGN162" s="922"/>
      <c r="AGO162" s="922"/>
      <c r="AGP162" s="922"/>
      <c r="AGQ162" s="922"/>
      <c r="AGR162" s="922"/>
      <c r="AGS162" s="922"/>
      <c r="AGT162" s="922"/>
      <c r="AGU162" s="922"/>
      <c r="AGV162" s="922"/>
      <c r="AGW162" s="922"/>
      <c r="AGX162" s="922"/>
      <c r="AGY162" s="922"/>
      <c r="AGZ162" s="922"/>
      <c r="AHA162" s="922"/>
      <c r="AHB162" s="922"/>
      <c r="AHC162" s="922"/>
      <c r="AHD162" s="922"/>
      <c r="AHE162" s="922"/>
      <c r="AHF162" s="922"/>
      <c r="AHG162" s="922"/>
      <c r="AHH162" s="922"/>
      <c r="AHI162" s="922"/>
      <c r="AHJ162" s="922"/>
      <c r="AHK162" s="922"/>
      <c r="AHL162" s="922"/>
      <c r="AHM162" s="922"/>
      <c r="AHN162" s="922"/>
      <c r="AHO162" s="922"/>
      <c r="AHP162" s="922"/>
      <c r="AHQ162" s="922"/>
      <c r="AHR162" s="922"/>
      <c r="AHS162" s="922"/>
      <c r="AHT162" s="922"/>
      <c r="AHU162" s="922"/>
      <c r="AHV162" s="922"/>
      <c r="AHW162" s="922"/>
      <c r="AHX162" s="922"/>
      <c r="AHY162" s="922"/>
      <c r="AHZ162" s="922"/>
      <c r="AIA162" s="922"/>
      <c r="AIB162" s="922"/>
      <c r="AIC162" s="922"/>
      <c r="AID162" s="922"/>
      <c r="AIE162" s="922"/>
      <c r="AIF162" s="922"/>
      <c r="AIG162" s="922"/>
      <c r="AIH162" s="922"/>
      <c r="AII162" s="922"/>
      <c r="AIJ162" s="922"/>
      <c r="AIK162" s="922"/>
      <c r="AIL162" s="922"/>
      <c r="AIM162" s="922"/>
      <c r="AIN162" s="922"/>
      <c r="AIO162" s="922"/>
      <c r="AIP162" s="922"/>
      <c r="AIQ162" s="922"/>
      <c r="AIR162" s="922"/>
      <c r="AIS162" s="922"/>
      <c r="AIT162" s="922"/>
      <c r="AIU162" s="922"/>
      <c r="AIV162" s="922"/>
      <c r="AIW162" s="922"/>
      <c r="AIX162" s="922"/>
      <c r="AIY162" s="922"/>
      <c r="AIZ162" s="922"/>
      <c r="AJA162" s="922"/>
      <c r="AJB162" s="922"/>
      <c r="AJC162" s="922"/>
      <c r="AJD162" s="922"/>
      <c r="AJE162" s="922"/>
      <c r="AJF162" s="922"/>
      <c r="AJG162" s="922"/>
      <c r="AJH162" s="922"/>
      <c r="AJI162" s="922"/>
      <c r="AJJ162" s="922"/>
      <c r="AJK162" s="922"/>
      <c r="AJL162" s="922"/>
      <c r="AJM162" s="922"/>
      <c r="AJN162" s="922"/>
      <c r="AJO162" s="922"/>
      <c r="AJP162" s="922"/>
      <c r="AJQ162" s="922"/>
      <c r="AJR162" s="922"/>
      <c r="AJS162" s="922"/>
      <c r="AJT162" s="922"/>
      <c r="AJU162" s="922"/>
      <c r="AJV162" s="922"/>
      <c r="AJW162" s="922"/>
      <c r="AJX162" s="922"/>
      <c r="AJY162" s="922"/>
      <c r="AJZ162" s="922"/>
      <c r="AKA162" s="922"/>
      <c r="AKB162" s="922"/>
      <c r="AKC162" s="922"/>
      <c r="AKD162" s="922"/>
      <c r="AKE162" s="922"/>
      <c r="AKF162" s="922"/>
      <c r="AKG162" s="922"/>
      <c r="AKH162" s="922"/>
      <c r="AKI162" s="922"/>
      <c r="AKJ162" s="922"/>
      <c r="AKK162" s="922"/>
      <c r="AKL162" s="922"/>
      <c r="AKM162" s="922"/>
      <c r="AKN162" s="922"/>
      <c r="AKO162" s="922"/>
      <c r="AKP162" s="922"/>
      <c r="AKQ162" s="922"/>
      <c r="AKR162" s="922"/>
      <c r="AKS162" s="922"/>
      <c r="AKT162" s="922"/>
      <c r="AKU162" s="922"/>
      <c r="AKV162" s="922"/>
      <c r="AKW162" s="922"/>
      <c r="AKX162" s="922"/>
      <c r="AKY162" s="922"/>
      <c r="AKZ162" s="922"/>
      <c r="ALA162" s="922"/>
      <c r="ALB162" s="922"/>
      <c r="ALC162" s="922"/>
      <c r="ALD162" s="922"/>
      <c r="ALE162" s="922"/>
      <c r="ALF162" s="922"/>
      <c r="ALG162" s="922"/>
      <c r="ALH162" s="922"/>
      <c r="ALI162" s="922"/>
      <c r="ALJ162" s="922"/>
      <c r="ALK162" s="922"/>
      <c r="ALL162" s="922"/>
      <c r="ALM162" s="922"/>
      <c r="ALN162" s="922"/>
      <c r="ALO162" s="922"/>
      <c r="ALP162" s="922"/>
      <c r="ALQ162" s="922"/>
      <c r="ALR162" s="922"/>
      <c r="ALS162" s="922"/>
      <c r="ALT162" s="922"/>
      <c r="ALU162" s="922"/>
      <c r="ALV162" s="922"/>
      <c r="ALW162" s="922"/>
      <c r="ALX162" s="922"/>
      <c r="ALY162" s="922"/>
      <c r="ALZ162" s="922"/>
      <c r="AMA162" s="922"/>
      <c r="AMB162" s="922"/>
      <c r="AMC162" s="922"/>
      <c r="AMD162" s="922"/>
      <c r="AME162" s="922"/>
      <c r="AMF162" s="922"/>
      <c r="AMG162" s="922"/>
      <c r="AMH162" s="922"/>
      <c r="AMI162" s="922"/>
      <c r="AMJ162" s="922"/>
      <c r="AMK162" s="922"/>
      <c r="AML162" s="922"/>
      <c r="AMM162" s="922"/>
      <c r="AMN162" s="922"/>
      <c r="AMO162" s="922"/>
      <c r="AMP162" s="922"/>
      <c r="AMQ162" s="922"/>
      <c r="AMR162" s="922"/>
      <c r="AMS162" s="922"/>
      <c r="AMT162" s="922"/>
      <c r="AMU162" s="922"/>
      <c r="AMV162" s="922"/>
      <c r="AMW162" s="922"/>
      <c r="AMX162" s="922"/>
      <c r="AMY162" s="922"/>
      <c r="AMZ162" s="922"/>
      <c r="ANA162" s="922"/>
      <c r="ANB162" s="922"/>
      <c r="ANC162" s="922"/>
      <c r="AND162" s="922"/>
      <c r="ANE162" s="922"/>
      <c r="ANF162" s="922"/>
      <c r="ANG162" s="922"/>
      <c r="ANH162" s="922"/>
      <c r="ANI162" s="922"/>
      <c r="ANJ162" s="922"/>
      <c r="ANK162" s="922"/>
      <c r="ANL162" s="922"/>
      <c r="ANM162" s="922"/>
      <c r="ANN162" s="922"/>
      <c r="ANO162" s="922"/>
      <c r="ANP162" s="922"/>
      <c r="ANQ162" s="922"/>
      <c r="ANR162" s="922"/>
      <c r="ANS162" s="922"/>
      <c r="ANT162" s="922"/>
      <c r="ANU162" s="922"/>
      <c r="ANV162" s="922"/>
      <c r="ANW162" s="922"/>
      <c r="ANX162" s="922"/>
      <c r="ANY162" s="922"/>
      <c r="ANZ162" s="922"/>
      <c r="AOA162" s="922"/>
      <c r="AOB162" s="922"/>
      <c r="AOC162" s="922"/>
      <c r="AOD162" s="922"/>
      <c r="AOE162" s="922"/>
      <c r="AOF162" s="922"/>
      <c r="AOG162" s="922"/>
      <c r="AOH162" s="922"/>
      <c r="AOI162" s="922"/>
      <c r="AOJ162" s="922"/>
      <c r="AOK162" s="922"/>
      <c r="AOL162" s="922"/>
      <c r="AOM162" s="922"/>
      <c r="AON162" s="922"/>
      <c r="AOO162" s="922"/>
      <c r="AOP162" s="922"/>
      <c r="AOQ162" s="922"/>
      <c r="AOR162" s="922"/>
      <c r="AOS162" s="922"/>
      <c r="AOT162" s="922"/>
      <c r="AOU162" s="922"/>
      <c r="AOV162" s="922"/>
      <c r="AOW162" s="922"/>
      <c r="AOX162" s="922"/>
      <c r="AOY162" s="922"/>
      <c r="AOZ162" s="922"/>
      <c r="APA162" s="922"/>
      <c r="APB162" s="922"/>
      <c r="APC162" s="922"/>
      <c r="APD162" s="922"/>
      <c r="APE162" s="922"/>
      <c r="APF162" s="922"/>
      <c r="APG162" s="922"/>
      <c r="APH162" s="922"/>
      <c r="API162" s="922"/>
      <c r="APJ162" s="922"/>
      <c r="APK162" s="922"/>
      <c r="APL162" s="922"/>
      <c r="APM162" s="922"/>
      <c r="APN162" s="922"/>
      <c r="APO162" s="922"/>
      <c r="APP162" s="922"/>
      <c r="APQ162" s="922"/>
      <c r="APR162" s="922"/>
      <c r="APS162" s="922"/>
      <c r="APT162" s="922"/>
      <c r="APU162" s="922"/>
      <c r="APV162" s="922"/>
      <c r="APW162" s="922"/>
      <c r="APX162" s="922"/>
      <c r="APY162" s="922"/>
      <c r="APZ162" s="922"/>
      <c r="AQA162" s="922"/>
      <c r="AQB162" s="922"/>
      <c r="AQC162" s="922"/>
      <c r="AQD162" s="922"/>
      <c r="AQE162" s="922"/>
      <c r="AQF162" s="922"/>
      <c r="AQG162" s="922"/>
      <c r="AQH162" s="922"/>
      <c r="AQI162" s="922"/>
      <c r="AQJ162" s="922"/>
      <c r="AQK162" s="922"/>
      <c r="AQL162" s="922"/>
      <c r="AQM162" s="922"/>
      <c r="AQN162" s="922"/>
      <c r="AQO162" s="922"/>
      <c r="AQP162" s="922"/>
      <c r="AQQ162" s="922"/>
      <c r="AQR162" s="922"/>
      <c r="AQS162" s="922"/>
      <c r="AQT162" s="922"/>
      <c r="AQU162" s="922"/>
      <c r="AQV162" s="922"/>
      <c r="AQW162" s="922"/>
      <c r="AQX162" s="922"/>
      <c r="AQY162" s="922"/>
      <c r="AQZ162" s="922"/>
      <c r="ARA162" s="922"/>
      <c r="ARB162" s="922"/>
      <c r="ARC162" s="922"/>
      <c r="ARD162" s="922"/>
      <c r="ARE162" s="922"/>
      <c r="ARF162" s="922"/>
      <c r="ARG162" s="922"/>
      <c r="ARH162" s="922"/>
      <c r="ARI162" s="922"/>
      <c r="ARJ162" s="922"/>
      <c r="ARK162" s="922"/>
      <c r="ARL162" s="922"/>
      <c r="ARM162" s="922"/>
      <c r="ARN162" s="922"/>
      <c r="ARO162" s="922"/>
      <c r="ARP162" s="922"/>
      <c r="ARQ162" s="922"/>
      <c r="ARR162" s="922"/>
      <c r="ARS162" s="922"/>
      <c r="ART162" s="922"/>
      <c r="ARU162" s="922"/>
      <c r="ARV162" s="922"/>
      <c r="ARW162" s="922"/>
      <c r="ARX162" s="922"/>
      <c r="ARY162" s="922"/>
      <c r="ARZ162" s="922"/>
      <c r="ASA162" s="922"/>
      <c r="ASB162" s="922"/>
      <c r="ASC162" s="922"/>
    </row>
    <row r="163" spans="1:1173" hidden="1">
      <c r="A163" s="920"/>
      <c r="T163" s="922"/>
      <c r="AN163" s="922"/>
      <c r="AO163" s="922"/>
      <c r="AP163" s="922"/>
      <c r="AQ163" s="922"/>
      <c r="AR163" s="922"/>
      <c r="AS163" s="922"/>
      <c r="AT163" s="922"/>
      <c r="AU163" s="922"/>
      <c r="AV163" s="922"/>
      <c r="AW163" s="922"/>
      <c r="AX163" s="922"/>
      <c r="AY163" s="922"/>
      <c r="AZ163" s="922"/>
      <c r="BA163" s="922"/>
      <c r="BB163" s="922"/>
      <c r="BC163" s="922"/>
      <c r="BD163" s="922"/>
      <c r="BE163" s="922"/>
      <c r="BF163" s="922"/>
      <c r="BG163" s="922"/>
      <c r="BH163" s="922"/>
      <c r="BI163" s="922"/>
      <c r="BJ163" s="922"/>
      <c r="BK163" s="922"/>
      <c r="BL163" s="922"/>
      <c r="BM163" s="922"/>
      <c r="BN163" s="922"/>
      <c r="BO163" s="922"/>
      <c r="BP163" s="922"/>
      <c r="BQ163" s="922"/>
      <c r="BR163" s="922"/>
      <c r="BS163" s="922"/>
      <c r="BT163" s="922"/>
      <c r="BU163" s="922"/>
      <c r="BV163" s="922"/>
      <c r="BW163" s="922"/>
      <c r="BX163" s="922"/>
      <c r="BY163" s="922"/>
      <c r="BZ163" s="922"/>
      <c r="CA163" s="922"/>
      <c r="CB163" s="922"/>
      <c r="CC163" s="922"/>
      <c r="CD163" s="922"/>
      <c r="CE163" s="922"/>
      <c r="CF163" s="922"/>
      <c r="CG163" s="922"/>
      <c r="CH163" s="922"/>
      <c r="CI163" s="922"/>
      <c r="CJ163" s="922"/>
      <c r="CK163" s="922"/>
      <c r="CL163" s="922"/>
      <c r="CM163" s="922"/>
      <c r="CN163" s="922"/>
      <c r="CO163" s="922"/>
      <c r="CP163" s="922"/>
      <c r="CQ163" s="922"/>
      <c r="CR163" s="922"/>
      <c r="CS163" s="922"/>
      <c r="CT163" s="922"/>
      <c r="CU163" s="922"/>
      <c r="CV163" s="922"/>
      <c r="CW163" s="922"/>
      <c r="CX163" s="922"/>
      <c r="CY163" s="922"/>
      <c r="CZ163" s="922"/>
      <c r="DA163" s="922"/>
      <c r="DB163" s="922"/>
      <c r="DC163" s="922"/>
      <c r="DD163" s="922"/>
      <c r="DE163" s="922"/>
      <c r="DF163" s="922"/>
      <c r="DG163" s="922"/>
      <c r="DH163" s="922"/>
      <c r="DI163" s="922"/>
      <c r="DJ163" s="922"/>
      <c r="DK163" s="922"/>
      <c r="DL163" s="922"/>
      <c r="DM163" s="922"/>
      <c r="DN163" s="922"/>
      <c r="DO163" s="922"/>
      <c r="DP163" s="922"/>
      <c r="DQ163" s="922"/>
      <c r="DR163" s="922"/>
      <c r="DS163" s="922"/>
      <c r="DT163" s="922"/>
      <c r="DU163" s="922"/>
      <c r="DV163" s="922"/>
      <c r="DW163" s="922"/>
      <c r="DX163" s="922"/>
      <c r="DY163" s="922"/>
      <c r="DZ163" s="922"/>
      <c r="EA163" s="922"/>
      <c r="EB163" s="922"/>
      <c r="EC163" s="922"/>
      <c r="ED163" s="922"/>
      <c r="EE163" s="922"/>
      <c r="EF163" s="922"/>
      <c r="EG163" s="922"/>
      <c r="EH163" s="922"/>
      <c r="EI163" s="922"/>
      <c r="EJ163" s="922"/>
      <c r="EK163" s="922"/>
      <c r="EL163" s="922"/>
      <c r="EM163" s="922"/>
      <c r="EN163" s="922"/>
      <c r="EO163" s="922"/>
      <c r="EP163" s="922"/>
      <c r="EQ163" s="922"/>
      <c r="ER163" s="922"/>
      <c r="ES163" s="922"/>
      <c r="ET163" s="922"/>
      <c r="EU163" s="922"/>
      <c r="EV163" s="922"/>
      <c r="EW163" s="922"/>
      <c r="EX163" s="922"/>
      <c r="EY163" s="922"/>
      <c r="EZ163" s="922"/>
      <c r="FA163" s="922"/>
      <c r="FB163" s="922"/>
      <c r="FC163" s="922"/>
      <c r="FD163" s="922"/>
      <c r="FE163" s="922"/>
      <c r="FF163" s="922"/>
      <c r="FG163" s="922"/>
      <c r="FH163" s="922"/>
      <c r="FI163" s="922"/>
      <c r="FJ163" s="922"/>
      <c r="FK163" s="922"/>
      <c r="FL163" s="922"/>
      <c r="FM163" s="922"/>
      <c r="FN163" s="922"/>
      <c r="FO163" s="922"/>
      <c r="FP163" s="922"/>
      <c r="FQ163" s="922"/>
      <c r="FR163" s="922"/>
      <c r="FS163" s="922"/>
      <c r="FT163" s="922"/>
      <c r="FU163" s="922"/>
      <c r="FV163" s="922"/>
      <c r="FW163" s="922"/>
      <c r="FX163" s="922"/>
      <c r="FY163" s="922"/>
      <c r="FZ163" s="922"/>
      <c r="GA163" s="922"/>
      <c r="GB163" s="922"/>
      <c r="GC163" s="922"/>
      <c r="GD163" s="922"/>
      <c r="GE163" s="922"/>
      <c r="GF163" s="922"/>
      <c r="GG163" s="922"/>
      <c r="GH163" s="922"/>
      <c r="GI163" s="922"/>
      <c r="GJ163" s="922"/>
      <c r="GK163" s="922"/>
      <c r="GL163" s="922"/>
      <c r="GM163" s="922"/>
      <c r="GN163" s="922"/>
      <c r="GO163" s="922"/>
      <c r="GP163" s="922"/>
      <c r="GQ163" s="922"/>
      <c r="GR163" s="922"/>
      <c r="GS163" s="922"/>
      <c r="GT163" s="922"/>
      <c r="GU163" s="922"/>
      <c r="GV163" s="922"/>
      <c r="GW163" s="922"/>
      <c r="GX163" s="922"/>
      <c r="GY163" s="922"/>
      <c r="GZ163" s="922"/>
      <c r="HA163" s="922"/>
      <c r="HB163" s="922"/>
      <c r="HC163" s="922"/>
      <c r="HD163" s="922"/>
      <c r="HE163" s="922"/>
      <c r="HF163" s="922"/>
      <c r="HG163" s="922"/>
      <c r="HH163" s="922"/>
      <c r="HI163" s="922"/>
      <c r="HJ163" s="922"/>
      <c r="HK163" s="922"/>
      <c r="HL163" s="922"/>
      <c r="HM163" s="922"/>
      <c r="HN163" s="922"/>
      <c r="HO163" s="922"/>
      <c r="HP163" s="922"/>
      <c r="HQ163" s="922"/>
      <c r="HR163" s="922"/>
      <c r="HS163" s="922"/>
      <c r="HT163" s="922"/>
      <c r="HU163" s="922"/>
      <c r="HV163" s="922"/>
      <c r="HW163" s="922"/>
      <c r="HX163" s="922"/>
      <c r="HY163" s="922"/>
      <c r="HZ163" s="922"/>
      <c r="IA163" s="922"/>
      <c r="IB163" s="922"/>
      <c r="IC163" s="922"/>
      <c r="ID163" s="922"/>
      <c r="IE163" s="922"/>
      <c r="IF163" s="922"/>
      <c r="IG163" s="922"/>
      <c r="IH163" s="922"/>
      <c r="II163" s="922"/>
      <c r="IJ163" s="922"/>
      <c r="IK163" s="922"/>
      <c r="IL163" s="922"/>
      <c r="IM163" s="922"/>
      <c r="IN163" s="922"/>
      <c r="IO163" s="922"/>
      <c r="IP163" s="922"/>
      <c r="IQ163" s="922"/>
      <c r="IR163" s="922"/>
      <c r="IS163" s="922"/>
      <c r="IT163" s="922"/>
      <c r="IU163" s="922"/>
      <c r="IV163" s="922"/>
      <c r="IW163" s="922"/>
      <c r="IX163" s="922"/>
      <c r="IY163" s="922"/>
      <c r="IZ163" s="922"/>
      <c r="JA163" s="922"/>
      <c r="JB163" s="922"/>
      <c r="JC163" s="922"/>
      <c r="JD163" s="922"/>
      <c r="JE163" s="922"/>
      <c r="JF163" s="922"/>
      <c r="JG163" s="922"/>
      <c r="JH163" s="922"/>
      <c r="JI163" s="922"/>
      <c r="JJ163" s="922"/>
      <c r="JK163" s="922"/>
      <c r="JL163" s="922"/>
      <c r="JM163" s="922"/>
      <c r="JN163" s="922"/>
      <c r="JO163" s="922"/>
      <c r="JP163" s="922"/>
      <c r="JQ163" s="922"/>
      <c r="JR163" s="922"/>
      <c r="JS163" s="922"/>
      <c r="JT163" s="922"/>
      <c r="JU163" s="922"/>
      <c r="JV163" s="922"/>
      <c r="JW163" s="922"/>
      <c r="JX163" s="922"/>
      <c r="JY163" s="922"/>
      <c r="JZ163" s="922"/>
      <c r="KA163" s="922"/>
      <c r="KB163" s="922"/>
      <c r="KC163" s="922"/>
      <c r="KD163" s="922"/>
      <c r="KE163" s="922"/>
      <c r="KF163" s="922"/>
      <c r="KG163" s="922"/>
      <c r="KH163" s="922"/>
      <c r="KI163" s="922"/>
      <c r="KJ163" s="922"/>
      <c r="KK163" s="922"/>
      <c r="KL163" s="922"/>
      <c r="KM163" s="922"/>
      <c r="KN163" s="922"/>
      <c r="KO163" s="922"/>
      <c r="KP163" s="922"/>
      <c r="KQ163" s="922"/>
      <c r="KR163" s="922"/>
      <c r="KS163" s="922"/>
      <c r="KT163" s="922"/>
      <c r="KU163" s="922"/>
      <c r="KV163" s="922"/>
      <c r="KW163" s="922"/>
      <c r="KX163" s="922"/>
      <c r="KY163" s="922"/>
      <c r="KZ163" s="922"/>
      <c r="LA163" s="922"/>
      <c r="LB163" s="922"/>
      <c r="LC163" s="922"/>
      <c r="LD163" s="922"/>
      <c r="LE163" s="922"/>
      <c r="LF163" s="922"/>
      <c r="LG163" s="922"/>
      <c r="LH163" s="922"/>
      <c r="LI163" s="922"/>
      <c r="LJ163" s="922"/>
      <c r="LK163" s="922"/>
      <c r="LL163" s="922"/>
      <c r="LM163" s="922"/>
      <c r="LN163" s="922"/>
      <c r="LO163" s="922"/>
      <c r="LP163" s="922"/>
      <c r="LQ163" s="922"/>
      <c r="LR163" s="922"/>
      <c r="LS163" s="922"/>
      <c r="LT163" s="922"/>
      <c r="LU163" s="922"/>
      <c r="LV163" s="922"/>
      <c r="LW163" s="922"/>
      <c r="LX163" s="922"/>
      <c r="LY163" s="922"/>
      <c r="LZ163" s="922"/>
      <c r="MA163" s="922"/>
      <c r="MB163" s="922"/>
      <c r="MC163" s="922"/>
      <c r="MD163" s="922"/>
      <c r="ME163" s="922"/>
      <c r="MF163" s="922"/>
      <c r="MG163" s="922"/>
      <c r="MH163" s="922"/>
      <c r="MI163" s="922"/>
      <c r="MJ163" s="922"/>
      <c r="MK163" s="922"/>
      <c r="ML163" s="922"/>
      <c r="MM163" s="922"/>
      <c r="MN163" s="922"/>
      <c r="MO163" s="922"/>
      <c r="MP163" s="922"/>
      <c r="MQ163" s="922"/>
      <c r="MR163" s="922"/>
      <c r="MS163" s="922"/>
      <c r="MT163" s="922"/>
      <c r="MU163" s="922"/>
      <c r="MV163" s="922"/>
      <c r="MW163" s="922"/>
      <c r="MX163" s="922"/>
      <c r="MY163" s="922"/>
      <c r="MZ163" s="922"/>
      <c r="NA163" s="922"/>
      <c r="NB163" s="922"/>
      <c r="NC163" s="922"/>
      <c r="ND163" s="922"/>
      <c r="NE163" s="922"/>
      <c r="NF163" s="922"/>
      <c r="NG163" s="922"/>
      <c r="NH163" s="922"/>
      <c r="NI163" s="922"/>
      <c r="NJ163" s="922"/>
      <c r="NK163" s="922"/>
      <c r="NL163" s="922"/>
      <c r="NM163" s="922"/>
      <c r="NN163" s="922"/>
      <c r="NO163" s="922"/>
      <c r="NP163" s="922"/>
      <c r="NQ163" s="922"/>
      <c r="NR163" s="922"/>
      <c r="NS163" s="922"/>
      <c r="NT163" s="922"/>
      <c r="NU163" s="922"/>
      <c r="NV163" s="922"/>
      <c r="NW163" s="922"/>
      <c r="NX163" s="922"/>
      <c r="NY163" s="922"/>
      <c r="NZ163" s="922"/>
      <c r="OA163" s="922"/>
      <c r="OB163" s="922"/>
      <c r="OC163" s="922"/>
      <c r="OD163" s="922"/>
      <c r="OE163" s="922"/>
      <c r="OF163" s="922"/>
      <c r="OG163" s="922"/>
      <c r="OH163" s="922"/>
      <c r="OI163" s="922"/>
      <c r="OJ163" s="922"/>
      <c r="OK163" s="922"/>
      <c r="OL163" s="922"/>
      <c r="OM163" s="922"/>
      <c r="ON163" s="922"/>
      <c r="OO163" s="922"/>
      <c r="OP163" s="922"/>
      <c r="OQ163" s="922"/>
      <c r="OR163" s="922"/>
      <c r="OS163" s="922"/>
      <c r="OT163" s="922"/>
      <c r="OU163" s="922"/>
      <c r="OV163" s="922"/>
      <c r="OW163" s="922"/>
      <c r="OX163" s="922"/>
      <c r="OY163" s="922"/>
      <c r="OZ163" s="922"/>
      <c r="PA163" s="922"/>
      <c r="PB163" s="922"/>
      <c r="PC163" s="922"/>
      <c r="PD163" s="922"/>
      <c r="PE163" s="922"/>
      <c r="PF163" s="922"/>
      <c r="PG163" s="922"/>
      <c r="PH163" s="922"/>
      <c r="PI163" s="922"/>
      <c r="PJ163" s="922"/>
      <c r="PK163" s="922"/>
      <c r="PL163" s="922"/>
      <c r="PM163" s="922"/>
      <c r="PN163" s="922"/>
      <c r="PO163" s="922"/>
      <c r="PP163" s="922"/>
      <c r="PQ163" s="922"/>
      <c r="PR163" s="922"/>
      <c r="PS163" s="922"/>
      <c r="PT163" s="922"/>
      <c r="PU163" s="922"/>
      <c r="PV163" s="922"/>
      <c r="PW163" s="922"/>
      <c r="PX163" s="922"/>
      <c r="PY163" s="922"/>
      <c r="PZ163" s="922"/>
      <c r="QA163" s="922"/>
      <c r="QB163" s="922"/>
      <c r="QC163" s="922"/>
      <c r="QD163" s="922"/>
      <c r="QE163" s="922"/>
      <c r="QF163" s="922"/>
      <c r="QG163" s="922"/>
      <c r="QH163" s="922"/>
      <c r="QI163" s="922"/>
      <c r="QJ163" s="922"/>
      <c r="QK163" s="922"/>
      <c r="QL163" s="922"/>
      <c r="QM163" s="922"/>
      <c r="QN163" s="922"/>
      <c r="QO163" s="922"/>
      <c r="QP163" s="922"/>
      <c r="QQ163" s="922"/>
      <c r="QR163" s="922"/>
      <c r="QS163" s="922"/>
      <c r="QT163" s="922"/>
      <c r="QU163" s="922"/>
      <c r="QV163" s="922"/>
      <c r="QW163" s="922"/>
      <c r="QX163" s="922"/>
      <c r="QY163" s="922"/>
      <c r="QZ163" s="922"/>
      <c r="RA163" s="922"/>
      <c r="RB163" s="922"/>
      <c r="RC163" s="922"/>
      <c r="RD163" s="922"/>
      <c r="RE163" s="922"/>
      <c r="RF163" s="922"/>
      <c r="RG163" s="922"/>
      <c r="RH163" s="922"/>
      <c r="RI163" s="922"/>
      <c r="RJ163" s="922"/>
      <c r="RK163" s="922"/>
      <c r="RL163" s="922"/>
      <c r="RM163" s="922"/>
      <c r="RN163" s="922"/>
      <c r="RO163" s="922"/>
      <c r="RP163" s="922"/>
      <c r="RQ163" s="922"/>
      <c r="RR163" s="922"/>
      <c r="RS163" s="922"/>
      <c r="RT163" s="922"/>
      <c r="RU163" s="922"/>
      <c r="RV163" s="922"/>
      <c r="RW163" s="922"/>
      <c r="RX163" s="922"/>
      <c r="RY163" s="922"/>
      <c r="RZ163" s="922"/>
      <c r="SA163" s="922"/>
      <c r="SB163" s="922"/>
      <c r="SC163" s="922"/>
      <c r="SD163" s="922"/>
      <c r="SE163" s="922"/>
      <c r="SF163" s="922"/>
      <c r="SG163" s="922"/>
      <c r="SH163" s="922"/>
      <c r="SI163" s="922"/>
      <c r="SJ163" s="922"/>
      <c r="SK163" s="922"/>
      <c r="SL163" s="922"/>
      <c r="SM163" s="922"/>
      <c r="SN163" s="922"/>
      <c r="SO163" s="922"/>
      <c r="SP163" s="922"/>
      <c r="SQ163" s="922"/>
      <c r="SR163" s="922"/>
      <c r="SS163" s="922"/>
      <c r="ST163" s="922"/>
      <c r="SU163" s="922"/>
      <c r="SV163" s="922"/>
      <c r="SW163" s="922"/>
      <c r="SX163" s="922"/>
      <c r="SY163" s="922"/>
      <c r="SZ163" s="922"/>
      <c r="TA163" s="922"/>
      <c r="TB163" s="922"/>
      <c r="TC163" s="922"/>
      <c r="TD163" s="922"/>
      <c r="TE163" s="922"/>
      <c r="TF163" s="922"/>
      <c r="TG163" s="922"/>
      <c r="TH163" s="922"/>
      <c r="TI163" s="922"/>
      <c r="TJ163" s="922"/>
      <c r="TK163" s="922"/>
      <c r="TL163" s="922"/>
      <c r="TM163" s="922"/>
      <c r="TN163" s="922"/>
      <c r="TO163" s="922"/>
      <c r="TP163" s="922"/>
      <c r="TQ163" s="922"/>
      <c r="TR163" s="922"/>
      <c r="TS163" s="922"/>
      <c r="TT163" s="922"/>
      <c r="TU163" s="922"/>
      <c r="TV163" s="922"/>
      <c r="TW163" s="922"/>
      <c r="TX163" s="922"/>
      <c r="TY163" s="922"/>
      <c r="TZ163" s="922"/>
      <c r="UA163" s="922"/>
      <c r="UB163" s="922"/>
      <c r="UC163" s="922"/>
      <c r="UD163" s="922"/>
      <c r="UE163" s="922"/>
      <c r="UF163" s="922"/>
      <c r="UG163" s="922"/>
      <c r="UH163" s="922"/>
      <c r="UI163" s="922"/>
      <c r="UJ163" s="922"/>
      <c r="UK163" s="922"/>
      <c r="UL163" s="922"/>
      <c r="UM163" s="922"/>
      <c r="UN163" s="922"/>
      <c r="UO163" s="922"/>
      <c r="UP163" s="922"/>
      <c r="UQ163" s="922"/>
      <c r="UR163" s="922"/>
      <c r="US163" s="922"/>
      <c r="UT163" s="922"/>
      <c r="UU163" s="922"/>
      <c r="UV163" s="922"/>
      <c r="UW163" s="922"/>
      <c r="UX163" s="922"/>
      <c r="UY163" s="922"/>
      <c r="UZ163" s="922"/>
      <c r="VA163" s="922"/>
      <c r="VB163" s="922"/>
      <c r="VC163" s="922"/>
      <c r="VD163" s="922"/>
      <c r="VE163" s="922"/>
      <c r="VF163" s="922"/>
      <c r="VG163" s="922"/>
      <c r="VH163" s="922"/>
      <c r="VI163" s="922"/>
      <c r="VJ163" s="922"/>
      <c r="VK163" s="922"/>
      <c r="VL163" s="922"/>
      <c r="VM163" s="922"/>
      <c r="VN163" s="922"/>
      <c r="VO163" s="922"/>
      <c r="VP163" s="922"/>
      <c r="VQ163" s="922"/>
      <c r="VR163" s="922"/>
      <c r="VS163" s="922"/>
      <c r="VT163" s="922"/>
      <c r="VU163" s="922"/>
      <c r="VV163" s="922"/>
      <c r="VW163" s="922"/>
      <c r="VX163" s="922"/>
      <c r="VY163" s="922"/>
      <c r="VZ163" s="922"/>
      <c r="WA163" s="922"/>
      <c r="WB163" s="922"/>
      <c r="WC163" s="922"/>
      <c r="WD163" s="922"/>
      <c r="WE163" s="922"/>
      <c r="WF163" s="922"/>
      <c r="WG163" s="922"/>
      <c r="WH163" s="922"/>
      <c r="WI163" s="922"/>
      <c r="WJ163" s="922"/>
      <c r="WK163" s="922"/>
      <c r="WL163" s="922"/>
      <c r="WM163" s="922"/>
      <c r="WN163" s="922"/>
      <c r="WO163" s="922"/>
      <c r="WP163" s="922"/>
      <c r="WQ163" s="922"/>
      <c r="WR163" s="922"/>
      <c r="WS163" s="922"/>
      <c r="WT163" s="922"/>
      <c r="WU163" s="922"/>
      <c r="WV163" s="922"/>
      <c r="WW163" s="922"/>
      <c r="WX163" s="922"/>
      <c r="WY163" s="922"/>
      <c r="WZ163" s="922"/>
      <c r="XA163" s="922"/>
      <c r="XB163" s="922"/>
      <c r="XC163" s="922"/>
      <c r="XD163" s="922"/>
      <c r="XE163" s="922"/>
      <c r="XF163" s="922"/>
      <c r="XG163" s="922"/>
      <c r="XH163" s="922"/>
      <c r="XI163" s="922"/>
      <c r="XJ163" s="922"/>
      <c r="XK163" s="922"/>
      <c r="XL163" s="922"/>
      <c r="XM163" s="922"/>
      <c r="XN163" s="922"/>
      <c r="XO163" s="922"/>
      <c r="XP163" s="922"/>
      <c r="XQ163" s="922"/>
      <c r="XR163" s="922"/>
      <c r="XS163" s="922"/>
      <c r="XT163" s="922"/>
      <c r="XU163" s="922"/>
      <c r="XV163" s="922"/>
      <c r="XW163" s="922"/>
      <c r="XX163" s="922"/>
      <c r="XY163" s="922"/>
      <c r="XZ163" s="922"/>
      <c r="YA163" s="922"/>
      <c r="YB163" s="922"/>
      <c r="YC163" s="922"/>
      <c r="YD163" s="922"/>
      <c r="YE163" s="922"/>
      <c r="YF163" s="922"/>
      <c r="YG163" s="922"/>
      <c r="YH163" s="922"/>
      <c r="YI163" s="922"/>
      <c r="YJ163" s="922"/>
      <c r="YK163" s="922"/>
      <c r="YL163" s="922"/>
      <c r="YM163" s="922"/>
      <c r="YN163" s="922"/>
      <c r="YO163" s="922"/>
      <c r="YP163" s="922"/>
      <c r="YQ163" s="922"/>
      <c r="YR163" s="922"/>
      <c r="YS163" s="922"/>
      <c r="YT163" s="922"/>
      <c r="YU163" s="922"/>
      <c r="YV163" s="922"/>
      <c r="YW163" s="922"/>
      <c r="YX163" s="922"/>
      <c r="YY163" s="922"/>
      <c r="YZ163" s="922"/>
      <c r="ZA163" s="922"/>
      <c r="ZB163" s="922"/>
      <c r="ZC163" s="922"/>
      <c r="ZD163" s="922"/>
      <c r="ZE163" s="922"/>
      <c r="ZF163" s="922"/>
      <c r="ZG163" s="922"/>
      <c r="ZH163" s="922"/>
      <c r="ZI163" s="922"/>
      <c r="ZJ163" s="922"/>
      <c r="ZK163" s="922"/>
      <c r="ZL163" s="922"/>
      <c r="ZM163" s="922"/>
      <c r="ZN163" s="922"/>
      <c r="ZO163" s="922"/>
      <c r="ZP163" s="922"/>
      <c r="ZQ163" s="922"/>
      <c r="ZR163" s="922"/>
      <c r="ZS163" s="922"/>
      <c r="ZT163" s="922"/>
      <c r="ZU163" s="922"/>
      <c r="ZV163" s="922"/>
      <c r="ZW163" s="922"/>
      <c r="ZX163" s="922"/>
      <c r="ZY163" s="922"/>
      <c r="ZZ163" s="922"/>
      <c r="AAA163" s="922"/>
      <c r="AAB163" s="922"/>
      <c r="AAC163" s="922"/>
      <c r="AAD163" s="922"/>
      <c r="AAE163" s="922"/>
      <c r="AAF163" s="922"/>
      <c r="AAG163" s="922"/>
      <c r="AAH163" s="922"/>
      <c r="AAI163" s="922"/>
      <c r="AAJ163" s="922"/>
      <c r="AAK163" s="922"/>
      <c r="AAL163" s="922"/>
      <c r="AAM163" s="922"/>
      <c r="AAN163" s="922"/>
      <c r="AAO163" s="922"/>
      <c r="AAP163" s="922"/>
      <c r="AAQ163" s="922"/>
      <c r="AAR163" s="922"/>
      <c r="AAS163" s="922"/>
      <c r="AAT163" s="922"/>
      <c r="AAU163" s="922"/>
      <c r="AAV163" s="922"/>
      <c r="AAW163" s="922"/>
      <c r="AAX163" s="922"/>
      <c r="AAY163" s="922"/>
      <c r="AAZ163" s="922"/>
      <c r="ABA163" s="922"/>
      <c r="ABB163" s="922"/>
      <c r="ABC163" s="922"/>
      <c r="ABD163" s="922"/>
      <c r="ABE163" s="922"/>
      <c r="ABF163" s="922"/>
      <c r="ABG163" s="922"/>
      <c r="ABH163" s="922"/>
      <c r="ABI163" s="922"/>
      <c r="ABJ163" s="922"/>
      <c r="ABK163" s="922"/>
      <c r="ABL163" s="922"/>
      <c r="ABM163" s="922"/>
      <c r="ABN163" s="922"/>
      <c r="ABO163" s="922"/>
      <c r="ABP163" s="922"/>
      <c r="ABQ163" s="922"/>
      <c r="ABR163" s="922"/>
      <c r="ABS163" s="922"/>
      <c r="ABT163" s="922"/>
      <c r="ABU163" s="922"/>
      <c r="ABV163" s="922"/>
      <c r="ABW163" s="922"/>
      <c r="ABX163" s="922"/>
      <c r="ABY163" s="922"/>
      <c r="ABZ163" s="922"/>
      <c r="ACA163" s="922"/>
      <c r="ACB163" s="922"/>
      <c r="ACC163" s="922"/>
      <c r="ACD163" s="922"/>
      <c r="ACE163" s="922"/>
      <c r="ACF163" s="922"/>
      <c r="ACG163" s="922"/>
      <c r="ACH163" s="922"/>
      <c r="ACI163" s="922"/>
      <c r="ACJ163" s="922"/>
      <c r="ACK163" s="922"/>
      <c r="ACL163" s="922"/>
      <c r="ACM163" s="922"/>
      <c r="ACN163" s="922"/>
      <c r="ACO163" s="922"/>
      <c r="ACP163" s="922"/>
      <c r="ACQ163" s="922"/>
      <c r="ACR163" s="922"/>
      <c r="ACS163" s="922"/>
      <c r="ACT163" s="922"/>
      <c r="ACU163" s="922"/>
      <c r="ACV163" s="922"/>
      <c r="ACW163" s="922"/>
      <c r="ACX163" s="922"/>
      <c r="ACY163" s="922"/>
      <c r="ACZ163" s="922"/>
      <c r="ADA163" s="922"/>
      <c r="ADB163" s="922"/>
      <c r="ADC163" s="922"/>
      <c r="ADD163" s="922"/>
      <c r="ADE163" s="922"/>
      <c r="ADF163" s="922"/>
      <c r="ADG163" s="922"/>
      <c r="ADH163" s="922"/>
      <c r="ADI163" s="922"/>
      <c r="ADJ163" s="922"/>
      <c r="ADK163" s="922"/>
      <c r="ADL163" s="922"/>
      <c r="ADM163" s="922"/>
      <c r="ADN163" s="922"/>
      <c r="ADO163" s="922"/>
      <c r="ADP163" s="922"/>
      <c r="ADQ163" s="922"/>
      <c r="ADR163" s="922"/>
      <c r="ADS163" s="922"/>
      <c r="ADT163" s="922"/>
      <c r="ADU163" s="922"/>
      <c r="ADV163" s="922"/>
      <c r="ADW163" s="922"/>
      <c r="ADX163" s="922"/>
      <c r="ADY163" s="922"/>
      <c r="ADZ163" s="922"/>
      <c r="AEA163" s="922"/>
      <c r="AEB163" s="922"/>
      <c r="AEC163" s="922"/>
      <c r="AED163" s="922"/>
      <c r="AEE163" s="922"/>
      <c r="AEF163" s="922"/>
      <c r="AEG163" s="922"/>
      <c r="AEH163" s="922"/>
      <c r="AEI163" s="922"/>
      <c r="AEJ163" s="922"/>
      <c r="AEK163" s="922"/>
      <c r="AEL163" s="922"/>
      <c r="AEM163" s="922"/>
      <c r="AEN163" s="922"/>
      <c r="AEO163" s="922"/>
      <c r="AEP163" s="922"/>
      <c r="AEQ163" s="922"/>
      <c r="AER163" s="922"/>
      <c r="AES163" s="922"/>
      <c r="AET163" s="922"/>
      <c r="AEU163" s="922"/>
      <c r="AEV163" s="922"/>
      <c r="AEW163" s="922"/>
      <c r="AEX163" s="922"/>
      <c r="AEY163" s="922"/>
      <c r="AEZ163" s="922"/>
      <c r="AFA163" s="922"/>
      <c r="AFB163" s="922"/>
      <c r="AFC163" s="922"/>
      <c r="AFD163" s="922"/>
      <c r="AFE163" s="922"/>
      <c r="AFF163" s="922"/>
      <c r="AFG163" s="922"/>
      <c r="AFH163" s="922"/>
      <c r="AFI163" s="922"/>
      <c r="AFJ163" s="922"/>
      <c r="AFK163" s="922"/>
      <c r="AFL163" s="922"/>
      <c r="AFM163" s="922"/>
      <c r="AFN163" s="922"/>
      <c r="AFO163" s="922"/>
      <c r="AFP163" s="922"/>
      <c r="AFQ163" s="922"/>
      <c r="AFR163" s="922"/>
      <c r="AFS163" s="922"/>
      <c r="AFT163" s="922"/>
      <c r="AFU163" s="922"/>
      <c r="AFV163" s="922"/>
      <c r="AFW163" s="922"/>
      <c r="AFX163" s="922"/>
      <c r="AFY163" s="922"/>
      <c r="AFZ163" s="922"/>
      <c r="AGA163" s="922"/>
      <c r="AGB163" s="922"/>
      <c r="AGC163" s="922"/>
      <c r="AGD163" s="922"/>
      <c r="AGE163" s="922"/>
      <c r="AGF163" s="922"/>
      <c r="AGG163" s="922"/>
      <c r="AGH163" s="922"/>
      <c r="AGI163" s="922"/>
      <c r="AGJ163" s="922"/>
      <c r="AGK163" s="922"/>
      <c r="AGL163" s="922"/>
      <c r="AGM163" s="922"/>
      <c r="AGN163" s="922"/>
      <c r="AGO163" s="922"/>
      <c r="AGP163" s="922"/>
      <c r="AGQ163" s="922"/>
      <c r="AGR163" s="922"/>
      <c r="AGS163" s="922"/>
      <c r="AGT163" s="922"/>
      <c r="AGU163" s="922"/>
      <c r="AGV163" s="922"/>
      <c r="AGW163" s="922"/>
      <c r="AGX163" s="922"/>
      <c r="AGY163" s="922"/>
      <c r="AGZ163" s="922"/>
      <c r="AHA163" s="922"/>
      <c r="AHB163" s="922"/>
      <c r="AHC163" s="922"/>
      <c r="AHD163" s="922"/>
      <c r="AHE163" s="922"/>
      <c r="AHF163" s="922"/>
      <c r="AHG163" s="922"/>
      <c r="AHH163" s="922"/>
      <c r="AHI163" s="922"/>
      <c r="AHJ163" s="922"/>
      <c r="AHK163" s="922"/>
      <c r="AHL163" s="922"/>
      <c r="AHM163" s="922"/>
      <c r="AHN163" s="922"/>
      <c r="AHO163" s="922"/>
      <c r="AHP163" s="922"/>
      <c r="AHQ163" s="922"/>
      <c r="AHR163" s="922"/>
      <c r="AHS163" s="922"/>
      <c r="AHT163" s="922"/>
      <c r="AHU163" s="922"/>
      <c r="AHV163" s="922"/>
      <c r="AHW163" s="922"/>
      <c r="AHX163" s="922"/>
      <c r="AHY163" s="922"/>
      <c r="AHZ163" s="922"/>
      <c r="AIA163" s="922"/>
      <c r="AIB163" s="922"/>
      <c r="AIC163" s="922"/>
      <c r="AID163" s="922"/>
      <c r="AIE163" s="922"/>
      <c r="AIF163" s="922"/>
      <c r="AIG163" s="922"/>
      <c r="AIH163" s="922"/>
      <c r="AII163" s="922"/>
      <c r="AIJ163" s="922"/>
      <c r="AIK163" s="922"/>
      <c r="AIL163" s="922"/>
      <c r="AIM163" s="922"/>
      <c r="AIN163" s="922"/>
      <c r="AIO163" s="922"/>
      <c r="AIP163" s="922"/>
      <c r="AIQ163" s="922"/>
      <c r="AIR163" s="922"/>
      <c r="AIS163" s="922"/>
      <c r="AIT163" s="922"/>
      <c r="AIU163" s="922"/>
      <c r="AIV163" s="922"/>
      <c r="AIW163" s="922"/>
      <c r="AIX163" s="922"/>
      <c r="AIY163" s="922"/>
      <c r="AIZ163" s="922"/>
      <c r="AJA163" s="922"/>
      <c r="AJB163" s="922"/>
      <c r="AJC163" s="922"/>
      <c r="AJD163" s="922"/>
      <c r="AJE163" s="922"/>
      <c r="AJF163" s="922"/>
      <c r="AJG163" s="922"/>
      <c r="AJH163" s="922"/>
      <c r="AJI163" s="922"/>
      <c r="AJJ163" s="922"/>
      <c r="AJK163" s="922"/>
      <c r="AJL163" s="922"/>
      <c r="AJM163" s="922"/>
      <c r="AJN163" s="922"/>
      <c r="AJO163" s="922"/>
      <c r="AJP163" s="922"/>
      <c r="AJQ163" s="922"/>
      <c r="AJR163" s="922"/>
      <c r="AJS163" s="922"/>
      <c r="AJT163" s="922"/>
      <c r="AJU163" s="922"/>
      <c r="AJV163" s="922"/>
      <c r="AJW163" s="922"/>
      <c r="AJX163" s="922"/>
      <c r="AJY163" s="922"/>
      <c r="AJZ163" s="922"/>
      <c r="AKA163" s="922"/>
      <c r="AKB163" s="922"/>
      <c r="AKC163" s="922"/>
      <c r="AKD163" s="922"/>
      <c r="AKE163" s="922"/>
      <c r="AKF163" s="922"/>
      <c r="AKG163" s="922"/>
      <c r="AKH163" s="922"/>
      <c r="AKI163" s="922"/>
      <c r="AKJ163" s="922"/>
      <c r="AKK163" s="922"/>
      <c r="AKL163" s="922"/>
      <c r="AKM163" s="922"/>
      <c r="AKN163" s="922"/>
      <c r="AKO163" s="922"/>
      <c r="AKP163" s="922"/>
      <c r="AKQ163" s="922"/>
      <c r="AKR163" s="922"/>
      <c r="AKS163" s="922"/>
      <c r="AKT163" s="922"/>
      <c r="AKU163" s="922"/>
      <c r="AKV163" s="922"/>
      <c r="AKW163" s="922"/>
      <c r="AKX163" s="922"/>
      <c r="AKY163" s="922"/>
      <c r="AKZ163" s="922"/>
      <c r="ALA163" s="922"/>
      <c r="ALB163" s="922"/>
      <c r="ALC163" s="922"/>
      <c r="ALD163" s="922"/>
      <c r="ALE163" s="922"/>
      <c r="ALF163" s="922"/>
      <c r="ALG163" s="922"/>
      <c r="ALH163" s="922"/>
      <c r="ALI163" s="922"/>
      <c r="ALJ163" s="922"/>
      <c r="ALK163" s="922"/>
      <c r="ALL163" s="922"/>
      <c r="ALM163" s="922"/>
      <c r="ALN163" s="922"/>
      <c r="ALO163" s="922"/>
      <c r="ALP163" s="922"/>
      <c r="ALQ163" s="922"/>
      <c r="ALR163" s="922"/>
      <c r="ALS163" s="922"/>
      <c r="ALT163" s="922"/>
      <c r="ALU163" s="922"/>
      <c r="ALV163" s="922"/>
      <c r="ALW163" s="922"/>
      <c r="ALX163" s="922"/>
      <c r="ALY163" s="922"/>
      <c r="ALZ163" s="922"/>
      <c r="AMA163" s="922"/>
      <c r="AMB163" s="922"/>
      <c r="AMC163" s="922"/>
      <c r="AMD163" s="922"/>
      <c r="AME163" s="922"/>
      <c r="AMF163" s="922"/>
      <c r="AMG163" s="922"/>
      <c r="AMH163" s="922"/>
      <c r="AMI163" s="922"/>
      <c r="AMJ163" s="922"/>
      <c r="AMK163" s="922"/>
      <c r="AML163" s="922"/>
      <c r="AMM163" s="922"/>
      <c r="AMN163" s="922"/>
      <c r="AMO163" s="922"/>
      <c r="AMP163" s="922"/>
      <c r="AMQ163" s="922"/>
      <c r="AMR163" s="922"/>
      <c r="AMS163" s="922"/>
      <c r="AMT163" s="922"/>
      <c r="AMU163" s="922"/>
      <c r="AMV163" s="922"/>
      <c r="AMW163" s="922"/>
      <c r="AMX163" s="922"/>
      <c r="AMY163" s="922"/>
      <c r="AMZ163" s="922"/>
      <c r="ANA163" s="922"/>
      <c r="ANB163" s="922"/>
      <c r="ANC163" s="922"/>
      <c r="AND163" s="922"/>
      <c r="ANE163" s="922"/>
      <c r="ANF163" s="922"/>
      <c r="ANG163" s="922"/>
      <c r="ANH163" s="922"/>
      <c r="ANI163" s="922"/>
      <c r="ANJ163" s="922"/>
      <c r="ANK163" s="922"/>
      <c r="ANL163" s="922"/>
      <c r="ANM163" s="922"/>
      <c r="ANN163" s="922"/>
      <c r="ANO163" s="922"/>
      <c r="ANP163" s="922"/>
      <c r="ANQ163" s="922"/>
      <c r="ANR163" s="922"/>
      <c r="ANS163" s="922"/>
      <c r="ANT163" s="922"/>
      <c r="ANU163" s="922"/>
      <c r="ANV163" s="922"/>
      <c r="ANW163" s="922"/>
      <c r="ANX163" s="922"/>
      <c r="ANY163" s="922"/>
      <c r="ANZ163" s="922"/>
      <c r="AOA163" s="922"/>
      <c r="AOB163" s="922"/>
      <c r="AOC163" s="922"/>
      <c r="AOD163" s="922"/>
      <c r="AOE163" s="922"/>
      <c r="AOF163" s="922"/>
      <c r="AOG163" s="922"/>
      <c r="AOH163" s="922"/>
      <c r="AOI163" s="922"/>
      <c r="AOJ163" s="922"/>
      <c r="AOK163" s="922"/>
      <c r="AOL163" s="922"/>
      <c r="AOM163" s="922"/>
      <c r="AON163" s="922"/>
      <c r="AOO163" s="922"/>
      <c r="AOP163" s="922"/>
      <c r="AOQ163" s="922"/>
      <c r="AOR163" s="922"/>
      <c r="AOS163" s="922"/>
      <c r="AOT163" s="922"/>
      <c r="AOU163" s="922"/>
      <c r="AOV163" s="922"/>
      <c r="AOW163" s="922"/>
      <c r="AOX163" s="922"/>
      <c r="AOY163" s="922"/>
      <c r="AOZ163" s="922"/>
      <c r="APA163" s="922"/>
      <c r="APB163" s="922"/>
      <c r="APC163" s="922"/>
      <c r="APD163" s="922"/>
      <c r="APE163" s="922"/>
      <c r="APF163" s="922"/>
      <c r="APG163" s="922"/>
      <c r="APH163" s="922"/>
      <c r="API163" s="922"/>
      <c r="APJ163" s="922"/>
      <c r="APK163" s="922"/>
      <c r="APL163" s="922"/>
      <c r="APM163" s="922"/>
      <c r="APN163" s="922"/>
      <c r="APO163" s="922"/>
      <c r="APP163" s="922"/>
      <c r="APQ163" s="922"/>
      <c r="APR163" s="922"/>
      <c r="APS163" s="922"/>
      <c r="APT163" s="922"/>
      <c r="APU163" s="922"/>
      <c r="APV163" s="922"/>
      <c r="APW163" s="922"/>
      <c r="APX163" s="922"/>
      <c r="APY163" s="922"/>
      <c r="APZ163" s="922"/>
      <c r="AQA163" s="922"/>
      <c r="AQB163" s="922"/>
      <c r="AQC163" s="922"/>
      <c r="AQD163" s="922"/>
      <c r="AQE163" s="922"/>
      <c r="AQF163" s="922"/>
      <c r="AQG163" s="922"/>
      <c r="AQH163" s="922"/>
      <c r="AQI163" s="922"/>
      <c r="AQJ163" s="922"/>
      <c r="AQK163" s="922"/>
      <c r="AQL163" s="922"/>
      <c r="AQM163" s="922"/>
      <c r="AQN163" s="922"/>
      <c r="AQO163" s="922"/>
      <c r="AQP163" s="922"/>
      <c r="AQQ163" s="922"/>
      <c r="AQR163" s="922"/>
      <c r="AQS163" s="922"/>
      <c r="AQT163" s="922"/>
      <c r="AQU163" s="922"/>
      <c r="AQV163" s="922"/>
      <c r="AQW163" s="922"/>
      <c r="AQX163" s="922"/>
      <c r="AQY163" s="922"/>
      <c r="AQZ163" s="922"/>
      <c r="ARA163" s="922"/>
      <c r="ARB163" s="922"/>
      <c r="ARC163" s="922"/>
      <c r="ARD163" s="922"/>
      <c r="ARE163" s="922"/>
      <c r="ARF163" s="922"/>
      <c r="ARG163" s="922"/>
      <c r="ARH163" s="922"/>
      <c r="ARI163" s="922"/>
      <c r="ARJ163" s="922"/>
      <c r="ARK163" s="922"/>
      <c r="ARL163" s="922"/>
      <c r="ARM163" s="922"/>
      <c r="ARN163" s="922"/>
      <c r="ARO163" s="922"/>
      <c r="ARP163" s="922"/>
      <c r="ARQ163" s="922"/>
      <c r="ARR163" s="922"/>
      <c r="ARS163" s="922"/>
      <c r="ART163" s="922"/>
      <c r="ARU163" s="922"/>
      <c r="ARV163" s="922"/>
      <c r="ARW163" s="922"/>
      <c r="ARX163" s="922"/>
      <c r="ARY163" s="922"/>
      <c r="ARZ163" s="922"/>
      <c r="ASA163" s="922"/>
      <c r="ASB163" s="922"/>
      <c r="ASC163" s="922"/>
    </row>
    <row r="164" spans="1:1173" hidden="1">
      <c r="A164" s="920"/>
      <c r="T164" s="922"/>
      <c r="AN164" s="922"/>
      <c r="AO164" s="922"/>
      <c r="AP164" s="922"/>
      <c r="AQ164" s="922"/>
      <c r="AR164" s="922"/>
      <c r="AS164" s="922"/>
      <c r="AT164" s="922"/>
      <c r="AU164" s="922"/>
      <c r="AV164" s="922"/>
      <c r="AW164" s="922"/>
      <c r="AX164" s="922"/>
      <c r="AY164" s="922"/>
      <c r="AZ164" s="922"/>
      <c r="BA164" s="922"/>
      <c r="BB164" s="922"/>
      <c r="BC164" s="922"/>
      <c r="BD164" s="922"/>
      <c r="BE164" s="922"/>
      <c r="BF164" s="922"/>
      <c r="BG164" s="922"/>
      <c r="BH164" s="922"/>
      <c r="BI164" s="922"/>
      <c r="BJ164" s="922"/>
      <c r="BK164" s="922"/>
      <c r="BL164" s="922"/>
      <c r="BM164" s="922"/>
      <c r="BN164" s="922"/>
      <c r="BO164" s="922"/>
      <c r="BP164" s="922"/>
      <c r="BQ164" s="922"/>
      <c r="BR164" s="922"/>
      <c r="BS164" s="922"/>
      <c r="BT164" s="922"/>
      <c r="BU164" s="922"/>
      <c r="BV164" s="922"/>
      <c r="BW164" s="922"/>
      <c r="BX164" s="922"/>
      <c r="BY164" s="922"/>
      <c r="BZ164" s="922"/>
      <c r="CA164" s="922"/>
      <c r="CB164" s="922"/>
      <c r="CC164" s="922"/>
      <c r="CD164" s="922"/>
      <c r="CE164" s="922"/>
      <c r="CF164" s="922"/>
      <c r="CG164" s="922"/>
      <c r="CH164" s="922"/>
      <c r="CI164" s="922"/>
      <c r="CJ164" s="922"/>
      <c r="CK164" s="922"/>
      <c r="CL164" s="922"/>
      <c r="CM164" s="922"/>
      <c r="CN164" s="922"/>
      <c r="CO164" s="922"/>
      <c r="CP164" s="922"/>
      <c r="CQ164" s="922"/>
      <c r="CR164" s="922"/>
      <c r="CS164" s="922"/>
      <c r="CT164" s="922"/>
      <c r="CU164" s="922"/>
      <c r="CV164" s="922"/>
      <c r="CW164" s="922"/>
      <c r="CX164" s="922"/>
      <c r="CY164" s="922"/>
      <c r="CZ164" s="922"/>
      <c r="DA164" s="922"/>
      <c r="DB164" s="922"/>
      <c r="DC164" s="922"/>
      <c r="DD164" s="922"/>
      <c r="DE164" s="922"/>
      <c r="DF164" s="922"/>
      <c r="DG164" s="922"/>
      <c r="DH164" s="922"/>
      <c r="DI164" s="922"/>
      <c r="DJ164" s="922"/>
      <c r="DK164" s="922"/>
      <c r="DL164" s="922"/>
      <c r="DM164" s="922"/>
      <c r="DN164" s="922"/>
      <c r="DO164" s="922"/>
      <c r="DP164" s="922"/>
      <c r="DQ164" s="922"/>
      <c r="DR164" s="922"/>
      <c r="DS164" s="922"/>
      <c r="DT164" s="922"/>
      <c r="DU164" s="922"/>
      <c r="DV164" s="922"/>
      <c r="DW164" s="922"/>
      <c r="DX164" s="922"/>
      <c r="DY164" s="922"/>
      <c r="DZ164" s="922"/>
      <c r="EA164" s="922"/>
      <c r="EB164" s="922"/>
      <c r="EC164" s="922"/>
      <c r="ED164" s="922"/>
      <c r="EE164" s="922"/>
      <c r="EF164" s="922"/>
      <c r="EG164" s="922"/>
      <c r="EH164" s="922"/>
      <c r="EI164" s="922"/>
      <c r="EJ164" s="922"/>
      <c r="EK164" s="922"/>
      <c r="EL164" s="922"/>
      <c r="EM164" s="922"/>
      <c r="EN164" s="922"/>
      <c r="EO164" s="922"/>
      <c r="EP164" s="922"/>
      <c r="EQ164" s="922"/>
      <c r="ER164" s="922"/>
      <c r="ES164" s="922"/>
      <c r="ET164" s="922"/>
      <c r="EU164" s="922"/>
      <c r="EV164" s="922"/>
      <c r="EW164" s="922"/>
      <c r="EX164" s="922"/>
      <c r="EY164" s="922"/>
      <c r="EZ164" s="922"/>
      <c r="FA164" s="922"/>
      <c r="FB164" s="922"/>
      <c r="FC164" s="922"/>
      <c r="FD164" s="922"/>
      <c r="FE164" s="922"/>
      <c r="FF164" s="922"/>
      <c r="FG164" s="922"/>
      <c r="FH164" s="922"/>
      <c r="FI164" s="922"/>
      <c r="FJ164" s="922"/>
      <c r="FK164" s="922"/>
      <c r="FL164" s="922"/>
      <c r="FM164" s="922"/>
      <c r="FN164" s="922"/>
      <c r="FO164" s="922"/>
      <c r="FP164" s="922"/>
      <c r="FQ164" s="922"/>
      <c r="FR164" s="922"/>
      <c r="FS164" s="922"/>
      <c r="FT164" s="922"/>
      <c r="FU164" s="922"/>
      <c r="FV164" s="922"/>
      <c r="FW164" s="922"/>
      <c r="FX164" s="922"/>
      <c r="FY164" s="922"/>
      <c r="FZ164" s="922"/>
      <c r="GA164" s="922"/>
      <c r="GB164" s="922"/>
      <c r="GC164" s="922"/>
      <c r="GD164" s="922"/>
      <c r="GE164" s="922"/>
      <c r="GF164" s="922"/>
      <c r="GG164" s="922"/>
      <c r="GH164" s="922"/>
      <c r="GI164" s="922"/>
      <c r="GJ164" s="922"/>
      <c r="GK164" s="922"/>
      <c r="GL164" s="922"/>
      <c r="GM164" s="922"/>
      <c r="GN164" s="922"/>
      <c r="GO164" s="922"/>
      <c r="GP164" s="922"/>
      <c r="GQ164" s="922"/>
      <c r="GR164" s="922"/>
      <c r="GS164" s="922"/>
      <c r="GT164" s="922"/>
      <c r="GU164" s="922"/>
      <c r="GV164" s="922"/>
      <c r="GW164" s="922"/>
      <c r="GX164" s="922"/>
      <c r="GY164" s="922"/>
      <c r="GZ164" s="922"/>
      <c r="HA164" s="922"/>
      <c r="HB164" s="922"/>
      <c r="HC164" s="922"/>
      <c r="HD164" s="922"/>
      <c r="HE164" s="922"/>
      <c r="HF164" s="922"/>
      <c r="HG164" s="922"/>
      <c r="HH164" s="922"/>
      <c r="HI164" s="922"/>
      <c r="HJ164" s="922"/>
      <c r="HK164" s="922"/>
      <c r="HL164" s="922"/>
      <c r="HM164" s="922"/>
      <c r="HN164" s="922"/>
      <c r="HO164" s="922"/>
      <c r="HP164" s="922"/>
      <c r="HQ164" s="922"/>
      <c r="HR164" s="922"/>
      <c r="HS164" s="922"/>
      <c r="HT164" s="922"/>
      <c r="HU164" s="922"/>
      <c r="HV164" s="922"/>
      <c r="HW164" s="922"/>
      <c r="HX164" s="922"/>
      <c r="HY164" s="922"/>
      <c r="HZ164" s="922"/>
      <c r="IA164" s="922"/>
      <c r="IB164" s="922"/>
      <c r="IC164" s="922"/>
      <c r="ID164" s="922"/>
      <c r="IE164" s="922"/>
      <c r="IF164" s="922"/>
      <c r="IG164" s="922"/>
      <c r="IH164" s="922"/>
      <c r="II164" s="922"/>
      <c r="IJ164" s="922"/>
      <c r="IK164" s="922"/>
      <c r="IL164" s="922"/>
      <c r="IM164" s="922"/>
      <c r="IN164" s="922"/>
      <c r="IO164" s="922"/>
      <c r="IP164" s="922"/>
      <c r="IQ164" s="922"/>
      <c r="IR164" s="922"/>
      <c r="IS164" s="922"/>
      <c r="IT164" s="922"/>
      <c r="IU164" s="922"/>
      <c r="IV164" s="922"/>
      <c r="IW164" s="922"/>
      <c r="IX164" s="922"/>
      <c r="IY164" s="922"/>
      <c r="IZ164" s="922"/>
      <c r="JA164" s="922"/>
      <c r="JB164" s="922"/>
      <c r="JC164" s="922"/>
      <c r="JD164" s="922"/>
      <c r="JE164" s="922"/>
      <c r="JF164" s="922"/>
      <c r="JG164" s="922"/>
      <c r="JH164" s="922"/>
      <c r="JI164" s="922"/>
      <c r="JJ164" s="922"/>
      <c r="JK164" s="922"/>
      <c r="JL164" s="922"/>
      <c r="JM164" s="922"/>
      <c r="JN164" s="922"/>
      <c r="JO164" s="922"/>
      <c r="JP164" s="922"/>
      <c r="JQ164" s="922"/>
      <c r="JR164" s="922"/>
      <c r="JS164" s="922"/>
      <c r="JT164" s="922"/>
      <c r="JU164" s="922"/>
      <c r="JV164" s="922"/>
      <c r="JW164" s="922"/>
      <c r="JX164" s="922"/>
      <c r="JY164" s="922"/>
      <c r="JZ164" s="922"/>
      <c r="KA164" s="922"/>
      <c r="KB164" s="922"/>
      <c r="KC164" s="922"/>
      <c r="KD164" s="922"/>
      <c r="KE164" s="922"/>
      <c r="KF164" s="922"/>
      <c r="KG164" s="922"/>
      <c r="KH164" s="922"/>
      <c r="KI164" s="922"/>
      <c r="KJ164" s="922"/>
      <c r="KK164" s="922"/>
      <c r="KL164" s="922"/>
      <c r="KM164" s="922"/>
      <c r="KN164" s="922"/>
      <c r="KO164" s="922"/>
      <c r="KP164" s="922"/>
      <c r="KQ164" s="922"/>
      <c r="KR164" s="922"/>
      <c r="KS164" s="922"/>
      <c r="KT164" s="922"/>
      <c r="KU164" s="922"/>
      <c r="KV164" s="922"/>
      <c r="KW164" s="922"/>
      <c r="KX164" s="922"/>
      <c r="KY164" s="922"/>
      <c r="KZ164" s="922"/>
      <c r="LA164" s="922"/>
      <c r="LB164" s="922"/>
      <c r="LC164" s="922"/>
      <c r="LD164" s="922"/>
      <c r="LE164" s="922"/>
      <c r="LF164" s="922"/>
      <c r="LG164" s="922"/>
      <c r="LH164" s="922"/>
      <c r="LI164" s="922"/>
      <c r="LJ164" s="922"/>
      <c r="LK164" s="922"/>
      <c r="LL164" s="922"/>
      <c r="LM164" s="922"/>
      <c r="LN164" s="922"/>
      <c r="LO164" s="922"/>
      <c r="LP164" s="922"/>
      <c r="LQ164" s="922"/>
      <c r="LR164" s="922"/>
      <c r="LS164" s="922"/>
      <c r="LT164" s="922"/>
      <c r="LU164" s="922"/>
      <c r="LV164" s="922"/>
      <c r="LW164" s="922"/>
      <c r="LX164" s="922"/>
      <c r="LY164" s="922"/>
      <c r="LZ164" s="922"/>
      <c r="MA164" s="922"/>
      <c r="MB164" s="922"/>
      <c r="MC164" s="922"/>
      <c r="MD164" s="922"/>
      <c r="ME164" s="922"/>
      <c r="MF164" s="922"/>
      <c r="MG164" s="922"/>
      <c r="MH164" s="922"/>
      <c r="MI164" s="922"/>
      <c r="MJ164" s="922"/>
      <c r="MK164" s="922"/>
      <c r="ML164" s="922"/>
      <c r="MM164" s="922"/>
      <c r="MN164" s="922"/>
      <c r="MO164" s="922"/>
      <c r="MP164" s="922"/>
      <c r="MQ164" s="922"/>
      <c r="MR164" s="922"/>
      <c r="MS164" s="922"/>
      <c r="MT164" s="922"/>
      <c r="MU164" s="922"/>
      <c r="MV164" s="922"/>
      <c r="MW164" s="922"/>
      <c r="MX164" s="922"/>
      <c r="MY164" s="922"/>
      <c r="MZ164" s="922"/>
      <c r="NA164" s="922"/>
      <c r="NB164" s="922"/>
      <c r="NC164" s="922"/>
      <c r="ND164" s="922"/>
      <c r="NE164" s="922"/>
      <c r="NF164" s="922"/>
      <c r="NG164" s="922"/>
      <c r="NH164" s="922"/>
      <c r="NI164" s="922"/>
      <c r="NJ164" s="922"/>
      <c r="NK164" s="922"/>
      <c r="NL164" s="922"/>
      <c r="NM164" s="922"/>
      <c r="NN164" s="922"/>
      <c r="NO164" s="922"/>
      <c r="NP164" s="922"/>
      <c r="NQ164" s="922"/>
      <c r="NR164" s="922"/>
      <c r="NS164" s="922"/>
      <c r="NT164" s="922"/>
      <c r="NU164" s="922"/>
      <c r="NV164" s="922"/>
      <c r="NW164" s="922"/>
      <c r="NX164" s="922"/>
      <c r="NY164" s="922"/>
      <c r="NZ164" s="922"/>
      <c r="OA164" s="922"/>
      <c r="OB164" s="922"/>
      <c r="OC164" s="922"/>
      <c r="OD164" s="922"/>
      <c r="OE164" s="922"/>
      <c r="OF164" s="922"/>
      <c r="OG164" s="922"/>
      <c r="OH164" s="922"/>
      <c r="OI164" s="922"/>
      <c r="OJ164" s="922"/>
      <c r="OK164" s="922"/>
      <c r="OL164" s="922"/>
      <c r="OM164" s="922"/>
      <c r="ON164" s="922"/>
      <c r="OO164" s="922"/>
      <c r="OP164" s="922"/>
      <c r="OQ164" s="922"/>
      <c r="OR164" s="922"/>
      <c r="OS164" s="922"/>
      <c r="OT164" s="922"/>
      <c r="OU164" s="922"/>
      <c r="OV164" s="922"/>
      <c r="OW164" s="922"/>
      <c r="OX164" s="922"/>
      <c r="OY164" s="922"/>
      <c r="OZ164" s="922"/>
      <c r="PA164" s="922"/>
      <c r="PB164" s="922"/>
      <c r="PC164" s="922"/>
      <c r="PD164" s="922"/>
      <c r="PE164" s="922"/>
      <c r="PF164" s="922"/>
      <c r="PG164" s="922"/>
      <c r="PH164" s="922"/>
      <c r="PI164" s="922"/>
      <c r="PJ164" s="922"/>
      <c r="PK164" s="922"/>
      <c r="PL164" s="922"/>
      <c r="PM164" s="922"/>
      <c r="PN164" s="922"/>
      <c r="PO164" s="922"/>
      <c r="PP164" s="922"/>
      <c r="PQ164" s="922"/>
      <c r="PR164" s="922"/>
      <c r="PS164" s="922"/>
      <c r="PT164" s="922"/>
      <c r="PU164" s="922"/>
      <c r="PV164" s="922"/>
      <c r="PW164" s="922"/>
      <c r="PX164" s="922"/>
      <c r="PY164" s="922"/>
      <c r="PZ164" s="922"/>
      <c r="QA164" s="922"/>
      <c r="QB164" s="922"/>
      <c r="QC164" s="922"/>
      <c r="QD164" s="922"/>
      <c r="QE164" s="922"/>
      <c r="QF164" s="922"/>
      <c r="QG164" s="922"/>
      <c r="QH164" s="922"/>
      <c r="QI164" s="922"/>
      <c r="QJ164" s="922"/>
      <c r="QK164" s="922"/>
      <c r="QL164" s="922"/>
      <c r="QM164" s="922"/>
      <c r="QN164" s="922"/>
      <c r="QO164" s="922"/>
      <c r="QP164" s="922"/>
      <c r="QQ164" s="922"/>
      <c r="QR164" s="922"/>
      <c r="QS164" s="922"/>
      <c r="QT164" s="922"/>
      <c r="QU164" s="922"/>
      <c r="QV164" s="922"/>
      <c r="QW164" s="922"/>
      <c r="QX164" s="922"/>
      <c r="QY164" s="922"/>
      <c r="QZ164" s="922"/>
      <c r="RA164" s="922"/>
      <c r="RB164" s="922"/>
      <c r="RC164" s="922"/>
      <c r="RD164" s="922"/>
      <c r="RE164" s="922"/>
      <c r="RF164" s="922"/>
      <c r="RG164" s="922"/>
      <c r="RH164" s="922"/>
      <c r="RI164" s="922"/>
      <c r="RJ164" s="922"/>
      <c r="RK164" s="922"/>
      <c r="RL164" s="922"/>
      <c r="RM164" s="922"/>
      <c r="RN164" s="922"/>
      <c r="RO164" s="922"/>
      <c r="RP164" s="922"/>
      <c r="RQ164" s="922"/>
      <c r="RR164" s="922"/>
      <c r="RS164" s="922"/>
      <c r="RT164" s="922"/>
      <c r="RU164" s="922"/>
      <c r="RV164" s="922"/>
      <c r="RW164" s="922"/>
      <c r="RX164" s="922"/>
      <c r="RY164" s="922"/>
      <c r="RZ164" s="922"/>
      <c r="SA164" s="922"/>
      <c r="SB164" s="922"/>
      <c r="SC164" s="922"/>
      <c r="SD164" s="922"/>
      <c r="SE164" s="922"/>
      <c r="SF164" s="922"/>
      <c r="SG164" s="922"/>
      <c r="SH164" s="922"/>
      <c r="SI164" s="922"/>
      <c r="SJ164" s="922"/>
      <c r="SK164" s="922"/>
      <c r="SL164" s="922"/>
      <c r="SM164" s="922"/>
      <c r="SN164" s="922"/>
      <c r="SO164" s="922"/>
      <c r="SP164" s="922"/>
      <c r="SQ164" s="922"/>
      <c r="SR164" s="922"/>
      <c r="SS164" s="922"/>
      <c r="ST164" s="922"/>
      <c r="SU164" s="922"/>
      <c r="SV164" s="922"/>
      <c r="SW164" s="922"/>
      <c r="SX164" s="922"/>
      <c r="SY164" s="922"/>
      <c r="SZ164" s="922"/>
      <c r="TA164" s="922"/>
      <c r="TB164" s="922"/>
      <c r="TC164" s="922"/>
      <c r="TD164" s="922"/>
      <c r="TE164" s="922"/>
      <c r="TF164" s="922"/>
      <c r="TG164" s="922"/>
      <c r="TH164" s="922"/>
      <c r="TI164" s="922"/>
      <c r="TJ164" s="922"/>
      <c r="TK164" s="922"/>
      <c r="TL164" s="922"/>
      <c r="TM164" s="922"/>
      <c r="TN164" s="922"/>
      <c r="TO164" s="922"/>
      <c r="TP164" s="922"/>
      <c r="TQ164" s="922"/>
      <c r="TR164" s="922"/>
      <c r="TS164" s="922"/>
      <c r="TT164" s="922"/>
      <c r="TU164" s="922"/>
      <c r="TV164" s="922"/>
      <c r="TW164" s="922"/>
      <c r="TX164" s="922"/>
      <c r="TY164" s="922"/>
      <c r="TZ164" s="922"/>
      <c r="UA164" s="922"/>
      <c r="UB164" s="922"/>
      <c r="UC164" s="922"/>
      <c r="UD164" s="922"/>
      <c r="UE164" s="922"/>
      <c r="UF164" s="922"/>
      <c r="UG164" s="922"/>
      <c r="UH164" s="922"/>
      <c r="UI164" s="922"/>
      <c r="UJ164" s="922"/>
      <c r="UK164" s="922"/>
      <c r="UL164" s="922"/>
      <c r="UM164" s="922"/>
      <c r="UN164" s="922"/>
      <c r="UO164" s="922"/>
      <c r="UP164" s="922"/>
      <c r="UQ164" s="922"/>
      <c r="UR164" s="922"/>
      <c r="US164" s="922"/>
      <c r="UT164" s="922"/>
      <c r="UU164" s="922"/>
      <c r="UV164" s="922"/>
      <c r="UW164" s="922"/>
      <c r="UX164" s="922"/>
      <c r="UY164" s="922"/>
      <c r="UZ164" s="922"/>
      <c r="VA164" s="922"/>
      <c r="VB164" s="922"/>
      <c r="VC164" s="922"/>
      <c r="VD164" s="922"/>
      <c r="VE164" s="922"/>
      <c r="VF164" s="922"/>
      <c r="VG164" s="922"/>
      <c r="VH164" s="922"/>
      <c r="VI164" s="922"/>
      <c r="VJ164" s="922"/>
      <c r="VK164" s="922"/>
      <c r="VL164" s="922"/>
      <c r="VM164" s="922"/>
      <c r="VN164" s="922"/>
      <c r="VO164" s="922"/>
      <c r="VP164" s="922"/>
      <c r="VQ164" s="922"/>
      <c r="VR164" s="922"/>
      <c r="VS164" s="922"/>
      <c r="VT164" s="922"/>
      <c r="VU164" s="922"/>
      <c r="VV164" s="922"/>
      <c r="VW164" s="922"/>
      <c r="VX164" s="922"/>
      <c r="VY164" s="922"/>
      <c r="VZ164" s="922"/>
      <c r="WA164" s="922"/>
      <c r="WB164" s="922"/>
      <c r="WC164" s="922"/>
      <c r="WD164" s="922"/>
      <c r="WE164" s="922"/>
      <c r="WF164" s="922"/>
      <c r="WG164" s="922"/>
      <c r="WH164" s="922"/>
      <c r="WI164" s="922"/>
      <c r="WJ164" s="922"/>
      <c r="WK164" s="922"/>
      <c r="WL164" s="922"/>
      <c r="WM164" s="922"/>
      <c r="WN164" s="922"/>
      <c r="WO164" s="922"/>
      <c r="WP164" s="922"/>
      <c r="WQ164" s="922"/>
      <c r="WR164" s="922"/>
      <c r="WS164" s="922"/>
      <c r="WT164" s="922"/>
      <c r="WU164" s="922"/>
      <c r="WV164" s="922"/>
      <c r="WW164" s="922"/>
      <c r="WX164" s="922"/>
      <c r="WY164" s="922"/>
      <c r="WZ164" s="922"/>
      <c r="XA164" s="922"/>
      <c r="XB164" s="922"/>
      <c r="XC164" s="922"/>
      <c r="XD164" s="922"/>
      <c r="XE164" s="922"/>
      <c r="XF164" s="922"/>
      <c r="XG164" s="922"/>
      <c r="XH164" s="922"/>
      <c r="XI164" s="922"/>
      <c r="XJ164" s="922"/>
      <c r="XK164" s="922"/>
      <c r="XL164" s="922"/>
      <c r="XM164" s="922"/>
      <c r="XN164" s="922"/>
      <c r="XO164" s="922"/>
      <c r="XP164" s="922"/>
      <c r="XQ164" s="922"/>
      <c r="XR164" s="922"/>
      <c r="XS164" s="922"/>
      <c r="XT164" s="922"/>
      <c r="XU164" s="922"/>
      <c r="XV164" s="922"/>
      <c r="XW164" s="922"/>
      <c r="XX164" s="922"/>
      <c r="XY164" s="922"/>
      <c r="XZ164" s="922"/>
      <c r="YA164" s="922"/>
      <c r="YB164" s="922"/>
      <c r="YC164" s="922"/>
      <c r="YD164" s="922"/>
      <c r="YE164" s="922"/>
      <c r="YF164" s="922"/>
      <c r="YG164" s="922"/>
      <c r="YH164" s="922"/>
      <c r="YI164" s="922"/>
      <c r="YJ164" s="922"/>
      <c r="YK164" s="922"/>
      <c r="YL164" s="922"/>
      <c r="YM164" s="922"/>
      <c r="YN164" s="922"/>
      <c r="YO164" s="922"/>
      <c r="YP164" s="922"/>
      <c r="YQ164" s="922"/>
      <c r="YR164" s="922"/>
      <c r="YS164" s="922"/>
      <c r="YT164" s="922"/>
      <c r="YU164" s="922"/>
      <c r="YV164" s="922"/>
      <c r="YW164" s="922"/>
      <c r="YX164" s="922"/>
      <c r="YY164" s="922"/>
      <c r="YZ164" s="922"/>
      <c r="ZA164" s="922"/>
      <c r="ZB164" s="922"/>
      <c r="ZC164" s="922"/>
      <c r="ZD164" s="922"/>
      <c r="ZE164" s="922"/>
      <c r="ZF164" s="922"/>
      <c r="ZG164" s="922"/>
      <c r="ZH164" s="922"/>
      <c r="ZI164" s="922"/>
      <c r="ZJ164" s="922"/>
      <c r="ZK164" s="922"/>
      <c r="ZL164" s="922"/>
      <c r="ZM164" s="922"/>
      <c r="ZN164" s="922"/>
      <c r="ZO164" s="922"/>
      <c r="ZP164" s="922"/>
      <c r="ZQ164" s="922"/>
      <c r="ZR164" s="922"/>
      <c r="ZS164" s="922"/>
      <c r="ZT164" s="922"/>
      <c r="ZU164" s="922"/>
      <c r="ZV164" s="922"/>
      <c r="ZW164" s="922"/>
      <c r="ZX164" s="922"/>
      <c r="ZY164" s="922"/>
      <c r="ZZ164" s="922"/>
      <c r="AAA164" s="922"/>
      <c r="AAB164" s="922"/>
      <c r="AAC164" s="922"/>
      <c r="AAD164" s="922"/>
      <c r="AAE164" s="922"/>
      <c r="AAF164" s="922"/>
      <c r="AAG164" s="922"/>
      <c r="AAH164" s="922"/>
      <c r="AAI164" s="922"/>
      <c r="AAJ164" s="922"/>
      <c r="AAK164" s="922"/>
      <c r="AAL164" s="922"/>
      <c r="AAM164" s="922"/>
      <c r="AAN164" s="922"/>
      <c r="AAO164" s="922"/>
      <c r="AAP164" s="922"/>
      <c r="AAQ164" s="922"/>
      <c r="AAR164" s="922"/>
      <c r="AAS164" s="922"/>
      <c r="AAT164" s="922"/>
      <c r="AAU164" s="922"/>
      <c r="AAV164" s="922"/>
      <c r="AAW164" s="922"/>
      <c r="AAX164" s="922"/>
      <c r="AAY164" s="922"/>
      <c r="AAZ164" s="922"/>
      <c r="ABA164" s="922"/>
      <c r="ABB164" s="922"/>
      <c r="ABC164" s="922"/>
      <c r="ABD164" s="922"/>
      <c r="ABE164" s="922"/>
      <c r="ABF164" s="922"/>
      <c r="ABG164" s="922"/>
      <c r="ABH164" s="922"/>
      <c r="ABI164" s="922"/>
      <c r="ABJ164" s="922"/>
      <c r="ABK164" s="922"/>
      <c r="ABL164" s="922"/>
      <c r="ABM164" s="922"/>
      <c r="ABN164" s="922"/>
      <c r="ABO164" s="922"/>
      <c r="ABP164" s="922"/>
      <c r="ABQ164" s="922"/>
      <c r="ABR164" s="922"/>
      <c r="ABS164" s="922"/>
      <c r="ABT164" s="922"/>
      <c r="ABU164" s="922"/>
      <c r="ABV164" s="922"/>
      <c r="ABW164" s="922"/>
      <c r="ABX164" s="922"/>
      <c r="ABY164" s="922"/>
      <c r="ABZ164" s="922"/>
      <c r="ACA164" s="922"/>
      <c r="ACB164" s="922"/>
      <c r="ACC164" s="922"/>
      <c r="ACD164" s="922"/>
      <c r="ACE164" s="922"/>
      <c r="ACF164" s="922"/>
      <c r="ACG164" s="922"/>
      <c r="ACH164" s="922"/>
      <c r="ACI164" s="922"/>
      <c r="ACJ164" s="922"/>
      <c r="ACK164" s="922"/>
      <c r="ACL164" s="922"/>
      <c r="ACM164" s="922"/>
      <c r="ACN164" s="922"/>
      <c r="ACO164" s="922"/>
      <c r="ACP164" s="922"/>
      <c r="ACQ164" s="922"/>
      <c r="ACR164" s="922"/>
      <c r="ACS164" s="922"/>
      <c r="ACT164" s="922"/>
      <c r="ACU164" s="922"/>
      <c r="ACV164" s="922"/>
      <c r="ACW164" s="922"/>
      <c r="ACX164" s="922"/>
      <c r="ACY164" s="922"/>
      <c r="ACZ164" s="922"/>
      <c r="ADA164" s="922"/>
      <c r="ADB164" s="922"/>
      <c r="ADC164" s="922"/>
      <c r="ADD164" s="922"/>
      <c r="ADE164" s="922"/>
      <c r="ADF164" s="922"/>
      <c r="ADG164" s="922"/>
      <c r="ADH164" s="922"/>
      <c r="ADI164" s="922"/>
      <c r="ADJ164" s="922"/>
      <c r="ADK164" s="922"/>
      <c r="ADL164" s="922"/>
      <c r="ADM164" s="922"/>
      <c r="ADN164" s="922"/>
      <c r="ADO164" s="922"/>
      <c r="ADP164" s="922"/>
      <c r="ADQ164" s="922"/>
      <c r="ADR164" s="922"/>
      <c r="ADS164" s="922"/>
      <c r="ADT164" s="922"/>
      <c r="ADU164" s="922"/>
      <c r="ADV164" s="922"/>
      <c r="ADW164" s="922"/>
      <c r="ADX164" s="922"/>
      <c r="ADY164" s="922"/>
      <c r="ADZ164" s="922"/>
      <c r="AEA164" s="922"/>
      <c r="AEB164" s="922"/>
      <c r="AEC164" s="922"/>
      <c r="AED164" s="922"/>
      <c r="AEE164" s="922"/>
      <c r="AEF164" s="922"/>
      <c r="AEG164" s="922"/>
      <c r="AEH164" s="922"/>
      <c r="AEI164" s="922"/>
      <c r="AEJ164" s="922"/>
      <c r="AEK164" s="922"/>
      <c r="AEL164" s="922"/>
      <c r="AEM164" s="922"/>
      <c r="AEN164" s="922"/>
      <c r="AEO164" s="922"/>
      <c r="AEP164" s="922"/>
      <c r="AEQ164" s="922"/>
      <c r="AER164" s="922"/>
      <c r="AES164" s="922"/>
      <c r="AET164" s="922"/>
      <c r="AEU164" s="922"/>
      <c r="AEV164" s="922"/>
      <c r="AEW164" s="922"/>
      <c r="AEX164" s="922"/>
      <c r="AEY164" s="922"/>
      <c r="AEZ164" s="922"/>
      <c r="AFA164" s="922"/>
      <c r="AFB164" s="922"/>
      <c r="AFC164" s="922"/>
      <c r="AFD164" s="922"/>
      <c r="AFE164" s="922"/>
      <c r="AFF164" s="922"/>
      <c r="AFG164" s="922"/>
      <c r="AFH164" s="922"/>
      <c r="AFI164" s="922"/>
      <c r="AFJ164" s="922"/>
      <c r="AFK164" s="922"/>
      <c r="AFL164" s="922"/>
      <c r="AFM164" s="922"/>
      <c r="AFN164" s="922"/>
      <c r="AFO164" s="922"/>
      <c r="AFP164" s="922"/>
      <c r="AFQ164" s="922"/>
      <c r="AFR164" s="922"/>
      <c r="AFS164" s="922"/>
      <c r="AFT164" s="922"/>
      <c r="AFU164" s="922"/>
      <c r="AFV164" s="922"/>
      <c r="AFW164" s="922"/>
      <c r="AFX164" s="922"/>
      <c r="AFY164" s="922"/>
      <c r="AFZ164" s="922"/>
      <c r="AGA164" s="922"/>
      <c r="AGB164" s="922"/>
      <c r="AGC164" s="922"/>
      <c r="AGD164" s="922"/>
      <c r="AGE164" s="922"/>
      <c r="AGF164" s="922"/>
      <c r="AGG164" s="922"/>
      <c r="AGH164" s="922"/>
      <c r="AGI164" s="922"/>
      <c r="AGJ164" s="922"/>
      <c r="AGK164" s="922"/>
      <c r="AGL164" s="922"/>
      <c r="AGM164" s="922"/>
      <c r="AGN164" s="922"/>
      <c r="AGO164" s="922"/>
      <c r="AGP164" s="922"/>
      <c r="AGQ164" s="922"/>
      <c r="AGR164" s="922"/>
      <c r="AGS164" s="922"/>
      <c r="AGT164" s="922"/>
      <c r="AGU164" s="922"/>
      <c r="AGV164" s="922"/>
      <c r="AGW164" s="922"/>
      <c r="AGX164" s="922"/>
      <c r="AGY164" s="922"/>
      <c r="AGZ164" s="922"/>
      <c r="AHA164" s="922"/>
      <c r="AHB164" s="922"/>
      <c r="AHC164" s="922"/>
      <c r="AHD164" s="922"/>
      <c r="AHE164" s="922"/>
      <c r="AHF164" s="922"/>
      <c r="AHG164" s="922"/>
      <c r="AHH164" s="922"/>
      <c r="AHI164" s="922"/>
      <c r="AHJ164" s="922"/>
      <c r="AHK164" s="922"/>
      <c r="AHL164" s="922"/>
      <c r="AHM164" s="922"/>
      <c r="AHN164" s="922"/>
      <c r="AHO164" s="922"/>
      <c r="AHP164" s="922"/>
      <c r="AHQ164" s="922"/>
      <c r="AHR164" s="922"/>
      <c r="AHS164" s="922"/>
      <c r="AHT164" s="922"/>
      <c r="AHU164" s="922"/>
      <c r="AHV164" s="922"/>
      <c r="AHW164" s="922"/>
      <c r="AHX164" s="922"/>
      <c r="AHY164" s="922"/>
      <c r="AHZ164" s="922"/>
      <c r="AIA164" s="922"/>
      <c r="AIB164" s="922"/>
      <c r="AIC164" s="922"/>
      <c r="AID164" s="922"/>
      <c r="AIE164" s="922"/>
      <c r="AIF164" s="922"/>
      <c r="AIG164" s="922"/>
      <c r="AIH164" s="922"/>
      <c r="AII164" s="922"/>
      <c r="AIJ164" s="922"/>
      <c r="AIK164" s="922"/>
      <c r="AIL164" s="922"/>
      <c r="AIM164" s="922"/>
      <c r="AIN164" s="922"/>
      <c r="AIO164" s="922"/>
      <c r="AIP164" s="922"/>
      <c r="AIQ164" s="922"/>
      <c r="AIR164" s="922"/>
      <c r="AIS164" s="922"/>
      <c r="AIT164" s="922"/>
      <c r="AIU164" s="922"/>
      <c r="AIV164" s="922"/>
      <c r="AIW164" s="922"/>
      <c r="AIX164" s="922"/>
      <c r="AIY164" s="922"/>
      <c r="AIZ164" s="922"/>
      <c r="AJA164" s="922"/>
      <c r="AJB164" s="922"/>
      <c r="AJC164" s="922"/>
      <c r="AJD164" s="922"/>
      <c r="AJE164" s="922"/>
      <c r="AJF164" s="922"/>
      <c r="AJG164" s="922"/>
      <c r="AJH164" s="922"/>
      <c r="AJI164" s="922"/>
      <c r="AJJ164" s="922"/>
      <c r="AJK164" s="922"/>
      <c r="AJL164" s="922"/>
      <c r="AJM164" s="922"/>
      <c r="AJN164" s="922"/>
      <c r="AJO164" s="922"/>
      <c r="AJP164" s="922"/>
      <c r="AJQ164" s="922"/>
      <c r="AJR164" s="922"/>
      <c r="AJS164" s="922"/>
      <c r="AJT164" s="922"/>
      <c r="AJU164" s="922"/>
      <c r="AJV164" s="922"/>
      <c r="AJW164" s="922"/>
      <c r="AJX164" s="922"/>
      <c r="AJY164" s="922"/>
      <c r="AJZ164" s="922"/>
      <c r="AKA164" s="922"/>
      <c r="AKB164" s="922"/>
      <c r="AKC164" s="922"/>
      <c r="AKD164" s="922"/>
      <c r="AKE164" s="922"/>
      <c r="AKF164" s="922"/>
      <c r="AKG164" s="922"/>
      <c r="AKH164" s="922"/>
      <c r="AKI164" s="922"/>
      <c r="AKJ164" s="922"/>
      <c r="AKK164" s="922"/>
      <c r="AKL164" s="922"/>
      <c r="AKM164" s="922"/>
      <c r="AKN164" s="922"/>
      <c r="AKO164" s="922"/>
      <c r="AKP164" s="922"/>
      <c r="AKQ164" s="922"/>
      <c r="AKR164" s="922"/>
      <c r="AKS164" s="922"/>
      <c r="AKT164" s="922"/>
      <c r="AKU164" s="922"/>
      <c r="AKV164" s="922"/>
      <c r="AKW164" s="922"/>
      <c r="AKX164" s="922"/>
      <c r="AKY164" s="922"/>
      <c r="AKZ164" s="922"/>
      <c r="ALA164" s="922"/>
      <c r="ALB164" s="922"/>
      <c r="ALC164" s="922"/>
      <c r="ALD164" s="922"/>
      <c r="ALE164" s="922"/>
      <c r="ALF164" s="922"/>
      <c r="ALG164" s="922"/>
      <c r="ALH164" s="922"/>
      <c r="ALI164" s="922"/>
      <c r="ALJ164" s="922"/>
      <c r="ALK164" s="922"/>
      <c r="ALL164" s="922"/>
      <c r="ALM164" s="922"/>
      <c r="ALN164" s="922"/>
      <c r="ALO164" s="922"/>
      <c r="ALP164" s="922"/>
      <c r="ALQ164" s="922"/>
      <c r="ALR164" s="922"/>
      <c r="ALS164" s="922"/>
      <c r="ALT164" s="922"/>
      <c r="ALU164" s="922"/>
      <c r="ALV164" s="922"/>
      <c r="ALW164" s="922"/>
      <c r="ALX164" s="922"/>
      <c r="ALY164" s="922"/>
      <c r="ALZ164" s="922"/>
      <c r="AMA164" s="922"/>
      <c r="AMB164" s="922"/>
      <c r="AMC164" s="922"/>
      <c r="AMD164" s="922"/>
      <c r="AME164" s="922"/>
      <c r="AMF164" s="922"/>
      <c r="AMG164" s="922"/>
      <c r="AMH164" s="922"/>
      <c r="AMI164" s="922"/>
      <c r="AMJ164" s="922"/>
      <c r="AMK164" s="922"/>
      <c r="AML164" s="922"/>
      <c r="AMM164" s="922"/>
      <c r="AMN164" s="922"/>
      <c r="AMO164" s="922"/>
      <c r="AMP164" s="922"/>
      <c r="AMQ164" s="922"/>
      <c r="AMR164" s="922"/>
      <c r="AMS164" s="922"/>
      <c r="AMT164" s="922"/>
      <c r="AMU164" s="922"/>
      <c r="AMV164" s="922"/>
      <c r="AMW164" s="922"/>
      <c r="AMX164" s="922"/>
      <c r="AMY164" s="922"/>
      <c r="AMZ164" s="922"/>
      <c r="ANA164" s="922"/>
      <c r="ANB164" s="922"/>
      <c r="ANC164" s="922"/>
      <c r="AND164" s="922"/>
      <c r="ANE164" s="922"/>
      <c r="ANF164" s="922"/>
      <c r="ANG164" s="922"/>
      <c r="ANH164" s="922"/>
      <c r="ANI164" s="922"/>
      <c r="ANJ164" s="922"/>
      <c r="ANK164" s="922"/>
      <c r="ANL164" s="922"/>
      <c r="ANM164" s="922"/>
      <c r="ANN164" s="922"/>
      <c r="ANO164" s="922"/>
      <c r="ANP164" s="922"/>
      <c r="ANQ164" s="922"/>
      <c r="ANR164" s="922"/>
      <c r="ANS164" s="922"/>
      <c r="ANT164" s="922"/>
      <c r="ANU164" s="922"/>
      <c r="ANV164" s="922"/>
      <c r="ANW164" s="922"/>
      <c r="ANX164" s="922"/>
      <c r="ANY164" s="922"/>
      <c r="ANZ164" s="922"/>
      <c r="AOA164" s="922"/>
      <c r="AOB164" s="922"/>
      <c r="AOC164" s="922"/>
      <c r="AOD164" s="922"/>
      <c r="AOE164" s="922"/>
      <c r="AOF164" s="922"/>
      <c r="AOG164" s="922"/>
      <c r="AOH164" s="922"/>
      <c r="AOI164" s="922"/>
      <c r="AOJ164" s="922"/>
      <c r="AOK164" s="922"/>
      <c r="AOL164" s="922"/>
      <c r="AOM164" s="922"/>
      <c r="AON164" s="922"/>
      <c r="AOO164" s="922"/>
      <c r="AOP164" s="922"/>
      <c r="AOQ164" s="922"/>
      <c r="AOR164" s="922"/>
      <c r="AOS164" s="922"/>
      <c r="AOT164" s="922"/>
      <c r="AOU164" s="922"/>
      <c r="AOV164" s="922"/>
      <c r="AOW164" s="922"/>
      <c r="AOX164" s="922"/>
      <c r="AOY164" s="922"/>
      <c r="AOZ164" s="922"/>
      <c r="APA164" s="922"/>
      <c r="APB164" s="922"/>
      <c r="APC164" s="922"/>
      <c r="APD164" s="922"/>
      <c r="APE164" s="922"/>
      <c r="APF164" s="922"/>
      <c r="APG164" s="922"/>
      <c r="APH164" s="922"/>
      <c r="API164" s="922"/>
      <c r="APJ164" s="922"/>
      <c r="APK164" s="922"/>
      <c r="APL164" s="922"/>
      <c r="APM164" s="922"/>
      <c r="APN164" s="922"/>
      <c r="APO164" s="922"/>
      <c r="APP164" s="922"/>
      <c r="APQ164" s="922"/>
      <c r="APR164" s="922"/>
      <c r="APS164" s="922"/>
      <c r="APT164" s="922"/>
      <c r="APU164" s="922"/>
      <c r="APV164" s="922"/>
      <c r="APW164" s="922"/>
      <c r="APX164" s="922"/>
      <c r="APY164" s="922"/>
      <c r="APZ164" s="922"/>
      <c r="AQA164" s="922"/>
      <c r="AQB164" s="922"/>
      <c r="AQC164" s="922"/>
      <c r="AQD164" s="922"/>
      <c r="AQE164" s="922"/>
      <c r="AQF164" s="922"/>
      <c r="AQG164" s="922"/>
      <c r="AQH164" s="922"/>
      <c r="AQI164" s="922"/>
      <c r="AQJ164" s="922"/>
      <c r="AQK164" s="922"/>
      <c r="AQL164" s="922"/>
      <c r="AQM164" s="922"/>
      <c r="AQN164" s="922"/>
      <c r="AQO164" s="922"/>
      <c r="AQP164" s="922"/>
      <c r="AQQ164" s="922"/>
      <c r="AQR164" s="922"/>
      <c r="AQS164" s="922"/>
      <c r="AQT164" s="922"/>
      <c r="AQU164" s="922"/>
      <c r="AQV164" s="922"/>
      <c r="AQW164" s="922"/>
      <c r="AQX164" s="922"/>
      <c r="AQY164" s="922"/>
      <c r="AQZ164" s="922"/>
      <c r="ARA164" s="922"/>
      <c r="ARB164" s="922"/>
      <c r="ARC164" s="922"/>
      <c r="ARD164" s="922"/>
      <c r="ARE164" s="922"/>
      <c r="ARF164" s="922"/>
      <c r="ARG164" s="922"/>
      <c r="ARH164" s="922"/>
      <c r="ARI164" s="922"/>
      <c r="ARJ164" s="922"/>
      <c r="ARK164" s="922"/>
      <c r="ARL164" s="922"/>
      <c r="ARM164" s="922"/>
      <c r="ARN164" s="922"/>
      <c r="ARO164" s="922"/>
      <c r="ARP164" s="922"/>
      <c r="ARQ164" s="922"/>
      <c r="ARR164" s="922"/>
      <c r="ARS164" s="922"/>
      <c r="ART164" s="922"/>
      <c r="ARU164" s="922"/>
      <c r="ARV164" s="922"/>
      <c r="ARW164" s="922"/>
      <c r="ARX164" s="922"/>
      <c r="ARY164" s="922"/>
      <c r="ARZ164" s="922"/>
      <c r="ASA164" s="922"/>
      <c r="ASB164" s="922"/>
      <c r="ASC164" s="922"/>
    </row>
    <row r="165" spans="1:1173" hidden="1">
      <c r="A165" s="920"/>
      <c r="T165" s="922"/>
      <c r="AN165" s="922"/>
      <c r="AO165" s="922"/>
      <c r="AP165" s="922"/>
      <c r="AQ165" s="922"/>
      <c r="AR165" s="922"/>
      <c r="AS165" s="922"/>
      <c r="AT165" s="922"/>
      <c r="AU165" s="922"/>
      <c r="AV165" s="922"/>
      <c r="AW165" s="922"/>
      <c r="AX165" s="922"/>
      <c r="AY165" s="922"/>
      <c r="AZ165" s="922"/>
      <c r="BA165" s="922"/>
      <c r="BB165" s="922"/>
      <c r="BC165" s="922"/>
      <c r="BD165" s="922"/>
      <c r="BE165" s="922"/>
      <c r="BF165" s="922"/>
      <c r="BG165" s="922"/>
      <c r="BH165" s="922"/>
      <c r="BI165" s="922"/>
      <c r="BJ165" s="922"/>
      <c r="BK165" s="922"/>
      <c r="BL165" s="922"/>
      <c r="BM165" s="922"/>
      <c r="BN165" s="922"/>
      <c r="BO165" s="922"/>
      <c r="BP165" s="922"/>
      <c r="BQ165" s="922"/>
      <c r="BR165" s="922"/>
      <c r="BS165" s="922"/>
      <c r="BT165" s="922"/>
      <c r="BU165" s="922"/>
      <c r="BV165" s="922"/>
      <c r="BW165" s="922"/>
      <c r="BX165" s="922"/>
      <c r="BY165" s="922"/>
      <c r="BZ165" s="922"/>
      <c r="CA165" s="922"/>
      <c r="CB165" s="922"/>
      <c r="CC165" s="922"/>
      <c r="CD165" s="922"/>
      <c r="CE165" s="922"/>
      <c r="CF165" s="922"/>
      <c r="CG165" s="922"/>
      <c r="CH165" s="922"/>
      <c r="CI165" s="922"/>
      <c r="CJ165" s="922"/>
      <c r="CK165" s="922"/>
      <c r="CL165" s="922"/>
      <c r="CM165" s="922"/>
      <c r="CN165" s="922"/>
      <c r="CO165" s="922"/>
      <c r="CP165" s="922"/>
      <c r="CQ165" s="922"/>
      <c r="CR165" s="922"/>
      <c r="CS165" s="922"/>
      <c r="CT165" s="922"/>
      <c r="CU165" s="922"/>
      <c r="CV165" s="922"/>
      <c r="CW165" s="922"/>
      <c r="CX165" s="922"/>
      <c r="CY165" s="922"/>
      <c r="CZ165" s="922"/>
      <c r="DA165" s="922"/>
      <c r="DB165" s="922"/>
      <c r="DC165" s="922"/>
      <c r="DD165" s="922"/>
      <c r="DE165" s="922"/>
      <c r="DF165" s="922"/>
      <c r="DG165" s="922"/>
      <c r="DH165" s="922"/>
      <c r="DI165" s="922"/>
      <c r="DJ165" s="922"/>
      <c r="DK165" s="922"/>
      <c r="DL165" s="922"/>
      <c r="DM165" s="922"/>
      <c r="DN165" s="922"/>
      <c r="DO165" s="922"/>
      <c r="DP165" s="922"/>
      <c r="DQ165" s="922"/>
      <c r="DR165" s="922"/>
      <c r="DS165" s="922"/>
      <c r="DT165" s="922"/>
      <c r="DU165" s="922"/>
      <c r="DV165" s="922"/>
      <c r="DW165" s="922"/>
      <c r="DX165" s="922"/>
      <c r="DY165" s="922"/>
      <c r="DZ165" s="922"/>
      <c r="EA165" s="922"/>
      <c r="EB165" s="922"/>
      <c r="EC165" s="922"/>
      <c r="ED165" s="922"/>
      <c r="EE165" s="922"/>
      <c r="EF165" s="922"/>
      <c r="EG165" s="922"/>
      <c r="EH165" s="922"/>
      <c r="EI165" s="922"/>
      <c r="EJ165" s="922"/>
      <c r="EK165" s="922"/>
      <c r="EL165" s="922"/>
      <c r="EM165" s="922"/>
      <c r="EN165" s="922"/>
      <c r="EO165" s="922"/>
      <c r="EP165" s="922"/>
      <c r="EQ165" s="922"/>
      <c r="ER165" s="922"/>
      <c r="ES165" s="922"/>
      <c r="ET165" s="922"/>
      <c r="EU165" s="922"/>
      <c r="EV165" s="922"/>
      <c r="EW165" s="922"/>
      <c r="EX165" s="922"/>
      <c r="EY165" s="922"/>
      <c r="EZ165" s="922"/>
      <c r="FA165" s="922"/>
      <c r="FB165" s="922"/>
      <c r="FC165" s="922"/>
      <c r="FD165" s="922"/>
      <c r="FE165" s="922"/>
      <c r="FF165" s="922"/>
      <c r="FG165" s="922"/>
      <c r="FH165" s="922"/>
      <c r="FI165" s="922"/>
      <c r="FJ165" s="922"/>
      <c r="FK165" s="922"/>
      <c r="FL165" s="922"/>
      <c r="FM165" s="922"/>
      <c r="FN165" s="922"/>
      <c r="FO165" s="922"/>
      <c r="FP165" s="922"/>
      <c r="FQ165" s="922"/>
      <c r="FR165" s="922"/>
      <c r="FS165" s="922"/>
      <c r="FT165" s="922"/>
      <c r="FU165" s="922"/>
      <c r="FV165" s="922"/>
      <c r="FW165" s="922"/>
      <c r="FX165" s="922"/>
      <c r="FY165" s="922"/>
      <c r="FZ165" s="922"/>
      <c r="GA165" s="922"/>
      <c r="GB165" s="922"/>
      <c r="GC165" s="922"/>
      <c r="GD165" s="922"/>
      <c r="GE165" s="922"/>
      <c r="GF165" s="922"/>
      <c r="GG165" s="922"/>
      <c r="GH165" s="922"/>
      <c r="GI165" s="922"/>
      <c r="GJ165" s="922"/>
      <c r="GK165" s="922"/>
      <c r="GL165" s="922"/>
      <c r="GM165" s="922"/>
      <c r="GN165" s="922"/>
      <c r="GO165" s="922"/>
      <c r="GP165" s="922"/>
      <c r="GQ165" s="922"/>
      <c r="GR165" s="922"/>
      <c r="GS165" s="922"/>
      <c r="GT165" s="922"/>
      <c r="GU165" s="922"/>
      <c r="GV165" s="922"/>
      <c r="GW165" s="922"/>
      <c r="GX165" s="922"/>
      <c r="GY165" s="922"/>
      <c r="GZ165" s="922"/>
      <c r="HA165" s="922"/>
      <c r="HB165" s="922"/>
      <c r="HC165" s="922"/>
      <c r="HD165" s="922"/>
      <c r="HE165" s="922"/>
      <c r="HF165" s="922"/>
      <c r="HG165" s="922"/>
      <c r="HH165" s="922"/>
      <c r="HI165" s="922"/>
      <c r="HJ165" s="922"/>
      <c r="HK165" s="922"/>
      <c r="HL165" s="922"/>
      <c r="HM165" s="922"/>
      <c r="HN165" s="922"/>
      <c r="HO165" s="922"/>
      <c r="HP165" s="922"/>
      <c r="HQ165" s="922"/>
      <c r="HR165" s="922"/>
      <c r="HS165" s="922"/>
      <c r="HT165" s="922"/>
      <c r="HU165" s="922"/>
      <c r="HV165" s="922"/>
      <c r="HW165" s="922"/>
      <c r="HX165" s="922"/>
      <c r="HY165" s="922"/>
      <c r="HZ165" s="922"/>
      <c r="IA165" s="922"/>
      <c r="IB165" s="922"/>
      <c r="IC165" s="922"/>
      <c r="ID165" s="922"/>
      <c r="IE165" s="922"/>
      <c r="IF165" s="922"/>
      <c r="IG165" s="922"/>
      <c r="IH165" s="922"/>
      <c r="II165" s="922"/>
      <c r="IJ165" s="922"/>
      <c r="IK165" s="922"/>
      <c r="IL165" s="922"/>
      <c r="IM165" s="922"/>
      <c r="IN165" s="922"/>
      <c r="IO165" s="922"/>
      <c r="IP165" s="922"/>
      <c r="IQ165" s="922"/>
      <c r="IR165" s="922"/>
      <c r="IS165" s="922"/>
      <c r="IT165" s="922"/>
      <c r="IU165" s="922"/>
      <c r="IV165" s="922"/>
      <c r="IW165" s="922"/>
      <c r="IX165" s="922"/>
      <c r="IY165" s="922"/>
      <c r="IZ165" s="922"/>
      <c r="JA165" s="922"/>
      <c r="JB165" s="922"/>
      <c r="JC165" s="922"/>
      <c r="JD165" s="922"/>
      <c r="JE165" s="922"/>
      <c r="JF165" s="922"/>
      <c r="JG165" s="922"/>
      <c r="JH165" s="922"/>
      <c r="JI165" s="922"/>
      <c r="JJ165" s="922"/>
      <c r="JK165" s="922"/>
      <c r="JL165" s="922"/>
      <c r="JM165" s="922"/>
      <c r="JN165" s="922"/>
      <c r="JO165" s="922"/>
      <c r="JP165" s="922"/>
      <c r="JQ165" s="922"/>
      <c r="JR165" s="922"/>
      <c r="JS165" s="922"/>
      <c r="JT165" s="922"/>
      <c r="JU165" s="922"/>
      <c r="JV165" s="922"/>
      <c r="JW165" s="922"/>
      <c r="JX165" s="922"/>
      <c r="JY165" s="922"/>
      <c r="JZ165" s="922"/>
      <c r="KA165" s="922"/>
      <c r="KB165" s="922"/>
      <c r="KC165" s="922"/>
      <c r="KD165" s="922"/>
      <c r="KE165" s="922"/>
      <c r="KF165" s="922"/>
      <c r="KG165" s="922"/>
      <c r="KH165" s="922"/>
      <c r="KI165" s="922"/>
      <c r="KJ165" s="922"/>
      <c r="KK165" s="922"/>
      <c r="KL165" s="922"/>
      <c r="KM165" s="922"/>
      <c r="KN165" s="922"/>
      <c r="KO165" s="922"/>
      <c r="KP165" s="922"/>
      <c r="KQ165" s="922"/>
      <c r="KR165" s="922"/>
      <c r="KS165" s="922"/>
      <c r="KT165" s="922"/>
      <c r="KU165" s="922"/>
      <c r="KV165" s="922"/>
      <c r="KW165" s="922"/>
      <c r="KX165" s="922"/>
      <c r="KY165" s="922"/>
      <c r="KZ165" s="922"/>
      <c r="LA165" s="922"/>
      <c r="LB165" s="922"/>
      <c r="LC165" s="922"/>
      <c r="LD165" s="922"/>
      <c r="LE165" s="922"/>
      <c r="LF165" s="922"/>
      <c r="LG165" s="922"/>
      <c r="LH165" s="922"/>
      <c r="LI165" s="922"/>
      <c r="LJ165" s="922"/>
      <c r="LK165" s="922"/>
      <c r="LL165" s="922"/>
      <c r="LM165" s="922"/>
      <c r="LN165" s="922"/>
      <c r="LO165" s="922"/>
      <c r="LP165" s="922"/>
      <c r="LQ165" s="922"/>
      <c r="LR165" s="922"/>
      <c r="LS165" s="922"/>
      <c r="LT165" s="922"/>
      <c r="LU165" s="922"/>
      <c r="LV165" s="922"/>
      <c r="LW165" s="922"/>
      <c r="LX165" s="922"/>
      <c r="LY165" s="922"/>
      <c r="LZ165" s="922"/>
      <c r="MA165" s="922"/>
      <c r="MB165" s="922"/>
      <c r="MC165" s="922"/>
      <c r="MD165" s="922"/>
      <c r="ME165" s="922"/>
      <c r="MF165" s="922"/>
      <c r="MG165" s="922"/>
      <c r="MH165" s="922"/>
      <c r="MI165" s="922"/>
      <c r="MJ165" s="922"/>
      <c r="MK165" s="922"/>
      <c r="ML165" s="922"/>
      <c r="MM165" s="922"/>
      <c r="MN165" s="922"/>
      <c r="MO165" s="922"/>
      <c r="MP165" s="922"/>
      <c r="MQ165" s="922"/>
      <c r="MR165" s="922"/>
      <c r="MS165" s="922"/>
      <c r="MT165" s="922"/>
      <c r="MU165" s="922"/>
      <c r="MV165" s="922"/>
      <c r="MW165" s="922"/>
      <c r="MX165" s="922"/>
      <c r="MY165" s="922"/>
      <c r="MZ165" s="922"/>
      <c r="NA165" s="922"/>
      <c r="NB165" s="922"/>
      <c r="NC165" s="922"/>
      <c r="ND165" s="922"/>
      <c r="NE165" s="922"/>
      <c r="NF165" s="922"/>
      <c r="NG165" s="922"/>
      <c r="NH165" s="922"/>
      <c r="NI165" s="922"/>
      <c r="NJ165" s="922"/>
      <c r="NK165" s="922"/>
      <c r="NL165" s="922"/>
      <c r="NM165" s="922"/>
      <c r="NN165" s="922"/>
      <c r="NO165" s="922"/>
      <c r="NP165" s="922"/>
      <c r="NQ165" s="922"/>
      <c r="NR165" s="922"/>
      <c r="NS165" s="922"/>
      <c r="NT165" s="922"/>
      <c r="NU165" s="922"/>
      <c r="NV165" s="922"/>
      <c r="NW165" s="922"/>
      <c r="NX165" s="922"/>
      <c r="NY165" s="922"/>
      <c r="NZ165" s="922"/>
      <c r="OA165" s="922"/>
      <c r="OB165" s="922"/>
      <c r="OC165" s="922"/>
      <c r="OD165" s="922"/>
      <c r="OE165" s="922"/>
      <c r="OF165" s="922"/>
      <c r="OG165" s="922"/>
      <c r="OH165" s="922"/>
      <c r="OI165" s="922"/>
      <c r="OJ165" s="922"/>
      <c r="OK165" s="922"/>
      <c r="OL165" s="922"/>
      <c r="OM165" s="922"/>
      <c r="ON165" s="922"/>
      <c r="OO165" s="922"/>
      <c r="OP165" s="922"/>
      <c r="OQ165" s="922"/>
      <c r="OR165" s="922"/>
      <c r="OS165" s="922"/>
      <c r="OT165" s="922"/>
      <c r="OU165" s="922"/>
      <c r="OV165" s="922"/>
      <c r="OW165" s="922"/>
      <c r="OX165" s="922"/>
      <c r="OY165" s="922"/>
      <c r="OZ165" s="922"/>
      <c r="PA165" s="922"/>
      <c r="PB165" s="922"/>
      <c r="PC165" s="922"/>
      <c r="PD165" s="922"/>
      <c r="PE165" s="922"/>
      <c r="PF165" s="922"/>
      <c r="PG165" s="922"/>
      <c r="PH165" s="922"/>
      <c r="PI165" s="922"/>
      <c r="PJ165" s="922"/>
      <c r="PK165" s="922"/>
      <c r="PL165" s="922"/>
      <c r="PM165" s="922"/>
      <c r="PN165" s="922"/>
      <c r="PO165" s="922"/>
      <c r="PP165" s="922"/>
      <c r="PQ165" s="922"/>
      <c r="PR165" s="922"/>
      <c r="PS165" s="922"/>
      <c r="PT165" s="922"/>
      <c r="PU165" s="922"/>
      <c r="PV165" s="922"/>
      <c r="PW165" s="922"/>
      <c r="PX165" s="922"/>
      <c r="PY165" s="922"/>
      <c r="PZ165" s="922"/>
      <c r="QA165" s="922"/>
      <c r="QB165" s="922"/>
      <c r="QC165" s="922"/>
      <c r="QD165" s="922"/>
      <c r="QE165" s="922"/>
      <c r="QF165" s="922"/>
      <c r="QG165" s="922"/>
      <c r="QH165" s="922"/>
      <c r="QI165" s="922"/>
      <c r="QJ165" s="922"/>
      <c r="QK165" s="922"/>
      <c r="QL165" s="922"/>
      <c r="QM165" s="922"/>
      <c r="QN165" s="922"/>
      <c r="QO165" s="922"/>
      <c r="QP165" s="922"/>
      <c r="QQ165" s="922"/>
      <c r="QR165" s="922"/>
      <c r="QS165" s="922"/>
      <c r="QT165" s="922"/>
      <c r="QU165" s="922"/>
      <c r="QV165" s="922"/>
      <c r="QW165" s="922"/>
      <c r="QX165" s="922"/>
      <c r="QY165" s="922"/>
      <c r="QZ165" s="922"/>
      <c r="RA165" s="922"/>
      <c r="RB165" s="922"/>
      <c r="RC165" s="922"/>
      <c r="RD165" s="922"/>
      <c r="RE165" s="922"/>
      <c r="RF165" s="922"/>
      <c r="RG165" s="922"/>
      <c r="RH165" s="922"/>
      <c r="RI165" s="922"/>
      <c r="RJ165" s="922"/>
      <c r="RK165" s="922"/>
      <c r="RL165" s="922"/>
      <c r="RM165" s="922"/>
      <c r="RN165" s="922"/>
      <c r="RO165" s="922"/>
      <c r="RP165" s="922"/>
      <c r="RQ165" s="922"/>
      <c r="RR165" s="922"/>
      <c r="RS165" s="922"/>
      <c r="RT165" s="922"/>
      <c r="RU165" s="922"/>
      <c r="RV165" s="922"/>
      <c r="RW165" s="922"/>
      <c r="RX165" s="922"/>
      <c r="RY165" s="922"/>
      <c r="RZ165" s="922"/>
      <c r="SA165" s="922"/>
      <c r="SB165" s="922"/>
      <c r="SC165" s="922"/>
      <c r="SD165" s="922"/>
      <c r="SE165" s="922"/>
      <c r="SF165" s="922"/>
      <c r="SG165" s="922"/>
      <c r="SH165" s="922"/>
      <c r="SI165" s="922"/>
      <c r="SJ165" s="922"/>
      <c r="SK165" s="922"/>
      <c r="SL165" s="922"/>
      <c r="SM165" s="922"/>
      <c r="SN165" s="922"/>
      <c r="SO165" s="922"/>
      <c r="SP165" s="922"/>
      <c r="SQ165" s="922"/>
      <c r="SR165" s="922"/>
      <c r="SS165" s="922"/>
      <c r="ST165" s="922"/>
      <c r="SU165" s="922"/>
      <c r="SV165" s="922"/>
      <c r="SW165" s="922"/>
      <c r="SX165" s="922"/>
      <c r="SY165" s="922"/>
      <c r="SZ165" s="922"/>
      <c r="TA165" s="922"/>
      <c r="TB165" s="922"/>
      <c r="TC165" s="922"/>
      <c r="TD165" s="922"/>
      <c r="TE165" s="922"/>
      <c r="TF165" s="922"/>
      <c r="TG165" s="922"/>
      <c r="TH165" s="922"/>
      <c r="TI165" s="922"/>
      <c r="TJ165" s="922"/>
      <c r="TK165" s="922"/>
      <c r="TL165" s="922"/>
      <c r="TM165" s="922"/>
      <c r="TN165" s="922"/>
      <c r="TO165" s="922"/>
      <c r="TP165" s="922"/>
      <c r="TQ165" s="922"/>
      <c r="TR165" s="922"/>
      <c r="TS165" s="922"/>
      <c r="TT165" s="922"/>
      <c r="TU165" s="922"/>
      <c r="TV165" s="922"/>
      <c r="TW165" s="922"/>
      <c r="TX165" s="922"/>
      <c r="TY165" s="922"/>
      <c r="TZ165" s="922"/>
      <c r="UA165" s="922"/>
      <c r="UB165" s="922"/>
      <c r="UC165" s="922"/>
      <c r="UD165" s="922"/>
      <c r="UE165" s="922"/>
      <c r="UF165" s="922"/>
      <c r="UG165" s="922"/>
      <c r="UH165" s="922"/>
      <c r="UI165" s="922"/>
      <c r="UJ165" s="922"/>
      <c r="UK165" s="922"/>
      <c r="UL165" s="922"/>
      <c r="UM165" s="922"/>
      <c r="UN165" s="922"/>
      <c r="UO165" s="922"/>
      <c r="UP165" s="922"/>
      <c r="UQ165" s="922"/>
      <c r="UR165" s="922"/>
      <c r="US165" s="922"/>
      <c r="UT165" s="922"/>
      <c r="UU165" s="922"/>
      <c r="UV165" s="922"/>
      <c r="UW165" s="922"/>
      <c r="UX165" s="922"/>
      <c r="UY165" s="922"/>
      <c r="UZ165" s="922"/>
      <c r="VA165" s="922"/>
      <c r="VB165" s="922"/>
      <c r="VC165" s="922"/>
      <c r="VD165" s="922"/>
      <c r="VE165" s="922"/>
      <c r="VF165" s="922"/>
      <c r="VG165" s="922"/>
      <c r="VH165" s="922"/>
      <c r="VI165" s="922"/>
      <c r="VJ165" s="922"/>
      <c r="VK165" s="922"/>
      <c r="VL165" s="922"/>
      <c r="VM165" s="922"/>
      <c r="VN165" s="922"/>
      <c r="VO165" s="922"/>
      <c r="VP165" s="922"/>
      <c r="VQ165" s="922"/>
      <c r="VR165" s="922"/>
      <c r="VS165" s="922"/>
      <c r="VT165" s="922"/>
      <c r="VU165" s="922"/>
      <c r="VV165" s="922"/>
      <c r="VW165" s="922"/>
      <c r="VX165" s="922"/>
      <c r="VY165" s="922"/>
      <c r="VZ165" s="922"/>
      <c r="WA165" s="922"/>
      <c r="WB165" s="922"/>
      <c r="WC165" s="922"/>
      <c r="WD165" s="922"/>
      <c r="WE165" s="922"/>
      <c r="WF165" s="922"/>
      <c r="WG165" s="922"/>
      <c r="WH165" s="922"/>
      <c r="WI165" s="922"/>
      <c r="WJ165" s="922"/>
      <c r="WK165" s="922"/>
      <c r="WL165" s="922"/>
      <c r="WM165" s="922"/>
      <c r="WN165" s="922"/>
      <c r="WO165" s="922"/>
      <c r="WP165" s="922"/>
      <c r="WQ165" s="922"/>
      <c r="WR165" s="922"/>
      <c r="WS165" s="922"/>
      <c r="WT165" s="922"/>
      <c r="WU165" s="922"/>
      <c r="WV165" s="922"/>
      <c r="WW165" s="922"/>
      <c r="WX165" s="922"/>
      <c r="WY165" s="922"/>
      <c r="WZ165" s="922"/>
      <c r="XA165" s="922"/>
      <c r="XB165" s="922"/>
      <c r="XC165" s="922"/>
      <c r="XD165" s="922"/>
      <c r="XE165" s="922"/>
      <c r="XF165" s="922"/>
      <c r="XG165" s="922"/>
      <c r="XH165" s="922"/>
      <c r="XI165" s="922"/>
      <c r="XJ165" s="922"/>
      <c r="XK165" s="922"/>
      <c r="XL165" s="922"/>
      <c r="XM165" s="922"/>
      <c r="XN165" s="922"/>
      <c r="XO165" s="922"/>
      <c r="XP165" s="922"/>
      <c r="XQ165" s="922"/>
      <c r="XR165" s="922"/>
      <c r="XS165" s="922"/>
      <c r="XT165" s="922"/>
      <c r="XU165" s="922"/>
      <c r="XV165" s="922"/>
      <c r="XW165" s="922"/>
      <c r="XX165" s="922"/>
      <c r="XY165" s="922"/>
      <c r="XZ165" s="922"/>
      <c r="YA165" s="922"/>
      <c r="YB165" s="922"/>
      <c r="YC165" s="922"/>
      <c r="YD165" s="922"/>
      <c r="YE165" s="922"/>
      <c r="YF165" s="922"/>
      <c r="YG165" s="922"/>
      <c r="YH165" s="922"/>
      <c r="YI165" s="922"/>
      <c r="YJ165" s="922"/>
      <c r="YK165" s="922"/>
      <c r="YL165" s="922"/>
      <c r="YM165" s="922"/>
      <c r="YN165" s="922"/>
      <c r="YO165" s="922"/>
      <c r="YP165" s="922"/>
      <c r="YQ165" s="922"/>
      <c r="YR165" s="922"/>
      <c r="YS165" s="922"/>
      <c r="YT165" s="922"/>
      <c r="YU165" s="922"/>
      <c r="YV165" s="922"/>
      <c r="YW165" s="922"/>
      <c r="YX165" s="922"/>
      <c r="YY165" s="922"/>
      <c r="YZ165" s="922"/>
      <c r="ZA165" s="922"/>
      <c r="ZB165" s="922"/>
      <c r="ZC165" s="922"/>
      <c r="ZD165" s="922"/>
      <c r="ZE165" s="922"/>
      <c r="ZF165" s="922"/>
      <c r="ZG165" s="922"/>
      <c r="ZH165" s="922"/>
      <c r="ZI165" s="922"/>
      <c r="ZJ165" s="922"/>
      <c r="ZK165" s="922"/>
      <c r="ZL165" s="922"/>
      <c r="ZM165" s="922"/>
      <c r="ZN165" s="922"/>
      <c r="ZO165" s="922"/>
      <c r="ZP165" s="922"/>
      <c r="ZQ165" s="922"/>
      <c r="ZR165" s="922"/>
      <c r="ZS165" s="922"/>
      <c r="ZT165" s="922"/>
      <c r="ZU165" s="922"/>
      <c r="ZV165" s="922"/>
      <c r="ZW165" s="922"/>
      <c r="ZX165" s="922"/>
      <c r="ZY165" s="922"/>
      <c r="ZZ165" s="922"/>
      <c r="AAA165" s="922"/>
      <c r="AAB165" s="922"/>
      <c r="AAC165" s="922"/>
      <c r="AAD165" s="922"/>
      <c r="AAE165" s="922"/>
      <c r="AAF165" s="922"/>
      <c r="AAG165" s="922"/>
      <c r="AAH165" s="922"/>
      <c r="AAI165" s="922"/>
      <c r="AAJ165" s="922"/>
      <c r="AAK165" s="922"/>
      <c r="AAL165" s="922"/>
      <c r="AAM165" s="922"/>
      <c r="AAN165" s="922"/>
      <c r="AAO165" s="922"/>
      <c r="AAP165" s="922"/>
      <c r="AAQ165" s="922"/>
      <c r="AAR165" s="922"/>
      <c r="AAS165" s="922"/>
      <c r="AAT165" s="922"/>
      <c r="AAU165" s="922"/>
      <c r="AAV165" s="922"/>
      <c r="AAW165" s="922"/>
      <c r="AAX165" s="922"/>
      <c r="AAY165" s="922"/>
      <c r="AAZ165" s="922"/>
      <c r="ABA165" s="922"/>
      <c r="ABB165" s="922"/>
      <c r="ABC165" s="922"/>
      <c r="ABD165" s="922"/>
      <c r="ABE165" s="922"/>
      <c r="ABF165" s="922"/>
      <c r="ABG165" s="922"/>
      <c r="ABH165" s="922"/>
      <c r="ABI165" s="922"/>
      <c r="ABJ165" s="922"/>
      <c r="ABK165" s="922"/>
      <c r="ABL165" s="922"/>
      <c r="ABM165" s="922"/>
      <c r="ABN165" s="922"/>
      <c r="ABO165" s="922"/>
      <c r="ABP165" s="922"/>
      <c r="ABQ165" s="922"/>
      <c r="ABR165" s="922"/>
      <c r="ABS165" s="922"/>
      <c r="ABT165" s="922"/>
      <c r="ABU165" s="922"/>
      <c r="ABV165" s="922"/>
      <c r="ABW165" s="922"/>
      <c r="ABX165" s="922"/>
      <c r="ABY165" s="922"/>
      <c r="ABZ165" s="922"/>
      <c r="ACA165" s="922"/>
      <c r="ACB165" s="922"/>
      <c r="ACC165" s="922"/>
      <c r="ACD165" s="922"/>
      <c r="ACE165" s="922"/>
      <c r="ACF165" s="922"/>
      <c r="ACG165" s="922"/>
      <c r="ACH165" s="922"/>
      <c r="ACI165" s="922"/>
      <c r="ACJ165" s="922"/>
      <c r="ACK165" s="922"/>
      <c r="ACL165" s="922"/>
      <c r="ACM165" s="922"/>
      <c r="ACN165" s="922"/>
      <c r="ACO165" s="922"/>
      <c r="ACP165" s="922"/>
      <c r="ACQ165" s="922"/>
      <c r="ACR165" s="922"/>
      <c r="ACS165" s="922"/>
      <c r="ACT165" s="922"/>
      <c r="ACU165" s="922"/>
      <c r="ACV165" s="922"/>
      <c r="ACW165" s="922"/>
      <c r="ACX165" s="922"/>
      <c r="ACY165" s="922"/>
      <c r="ACZ165" s="922"/>
      <c r="ADA165" s="922"/>
      <c r="ADB165" s="922"/>
      <c r="ADC165" s="922"/>
      <c r="ADD165" s="922"/>
      <c r="ADE165" s="922"/>
      <c r="ADF165" s="922"/>
      <c r="ADG165" s="922"/>
      <c r="ADH165" s="922"/>
      <c r="ADI165" s="922"/>
      <c r="ADJ165" s="922"/>
      <c r="ADK165" s="922"/>
      <c r="ADL165" s="922"/>
      <c r="ADM165" s="922"/>
      <c r="ADN165" s="922"/>
      <c r="ADO165" s="922"/>
      <c r="ADP165" s="922"/>
      <c r="ADQ165" s="922"/>
      <c r="ADR165" s="922"/>
      <c r="ADS165" s="922"/>
      <c r="ADT165" s="922"/>
      <c r="ADU165" s="922"/>
      <c r="ADV165" s="922"/>
      <c r="ADW165" s="922"/>
      <c r="ADX165" s="922"/>
      <c r="ADY165" s="922"/>
      <c r="ADZ165" s="922"/>
      <c r="AEA165" s="922"/>
      <c r="AEB165" s="922"/>
      <c r="AEC165" s="922"/>
      <c r="AED165" s="922"/>
      <c r="AEE165" s="922"/>
      <c r="AEF165" s="922"/>
      <c r="AEG165" s="922"/>
      <c r="AEH165" s="922"/>
      <c r="AEI165" s="922"/>
      <c r="AEJ165" s="922"/>
      <c r="AEK165" s="922"/>
      <c r="AEL165" s="922"/>
      <c r="AEM165" s="922"/>
      <c r="AEN165" s="922"/>
      <c r="AEO165" s="922"/>
      <c r="AEP165" s="922"/>
      <c r="AEQ165" s="922"/>
      <c r="AER165" s="922"/>
      <c r="AES165" s="922"/>
      <c r="AET165" s="922"/>
      <c r="AEU165" s="922"/>
      <c r="AEV165" s="922"/>
      <c r="AEW165" s="922"/>
      <c r="AEX165" s="922"/>
      <c r="AEY165" s="922"/>
      <c r="AEZ165" s="922"/>
      <c r="AFA165" s="922"/>
      <c r="AFB165" s="922"/>
      <c r="AFC165" s="922"/>
      <c r="AFD165" s="922"/>
      <c r="AFE165" s="922"/>
      <c r="AFF165" s="922"/>
      <c r="AFG165" s="922"/>
      <c r="AFH165" s="922"/>
      <c r="AFI165" s="922"/>
      <c r="AFJ165" s="922"/>
      <c r="AFK165" s="922"/>
      <c r="AFL165" s="922"/>
      <c r="AFM165" s="922"/>
      <c r="AFN165" s="922"/>
      <c r="AFO165" s="922"/>
      <c r="AFP165" s="922"/>
      <c r="AFQ165" s="922"/>
      <c r="AFR165" s="922"/>
      <c r="AFS165" s="922"/>
      <c r="AFT165" s="922"/>
      <c r="AFU165" s="922"/>
      <c r="AFV165" s="922"/>
      <c r="AFW165" s="922"/>
      <c r="AFX165" s="922"/>
      <c r="AFY165" s="922"/>
      <c r="AFZ165" s="922"/>
      <c r="AGA165" s="922"/>
      <c r="AGB165" s="922"/>
      <c r="AGC165" s="922"/>
      <c r="AGD165" s="922"/>
      <c r="AGE165" s="922"/>
      <c r="AGF165" s="922"/>
      <c r="AGG165" s="922"/>
      <c r="AGH165" s="922"/>
      <c r="AGI165" s="922"/>
      <c r="AGJ165" s="922"/>
      <c r="AGK165" s="922"/>
      <c r="AGL165" s="922"/>
      <c r="AGM165" s="922"/>
      <c r="AGN165" s="922"/>
      <c r="AGO165" s="922"/>
      <c r="AGP165" s="922"/>
      <c r="AGQ165" s="922"/>
      <c r="AGR165" s="922"/>
      <c r="AGS165" s="922"/>
      <c r="AGT165" s="922"/>
      <c r="AGU165" s="922"/>
      <c r="AGV165" s="922"/>
      <c r="AGW165" s="922"/>
      <c r="AGX165" s="922"/>
      <c r="AGY165" s="922"/>
      <c r="AGZ165" s="922"/>
      <c r="AHA165" s="922"/>
      <c r="AHB165" s="922"/>
      <c r="AHC165" s="922"/>
      <c r="AHD165" s="922"/>
      <c r="AHE165" s="922"/>
      <c r="AHF165" s="922"/>
      <c r="AHG165" s="922"/>
      <c r="AHH165" s="922"/>
      <c r="AHI165" s="922"/>
      <c r="AHJ165" s="922"/>
      <c r="AHK165" s="922"/>
      <c r="AHL165" s="922"/>
      <c r="AHM165" s="922"/>
      <c r="AHN165" s="922"/>
      <c r="AHO165" s="922"/>
      <c r="AHP165" s="922"/>
      <c r="AHQ165" s="922"/>
      <c r="AHR165" s="922"/>
      <c r="AHS165" s="922"/>
      <c r="AHT165" s="922"/>
      <c r="AHU165" s="922"/>
      <c r="AHV165" s="922"/>
      <c r="AHW165" s="922"/>
      <c r="AHX165" s="922"/>
      <c r="AHY165" s="922"/>
      <c r="AHZ165" s="922"/>
      <c r="AIA165" s="922"/>
      <c r="AIB165" s="922"/>
      <c r="AIC165" s="922"/>
      <c r="AID165" s="922"/>
      <c r="AIE165" s="922"/>
      <c r="AIF165" s="922"/>
      <c r="AIG165" s="922"/>
      <c r="AIH165" s="922"/>
      <c r="AII165" s="922"/>
      <c r="AIJ165" s="922"/>
      <c r="AIK165" s="922"/>
      <c r="AIL165" s="922"/>
      <c r="AIM165" s="922"/>
      <c r="AIN165" s="922"/>
      <c r="AIO165" s="922"/>
      <c r="AIP165" s="922"/>
      <c r="AIQ165" s="922"/>
      <c r="AIR165" s="922"/>
      <c r="AIS165" s="922"/>
      <c r="AIT165" s="922"/>
      <c r="AIU165" s="922"/>
      <c r="AIV165" s="922"/>
      <c r="AIW165" s="922"/>
      <c r="AIX165" s="922"/>
      <c r="AIY165" s="922"/>
      <c r="AIZ165" s="922"/>
      <c r="AJA165" s="922"/>
      <c r="AJB165" s="922"/>
      <c r="AJC165" s="922"/>
      <c r="AJD165" s="922"/>
      <c r="AJE165" s="922"/>
      <c r="AJF165" s="922"/>
      <c r="AJG165" s="922"/>
      <c r="AJH165" s="922"/>
      <c r="AJI165" s="922"/>
      <c r="AJJ165" s="922"/>
      <c r="AJK165" s="922"/>
      <c r="AJL165" s="922"/>
      <c r="AJM165" s="922"/>
      <c r="AJN165" s="922"/>
      <c r="AJO165" s="922"/>
      <c r="AJP165" s="922"/>
      <c r="AJQ165" s="922"/>
      <c r="AJR165" s="922"/>
      <c r="AJS165" s="922"/>
      <c r="AJT165" s="922"/>
      <c r="AJU165" s="922"/>
      <c r="AJV165" s="922"/>
      <c r="AJW165" s="922"/>
      <c r="AJX165" s="922"/>
      <c r="AJY165" s="922"/>
      <c r="AJZ165" s="922"/>
      <c r="AKA165" s="922"/>
      <c r="AKB165" s="922"/>
      <c r="AKC165" s="922"/>
      <c r="AKD165" s="922"/>
      <c r="AKE165" s="922"/>
      <c r="AKF165" s="922"/>
      <c r="AKG165" s="922"/>
      <c r="AKH165" s="922"/>
      <c r="AKI165" s="922"/>
      <c r="AKJ165" s="922"/>
      <c r="AKK165" s="922"/>
      <c r="AKL165" s="922"/>
      <c r="AKM165" s="922"/>
      <c r="AKN165" s="922"/>
      <c r="AKO165" s="922"/>
      <c r="AKP165" s="922"/>
      <c r="AKQ165" s="922"/>
      <c r="AKR165" s="922"/>
      <c r="AKS165" s="922"/>
      <c r="AKT165" s="922"/>
      <c r="AKU165" s="922"/>
      <c r="AKV165" s="922"/>
      <c r="AKW165" s="922"/>
      <c r="AKX165" s="922"/>
      <c r="AKY165" s="922"/>
      <c r="AKZ165" s="922"/>
      <c r="ALA165" s="922"/>
      <c r="ALB165" s="922"/>
      <c r="ALC165" s="922"/>
      <c r="ALD165" s="922"/>
      <c r="ALE165" s="922"/>
      <c r="ALF165" s="922"/>
      <c r="ALG165" s="922"/>
      <c r="ALH165" s="922"/>
      <c r="ALI165" s="922"/>
      <c r="ALJ165" s="922"/>
      <c r="ALK165" s="922"/>
      <c r="ALL165" s="922"/>
      <c r="ALM165" s="922"/>
      <c r="ALN165" s="922"/>
      <c r="ALO165" s="922"/>
      <c r="ALP165" s="922"/>
      <c r="ALQ165" s="922"/>
      <c r="ALR165" s="922"/>
      <c r="ALS165" s="922"/>
      <c r="ALT165" s="922"/>
      <c r="ALU165" s="922"/>
      <c r="ALV165" s="922"/>
      <c r="ALW165" s="922"/>
      <c r="ALX165" s="922"/>
      <c r="ALY165" s="922"/>
      <c r="ALZ165" s="922"/>
      <c r="AMA165" s="922"/>
      <c r="AMB165" s="922"/>
      <c r="AMC165" s="922"/>
      <c r="AMD165" s="922"/>
      <c r="AME165" s="922"/>
      <c r="AMF165" s="922"/>
      <c r="AMG165" s="922"/>
      <c r="AMH165" s="922"/>
      <c r="AMI165" s="922"/>
      <c r="AMJ165" s="922"/>
      <c r="AMK165" s="922"/>
      <c r="AML165" s="922"/>
      <c r="AMM165" s="922"/>
      <c r="AMN165" s="922"/>
      <c r="AMO165" s="922"/>
      <c r="AMP165" s="922"/>
      <c r="AMQ165" s="922"/>
      <c r="AMR165" s="922"/>
      <c r="AMS165" s="922"/>
      <c r="AMT165" s="922"/>
      <c r="AMU165" s="922"/>
      <c r="AMV165" s="922"/>
      <c r="AMW165" s="922"/>
      <c r="AMX165" s="922"/>
      <c r="AMY165" s="922"/>
      <c r="AMZ165" s="922"/>
      <c r="ANA165" s="922"/>
      <c r="ANB165" s="922"/>
      <c r="ANC165" s="922"/>
      <c r="AND165" s="922"/>
      <c r="ANE165" s="922"/>
      <c r="ANF165" s="922"/>
      <c r="ANG165" s="922"/>
      <c r="ANH165" s="922"/>
      <c r="ANI165" s="922"/>
      <c r="ANJ165" s="922"/>
      <c r="ANK165" s="922"/>
      <c r="ANL165" s="922"/>
      <c r="ANM165" s="922"/>
      <c r="ANN165" s="922"/>
      <c r="ANO165" s="922"/>
      <c r="ANP165" s="922"/>
      <c r="ANQ165" s="922"/>
      <c r="ANR165" s="922"/>
      <c r="ANS165" s="922"/>
      <c r="ANT165" s="922"/>
      <c r="ANU165" s="922"/>
      <c r="ANV165" s="922"/>
      <c r="ANW165" s="922"/>
      <c r="ANX165" s="922"/>
      <c r="ANY165" s="922"/>
      <c r="ANZ165" s="922"/>
      <c r="AOA165" s="922"/>
      <c r="AOB165" s="922"/>
      <c r="AOC165" s="922"/>
      <c r="AOD165" s="922"/>
      <c r="AOE165" s="922"/>
      <c r="AOF165" s="922"/>
      <c r="AOG165" s="922"/>
      <c r="AOH165" s="922"/>
      <c r="AOI165" s="922"/>
      <c r="AOJ165" s="922"/>
      <c r="AOK165" s="922"/>
      <c r="AOL165" s="922"/>
      <c r="AOM165" s="922"/>
      <c r="AON165" s="922"/>
      <c r="AOO165" s="922"/>
      <c r="AOP165" s="922"/>
      <c r="AOQ165" s="922"/>
      <c r="AOR165" s="922"/>
      <c r="AOS165" s="922"/>
      <c r="AOT165" s="922"/>
      <c r="AOU165" s="922"/>
      <c r="AOV165" s="922"/>
      <c r="AOW165" s="922"/>
      <c r="AOX165" s="922"/>
      <c r="AOY165" s="922"/>
      <c r="AOZ165" s="922"/>
      <c r="APA165" s="922"/>
      <c r="APB165" s="922"/>
      <c r="APC165" s="922"/>
      <c r="APD165" s="922"/>
      <c r="APE165" s="922"/>
      <c r="APF165" s="922"/>
      <c r="APG165" s="922"/>
      <c r="APH165" s="922"/>
      <c r="API165" s="922"/>
      <c r="APJ165" s="922"/>
      <c r="APK165" s="922"/>
      <c r="APL165" s="922"/>
      <c r="APM165" s="922"/>
      <c r="APN165" s="922"/>
      <c r="APO165" s="922"/>
      <c r="APP165" s="922"/>
      <c r="APQ165" s="922"/>
      <c r="APR165" s="922"/>
      <c r="APS165" s="922"/>
      <c r="APT165" s="922"/>
      <c r="APU165" s="922"/>
      <c r="APV165" s="922"/>
      <c r="APW165" s="922"/>
      <c r="APX165" s="922"/>
      <c r="APY165" s="922"/>
      <c r="APZ165" s="922"/>
      <c r="AQA165" s="922"/>
      <c r="AQB165" s="922"/>
      <c r="AQC165" s="922"/>
      <c r="AQD165" s="922"/>
      <c r="AQE165" s="922"/>
      <c r="AQF165" s="922"/>
      <c r="AQG165" s="922"/>
      <c r="AQH165" s="922"/>
      <c r="AQI165" s="922"/>
      <c r="AQJ165" s="922"/>
      <c r="AQK165" s="922"/>
      <c r="AQL165" s="922"/>
      <c r="AQM165" s="922"/>
      <c r="AQN165" s="922"/>
      <c r="AQO165" s="922"/>
      <c r="AQP165" s="922"/>
      <c r="AQQ165" s="922"/>
      <c r="AQR165" s="922"/>
      <c r="AQS165" s="922"/>
      <c r="AQT165" s="922"/>
      <c r="AQU165" s="922"/>
      <c r="AQV165" s="922"/>
      <c r="AQW165" s="922"/>
      <c r="AQX165" s="922"/>
      <c r="AQY165" s="922"/>
      <c r="AQZ165" s="922"/>
      <c r="ARA165" s="922"/>
      <c r="ARB165" s="922"/>
      <c r="ARC165" s="922"/>
      <c r="ARD165" s="922"/>
      <c r="ARE165" s="922"/>
      <c r="ARF165" s="922"/>
      <c r="ARG165" s="922"/>
      <c r="ARH165" s="922"/>
      <c r="ARI165" s="922"/>
      <c r="ARJ165" s="922"/>
      <c r="ARK165" s="922"/>
      <c r="ARL165" s="922"/>
      <c r="ARM165" s="922"/>
      <c r="ARN165" s="922"/>
      <c r="ARO165" s="922"/>
      <c r="ARP165" s="922"/>
      <c r="ARQ165" s="922"/>
      <c r="ARR165" s="922"/>
      <c r="ARS165" s="922"/>
      <c r="ART165" s="922"/>
      <c r="ARU165" s="922"/>
      <c r="ARV165" s="922"/>
      <c r="ARW165" s="922"/>
      <c r="ARX165" s="922"/>
      <c r="ARY165" s="922"/>
      <c r="ARZ165" s="922"/>
      <c r="ASA165" s="922"/>
      <c r="ASB165" s="922"/>
      <c r="ASC165" s="922"/>
    </row>
    <row r="166" spans="1:1173" hidden="1">
      <c r="A166" s="920"/>
      <c r="T166" s="922"/>
      <c r="AN166" s="922"/>
      <c r="AO166" s="922"/>
      <c r="AP166" s="922"/>
      <c r="AQ166" s="922"/>
      <c r="AR166" s="922"/>
      <c r="AS166" s="922"/>
      <c r="AT166" s="922"/>
      <c r="AU166" s="922"/>
      <c r="AV166" s="922"/>
      <c r="AW166" s="922"/>
      <c r="AX166" s="922"/>
      <c r="AY166" s="922"/>
      <c r="AZ166" s="922"/>
      <c r="BA166" s="922"/>
      <c r="BB166" s="922"/>
      <c r="BC166" s="922"/>
      <c r="BD166" s="922"/>
      <c r="BE166" s="922"/>
      <c r="BF166" s="922"/>
      <c r="BG166" s="922"/>
      <c r="BH166" s="922"/>
      <c r="BI166" s="922"/>
      <c r="BJ166" s="922"/>
      <c r="BK166" s="922"/>
      <c r="BL166" s="922"/>
      <c r="BM166" s="922"/>
      <c r="BN166" s="922"/>
      <c r="BO166" s="922"/>
      <c r="BP166" s="922"/>
      <c r="BQ166" s="922"/>
      <c r="BR166" s="922"/>
      <c r="BS166" s="922"/>
      <c r="BT166" s="922"/>
      <c r="BU166" s="922"/>
      <c r="BV166" s="922"/>
      <c r="BW166" s="922"/>
      <c r="BX166" s="922"/>
      <c r="BY166" s="922"/>
      <c r="BZ166" s="922"/>
      <c r="CA166" s="922"/>
      <c r="CB166" s="922"/>
      <c r="CC166" s="922"/>
      <c r="CD166" s="922"/>
      <c r="CE166" s="922"/>
      <c r="CF166" s="922"/>
      <c r="CG166" s="922"/>
      <c r="CH166" s="922"/>
      <c r="CI166" s="922"/>
      <c r="CJ166" s="922"/>
      <c r="CK166" s="922"/>
      <c r="CL166" s="922"/>
      <c r="CM166" s="922"/>
      <c r="CN166" s="922"/>
      <c r="CO166" s="922"/>
      <c r="CP166" s="922"/>
      <c r="CQ166" s="922"/>
      <c r="CR166" s="922"/>
      <c r="CS166" s="922"/>
      <c r="CT166" s="922"/>
      <c r="CU166" s="922"/>
      <c r="CV166" s="922"/>
      <c r="CW166" s="922"/>
      <c r="CX166" s="922"/>
      <c r="CY166" s="922"/>
      <c r="CZ166" s="922"/>
      <c r="DA166" s="922"/>
      <c r="DB166" s="922"/>
      <c r="DC166" s="922"/>
      <c r="DD166" s="922"/>
      <c r="DE166" s="922"/>
      <c r="DF166" s="922"/>
      <c r="DG166" s="922"/>
      <c r="DH166" s="922"/>
      <c r="DI166" s="922"/>
      <c r="DJ166" s="922"/>
      <c r="DK166" s="922"/>
      <c r="DL166" s="922"/>
      <c r="DM166" s="922"/>
      <c r="DN166" s="922"/>
      <c r="DO166" s="922"/>
      <c r="DP166" s="922"/>
      <c r="DQ166" s="922"/>
      <c r="DR166" s="922"/>
      <c r="DS166" s="922"/>
      <c r="DT166" s="922"/>
      <c r="DU166" s="922"/>
      <c r="DV166" s="922"/>
      <c r="DW166" s="922"/>
      <c r="DX166" s="922"/>
      <c r="DY166" s="922"/>
      <c r="DZ166" s="922"/>
      <c r="EA166" s="922"/>
      <c r="EB166" s="922"/>
      <c r="EC166" s="922"/>
      <c r="ED166" s="922"/>
      <c r="EE166" s="922"/>
      <c r="EF166" s="922"/>
      <c r="EG166" s="922"/>
      <c r="EH166" s="922"/>
      <c r="EI166" s="922"/>
      <c r="EJ166" s="922"/>
      <c r="EK166" s="922"/>
      <c r="EL166" s="922"/>
      <c r="EM166" s="922"/>
      <c r="EN166" s="922"/>
      <c r="EO166" s="922"/>
      <c r="EP166" s="922"/>
      <c r="EQ166" s="922"/>
      <c r="ER166" s="922"/>
      <c r="ES166" s="922"/>
      <c r="ET166" s="922"/>
      <c r="EU166" s="922"/>
      <c r="EV166" s="922"/>
      <c r="EW166" s="922"/>
      <c r="EX166" s="922"/>
      <c r="EY166" s="922"/>
      <c r="EZ166" s="922"/>
      <c r="FA166" s="922"/>
      <c r="FB166" s="922"/>
      <c r="FC166" s="922"/>
      <c r="FD166" s="922"/>
      <c r="FE166" s="922"/>
      <c r="FF166" s="922"/>
      <c r="FG166" s="922"/>
      <c r="FH166" s="922"/>
      <c r="FI166" s="922"/>
      <c r="FJ166" s="922"/>
      <c r="FK166" s="922"/>
      <c r="FL166" s="922"/>
      <c r="FM166" s="922"/>
      <c r="FN166" s="922"/>
      <c r="FO166" s="922"/>
      <c r="FP166" s="922"/>
      <c r="FQ166" s="922"/>
      <c r="FR166" s="922"/>
      <c r="FS166" s="922"/>
      <c r="FT166" s="922"/>
      <c r="FU166" s="922"/>
      <c r="FV166" s="922"/>
      <c r="FW166" s="922"/>
      <c r="FX166" s="922"/>
      <c r="FY166" s="922"/>
      <c r="FZ166" s="922"/>
      <c r="GA166" s="922"/>
      <c r="GB166" s="922"/>
      <c r="GC166" s="922"/>
      <c r="GD166" s="922"/>
      <c r="GE166" s="922"/>
      <c r="GF166" s="922"/>
      <c r="GG166" s="922"/>
      <c r="GH166" s="922"/>
      <c r="GI166" s="922"/>
      <c r="GJ166" s="922"/>
      <c r="GK166" s="922"/>
      <c r="GL166" s="922"/>
      <c r="GM166" s="922"/>
      <c r="GN166" s="922"/>
      <c r="GO166" s="922"/>
      <c r="GP166" s="922"/>
      <c r="GQ166" s="922"/>
      <c r="GR166" s="922"/>
      <c r="GS166" s="922"/>
      <c r="GT166" s="922"/>
      <c r="GU166" s="922"/>
      <c r="GV166" s="922"/>
      <c r="GW166" s="922"/>
      <c r="GX166" s="922"/>
      <c r="GY166" s="922"/>
      <c r="GZ166" s="922"/>
      <c r="HA166" s="922"/>
      <c r="HB166" s="922"/>
      <c r="HC166" s="922"/>
      <c r="HD166" s="922"/>
      <c r="HE166" s="922"/>
      <c r="HF166" s="922"/>
      <c r="HG166" s="922"/>
      <c r="HH166" s="922"/>
      <c r="HI166" s="922"/>
      <c r="HJ166" s="922"/>
      <c r="HK166" s="922"/>
      <c r="HL166" s="922"/>
      <c r="HM166" s="922"/>
      <c r="HN166" s="922"/>
      <c r="HO166" s="922"/>
      <c r="HP166" s="922"/>
      <c r="HQ166" s="922"/>
      <c r="HR166" s="922"/>
      <c r="HS166" s="922"/>
      <c r="HT166" s="922"/>
      <c r="HU166" s="922"/>
      <c r="HV166" s="922"/>
      <c r="HW166" s="922"/>
      <c r="HX166" s="922"/>
      <c r="HY166" s="922"/>
      <c r="HZ166" s="922"/>
      <c r="IA166" s="922"/>
      <c r="IB166" s="922"/>
      <c r="IC166" s="922"/>
      <c r="ID166" s="922"/>
      <c r="IE166" s="922"/>
      <c r="IF166" s="922"/>
      <c r="IG166" s="922"/>
      <c r="IH166" s="922"/>
      <c r="II166" s="922"/>
      <c r="IJ166" s="922"/>
      <c r="IK166" s="922"/>
      <c r="IL166" s="922"/>
      <c r="IM166" s="922"/>
      <c r="IN166" s="922"/>
      <c r="IO166" s="922"/>
      <c r="IP166" s="922"/>
      <c r="IQ166" s="922"/>
      <c r="IR166" s="922"/>
      <c r="IS166" s="922"/>
      <c r="IT166" s="922"/>
      <c r="IU166" s="922"/>
      <c r="IV166" s="922"/>
      <c r="IW166" s="922"/>
      <c r="IX166" s="922"/>
      <c r="IY166" s="922"/>
      <c r="IZ166" s="922"/>
      <c r="JA166" s="922"/>
      <c r="JB166" s="922"/>
      <c r="JC166" s="922"/>
      <c r="JD166" s="922"/>
      <c r="JE166" s="922"/>
      <c r="JF166" s="922"/>
      <c r="JG166" s="922"/>
      <c r="JH166" s="922"/>
      <c r="JI166" s="922"/>
      <c r="JJ166" s="922"/>
      <c r="JK166" s="922"/>
      <c r="JL166" s="922"/>
      <c r="JM166" s="922"/>
      <c r="JN166" s="922"/>
      <c r="JO166" s="922"/>
      <c r="JP166" s="922"/>
      <c r="JQ166" s="922"/>
      <c r="JR166" s="922"/>
      <c r="JS166" s="922"/>
      <c r="JT166" s="922"/>
      <c r="JU166" s="922"/>
      <c r="JV166" s="922"/>
      <c r="JW166" s="922"/>
      <c r="JX166" s="922"/>
      <c r="JY166" s="922"/>
      <c r="JZ166" s="922"/>
      <c r="KA166" s="922"/>
      <c r="KB166" s="922"/>
      <c r="KC166" s="922"/>
      <c r="KD166" s="922"/>
      <c r="KE166" s="922"/>
      <c r="KF166" s="922"/>
      <c r="KG166" s="922"/>
      <c r="KH166" s="922"/>
      <c r="KI166" s="922"/>
      <c r="KJ166" s="922"/>
      <c r="KK166" s="922"/>
      <c r="KL166" s="922"/>
      <c r="KM166" s="922"/>
      <c r="KN166" s="922"/>
      <c r="KO166" s="922"/>
      <c r="KP166" s="922"/>
      <c r="KQ166" s="922"/>
      <c r="KR166" s="922"/>
      <c r="KS166" s="922"/>
      <c r="KT166" s="922"/>
      <c r="KU166" s="922"/>
      <c r="KV166" s="922"/>
      <c r="KW166" s="922"/>
      <c r="KX166" s="922"/>
      <c r="KY166" s="922"/>
      <c r="KZ166" s="922"/>
      <c r="LA166" s="922"/>
      <c r="LB166" s="922"/>
      <c r="LC166" s="922"/>
      <c r="LD166" s="922"/>
      <c r="LE166" s="922"/>
      <c r="LF166" s="922"/>
      <c r="LG166" s="922"/>
      <c r="LH166" s="922"/>
      <c r="LI166" s="922"/>
      <c r="LJ166" s="922"/>
      <c r="LK166" s="922"/>
      <c r="LL166" s="922"/>
      <c r="LM166" s="922"/>
      <c r="LN166" s="922"/>
      <c r="LO166" s="922"/>
      <c r="LP166" s="922"/>
      <c r="LQ166" s="922"/>
      <c r="LR166" s="922"/>
      <c r="LS166" s="922"/>
      <c r="LT166" s="922"/>
      <c r="LU166" s="922"/>
      <c r="LV166" s="922"/>
      <c r="LW166" s="922"/>
      <c r="LX166" s="922"/>
      <c r="LY166" s="922"/>
      <c r="LZ166" s="922"/>
      <c r="MA166" s="922"/>
      <c r="MB166" s="922"/>
      <c r="MC166" s="922"/>
      <c r="MD166" s="922"/>
      <c r="ME166" s="922"/>
      <c r="MF166" s="922"/>
      <c r="MG166" s="922"/>
      <c r="MH166" s="922"/>
      <c r="MI166" s="922"/>
      <c r="MJ166" s="922"/>
      <c r="MK166" s="922"/>
      <c r="ML166" s="922"/>
      <c r="MM166" s="922"/>
      <c r="MN166" s="922"/>
      <c r="MO166" s="922"/>
      <c r="MP166" s="922"/>
      <c r="MQ166" s="922"/>
      <c r="MR166" s="922"/>
      <c r="MS166" s="922"/>
      <c r="MT166" s="922"/>
      <c r="MU166" s="922"/>
      <c r="MV166" s="922"/>
      <c r="MW166" s="922"/>
      <c r="MX166" s="922"/>
      <c r="MY166" s="922"/>
      <c r="MZ166" s="922"/>
      <c r="NA166" s="922"/>
      <c r="NB166" s="922"/>
      <c r="NC166" s="922"/>
      <c r="ND166" s="922"/>
      <c r="NE166" s="922"/>
      <c r="NF166" s="922"/>
      <c r="NG166" s="922"/>
      <c r="NH166" s="922"/>
      <c r="NI166" s="922"/>
      <c r="NJ166" s="922"/>
      <c r="NK166" s="922"/>
      <c r="NL166" s="922"/>
      <c r="NM166" s="922"/>
      <c r="NN166" s="922"/>
      <c r="NO166" s="922"/>
      <c r="NP166" s="922"/>
      <c r="NQ166" s="922"/>
      <c r="NR166" s="922"/>
      <c r="NS166" s="922"/>
      <c r="NT166" s="922"/>
      <c r="NU166" s="922"/>
      <c r="NV166" s="922"/>
      <c r="NW166" s="922"/>
      <c r="NX166" s="922"/>
      <c r="NY166" s="922"/>
      <c r="NZ166" s="922"/>
      <c r="OA166" s="922"/>
      <c r="OB166" s="922"/>
      <c r="OC166" s="922"/>
      <c r="OD166" s="922"/>
      <c r="OE166" s="922"/>
      <c r="OF166" s="922"/>
      <c r="OG166" s="922"/>
      <c r="OH166" s="922"/>
      <c r="OI166" s="922"/>
      <c r="OJ166" s="922"/>
      <c r="OK166" s="922"/>
      <c r="OL166" s="922"/>
      <c r="OM166" s="922"/>
      <c r="ON166" s="922"/>
      <c r="OO166" s="922"/>
      <c r="OP166" s="922"/>
      <c r="OQ166" s="922"/>
      <c r="OR166" s="922"/>
      <c r="OS166" s="922"/>
      <c r="OT166" s="922"/>
      <c r="OU166" s="922"/>
      <c r="OV166" s="922"/>
      <c r="OW166" s="922"/>
      <c r="OX166" s="922"/>
      <c r="OY166" s="922"/>
      <c r="OZ166" s="922"/>
      <c r="PA166" s="922"/>
      <c r="PB166" s="922"/>
      <c r="PC166" s="922"/>
      <c r="PD166" s="922"/>
      <c r="PE166" s="922"/>
      <c r="PF166" s="922"/>
      <c r="PG166" s="922"/>
      <c r="PH166" s="922"/>
      <c r="PI166" s="922"/>
      <c r="PJ166" s="922"/>
      <c r="PK166" s="922"/>
      <c r="PL166" s="922"/>
      <c r="PM166" s="922"/>
      <c r="PN166" s="922"/>
      <c r="PO166" s="922"/>
      <c r="PP166" s="922"/>
      <c r="PQ166" s="922"/>
      <c r="PR166" s="922"/>
      <c r="PS166" s="922"/>
      <c r="PT166" s="922"/>
      <c r="PU166" s="922"/>
      <c r="PV166" s="922"/>
      <c r="PW166" s="922"/>
      <c r="PX166" s="922"/>
      <c r="PY166" s="922"/>
      <c r="PZ166" s="922"/>
      <c r="QA166" s="922"/>
      <c r="QB166" s="922"/>
      <c r="QC166" s="922"/>
      <c r="QD166" s="922"/>
      <c r="QE166" s="922"/>
      <c r="QF166" s="922"/>
      <c r="QG166" s="922"/>
      <c r="QH166" s="922"/>
      <c r="QI166" s="922"/>
      <c r="QJ166" s="922"/>
      <c r="QK166" s="922"/>
      <c r="QL166" s="922"/>
      <c r="QM166" s="922"/>
      <c r="QN166" s="922"/>
      <c r="QO166" s="922"/>
      <c r="QP166" s="922"/>
      <c r="QQ166" s="922"/>
      <c r="QR166" s="922"/>
      <c r="QS166" s="922"/>
      <c r="QT166" s="922"/>
      <c r="QU166" s="922"/>
      <c r="QV166" s="922"/>
      <c r="QW166" s="922"/>
      <c r="QX166" s="922"/>
      <c r="QY166" s="922"/>
      <c r="QZ166" s="922"/>
      <c r="RA166" s="922"/>
      <c r="RB166" s="922"/>
      <c r="RC166" s="922"/>
      <c r="RD166" s="922"/>
      <c r="RE166" s="922"/>
      <c r="RF166" s="922"/>
      <c r="RG166" s="922"/>
      <c r="RH166" s="922"/>
      <c r="RI166" s="922"/>
      <c r="RJ166" s="922"/>
      <c r="RK166" s="922"/>
      <c r="RL166" s="922"/>
      <c r="RM166" s="922"/>
      <c r="RN166" s="922"/>
      <c r="RO166" s="922"/>
      <c r="RP166" s="922"/>
      <c r="RQ166" s="922"/>
      <c r="RR166" s="922"/>
      <c r="RS166" s="922"/>
      <c r="RT166" s="922"/>
      <c r="RU166" s="922"/>
      <c r="RV166" s="922"/>
      <c r="RW166" s="922"/>
      <c r="RX166" s="922"/>
      <c r="RY166" s="922"/>
      <c r="RZ166" s="922"/>
      <c r="SA166" s="922"/>
      <c r="SB166" s="922"/>
      <c r="SC166" s="922"/>
      <c r="SD166" s="922"/>
      <c r="SE166" s="922"/>
      <c r="SF166" s="922"/>
      <c r="SG166" s="922"/>
      <c r="SH166" s="922"/>
      <c r="SI166" s="922"/>
      <c r="SJ166" s="922"/>
      <c r="SK166" s="922"/>
      <c r="SL166" s="922"/>
      <c r="SM166" s="922"/>
      <c r="SN166" s="922"/>
      <c r="SO166" s="922"/>
      <c r="SP166" s="922"/>
      <c r="SQ166" s="922"/>
      <c r="SR166" s="922"/>
      <c r="SS166" s="922"/>
      <c r="ST166" s="922"/>
      <c r="SU166" s="922"/>
      <c r="SV166" s="922"/>
      <c r="SW166" s="922"/>
      <c r="SX166" s="922"/>
      <c r="SY166" s="922"/>
      <c r="SZ166" s="922"/>
      <c r="TA166" s="922"/>
      <c r="TB166" s="922"/>
      <c r="TC166" s="922"/>
      <c r="TD166" s="922"/>
      <c r="TE166" s="922"/>
      <c r="TF166" s="922"/>
      <c r="TG166" s="922"/>
      <c r="TH166" s="922"/>
      <c r="TI166" s="922"/>
      <c r="TJ166" s="922"/>
      <c r="TK166" s="922"/>
      <c r="TL166" s="922"/>
      <c r="TM166" s="922"/>
      <c r="TN166" s="922"/>
      <c r="TO166" s="922"/>
      <c r="TP166" s="922"/>
      <c r="TQ166" s="922"/>
      <c r="TR166" s="922"/>
      <c r="TS166" s="922"/>
      <c r="TT166" s="922"/>
      <c r="TU166" s="922"/>
      <c r="TV166" s="922"/>
      <c r="TW166" s="922"/>
      <c r="TX166" s="922"/>
      <c r="TY166" s="922"/>
      <c r="TZ166" s="922"/>
      <c r="UA166" s="922"/>
      <c r="UB166" s="922"/>
      <c r="UC166" s="922"/>
      <c r="UD166" s="922"/>
      <c r="UE166" s="922"/>
      <c r="UF166" s="922"/>
      <c r="UG166" s="922"/>
      <c r="UH166" s="922"/>
      <c r="UI166" s="922"/>
      <c r="UJ166" s="922"/>
      <c r="UK166" s="922"/>
      <c r="UL166" s="922"/>
      <c r="UM166" s="922"/>
      <c r="UN166" s="922"/>
      <c r="UO166" s="922"/>
      <c r="UP166" s="922"/>
      <c r="UQ166" s="922"/>
      <c r="UR166" s="922"/>
      <c r="US166" s="922"/>
      <c r="UT166" s="922"/>
      <c r="UU166" s="922"/>
      <c r="UV166" s="922"/>
      <c r="UW166" s="922"/>
      <c r="UX166" s="922"/>
      <c r="UY166" s="922"/>
      <c r="UZ166" s="922"/>
      <c r="VA166" s="922"/>
      <c r="VB166" s="922"/>
      <c r="VC166" s="922"/>
      <c r="VD166" s="922"/>
      <c r="VE166" s="922"/>
      <c r="VF166" s="922"/>
      <c r="VG166" s="922"/>
      <c r="VH166" s="922"/>
      <c r="VI166" s="922"/>
      <c r="VJ166" s="922"/>
      <c r="VK166" s="922"/>
      <c r="VL166" s="922"/>
      <c r="VM166" s="922"/>
      <c r="VN166" s="922"/>
      <c r="VO166" s="922"/>
      <c r="VP166" s="922"/>
      <c r="VQ166" s="922"/>
      <c r="VR166" s="922"/>
      <c r="VS166" s="922"/>
      <c r="VT166" s="922"/>
      <c r="VU166" s="922"/>
      <c r="VV166" s="922"/>
      <c r="VW166" s="922"/>
      <c r="VX166" s="922"/>
      <c r="VY166" s="922"/>
      <c r="VZ166" s="922"/>
      <c r="WA166" s="922"/>
      <c r="WB166" s="922"/>
      <c r="WC166" s="922"/>
      <c r="WD166" s="922"/>
      <c r="WE166" s="922"/>
      <c r="WF166" s="922"/>
      <c r="WG166" s="922"/>
      <c r="WH166" s="922"/>
      <c r="WI166" s="922"/>
      <c r="WJ166" s="922"/>
      <c r="WK166" s="922"/>
      <c r="WL166" s="922"/>
      <c r="WM166" s="922"/>
      <c r="WN166" s="922"/>
      <c r="WO166" s="922"/>
      <c r="WP166" s="922"/>
      <c r="WQ166" s="922"/>
      <c r="WR166" s="922"/>
      <c r="WS166" s="922"/>
      <c r="WT166" s="922"/>
      <c r="WU166" s="922"/>
      <c r="WV166" s="922"/>
      <c r="WW166" s="922"/>
      <c r="WX166" s="922"/>
      <c r="WY166" s="922"/>
      <c r="WZ166" s="922"/>
      <c r="XA166" s="922"/>
      <c r="XB166" s="922"/>
      <c r="XC166" s="922"/>
      <c r="XD166" s="922"/>
      <c r="XE166" s="922"/>
      <c r="XF166" s="922"/>
      <c r="XG166" s="922"/>
      <c r="XH166" s="922"/>
      <c r="XI166" s="922"/>
      <c r="XJ166" s="922"/>
      <c r="XK166" s="922"/>
      <c r="XL166" s="922"/>
      <c r="XM166" s="922"/>
      <c r="XN166" s="922"/>
      <c r="XO166" s="922"/>
      <c r="XP166" s="922"/>
      <c r="XQ166" s="922"/>
      <c r="XR166" s="922"/>
      <c r="XS166" s="922"/>
      <c r="XT166" s="922"/>
      <c r="XU166" s="922"/>
      <c r="XV166" s="922"/>
      <c r="XW166" s="922"/>
      <c r="XX166" s="922"/>
      <c r="XY166" s="922"/>
      <c r="XZ166" s="922"/>
      <c r="YA166" s="922"/>
      <c r="YB166" s="922"/>
      <c r="YC166" s="922"/>
      <c r="YD166" s="922"/>
      <c r="YE166" s="922"/>
      <c r="YF166" s="922"/>
      <c r="YG166" s="922"/>
      <c r="YH166" s="922"/>
      <c r="YI166" s="922"/>
      <c r="YJ166" s="922"/>
      <c r="YK166" s="922"/>
      <c r="YL166" s="922"/>
      <c r="YM166" s="922"/>
      <c r="YN166" s="922"/>
      <c r="YO166" s="922"/>
      <c r="YP166" s="922"/>
      <c r="YQ166" s="922"/>
      <c r="YR166" s="922"/>
      <c r="YS166" s="922"/>
      <c r="YT166" s="922"/>
      <c r="YU166" s="922"/>
      <c r="YV166" s="922"/>
      <c r="YW166" s="922"/>
      <c r="YX166" s="922"/>
      <c r="YY166" s="922"/>
      <c r="YZ166" s="922"/>
      <c r="ZA166" s="922"/>
      <c r="ZB166" s="922"/>
      <c r="ZC166" s="922"/>
      <c r="ZD166" s="922"/>
      <c r="ZE166" s="922"/>
      <c r="ZF166" s="922"/>
      <c r="ZG166" s="922"/>
      <c r="ZH166" s="922"/>
      <c r="ZI166" s="922"/>
      <c r="ZJ166" s="922"/>
      <c r="ZK166" s="922"/>
      <c r="ZL166" s="922"/>
      <c r="ZM166" s="922"/>
      <c r="ZN166" s="922"/>
      <c r="ZO166" s="922"/>
      <c r="ZP166" s="922"/>
      <c r="ZQ166" s="922"/>
      <c r="ZR166" s="922"/>
      <c r="ZS166" s="922"/>
      <c r="ZT166" s="922"/>
      <c r="ZU166" s="922"/>
      <c r="ZV166" s="922"/>
      <c r="ZW166" s="922"/>
      <c r="ZX166" s="922"/>
      <c r="ZY166" s="922"/>
      <c r="ZZ166" s="922"/>
      <c r="AAA166" s="922"/>
      <c r="AAB166" s="922"/>
      <c r="AAC166" s="922"/>
      <c r="AAD166" s="922"/>
      <c r="AAE166" s="922"/>
      <c r="AAF166" s="922"/>
      <c r="AAG166" s="922"/>
      <c r="AAH166" s="922"/>
      <c r="AAI166" s="922"/>
      <c r="AAJ166" s="922"/>
      <c r="AAK166" s="922"/>
      <c r="AAL166" s="922"/>
      <c r="AAM166" s="922"/>
      <c r="AAN166" s="922"/>
      <c r="AAO166" s="922"/>
      <c r="AAP166" s="922"/>
      <c r="AAQ166" s="922"/>
      <c r="AAR166" s="922"/>
      <c r="AAS166" s="922"/>
      <c r="AAT166" s="922"/>
      <c r="AAU166" s="922"/>
      <c r="AAV166" s="922"/>
      <c r="AAW166" s="922"/>
      <c r="AAX166" s="922"/>
      <c r="AAY166" s="922"/>
      <c r="AAZ166" s="922"/>
      <c r="ABA166" s="922"/>
      <c r="ABB166" s="922"/>
      <c r="ABC166" s="922"/>
      <c r="ABD166" s="922"/>
      <c r="ABE166" s="922"/>
      <c r="ABF166" s="922"/>
      <c r="ABG166" s="922"/>
      <c r="ABH166" s="922"/>
      <c r="ABI166" s="922"/>
      <c r="ABJ166" s="922"/>
      <c r="ABK166" s="922"/>
      <c r="ABL166" s="922"/>
      <c r="ABM166" s="922"/>
      <c r="ABN166" s="922"/>
      <c r="ABO166" s="922"/>
      <c r="ABP166" s="922"/>
      <c r="ABQ166" s="922"/>
      <c r="ABR166" s="922"/>
      <c r="ABS166" s="922"/>
      <c r="ABT166" s="922"/>
      <c r="ABU166" s="922"/>
      <c r="ABV166" s="922"/>
      <c r="ABW166" s="922"/>
      <c r="ABX166" s="922"/>
      <c r="ABY166" s="922"/>
      <c r="ABZ166" s="922"/>
      <c r="ACA166" s="922"/>
      <c r="ACB166" s="922"/>
      <c r="ACC166" s="922"/>
      <c r="ACD166" s="922"/>
      <c r="ACE166" s="922"/>
      <c r="ACF166" s="922"/>
      <c r="ACG166" s="922"/>
      <c r="ACH166" s="922"/>
      <c r="ACI166" s="922"/>
      <c r="ACJ166" s="922"/>
      <c r="ACK166" s="922"/>
      <c r="ACL166" s="922"/>
      <c r="ACM166" s="922"/>
      <c r="ACN166" s="922"/>
      <c r="ACO166" s="922"/>
      <c r="ACP166" s="922"/>
      <c r="ACQ166" s="922"/>
      <c r="ACR166" s="922"/>
      <c r="ACS166" s="922"/>
      <c r="ACT166" s="922"/>
      <c r="ACU166" s="922"/>
      <c r="ACV166" s="922"/>
      <c r="ACW166" s="922"/>
      <c r="ACX166" s="922"/>
      <c r="ACY166" s="922"/>
      <c r="ACZ166" s="922"/>
      <c r="ADA166" s="922"/>
      <c r="ADB166" s="922"/>
      <c r="ADC166" s="922"/>
      <c r="ADD166" s="922"/>
      <c r="ADE166" s="922"/>
      <c r="ADF166" s="922"/>
      <c r="ADG166" s="922"/>
      <c r="ADH166" s="922"/>
      <c r="ADI166" s="922"/>
      <c r="ADJ166" s="922"/>
      <c r="ADK166" s="922"/>
      <c r="ADL166" s="922"/>
      <c r="ADM166" s="922"/>
      <c r="ADN166" s="922"/>
      <c r="ADO166" s="922"/>
      <c r="ADP166" s="922"/>
      <c r="ADQ166" s="922"/>
      <c r="ADR166" s="922"/>
      <c r="ADS166" s="922"/>
      <c r="ADT166" s="922"/>
      <c r="ADU166" s="922"/>
      <c r="ADV166" s="922"/>
      <c r="ADW166" s="922"/>
      <c r="ADX166" s="922"/>
      <c r="ADY166" s="922"/>
      <c r="ADZ166" s="922"/>
      <c r="AEA166" s="922"/>
      <c r="AEB166" s="922"/>
      <c r="AEC166" s="922"/>
      <c r="AED166" s="922"/>
      <c r="AEE166" s="922"/>
      <c r="AEF166" s="922"/>
      <c r="AEG166" s="922"/>
      <c r="AEH166" s="922"/>
      <c r="AEI166" s="922"/>
      <c r="AEJ166" s="922"/>
      <c r="AEK166" s="922"/>
      <c r="AEL166" s="922"/>
      <c r="AEM166" s="922"/>
      <c r="AEN166" s="922"/>
      <c r="AEO166" s="922"/>
      <c r="AEP166" s="922"/>
      <c r="AEQ166" s="922"/>
      <c r="AER166" s="922"/>
      <c r="AES166" s="922"/>
      <c r="AET166" s="922"/>
      <c r="AEU166" s="922"/>
      <c r="AEV166" s="922"/>
      <c r="AEW166" s="922"/>
      <c r="AEX166" s="922"/>
      <c r="AEY166" s="922"/>
      <c r="AEZ166" s="922"/>
      <c r="AFA166" s="922"/>
      <c r="AFB166" s="922"/>
      <c r="AFC166" s="922"/>
      <c r="AFD166" s="922"/>
      <c r="AFE166" s="922"/>
      <c r="AFF166" s="922"/>
      <c r="AFG166" s="922"/>
      <c r="AFH166" s="922"/>
      <c r="AFI166" s="922"/>
      <c r="AFJ166" s="922"/>
      <c r="AFK166" s="922"/>
      <c r="AFL166" s="922"/>
      <c r="AFM166" s="922"/>
      <c r="AFN166" s="922"/>
      <c r="AFO166" s="922"/>
      <c r="AFP166" s="922"/>
      <c r="AFQ166" s="922"/>
      <c r="AFR166" s="922"/>
      <c r="AFS166" s="922"/>
      <c r="AFT166" s="922"/>
      <c r="AFU166" s="922"/>
      <c r="AFV166" s="922"/>
      <c r="AFW166" s="922"/>
      <c r="AFX166" s="922"/>
      <c r="AFY166" s="922"/>
      <c r="AFZ166" s="922"/>
      <c r="AGA166" s="922"/>
      <c r="AGB166" s="922"/>
      <c r="AGC166" s="922"/>
      <c r="AGD166" s="922"/>
      <c r="AGE166" s="922"/>
      <c r="AGF166" s="922"/>
      <c r="AGG166" s="922"/>
      <c r="AGH166" s="922"/>
      <c r="AGI166" s="922"/>
      <c r="AGJ166" s="922"/>
      <c r="AGK166" s="922"/>
      <c r="AGL166" s="922"/>
      <c r="AGM166" s="922"/>
      <c r="AGN166" s="922"/>
      <c r="AGO166" s="922"/>
      <c r="AGP166" s="922"/>
      <c r="AGQ166" s="922"/>
      <c r="AGR166" s="922"/>
      <c r="AGS166" s="922"/>
      <c r="AGT166" s="922"/>
      <c r="AGU166" s="922"/>
      <c r="AGV166" s="922"/>
      <c r="AGW166" s="922"/>
      <c r="AGX166" s="922"/>
      <c r="AGY166" s="922"/>
      <c r="AGZ166" s="922"/>
      <c r="AHA166" s="922"/>
      <c r="AHB166" s="922"/>
      <c r="AHC166" s="922"/>
      <c r="AHD166" s="922"/>
      <c r="AHE166" s="922"/>
      <c r="AHF166" s="922"/>
      <c r="AHG166" s="922"/>
      <c r="AHH166" s="922"/>
      <c r="AHI166" s="922"/>
      <c r="AHJ166" s="922"/>
      <c r="AHK166" s="922"/>
      <c r="AHL166" s="922"/>
      <c r="AHM166" s="922"/>
      <c r="AHN166" s="922"/>
      <c r="AHO166" s="922"/>
      <c r="AHP166" s="922"/>
      <c r="AHQ166" s="922"/>
      <c r="AHR166" s="922"/>
      <c r="AHS166" s="922"/>
      <c r="AHT166" s="922"/>
      <c r="AHU166" s="922"/>
      <c r="AHV166" s="922"/>
      <c r="AHW166" s="922"/>
      <c r="AHX166" s="922"/>
      <c r="AHY166" s="922"/>
      <c r="AHZ166" s="922"/>
      <c r="AIA166" s="922"/>
      <c r="AIB166" s="922"/>
      <c r="AIC166" s="922"/>
      <c r="AID166" s="922"/>
      <c r="AIE166" s="922"/>
      <c r="AIF166" s="922"/>
      <c r="AIG166" s="922"/>
      <c r="AIH166" s="922"/>
      <c r="AII166" s="922"/>
      <c r="AIJ166" s="922"/>
      <c r="AIK166" s="922"/>
      <c r="AIL166" s="922"/>
      <c r="AIM166" s="922"/>
      <c r="AIN166" s="922"/>
      <c r="AIO166" s="922"/>
      <c r="AIP166" s="922"/>
      <c r="AIQ166" s="922"/>
      <c r="AIR166" s="922"/>
      <c r="AIS166" s="922"/>
      <c r="AIT166" s="922"/>
      <c r="AIU166" s="922"/>
      <c r="AIV166" s="922"/>
      <c r="AIW166" s="922"/>
      <c r="AIX166" s="922"/>
      <c r="AIY166" s="922"/>
      <c r="AIZ166" s="922"/>
      <c r="AJA166" s="922"/>
      <c r="AJB166" s="922"/>
      <c r="AJC166" s="922"/>
      <c r="AJD166" s="922"/>
      <c r="AJE166" s="922"/>
      <c r="AJF166" s="922"/>
      <c r="AJG166" s="922"/>
      <c r="AJH166" s="922"/>
      <c r="AJI166" s="922"/>
      <c r="AJJ166" s="922"/>
      <c r="AJK166" s="922"/>
      <c r="AJL166" s="922"/>
      <c r="AJM166" s="922"/>
      <c r="AJN166" s="922"/>
      <c r="AJO166" s="922"/>
      <c r="AJP166" s="922"/>
      <c r="AJQ166" s="922"/>
      <c r="AJR166" s="922"/>
      <c r="AJS166" s="922"/>
      <c r="AJT166" s="922"/>
      <c r="AJU166" s="922"/>
      <c r="AJV166" s="922"/>
      <c r="AJW166" s="922"/>
      <c r="AJX166" s="922"/>
      <c r="AJY166" s="922"/>
      <c r="AJZ166" s="922"/>
      <c r="AKA166" s="922"/>
      <c r="AKB166" s="922"/>
      <c r="AKC166" s="922"/>
      <c r="AKD166" s="922"/>
      <c r="AKE166" s="922"/>
      <c r="AKF166" s="922"/>
      <c r="AKG166" s="922"/>
      <c r="AKH166" s="922"/>
      <c r="AKI166" s="922"/>
      <c r="AKJ166" s="922"/>
      <c r="AKK166" s="922"/>
      <c r="AKL166" s="922"/>
      <c r="AKM166" s="922"/>
      <c r="AKN166" s="922"/>
      <c r="AKO166" s="922"/>
      <c r="AKP166" s="922"/>
      <c r="AKQ166" s="922"/>
      <c r="AKR166" s="922"/>
      <c r="AKS166" s="922"/>
      <c r="AKT166" s="922"/>
      <c r="AKU166" s="922"/>
      <c r="AKV166" s="922"/>
      <c r="AKW166" s="922"/>
      <c r="AKX166" s="922"/>
      <c r="AKY166" s="922"/>
      <c r="AKZ166" s="922"/>
      <c r="ALA166" s="922"/>
      <c r="ALB166" s="922"/>
      <c r="ALC166" s="922"/>
      <c r="ALD166" s="922"/>
      <c r="ALE166" s="922"/>
      <c r="ALF166" s="922"/>
      <c r="ALG166" s="922"/>
      <c r="ALH166" s="922"/>
      <c r="ALI166" s="922"/>
      <c r="ALJ166" s="922"/>
      <c r="ALK166" s="922"/>
      <c r="ALL166" s="922"/>
      <c r="ALM166" s="922"/>
      <c r="ALN166" s="922"/>
      <c r="ALO166" s="922"/>
      <c r="ALP166" s="922"/>
      <c r="ALQ166" s="922"/>
      <c r="ALR166" s="922"/>
      <c r="ALS166" s="922"/>
      <c r="ALT166" s="922"/>
      <c r="ALU166" s="922"/>
      <c r="ALV166" s="922"/>
      <c r="ALW166" s="922"/>
      <c r="ALX166" s="922"/>
      <c r="ALY166" s="922"/>
      <c r="ALZ166" s="922"/>
      <c r="AMA166" s="922"/>
      <c r="AMB166" s="922"/>
      <c r="AMC166" s="922"/>
      <c r="AMD166" s="922"/>
      <c r="AME166" s="922"/>
      <c r="AMF166" s="922"/>
      <c r="AMG166" s="922"/>
      <c r="AMH166" s="922"/>
      <c r="AMI166" s="922"/>
      <c r="AMJ166" s="922"/>
      <c r="AMK166" s="922"/>
      <c r="AML166" s="922"/>
      <c r="AMM166" s="922"/>
      <c r="AMN166" s="922"/>
      <c r="AMO166" s="922"/>
      <c r="AMP166" s="922"/>
      <c r="AMQ166" s="922"/>
      <c r="AMR166" s="922"/>
      <c r="AMS166" s="922"/>
      <c r="AMT166" s="922"/>
      <c r="AMU166" s="922"/>
      <c r="AMV166" s="922"/>
      <c r="AMW166" s="922"/>
      <c r="AMX166" s="922"/>
      <c r="AMY166" s="922"/>
      <c r="AMZ166" s="922"/>
      <c r="ANA166" s="922"/>
      <c r="ANB166" s="922"/>
      <c r="ANC166" s="922"/>
      <c r="AND166" s="922"/>
      <c r="ANE166" s="922"/>
      <c r="ANF166" s="922"/>
      <c r="ANG166" s="922"/>
      <c r="ANH166" s="922"/>
      <c r="ANI166" s="922"/>
      <c r="ANJ166" s="922"/>
      <c r="ANK166" s="922"/>
      <c r="ANL166" s="922"/>
      <c r="ANM166" s="922"/>
      <c r="ANN166" s="922"/>
      <c r="ANO166" s="922"/>
      <c r="ANP166" s="922"/>
      <c r="ANQ166" s="922"/>
      <c r="ANR166" s="922"/>
      <c r="ANS166" s="922"/>
      <c r="ANT166" s="922"/>
      <c r="ANU166" s="922"/>
      <c r="ANV166" s="922"/>
      <c r="ANW166" s="922"/>
      <c r="ANX166" s="922"/>
      <c r="ANY166" s="922"/>
      <c r="ANZ166" s="922"/>
      <c r="AOA166" s="922"/>
      <c r="AOB166" s="922"/>
      <c r="AOC166" s="922"/>
      <c r="AOD166" s="922"/>
      <c r="AOE166" s="922"/>
      <c r="AOF166" s="922"/>
      <c r="AOG166" s="922"/>
      <c r="AOH166" s="922"/>
      <c r="AOI166" s="922"/>
      <c r="AOJ166" s="922"/>
      <c r="AOK166" s="922"/>
      <c r="AOL166" s="922"/>
      <c r="AOM166" s="922"/>
      <c r="AON166" s="922"/>
      <c r="AOO166" s="922"/>
      <c r="AOP166" s="922"/>
      <c r="AOQ166" s="922"/>
      <c r="AOR166" s="922"/>
      <c r="AOS166" s="922"/>
      <c r="AOT166" s="922"/>
      <c r="AOU166" s="922"/>
      <c r="AOV166" s="922"/>
      <c r="AOW166" s="922"/>
      <c r="AOX166" s="922"/>
      <c r="AOY166" s="922"/>
      <c r="AOZ166" s="922"/>
      <c r="APA166" s="922"/>
      <c r="APB166" s="922"/>
      <c r="APC166" s="922"/>
      <c r="APD166" s="922"/>
      <c r="APE166" s="922"/>
      <c r="APF166" s="922"/>
      <c r="APG166" s="922"/>
      <c r="APH166" s="922"/>
      <c r="API166" s="922"/>
      <c r="APJ166" s="922"/>
      <c r="APK166" s="922"/>
      <c r="APL166" s="922"/>
      <c r="APM166" s="922"/>
      <c r="APN166" s="922"/>
      <c r="APO166" s="922"/>
      <c r="APP166" s="922"/>
      <c r="APQ166" s="922"/>
      <c r="APR166" s="922"/>
      <c r="APS166" s="922"/>
      <c r="APT166" s="922"/>
      <c r="APU166" s="922"/>
      <c r="APV166" s="922"/>
      <c r="APW166" s="922"/>
      <c r="APX166" s="922"/>
      <c r="APY166" s="922"/>
      <c r="APZ166" s="922"/>
      <c r="AQA166" s="922"/>
      <c r="AQB166" s="922"/>
      <c r="AQC166" s="922"/>
      <c r="AQD166" s="922"/>
      <c r="AQE166" s="922"/>
      <c r="AQF166" s="922"/>
      <c r="AQG166" s="922"/>
      <c r="AQH166" s="922"/>
      <c r="AQI166" s="922"/>
      <c r="AQJ166" s="922"/>
      <c r="AQK166" s="922"/>
      <c r="AQL166" s="922"/>
      <c r="AQM166" s="922"/>
      <c r="AQN166" s="922"/>
      <c r="AQO166" s="922"/>
      <c r="AQP166" s="922"/>
      <c r="AQQ166" s="922"/>
      <c r="AQR166" s="922"/>
      <c r="AQS166" s="922"/>
      <c r="AQT166" s="922"/>
      <c r="AQU166" s="922"/>
      <c r="AQV166" s="922"/>
      <c r="AQW166" s="922"/>
      <c r="AQX166" s="922"/>
      <c r="AQY166" s="922"/>
      <c r="AQZ166" s="922"/>
      <c r="ARA166" s="922"/>
      <c r="ARB166" s="922"/>
      <c r="ARC166" s="922"/>
      <c r="ARD166" s="922"/>
      <c r="ARE166" s="922"/>
      <c r="ARF166" s="922"/>
      <c r="ARG166" s="922"/>
      <c r="ARH166" s="922"/>
      <c r="ARI166" s="922"/>
      <c r="ARJ166" s="922"/>
      <c r="ARK166" s="922"/>
      <c r="ARL166" s="922"/>
      <c r="ARM166" s="922"/>
      <c r="ARN166" s="922"/>
      <c r="ARO166" s="922"/>
      <c r="ARP166" s="922"/>
      <c r="ARQ166" s="922"/>
      <c r="ARR166" s="922"/>
      <c r="ARS166" s="922"/>
      <c r="ART166" s="922"/>
      <c r="ARU166" s="922"/>
      <c r="ARV166" s="922"/>
      <c r="ARW166" s="922"/>
      <c r="ARX166" s="922"/>
      <c r="ARY166" s="922"/>
      <c r="ARZ166" s="922"/>
      <c r="ASA166" s="922"/>
      <c r="ASB166" s="922"/>
      <c r="ASC166" s="922"/>
    </row>
    <row r="167" spans="1:1173" hidden="1">
      <c r="A167" s="920"/>
      <c r="T167" s="922"/>
      <c r="AN167" s="922"/>
      <c r="AO167" s="922"/>
      <c r="AP167" s="922"/>
      <c r="AQ167" s="922"/>
      <c r="AR167" s="922"/>
      <c r="AS167" s="922"/>
      <c r="AT167" s="922"/>
      <c r="AU167" s="922"/>
      <c r="AV167" s="922"/>
      <c r="AW167" s="922"/>
      <c r="AX167" s="922"/>
      <c r="AY167" s="922"/>
      <c r="AZ167" s="922"/>
      <c r="BA167" s="922"/>
      <c r="BB167" s="922"/>
      <c r="BC167" s="922"/>
      <c r="BD167" s="922"/>
      <c r="BE167" s="922"/>
      <c r="BF167" s="922"/>
      <c r="BG167" s="922"/>
      <c r="BH167" s="922"/>
      <c r="BI167" s="922"/>
      <c r="BJ167" s="922"/>
      <c r="BK167" s="922"/>
      <c r="BL167" s="922"/>
      <c r="BM167" s="922"/>
      <c r="BN167" s="922"/>
      <c r="BO167" s="922"/>
      <c r="BP167" s="922"/>
      <c r="BQ167" s="922"/>
      <c r="BR167" s="922"/>
      <c r="BS167" s="922"/>
      <c r="BT167" s="922"/>
      <c r="BU167" s="922"/>
      <c r="BV167" s="922"/>
      <c r="BW167" s="922"/>
      <c r="BX167" s="922"/>
      <c r="BY167" s="922"/>
      <c r="BZ167" s="922"/>
      <c r="CA167" s="922"/>
      <c r="CB167" s="922"/>
      <c r="CC167" s="922"/>
      <c r="CD167" s="922"/>
      <c r="CE167" s="922"/>
      <c r="CF167" s="922"/>
      <c r="CG167" s="922"/>
      <c r="CH167" s="922"/>
      <c r="CI167" s="922"/>
      <c r="CJ167" s="922"/>
      <c r="CK167" s="922"/>
      <c r="CL167" s="922"/>
      <c r="CM167" s="922"/>
      <c r="CN167" s="922"/>
      <c r="CO167" s="922"/>
      <c r="CP167" s="922"/>
      <c r="CQ167" s="922"/>
      <c r="CR167" s="922"/>
      <c r="CS167" s="922"/>
      <c r="CT167" s="922"/>
      <c r="CU167" s="922"/>
      <c r="CV167" s="922"/>
      <c r="CW167" s="922"/>
      <c r="CX167" s="922"/>
      <c r="CY167" s="922"/>
      <c r="CZ167" s="922"/>
      <c r="DA167" s="922"/>
      <c r="DB167" s="922"/>
      <c r="DC167" s="922"/>
      <c r="DD167" s="922"/>
      <c r="DE167" s="922"/>
      <c r="DF167" s="922"/>
      <c r="DG167" s="922"/>
      <c r="DH167" s="922"/>
      <c r="DI167" s="922"/>
      <c r="DJ167" s="922"/>
      <c r="DK167" s="922"/>
      <c r="DL167" s="922"/>
      <c r="DM167" s="922"/>
      <c r="DN167" s="922"/>
      <c r="DO167" s="922"/>
      <c r="DP167" s="922"/>
      <c r="DQ167" s="922"/>
      <c r="DR167" s="922"/>
      <c r="DS167" s="922"/>
      <c r="DT167" s="922"/>
      <c r="DU167" s="922"/>
      <c r="DV167" s="922"/>
      <c r="DW167" s="922"/>
      <c r="DX167" s="922"/>
      <c r="DY167" s="922"/>
      <c r="DZ167" s="922"/>
      <c r="EA167" s="922"/>
      <c r="EB167" s="922"/>
      <c r="EC167" s="922"/>
      <c r="ED167" s="922"/>
      <c r="EE167" s="922"/>
      <c r="EF167" s="922"/>
      <c r="EG167" s="922"/>
      <c r="EH167" s="922"/>
      <c r="EI167" s="922"/>
      <c r="EJ167" s="922"/>
      <c r="EK167" s="922"/>
      <c r="EL167" s="922"/>
      <c r="EM167" s="922"/>
      <c r="EN167" s="922"/>
      <c r="EO167" s="922"/>
      <c r="EP167" s="922"/>
      <c r="EQ167" s="922"/>
      <c r="ER167" s="922"/>
      <c r="ES167" s="922"/>
      <c r="ET167" s="922"/>
      <c r="EU167" s="922"/>
      <c r="EV167" s="922"/>
      <c r="EW167" s="922"/>
      <c r="EX167" s="922"/>
      <c r="EY167" s="922"/>
      <c r="EZ167" s="922"/>
      <c r="FA167" s="922"/>
      <c r="FB167" s="922"/>
      <c r="FC167" s="922"/>
      <c r="FD167" s="922"/>
      <c r="FE167" s="922"/>
      <c r="FF167" s="922"/>
      <c r="FG167" s="922"/>
      <c r="FH167" s="922"/>
      <c r="FI167" s="922"/>
      <c r="FJ167" s="922"/>
      <c r="FK167" s="922"/>
      <c r="FL167" s="922"/>
      <c r="FM167" s="922"/>
      <c r="FN167" s="922"/>
      <c r="FO167" s="922"/>
      <c r="FP167" s="922"/>
      <c r="FQ167" s="922"/>
      <c r="FR167" s="922"/>
      <c r="FS167" s="922"/>
      <c r="FT167" s="922"/>
      <c r="FU167" s="922"/>
      <c r="FV167" s="922"/>
      <c r="FW167" s="922"/>
      <c r="FX167" s="922"/>
      <c r="FY167" s="922"/>
      <c r="FZ167" s="922"/>
      <c r="GA167" s="922"/>
      <c r="GB167" s="922"/>
      <c r="GC167" s="922"/>
      <c r="GD167" s="922"/>
      <c r="GE167" s="922"/>
      <c r="GF167" s="922"/>
      <c r="GG167" s="922"/>
      <c r="GH167" s="922"/>
      <c r="GI167" s="922"/>
      <c r="GJ167" s="922"/>
      <c r="GK167" s="922"/>
      <c r="GL167" s="922"/>
      <c r="GM167" s="922"/>
      <c r="GN167" s="922"/>
      <c r="GO167" s="922"/>
      <c r="GP167" s="922"/>
      <c r="GQ167" s="922"/>
      <c r="GR167" s="922"/>
      <c r="GS167" s="922"/>
      <c r="GT167" s="922"/>
      <c r="GU167" s="922"/>
      <c r="GV167" s="922"/>
      <c r="GW167" s="922"/>
      <c r="GX167" s="922"/>
      <c r="GY167" s="922"/>
      <c r="GZ167" s="922"/>
      <c r="HA167" s="922"/>
      <c r="HB167" s="922"/>
      <c r="HC167" s="922"/>
      <c r="HD167" s="922"/>
      <c r="HE167" s="922"/>
      <c r="HF167" s="922"/>
      <c r="HG167" s="922"/>
      <c r="HH167" s="922"/>
      <c r="HI167" s="922"/>
      <c r="HJ167" s="922"/>
      <c r="HK167" s="922"/>
      <c r="HL167" s="922"/>
      <c r="HM167" s="922"/>
      <c r="HN167" s="922"/>
      <c r="HO167" s="922"/>
      <c r="HP167" s="922"/>
      <c r="HQ167" s="922"/>
      <c r="HR167" s="922"/>
      <c r="HS167" s="922"/>
      <c r="HT167" s="922"/>
      <c r="HU167" s="922"/>
      <c r="HV167" s="922"/>
      <c r="HW167" s="922"/>
      <c r="HX167" s="922"/>
      <c r="HY167" s="922"/>
      <c r="HZ167" s="922"/>
      <c r="IA167" s="922"/>
      <c r="IB167" s="922"/>
      <c r="IC167" s="922"/>
      <c r="ID167" s="922"/>
      <c r="IE167" s="922"/>
      <c r="IF167" s="922"/>
      <c r="IG167" s="922"/>
      <c r="IH167" s="922"/>
      <c r="II167" s="922"/>
      <c r="IJ167" s="922"/>
      <c r="IK167" s="922"/>
      <c r="IL167" s="922"/>
      <c r="IM167" s="922"/>
      <c r="IN167" s="922"/>
      <c r="IO167" s="922"/>
      <c r="IP167" s="922"/>
      <c r="IQ167" s="922"/>
      <c r="IR167" s="922"/>
      <c r="IS167" s="922"/>
      <c r="IT167" s="922"/>
      <c r="IU167" s="922"/>
      <c r="IV167" s="922"/>
      <c r="IW167" s="922"/>
      <c r="IX167" s="922"/>
      <c r="IY167" s="922"/>
      <c r="IZ167" s="922"/>
      <c r="JA167" s="922"/>
      <c r="JB167" s="922"/>
      <c r="JC167" s="922"/>
      <c r="JD167" s="922"/>
      <c r="JE167" s="922"/>
      <c r="JF167" s="922"/>
      <c r="JG167" s="922"/>
      <c r="JH167" s="922"/>
      <c r="JI167" s="922"/>
      <c r="JJ167" s="922"/>
      <c r="JK167" s="922"/>
      <c r="JL167" s="922"/>
      <c r="JM167" s="922"/>
      <c r="JN167" s="922"/>
      <c r="JO167" s="922"/>
      <c r="JP167" s="922"/>
      <c r="JQ167" s="922"/>
      <c r="JR167" s="922"/>
      <c r="JS167" s="922"/>
      <c r="JT167" s="922"/>
      <c r="JU167" s="922"/>
      <c r="JV167" s="922"/>
      <c r="JW167" s="922"/>
      <c r="JX167" s="922"/>
      <c r="JY167" s="922"/>
      <c r="JZ167" s="922"/>
      <c r="KA167" s="922"/>
      <c r="KB167" s="922"/>
      <c r="KC167" s="922"/>
      <c r="KD167" s="922"/>
      <c r="KE167" s="922"/>
      <c r="KF167" s="922"/>
      <c r="KG167" s="922"/>
      <c r="KH167" s="922"/>
      <c r="KI167" s="922"/>
      <c r="KJ167" s="922"/>
      <c r="KK167" s="922"/>
      <c r="KL167" s="922"/>
      <c r="KM167" s="922"/>
      <c r="KN167" s="922"/>
      <c r="KO167" s="922"/>
      <c r="KP167" s="922"/>
      <c r="KQ167" s="922"/>
      <c r="KR167" s="922"/>
      <c r="KS167" s="922"/>
      <c r="KT167" s="922"/>
      <c r="KU167" s="922"/>
      <c r="KV167" s="922"/>
      <c r="KW167" s="922"/>
      <c r="KX167" s="922"/>
      <c r="KY167" s="922"/>
      <c r="KZ167" s="922"/>
      <c r="LA167" s="922"/>
      <c r="LB167" s="922"/>
      <c r="LC167" s="922"/>
      <c r="LD167" s="922"/>
      <c r="LE167" s="922"/>
      <c r="LF167" s="922"/>
      <c r="LG167" s="922"/>
      <c r="LH167" s="922"/>
      <c r="LI167" s="922"/>
      <c r="LJ167" s="922"/>
      <c r="LK167" s="922"/>
      <c r="LL167" s="922"/>
      <c r="LM167" s="922"/>
      <c r="LN167" s="922"/>
      <c r="LO167" s="922"/>
      <c r="LP167" s="922"/>
      <c r="LQ167" s="922"/>
      <c r="LR167" s="922"/>
      <c r="LS167" s="922"/>
      <c r="LT167" s="922"/>
      <c r="LU167" s="922"/>
      <c r="LV167" s="922"/>
      <c r="LW167" s="922"/>
      <c r="LX167" s="922"/>
      <c r="LY167" s="922"/>
      <c r="LZ167" s="922"/>
      <c r="MA167" s="922"/>
      <c r="MB167" s="922"/>
      <c r="MC167" s="922"/>
      <c r="MD167" s="922"/>
      <c r="ME167" s="922"/>
      <c r="MF167" s="922"/>
      <c r="MG167" s="922"/>
      <c r="MH167" s="922"/>
      <c r="MI167" s="922"/>
      <c r="MJ167" s="922"/>
      <c r="MK167" s="922"/>
      <c r="ML167" s="922"/>
      <c r="MM167" s="922"/>
      <c r="MN167" s="922"/>
      <c r="MO167" s="922"/>
      <c r="MP167" s="922"/>
      <c r="MQ167" s="922"/>
      <c r="MR167" s="922"/>
      <c r="MS167" s="922"/>
      <c r="MT167" s="922"/>
      <c r="MU167" s="922"/>
      <c r="MV167" s="922"/>
      <c r="MW167" s="922"/>
      <c r="MX167" s="922"/>
      <c r="MY167" s="922"/>
      <c r="MZ167" s="922"/>
      <c r="NA167" s="922"/>
      <c r="NB167" s="922"/>
      <c r="NC167" s="922"/>
      <c r="ND167" s="922"/>
      <c r="NE167" s="922"/>
      <c r="NF167" s="922"/>
      <c r="NG167" s="922"/>
      <c r="NH167" s="922"/>
      <c r="NI167" s="922"/>
      <c r="NJ167" s="922"/>
      <c r="NK167" s="922"/>
      <c r="NL167" s="922"/>
      <c r="NM167" s="922"/>
      <c r="NN167" s="922"/>
      <c r="NO167" s="922"/>
      <c r="NP167" s="922"/>
      <c r="NQ167" s="922"/>
      <c r="NR167" s="922"/>
      <c r="NS167" s="922"/>
      <c r="NT167" s="922"/>
      <c r="NU167" s="922"/>
      <c r="NV167" s="922"/>
      <c r="NW167" s="922"/>
      <c r="NX167" s="922"/>
      <c r="NY167" s="922"/>
      <c r="NZ167" s="922"/>
      <c r="OA167" s="922"/>
      <c r="OB167" s="922"/>
      <c r="OC167" s="922"/>
      <c r="OD167" s="922"/>
      <c r="OE167" s="922"/>
      <c r="OF167" s="922"/>
      <c r="OG167" s="922"/>
      <c r="OH167" s="922"/>
      <c r="OI167" s="922"/>
      <c r="OJ167" s="922"/>
      <c r="OK167" s="922"/>
      <c r="OL167" s="922"/>
      <c r="OM167" s="922"/>
      <c r="ON167" s="922"/>
      <c r="OO167" s="922"/>
      <c r="OP167" s="922"/>
      <c r="OQ167" s="922"/>
      <c r="OR167" s="922"/>
      <c r="OS167" s="922"/>
      <c r="OT167" s="922"/>
      <c r="OU167" s="922"/>
      <c r="OV167" s="922"/>
      <c r="OW167" s="922"/>
      <c r="OX167" s="922"/>
      <c r="OY167" s="922"/>
      <c r="OZ167" s="922"/>
      <c r="PA167" s="922"/>
      <c r="PB167" s="922"/>
      <c r="PC167" s="922"/>
      <c r="PD167" s="922"/>
      <c r="PE167" s="922"/>
      <c r="PF167" s="922"/>
      <c r="PG167" s="922"/>
      <c r="PH167" s="922"/>
      <c r="PI167" s="922"/>
      <c r="PJ167" s="922"/>
      <c r="PK167" s="922"/>
      <c r="PL167" s="922"/>
      <c r="PM167" s="922"/>
      <c r="PN167" s="922"/>
      <c r="PO167" s="922"/>
      <c r="PP167" s="922"/>
      <c r="PQ167" s="922"/>
      <c r="PR167" s="922"/>
      <c r="PS167" s="922"/>
      <c r="PT167" s="922"/>
      <c r="PU167" s="922"/>
      <c r="PV167" s="922"/>
      <c r="PW167" s="922"/>
      <c r="PX167" s="922"/>
      <c r="PY167" s="922"/>
      <c r="PZ167" s="922"/>
      <c r="QA167" s="922"/>
      <c r="QB167" s="922"/>
      <c r="QC167" s="922"/>
      <c r="QD167" s="922"/>
      <c r="QE167" s="922"/>
      <c r="QF167" s="922"/>
      <c r="QG167" s="922"/>
      <c r="QH167" s="922"/>
      <c r="QI167" s="922"/>
      <c r="QJ167" s="922"/>
      <c r="QK167" s="922"/>
      <c r="QL167" s="922"/>
      <c r="QM167" s="922"/>
      <c r="QN167" s="922"/>
      <c r="QO167" s="922"/>
      <c r="QP167" s="922"/>
      <c r="QQ167" s="922"/>
      <c r="QR167" s="922"/>
      <c r="QS167" s="922"/>
      <c r="QT167" s="922"/>
      <c r="QU167" s="922"/>
      <c r="QV167" s="922"/>
      <c r="QW167" s="922"/>
      <c r="QX167" s="922"/>
      <c r="QY167" s="922"/>
      <c r="QZ167" s="922"/>
      <c r="RA167" s="922"/>
      <c r="RB167" s="922"/>
      <c r="RC167" s="922"/>
      <c r="RD167" s="922"/>
      <c r="RE167" s="922"/>
      <c r="RF167" s="922"/>
      <c r="RG167" s="922"/>
      <c r="RH167" s="922"/>
      <c r="RI167" s="922"/>
      <c r="RJ167" s="922"/>
      <c r="RK167" s="922"/>
      <c r="RL167" s="922"/>
      <c r="RM167" s="922"/>
      <c r="RN167" s="922"/>
      <c r="RO167" s="922"/>
      <c r="RP167" s="922"/>
      <c r="RQ167" s="922"/>
      <c r="RR167" s="922"/>
      <c r="RS167" s="922"/>
      <c r="RT167" s="922"/>
      <c r="RU167" s="922"/>
      <c r="RV167" s="922"/>
      <c r="RW167" s="922"/>
      <c r="RX167" s="922"/>
      <c r="RY167" s="922"/>
      <c r="RZ167" s="922"/>
      <c r="SA167" s="922"/>
      <c r="SB167" s="922"/>
      <c r="SC167" s="922"/>
      <c r="SD167" s="922"/>
      <c r="SE167" s="922"/>
      <c r="SF167" s="922"/>
      <c r="SG167" s="922"/>
      <c r="SH167" s="922"/>
      <c r="SI167" s="922"/>
      <c r="SJ167" s="922"/>
      <c r="SK167" s="922"/>
      <c r="SL167" s="922"/>
      <c r="SM167" s="922"/>
      <c r="SN167" s="922"/>
      <c r="SO167" s="922"/>
      <c r="SP167" s="922"/>
      <c r="SQ167" s="922"/>
      <c r="SR167" s="922"/>
      <c r="SS167" s="922"/>
      <c r="ST167" s="922"/>
      <c r="SU167" s="922"/>
      <c r="SV167" s="922"/>
      <c r="SW167" s="922"/>
      <c r="SX167" s="922"/>
      <c r="SY167" s="922"/>
      <c r="SZ167" s="922"/>
      <c r="TA167" s="922"/>
      <c r="TB167" s="922"/>
      <c r="TC167" s="922"/>
      <c r="TD167" s="922"/>
      <c r="TE167" s="922"/>
      <c r="TF167" s="922"/>
      <c r="TG167" s="922"/>
      <c r="TH167" s="922"/>
      <c r="TI167" s="922"/>
      <c r="TJ167" s="922"/>
      <c r="TK167" s="922"/>
      <c r="TL167" s="922"/>
      <c r="TM167" s="922"/>
      <c r="TN167" s="922"/>
      <c r="TO167" s="922"/>
      <c r="TP167" s="922"/>
      <c r="TQ167" s="922"/>
      <c r="TR167" s="922"/>
      <c r="TS167" s="922"/>
      <c r="TT167" s="922"/>
      <c r="TU167" s="922"/>
      <c r="TV167" s="922"/>
      <c r="TW167" s="922"/>
      <c r="TX167" s="922"/>
      <c r="TY167" s="922"/>
      <c r="TZ167" s="922"/>
      <c r="UA167" s="922"/>
      <c r="UB167" s="922"/>
      <c r="UC167" s="922"/>
      <c r="UD167" s="922"/>
      <c r="UE167" s="922"/>
      <c r="UF167" s="922"/>
      <c r="UG167" s="922"/>
      <c r="UH167" s="922"/>
      <c r="UI167" s="922"/>
      <c r="UJ167" s="922"/>
      <c r="UK167" s="922"/>
      <c r="UL167" s="922"/>
      <c r="UM167" s="922"/>
      <c r="UN167" s="922"/>
      <c r="UO167" s="922"/>
      <c r="UP167" s="922"/>
      <c r="UQ167" s="922"/>
      <c r="UR167" s="922"/>
      <c r="US167" s="922"/>
      <c r="UT167" s="922"/>
      <c r="UU167" s="922"/>
      <c r="UV167" s="922"/>
      <c r="UW167" s="922"/>
      <c r="UX167" s="922"/>
      <c r="UY167" s="922"/>
      <c r="UZ167" s="922"/>
      <c r="VA167" s="922"/>
      <c r="VB167" s="922"/>
      <c r="VC167" s="922"/>
      <c r="VD167" s="922"/>
      <c r="VE167" s="922"/>
      <c r="VF167" s="922"/>
      <c r="VG167" s="922"/>
      <c r="VH167" s="922"/>
      <c r="VI167" s="922"/>
      <c r="VJ167" s="922"/>
      <c r="VK167" s="922"/>
      <c r="VL167" s="922"/>
      <c r="VM167" s="922"/>
      <c r="VN167" s="922"/>
      <c r="VO167" s="922"/>
      <c r="VP167" s="922"/>
      <c r="VQ167" s="922"/>
      <c r="VR167" s="922"/>
      <c r="VS167" s="922"/>
      <c r="VT167" s="922"/>
      <c r="VU167" s="922"/>
      <c r="VV167" s="922"/>
      <c r="VW167" s="922"/>
      <c r="VX167" s="922"/>
      <c r="VY167" s="922"/>
      <c r="VZ167" s="922"/>
      <c r="WA167" s="922"/>
      <c r="WB167" s="922"/>
      <c r="WC167" s="922"/>
      <c r="WD167" s="922"/>
      <c r="WE167" s="922"/>
      <c r="WF167" s="922"/>
      <c r="WG167" s="922"/>
      <c r="WH167" s="922"/>
      <c r="WI167" s="922"/>
      <c r="WJ167" s="922"/>
      <c r="WK167" s="922"/>
      <c r="WL167" s="922"/>
      <c r="WM167" s="922"/>
      <c r="WN167" s="922"/>
      <c r="WO167" s="922"/>
      <c r="WP167" s="922"/>
      <c r="WQ167" s="922"/>
      <c r="WR167" s="922"/>
      <c r="WS167" s="922"/>
      <c r="WT167" s="922"/>
      <c r="WU167" s="922"/>
      <c r="WV167" s="922"/>
      <c r="WW167" s="922"/>
      <c r="WX167" s="922"/>
      <c r="WY167" s="922"/>
      <c r="WZ167" s="922"/>
      <c r="XA167" s="922"/>
      <c r="XB167" s="922"/>
      <c r="XC167" s="922"/>
      <c r="XD167" s="922"/>
      <c r="XE167" s="922"/>
      <c r="XF167" s="922"/>
      <c r="XG167" s="922"/>
      <c r="XH167" s="922"/>
      <c r="XI167" s="922"/>
      <c r="XJ167" s="922"/>
      <c r="XK167" s="922"/>
      <c r="XL167" s="922"/>
      <c r="XM167" s="922"/>
      <c r="XN167" s="922"/>
      <c r="XO167" s="922"/>
      <c r="XP167" s="922"/>
      <c r="XQ167" s="922"/>
      <c r="XR167" s="922"/>
      <c r="XS167" s="922"/>
      <c r="XT167" s="922"/>
      <c r="XU167" s="922"/>
      <c r="XV167" s="922"/>
      <c r="XW167" s="922"/>
      <c r="XX167" s="922"/>
      <c r="XY167" s="922"/>
      <c r="XZ167" s="922"/>
      <c r="YA167" s="922"/>
      <c r="YB167" s="922"/>
      <c r="YC167" s="922"/>
      <c r="YD167" s="922"/>
      <c r="YE167" s="922"/>
      <c r="YF167" s="922"/>
      <c r="YG167" s="922"/>
      <c r="YH167" s="922"/>
      <c r="YI167" s="922"/>
      <c r="YJ167" s="922"/>
      <c r="YK167" s="922"/>
      <c r="YL167" s="922"/>
      <c r="YM167" s="922"/>
      <c r="YN167" s="922"/>
      <c r="YO167" s="922"/>
      <c r="YP167" s="922"/>
      <c r="YQ167" s="922"/>
      <c r="YR167" s="922"/>
      <c r="YS167" s="922"/>
      <c r="YT167" s="922"/>
      <c r="YU167" s="922"/>
      <c r="YV167" s="922"/>
      <c r="YW167" s="922"/>
      <c r="YX167" s="922"/>
      <c r="YY167" s="922"/>
      <c r="YZ167" s="922"/>
      <c r="ZA167" s="922"/>
      <c r="ZB167" s="922"/>
      <c r="ZC167" s="922"/>
      <c r="ZD167" s="922"/>
      <c r="ZE167" s="922"/>
      <c r="ZF167" s="922"/>
      <c r="ZG167" s="922"/>
      <c r="ZH167" s="922"/>
      <c r="ZI167" s="922"/>
      <c r="ZJ167" s="922"/>
      <c r="ZK167" s="922"/>
      <c r="ZL167" s="922"/>
      <c r="ZM167" s="922"/>
      <c r="ZN167" s="922"/>
      <c r="ZO167" s="922"/>
      <c r="ZP167" s="922"/>
      <c r="ZQ167" s="922"/>
      <c r="ZR167" s="922"/>
      <c r="ZS167" s="922"/>
      <c r="ZT167" s="922"/>
      <c r="ZU167" s="922"/>
      <c r="ZV167" s="922"/>
      <c r="ZW167" s="922"/>
      <c r="ZX167" s="922"/>
      <c r="ZY167" s="922"/>
      <c r="ZZ167" s="922"/>
      <c r="AAA167" s="922"/>
      <c r="AAB167" s="922"/>
      <c r="AAC167" s="922"/>
      <c r="AAD167" s="922"/>
      <c r="AAE167" s="922"/>
      <c r="AAF167" s="922"/>
      <c r="AAG167" s="922"/>
      <c r="AAH167" s="922"/>
      <c r="AAI167" s="922"/>
      <c r="AAJ167" s="922"/>
      <c r="AAK167" s="922"/>
      <c r="AAL167" s="922"/>
      <c r="AAM167" s="922"/>
      <c r="AAN167" s="922"/>
      <c r="AAO167" s="922"/>
      <c r="AAP167" s="922"/>
      <c r="AAQ167" s="922"/>
      <c r="AAR167" s="922"/>
      <c r="AAS167" s="922"/>
      <c r="AAT167" s="922"/>
      <c r="AAU167" s="922"/>
      <c r="AAV167" s="922"/>
      <c r="AAW167" s="922"/>
      <c r="AAX167" s="922"/>
      <c r="AAY167" s="922"/>
      <c r="AAZ167" s="922"/>
      <c r="ABA167" s="922"/>
      <c r="ABB167" s="922"/>
      <c r="ABC167" s="922"/>
      <c r="ABD167" s="922"/>
      <c r="ABE167" s="922"/>
      <c r="ABF167" s="922"/>
      <c r="ABG167" s="922"/>
      <c r="ABH167" s="922"/>
      <c r="ABI167" s="922"/>
      <c r="ABJ167" s="922"/>
      <c r="ABK167" s="922"/>
      <c r="ABL167" s="922"/>
      <c r="ABM167" s="922"/>
      <c r="ABN167" s="922"/>
      <c r="ABO167" s="922"/>
      <c r="ABP167" s="922"/>
      <c r="ABQ167" s="922"/>
      <c r="ABR167" s="922"/>
      <c r="ABS167" s="922"/>
      <c r="ABT167" s="922"/>
      <c r="ABU167" s="922"/>
      <c r="ABV167" s="922"/>
      <c r="ABW167" s="922"/>
      <c r="ABX167" s="922"/>
      <c r="ABY167" s="922"/>
      <c r="ABZ167" s="922"/>
      <c r="ACA167" s="922"/>
      <c r="ACB167" s="922"/>
      <c r="ACC167" s="922"/>
      <c r="ACD167" s="922"/>
      <c r="ACE167" s="922"/>
      <c r="ACF167" s="922"/>
      <c r="ACG167" s="922"/>
      <c r="ACH167" s="922"/>
      <c r="ACI167" s="922"/>
      <c r="ACJ167" s="922"/>
      <c r="ACK167" s="922"/>
      <c r="ACL167" s="922"/>
      <c r="ACM167" s="922"/>
      <c r="ACN167" s="922"/>
      <c r="ACO167" s="922"/>
      <c r="ACP167" s="922"/>
      <c r="ACQ167" s="922"/>
      <c r="ACR167" s="922"/>
      <c r="ACS167" s="922"/>
      <c r="ACT167" s="922"/>
      <c r="ACU167" s="922"/>
      <c r="ACV167" s="922"/>
      <c r="ACW167" s="922"/>
      <c r="ACX167" s="922"/>
      <c r="ACY167" s="922"/>
      <c r="ACZ167" s="922"/>
      <c r="ADA167" s="922"/>
      <c r="ADB167" s="922"/>
      <c r="ADC167" s="922"/>
      <c r="ADD167" s="922"/>
      <c r="ADE167" s="922"/>
      <c r="ADF167" s="922"/>
      <c r="ADG167" s="922"/>
      <c r="ADH167" s="922"/>
      <c r="ADI167" s="922"/>
      <c r="ADJ167" s="922"/>
      <c r="ADK167" s="922"/>
      <c r="ADL167" s="922"/>
      <c r="ADM167" s="922"/>
      <c r="ADN167" s="922"/>
      <c r="ADO167" s="922"/>
      <c r="ADP167" s="922"/>
      <c r="ADQ167" s="922"/>
      <c r="ADR167" s="922"/>
      <c r="ADS167" s="922"/>
      <c r="ADT167" s="922"/>
      <c r="ADU167" s="922"/>
      <c r="ADV167" s="922"/>
      <c r="ADW167" s="922"/>
      <c r="ADX167" s="922"/>
      <c r="ADY167" s="922"/>
      <c r="ADZ167" s="922"/>
      <c r="AEA167" s="922"/>
      <c r="AEB167" s="922"/>
      <c r="AEC167" s="922"/>
      <c r="AED167" s="922"/>
      <c r="AEE167" s="922"/>
      <c r="AEF167" s="922"/>
      <c r="AEG167" s="922"/>
      <c r="AEH167" s="922"/>
      <c r="AEI167" s="922"/>
      <c r="AEJ167" s="922"/>
      <c r="AEK167" s="922"/>
      <c r="AEL167" s="922"/>
      <c r="AEM167" s="922"/>
      <c r="AEN167" s="922"/>
      <c r="AEO167" s="922"/>
      <c r="AEP167" s="922"/>
      <c r="AEQ167" s="922"/>
      <c r="AER167" s="922"/>
      <c r="AES167" s="922"/>
      <c r="AET167" s="922"/>
      <c r="AEU167" s="922"/>
      <c r="AEV167" s="922"/>
      <c r="AEW167" s="922"/>
      <c r="AEX167" s="922"/>
      <c r="AEY167" s="922"/>
      <c r="AEZ167" s="922"/>
      <c r="AFA167" s="922"/>
      <c r="AFB167" s="922"/>
      <c r="AFC167" s="922"/>
      <c r="AFD167" s="922"/>
      <c r="AFE167" s="922"/>
      <c r="AFF167" s="922"/>
      <c r="AFG167" s="922"/>
      <c r="AFH167" s="922"/>
      <c r="AFI167" s="922"/>
      <c r="AFJ167" s="922"/>
      <c r="AFK167" s="922"/>
      <c r="AFL167" s="922"/>
      <c r="AFM167" s="922"/>
      <c r="AFN167" s="922"/>
      <c r="AFO167" s="922"/>
      <c r="AFP167" s="922"/>
      <c r="AFQ167" s="922"/>
      <c r="AFR167" s="922"/>
      <c r="AFS167" s="922"/>
      <c r="AFT167" s="922"/>
      <c r="AFU167" s="922"/>
      <c r="AFV167" s="922"/>
      <c r="AFW167" s="922"/>
      <c r="AFX167" s="922"/>
      <c r="AFY167" s="922"/>
      <c r="AFZ167" s="922"/>
      <c r="AGA167" s="922"/>
      <c r="AGB167" s="922"/>
      <c r="AGC167" s="922"/>
      <c r="AGD167" s="922"/>
      <c r="AGE167" s="922"/>
      <c r="AGF167" s="922"/>
      <c r="AGG167" s="922"/>
      <c r="AGH167" s="922"/>
      <c r="AGI167" s="922"/>
      <c r="AGJ167" s="922"/>
      <c r="AGK167" s="922"/>
      <c r="AGL167" s="922"/>
      <c r="AGM167" s="922"/>
      <c r="AGN167" s="922"/>
      <c r="AGO167" s="922"/>
      <c r="AGP167" s="922"/>
      <c r="AGQ167" s="922"/>
      <c r="AGR167" s="922"/>
      <c r="AGS167" s="922"/>
      <c r="AGT167" s="922"/>
      <c r="AGU167" s="922"/>
      <c r="AGV167" s="922"/>
      <c r="AGW167" s="922"/>
      <c r="AGX167" s="922"/>
      <c r="AGY167" s="922"/>
      <c r="AGZ167" s="922"/>
      <c r="AHA167" s="922"/>
      <c r="AHB167" s="922"/>
      <c r="AHC167" s="922"/>
      <c r="AHD167" s="922"/>
      <c r="AHE167" s="922"/>
      <c r="AHF167" s="922"/>
      <c r="AHG167" s="922"/>
      <c r="AHH167" s="922"/>
      <c r="AHI167" s="922"/>
      <c r="AHJ167" s="922"/>
      <c r="AHK167" s="922"/>
      <c r="AHL167" s="922"/>
      <c r="AHM167" s="922"/>
      <c r="AHN167" s="922"/>
      <c r="AHO167" s="922"/>
      <c r="AHP167" s="922"/>
      <c r="AHQ167" s="922"/>
      <c r="AHR167" s="922"/>
      <c r="AHS167" s="922"/>
      <c r="AHT167" s="922"/>
      <c r="AHU167" s="922"/>
      <c r="AHV167" s="922"/>
      <c r="AHW167" s="922"/>
      <c r="AHX167" s="922"/>
      <c r="AHY167" s="922"/>
      <c r="AHZ167" s="922"/>
      <c r="AIA167" s="922"/>
      <c r="AIB167" s="922"/>
      <c r="AIC167" s="922"/>
      <c r="AID167" s="922"/>
      <c r="AIE167" s="922"/>
      <c r="AIF167" s="922"/>
      <c r="AIG167" s="922"/>
      <c r="AIH167" s="922"/>
      <c r="AII167" s="922"/>
      <c r="AIJ167" s="922"/>
      <c r="AIK167" s="922"/>
      <c r="AIL167" s="922"/>
      <c r="AIM167" s="922"/>
      <c r="AIN167" s="922"/>
      <c r="AIO167" s="922"/>
      <c r="AIP167" s="922"/>
      <c r="AIQ167" s="922"/>
      <c r="AIR167" s="922"/>
      <c r="AIS167" s="922"/>
      <c r="AIT167" s="922"/>
      <c r="AIU167" s="922"/>
      <c r="AIV167" s="922"/>
      <c r="AIW167" s="922"/>
      <c r="AIX167" s="922"/>
      <c r="AIY167" s="922"/>
      <c r="AIZ167" s="922"/>
      <c r="AJA167" s="922"/>
      <c r="AJB167" s="922"/>
      <c r="AJC167" s="922"/>
      <c r="AJD167" s="922"/>
      <c r="AJE167" s="922"/>
      <c r="AJF167" s="922"/>
      <c r="AJG167" s="922"/>
      <c r="AJH167" s="922"/>
      <c r="AJI167" s="922"/>
      <c r="AJJ167" s="922"/>
      <c r="AJK167" s="922"/>
      <c r="AJL167" s="922"/>
      <c r="AJM167" s="922"/>
      <c r="AJN167" s="922"/>
      <c r="AJO167" s="922"/>
      <c r="AJP167" s="922"/>
      <c r="AJQ167" s="922"/>
      <c r="AJR167" s="922"/>
      <c r="AJS167" s="922"/>
      <c r="AJT167" s="922"/>
      <c r="AJU167" s="922"/>
      <c r="AJV167" s="922"/>
      <c r="AJW167" s="922"/>
      <c r="AJX167" s="922"/>
      <c r="AJY167" s="922"/>
      <c r="AJZ167" s="922"/>
      <c r="AKA167" s="922"/>
      <c r="AKB167" s="922"/>
      <c r="AKC167" s="922"/>
      <c r="AKD167" s="922"/>
      <c r="AKE167" s="922"/>
      <c r="AKF167" s="922"/>
      <c r="AKG167" s="922"/>
      <c r="AKH167" s="922"/>
      <c r="AKI167" s="922"/>
      <c r="AKJ167" s="922"/>
      <c r="AKK167" s="922"/>
      <c r="AKL167" s="922"/>
      <c r="AKM167" s="922"/>
      <c r="AKN167" s="922"/>
      <c r="AKO167" s="922"/>
      <c r="AKP167" s="922"/>
      <c r="AKQ167" s="922"/>
      <c r="AKR167" s="922"/>
      <c r="AKS167" s="922"/>
      <c r="AKT167" s="922"/>
      <c r="AKU167" s="922"/>
      <c r="AKV167" s="922"/>
      <c r="AKW167" s="922"/>
      <c r="AKX167" s="922"/>
      <c r="AKY167" s="922"/>
      <c r="AKZ167" s="922"/>
      <c r="ALA167" s="922"/>
      <c r="ALB167" s="922"/>
      <c r="ALC167" s="922"/>
      <c r="ALD167" s="922"/>
      <c r="ALE167" s="922"/>
      <c r="ALF167" s="922"/>
      <c r="ALG167" s="922"/>
      <c r="ALH167" s="922"/>
      <c r="ALI167" s="922"/>
      <c r="ALJ167" s="922"/>
      <c r="ALK167" s="922"/>
      <c r="ALL167" s="922"/>
      <c r="ALM167" s="922"/>
      <c r="ALN167" s="922"/>
      <c r="ALO167" s="922"/>
      <c r="ALP167" s="922"/>
      <c r="ALQ167" s="922"/>
      <c r="ALR167" s="922"/>
      <c r="ALS167" s="922"/>
      <c r="ALT167" s="922"/>
      <c r="ALU167" s="922"/>
      <c r="ALV167" s="922"/>
      <c r="ALW167" s="922"/>
      <c r="ALX167" s="922"/>
      <c r="ALY167" s="922"/>
      <c r="ALZ167" s="922"/>
      <c r="AMA167" s="922"/>
      <c r="AMB167" s="922"/>
      <c r="AMC167" s="922"/>
      <c r="AMD167" s="922"/>
      <c r="AME167" s="922"/>
      <c r="AMF167" s="922"/>
      <c r="AMG167" s="922"/>
      <c r="AMH167" s="922"/>
      <c r="AMI167" s="922"/>
      <c r="AMJ167" s="922"/>
      <c r="AMK167" s="922"/>
      <c r="AML167" s="922"/>
      <c r="AMM167" s="922"/>
      <c r="AMN167" s="922"/>
      <c r="AMO167" s="922"/>
      <c r="AMP167" s="922"/>
      <c r="AMQ167" s="922"/>
      <c r="AMR167" s="922"/>
      <c r="AMS167" s="922"/>
      <c r="AMT167" s="922"/>
      <c r="AMU167" s="922"/>
      <c r="AMV167" s="922"/>
      <c r="AMW167" s="922"/>
      <c r="AMX167" s="922"/>
      <c r="AMY167" s="922"/>
      <c r="AMZ167" s="922"/>
      <c r="ANA167" s="922"/>
      <c r="ANB167" s="922"/>
      <c r="ANC167" s="922"/>
      <c r="AND167" s="922"/>
      <c r="ANE167" s="922"/>
      <c r="ANF167" s="922"/>
      <c r="ANG167" s="922"/>
      <c r="ANH167" s="922"/>
      <c r="ANI167" s="922"/>
      <c r="ANJ167" s="922"/>
      <c r="ANK167" s="922"/>
      <c r="ANL167" s="922"/>
      <c r="ANM167" s="922"/>
      <c r="ANN167" s="922"/>
      <c r="ANO167" s="922"/>
      <c r="ANP167" s="922"/>
      <c r="ANQ167" s="922"/>
      <c r="ANR167" s="922"/>
      <c r="ANS167" s="922"/>
      <c r="ANT167" s="922"/>
      <c r="ANU167" s="922"/>
      <c r="ANV167" s="922"/>
      <c r="ANW167" s="922"/>
      <c r="ANX167" s="922"/>
      <c r="ANY167" s="922"/>
      <c r="ANZ167" s="922"/>
      <c r="AOA167" s="922"/>
      <c r="AOB167" s="922"/>
      <c r="AOC167" s="922"/>
      <c r="AOD167" s="922"/>
      <c r="AOE167" s="922"/>
      <c r="AOF167" s="922"/>
      <c r="AOG167" s="922"/>
      <c r="AOH167" s="922"/>
      <c r="AOI167" s="922"/>
      <c r="AOJ167" s="922"/>
      <c r="AOK167" s="922"/>
      <c r="AOL167" s="922"/>
      <c r="AOM167" s="922"/>
      <c r="AON167" s="922"/>
      <c r="AOO167" s="922"/>
      <c r="AOP167" s="922"/>
      <c r="AOQ167" s="922"/>
      <c r="AOR167" s="922"/>
      <c r="AOS167" s="922"/>
      <c r="AOT167" s="922"/>
      <c r="AOU167" s="922"/>
      <c r="AOV167" s="922"/>
      <c r="AOW167" s="922"/>
      <c r="AOX167" s="922"/>
      <c r="AOY167" s="922"/>
      <c r="AOZ167" s="922"/>
      <c r="APA167" s="922"/>
      <c r="APB167" s="922"/>
      <c r="APC167" s="922"/>
      <c r="APD167" s="922"/>
      <c r="APE167" s="922"/>
      <c r="APF167" s="922"/>
      <c r="APG167" s="922"/>
      <c r="APH167" s="922"/>
      <c r="API167" s="922"/>
      <c r="APJ167" s="922"/>
      <c r="APK167" s="922"/>
      <c r="APL167" s="922"/>
      <c r="APM167" s="922"/>
      <c r="APN167" s="922"/>
      <c r="APO167" s="922"/>
      <c r="APP167" s="922"/>
      <c r="APQ167" s="922"/>
      <c r="APR167" s="922"/>
      <c r="APS167" s="922"/>
      <c r="APT167" s="922"/>
      <c r="APU167" s="922"/>
      <c r="APV167" s="922"/>
      <c r="APW167" s="922"/>
      <c r="APX167" s="922"/>
      <c r="APY167" s="922"/>
      <c r="APZ167" s="922"/>
      <c r="AQA167" s="922"/>
      <c r="AQB167" s="922"/>
      <c r="AQC167" s="922"/>
      <c r="AQD167" s="922"/>
      <c r="AQE167" s="922"/>
      <c r="AQF167" s="922"/>
      <c r="AQG167" s="922"/>
      <c r="AQH167" s="922"/>
      <c r="AQI167" s="922"/>
      <c r="AQJ167" s="922"/>
      <c r="AQK167" s="922"/>
      <c r="AQL167" s="922"/>
      <c r="AQM167" s="922"/>
      <c r="AQN167" s="922"/>
      <c r="AQO167" s="922"/>
      <c r="AQP167" s="922"/>
      <c r="AQQ167" s="922"/>
      <c r="AQR167" s="922"/>
      <c r="AQS167" s="922"/>
      <c r="AQT167" s="922"/>
      <c r="AQU167" s="922"/>
      <c r="AQV167" s="922"/>
      <c r="AQW167" s="922"/>
      <c r="AQX167" s="922"/>
      <c r="AQY167" s="922"/>
      <c r="AQZ167" s="922"/>
      <c r="ARA167" s="922"/>
      <c r="ARB167" s="922"/>
      <c r="ARC167" s="922"/>
      <c r="ARD167" s="922"/>
      <c r="ARE167" s="922"/>
      <c r="ARF167" s="922"/>
      <c r="ARG167" s="922"/>
      <c r="ARH167" s="922"/>
      <c r="ARI167" s="922"/>
      <c r="ARJ167" s="922"/>
      <c r="ARK167" s="922"/>
      <c r="ARL167" s="922"/>
      <c r="ARM167" s="922"/>
      <c r="ARN167" s="922"/>
      <c r="ARO167" s="922"/>
      <c r="ARP167" s="922"/>
      <c r="ARQ167" s="922"/>
      <c r="ARR167" s="922"/>
      <c r="ARS167" s="922"/>
      <c r="ART167" s="922"/>
      <c r="ARU167" s="922"/>
      <c r="ARV167" s="922"/>
      <c r="ARW167" s="922"/>
      <c r="ARX167" s="922"/>
      <c r="ARY167" s="922"/>
      <c r="ARZ167" s="922"/>
      <c r="ASA167" s="922"/>
      <c r="ASB167" s="922"/>
      <c r="ASC167" s="922"/>
    </row>
    <row r="168" spans="1:1173" hidden="1">
      <c r="A168" s="920"/>
      <c r="T168" s="922"/>
      <c r="AN168" s="922"/>
      <c r="AO168" s="922"/>
      <c r="AP168" s="922"/>
      <c r="AQ168" s="922"/>
      <c r="AR168" s="922"/>
      <c r="AS168" s="922"/>
      <c r="AT168" s="922"/>
      <c r="AU168" s="922"/>
      <c r="AV168" s="922"/>
      <c r="AW168" s="922"/>
      <c r="AX168" s="922"/>
      <c r="AY168" s="922"/>
      <c r="AZ168" s="922"/>
      <c r="BA168" s="922"/>
      <c r="BB168" s="922"/>
      <c r="BC168" s="922"/>
      <c r="BD168" s="922"/>
      <c r="BE168" s="922"/>
      <c r="BF168" s="922"/>
      <c r="BG168" s="922"/>
      <c r="BH168" s="922"/>
      <c r="BI168" s="922"/>
      <c r="BJ168" s="922"/>
      <c r="BK168" s="922"/>
      <c r="BL168" s="922"/>
      <c r="BM168" s="922"/>
      <c r="BN168" s="922"/>
      <c r="BO168" s="922"/>
      <c r="BP168" s="922"/>
      <c r="BQ168" s="922"/>
      <c r="BR168" s="922"/>
      <c r="BS168" s="922"/>
      <c r="BT168" s="922"/>
      <c r="BU168" s="922"/>
      <c r="BV168" s="922"/>
      <c r="BW168" s="922"/>
      <c r="BX168" s="922"/>
      <c r="BY168" s="922"/>
      <c r="BZ168" s="922"/>
      <c r="CA168" s="922"/>
      <c r="CB168" s="922"/>
      <c r="CC168" s="922"/>
      <c r="CD168" s="922"/>
      <c r="CE168" s="922"/>
      <c r="CF168" s="922"/>
      <c r="CG168" s="922"/>
      <c r="CH168" s="922"/>
      <c r="CI168" s="922"/>
      <c r="CJ168" s="922"/>
      <c r="CK168" s="922"/>
      <c r="CL168" s="922"/>
      <c r="CM168" s="922"/>
      <c r="CN168" s="922"/>
      <c r="CO168" s="922"/>
      <c r="CP168" s="922"/>
      <c r="CQ168" s="922"/>
      <c r="CR168" s="922"/>
      <c r="CS168" s="922"/>
      <c r="CT168" s="922"/>
      <c r="CU168" s="922"/>
      <c r="CV168" s="922"/>
      <c r="CW168" s="922"/>
      <c r="CX168" s="922"/>
      <c r="CY168" s="922"/>
      <c r="CZ168" s="922"/>
      <c r="DA168" s="922"/>
      <c r="DB168" s="922"/>
      <c r="DC168" s="922"/>
      <c r="DD168" s="922"/>
      <c r="DE168" s="922"/>
      <c r="DF168" s="922"/>
      <c r="DG168" s="922"/>
      <c r="DH168" s="922"/>
      <c r="DI168" s="922"/>
      <c r="DJ168" s="922"/>
      <c r="DK168" s="922"/>
      <c r="DL168" s="922"/>
      <c r="DM168" s="922"/>
      <c r="DN168" s="922"/>
      <c r="DO168" s="922"/>
      <c r="DP168" s="922"/>
      <c r="DQ168" s="922"/>
      <c r="DR168" s="922"/>
      <c r="DS168" s="922"/>
      <c r="DT168" s="922"/>
      <c r="DU168" s="922"/>
      <c r="DV168" s="922"/>
      <c r="DW168" s="922"/>
      <c r="DX168" s="922"/>
      <c r="DY168" s="922"/>
      <c r="DZ168" s="922"/>
      <c r="EA168" s="922"/>
      <c r="EB168" s="922"/>
      <c r="EC168" s="922"/>
      <c r="ED168" s="922"/>
      <c r="EE168" s="922"/>
      <c r="EF168" s="922"/>
      <c r="EG168" s="922"/>
      <c r="EH168" s="922"/>
      <c r="EI168" s="922"/>
      <c r="EJ168" s="922"/>
      <c r="EK168" s="922"/>
      <c r="EL168" s="922"/>
      <c r="EM168" s="922"/>
      <c r="EN168" s="922"/>
      <c r="EO168" s="922"/>
      <c r="EP168" s="922"/>
      <c r="EQ168" s="922"/>
      <c r="ER168" s="922"/>
      <c r="ES168" s="922"/>
      <c r="ET168" s="922"/>
      <c r="EU168" s="922"/>
      <c r="EV168" s="922"/>
      <c r="EW168" s="922"/>
      <c r="EX168" s="922"/>
      <c r="EY168" s="922"/>
      <c r="EZ168" s="922"/>
      <c r="FA168" s="922"/>
      <c r="FB168" s="922"/>
      <c r="FC168" s="922"/>
      <c r="FD168" s="922"/>
      <c r="FE168" s="922"/>
      <c r="FF168" s="922"/>
      <c r="FG168" s="922"/>
      <c r="FH168" s="922"/>
      <c r="FI168" s="922"/>
      <c r="FJ168" s="922"/>
      <c r="FK168" s="922"/>
      <c r="FL168" s="922"/>
      <c r="FM168" s="922"/>
      <c r="FN168" s="922"/>
      <c r="FO168" s="922"/>
      <c r="FP168" s="922"/>
      <c r="FQ168" s="922"/>
      <c r="FR168" s="922"/>
      <c r="FS168" s="922"/>
      <c r="FT168" s="922"/>
      <c r="FU168" s="922"/>
      <c r="FV168" s="922"/>
      <c r="FW168" s="922"/>
      <c r="FX168" s="922"/>
      <c r="FY168" s="922"/>
      <c r="FZ168" s="922"/>
      <c r="GA168" s="922"/>
      <c r="GB168" s="922"/>
      <c r="GC168" s="922"/>
      <c r="GD168" s="922"/>
      <c r="GE168" s="922"/>
      <c r="GF168" s="922"/>
      <c r="GG168" s="922"/>
      <c r="GH168" s="922"/>
      <c r="GI168" s="922"/>
      <c r="GJ168" s="922"/>
      <c r="GK168" s="922"/>
      <c r="GL168" s="922"/>
      <c r="GM168" s="922"/>
      <c r="GN168" s="922"/>
      <c r="GO168" s="922"/>
      <c r="GP168" s="922"/>
      <c r="GQ168" s="922"/>
      <c r="GR168" s="922"/>
      <c r="GS168" s="922"/>
      <c r="GT168" s="922"/>
      <c r="GU168" s="922"/>
      <c r="GV168" s="922"/>
      <c r="GW168" s="922"/>
      <c r="GX168" s="922"/>
      <c r="GY168" s="922"/>
      <c r="GZ168" s="922"/>
      <c r="HA168" s="922"/>
      <c r="HB168" s="922"/>
      <c r="HC168" s="922"/>
      <c r="HD168" s="922"/>
      <c r="HE168" s="922"/>
      <c r="HF168" s="922"/>
      <c r="HG168" s="922"/>
      <c r="HH168" s="922"/>
      <c r="HI168" s="922"/>
      <c r="HJ168" s="922"/>
      <c r="HK168" s="922"/>
      <c r="HL168" s="922"/>
      <c r="HM168" s="922"/>
      <c r="HN168" s="922"/>
      <c r="HO168" s="922"/>
      <c r="HP168" s="922"/>
      <c r="HQ168" s="922"/>
      <c r="HR168" s="922"/>
      <c r="HS168" s="922"/>
      <c r="HT168" s="922"/>
      <c r="HU168" s="922"/>
      <c r="HV168" s="922"/>
      <c r="HW168" s="922"/>
      <c r="HX168" s="922"/>
      <c r="HY168" s="922"/>
      <c r="HZ168" s="922"/>
      <c r="IA168" s="922"/>
      <c r="IB168" s="922"/>
      <c r="IC168" s="922"/>
      <c r="ID168" s="922"/>
      <c r="IE168" s="922"/>
      <c r="IF168" s="922"/>
      <c r="IG168" s="922"/>
      <c r="IH168" s="922"/>
      <c r="II168" s="922"/>
      <c r="IJ168" s="922"/>
      <c r="IK168" s="922"/>
      <c r="IL168" s="922"/>
      <c r="IM168" s="922"/>
      <c r="IN168" s="922"/>
      <c r="IO168" s="922"/>
      <c r="IP168" s="922"/>
      <c r="IQ168" s="922"/>
      <c r="IR168" s="922"/>
      <c r="IS168" s="922"/>
      <c r="IT168" s="922"/>
      <c r="IU168" s="922"/>
      <c r="IV168" s="922"/>
      <c r="IW168" s="922"/>
      <c r="IX168" s="922"/>
      <c r="IY168" s="922"/>
      <c r="IZ168" s="922"/>
      <c r="JA168" s="922"/>
      <c r="JB168" s="922"/>
      <c r="JC168" s="922"/>
      <c r="JD168" s="922"/>
      <c r="JE168" s="922"/>
      <c r="JF168" s="922"/>
      <c r="JG168" s="922"/>
      <c r="JH168" s="922"/>
      <c r="JI168" s="922"/>
      <c r="JJ168" s="922"/>
      <c r="JK168" s="922"/>
      <c r="JL168" s="922"/>
      <c r="JM168" s="922"/>
      <c r="JN168" s="922"/>
      <c r="JO168" s="922"/>
      <c r="JP168" s="922"/>
      <c r="JQ168" s="922"/>
      <c r="JR168" s="922"/>
      <c r="JS168" s="922"/>
      <c r="JT168" s="922"/>
      <c r="JU168" s="922"/>
      <c r="JV168" s="922"/>
      <c r="JW168" s="922"/>
      <c r="JX168" s="922"/>
      <c r="JY168" s="922"/>
      <c r="JZ168" s="922"/>
      <c r="KA168" s="922"/>
      <c r="KB168" s="922"/>
      <c r="KC168" s="922"/>
      <c r="KD168" s="922"/>
      <c r="KE168" s="922"/>
      <c r="KF168" s="922"/>
      <c r="KG168" s="922"/>
      <c r="KH168" s="922"/>
      <c r="KI168" s="922"/>
      <c r="KJ168" s="922"/>
      <c r="KK168" s="922"/>
      <c r="KL168" s="922"/>
      <c r="KM168" s="922"/>
      <c r="KN168" s="922"/>
      <c r="KO168" s="922"/>
      <c r="KP168" s="922"/>
      <c r="KQ168" s="922"/>
      <c r="KR168" s="922"/>
      <c r="KS168" s="922"/>
      <c r="KT168" s="922"/>
      <c r="KU168" s="922"/>
      <c r="KV168" s="922"/>
      <c r="KW168" s="922"/>
      <c r="KX168" s="922"/>
      <c r="KY168" s="922"/>
      <c r="KZ168" s="922"/>
      <c r="LA168" s="922"/>
      <c r="LB168" s="922"/>
      <c r="LC168" s="922"/>
      <c r="LD168" s="922"/>
      <c r="LE168" s="922"/>
      <c r="LF168" s="922"/>
      <c r="LG168" s="922"/>
      <c r="LH168" s="922"/>
      <c r="LI168" s="922"/>
      <c r="LJ168" s="922"/>
      <c r="LK168" s="922"/>
      <c r="LL168" s="922"/>
      <c r="LM168" s="922"/>
      <c r="LN168" s="922"/>
      <c r="LO168" s="922"/>
      <c r="LP168" s="922"/>
      <c r="LQ168" s="922"/>
      <c r="LR168" s="922"/>
      <c r="LS168" s="922"/>
      <c r="LT168" s="922"/>
      <c r="LU168" s="922"/>
      <c r="LV168" s="922"/>
      <c r="LW168" s="922"/>
      <c r="LX168" s="922"/>
      <c r="LY168" s="922"/>
      <c r="LZ168" s="922"/>
      <c r="MA168" s="922"/>
      <c r="MB168" s="922"/>
      <c r="MC168" s="922"/>
      <c r="MD168" s="922"/>
      <c r="ME168" s="922"/>
      <c r="MF168" s="922"/>
      <c r="MG168" s="922"/>
      <c r="MH168" s="922"/>
      <c r="MI168" s="922"/>
      <c r="MJ168" s="922"/>
      <c r="MK168" s="922"/>
      <c r="ML168" s="922"/>
      <c r="MM168" s="922"/>
      <c r="MN168" s="922"/>
      <c r="MO168" s="922"/>
      <c r="MP168" s="922"/>
      <c r="MQ168" s="922"/>
      <c r="MR168" s="922"/>
      <c r="MS168" s="922"/>
      <c r="MT168" s="922"/>
      <c r="MU168" s="922"/>
      <c r="MV168" s="922"/>
      <c r="MW168" s="922"/>
      <c r="MX168" s="922"/>
      <c r="MY168" s="922"/>
      <c r="MZ168" s="922"/>
      <c r="NA168" s="922"/>
      <c r="NB168" s="922"/>
      <c r="NC168" s="922"/>
      <c r="ND168" s="922"/>
      <c r="NE168" s="922"/>
      <c r="NF168" s="922"/>
      <c r="NG168" s="922"/>
      <c r="NH168" s="922"/>
      <c r="NI168" s="922"/>
      <c r="NJ168" s="922"/>
      <c r="NK168" s="922"/>
      <c r="NL168" s="922"/>
      <c r="NM168" s="922"/>
      <c r="NN168" s="922"/>
      <c r="NO168" s="922"/>
      <c r="NP168" s="922"/>
      <c r="NQ168" s="922"/>
      <c r="NR168" s="922"/>
      <c r="NS168" s="922"/>
      <c r="NT168" s="922"/>
      <c r="NU168" s="922"/>
      <c r="NV168" s="922"/>
      <c r="NW168" s="922"/>
      <c r="NX168" s="922"/>
      <c r="NY168" s="922"/>
      <c r="NZ168" s="922"/>
      <c r="OA168" s="922"/>
      <c r="OB168" s="922"/>
      <c r="OC168" s="922"/>
      <c r="OD168" s="922"/>
      <c r="OE168" s="922"/>
      <c r="OF168" s="922"/>
      <c r="OG168" s="922"/>
      <c r="OH168" s="922"/>
      <c r="OI168" s="922"/>
      <c r="OJ168" s="922"/>
      <c r="OK168" s="922"/>
      <c r="OL168" s="922"/>
      <c r="OM168" s="922"/>
      <c r="ON168" s="922"/>
      <c r="OO168" s="922"/>
      <c r="OP168" s="922"/>
      <c r="OQ168" s="922"/>
      <c r="OR168" s="922"/>
      <c r="OS168" s="922"/>
      <c r="OT168" s="922"/>
      <c r="OU168" s="922"/>
      <c r="OV168" s="922"/>
      <c r="OW168" s="922"/>
      <c r="OX168" s="922"/>
      <c r="OY168" s="922"/>
      <c r="OZ168" s="922"/>
      <c r="PA168" s="922"/>
      <c r="PB168" s="922"/>
      <c r="PC168" s="922"/>
      <c r="PD168" s="922"/>
      <c r="PE168" s="922"/>
      <c r="PF168" s="922"/>
      <c r="PG168" s="922"/>
      <c r="PH168" s="922"/>
      <c r="PI168" s="922"/>
      <c r="PJ168" s="922"/>
      <c r="PK168" s="922"/>
      <c r="PL168" s="922"/>
      <c r="PM168" s="922"/>
      <c r="PN168" s="922"/>
      <c r="PO168" s="922"/>
      <c r="PP168" s="922"/>
      <c r="PQ168" s="922"/>
      <c r="PR168" s="922"/>
      <c r="PS168" s="922"/>
      <c r="PT168" s="922"/>
      <c r="PU168" s="922"/>
      <c r="PV168" s="922"/>
      <c r="PW168" s="922"/>
      <c r="PX168" s="922"/>
      <c r="PY168" s="922"/>
      <c r="PZ168" s="922"/>
      <c r="QA168" s="922"/>
      <c r="QB168" s="922"/>
      <c r="QC168" s="922"/>
      <c r="QD168" s="922"/>
      <c r="QE168" s="922"/>
      <c r="QF168" s="922"/>
      <c r="QG168" s="922"/>
      <c r="QH168" s="922"/>
      <c r="QI168" s="922"/>
      <c r="QJ168" s="922"/>
      <c r="QK168" s="922"/>
      <c r="QL168" s="922"/>
      <c r="QM168" s="922"/>
      <c r="QN168" s="922"/>
      <c r="QO168" s="922"/>
      <c r="QP168" s="922"/>
      <c r="QQ168" s="922"/>
      <c r="QR168" s="922"/>
      <c r="QS168" s="922"/>
      <c r="QT168" s="922"/>
      <c r="QU168" s="922"/>
      <c r="QV168" s="922"/>
      <c r="QW168" s="922"/>
      <c r="QX168" s="922"/>
      <c r="QY168" s="922"/>
      <c r="QZ168" s="922"/>
      <c r="RA168" s="922"/>
      <c r="RB168" s="922"/>
      <c r="RC168" s="922"/>
      <c r="RD168" s="922"/>
      <c r="RE168" s="922"/>
      <c r="RF168" s="922"/>
      <c r="RG168" s="922"/>
      <c r="RH168" s="922"/>
      <c r="RI168" s="922"/>
      <c r="RJ168" s="922"/>
      <c r="RK168" s="922"/>
      <c r="RL168" s="922"/>
      <c r="RM168" s="922"/>
      <c r="RN168" s="922"/>
      <c r="RO168" s="922"/>
      <c r="RP168" s="922"/>
      <c r="RQ168" s="922"/>
      <c r="RR168" s="922"/>
      <c r="RS168" s="922"/>
      <c r="RT168" s="922"/>
      <c r="RU168" s="922"/>
      <c r="RV168" s="922"/>
      <c r="RW168" s="922"/>
      <c r="RX168" s="922"/>
      <c r="RY168" s="922"/>
      <c r="RZ168" s="922"/>
      <c r="SA168" s="922"/>
      <c r="SB168" s="922"/>
      <c r="SC168" s="922"/>
      <c r="SD168" s="922"/>
      <c r="SE168" s="922"/>
      <c r="SF168" s="922"/>
      <c r="SG168" s="922"/>
      <c r="SH168" s="922"/>
      <c r="SI168" s="922"/>
      <c r="SJ168" s="922"/>
      <c r="SK168" s="922"/>
      <c r="SL168" s="922"/>
      <c r="SM168" s="922"/>
      <c r="SN168" s="922"/>
      <c r="SO168" s="922"/>
      <c r="SP168" s="922"/>
      <c r="SQ168" s="922"/>
      <c r="SR168" s="922"/>
      <c r="SS168" s="922"/>
      <c r="ST168" s="922"/>
      <c r="SU168" s="922"/>
      <c r="SV168" s="922"/>
      <c r="SW168" s="922"/>
      <c r="SX168" s="922"/>
      <c r="SY168" s="922"/>
      <c r="SZ168" s="922"/>
      <c r="TA168" s="922"/>
      <c r="TB168" s="922"/>
      <c r="TC168" s="922"/>
      <c r="TD168" s="922"/>
      <c r="TE168" s="922"/>
      <c r="TF168" s="922"/>
      <c r="TG168" s="922"/>
      <c r="TH168" s="922"/>
      <c r="TI168" s="922"/>
      <c r="TJ168" s="922"/>
      <c r="TK168" s="922"/>
      <c r="TL168" s="922"/>
      <c r="TM168" s="922"/>
      <c r="TN168" s="922"/>
      <c r="TO168" s="922"/>
      <c r="TP168" s="922"/>
      <c r="TQ168" s="922"/>
      <c r="TR168" s="922"/>
      <c r="TS168" s="922"/>
      <c r="TT168" s="922"/>
      <c r="TU168" s="922"/>
      <c r="TV168" s="922"/>
      <c r="TW168" s="922"/>
      <c r="TX168" s="922"/>
      <c r="TY168" s="922"/>
      <c r="TZ168" s="922"/>
      <c r="UA168" s="922"/>
      <c r="UB168" s="922"/>
      <c r="UC168" s="922"/>
      <c r="UD168" s="922"/>
      <c r="UE168" s="922"/>
      <c r="UF168" s="922"/>
      <c r="UG168" s="922"/>
      <c r="UH168" s="922"/>
      <c r="UI168" s="922"/>
      <c r="UJ168" s="922"/>
      <c r="UK168" s="922"/>
      <c r="UL168" s="922"/>
      <c r="UM168" s="922"/>
      <c r="UN168" s="922"/>
      <c r="UO168" s="922"/>
      <c r="UP168" s="922"/>
      <c r="UQ168" s="922"/>
      <c r="UR168" s="922"/>
      <c r="US168" s="922"/>
      <c r="UT168" s="922"/>
      <c r="UU168" s="922"/>
      <c r="UV168" s="922"/>
      <c r="UW168" s="922"/>
      <c r="UX168" s="922"/>
      <c r="UY168" s="922"/>
      <c r="UZ168" s="922"/>
      <c r="VA168" s="922"/>
      <c r="VB168" s="922"/>
      <c r="VC168" s="922"/>
      <c r="VD168" s="922"/>
      <c r="VE168" s="922"/>
      <c r="VF168" s="922"/>
      <c r="VG168" s="922"/>
      <c r="VH168" s="922"/>
      <c r="VI168" s="922"/>
      <c r="VJ168" s="922"/>
      <c r="VK168" s="922"/>
      <c r="VL168" s="922"/>
      <c r="VM168" s="922"/>
      <c r="VN168" s="922"/>
      <c r="VO168" s="922"/>
      <c r="VP168" s="922"/>
      <c r="VQ168" s="922"/>
      <c r="VR168" s="922"/>
      <c r="VS168" s="922"/>
      <c r="VT168" s="922"/>
      <c r="VU168" s="922"/>
      <c r="VV168" s="922"/>
      <c r="VW168" s="922"/>
      <c r="VX168" s="922"/>
      <c r="VY168" s="922"/>
      <c r="VZ168" s="922"/>
      <c r="WA168" s="922"/>
      <c r="WB168" s="922"/>
      <c r="WC168" s="922"/>
      <c r="WD168" s="922"/>
      <c r="WE168" s="922"/>
      <c r="WF168" s="922"/>
      <c r="WG168" s="922"/>
      <c r="WH168" s="922"/>
      <c r="WI168" s="922"/>
      <c r="WJ168" s="922"/>
      <c r="WK168" s="922"/>
      <c r="WL168" s="922"/>
      <c r="WM168" s="922"/>
      <c r="WN168" s="922"/>
      <c r="WO168" s="922"/>
      <c r="WP168" s="922"/>
      <c r="WQ168" s="922"/>
      <c r="WR168" s="922"/>
      <c r="WS168" s="922"/>
      <c r="WT168" s="922"/>
      <c r="WU168" s="922"/>
      <c r="WV168" s="922"/>
      <c r="WW168" s="922"/>
      <c r="WX168" s="922"/>
      <c r="WY168" s="922"/>
      <c r="WZ168" s="922"/>
      <c r="XA168" s="922"/>
      <c r="XB168" s="922"/>
      <c r="XC168" s="922"/>
      <c r="XD168" s="922"/>
      <c r="XE168" s="922"/>
      <c r="XF168" s="922"/>
      <c r="XG168" s="922"/>
      <c r="XH168" s="922"/>
      <c r="XI168" s="922"/>
      <c r="XJ168" s="922"/>
      <c r="XK168" s="922"/>
      <c r="XL168" s="922"/>
      <c r="XM168" s="922"/>
      <c r="XN168" s="922"/>
      <c r="XO168" s="922"/>
      <c r="XP168" s="922"/>
      <c r="XQ168" s="922"/>
      <c r="XR168" s="922"/>
      <c r="XS168" s="922"/>
      <c r="XT168" s="922"/>
      <c r="XU168" s="922"/>
      <c r="XV168" s="922"/>
      <c r="XW168" s="922"/>
      <c r="XX168" s="922"/>
      <c r="XY168" s="922"/>
      <c r="XZ168" s="922"/>
      <c r="YA168" s="922"/>
      <c r="YB168" s="922"/>
      <c r="YC168" s="922"/>
      <c r="YD168" s="922"/>
      <c r="YE168" s="922"/>
      <c r="YF168" s="922"/>
      <c r="YG168" s="922"/>
      <c r="YH168" s="922"/>
      <c r="YI168" s="922"/>
      <c r="YJ168" s="922"/>
      <c r="YK168" s="922"/>
      <c r="YL168" s="922"/>
      <c r="YM168" s="922"/>
      <c r="YN168" s="922"/>
      <c r="YO168" s="922"/>
      <c r="YP168" s="922"/>
      <c r="YQ168" s="922"/>
      <c r="YR168" s="922"/>
      <c r="YS168" s="922"/>
      <c r="YT168" s="922"/>
      <c r="YU168" s="922"/>
      <c r="YV168" s="922"/>
      <c r="YW168" s="922"/>
      <c r="YX168" s="922"/>
      <c r="YY168" s="922"/>
      <c r="YZ168" s="922"/>
      <c r="ZA168" s="922"/>
      <c r="ZB168" s="922"/>
      <c r="ZC168" s="922"/>
      <c r="ZD168" s="922"/>
      <c r="ZE168" s="922"/>
      <c r="ZF168" s="922"/>
      <c r="ZG168" s="922"/>
      <c r="ZH168" s="922"/>
      <c r="ZI168" s="922"/>
      <c r="ZJ168" s="922"/>
      <c r="ZK168" s="922"/>
      <c r="ZL168" s="922"/>
      <c r="ZM168" s="922"/>
      <c r="ZN168" s="922"/>
      <c r="ZO168" s="922"/>
      <c r="ZP168" s="922"/>
      <c r="ZQ168" s="922"/>
      <c r="ZR168" s="922"/>
      <c r="ZS168" s="922"/>
      <c r="ZT168" s="922"/>
      <c r="ZU168" s="922"/>
      <c r="ZV168" s="922"/>
      <c r="ZW168" s="922"/>
      <c r="ZX168" s="922"/>
      <c r="ZY168" s="922"/>
      <c r="ZZ168" s="922"/>
      <c r="AAA168" s="922"/>
      <c r="AAB168" s="922"/>
      <c r="AAC168" s="922"/>
      <c r="AAD168" s="922"/>
      <c r="AAE168" s="922"/>
      <c r="AAF168" s="922"/>
      <c r="AAG168" s="922"/>
      <c r="AAH168" s="922"/>
      <c r="AAI168" s="922"/>
      <c r="AAJ168" s="922"/>
      <c r="AAK168" s="922"/>
      <c r="AAL168" s="922"/>
      <c r="AAM168" s="922"/>
      <c r="AAN168" s="922"/>
      <c r="AAO168" s="922"/>
      <c r="AAP168" s="922"/>
      <c r="AAQ168" s="922"/>
      <c r="AAR168" s="922"/>
      <c r="AAS168" s="922"/>
      <c r="AAT168" s="922"/>
      <c r="AAU168" s="922"/>
      <c r="AAV168" s="922"/>
      <c r="AAW168" s="922"/>
      <c r="AAX168" s="922"/>
      <c r="AAY168" s="922"/>
      <c r="AAZ168" s="922"/>
      <c r="ABA168" s="922"/>
      <c r="ABB168" s="922"/>
      <c r="ABC168" s="922"/>
      <c r="ABD168" s="922"/>
      <c r="ABE168" s="922"/>
      <c r="ABF168" s="922"/>
      <c r="ABG168" s="922"/>
      <c r="ABH168" s="922"/>
      <c r="ABI168" s="922"/>
      <c r="ABJ168" s="922"/>
      <c r="ABK168" s="922"/>
      <c r="ABL168" s="922"/>
      <c r="ABM168" s="922"/>
      <c r="ABN168" s="922"/>
      <c r="ABO168" s="922"/>
      <c r="ABP168" s="922"/>
      <c r="ABQ168" s="922"/>
      <c r="ABR168" s="922"/>
      <c r="ABS168" s="922"/>
      <c r="ABT168" s="922"/>
      <c r="ABU168" s="922"/>
      <c r="ABV168" s="922"/>
      <c r="ABW168" s="922"/>
      <c r="ABX168" s="922"/>
      <c r="ABY168" s="922"/>
      <c r="ABZ168" s="922"/>
      <c r="ACA168" s="922"/>
      <c r="ACB168" s="922"/>
      <c r="ACC168" s="922"/>
      <c r="ACD168" s="922"/>
      <c r="ACE168" s="922"/>
      <c r="ACF168" s="922"/>
      <c r="ACG168" s="922"/>
      <c r="ACH168" s="922"/>
      <c r="ACI168" s="922"/>
      <c r="ACJ168" s="922"/>
      <c r="ACK168" s="922"/>
      <c r="ACL168" s="922"/>
      <c r="ACM168" s="922"/>
      <c r="ACN168" s="922"/>
      <c r="ACO168" s="922"/>
      <c r="ACP168" s="922"/>
      <c r="ACQ168" s="922"/>
      <c r="ACR168" s="922"/>
      <c r="ACS168" s="922"/>
      <c r="ACT168" s="922"/>
      <c r="ACU168" s="922"/>
      <c r="ACV168" s="922"/>
      <c r="ACW168" s="922"/>
      <c r="ACX168" s="922"/>
      <c r="ACY168" s="922"/>
      <c r="ACZ168" s="922"/>
      <c r="ADA168" s="922"/>
      <c r="ADB168" s="922"/>
      <c r="ADC168" s="922"/>
      <c r="ADD168" s="922"/>
      <c r="ADE168" s="922"/>
      <c r="ADF168" s="922"/>
      <c r="ADG168" s="922"/>
      <c r="ADH168" s="922"/>
      <c r="ADI168" s="922"/>
      <c r="ADJ168" s="922"/>
      <c r="ADK168" s="922"/>
      <c r="ADL168" s="922"/>
      <c r="ADM168" s="922"/>
      <c r="ADN168" s="922"/>
      <c r="ADO168" s="922"/>
      <c r="ADP168" s="922"/>
      <c r="ADQ168" s="922"/>
      <c r="ADR168" s="922"/>
      <c r="ADS168" s="922"/>
      <c r="ADT168" s="922"/>
      <c r="ADU168" s="922"/>
      <c r="ADV168" s="922"/>
      <c r="ADW168" s="922"/>
      <c r="ADX168" s="922"/>
      <c r="ADY168" s="922"/>
      <c r="ADZ168" s="922"/>
      <c r="AEA168" s="922"/>
      <c r="AEB168" s="922"/>
      <c r="AEC168" s="922"/>
      <c r="AED168" s="922"/>
      <c r="AEE168" s="922"/>
      <c r="AEF168" s="922"/>
      <c r="AEG168" s="922"/>
      <c r="AEH168" s="922"/>
      <c r="AEI168" s="922"/>
      <c r="AEJ168" s="922"/>
      <c r="AEK168" s="922"/>
      <c r="AEL168" s="922"/>
      <c r="AEM168" s="922"/>
      <c r="AEN168" s="922"/>
      <c r="AEO168" s="922"/>
      <c r="AEP168" s="922"/>
      <c r="AEQ168" s="922"/>
      <c r="AER168" s="922"/>
      <c r="AES168" s="922"/>
      <c r="AET168" s="922"/>
      <c r="AEU168" s="922"/>
      <c r="AEV168" s="922"/>
      <c r="AEW168" s="922"/>
      <c r="AEX168" s="922"/>
      <c r="AEY168" s="922"/>
      <c r="AEZ168" s="922"/>
      <c r="AFA168" s="922"/>
      <c r="AFB168" s="922"/>
      <c r="AFC168" s="922"/>
      <c r="AFD168" s="922"/>
      <c r="AFE168" s="922"/>
      <c r="AFF168" s="922"/>
      <c r="AFG168" s="922"/>
      <c r="AFH168" s="922"/>
      <c r="AFI168" s="922"/>
      <c r="AFJ168" s="922"/>
      <c r="AFK168" s="922"/>
      <c r="AFL168" s="922"/>
      <c r="AFM168" s="922"/>
      <c r="AFN168" s="922"/>
      <c r="AFO168" s="922"/>
      <c r="AFP168" s="922"/>
      <c r="AFQ168" s="922"/>
      <c r="AFR168" s="922"/>
      <c r="AFS168" s="922"/>
      <c r="AFT168" s="922"/>
      <c r="AFU168" s="922"/>
      <c r="AFV168" s="922"/>
      <c r="AFW168" s="922"/>
      <c r="AFX168" s="922"/>
      <c r="AFY168" s="922"/>
      <c r="AFZ168" s="922"/>
      <c r="AGA168" s="922"/>
      <c r="AGB168" s="922"/>
      <c r="AGC168" s="922"/>
      <c r="AGD168" s="922"/>
      <c r="AGE168" s="922"/>
      <c r="AGF168" s="922"/>
      <c r="AGG168" s="922"/>
      <c r="AGH168" s="922"/>
      <c r="AGI168" s="922"/>
      <c r="AGJ168" s="922"/>
      <c r="AGK168" s="922"/>
      <c r="AGL168" s="922"/>
      <c r="AGM168" s="922"/>
      <c r="AGN168" s="922"/>
      <c r="AGO168" s="922"/>
      <c r="AGP168" s="922"/>
      <c r="AGQ168" s="922"/>
      <c r="AGR168" s="922"/>
      <c r="AGS168" s="922"/>
      <c r="AGT168" s="922"/>
      <c r="AGU168" s="922"/>
      <c r="AGV168" s="922"/>
      <c r="AGW168" s="922"/>
      <c r="AGX168" s="922"/>
      <c r="AGY168" s="922"/>
      <c r="AGZ168" s="922"/>
      <c r="AHA168" s="922"/>
      <c r="AHB168" s="922"/>
      <c r="AHC168" s="922"/>
      <c r="AHD168" s="922"/>
      <c r="AHE168" s="922"/>
      <c r="AHF168" s="922"/>
      <c r="AHG168" s="922"/>
      <c r="AHH168" s="922"/>
      <c r="AHI168" s="922"/>
      <c r="AHJ168" s="922"/>
      <c r="AHK168" s="922"/>
      <c r="AHL168" s="922"/>
      <c r="AHM168" s="922"/>
      <c r="AHN168" s="922"/>
      <c r="AHO168" s="922"/>
      <c r="AHP168" s="922"/>
      <c r="AHQ168" s="922"/>
      <c r="AHR168" s="922"/>
      <c r="AHS168" s="922"/>
      <c r="AHT168" s="922"/>
      <c r="AHU168" s="922"/>
      <c r="AHV168" s="922"/>
      <c r="AHW168" s="922"/>
      <c r="AHX168" s="922"/>
      <c r="AHY168" s="922"/>
      <c r="AHZ168" s="922"/>
      <c r="AIA168" s="922"/>
      <c r="AIB168" s="922"/>
      <c r="AIC168" s="922"/>
      <c r="AID168" s="922"/>
      <c r="AIE168" s="922"/>
      <c r="AIF168" s="922"/>
      <c r="AIG168" s="922"/>
      <c r="AIH168" s="922"/>
      <c r="AII168" s="922"/>
      <c r="AIJ168" s="922"/>
      <c r="AIK168" s="922"/>
      <c r="AIL168" s="922"/>
      <c r="AIM168" s="922"/>
      <c r="AIN168" s="922"/>
      <c r="AIO168" s="922"/>
      <c r="AIP168" s="922"/>
      <c r="AIQ168" s="922"/>
      <c r="AIR168" s="922"/>
      <c r="AIS168" s="922"/>
      <c r="AIT168" s="922"/>
      <c r="AIU168" s="922"/>
      <c r="AIV168" s="922"/>
      <c r="AIW168" s="922"/>
      <c r="AIX168" s="922"/>
      <c r="AIY168" s="922"/>
      <c r="AIZ168" s="922"/>
      <c r="AJA168" s="922"/>
      <c r="AJB168" s="922"/>
      <c r="AJC168" s="922"/>
      <c r="AJD168" s="922"/>
      <c r="AJE168" s="922"/>
      <c r="AJF168" s="922"/>
      <c r="AJG168" s="922"/>
      <c r="AJH168" s="922"/>
      <c r="AJI168" s="922"/>
      <c r="AJJ168" s="922"/>
      <c r="AJK168" s="922"/>
      <c r="AJL168" s="922"/>
      <c r="AJM168" s="922"/>
      <c r="AJN168" s="922"/>
      <c r="AJO168" s="922"/>
      <c r="AJP168" s="922"/>
      <c r="AJQ168" s="922"/>
      <c r="AJR168" s="922"/>
      <c r="AJS168" s="922"/>
      <c r="AJT168" s="922"/>
      <c r="AJU168" s="922"/>
      <c r="AJV168" s="922"/>
      <c r="AJW168" s="922"/>
      <c r="AJX168" s="922"/>
      <c r="AJY168" s="922"/>
      <c r="AJZ168" s="922"/>
      <c r="AKA168" s="922"/>
      <c r="AKB168" s="922"/>
      <c r="AKC168" s="922"/>
      <c r="AKD168" s="922"/>
      <c r="AKE168" s="922"/>
      <c r="AKF168" s="922"/>
      <c r="AKG168" s="922"/>
      <c r="AKH168" s="922"/>
      <c r="AKI168" s="922"/>
      <c r="AKJ168" s="922"/>
      <c r="AKK168" s="922"/>
      <c r="AKL168" s="922"/>
      <c r="AKM168" s="922"/>
      <c r="AKN168" s="922"/>
      <c r="AKO168" s="922"/>
      <c r="AKP168" s="922"/>
      <c r="AKQ168" s="922"/>
      <c r="AKR168" s="922"/>
      <c r="AKS168" s="922"/>
      <c r="AKT168" s="922"/>
      <c r="AKU168" s="922"/>
      <c r="AKV168" s="922"/>
      <c r="AKW168" s="922"/>
      <c r="AKX168" s="922"/>
      <c r="AKY168" s="922"/>
      <c r="AKZ168" s="922"/>
      <c r="ALA168" s="922"/>
      <c r="ALB168" s="922"/>
      <c r="ALC168" s="922"/>
      <c r="ALD168" s="922"/>
      <c r="ALE168" s="922"/>
      <c r="ALF168" s="922"/>
      <c r="ALG168" s="922"/>
      <c r="ALH168" s="922"/>
      <c r="ALI168" s="922"/>
      <c r="ALJ168" s="922"/>
      <c r="ALK168" s="922"/>
      <c r="ALL168" s="922"/>
      <c r="ALM168" s="922"/>
      <c r="ALN168" s="922"/>
      <c r="ALO168" s="922"/>
      <c r="ALP168" s="922"/>
      <c r="ALQ168" s="922"/>
      <c r="ALR168" s="922"/>
      <c r="ALS168" s="922"/>
      <c r="ALT168" s="922"/>
      <c r="ALU168" s="922"/>
      <c r="ALV168" s="922"/>
      <c r="ALW168" s="922"/>
      <c r="ALX168" s="922"/>
      <c r="ALY168" s="922"/>
      <c r="ALZ168" s="922"/>
      <c r="AMA168" s="922"/>
      <c r="AMB168" s="922"/>
      <c r="AMC168" s="922"/>
      <c r="AMD168" s="922"/>
      <c r="AME168" s="922"/>
      <c r="AMF168" s="922"/>
      <c r="AMG168" s="922"/>
      <c r="AMH168" s="922"/>
      <c r="AMI168" s="922"/>
      <c r="AMJ168" s="922"/>
      <c r="AMK168" s="922"/>
      <c r="AML168" s="922"/>
      <c r="AMM168" s="922"/>
      <c r="AMN168" s="922"/>
      <c r="AMO168" s="922"/>
      <c r="AMP168" s="922"/>
      <c r="AMQ168" s="922"/>
      <c r="AMR168" s="922"/>
      <c r="AMS168" s="922"/>
      <c r="AMT168" s="922"/>
      <c r="AMU168" s="922"/>
      <c r="AMV168" s="922"/>
      <c r="AMW168" s="922"/>
      <c r="AMX168" s="922"/>
      <c r="AMY168" s="922"/>
      <c r="AMZ168" s="922"/>
      <c r="ANA168" s="922"/>
      <c r="ANB168" s="922"/>
      <c r="ANC168" s="922"/>
      <c r="AND168" s="922"/>
      <c r="ANE168" s="922"/>
      <c r="ANF168" s="922"/>
      <c r="ANG168" s="922"/>
      <c r="ANH168" s="922"/>
      <c r="ANI168" s="922"/>
      <c r="ANJ168" s="922"/>
      <c r="ANK168" s="922"/>
      <c r="ANL168" s="922"/>
      <c r="ANM168" s="922"/>
      <c r="ANN168" s="922"/>
      <c r="ANO168" s="922"/>
      <c r="ANP168" s="922"/>
      <c r="ANQ168" s="922"/>
      <c r="ANR168" s="922"/>
      <c r="ANS168" s="922"/>
      <c r="ANT168" s="922"/>
      <c r="ANU168" s="922"/>
      <c r="ANV168" s="922"/>
      <c r="ANW168" s="922"/>
      <c r="ANX168" s="922"/>
      <c r="ANY168" s="922"/>
      <c r="ANZ168" s="922"/>
      <c r="AOA168" s="922"/>
      <c r="AOB168" s="922"/>
      <c r="AOC168" s="922"/>
      <c r="AOD168" s="922"/>
      <c r="AOE168" s="922"/>
      <c r="AOF168" s="922"/>
      <c r="AOG168" s="922"/>
      <c r="AOH168" s="922"/>
      <c r="AOI168" s="922"/>
      <c r="AOJ168" s="922"/>
      <c r="AOK168" s="922"/>
      <c r="AOL168" s="922"/>
      <c r="AOM168" s="922"/>
      <c r="AON168" s="922"/>
      <c r="AOO168" s="922"/>
      <c r="AOP168" s="922"/>
      <c r="AOQ168" s="922"/>
      <c r="AOR168" s="922"/>
      <c r="AOS168" s="922"/>
      <c r="AOT168" s="922"/>
      <c r="AOU168" s="922"/>
      <c r="AOV168" s="922"/>
      <c r="AOW168" s="922"/>
      <c r="AOX168" s="922"/>
      <c r="AOY168" s="922"/>
      <c r="AOZ168" s="922"/>
      <c r="APA168" s="922"/>
      <c r="APB168" s="922"/>
      <c r="APC168" s="922"/>
      <c r="APD168" s="922"/>
      <c r="APE168" s="922"/>
      <c r="APF168" s="922"/>
      <c r="APG168" s="922"/>
      <c r="APH168" s="922"/>
      <c r="API168" s="922"/>
      <c r="APJ168" s="922"/>
      <c r="APK168" s="922"/>
      <c r="APL168" s="922"/>
      <c r="APM168" s="922"/>
      <c r="APN168" s="922"/>
      <c r="APO168" s="922"/>
      <c r="APP168" s="922"/>
      <c r="APQ168" s="922"/>
      <c r="APR168" s="922"/>
      <c r="APS168" s="922"/>
      <c r="APT168" s="922"/>
      <c r="APU168" s="922"/>
      <c r="APV168" s="922"/>
      <c r="APW168" s="922"/>
      <c r="APX168" s="922"/>
      <c r="APY168" s="922"/>
      <c r="APZ168" s="922"/>
      <c r="AQA168" s="922"/>
      <c r="AQB168" s="922"/>
      <c r="AQC168" s="922"/>
      <c r="AQD168" s="922"/>
      <c r="AQE168" s="922"/>
      <c r="AQF168" s="922"/>
      <c r="AQG168" s="922"/>
      <c r="AQH168" s="922"/>
      <c r="AQI168" s="922"/>
      <c r="AQJ168" s="922"/>
      <c r="AQK168" s="922"/>
      <c r="AQL168" s="922"/>
      <c r="AQM168" s="922"/>
      <c r="AQN168" s="922"/>
      <c r="AQO168" s="922"/>
      <c r="AQP168" s="922"/>
      <c r="AQQ168" s="922"/>
      <c r="AQR168" s="922"/>
      <c r="AQS168" s="922"/>
      <c r="AQT168" s="922"/>
      <c r="AQU168" s="922"/>
      <c r="AQV168" s="922"/>
      <c r="AQW168" s="922"/>
      <c r="AQX168" s="922"/>
      <c r="AQY168" s="922"/>
      <c r="AQZ168" s="922"/>
      <c r="ARA168" s="922"/>
      <c r="ARB168" s="922"/>
      <c r="ARC168" s="922"/>
      <c r="ARD168" s="922"/>
      <c r="ARE168" s="922"/>
      <c r="ARF168" s="922"/>
      <c r="ARG168" s="922"/>
      <c r="ARH168" s="922"/>
      <c r="ARI168" s="922"/>
      <c r="ARJ168" s="922"/>
      <c r="ARK168" s="922"/>
      <c r="ARL168" s="922"/>
      <c r="ARM168" s="922"/>
      <c r="ARN168" s="922"/>
      <c r="ARO168" s="922"/>
      <c r="ARP168" s="922"/>
      <c r="ARQ168" s="922"/>
      <c r="ARR168" s="922"/>
      <c r="ARS168" s="922"/>
      <c r="ART168" s="922"/>
      <c r="ARU168" s="922"/>
      <c r="ARV168" s="922"/>
      <c r="ARW168" s="922"/>
      <c r="ARX168" s="922"/>
      <c r="ARY168" s="922"/>
      <c r="ARZ168" s="922"/>
      <c r="ASA168" s="922"/>
      <c r="ASB168" s="922"/>
      <c r="ASC168" s="922"/>
    </row>
    <row r="169" spans="1:1173" hidden="1">
      <c r="A169" s="920"/>
      <c r="T169" s="922"/>
      <c r="AN169" s="922"/>
      <c r="AO169" s="922"/>
      <c r="AP169" s="922"/>
      <c r="AQ169" s="922"/>
      <c r="AR169" s="922"/>
      <c r="AS169" s="922"/>
      <c r="AT169" s="922"/>
      <c r="AU169" s="922"/>
      <c r="AV169" s="922"/>
      <c r="AW169" s="922"/>
      <c r="AX169" s="922"/>
      <c r="AY169" s="922"/>
      <c r="AZ169" s="922"/>
      <c r="BA169" s="922"/>
      <c r="BB169" s="922"/>
      <c r="BC169" s="922"/>
      <c r="BD169" s="922"/>
      <c r="BE169" s="922"/>
      <c r="BF169" s="922"/>
      <c r="BG169" s="922"/>
      <c r="BH169" s="922"/>
      <c r="BI169" s="922"/>
      <c r="BJ169" s="922"/>
      <c r="BK169" s="922"/>
      <c r="BL169" s="922"/>
      <c r="BM169" s="922"/>
      <c r="BN169" s="922"/>
      <c r="BO169" s="922"/>
      <c r="BP169" s="922"/>
      <c r="BQ169" s="922"/>
      <c r="BR169" s="922"/>
      <c r="BS169" s="922"/>
      <c r="BT169" s="922"/>
      <c r="BU169" s="922"/>
      <c r="BV169" s="922"/>
      <c r="BW169" s="922"/>
      <c r="BX169" s="922"/>
      <c r="BY169" s="922"/>
      <c r="BZ169" s="922"/>
      <c r="CA169" s="922"/>
      <c r="CB169" s="922"/>
      <c r="CC169" s="922"/>
      <c r="CD169" s="922"/>
      <c r="CE169" s="922"/>
      <c r="CF169" s="922"/>
      <c r="CG169" s="922"/>
      <c r="CH169" s="922"/>
      <c r="CI169" s="922"/>
      <c r="CJ169" s="922"/>
      <c r="CK169" s="922"/>
      <c r="CL169" s="922"/>
      <c r="CM169" s="922"/>
      <c r="CN169" s="922"/>
      <c r="CO169" s="922"/>
      <c r="CP169" s="922"/>
      <c r="CQ169" s="922"/>
      <c r="CR169" s="922"/>
      <c r="CS169" s="922"/>
      <c r="CT169" s="922"/>
      <c r="CU169" s="922"/>
      <c r="CV169" s="922"/>
      <c r="CW169" s="922"/>
      <c r="CX169" s="922"/>
      <c r="CY169" s="922"/>
      <c r="CZ169" s="922"/>
      <c r="DA169" s="922"/>
      <c r="DB169" s="922"/>
      <c r="DC169" s="922"/>
      <c r="DD169" s="922"/>
      <c r="DE169" s="922"/>
      <c r="DF169" s="922"/>
      <c r="DG169" s="922"/>
      <c r="DH169" s="922"/>
      <c r="DI169" s="922"/>
      <c r="DJ169" s="922"/>
      <c r="DK169" s="922"/>
      <c r="DL169" s="922"/>
      <c r="DM169" s="922"/>
      <c r="DN169" s="922"/>
      <c r="DO169" s="922"/>
      <c r="DP169" s="922"/>
      <c r="DQ169" s="922"/>
      <c r="DR169" s="922"/>
      <c r="DS169" s="922"/>
      <c r="DT169" s="922"/>
      <c r="DU169" s="922"/>
      <c r="DV169" s="922"/>
      <c r="DW169" s="922"/>
      <c r="DX169" s="922"/>
      <c r="DY169" s="922"/>
      <c r="DZ169" s="922"/>
      <c r="EA169" s="922"/>
      <c r="EB169" s="922"/>
      <c r="EC169" s="922"/>
      <c r="ED169" s="922"/>
      <c r="EE169" s="922"/>
      <c r="EF169" s="922"/>
      <c r="EG169" s="922"/>
      <c r="EH169" s="922"/>
      <c r="EI169" s="922"/>
      <c r="EJ169" s="922"/>
      <c r="EK169" s="922"/>
      <c r="EL169" s="922"/>
      <c r="EM169" s="922"/>
      <c r="EN169" s="922"/>
      <c r="EO169" s="922"/>
      <c r="EP169" s="922"/>
      <c r="EQ169" s="922"/>
      <c r="ER169" s="922"/>
      <c r="ES169" s="922"/>
      <c r="ET169" s="922"/>
      <c r="EU169" s="922"/>
      <c r="EV169" s="922"/>
      <c r="EW169" s="922"/>
      <c r="EX169" s="922"/>
      <c r="EY169" s="922"/>
      <c r="EZ169" s="922"/>
      <c r="FA169" s="922"/>
      <c r="FB169" s="922"/>
      <c r="FC169" s="922"/>
      <c r="FD169" s="922"/>
      <c r="FE169" s="922"/>
      <c r="FF169" s="922"/>
      <c r="FG169" s="922"/>
      <c r="FH169" s="922"/>
      <c r="FI169" s="922"/>
      <c r="FJ169" s="922"/>
      <c r="FK169" s="922"/>
      <c r="FL169" s="922"/>
      <c r="FM169" s="922"/>
      <c r="FN169" s="922"/>
      <c r="FO169" s="922"/>
      <c r="FP169" s="922"/>
      <c r="FQ169" s="922"/>
      <c r="FR169" s="922"/>
      <c r="FS169" s="922"/>
      <c r="FT169" s="922"/>
      <c r="FU169" s="922"/>
      <c r="FV169" s="922"/>
      <c r="FW169" s="922"/>
      <c r="FX169" s="922"/>
      <c r="FY169" s="922"/>
      <c r="FZ169" s="922"/>
      <c r="GA169" s="922"/>
      <c r="GB169" s="922"/>
      <c r="GC169" s="922"/>
      <c r="GD169" s="922"/>
      <c r="GE169" s="922"/>
      <c r="GF169" s="922"/>
      <c r="GG169" s="922"/>
      <c r="GH169" s="922"/>
      <c r="GI169" s="922"/>
      <c r="GJ169" s="922"/>
      <c r="GK169" s="922"/>
      <c r="GL169" s="922"/>
      <c r="GM169" s="922"/>
      <c r="GN169" s="922"/>
      <c r="GO169" s="922"/>
      <c r="GP169" s="922"/>
      <c r="GQ169" s="922"/>
      <c r="GR169" s="922"/>
      <c r="GS169" s="922"/>
      <c r="GT169" s="922"/>
      <c r="GU169" s="922"/>
      <c r="GV169" s="922"/>
      <c r="GW169" s="922"/>
      <c r="GX169" s="922"/>
      <c r="GY169" s="922"/>
      <c r="GZ169" s="922"/>
      <c r="HA169" s="922"/>
      <c r="HB169" s="922"/>
      <c r="HC169" s="922"/>
      <c r="HD169" s="922"/>
      <c r="HE169" s="922"/>
      <c r="HF169" s="922"/>
      <c r="HG169" s="922"/>
      <c r="HH169" s="922"/>
      <c r="HI169" s="922"/>
      <c r="HJ169" s="922"/>
      <c r="HK169" s="922"/>
      <c r="HL169" s="922"/>
      <c r="HM169" s="922"/>
      <c r="HN169" s="922"/>
      <c r="HO169" s="922"/>
      <c r="HP169" s="922"/>
      <c r="HQ169" s="922"/>
      <c r="HR169" s="922"/>
      <c r="HS169" s="922"/>
      <c r="HT169" s="922"/>
      <c r="HU169" s="922"/>
      <c r="HV169" s="922"/>
      <c r="HW169" s="922"/>
      <c r="HX169" s="922"/>
      <c r="HY169" s="922"/>
      <c r="HZ169" s="922"/>
      <c r="IA169" s="922"/>
      <c r="IB169" s="922"/>
      <c r="IC169" s="922"/>
      <c r="ID169" s="922"/>
      <c r="IE169" s="922"/>
      <c r="IF169" s="922"/>
      <c r="IG169" s="922"/>
      <c r="IH169" s="922"/>
      <c r="II169" s="922"/>
      <c r="IJ169" s="922"/>
      <c r="IK169" s="922"/>
      <c r="IL169" s="922"/>
      <c r="IM169" s="922"/>
      <c r="IN169" s="922"/>
      <c r="IO169" s="922"/>
      <c r="IP169" s="922"/>
      <c r="IQ169" s="922"/>
      <c r="IR169" s="922"/>
      <c r="IS169" s="922"/>
      <c r="IT169" s="922"/>
      <c r="IU169" s="922"/>
      <c r="IV169" s="922"/>
      <c r="IW169" s="922"/>
      <c r="IX169" s="922"/>
      <c r="IY169" s="922"/>
      <c r="IZ169" s="922"/>
      <c r="JA169" s="922"/>
      <c r="JB169" s="922"/>
      <c r="JC169" s="922"/>
      <c r="JD169" s="922"/>
      <c r="JE169" s="922"/>
      <c r="JF169" s="922"/>
      <c r="JG169" s="922"/>
      <c r="JH169" s="922"/>
      <c r="JI169" s="922"/>
      <c r="JJ169" s="922"/>
      <c r="JK169" s="922"/>
      <c r="JL169" s="922"/>
      <c r="JM169" s="922"/>
      <c r="JN169" s="922"/>
      <c r="JO169" s="922"/>
      <c r="JP169" s="922"/>
      <c r="JQ169" s="922"/>
      <c r="JR169" s="922"/>
      <c r="JS169" s="922"/>
      <c r="JT169" s="922"/>
      <c r="JU169" s="922"/>
      <c r="JV169" s="922"/>
      <c r="JW169" s="922"/>
      <c r="JX169" s="922"/>
      <c r="JY169" s="922"/>
      <c r="JZ169" s="922"/>
      <c r="KA169" s="922"/>
      <c r="KB169" s="922"/>
      <c r="KC169" s="922"/>
      <c r="KD169" s="922"/>
      <c r="KE169" s="922"/>
      <c r="KF169" s="922"/>
      <c r="KG169" s="922"/>
      <c r="KH169" s="922"/>
      <c r="KI169" s="922"/>
      <c r="KJ169" s="922"/>
      <c r="KK169" s="922"/>
      <c r="KL169" s="922"/>
      <c r="KM169" s="922"/>
      <c r="KN169" s="922"/>
      <c r="KO169" s="922"/>
      <c r="KP169" s="922"/>
      <c r="KQ169" s="922"/>
      <c r="KR169" s="922"/>
      <c r="KS169" s="922"/>
      <c r="KT169" s="922"/>
      <c r="KU169" s="922"/>
      <c r="KV169" s="922"/>
      <c r="KW169" s="922"/>
      <c r="KX169" s="922"/>
      <c r="KY169" s="922"/>
      <c r="KZ169" s="922"/>
      <c r="LA169" s="922"/>
      <c r="LB169" s="922"/>
      <c r="LC169" s="922"/>
      <c r="LD169" s="922"/>
      <c r="LE169" s="922"/>
      <c r="LF169" s="922"/>
      <c r="LG169" s="922"/>
      <c r="LH169" s="922"/>
      <c r="LI169" s="922"/>
      <c r="LJ169" s="922"/>
      <c r="LK169" s="922"/>
      <c r="LL169" s="922"/>
      <c r="LM169" s="922"/>
      <c r="LN169" s="922"/>
      <c r="LO169" s="922"/>
      <c r="LP169" s="922"/>
      <c r="LQ169" s="922"/>
      <c r="LR169" s="922"/>
      <c r="LS169" s="922"/>
      <c r="LT169" s="922"/>
      <c r="LU169" s="922"/>
      <c r="LV169" s="922"/>
      <c r="LW169" s="922"/>
      <c r="LX169" s="922"/>
      <c r="LY169" s="922"/>
      <c r="LZ169" s="922"/>
      <c r="MA169" s="922"/>
      <c r="MB169" s="922"/>
      <c r="MC169" s="922"/>
      <c r="MD169" s="922"/>
      <c r="ME169" s="922"/>
      <c r="MF169" s="922"/>
      <c r="MG169" s="922"/>
      <c r="MH169" s="922"/>
      <c r="MI169" s="922"/>
      <c r="MJ169" s="922"/>
      <c r="MK169" s="922"/>
      <c r="ML169" s="922"/>
      <c r="MM169" s="922"/>
      <c r="MN169" s="922"/>
      <c r="MO169" s="922"/>
      <c r="MP169" s="922"/>
      <c r="MQ169" s="922"/>
      <c r="MR169" s="922"/>
      <c r="MS169" s="922"/>
      <c r="MT169" s="922"/>
      <c r="MU169" s="922"/>
      <c r="MV169" s="922"/>
      <c r="MW169" s="922"/>
      <c r="MX169" s="922"/>
      <c r="MY169" s="922"/>
      <c r="MZ169" s="922"/>
      <c r="NA169" s="922"/>
      <c r="NB169" s="922"/>
      <c r="NC169" s="922"/>
      <c r="ND169" s="922"/>
      <c r="NE169" s="922"/>
      <c r="NF169" s="922"/>
      <c r="NG169" s="922"/>
      <c r="NH169" s="922"/>
      <c r="NI169" s="922"/>
      <c r="NJ169" s="922"/>
      <c r="NK169" s="922"/>
      <c r="NL169" s="922"/>
      <c r="NM169" s="922"/>
      <c r="NN169" s="922"/>
      <c r="NO169" s="922"/>
      <c r="NP169" s="922"/>
      <c r="NQ169" s="922"/>
      <c r="NR169" s="922"/>
      <c r="NS169" s="922"/>
      <c r="NT169" s="922"/>
      <c r="NU169" s="922"/>
      <c r="NV169" s="922"/>
      <c r="NW169" s="922"/>
      <c r="NX169" s="922"/>
      <c r="NY169" s="922"/>
      <c r="NZ169" s="922"/>
      <c r="OA169" s="922"/>
      <c r="OB169" s="922"/>
      <c r="OC169" s="922"/>
      <c r="OD169" s="922"/>
      <c r="OE169" s="922"/>
      <c r="OF169" s="922"/>
      <c r="OG169" s="922"/>
      <c r="OH169" s="922"/>
      <c r="OI169" s="922"/>
      <c r="OJ169" s="922"/>
      <c r="OK169" s="922"/>
      <c r="OL169" s="922"/>
      <c r="OM169" s="922"/>
      <c r="ON169" s="922"/>
      <c r="OO169" s="922"/>
      <c r="OP169" s="922"/>
      <c r="OQ169" s="922"/>
      <c r="OR169" s="922"/>
      <c r="OS169" s="922"/>
      <c r="OT169" s="922"/>
      <c r="OU169" s="922"/>
      <c r="OV169" s="922"/>
      <c r="OW169" s="922"/>
      <c r="OX169" s="922"/>
      <c r="OY169" s="922"/>
      <c r="OZ169" s="922"/>
      <c r="PA169" s="922"/>
      <c r="PB169" s="922"/>
      <c r="PC169" s="922"/>
      <c r="PD169" s="922"/>
      <c r="PE169" s="922"/>
      <c r="PF169" s="922"/>
      <c r="PG169" s="922"/>
      <c r="PH169" s="922"/>
      <c r="PI169" s="922"/>
      <c r="PJ169" s="922"/>
      <c r="PK169" s="922"/>
      <c r="PL169" s="922"/>
      <c r="PM169" s="922"/>
      <c r="PN169" s="922"/>
      <c r="PO169" s="922"/>
      <c r="PP169" s="922"/>
      <c r="PQ169" s="922"/>
      <c r="PR169" s="922"/>
      <c r="PS169" s="922"/>
      <c r="PT169" s="922"/>
      <c r="PU169" s="922"/>
      <c r="PV169" s="922"/>
      <c r="PW169" s="922"/>
      <c r="PX169" s="922"/>
      <c r="PY169" s="922"/>
      <c r="PZ169" s="922"/>
      <c r="QA169" s="922"/>
      <c r="QB169" s="922"/>
      <c r="QC169" s="922"/>
      <c r="QD169" s="922"/>
      <c r="QE169" s="922"/>
      <c r="QF169" s="922"/>
      <c r="QG169" s="922"/>
      <c r="QH169" s="922"/>
      <c r="QI169" s="922"/>
      <c r="QJ169" s="922"/>
      <c r="QK169" s="922"/>
      <c r="QL169" s="922"/>
      <c r="QM169" s="922"/>
      <c r="QN169" s="922"/>
      <c r="QO169" s="922"/>
      <c r="QP169" s="922"/>
      <c r="QQ169" s="922"/>
      <c r="QR169" s="922"/>
      <c r="QS169" s="922"/>
      <c r="QT169" s="922"/>
      <c r="QU169" s="922"/>
      <c r="QV169" s="922"/>
      <c r="QW169" s="922"/>
      <c r="QX169" s="922"/>
      <c r="QY169" s="922"/>
      <c r="QZ169" s="922"/>
      <c r="RA169" s="922"/>
      <c r="RB169" s="922"/>
      <c r="RC169" s="922"/>
      <c r="RD169" s="922"/>
      <c r="RE169" s="922"/>
      <c r="RF169" s="922"/>
      <c r="RG169" s="922"/>
      <c r="RH169" s="922"/>
      <c r="RI169" s="922"/>
      <c r="RJ169" s="922"/>
      <c r="RK169" s="922"/>
      <c r="RL169" s="922"/>
      <c r="RM169" s="922"/>
      <c r="RN169" s="922"/>
      <c r="RO169" s="922"/>
      <c r="RP169" s="922"/>
      <c r="RQ169" s="922"/>
      <c r="RR169" s="922"/>
      <c r="RS169" s="922"/>
      <c r="RT169" s="922"/>
      <c r="RU169" s="922"/>
      <c r="RV169" s="922"/>
      <c r="RW169" s="922"/>
      <c r="RX169" s="922"/>
      <c r="RY169" s="922"/>
      <c r="RZ169" s="922"/>
      <c r="SA169" s="922"/>
      <c r="SB169" s="922"/>
      <c r="SC169" s="922"/>
      <c r="SD169" s="922"/>
      <c r="SE169" s="922"/>
      <c r="SF169" s="922"/>
      <c r="SG169" s="922"/>
      <c r="SH169" s="922"/>
      <c r="SI169" s="922"/>
      <c r="SJ169" s="922"/>
      <c r="SK169" s="922"/>
      <c r="SL169" s="922"/>
      <c r="SM169" s="922"/>
      <c r="SN169" s="922"/>
      <c r="SO169" s="922"/>
      <c r="SP169" s="922"/>
      <c r="SQ169" s="922"/>
      <c r="SR169" s="922"/>
      <c r="SS169" s="922"/>
      <c r="ST169" s="922"/>
      <c r="SU169" s="922"/>
      <c r="SV169" s="922"/>
      <c r="SW169" s="922"/>
      <c r="SX169" s="922"/>
      <c r="SY169" s="922"/>
      <c r="SZ169" s="922"/>
      <c r="TA169" s="922"/>
      <c r="TB169" s="922"/>
      <c r="TC169" s="922"/>
      <c r="TD169" s="922"/>
      <c r="TE169" s="922"/>
      <c r="TF169" s="922"/>
      <c r="TG169" s="922"/>
      <c r="TH169" s="922"/>
      <c r="TI169" s="922"/>
      <c r="TJ169" s="922"/>
      <c r="TK169" s="922"/>
      <c r="TL169" s="922"/>
      <c r="TM169" s="922"/>
      <c r="TN169" s="922"/>
      <c r="TO169" s="922"/>
      <c r="TP169" s="922"/>
      <c r="TQ169" s="922"/>
      <c r="TR169" s="922"/>
      <c r="TS169" s="922"/>
      <c r="TT169" s="922"/>
      <c r="TU169" s="922"/>
      <c r="TV169" s="922"/>
      <c r="TW169" s="922"/>
      <c r="TX169" s="922"/>
      <c r="TY169" s="922"/>
      <c r="TZ169" s="922"/>
      <c r="UA169" s="922"/>
      <c r="UB169" s="922"/>
      <c r="UC169" s="922"/>
      <c r="UD169" s="922"/>
      <c r="UE169" s="922"/>
      <c r="UF169" s="922"/>
      <c r="UG169" s="922"/>
      <c r="UH169" s="922"/>
      <c r="UI169" s="922"/>
      <c r="UJ169" s="922"/>
      <c r="UK169" s="922"/>
      <c r="UL169" s="922"/>
      <c r="UM169" s="922"/>
      <c r="UN169" s="922"/>
      <c r="UO169" s="922"/>
      <c r="UP169" s="922"/>
      <c r="UQ169" s="922"/>
      <c r="UR169" s="922"/>
      <c r="US169" s="922"/>
      <c r="UT169" s="922"/>
      <c r="UU169" s="922"/>
      <c r="UV169" s="922"/>
      <c r="UW169" s="922"/>
      <c r="UX169" s="922"/>
      <c r="UY169" s="922"/>
      <c r="UZ169" s="922"/>
      <c r="VA169" s="922"/>
      <c r="VB169" s="922"/>
      <c r="VC169" s="922"/>
      <c r="VD169" s="922"/>
      <c r="VE169" s="922"/>
      <c r="VF169" s="922"/>
      <c r="VG169" s="922"/>
      <c r="VH169" s="922"/>
      <c r="VI169" s="922"/>
      <c r="VJ169" s="922"/>
      <c r="VK169" s="922"/>
      <c r="VL169" s="922"/>
      <c r="VM169" s="922"/>
      <c r="VN169" s="922"/>
      <c r="VO169" s="922"/>
      <c r="VP169" s="922"/>
      <c r="VQ169" s="922"/>
      <c r="VR169" s="922"/>
      <c r="VS169" s="922"/>
      <c r="VT169" s="922"/>
      <c r="VU169" s="922"/>
      <c r="VV169" s="922"/>
      <c r="VW169" s="922"/>
      <c r="VX169" s="922"/>
      <c r="VY169" s="922"/>
      <c r="VZ169" s="922"/>
      <c r="WA169" s="922"/>
      <c r="WB169" s="922"/>
      <c r="WC169" s="922"/>
      <c r="WD169" s="922"/>
      <c r="WE169" s="922"/>
      <c r="WF169" s="922"/>
      <c r="WG169" s="922"/>
      <c r="WH169" s="922"/>
      <c r="WI169" s="922"/>
      <c r="WJ169" s="922"/>
      <c r="WK169" s="922"/>
      <c r="WL169" s="922"/>
      <c r="WM169" s="922"/>
      <c r="WN169" s="922"/>
      <c r="WO169" s="922"/>
      <c r="WP169" s="922"/>
      <c r="WQ169" s="922"/>
      <c r="WR169" s="922"/>
      <c r="WS169" s="922"/>
      <c r="WT169" s="922"/>
      <c r="WU169" s="922"/>
      <c r="WV169" s="922"/>
      <c r="WW169" s="922"/>
      <c r="WX169" s="922"/>
      <c r="WY169" s="922"/>
      <c r="WZ169" s="922"/>
      <c r="XA169" s="922"/>
      <c r="XB169" s="922"/>
      <c r="XC169" s="922"/>
      <c r="XD169" s="922"/>
      <c r="XE169" s="922"/>
      <c r="XF169" s="922"/>
      <c r="XG169" s="922"/>
      <c r="XH169" s="922"/>
      <c r="XI169" s="922"/>
      <c r="XJ169" s="922"/>
      <c r="XK169" s="922"/>
      <c r="XL169" s="922"/>
      <c r="XM169" s="922"/>
      <c r="XN169" s="922"/>
      <c r="XO169" s="922"/>
      <c r="XP169" s="922"/>
      <c r="XQ169" s="922"/>
      <c r="XR169" s="922"/>
      <c r="XS169" s="922"/>
      <c r="XT169" s="922"/>
      <c r="XU169" s="922"/>
      <c r="XV169" s="922"/>
      <c r="XW169" s="922"/>
      <c r="XX169" s="922"/>
      <c r="XY169" s="922"/>
      <c r="XZ169" s="922"/>
      <c r="YA169" s="922"/>
      <c r="YB169" s="922"/>
      <c r="YC169" s="922"/>
      <c r="YD169" s="922"/>
      <c r="YE169" s="922"/>
      <c r="YF169" s="922"/>
      <c r="YG169" s="922"/>
      <c r="YH169" s="922"/>
      <c r="YI169" s="922"/>
      <c r="YJ169" s="922"/>
      <c r="YK169" s="922"/>
      <c r="YL169" s="922"/>
      <c r="YM169" s="922"/>
      <c r="YN169" s="922"/>
      <c r="YO169" s="922"/>
      <c r="YP169" s="922"/>
      <c r="YQ169" s="922"/>
      <c r="YR169" s="922"/>
      <c r="YS169" s="922"/>
      <c r="YT169" s="922"/>
      <c r="YU169" s="922"/>
      <c r="YV169" s="922"/>
      <c r="YW169" s="922"/>
      <c r="YX169" s="922"/>
      <c r="YY169" s="922"/>
      <c r="YZ169" s="922"/>
      <c r="ZA169" s="922"/>
      <c r="ZB169" s="922"/>
      <c r="ZC169" s="922"/>
      <c r="ZD169" s="922"/>
      <c r="ZE169" s="922"/>
      <c r="ZF169" s="922"/>
      <c r="ZG169" s="922"/>
      <c r="ZH169" s="922"/>
      <c r="ZI169" s="922"/>
      <c r="ZJ169" s="922"/>
      <c r="ZK169" s="922"/>
      <c r="ZL169" s="922"/>
      <c r="ZM169" s="922"/>
      <c r="ZN169" s="922"/>
      <c r="ZO169" s="922"/>
      <c r="ZP169" s="922"/>
      <c r="ZQ169" s="922"/>
      <c r="ZR169" s="922"/>
      <c r="ZS169" s="922"/>
      <c r="ZT169" s="922"/>
      <c r="ZU169" s="922"/>
      <c r="ZV169" s="922"/>
      <c r="ZW169" s="922"/>
      <c r="ZX169" s="922"/>
      <c r="ZY169" s="922"/>
      <c r="ZZ169" s="922"/>
      <c r="AAA169" s="922"/>
      <c r="AAB169" s="922"/>
      <c r="AAC169" s="922"/>
      <c r="AAD169" s="922"/>
      <c r="AAE169" s="922"/>
      <c r="AAF169" s="922"/>
      <c r="AAG169" s="922"/>
      <c r="AAH169" s="922"/>
      <c r="AAI169" s="922"/>
      <c r="AAJ169" s="922"/>
      <c r="AAK169" s="922"/>
      <c r="AAL169" s="922"/>
      <c r="AAM169" s="922"/>
      <c r="AAN169" s="922"/>
      <c r="AAO169" s="922"/>
      <c r="AAP169" s="922"/>
      <c r="AAQ169" s="922"/>
      <c r="AAR169" s="922"/>
      <c r="AAS169" s="922"/>
      <c r="AAT169" s="922"/>
      <c r="AAU169" s="922"/>
      <c r="AAV169" s="922"/>
      <c r="AAW169" s="922"/>
      <c r="AAX169" s="922"/>
      <c r="AAY169" s="922"/>
      <c r="AAZ169" s="922"/>
      <c r="ABA169" s="922"/>
      <c r="ABB169" s="922"/>
      <c r="ABC169" s="922"/>
      <c r="ABD169" s="922"/>
      <c r="ABE169" s="922"/>
      <c r="ABF169" s="922"/>
      <c r="ABG169" s="922"/>
      <c r="ABH169" s="922"/>
      <c r="ABI169" s="922"/>
      <c r="ABJ169" s="922"/>
      <c r="ABK169" s="922"/>
      <c r="ABL169" s="922"/>
      <c r="ABM169" s="922"/>
      <c r="ABN169" s="922"/>
      <c r="ABO169" s="922"/>
      <c r="ABP169" s="922"/>
      <c r="ABQ169" s="922"/>
      <c r="ABR169" s="922"/>
      <c r="ABS169" s="922"/>
      <c r="ABT169" s="922"/>
      <c r="ABU169" s="922"/>
      <c r="ABV169" s="922"/>
      <c r="ABW169" s="922"/>
      <c r="ABX169" s="922"/>
      <c r="ABY169" s="922"/>
      <c r="ABZ169" s="922"/>
      <c r="ACA169" s="922"/>
      <c r="ACB169" s="922"/>
      <c r="ACC169" s="922"/>
      <c r="ACD169" s="922"/>
      <c r="ACE169" s="922"/>
      <c r="ACF169" s="922"/>
      <c r="ACG169" s="922"/>
      <c r="ACH169" s="922"/>
      <c r="ACI169" s="922"/>
      <c r="ACJ169" s="922"/>
      <c r="ACK169" s="922"/>
      <c r="ACL169" s="922"/>
      <c r="ACM169" s="922"/>
      <c r="ACN169" s="922"/>
      <c r="ACO169" s="922"/>
      <c r="ACP169" s="922"/>
      <c r="ACQ169" s="922"/>
      <c r="ACR169" s="922"/>
      <c r="ACS169" s="922"/>
      <c r="ACT169" s="922"/>
      <c r="ACU169" s="922"/>
      <c r="ACV169" s="922"/>
      <c r="ACW169" s="922"/>
      <c r="ACX169" s="922"/>
      <c r="ACY169" s="922"/>
      <c r="ACZ169" s="922"/>
      <c r="ADA169" s="922"/>
      <c r="ADB169" s="922"/>
      <c r="ADC169" s="922"/>
      <c r="ADD169" s="922"/>
      <c r="ADE169" s="922"/>
      <c r="ADF169" s="922"/>
      <c r="ADG169" s="922"/>
      <c r="ADH169" s="922"/>
      <c r="ADI169" s="922"/>
      <c r="ADJ169" s="922"/>
      <c r="ADK169" s="922"/>
      <c r="ADL169" s="922"/>
      <c r="ADM169" s="922"/>
      <c r="ADN169" s="922"/>
      <c r="ADO169" s="922"/>
      <c r="ADP169" s="922"/>
      <c r="ADQ169" s="922"/>
      <c r="ADR169" s="922"/>
      <c r="ADS169" s="922"/>
      <c r="ADT169" s="922"/>
      <c r="ADU169" s="922"/>
      <c r="ADV169" s="922"/>
      <c r="ADW169" s="922"/>
      <c r="ADX169" s="922"/>
      <c r="ADY169" s="922"/>
      <c r="ADZ169" s="922"/>
      <c r="AEA169" s="922"/>
      <c r="AEB169" s="922"/>
      <c r="AEC169" s="922"/>
      <c r="AED169" s="922"/>
      <c r="AEE169" s="922"/>
      <c r="AEF169" s="922"/>
      <c r="AEG169" s="922"/>
      <c r="AEH169" s="922"/>
      <c r="AEI169" s="922"/>
      <c r="AEJ169" s="922"/>
      <c r="AEK169" s="922"/>
      <c r="AEL169" s="922"/>
      <c r="AEM169" s="922"/>
      <c r="AEN169" s="922"/>
      <c r="AEO169" s="922"/>
      <c r="AEP169" s="922"/>
      <c r="AEQ169" s="922"/>
      <c r="AER169" s="922"/>
      <c r="AES169" s="922"/>
      <c r="AET169" s="922"/>
      <c r="AEU169" s="922"/>
      <c r="AEV169" s="922"/>
      <c r="AEW169" s="922"/>
      <c r="AEX169" s="922"/>
      <c r="AEY169" s="922"/>
      <c r="AEZ169" s="922"/>
      <c r="AFA169" s="922"/>
      <c r="AFB169" s="922"/>
      <c r="AFC169" s="922"/>
      <c r="AFD169" s="922"/>
      <c r="AFE169" s="922"/>
      <c r="AFF169" s="922"/>
      <c r="AFG169" s="922"/>
      <c r="AFH169" s="922"/>
      <c r="AFI169" s="922"/>
      <c r="AFJ169" s="922"/>
      <c r="AFK169" s="922"/>
      <c r="AFL169" s="922"/>
      <c r="AFM169" s="922"/>
      <c r="AFN169" s="922"/>
      <c r="AFO169" s="922"/>
      <c r="AFP169" s="922"/>
      <c r="AFQ169" s="922"/>
      <c r="AFR169" s="922"/>
      <c r="AFS169" s="922"/>
      <c r="AFT169" s="922"/>
      <c r="AFU169" s="922"/>
      <c r="AFV169" s="922"/>
      <c r="AFW169" s="922"/>
      <c r="AFX169" s="922"/>
      <c r="AFY169" s="922"/>
      <c r="AFZ169" s="922"/>
      <c r="AGA169" s="922"/>
      <c r="AGB169" s="922"/>
      <c r="AGC169" s="922"/>
      <c r="AGD169" s="922"/>
      <c r="AGE169" s="922"/>
      <c r="AGF169" s="922"/>
      <c r="AGG169" s="922"/>
      <c r="AGH169" s="922"/>
      <c r="AGI169" s="922"/>
      <c r="AGJ169" s="922"/>
      <c r="AGK169" s="922"/>
      <c r="AGL169" s="922"/>
      <c r="AGM169" s="922"/>
      <c r="AGN169" s="922"/>
      <c r="AGO169" s="922"/>
      <c r="AGP169" s="922"/>
      <c r="AGQ169" s="922"/>
      <c r="AGR169" s="922"/>
      <c r="AGS169" s="922"/>
      <c r="AGT169" s="922"/>
      <c r="AGU169" s="922"/>
      <c r="AGV169" s="922"/>
      <c r="AGW169" s="922"/>
      <c r="AGX169" s="922"/>
      <c r="AGY169" s="922"/>
      <c r="AGZ169" s="922"/>
      <c r="AHA169" s="922"/>
      <c r="AHB169" s="922"/>
      <c r="AHC169" s="922"/>
      <c r="AHD169" s="922"/>
      <c r="AHE169" s="922"/>
      <c r="AHF169" s="922"/>
      <c r="AHG169" s="922"/>
      <c r="AHH169" s="922"/>
      <c r="AHI169" s="922"/>
      <c r="AHJ169" s="922"/>
      <c r="AHK169" s="922"/>
      <c r="AHL169" s="922"/>
      <c r="AHM169" s="922"/>
      <c r="AHN169" s="922"/>
      <c r="AHO169" s="922"/>
      <c r="AHP169" s="922"/>
      <c r="AHQ169" s="922"/>
      <c r="AHR169" s="922"/>
      <c r="AHS169" s="922"/>
      <c r="AHT169" s="922"/>
      <c r="AHU169" s="922"/>
      <c r="AHV169" s="922"/>
      <c r="AHW169" s="922"/>
      <c r="AHX169" s="922"/>
      <c r="AHY169" s="922"/>
      <c r="AHZ169" s="922"/>
      <c r="AIA169" s="922"/>
      <c r="AIB169" s="922"/>
      <c r="AIC169" s="922"/>
      <c r="AID169" s="922"/>
      <c r="AIE169" s="922"/>
      <c r="AIF169" s="922"/>
      <c r="AIG169" s="922"/>
      <c r="AIH169" s="922"/>
      <c r="AII169" s="922"/>
      <c r="AIJ169" s="922"/>
      <c r="AIK169" s="922"/>
      <c r="AIL169" s="922"/>
      <c r="AIM169" s="922"/>
      <c r="AIN169" s="922"/>
      <c r="AIO169" s="922"/>
      <c r="AIP169" s="922"/>
      <c r="AIQ169" s="922"/>
      <c r="AIR169" s="922"/>
      <c r="AIS169" s="922"/>
      <c r="AIT169" s="922"/>
      <c r="AIU169" s="922"/>
      <c r="AIV169" s="922"/>
      <c r="AIW169" s="922"/>
      <c r="AIX169" s="922"/>
      <c r="AIY169" s="922"/>
      <c r="AIZ169" s="922"/>
      <c r="AJA169" s="922"/>
      <c r="AJB169" s="922"/>
      <c r="AJC169" s="922"/>
      <c r="AJD169" s="922"/>
      <c r="AJE169" s="922"/>
      <c r="AJF169" s="922"/>
      <c r="AJG169" s="922"/>
      <c r="AJH169" s="922"/>
      <c r="AJI169" s="922"/>
      <c r="AJJ169" s="922"/>
      <c r="AJK169" s="922"/>
      <c r="AJL169" s="922"/>
      <c r="AJM169" s="922"/>
      <c r="AJN169" s="922"/>
      <c r="AJO169" s="922"/>
      <c r="AJP169" s="922"/>
      <c r="AJQ169" s="922"/>
      <c r="AJR169" s="922"/>
      <c r="AJS169" s="922"/>
      <c r="AJT169" s="922"/>
      <c r="AJU169" s="922"/>
      <c r="AJV169" s="922"/>
      <c r="AJW169" s="922"/>
      <c r="AJX169" s="922"/>
      <c r="AJY169" s="922"/>
      <c r="AJZ169" s="922"/>
      <c r="AKA169" s="922"/>
      <c r="AKB169" s="922"/>
      <c r="AKC169" s="922"/>
      <c r="AKD169" s="922"/>
      <c r="AKE169" s="922"/>
      <c r="AKF169" s="922"/>
      <c r="AKG169" s="922"/>
      <c r="AKH169" s="922"/>
      <c r="AKI169" s="922"/>
      <c r="AKJ169" s="922"/>
      <c r="AKK169" s="922"/>
      <c r="AKL169" s="922"/>
      <c r="AKM169" s="922"/>
      <c r="AKN169" s="922"/>
      <c r="AKO169" s="922"/>
      <c r="AKP169" s="922"/>
      <c r="AKQ169" s="922"/>
      <c r="AKR169" s="922"/>
      <c r="AKS169" s="922"/>
      <c r="AKT169" s="922"/>
      <c r="AKU169" s="922"/>
      <c r="AKV169" s="922"/>
      <c r="AKW169" s="922"/>
      <c r="AKX169" s="922"/>
      <c r="AKY169" s="922"/>
      <c r="AKZ169" s="922"/>
      <c r="ALA169" s="922"/>
      <c r="ALB169" s="922"/>
      <c r="ALC169" s="922"/>
      <c r="ALD169" s="922"/>
      <c r="ALE169" s="922"/>
      <c r="ALF169" s="922"/>
      <c r="ALG169" s="922"/>
      <c r="ALH169" s="922"/>
      <c r="ALI169" s="922"/>
      <c r="ALJ169" s="922"/>
      <c r="ALK169" s="922"/>
      <c r="ALL169" s="922"/>
      <c r="ALM169" s="922"/>
      <c r="ALN169" s="922"/>
      <c r="ALO169" s="922"/>
      <c r="ALP169" s="922"/>
      <c r="ALQ169" s="922"/>
      <c r="ALR169" s="922"/>
      <c r="ALS169" s="922"/>
      <c r="ALT169" s="922"/>
      <c r="ALU169" s="922"/>
      <c r="ALV169" s="922"/>
      <c r="ALW169" s="922"/>
      <c r="ALX169" s="922"/>
      <c r="ALY169" s="922"/>
      <c r="ALZ169" s="922"/>
      <c r="AMA169" s="922"/>
      <c r="AMB169" s="922"/>
      <c r="AMC169" s="922"/>
      <c r="AMD169" s="922"/>
      <c r="AME169" s="922"/>
      <c r="AMF169" s="922"/>
      <c r="AMG169" s="922"/>
      <c r="AMH169" s="922"/>
      <c r="AMI169" s="922"/>
      <c r="AMJ169" s="922"/>
      <c r="AMK169" s="922"/>
      <c r="AML169" s="922"/>
      <c r="AMM169" s="922"/>
      <c r="AMN169" s="922"/>
      <c r="AMO169" s="922"/>
      <c r="AMP169" s="922"/>
      <c r="AMQ169" s="922"/>
      <c r="AMR169" s="922"/>
      <c r="AMS169" s="922"/>
      <c r="AMT169" s="922"/>
      <c r="AMU169" s="922"/>
      <c r="AMV169" s="922"/>
      <c r="AMW169" s="922"/>
      <c r="AMX169" s="922"/>
      <c r="AMY169" s="922"/>
      <c r="AMZ169" s="922"/>
      <c r="ANA169" s="922"/>
      <c r="ANB169" s="922"/>
      <c r="ANC169" s="922"/>
      <c r="AND169" s="922"/>
      <c r="ANE169" s="922"/>
      <c r="ANF169" s="922"/>
      <c r="ANG169" s="922"/>
      <c r="ANH169" s="922"/>
      <c r="ANI169" s="922"/>
      <c r="ANJ169" s="922"/>
      <c r="ANK169" s="922"/>
      <c r="ANL169" s="922"/>
      <c r="ANM169" s="922"/>
      <c r="ANN169" s="922"/>
      <c r="ANO169" s="922"/>
      <c r="ANP169" s="922"/>
      <c r="ANQ169" s="922"/>
      <c r="ANR169" s="922"/>
      <c r="ANS169" s="922"/>
      <c r="ANT169" s="922"/>
      <c r="ANU169" s="922"/>
      <c r="ANV169" s="922"/>
      <c r="ANW169" s="922"/>
      <c r="ANX169" s="922"/>
      <c r="ANY169" s="922"/>
      <c r="ANZ169" s="922"/>
      <c r="AOA169" s="922"/>
      <c r="AOB169" s="922"/>
      <c r="AOC169" s="922"/>
      <c r="AOD169" s="922"/>
      <c r="AOE169" s="922"/>
      <c r="AOF169" s="922"/>
      <c r="AOG169" s="922"/>
      <c r="AOH169" s="922"/>
      <c r="AOI169" s="922"/>
      <c r="AOJ169" s="922"/>
      <c r="AOK169" s="922"/>
      <c r="AOL169" s="922"/>
      <c r="AOM169" s="922"/>
      <c r="AON169" s="922"/>
      <c r="AOO169" s="922"/>
      <c r="AOP169" s="922"/>
      <c r="AOQ169" s="922"/>
      <c r="AOR169" s="922"/>
      <c r="AOS169" s="922"/>
      <c r="AOT169" s="922"/>
      <c r="AOU169" s="922"/>
      <c r="AOV169" s="922"/>
      <c r="AOW169" s="922"/>
      <c r="AOX169" s="922"/>
      <c r="AOY169" s="922"/>
      <c r="AOZ169" s="922"/>
      <c r="APA169" s="922"/>
      <c r="APB169" s="922"/>
      <c r="APC169" s="922"/>
      <c r="APD169" s="922"/>
      <c r="APE169" s="922"/>
      <c r="APF169" s="922"/>
      <c r="APG169" s="922"/>
      <c r="APH169" s="922"/>
      <c r="API169" s="922"/>
      <c r="APJ169" s="922"/>
      <c r="APK169" s="922"/>
      <c r="APL169" s="922"/>
      <c r="APM169" s="922"/>
      <c r="APN169" s="922"/>
      <c r="APO169" s="922"/>
      <c r="APP169" s="922"/>
      <c r="APQ169" s="922"/>
      <c r="APR169" s="922"/>
      <c r="APS169" s="922"/>
      <c r="APT169" s="922"/>
      <c r="APU169" s="922"/>
      <c r="APV169" s="922"/>
      <c r="APW169" s="922"/>
      <c r="APX169" s="922"/>
      <c r="APY169" s="922"/>
      <c r="APZ169" s="922"/>
      <c r="AQA169" s="922"/>
      <c r="AQB169" s="922"/>
      <c r="AQC169" s="922"/>
      <c r="AQD169" s="922"/>
      <c r="AQE169" s="922"/>
      <c r="AQF169" s="922"/>
      <c r="AQG169" s="922"/>
      <c r="AQH169" s="922"/>
      <c r="AQI169" s="922"/>
      <c r="AQJ169" s="922"/>
      <c r="AQK169" s="922"/>
      <c r="AQL169" s="922"/>
      <c r="AQM169" s="922"/>
      <c r="AQN169" s="922"/>
      <c r="AQO169" s="922"/>
      <c r="AQP169" s="922"/>
      <c r="AQQ169" s="922"/>
      <c r="AQR169" s="922"/>
      <c r="AQS169" s="922"/>
      <c r="AQT169" s="922"/>
      <c r="AQU169" s="922"/>
      <c r="AQV169" s="922"/>
      <c r="AQW169" s="922"/>
      <c r="AQX169" s="922"/>
      <c r="AQY169" s="922"/>
      <c r="AQZ169" s="922"/>
      <c r="ARA169" s="922"/>
      <c r="ARB169" s="922"/>
      <c r="ARC169" s="922"/>
      <c r="ARD169" s="922"/>
      <c r="ARE169" s="922"/>
      <c r="ARF169" s="922"/>
      <c r="ARG169" s="922"/>
      <c r="ARH169" s="922"/>
      <c r="ARI169" s="922"/>
      <c r="ARJ169" s="922"/>
      <c r="ARK169" s="922"/>
      <c r="ARL169" s="922"/>
      <c r="ARM169" s="922"/>
      <c r="ARN169" s="922"/>
      <c r="ARO169" s="922"/>
      <c r="ARP169" s="922"/>
      <c r="ARQ169" s="922"/>
      <c r="ARR169" s="922"/>
      <c r="ARS169" s="922"/>
      <c r="ART169" s="922"/>
      <c r="ARU169" s="922"/>
      <c r="ARV169" s="922"/>
      <c r="ARW169" s="922"/>
      <c r="ARX169" s="922"/>
      <c r="ARY169" s="922"/>
      <c r="ARZ169" s="922"/>
      <c r="ASA169" s="922"/>
      <c r="ASB169" s="922"/>
      <c r="ASC169" s="922"/>
    </row>
    <row r="170" spans="1:1173" hidden="1">
      <c r="A170" s="920"/>
      <c r="T170" s="922"/>
      <c r="AN170" s="922"/>
      <c r="AO170" s="922"/>
      <c r="AP170" s="922"/>
      <c r="AQ170" s="922"/>
      <c r="AR170" s="922"/>
      <c r="AS170" s="922"/>
      <c r="AT170" s="922"/>
      <c r="AU170" s="922"/>
      <c r="AV170" s="922"/>
      <c r="AW170" s="922"/>
      <c r="AX170" s="922"/>
      <c r="AY170" s="922"/>
      <c r="AZ170" s="922"/>
      <c r="BA170" s="922"/>
      <c r="BB170" s="922"/>
      <c r="BC170" s="922"/>
      <c r="BD170" s="922"/>
      <c r="BE170" s="922"/>
      <c r="BF170" s="922"/>
      <c r="BG170" s="922"/>
      <c r="BH170" s="922"/>
      <c r="BI170" s="922"/>
      <c r="BJ170" s="922"/>
      <c r="BK170" s="922"/>
      <c r="BL170" s="922"/>
      <c r="BM170" s="922"/>
      <c r="BN170" s="922"/>
      <c r="BO170" s="922"/>
      <c r="BP170" s="922"/>
      <c r="BQ170" s="922"/>
      <c r="BR170" s="922"/>
      <c r="BS170" s="922"/>
      <c r="BT170" s="922"/>
      <c r="BU170" s="922"/>
      <c r="BV170" s="922"/>
      <c r="BW170" s="922"/>
      <c r="BX170" s="922"/>
      <c r="BY170" s="922"/>
      <c r="BZ170" s="922"/>
      <c r="CA170" s="922"/>
      <c r="CB170" s="922"/>
      <c r="CC170" s="922"/>
      <c r="CD170" s="922"/>
      <c r="CE170" s="922"/>
      <c r="CF170" s="922"/>
      <c r="CG170" s="922"/>
      <c r="CH170" s="922"/>
      <c r="CI170" s="922"/>
      <c r="CJ170" s="922"/>
      <c r="CK170" s="922"/>
      <c r="CL170" s="922"/>
      <c r="CM170" s="922"/>
      <c r="CN170" s="922"/>
      <c r="CO170" s="922"/>
      <c r="CP170" s="922"/>
      <c r="CQ170" s="922"/>
      <c r="CR170" s="922"/>
      <c r="CS170" s="922"/>
      <c r="CT170" s="922"/>
      <c r="CU170" s="922"/>
      <c r="CV170" s="922"/>
      <c r="CW170" s="922"/>
      <c r="CX170" s="922"/>
      <c r="CY170" s="922"/>
      <c r="CZ170" s="922"/>
      <c r="DA170" s="922"/>
      <c r="DB170" s="922"/>
      <c r="DC170" s="922"/>
      <c r="DD170" s="922"/>
      <c r="DE170" s="922"/>
      <c r="DF170" s="922"/>
      <c r="DG170" s="922"/>
      <c r="DH170" s="922"/>
      <c r="DI170" s="922"/>
      <c r="DJ170" s="922"/>
      <c r="DK170" s="922"/>
      <c r="DL170" s="922"/>
      <c r="DM170" s="922"/>
      <c r="DN170" s="922"/>
      <c r="DO170" s="922"/>
      <c r="DP170" s="922"/>
      <c r="DQ170" s="922"/>
      <c r="DR170" s="922"/>
      <c r="DS170" s="922"/>
      <c r="DT170" s="922"/>
      <c r="DU170" s="922"/>
      <c r="DV170" s="922"/>
      <c r="DW170" s="922"/>
      <c r="DX170" s="922"/>
      <c r="DY170" s="922"/>
      <c r="DZ170" s="922"/>
      <c r="EA170" s="922"/>
      <c r="EB170" s="922"/>
      <c r="EC170" s="922"/>
      <c r="ED170" s="922"/>
      <c r="EE170" s="922"/>
      <c r="EF170" s="922"/>
      <c r="EG170" s="922"/>
      <c r="EH170" s="922"/>
      <c r="EI170" s="922"/>
      <c r="EJ170" s="922"/>
      <c r="EK170" s="922"/>
      <c r="EL170" s="922"/>
      <c r="EM170" s="922"/>
      <c r="EN170" s="922"/>
      <c r="EO170" s="922"/>
      <c r="EP170" s="922"/>
      <c r="EQ170" s="922"/>
      <c r="ER170" s="922"/>
      <c r="ES170" s="922"/>
      <c r="ET170" s="922"/>
      <c r="EU170" s="922"/>
      <c r="EV170" s="922"/>
      <c r="EW170" s="922"/>
      <c r="EX170" s="922"/>
      <c r="EY170" s="922"/>
      <c r="EZ170" s="922"/>
      <c r="FA170" s="922"/>
      <c r="FB170" s="922"/>
      <c r="FC170" s="922"/>
      <c r="FD170" s="922"/>
      <c r="FE170" s="922"/>
      <c r="FF170" s="922"/>
      <c r="FG170" s="922"/>
      <c r="FH170" s="922"/>
      <c r="FI170" s="922"/>
      <c r="FJ170" s="922"/>
      <c r="FK170" s="922"/>
      <c r="FL170" s="922"/>
      <c r="FM170" s="922"/>
      <c r="FN170" s="922"/>
      <c r="FO170" s="922"/>
      <c r="FP170" s="922"/>
      <c r="FQ170" s="922"/>
      <c r="FR170" s="922"/>
      <c r="FS170" s="922"/>
      <c r="FT170" s="922"/>
      <c r="FU170" s="922"/>
      <c r="FV170" s="922"/>
      <c r="FW170" s="922"/>
      <c r="FX170" s="922"/>
      <c r="FY170" s="922"/>
      <c r="FZ170" s="922"/>
      <c r="GA170" s="922"/>
      <c r="GB170" s="922"/>
      <c r="GC170" s="922"/>
      <c r="GD170" s="922"/>
      <c r="GE170" s="922"/>
      <c r="GF170" s="922"/>
      <c r="GG170" s="922"/>
      <c r="GH170" s="922"/>
      <c r="GI170" s="922"/>
      <c r="GJ170" s="922"/>
      <c r="GK170" s="922"/>
      <c r="GL170" s="922"/>
      <c r="GM170" s="922"/>
      <c r="GN170" s="922"/>
      <c r="GO170" s="922"/>
      <c r="GP170" s="922"/>
      <c r="GQ170" s="922"/>
      <c r="GR170" s="922"/>
      <c r="GS170" s="922"/>
      <c r="GT170" s="922"/>
      <c r="GU170" s="922"/>
      <c r="GV170" s="922"/>
      <c r="GW170" s="922"/>
      <c r="GX170" s="922"/>
      <c r="GY170" s="922"/>
      <c r="GZ170" s="922"/>
      <c r="HA170" s="922"/>
      <c r="HB170" s="922"/>
      <c r="HC170" s="922"/>
      <c r="HD170" s="922"/>
      <c r="HE170" s="922"/>
      <c r="HF170" s="922"/>
      <c r="HG170" s="922"/>
      <c r="HH170" s="922"/>
      <c r="HI170" s="922"/>
      <c r="HJ170" s="922"/>
      <c r="HK170" s="922"/>
      <c r="HL170" s="922"/>
      <c r="HM170" s="922"/>
      <c r="HN170" s="922"/>
      <c r="HO170" s="922"/>
      <c r="HP170" s="922"/>
      <c r="HQ170" s="922"/>
      <c r="HR170" s="922"/>
      <c r="HS170" s="922"/>
      <c r="HT170" s="922"/>
      <c r="HU170" s="922"/>
      <c r="HV170" s="922"/>
      <c r="HW170" s="922"/>
      <c r="HX170" s="922"/>
      <c r="HY170" s="922"/>
      <c r="HZ170" s="922"/>
      <c r="IA170" s="922"/>
      <c r="IB170" s="922"/>
      <c r="IC170" s="922"/>
      <c r="ID170" s="922"/>
      <c r="IE170" s="922"/>
      <c r="IF170" s="922"/>
      <c r="IG170" s="922"/>
      <c r="IH170" s="922"/>
      <c r="II170" s="922"/>
      <c r="IJ170" s="922"/>
      <c r="IK170" s="922"/>
      <c r="IL170" s="922"/>
      <c r="IM170" s="922"/>
      <c r="IN170" s="922"/>
      <c r="IO170" s="922"/>
      <c r="IP170" s="922"/>
      <c r="IQ170" s="922"/>
      <c r="IR170" s="922"/>
      <c r="IS170" s="922"/>
      <c r="IT170" s="922"/>
      <c r="IU170" s="922"/>
      <c r="IV170" s="922"/>
      <c r="IW170" s="922"/>
      <c r="IX170" s="922"/>
      <c r="IY170" s="922"/>
      <c r="IZ170" s="922"/>
      <c r="JA170" s="922"/>
      <c r="JB170" s="922"/>
      <c r="JC170" s="922"/>
      <c r="JD170" s="922"/>
      <c r="JE170" s="922"/>
      <c r="JF170" s="922"/>
      <c r="JG170" s="922"/>
      <c r="JH170" s="922"/>
      <c r="JI170" s="922"/>
      <c r="JJ170" s="922"/>
      <c r="JK170" s="922"/>
      <c r="JL170" s="922"/>
      <c r="JM170" s="922"/>
      <c r="JN170" s="922"/>
      <c r="JO170" s="922"/>
      <c r="JP170" s="922"/>
      <c r="JQ170" s="922"/>
      <c r="JR170" s="922"/>
      <c r="JS170" s="922"/>
      <c r="JT170" s="922"/>
      <c r="JU170" s="922"/>
      <c r="JV170" s="922"/>
      <c r="JW170" s="922"/>
      <c r="JX170" s="922"/>
      <c r="JY170" s="922"/>
      <c r="JZ170" s="922"/>
      <c r="KA170" s="922"/>
      <c r="KB170" s="922"/>
      <c r="KC170" s="922"/>
      <c r="KD170" s="922"/>
      <c r="KE170" s="922"/>
      <c r="KF170" s="922"/>
      <c r="KG170" s="922"/>
      <c r="KH170" s="922"/>
      <c r="KI170" s="922"/>
      <c r="KJ170" s="922"/>
      <c r="KK170" s="922"/>
      <c r="KL170" s="922"/>
      <c r="KM170" s="922"/>
      <c r="KN170" s="922"/>
      <c r="KO170" s="922"/>
      <c r="KP170" s="922"/>
      <c r="KQ170" s="922"/>
      <c r="KR170" s="922"/>
      <c r="KS170" s="922"/>
      <c r="KT170" s="922"/>
      <c r="KU170" s="922"/>
      <c r="KV170" s="922"/>
      <c r="KW170" s="922"/>
      <c r="KX170" s="922"/>
      <c r="KY170" s="922"/>
      <c r="KZ170" s="922"/>
      <c r="LA170" s="922"/>
      <c r="LB170" s="922"/>
      <c r="LC170" s="922"/>
      <c r="LD170" s="922"/>
      <c r="LE170" s="922"/>
      <c r="LF170" s="922"/>
      <c r="LG170" s="922"/>
      <c r="LH170" s="922"/>
      <c r="LI170" s="922"/>
      <c r="LJ170" s="922"/>
      <c r="LK170" s="922"/>
      <c r="LL170" s="922"/>
      <c r="LM170" s="922"/>
      <c r="LN170" s="922"/>
      <c r="LO170" s="922"/>
      <c r="LP170" s="922"/>
      <c r="LQ170" s="922"/>
      <c r="LR170" s="922"/>
      <c r="LS170" s="922"/>
      <c r="LT170" s="922"/>
      <c r="LU170" s="922"/>
      <c r="LV170" s="922"/>
      <c r="LW170" s="922"/>
      <c r="LX170" s="922"/>
      <c r="LY170" s="922"/>
      <c r="LZ170" s="922"/>
      <c r="MA170" s="922"/>
      <c r="MB170" s="922"/>
      <c r="MC170" s="922"/>
      <c r="MD170" s="922"/>
      <c r="ME170" s="922"/>
      <c r="MF170" s="922"/>
      <c r="MG170" s="922"/>
      <c r="MH170" s="922"/>
      <c r="MI170" s="922"/>
      <c r="MJ170" s="922"/>
      <c r="MK170" s="922"/>
      <c r="ML170" s="922"/>
      <c r="MM170" s="922"/>
      <c r="MN170" s="922"/>
      <c r="MO170" s="922"/>
      <c r="MP170" s="922"/>
      <c r="MQ170" s="922"/>
      <c r="MR170" s="922"/>
      <c r="MS170" s="922"/>
      <c r="MT170" s="922"/>
      <c r="MU170" s="922"/>
      <c r="MV170" s="922"/>
      <c r="MW170" s="922"/>
      <c r="MX170" s="922"/>
      <c r="MY170" s="922"/>
      <c r="MZ170" s="922"/>
      <c r="NA170" s="922"/>
      <c r="NB170" s="922"/>
      <c r="NC170" s="922"/>
      <c r="ND170" s="922"/>
      <c r="NE170" s="922"/>
      <c r="NF170" s="922"/>
      <c r="NG170" s="922"/>
      <c r="NH170" s="922"/>
      <c r="NI170" s="922"/>
      <c r="NJ170" s="922"/>
      <c r="NK170" s="922"/>
      <c r="NL170" s="922"/>
      <c r="NM170" s="922"/>
      <c r="NN170" s="922"/>
      <c r="NO170" s="922"/>
      <c r="NP170" s="922"/>
      <c r="NQ170" s="922"/>
      <c r="NR170" s="922"/>
      <c r="NS170" s="922"/>
      <c r="NT170" s="922"/>
      <c r="NU170" s="922"/>
      <c r="NV170" s="922"/>
      <c r="NW170" s="922"/>
      <c r="NX170" s="922"/>
      <c r="NY170" s="922"/>
      <c r="NZ170" s="922"/>
      <c r="OA170" s="922"/>
      <c r="OB170" s="922"/>
      <c r="OC170" s="922"/>
      <c r="OD170" s="922"/>
      <c r="OE170" s="922"/>
      <c r="OF170" s="922"/>
      <c r="OG170" s="922"/>
      <c r="OH170" s="922"/>
      <c r="OI170" s="922"/>
      <c r="OJ170" s="922"/>
      <c r="OK170" s="922"/>
      <c r="OL170" s="922"/>
      <c r="OM170" s="922"/>
      <c r="ON170" s="922"/>
      <c r="OO170" s="922"/>
      <c r="OP170" s="922"/>
      <c r="OQ170" s="922"/>
      <c r="OR170" s="922"/>
      <c r="OS170" s="922"/>
      <c r="OT170" s="922"/>
      <c r="OU170" s="922"/>
      <c r="OV170" s="922"/>
      <c r="OW170" s="922"/>
      <c r="OX170" s="922"/>
      <c r="OY170" s="922"/>
      <c r="OZ170" s="922"/>
      <c r="PA170" s="922"/>
      <c r="PB170" s="922"/>
      <c r="PC170" s="922"/>
      <c r="PD170" s="922"/>
      <c r="PE170" s="922"/>
      <c r="PF170" s="922"/>
      <c r="PG170" s="922"/>
      <c r="PH170" s="922"/>
      <c r="PI170" s="922"/>
      <c r="PJ170" s="922"/>
      <c r="PK170" s="922"/>
      <c r="PL170" s="922"/>
      <c r="PM170" s="922"/>
      <c r="PN170" s="922"/>
      <c r="PO170" s="922"/>
      <c r="PP170" s="922"/>
      <c r="PQ170" s="922"/>
      <c r="PR170" s="922"/>
      <c r="PS170" s="922"/>
      <c r="PT170" s="922"/>
      <c r="PU170" s="922"/>
      <c r="PV170" s="922"/>
      <c r="PW170" s="922"/>
      <c r="PX170" s="922"/>
      <c r="PY170" s="922"/>
      <c r="PZ170" s="922"/>
      <c r="QA170" s="922"/>
      <c r="QB170" s="922"/>
      <c r="QC170" s="922"/>
      <c r="QD170" s="922"/>
      <c r="QE170" s="922"/>
      <c r="QF170" s="922"/>
      <c r="QG170" s="922"/>
      <c r="QH170" s="922"/>
      <c r="QI170" s="922"/>
      <c r="QJ170" s="922"/>
      <c r="QK170" s="922"/>
      <c r="QL170" s="922"/>
      <c r="QM170" s="922"/>
      <c r="QN170" s="922"/>
      <c r="QO170" s="922"/>
      <c r="QP170" s="922"/>
      <c r="QQ170" s="922"/>
      <c r="QR170" s="922"/>
      <c r="QS170" s="922"/>
      <c r="QT170" s="922"/>
      <c r="QU170" s="922"/>
      <c r="QV170" s="922"/>
      <c r="QW170" s="922"/>
      <c r="QX170" s="922"/>
      <c r="QY170" s="922"/>
      <c r="QZ170" s="922"/>
      <c r="RA170" s="922"/>
      <c r="RB170" s="922"/>
      <c r="RC170" s="922"/>
      <c r="RD170" s="922"/>
      <c r="RE170" s="922"/>
      <c r="RF170" s="922"/>
      <c r="RG170" s="922"/>
      <c r="RH170" s="922"/>
      <c r="RI170" s="922"/>
      <c r="RJ170" s="922"/>
      <c r="RK170" s="922"/>
      <c r="RL170" s="922"/>
      <c r="RM170" s="922"/>
      <c r="RN170" s="922"/>
      <c r="RO170" s="922"/>
      <c r="RP170" s="922"/>
      <c r="RQ170" s="922"/>
      <c r="RR170" s="922"/>
      <c r="RS170" s="922"/>
      <c r="RT170" s="922"/>
      <c r="RU170" s="922"/>
      <c r="RV170" s="922"/>
      <c r="RW170" s="922"/>
      <c r="RX170" s="922"/>
      <c r="RY170" s="922"/>
      <c r="RZ170" s="922"/>
      <c r="SA170" s="922"/>
      <c r="SB170" s="922"/>
      <c r="SC170" s="922"/>
      <c r="SD170" s="922"/>
      <c r="SE170" s="922"/>
      <c r="SF170" s="922"/>
      <c r="SG170" s="922"/>
      <c r="SH170" s="922"/>
      <c r="SI170" s="922"/>
      <c r="SJ170" s="922"/>
      <c r="SK170" s="922"/>
      <c r="SL170" s="922"/>
      <c r="SM170" s="922"/>
      <c r="SN170" s="922"/>
      <c r="SO170" s="922"/>
      <c r="SP170" s="922"/>
      <c r="SQ170" s="922"/>
      <c r="SR170" s="922"/>
      <c r="SS170" s="922"/>
      <c r="ST170" s="922"/>
      <c r="SU170" s="922"/>
      <c r="SV170" s="922"/>
      <c r="SW170" s="922"/>
      <c r="SX170" s="922"/>
      <c r="SY170" s="922"/>
      <c r="SZ170" s="922"/>
      <c r="TA170" s="922"/>
      <c r="TB170" s="922"/>
      <c r="TC170" s="922"/>
      <c r="TD170" s="922"/>
      <c r="TE170" s="922"/>
      <c r="TF170" s="922"/>
      <c r="TG170" s="922"/>
      <c r="TH170" s="922"/>
      <c r="TI170" s="922"/>
      <c r="TJ170" s="922"/>
      <c r="TK170" s="922"/>
      <c r="TL170" s="922"/>
      <c r="TM170" s="922"/>
      <c r="TN170" s="922"/>
      <c r="TO170" s="922"/>
      <c r="TP170" s="922"/>
      <c r="TQ170" s="922"/>
      <c r="TR170" s="922"/>
      <c r="TS170" s="922"/>
      <c r="TT170" s="922"/>
      <c r="TU170" s="922"/>
      <c r="TV170" s="922"/>
      <c r="TW170" s="922"/>
      <c r="TX170" s="922"/>
      <c r="TY170" s="922"/>
      <c r="TZ170" s="922"/>
      <c r="UA170" s="922"/>
      <c r="UB170" s="922"/>
      <c r="UC170" s="922"/>
      <c r="UD170" s="922"/>
      <c r="UE170" s="922"/>
      <c r="UF170" s="922"/>
      <c r="UG170" s="922"/>
      <c r="UH170" s="922"/>
      <c r="UI170" s="922"/>
      <c r="UJ170" s="922"/>
      <c r="UK170" s="922"/>
      <c r="UL170" s="922"/>
      <c r="UM170" s="922"/>
      <c r="UN170" s="922"/>
      <c r="UO170" s="922"/>
      <c r="UP170" s="922"/>
      <c r="UQ170" s="922"/>
      <c r="UR170" s="922"/>
      <c r="US170" s="922"/>
      <c r="UT170" s="922"/>
      <c r="UU170" s="922"/>
      <c r="UV170" s="922"/>
      <c r="UW170" s="922"/>
      <c r="UX170" s="922"/>
      <c r="UY170" s="922"/>
      <c r="UZ170" s="922"/>
      <c r="VA170" s="922"/>
      <c r="VB170" s="922"/>
      <c r="VC170" s="922"/>
      <c r="VD170" s="922"/>
      <c r="VE170" s="922"/>
      <c r="VF170" s="922"/>
      <c r="VG170" s="922"/>
      <c r="VH170" s="922"/>
      <c r="VI170" s="922"/>
      <c r="VJ170" s="922"/>
      <c r="VK170" s="922"/>
      <c r="VL170" s="922"/>
      <c r="VM170" s="922"/>
      <c r="VN170" s="922"/>
      <c r="VO170" s="922"/>
      <c r="VP170" s="922"/>
      <c r="VQ170" s="922"/>
      <c r="VR170" s="922"/>
      <c r="VS170" s="922"/>
      <c r="VT170" s="922"/>
      <c r="VU170" s="922"/>
      <c r="VV170" s="922"/>
      <c r="VW170" s="922"/>
      <c r="VX170" s="922"/>
      <c r="VY170" s="922"/>
      <c r="VZ170" s="922"/>
      <c r="WA170" s="922"/>
      <c r="WB170" s="922"/>
      <c r="WC170" s="922"/>
      <c r="WD170" s="922"/>
      <c r="WE170" s="922"/>
      <c r="WF170" s="922"/>
      <c r="WG170" s="922"/>
      <c r="WH170" s="922"/>
      <c r="WI170" s="922"/>
      <c r="WJ170" s="922"/>
      <c r="WK170" s="922"/>
      <c r="WL170" s="922"/>
      <c r="WM170" s="922"/>
      <c r="WN170" s="922"/>
      <c r="WO170" s="922"/>
      <c r="WP170" s="922"/>
      <c r="WQ170" s="922"/>
      <c r="WR170" s="922"/>
      <c r="WS170" s="922"/>
      <c r="WT170" s="922"/>
      <c r="WU170" s="922"/>
      <c r="WV170" s="922"/>
      <c r="WW170" s="922"/>
      <c r="WX170" s="922"/>
      <c r="WY170" s="922"/>
      <c r="WZ170" s="922"/>
      <c r="XA170" s="922"/>
      <c r="XB170" s="922"/>
      <c r="XC170" s="922"/>
      <c r="XD170" s="922"/>
      <c r="XE170" s="922"/>
      <c r="XF170" s="922"/>
      <c r="XG170" s="922"/>
      <c r="XH170" s="922"/>
      <c r="XI170" s="922"/>
      <c r="XJ170" s="922"/>
      <c r="XK170" s="922"/>
      <c r="XL170" s="922"/>
      <c r="XM170" s="922"/>
      <c r="XN170" s="922"/>
      <c r="XO170" s="922"/>
      <c r="XP170" s="922"/>
      <c r="XQ170" s="922"/>
      <c r="XR170" s="922"/>
      <c r="XS170" s="922"/>
      <c r="XT170" s="922"/>
      <c r="XU170" s="922"/>
      <c r="XV170" s="922"/>
      <c r="XW170" s="922"/>
      <c r="XX170" s="922"/>
      <c r="XY170" s="922"/>
      <c r="XZ170" s="922"/>
      <c r="YA170" s="922"/>
      <c r="YB170" s="922"/>
      <c r="YC170" s="922"/>
      <c r="YD170" s="922"/>
      <c r="YE170" s="922"/>
      <c r="YF170" s="922"/>
      <c r="YG170" s="922"/>
      <c r="YH170" s="922"/>
      <c r="YI170" s="922"/>
      <c r="YJ170" s="922"/>
      <c r="YK170" s="922"/>
      <c r="YL170" s="922"/>
      <c r="YM170" s="922"/>
      <c r="YN170" s="922"/>
      <c r="YO170" s="922"/>
      <c r="YP170" s="922"/>
      <c r="YQ170" s="922"/>
      <c r="YR170" s="922"/>
      <c r="YS170" s="922"/>
      <c r="YT170" s="922"/>
      <c r="YU170" s="922"/>
      <c r="YV170" s="922"/>
      <c r="YW170" s="922"/>
      <c r="YX170" s="922"/>
      <c r="YY170" s="922"/>
      <c r="YZ170" s="922"/>
      <c r="ZA170" s="922"/>
      <c r="ZB170" s="922"/>
      <c r="ZC170" s="922"/>
      <c r="ZD170" s="922"/>
      <c r="ZE170" s="922"/>
      <c r="ZF170" s="922"/>
      <c r="ZG170" s="922"/>
      <c r="ZH170" s="922"/>
      <c r="ZI170" s="922"/>
      <c r="ZJ170" s="922"/>
      <c r="ZK170" s="922"/>
      <c r="ZL170" s="922"/>
      <c r="ZM170" s="922"/>
      <c r="ZN170" s="922"/>
      <c r="ZO170" s="922"/>
      <c r="ZP170" s="922"/>
      <c r="ZQ170" s="922"/>
      <c r="ZR170" s="922"/>
      <c r="ZS170" s="922"/>
      <c r="ZT170" s="922"/>
      <c r="ZU170" s="922"/>
      <c r="ZV170" s="922"/>
      <c r="ZW170" s="922"/>
      <c r="ZX170" s="922"/>
      <c r="ZY170" s="922"/>
      <c r="ZZ170" s="922"/>
      <c r="AAA170" s="922"/>
      <c r="AAB170" s="922"/>
      <c r="AAC170" s="922"/>
      <c r="AAD170" s="922"/>
      <c r="AAE170" s="922"/>
      <c r="AAF170" s="922"/>
      <c r="AAG170" s="922"/>
      <c r="AAH170" s="922"/>
      <c r="AAI170" s="922"/>
      <c r="AAJ170" s="922"/>
      <c r="AAK170" s="922"/>
      <c r="AAL170" s="922"/>
      <c r="AAM170" s="922"/>
      <c r="AAN170" s="922"/>
      <c r="AAO170" s="922"/>
      <c r="AAP170" s="922"/>
      <c r="AAQ170" s="922"/>
      <c r="AAR170" s="922"/>
      <c r="AAS170" s="922"/>
      <c r="AAT170" s="922"/>
      <c r="AAU170" s="922"/>
      <c r="AAV170" s="922"/>
      <c r="AAW170" s="922"/>
      <c r="AAX170" s="922"/>
      <c r="AAY170" s="922"/>
      <c r="AAZ170" s="922"/>
      <c r="ABA170" s="922"/>
      <c r="ABB170" s="922"/>
      <c r="ABC170" s="922"/>
      <c r="ABD170" s="922"/>
      <c r="ABE170" s="922"/>
      <c r="ABF170" s="922"/>
      <c r="ABG170" s="922"/>
      <c r="ABH170" s="922"/>
      <c r="ABI170" s="922"/>
      <c r="ABJ170" s="922"/>
      <c r="ABK170" s="922"/>
      <c r="ABL170" s="922"/>
      <c r="ABM170" s="922"/>
      <c r="ABN170" s="922"/>
      <c r="ABO170" s="922"/>
      <c r="ABP170" s="922"/>
      <c r="ABQ170" s="922"/>
      <c r="ABR170" s="922"/>
      <c r="ABS170" s="922"/>
      <c r="ABT170" s="922"/>
      <c r="ABU170" s="922"/>
      <c r="ABV170" s="922"/>
      <c r="ABW170" s="922"/>
      <c r="ABX170" s="922"/>
      <c r="ABY170" s="922"/>
      <c r="ABZ170" s="922"/>
      <c r="ACA170" s="922"/>
      <c r="ACB170" s="922"/>
      <c r="ACC170" s="922"/>
      <c r="ACD170" s="922"/>
      <c r="ACE170" s="922"/>
      <c r="ACF170" s="922"/>
      <c r="ACG170" s="922"/>
      <c r="ACH170" s="922"/>
      <c r="ACI170" s="922"/>
      <c r="ACJ170" s="922"/>
      <c r="ACK170" s="922"/>
      <c r="ACL170" s="922"/>
      <c r="ACM170" s="922"/>
      <c r="ACN170" s="922"/>
      <c r="ACO170" s="922"/>
      <c r="ACP170" s="922"/>
      <c r="ACQ170" s="922"/>
      <c r="ACR170" s="922"/>
      <c r="ACS170" s="922"/>
      <c r="ACT170" s="922"/>
      <c r="ACU170" s="922"/>
      <c r="ACV170" s="922"/>
      <c r="ACW170" s="922"/>
      <c r="ACX170" s="922"/>
      <c r="ACY170" s="922"/>
      <c r="ACZ170" s="922"/>
      <c r="ADA170" s="922"/>
      <c r="ADB170" s="922"/>
      <c r="ADC170" s="922"/>
      <c r="ADD170" s="922"/>
      <c r="ADE170" s="922"/>
      <c r="ADF170" s="922"/>
      <c r="ADG170" s="922"/>
      <c r="ADH170" s="922"/>
      <c r="ADI170" s="922"/>
      <c r="ADJ170" s="922"/>
      <c r="ADK170" s="922"/>
      <c r="ADL170" s="922"/>
      <c r="ADM170" s="922"/>
      <c r="ADN170" s="922"/>
      <c r="ADO170" s="922"/>
      <c r="ADP170" s="922"/>
      <c r="ADQ170" s="922"/>
      <c r="ADR170" s="922"/>
      <c r="ADS170" s="922"/>
      <c r="ADT170" s="922"/>
      <c r="ADU170" s="922"/>
      <c r="ADV170" s="922"/>
      <c r="ADW170" s="922"/>
      <c r="ADX170" s="922"/>
      <c r="ADY170" s="922"/>
      <c r="ADZ170" s="922"/>
      <c r="AEA170" s="922"/>
      <c r="AEB170" s="922"/>
      <c r="AEC170" s="922"/>
      <c r="AED170" s="922"/>
      <c r="AEE170" s="922"/>
      <c r="AEF170" s="922"/>
      <c r="AEG170" s="922"/>
      <c r="AEH170" s="922"/>
      <c r="AEI170" s="922"/>
      <c r="AEJ170" s="922"/>
      <c r="AEK170" s="922"/>
      <c r="AEL170" s="922"/>
      <c r="AEM170" s="922"/>
      <c r="AEN170" s="922"/>
      <c r="AEO170" s="922"/>
      <c r="AEP170" s="922"/>
      <c r="AEQ170" s="922"/>
      <c r="AER170" s="922"/>
      <c r="AES170" s="922"/>
      <c r="AET170" s="922"/>
      <c r="AEU170" s="922"/>
      <c r="AEV170" s="922"/>
      <c r="AEW170" s="922"/>
      <c r="AEX170" s="922"/>
      <c r="AEY170" s="922"/>
      <c r="AEZ170" s="922"/>
      <c r="AFA170" s="922"/>
      <c r="AFB170" s="922"/>
      <c r="AFC170" s="922"/>
      <c r="AFD170" s="922"/>
      <c r="AFE170" s="922"/>
      <c r="AFF170" s="922"/>
      <c r="AFG170" s="922"/>
      <c r="AFH170" s="922"/>
      <c r="AFI170" s="922"/>
      <c r="AFJ170" s="922"/>
      <c r="AFK170" s="922"/>
      <c r="AFL170" s="922"/>
      <c r="AFM170" s="922"/>
      <c r="AFN170" s="922"/>
      <c r="AFO170" s="922"/>
      <c r="AFP170" s="922"/>
      <c r="AFQ170" s="922"/>
      <c r="AFR170" s="922"/>
      <c r="AFS170" s="922"/>
      <c r="AFT170" s="922"/>
      <c r="AFU170" s="922"/>
      <c r="AFV170" s="922"/>
      <c r="AFW170" s="922"/>
      <c r="AFX170" s="922"/>
      <c r="AFY170" s="922"/>
      <c r="AFZ170" s="922"/>
      <c r="AGA170" s="922"/>
      <c r="AGB170" s="922"/>
      <c r="AGC170" s="922"/>
      <c r="AGD170" s="922"/>
      <c r="AGE170" s="922"/>
      <c r="AGF170" s="922"/>
      <c r="AGG170" s="922"/>
      <c r="AGH170" s="922"/>
      <c r="AGI170" s="922"/>
      <c r="AGJ170" s="922"/>
      <c r="AGK170" s="922"/>
      <c r="AGL170" s="922"/>
      <c r="AGM170" s="922"/>
      <c r="AGN170" s="922"/>
      <c r="AGO170" s="922"/>
      <c r="AGP170" s="922"/>
      <c r="AGQ170" s="922"/>
      <c r="AGR170" s="922"/>
      <c r="AGS170" s="922"/>
      <c r="AGT170" s="922"/>
      <c r="AGU170" s="922"/>
      <c r="AGV170" s="922"/>
      <c r="AGW170" s="922"/>
      <c r="AGX170" s="922"/>
      <c r="AGY170" s="922"/>
      <c r="AGZ170" s="922"/>
      <c r="AHA170" s="922"/>
      <c r="AHB170" s="922"/>
      <c r="AHC170" s="922"/>
      <c r="AHD170" s="922"/>
      <c r="AHE170" s="922"/>
      <c r="AHF170" s="922"/>
      <c r="AHG170" s="922"/>
      <c r="AHH170" s="922"/>
      <c r="AHI170" s="922"/>
      <c r="AHJ170" s="922"/>
      <c r="AHK170" s="922"/>
      <c r="AHL170" s="922"/>
      <c r="AHM170" s="922"/>
      <c r="AHN170" s="922"/>
      <c r="AHO170" s="922"/>
      <c r="AHP170" s="922"/>
      <c r="AHQ170" s="922"/>
      <c r="AHR170" s="922"/>
      <c r="AHS170" s="922"/>
      <c r="AHT170" s="922"/>
      <c r="AHU170" s="922"/>
      <c r="AHV170" s="922"/>
      <c r="AHW170" s="922"/>
      <c r="AHX170" s="922"/>
      <c r="AHY170" s="922"/>
      <c r="AHZ170" s="922"/>
      <c r="AIA170" s="922"/>
      <c r="AIB170" s="922"/>
      <c r="AIC170" s="922"/>
      <c r="AID170" s="922"/>
      <c r="AIE170" s="922"/>
      <c r="AIF170" s="922"/>
      <c r="AIG170" s="922"/>
      <c r="AIH170" s="922"/>
      <c r="AII170" s="922"/>
      <c r="AIJ170" s="922"/>
      <c r="AIK170" s="922"/>
      <c r="AIL170" s="922"/>
      <c r="AIM170" s="922"/>
      <c r="AIN170" s="922"/>
      <c r="AIO170" s="922"/>
      <c r="AIP170" s="922"/>
      <c r="AIQ170" s="922"/>
      <c r="AIR170" s="922"/>
      <c r="AIS170" s="922"/>
      <c r="AIT170" s="922"/>
      <c r="AIU170" s="922"/>
      <c r="AIV170" s="922"/>
      <c r="AIW170" s="922"/>
      <c r="AIX170" s="922"/>
      <c r="AIY170" s="922"/>
      <c r="AIZ170" s="922"/>
      <c r="AJA170" s="922"/>
      <c r="AJB170" s="922"/>
      <c r="AJC170" s="922"/>
      <c r="AJD170" s="922"/>
      <c r="AJE170" s="922"/>
      <c r="AJF170" s="922"/>
      <c r="AJG170" s="922"/>
      <c r="AJH170" s="922"/>
      <c r="AJI170" s="922"/>
      <c r="AJJ170" s="922"/>
      <c r="AJK170" s="922"/>
      <c r="AJL170" s="922"/>
      <c r="AJM170" s="922"/>
      <c r="AJN170" s="922"/>
      <c r="AJO170" s="922"/>
      <c r="AJP170" s="922"/>
      <c r="AJQ170" s="922"/>
      <c r="AJR170" s="922"/>
      <c r="AJS170" s="922"/>
      <c r="AJT170" s="922"/>
      <c r="AJU170" s="922"/>
      <c r="AJV170" s="922"/>
      <c r="AJW170" s="922"/>
      <c r="AJX170" s="922"/>
      <c r="AJY170" s="922"/>
      <c r="AJZ170" s="922"/>
      <c r="AKA170" s="922"/>
      <c r="AKB170" s="922"/>
      <c r="AKC170" s="922"/>
      <c r="AKD170" s="922"/>
      <c r="AKE170" s="922"/>
      <c r="AKF170" s="922"/>
      <c r="AKG170" s="922"/>
      <c r="AKH170" s="922"/>
      <c r="AKI170" s="922"/>
      <c r="AKJ170" s="922"/>
      <c r="AKK170" s="922"/>
      <c r="AKL170" s="922"/>
      <c r="AKM170" s="922"/>
      <c r="AKN170" s="922"/>
      <c r="AKO170" s="922"/>
      <c r="AKP170" s="922"/>
      <c r="AKQ170" s="922"/>
      <c r="AKR170" s="922"/>
      <c r="AKS170" s="922"/>
      <c r="AKT170" s="922"/>
      <c r="AKU170" s="922"/>
      <c r="AKV170" s="922"/>
      <c r="AKW170" s="922"/>
      <c r="AKX170" s="922"/>
      <c r="AKY170" s="922"/>
      <c r="AKZ170" s="922"/>
      <c r="ALA170" s="922"/>
      <c r="ALB170" s="922"/>
      <c r="ALC170" s="922"/>
      <c r="ALD170" s="922"/>
      <c r="ALE170" s="922"/>
      <c r="ALF170" s="922"/>
      <c r="ALG170" s="922"/>
      <c r="ALH170" s="922"/>
      <c r="ALI170" s="922"/>
      <c r="ALJ170" s="922"/>
      <c r="ALK170" s="922"/>
      <c r="ALL170" s="922"/>
      <c r="ALM170" s="922"/>
      <c r="ALN170" s="922"/>
      <c r="ALO170" s="922"/>
      <c r="ALP170" s="922"/>
      <c r="ALQ170" s="922"/>
      <c r="ALR170" s="922"/>
      <c r="ALS170" s="922"/>
      <c r="ALT170" s="922"/>
      <c r="ALU170" s="922"/>
      <c r="ALV170" s="922"/>
      <c r="ALW170" s="922"/>
      <c r="ALX170" s="922"/>
      <c r="ALY170" s="922"/>
      <c r="ALZ170" s="922"/>
      <c r="AMA170" s="922"/>
      <c r="AMB170" s="922"/>
      <c r="AMC170" s="922"/>
      <c r="AMD170" s="922"/>
      <c r="AME170" s="922"/>
      <c r="AMF170" s="922"/>
      <c r="AMG170" s="922"/>
      <c r="AMH170" s="922"/>
      <c r="AMI170" s="922"/>
      <c r="AMJ170" s="922"/>
      <c r="AMK170" s="922"/>
      <c r="AML170" s="922"/>
      <c r="AMM170" s="922"/>
      <c r="AMN170" s="922"/>
      <c r="AMO170" s="922"/>
      <c r="AMP170" s="922"/>
      <c r="AMQ170" s="922"/>
      <c r="AMR170" s="922"/>
      <c r="AMS170" s="922"/>
      <c r="AMT170" s="922"/>
      <c r="AMU170" s="922"/>
      <c r="AMV170" s="922"/>
      <c r="AMW170" s="922"/>
      <c r="AMX170" s="922"/>
      <c r="AMY170" s="922"/>
      <c r="AMZ170" s="922"/>
      <c r="ANA170" s="922"/>
      <c r="ANB170" s="922"/>
      <c r="ANC170" s="922"/>
      <c r="AND170" s="922"/>
      <c r="ANE170" s="922"/>
      <c r="ANF170" s="922"/>
      <c r="ANG170" s="922"/>
      <c r="ANH170" s="922"/>
      <c r="ANI170" s="922"/>
      <c r="ANJ170" s="922"/>
      <c r="ANK170" s="922"/>
      <c r="ANL170" s="922"/>
      <c r="ANM170" s="922"/>
      <c r="ANN170" s="922"/>
      <c r="ANO170" s="922"/>
      <c r="ANP170" s="922"/>
      <c r="ANQ170" s="922"/>
      <c r="ANR170" s="922"/>
      <c r="ANS170" s="922"/>
      <c r="ANT170" s="922"/>
      <c r="ANU170" s="922"/>
      <c r="ANV170" s="922"/>
      <c r="ANW170" s="922"/>
      <c r="ANX170" s="922"/>
      <c r="ANY170" s="922"/>
      <c r="ANZ170" s="922"/>
      <c r="AOA170" s="922"/>
      <c r="AOB170" s="922"/>
      <c r="AOC170" s="922"/>
      <c r="AOD170" s="922"/>
      <c r="AOE170" s="922"/>
      <c r="AOF170" s="922"/>
      <c r="AOG170" s="922"/>
      <c r="AOH170" s="922"/>
      <c r="AOI170" s="922"/>
      <c r="AOJ170" s="922"/>
      <c r="AOK170" s="922"/>
      <c r="AOL170" s="922"/>
      <c r="AOM170" s="922"/>
      <c r="AON170" s="922"/>
      <c r="AOO170" s="922"/>
      <c r="AOP170" s="922"/>
      <c r="AOQ170" s="922"/>
      <c r="AOR170" s="922"/>
      <c r="AOS170" s="922"/>
      <c r="AOT170" s="922"/>
      <c r="AOU170" s="922"/>
      <c r="AOV170" s="922"/>
      <c r="AOW170" s="922"/>
      <c r="AOX170" s="922"/>
      <c r="AOY170" s="922"/>
      <c r="AOZ170" s="922"/>
      <c r="APA170" s="922"/>
      <c r="APB170" s="922"/>
      <c r="APC170" s="922"/>
      <c r="APD170" s="922"/>
      <c r="APE170" s="922"/>
      <c r="APF170" s="922"/>
      <c r="APG170" s="922"/>
      <c r="APH170" s="922"/>
      <c r="API170" s="922"/>
      <c r="APJ170" s="922"/>
      <c r="APK170" s="922"/>
      <c r="APL170" s="922"/>
      <c r="APM170" s="922"/>
      <c r="APN170" s="922"/>
      <c r="APO170" s="922"/>
      <c r="APP170" s="922"/>
      <c r="APQ170" s="922"/>
      <c r="APR170" s="922"/>
      <c r="APS170" s="922"/>
      <c r="APT170" s="922"/>
      <c r="APU170" s="922"/>
      <c r="APV170" s="922"/>
      <c r="APW170" s="922"/>
      <c r="APX170" s="922"/>
      <c r="APY170" s="922"/>
      <c r="APZ170" s="922"/>
      <c r="AQA170" s="922"/>
      <c r="AQB170" s="922"/>
      <c r="AQC170" s="922"/>
      <c r="AQD170" s="922"/>
      <c r="AQE170" s="922"/>
      <c r="AQF170" s="922"/>
      <c r="AQG170" s="922"/>
      <c r="AQH170" s="922"/>
      <c r="AQI170" s="922"/>
      <c r="AQJ170" s="922"/>
      <c r="AQK170" s="922"/>
      <c r="AQL170" s="922"/>
      <c r="AQM170" s="922"/>
      <c r="AQN170" s="922"/>
      <c r="AQO170" s="922"/>
      <c r="AQP170" s="922"/>
      <c r="AQQ170" s="922"/>
      <c r="AQR170" s="922"/>
      <c r="AQS170" s="922"/>
      <c r="AQT170" s="922"/>
      <c r="AQU170" s="922"/>
      <c r="AQV170" s="922"/>
      <c r="AQW170" s="922"/>
      <c r="AQX170" s="922"/>
      <c r="AQY170" s="922"/>
      <c r="AQZ170" s="922"/>
      <c r="ARA170" s="922"/>
      <c r="ARB170" s="922"/>
      <c r="ARC170" s="922"/>
      <c r="ARD170" s="922"/>
      <c r="ARE170" s="922"/>
      <c r="ARF170" s="922"/>
      <c r="ARG170" s="922"/>
      <c r="ARH170" s="922"/>
      <c r="ARI170" s="922"/>
      <c r="ARJ170" s="922"/>
      <c r="ARK170" s="922"/>
      <c r="ARL170" s="922"/>
      <c r="ARM170" s="922"/>
      <c r="ARN170" s="922"/>
      <c r="ARO170" s="922"/>
      <c r="ARP170" s="922"/>
      <c r="ARQ170" s="922"/>
      <c r="ARR170" s="922"/>
      <c r="ARS170" s="922"/>
      <c r="ART170" s="922"/>
      <c r="ARU170" s="922"/>
      <c r="ARV170" s="922"/>
      <c r="ARW170" s="922"/>
      <c r="ARX170" s="922"/>
      <c r="ARY170" s="922"/>
      <c r="ARZ170" s="922"/>
      <c r="ASA170" s="922"/>
      <c r="ASB170" s="922"/>
      <c r="ASC170" s="922"/>
    </row>
    <row r="171" spans="1:1173" hidden="1">
      <c r="A171" s="920"/>
      <c r="T171" s="922"/>
      <c r="AN171" s="922"/>
      <c r="AO171" s="922"/>
      <c r="AP171" s="922"/>
      <c r="AQ171" s="922"/>
      <c r="AR171" s="922"/>
      <c r="AS171" s="922"/>
      <c r="AT171" s="922"/>
      <c r="AU171" s="922"/>
      <c r="AV171" s="922"/>
      <c r="AW171" s="922"/>
      <c r="AX171" s="922"/>
      <c r="AY171" s="922"/>
      <c r="AZ171" s="922"/>
      <c r="BA171" s="922"/>
      <c r="BB171" s="922"/>
      <c r="BC171" s="922"/>
      <c r="BD171" s="922"/>
      <c r="BE171" s="922"/>
      <c r="BF171" s="922"/>
      <c r="BG171" s="922"/>
      <c r="BH171" s="922"/>
      <c r="BI171" s="922"/>
      <c r="BJ171" s="922"/>
      <c r="BK171" s="922"/>
      <c r="BL171" s="922"/>
      <c r="BM171" s="922"/>
      <c r="BN171" s="922"/>
      <c r="BO171" s="922"/>
      <c r="BP171" s="922"/>
      <c r="BQ171" s="922"/>
      <c r="BR171" s="922"/>
      <c r="BS171" s="922"/>
      <c r="BT171" s="922"/>
      <c r="BU171" s="922"/>
      <c r="BV171" s="922"/>
      <c r="BW171" s="922"/>
      <c r="BX171" s="922"/>
      <c r="BY171" s="922"/>
      <c r="BZ171" s="922"/>
      <c r="CA171" s="922"/>
      <c r="CB171" s="922"/>
      <c r="CC171" s="922"/>
      <c r="CD171" s="922"/>
      <c r="CE171" s="922"/>
      <c r="CF171" s="922"/>
      <c r="CG171" s="922"/>
      <c r="CH171" s="922"/>
      <c r="CI171" s="922"/>
      <c r="CJ171" s="922"/>
      <c r="CK171" s="922"/>
      <c r="CL171" s="922"/>
      <c r="CM171" s="922"/>
      <c r="CN171" s="922"/>
      <c r="CO171" s="922"/>
      <c r="CP171" s="922"/>
      <c r="CQ171" s="922"/>
      <c r="CR171" s="922"/>
      <c r="CS171" s="922"/>
      <c r="CT171" s="922"/>
      <c r="CU171" s="922"/>
      <c r="CV171" s="922"/>
      <c r="CW171" s="922"/>
      <c r="CX171" s="922"/>
      <c r="CY171" s="922"/>
      <c r="CZ171" s="922"/>
      <c r="DA171" s="922"/>
      <c r="DB171" s="922"/>
      <c r="DC171" s="922"/>
      <c r="DD171" s="922"/>
      <c r="DE171" s="922"/>
      <c r="DF171" s="922"/>
      <c r="DG171" s="922"/>
      <c r="DH171" s="922"/>
      <c r="DI171" s="922"/>
      <c r="DJ171" s="922"/>
      <c r="DK171" s="922"/>
      <c r="DL171" s="922"/>
      <c r="DM171" s="922"/>
      <c r="DN171" s="922"/>
      <c r="DO171" s="922"/>
      <c r="DP171" s="922"/>
      <c r="DQ171" s="922"/>
      <c r="DR171" s="922"/>
      <c r="DS171" s="922"/>
      <c r="DT171" s="922"/>
      <c r="DU171" s="922"/>
      <c r="DV171" s="922"/>
      <c r="DW171" s="922"/>
      <c r="DX171" s="922"/>
      <c r="DY171" s="922"/>
      <c r="DZ171" s="922"/>
      <c r="EA171" s="922"/>
      <c r="EB171" s="922"/>
      <c r="EC171" s="922"/>
      <c r="ED171" s="922"/>
      <c r="EE171" s="922"/>
      <c r="EF171" s="922"/>
      <c r="EG171" s="922"/>
      <c r="EH171" s="922"/>
      <c r="EI171" s="922"/>
      <c r="EJ171" s="922"/>
      <c r="EK171" s="922"/>
      <c r="EL171" s="922"/>
      <c r="EM171" s="922"/>
      <c r="EN171" s="922"/>
      <c r="EO171" s="922"/>
      <c r="EP171" s="922"/>
      <c r="EQ171" s="922"/>
      <c r="ER171" s="922"/>
      <c r="ES171" s="922"/>
      <c r="ET171" s="922"/>
      <c r="EU171" s="922"/>
      <c r="EV171" s="922"/>
      <c r="EW171" s="922"/>
      <c r="EX171" s="922"/>
      <c r="EY171" s="922"/>
      <c r="EZ171" s="922"/>
      <c r="FA171" s="922"/>
      <c r="FB171" s="922"/>
      <c r="FC171" s="922"/>
      <c r="FD171" s="922"/>
      <c r="FE171" s="922"/>
      <c r="FF171" s="922"/>
      <c r="FG171" s="922"/>
      <c r="FH171" s="922"/>
      <c r="FI171" s="922"/>
      <c r="FJ171" s="922"/>
      <c r="FK171" s="922"/>
      <c r="FL171" s="922"/>
      <c r="FM171" s="922"/>
      <c r="FN171" s="922"/>
      <c r="FO171" s="922"/>
      <c r="FP171" s="922"/>
      <c r="FQ171" s="922"/>
      <c r="FR171" s="922"/>
      <c r="FS171" s="922"/>
      <c r="FT171" s="922"/>
      <c r="FU171" s="922"/>
      <c r="FV171" s="922"/>
      <c r="FW171" s="922"/>
      <c r="FX171" s="922"/>
      <c r="FY171" s="922"/>
      <c r="FZ171" s="922"/>
      <c r="GA171" s="922"/>
      <c r="GB171" s="922"/>
      <c r="GC171" s="922"/>
      <c r="GD171" s="922"/>
      <c r="GE171" s="922"/>
      <c r="GF171" s="922"/>
      <c r="GG171" s="922"/>
      <c r="GH171" s="922"/>
      <c r="GI171" s="922"/>
      <c r="GJ171" s="922"/>
      <c r="GK171" s="922"/>
      <c r="GL171" s="922"/>
      <c r="GM171" s="922"/>
      <c r="GN171" s="922"/>
      <c r="GO171" s="922"/>
      <c r="GP171" s="922"/>
      <c r="GQ171" s="922"/>
      <c r="GR171" s="922"/>
      <c r="GS171" s="922"/>
      <c r="GT171" s="922"/>
      <c r="GU171" s="922"/>
      <c r="GV171" s="922"/>
      <c r="GW171" s="922"/>
      <c r="GX171" s="922"/>
      <c r="GY171" s="922"/>
      <c r="GZ171" s="922"/>
      <c r="HA171" s="922"/>
      <c r="HB171" s="922"/>
      <c r="HC171" s="922"/>
      <c r="HD171" s="922"/>
      <c r="HE171" s="922"/>
      <c r="HF171" s="922"/>
      <c r="HG171" s="922"/>
      <c r="HH171" s="922"/>
      <c r="HI171" s="922"/>
      <c r="HJ171" s="922"/>
      <c r="HK171" s="922"/>
      <c r="HL171" s="922"/>
      <c r="HM171" s="922"/>
      <c r="HN171" s="922"/>
      <c r="HO171" s="922"/>
      <c r="HP171" s="922"/>
      <c r="HQ171" s="922"/>
      <c r="HR171" s="922"/>
      <c r="HS171" s="922"/>
      <c r="HT171" s="922"/>
      <c r="HU171" s="922"/>
      <c r="HV171" s="922"/>
      <c r="HW171" s="922"/>
      <c r="HX171" s="922"/>
      <c r="HY171" s="922"/>
      <c r="HZ171" s="922"/>
      <c r="IA171" s="922"/>
      <c r="IB171" s="922"/>
      <c r="IC171" s="922"/>
      <c r="ID171" s="922"/>
      <c r="IE171" s="922"/>
      <c r="IF171" s="922"/>
      <c r="IG171" s="922"/>
      <c r="IH171" s="922"/>
      <c r="II171" s="922"/>
      <c r="IJ171" s="922"/>
      <c r="IK171" s="922"/>
      <c r="IL171" s="922"/>
      <c r="IM171" s="922"/>
      <c r="IN171" s="922"/>
      <c r="IO171" s="922"/>
      <c r="IP171" s="922"/>
      <c r="IQ171" s="922"/>
      <c r="IR171" s="922"/>
      <c r="IS171" s="922"/>
      <c r="IT171" s="922"/>
      <c r="IU171" s="922"/>
      <c r="IV171" s="922"/>
      <c r="IW171" s="922"/>
      <c r="IX171" s="922"/>
      <c r="IY171" s="922"/>
      <c r="IZ171" s="922"/>
      <c r="JA171" s="922"/>
      <c r="JB171" s="922"/>
      <c r="JC171" s="922"/>
      <c r="JD171" s="922"/>
      <c r="JE171" s="922"/>
      <c r="JF171" s="922"/>
      <c r="JG171" s="922"/>
      <c r="JH171" s="922"/>
      <c r="JI171" s="922"/>
      <c r="JJ171" s="922"/>
      <c r="JK171" s="922"/>
      <c r="JL171" s="922"/>
      <c r="JM171" s="922"/>
      <c r="JN171" s="922"/>
      <c r="JO171" s="922"/>
      <c r="JP171" s="922"/>
      <c r="JQ171" s="922"/>
      <c r="JR171" s="922"/>
      <c r="JS171" s="922"/>
      <c r="JT171" s="922"/>
      <c r="JU171" s="922"/>
      <c r="JV171" s="922"/>
      <c r="JW171" s="922"/>
      <c r="JX171" s="922"/>
      <c r="JY171" s="922"/>
      <c r="JZ171" s="922"/>
      <c r="KA171" s="922"/>
      <c r="KB171" s="922"/>
      <c r="KC171" s="922"/>
      <c r="KD171" s="922"/>
      <c r="KE171" s="922"/>
      <c r="KF171" s="922"/>
      <c r="KG171" s="922"/>
      <c r="KH171" s="922"/>
      <c r="KI171" s="922"/>
      <c r="KJ171" s="922"/>
      <c r="KK171" s="922"/>
      <c r="KL171" s="922"/>
      <c r="KM171" s="922"/>
      <c r="KN171" s="922"/>
      <c r="KO171" s="922"/>
      <c r="KP171" s="922"/>
      <c r="KQ171" s="922"/>
      <c r="KR171" s="922"/>
      <c r="KS171" s="922"/>
      <c r="KT171" s="922"/>
      <c r="KU171" s="922"/>
      <c r="KV171" s="922"/>
      <c r="KW171" s="922"/>
      <c r="KX171" s="922"/>
      <c r="KY171" s="922"/>
      <c r="KZ171" s="922"/>
      <c r="LA171" s="922"/>
      <c r="LB171" s="922"/>
      <c r="LC171" s="922"/>
      <c r="LD171" s="922"/>
      <c r="LE171" s="922"/>
      <c r="LF171" s="922"/>
      <c r="LG171" s="922"/>
      <c r="LH171" s="922"/>
      <c r="LI171" s="922"/>
      <c r="LJ171" s="922"/>
      <c r="LK171" s="922"/>
      <c r="LL171" s="922"/>
      <c r="LM171" s="922"/>
      <c r="LN171" s="922"/>
      <c r="LO171" s="922"/>
      <c r="LP171" s="922"/>
      <c r="LQ171" s="922"/>
      <c r="LR171" s="922"/>
      <c r="LS171" s="922"/>
      <c r="LT171" s="922"/>
      <c r="LU171" s="922"/>
      <c r="LV171" s="922"/>
      <c r="LW171" s="922"/>
      <c r="LX171" s="922"/>
      <c r="LY171" s="922"/>
      <c r="LZ171" s="922"/>
      <c r="MA171" s="922"/>
      <c r="MB171" s="922"/>
      <c r="MC171" s="922"/>
      <c r="MD171" s="922"/>
      <c r="ME171" s="922"/>
      <c r="MF171" s="922"/>
      <c r="MG171" s="922"/>
      <c r="MH171" s="922"/>
      <c r="MI171" s="922"/>
      <c r="MJ171" s="922"/>
      <c r="MK171" s="922"/>
      <c r="ML171" s="922"/>
      <c r="MM171" s="922"/>
      <c r="MN171" s="922"/>
      <c r="MO171" s="922"/>
      <c r="MP171" s="922"/>
      <c r="MQ171" s="922"/>
      <c r="MR171" s="922"/>
      <c r="MS171" s="922"/>
      <c r="MT171" s="922"/>
      <c r="MU171" s="922"/>
      <c r="MV171" s="922"/>
      <c r="MW171" s="922"/>
      <c r="MX171" s="922"/>
      <c r="MY171" s="922"/>
      <c r="MZ171" s="922"/>
      <c r="NA171" s="922"/>
      <c r="NB171" s="922"/>
      <c r="NC171" s="922"/>
      <c r="ND171" s="922"/>
      <c r="NE171" s="922"/>
      <c r="NF171" s="922"/>
      <c r="NG171" s="922"/>
      <c r="NH171" s="922"/>
      <c r="NI171" s="922"/>
      <c r="NJ171" s="922"/>
      <c r="NK171" s="922"/>
      <c r="NL171" s="922"/>
      <c r="NM171" s="922"/>
      <c r="NN171" s="922"/>
      <c r="NO171" s="922"/>
      <c r="NP171" s="922"/>
      <c r="NQ171" s="922"/>
      <c r="NR171" s="922"/>
      <c r="NS171" s="922"/>
      <c r="NT171" s="922"/>
      <c r="NU171" s="922"/>
      <c r="NV171" s="922"/>
      <c r="NW171" s="922"/>
      <c r="NX171" s="922"/>
      <c r="NY171" s="922"/>
      <c r="NZ171" s="922"/>
      <c r="OA171" s="922"/>
      <c r="OB171" s="922"/>
      <c r="OC171" s="922"/>
      <c r="OD171" s="922"/>
      <c r="OE171" s="922"/>
      <c r="OF171" s="922"/>
      <c r="OG171" s="922"/>
      <c r="OH171" s="922"/>
      <c r="OI171" s="922"/>
      <c r="OJ171" s="922"/>
      <c r="OK171" s="922"/>
      <c r="OL171" s="922"/>
      <c r="OM171" s="922"/>
      <c r="ON171" s="922"/>
      <c r="OO171" s="922"/>
      <c r="OP171" s="922"/>
      <c r="OQ171" s="922"/>
      <c r="OR171" s="922"/>
      <c r="OS171" s="922"/>
      <c r="OT171" s="922"/>
      <c r="OU171" s="922"/>
      <c r="OV171" s="922"/>
      <c r="OW171" s="922"/>
      <c r="OX171" s="922"/>
      <c r="OY171" s="922"/>
      <c r="OZ171" s="922"/>
      <c r="PA171" s="922"/>
      <c r="PB171" s="922"/>
      <c r="PC171" s="922"/>
      <c r="PD171" s="922"/>
      <c r="PE171" s="922"/>
      <c r="PF171" s="922"/>
      <c r="PG171" s="922"/>
      <c r="PH171" s="922"/>
      <c r="PI171" s="922"/>
      <c r="PJ171" s="922"/>
      <c r="PK171" s="922"/>
      <c r="PL171" s="922"/>
      <c r="PM171" s="922"/>
      <c r="PN171" s="922"/>
      <c r="PO171" s="922"/>
      <c r="PP171" s="922"/>
      <c r="PQ171" s="922"/>
      <c r="PR171" s="922"/>
      <c r="PS171" s="922"/>
      <c r="PT171" s="922"/>
      <c r="PU171" s="922"/>
      <c r="PV171" s="922"/>
      <c r="PW171" s="922"/>
      <c r="PX171" s="922"/>
      <c r="PY171" s="922"/>
      <c r="PZ171" s="922"/>
      <c r="QA171" s="922"/>
      <c r="QB171" s="922"/>
      <c r="QC171" s="922"/>
      <c r="QD171" s="922"/>
      <c r="QE171" s="922"/>
      <c r="QF171" s="922"/>
      <c r="QG171" s="922"/>
      <c r="QH171" s="922"/>
      <c r="QI171" s="922"/>
      <c r="QJ171" s="922"/>
      <c r="QK171" s="922"/>
      <c r="QL171" s="922"/>
      <c r="QM171" s="922"/>
      <c r="QN171" s="922"/>
      <c r="QO171" s="922"/>
      <c r="QP171" s="922"/>
      <c r="QQ171" s="922"/>
      <c r="QR171" s="922"/>
      <c r="QS171" s="922"/>
      <c r="QT171" s="922"/>
      <c r="QU171" s="922"/>
      <c r="QV171" s="922"/>
      <c r="QW171" s="922"/>
      <c r="QX171" s="922"/>
      <c r="QY171" s="922"/>
      <c r="QZ171" s="922"/>
      <c r="RA171" s="922"/>
      <c r="RB171" s="922"/>
      <c r="RC171" s="922"/>
      <c r="RD171" s="922"/>
      <c r="RE171" s="922"/>
      <c r="RF171" s="922"/>
      <c r="RG171" s="922"/>
      <c r="RH171" s="922"/>
      <c r="RI171" s="922"/>
      <c r="RJ171" s="922"/>
      <c r="RK171" s="922"/>
      <c r="RL171" s="922"/>
      <c r="RM171" s="922"/>
      <c r="RN171" s="922"/>
      <c r="RO171" s="922"/>
      <c r="RP171" s="922"/>
      <c r="RQ171" s="922"/>
      <c r="RR171" s="922"/>
      <c r="RS171" s="922"/>
      <c r="RT171" s="922"/>
      <c r="RU171" s="922"/>
      <c r="RV171" s="922"/>
      <c r="RW171" s="922"/>
      <c r="RX171" s="922"/>
      <c r="RY171" s="922"/>
      <c r="RZ171" s="922"/>
      <c r="SA171" s="922"/>
      <c r="SB171" s="922"/>
      <c r="SC171" s="922"/>
      <c r="SD171" s="922"/>
      <c r="SE171" s="922"/>
      <c r="SF171" s="922"/>
      <c r="SG171" s="922"/>
      <c r="SH171" s="922"/>
      <c r="SI171" s="922"/>
      <c r="SJ171" s="922"/>
      <c r="SK171" s="922"/>
      <c r="SL171" s="922"/>
      <c r="SM171" s="922"/>
      <c r="SN171" s="922"/>
      <c r="SO171" s="922"/>
      <c r="SP171" s="922"/>
      <c r="SQ171" s="922"/>
      <c r="SR171" s="922"/>
      <c r="SS171" s="922"/>
      <c r="ST171" s="922"/>
      <c r="SU171" s="922"/>
      <c r="SV171" s="922"/>
      <c r="SW171" s="922"/>
      <c r="SX171" s="922"/>
      <c r="SY171" s="922"/>
      <c r="SZ171" s="922"/>
      <c r="TA171" s="922"/>
      <c r="TB171" s="922"/>
      <c r="TC171" s="922"/>
      <c r="TD171" s="922"/>
      <c r="TE171" s="922"/>
      <c r="TF171" s="922"/>
      <c r="TG171" s="922"/>
      <c r="TH171" s="922"/>
      <c r="TI171" s="922"/>
      <c r="TJ171" s="922"/>
      <c r="TK171" s="922"/>
      <c r="TL171" s="922"/>
      <c r="TM171" s="922"/>
      <c r="TN171" s="922"/>
      <c r="TO171" s="922"/>
      <c r="TP171" s="922"/>
      <c r="TQ171" s="922"/>
      <c r="TR171" s="922"/>
      <c r="TS171" s="922"/>
      <c r="TT171" s="922"/>
      <c r="TU171" s="922"/>
      <c r="TV171" s="922"/>
      <c r="TW171" s="922"/>
      <c r="TX171" s="922"/>
      <c r="TY171" s="922"/>
      <c r="TZ171" s="922"/>
      <c r="UA171" s="922"/>
      <c r="UB171" s="922"/>
      <c r="UC171" s="922"/>
      <c r="UD171" s="922"/>
      <c r="UE171" s="922"/>
      <c r="UF171" s="922"/>
      <c r="UG171" s="922"/>
      <c r="UH171" s="922"/>
      <c r="UI171" s="922"/>
      <c r="UJ171" s="922"/>
      <c r="UK171" s="922"/>
      <c r="UL171" s="922"/>
      <c r="UM171" s="922"/>
      <c r="UN171" s="922"/>
      <c r="UO171" s="922"/>
      <c r="UP171" s="922"/>
      <c r="UQ171" s="922"/>
      <c r="UR171" s="922"/>
      <c r="US171" s="922"/>
      <c r="UT171" s="922"/>
      <c r="UU171" s="922"/>
      <c r="UV171" s="922"/>
      <c r="UW171" s="922"/>
      <c r="UX171" s="922"/>
      <c r="UY171" s="922"/>
      <c r="UZ171" s="922"/>
      <c r="VA171" s="922"/>
      <c r="VB171" s="922"/>
      <c r="VC171" s="922"/>
      <c r="VD171" s="922"/>
      <c r="VE171" s="922"/>
      <c r="VF171" s="922"/>
      <c r="VG171" s="922"/>
      <c r="VH171" s="922"/>
      <c r="VI171" s="922"/>
      <c r="VJ171" s="922"/>
      <c r="VK171" s="922"/>
      <c r="VL171" s="922"/>
      <c r="VM171" s="922"/>
      <c r="VN171" s="922"/>
      <c r="VO171" s="922"/>
      <c r="VP171" s="922"/>
      <c r="VQ171" s="922"/>
      <c r="VR171" s="922"/>
      <c r="VS171" s="922"/>
      <c r="VT171" s="922"/>
      <c r="VU171" s="922"/>
      <c r="VV171" s="922"/>
      <c r="VW171" s="922"/>
      <c r="VX171" s="922"/>
      <c r="VY171" s="922"/>
      <c r="VZ171" s="922"/>
      <c r="WA171" s="922"/>
      <c r="WB171" s="922"/>
      <c r="WC171" s="922"/>
      <c r="WD171" s="922"/>
      <c r="WE171" s="922"/>
      <c r="WF171" s="922"/>
      <c r="WG171" s="922"/>
      <c r="WH171" s="922"/>
      <c r="WI171" s="922"/>
      <c r="WJ171" s="922"/>
      <c r="WK171" s="922"/>
      <c r="WL171" s="922"/>
      <c r="WM171" s="922"/>
      <c r="WN171" s="922"/>
      <c r="WO171" s="922"/>
      <c r="WP171" s="922"/>
      <c r="WQ171" s="922"/>
      <c r="WR171" s="922"/>
      <c r="WS171" s="922"/>
      <c r="WT171" s="922"/>
      <c r="WU171" s="922"/>
      <c r="WV171" s="922"/>
      <c r="WW171" s="922"/>
      <c r="WX171" s="922"/>
      <c r="WY171" s="922"/>
      <c r="WZ171" s="922"/>
      <c r="XA171" s="922"/>
      <c r="XB171" s="922"/>
      <c r="XC171" s="922"/>
      <c r="XD171" s="922"/>
      <c r="XE171" s="922"/>
      <c r="XF171" s="922"/>
      <c r="XG171" s="922"/>
      <c r="XH171" s="922"/>
      <c r="XI171" s="922"/>
      <c r="XJ171" s="922"/>
      <c r="XK171" s="922"/>
      <c r="XL171" s="922"/>
      <c r="XM171" s="922"/>
      <c r="XN171" s="922"/>
      <c r="XO171" s="922"/>
      <c r="XP171" s="922"/>
      <c r="XQ171" s="922"/>
      <c r="XR171" s="922"/>
      <c r="XS171" s="922"/>
      <c r="XT171" s="922"/>
      <c r="XU171" s="922"/>
      <c r="XV171" s="922"/>
      <c r="XW171" s="922"/>
      <c r="XX171" s="922"/>
      <c r="XY171" s="922"/>
      <c r="XZ171" s="922"/>
      <c r="YA171" s="922"/>
      <c r="YB171" s="922"/>
      <c r="YC171" s="922"/>
      <c r="YD171" s="922"/>
      <c r="YE171" s="922"/>
      <c r="YF171" s="922"/>
      <c r="YG171" s="922"/>
      <c r="YH171" s="922"/>
      <c r="YI171" s="922"/>
      <c r="YJ171" s="922"/>
      <c r="YK171" s="922"/>
      <c r="YL171" s="922"/>
      <c r="YM171" s="922"/>
      <c r="YN171" s="922"/>
      <c r="YO171" s="922"/>
      <c r="YP171" s="922"/>
      <c r="YQ171" s="922"/>
      <c r="YR171" s="922"/>
      <c r="YS171" s="922"/>
      <c r="YT171" s="922"/>
      <c r="YU171" s="922"/>
      <c r="YV171" s="922"/>
      <c r="YW171" s="922"/>
      <c r="YX171" s="922"/>
      <c r="YY171" s="922"/>
      <c r="YZ171" s="922"/>
      <c r="ZA171" s="922"/>
      <c r="ZB171" s="922"/>
      <c r="ZC171" s="922"/>
      <c r="ZD171" s="922"/>
      <c r="ZE171" s="922"/>
      <c r="ZF171" s="922"/>
      <c r="ZG171" s="922"/>
      <c r="ZH171" s="922"/>
      <c r="ZI171" s="922"/>
      <c r="ZJ171" s="922"/>
      <c r="ZK171" s="922"/>
      <c r="ZL171" s="922"/>
      <c r="ZM171" s="922"/>
      <c r="ZN171" s="922"/>
      <c r="ZO171" s="922"/>
      <c r="ZP171" s="922"/>
      <c r="ZQ171" s="922"/>
      <c r="ZR171" s="922"/>
      <c r="ZS171" s="922"/>
      <c r="ZT171" s="922"/>
      <c r="ZU171" s="922"/>
      <c r="ZV171" s="922"/>
      <c r="ZW171" s="922"/>
      <c r="ZX171" s="922"/>
      <c r="ZY171" s="922"/>
      <c r="ZZ171" s="922"/>
      <c r="AAA171" s="922"/>
      <c r="AAB171" s="922"/>
      <c r="AAC171" s="922"/>
      <c r="AAD171" s="922"/>
      <c r="AAE171" s="922"/>
      <c r="AAF171" s="922"/>
      <c r="AAG171" s="922"/>
      <c r="AAH171" s="922"/>
      <c r="AAI171" s="922"/>
      <c r="AAJ171" s="922"/>
      <c r="AAK171" s="922"/>
      <c r="AAL171" s="922"/>
      <c r="AAM171" s="922"/>
      <c r="AAN171" s="922"/>
      <c r="AAO171" s="922"/>
      <c r="AAP171" s="922"/>
      <c r="AAQ171" s="922"/>
      <c r="AAR171" s="922"/>
      <c r="AAS171" s="922"/>
      <c r="AAT171" s="922"/>
      <c r="AAU171" s="922"/>
      <c r="AAV171" s="922"/>
      <c r="AAW171" s="922"/>
      <c r="AAX171" s="922"/>
      <c r="AAY171" s="922"/>
      <c r="AAZ171" s="922"/>
      <c r="ABA171" s="922"/>
      <c r="ABB171" s="922"/>
      <c r="ABC171" s="922"/>
      <c r="ABD171" s="922"/>
      <c r="ABE171" s="922"/>
      <c r="ABF171" s="922"/>
      <c r="ABG171" s="922"/>
      <c r="ABH171" s="922"/>
      <c r="ABI171" s="922"/>
      <c r="ABJ171" s="922"/>
      <c r="ABK171" s="922"/>
      <c r="ABL171" s="922"/>
      <c r="ABM171" s="922"/>
      <c r="ABN171" s="922"/>
      <c r="ABO171" s="922"/>
      <c r="ABP171" s="922"/>
      <c r="ABQ171" s="922"/>
      <c r="ABR171" s="922"/>
      <c r="ABS171" s="922"/>
      <c r="ABT171" s="922"/>
      <c r="ABU171" s="922"/>
      <c r="ABV171" s="922"/>
      <c r="ABW171" s="922"/>
      <c r="ABX171" s="922"/>
      <c r="ABY171" s="922"/>
      <c r="ABZ171" s="922"/>
      <c r="ACA171" s="922"/>
      <c r="ACB171" s="922"/>
      <c r="ACC171" s="922"/>
      <c r="ACD171" s="922"/>
      <c r="ACE171" s="922"/>
      <c r="ACF171" s="922"/>
      <c r="ACG171" s="922"/>
      <c r="ACH171" s="922"/>
      <c r="ACI171" s="922"/>
      <c r="ACJ171" s="922"/>
      <c r="ACK171" s="922"/>
      <c r="ACL171" s="922"/>
      <c r="ACM171" s="922"/>
      <c r="ACN171" s="922"/>
      <c r="ACO171" s="922"/>
      <c r="ACP171" s="922"/>
      <c r="ACQ171" s="922"/>
      <c r="ACR171" s="922"/>
      <c r="ACS171" s="922"/>
      <c r="ACT171" s="922"/>
      <c r="ACU171" s="922"/>
      <c r="ACV171" s="922"/>
      <c r="ACW171" s="922"/>
      <c r="ACX171" s="922"/>
      <c r="ACY171" s="922"/>
      <c r="ACZ171" s="922"/>
      <c r="ADA171" s="922"/>
      <c r="ADB171" s="922"/>
      <c r="ADC171" s="922"/>
      <c r="ADD171" s="922"/>
      <c r="ADE171" s="922"/>
      <c r="ADF171" s="922"/>
      <c r="ADG171" s="922"/>
      <c r="ADH171" s="922"/>
      <c r="ADI171" s="922"/>
      <c r="ADJ171" s="922"/>
      <c r="ADK171" s="922"/>
      <c r="ADL171" s="922"/>
      <c r="ADM171" s="922"/>
      <c r="ADN171" s="922"/>
      <c r="ADO171" s="922"/>
      <c r="ADP171" s="922"/>
      <c r="ADQ171" s="922"/>
      <c r="ADR171" s="922"/>
      <c r="ADS171" s="922"/>
      <c r="ADT171" s="922"/>
      <c r="ADU171" s="922"/>
      <c r="ADV171" s="922"/>
      <c r="ADW171" s="922"/>
      <c r="ADX171" s="922"/>
      <c r="ADY171" s="922"/>
      <c r="ADZ171" s="922"/>
      <c r="AEA171" s="922"/>
      <c r="AEB171" s="922"/>
      <c r="AEC171" s="922"/>
      <c r="AED171" s="922"/>
      <c r="AEE171" s="922"/>
      <c r="AEF171" s="922"/>
      <c r="AEG171" s="922"/>
      <c r="AEH171" s="922"/>
      <c r="AEI171" s="922"/>
      <c r="AEJ171" s="922"/>
      <c r="AEK171" s="922"/>
      <c r="AEL171" s="922"/>
      <c r="AEM171" s="922"/>
      <c r="AEN171" s="922"/>
      <c r="AEO171" s="922"/>
      <c r="AEP171" s="922"/>
      <c r="AEQ171" s="922"/>
      <c r="AER171" s="922"/>
      <c r="AES171" s="922"/>
      <c r="AET171" s="922"/>
      <c r="AEU171" s="922"/>
      <c r="AEV171" s="922"/>
      <c r="AEW171" s="922"/>
      <c r="AEX171" s="922"/>
      <c r="AEY171" s="922"/>
      <c r="AEZ171" s="922"/>
      <c r="AFA171" s="922"/>
      <c r="AFB171" s="922"/>
      <c r="AFC171" s="922"/>
      <c r="AFD171" s="922"/>
      <c r="AFE171" s="922"/>
      <c r="AFF171" s="922"/>
      <c r="AFG171" s="922"/>
      <c r="AFH171" s="922"/>
      <c r="AFI171" s="922"/>
      <c r="AFJ171" s="922"/>
      <c r="AFK171" s="922"/>
      <c r="AFL171" s="922"/>
      <c r="AFM171" s="922"/>
      <c r="AFN171" s="922"/>
      <c r="AFO171" s="922"/>
      <c r="AFP171" s="922"/>
      <c r="AFQ171" s="922"/>
      <c r="AFR171" s="922"/>
      <c r="AFS171" s="922"/>
      <c r="AFT171" s="922"/>
      <c r="AFU171" s="922"/>
      <c r="AFV171" s="922"/>
      <c r="AFW171" s="922"/>
      <c r="AFX171" s="922"/>
      <c r="AFY171" s="922"/>
      <c r="AFZ171" s="922"/>
      <c r="AGA171" s="922"/>
      <c r="AGB171" s="922"/>
      <c r="AGC171" s="922"/>
      <c r="AGD171" s="922"/>
      <c r="AGE171" s="922"/>
      <c r="AGF171" s="922"/>
      <c r="AGG171" s="922"/>
      <c r="AGH171" s="922"/>
      <c r="AGI171" s="922"/>
      <c r="AGJ171" s="922"/>
      <c r="AGK171" s="922"/>
      <c r="AGL171" s="922"/>
      <c r="AGM171" s="922"/>
      <c r="AGN171" s="922"/>
      <c r="AGO171" s="922"/>
      <c r="AGP171" s="922"/>
      <c r="AGQ171" s="922"/>
      <c r="AGR171" s="922"/>
      <c r="AGS171" s="922"/>
      <c r="AGT171" s="922"/>
      <c r="AGU171" s="922"/>
      <c r="AGV171" s="922"/>
      <c r="AGW171" s="922"/>
      <c r="AGX171" s="922"/>
      <c r="AGY171" s="922"/>
      <c r="AGZ171" s="922"/>
      <c r="AHA171" s="922"/>
      <c r="AHB171" s="922"/>
      <c r="AHC171" s="922"/>
      <c r="AHD171" s="922"/>
      <c r="AHE171" s="922"/>
      <c r="AHF171" s="922"/>
      <c r="AHG171" s="922"/>
      <c r="AHH171" s="922"/>
      <c r="AHI171" s="922"/>
      <c r="AHJ171" s="922"/>
      <c r="AHK171" s="922"/>
      <c r="AHL171" s="922"/>
      <c r="AHM171" s="922"/>
      <c r="AHN171" s="922"/>
      <c r="AHO171" s="922"/>
      <c r="AHP171" s="922"/>
      <c r="AHQ171" s="922"/>
      <c r="AHR171" s="922"/>
      <c r="AHS171" s="922"/>
      <c r="AHT171" s="922"/>
      <c r="AHU171" s="922"/>
      <c r="AHV171" s="922"/>
      <c r="AHW171" s="922"/>
      <c r="AHX171" s="922"/>
      <c r="AHY171" s="922"/>
      <c r="AHZ171" s="922"/>
      <c r="AIA171" s="922"/>
      <c r="AIB171" s="922"/>
      <c r="AIC171" s="922"/>
      <c r="AID171" s="922"/>
      <c r="AIE171" s="922"/>
      <c r="AIF171" s="922"/>
      <c r="AIG171" s="922"/>
      <c r="AIH171" s="922"/>
      <c r="AII171" s="922"/>
      <c r="AIJ171" s="922"/>
      <c r="AIK171" s="922"/>
      <c r="AIL171" s="922"/>
      <c r="AIM171" s="922"/>
      <c r="AIN171" s="922"/>
      <c r="AIO171" s="922"/>
      <c r="AIP171" s="922"/>
      <c r="AIQ171" s="922"/>
      <c r="AIR171" s="922"/>
      <c r="AIS171" s="922"/>
      <c r="AIT171" s="922"/>
      <c r="AIU171" s="922"/>
      <c r="AIV171" s="922"/>
      <c r="AIW171" s="922"/>
      <c r="AIX171" s="922"/>
      <c r="AIY171" s="922"/>
      <c r="AIZ171" s="922"/>
      <c r="AJA171" s="922"/>
      <c r="AJB171" s="922"/>
      <c r="AJC171" s="922"/>
      <c r="AJD171" s="922"/>
      <c r="AJE171" s="922"/>
      <c r="AJF171" s="922"/>
      <c r="AJG171" s="922"/>
      <c r="AJH171" s="922"/>
      <c r="AJI171" s="922"/>
      <c r="AJJ171" s="922"/>
      <c r="AJK171" s="922"/>
      <c r="AJL171" s="922"/>
      <c r="AJM171" s="922"/>
      <c r="AJN171" s="922"/>
      <c r="AJO171" s="922"/>
      <c r="AJP171" s="922"/>
      <c r="AJQ171" s="922"/>
      <c r="AJR171" s="922"/>
      <c r="AJS171" s="922"/>
      <c r="AJT171" s="922"/>
      <c r="AJU171" s="922"/>
      <c r="AJV171" s="922"/>
      <c r="AJW171" s="922"/>
      <c r="AJX171" s="922"/>
      <c r="AJY171" s="922"/>
      <c r="AJZ171" s="922"/>
      <c r="AKA171" s="922"/>
      <c r="AKB171" s="922"/>
      <c r="AKC171" s="922"/>
      <c r="AKD171" s="922"/>
      <c r="AKE171" s="922"/>
      <c r="AKF171" s="922"/>
      <c r="AKG171" s="922"/>
      <c r="AKH171" s="922"/>
      <c r="AKI171" s="922"/>
      <c r="AKJ171" s="922"/>
      <c r="AKK171" s="922"/>
      <c r="AKL171" s="922"/>
      <c r="AKM171" s="922"/>
      <c r="AKN171" s="922"/>
      <c r="AKO171" s="922"/>
      <c r="AKP171" s="922"/>
      <c r="AKQ171" s="922"/>
      <c r="AKR171" s="922"/>
      <c r="AKS171" s="922"/>
      <c r="AKT171" s="922"/>
      <c r="AKU171" s="922"/>
      <c r="AKV171" s="922"/>
      <c r="AKW171" s="922"/>
      <c r="AKX171" s="922"/>
      <c r="AKY171" s="922"/>
      <c r="AKZ171" s="922"/>
      <c r="ALA171" s="922"/>
      <c r="ALB171" s="922"/>
      <c r="ALC171" s="922"/>
      <c r="ALD171" s="922"/>
      <c r="ALE171" s="922"/>
      <c r="ALF171" s="922"/>
      <c r="ALG171" s="922"/>
      <c r="ALH171" s="922"/>
      <c r="ALI171" s="922"/>
      <c r="ALJ171" s="922"/>
      <c r="ALK171" s="922"/>
      <c r="ALL171" s="922"/>
      <c r="ALM171" s="922"/>
      <c r="ALN171" s="922"/>
      <c r="ALO171" s="922"/>
      <c r="ALP171" s="922"/>
      <c r="ALQ171" s="922"/>
      <c r="ALR171" s="922"/>
      <c r="ALS171" s="922"/>
      <c r="ALT171" s="922"/>
      <c r="ALU171" s="922"/>
      <c r="ALV171" s="922"/>
      <c r="ALW171" s="922"/>
      <c r="ALX171" s="922"/>
      <c r="ALY171" s="922"/>
      <c r="ALZ171" s="922"/>
      <c r="AMA171" s="922"/>
      <c r="AMB171" s="922"/>
      <c r="AMC171" s="922"/>
      <c r="AMD171" s="922"/>
      <c r="AME171" s="922"/>
      <c r="AMF171" s="922"/>
      <c r="AMG171" s="922"/>
      <c r="AMH171" s="922"/>
      <c r="AMI171" s="922"/>
      <c r="AMJ171" s="922"/>
      <c r="AMK171" s="922"/>
      <c r="AML171" s="922"/>
      <c r="AMM171" s="922"/>
      <c r="AMN171" s="922"/>
      <c r="AMO171" s="922"/>
      <c r="AMP171" s="922"/>
      <c r="AMQ171" s="922"/>
      <c r="AMR171" s="922"/>
      <c r="AMS171" s="922"/>
      <c r="AMT171" s="922"/>
      <c r="AMU171" s="922"/>
      <c r="AMV171" s="922"/>
      <c r="AMW171" s="922"/>
      <c r="AMX171" s="922"/>
      <c r="AMY171" s="922"/>
      <c r="AMZ171" s="922"/>
      <c r="ANA171" s="922"/>
      <c r="ANB171" s="922"/>
      <c r="ANC171" s="922"/>
      <c r="AND171" s="922"/>
      <c r="ANE171" s="922"/>
      <c r="ANF171" s="922"/>
      <c r="ANG171" s="922"/>
      <c r="ANH171" s="922"/>
      <c r="ANI171" s="922"/>
      <c r="ANJ171" s="922"/>
      <c r="ANK171" s="922"/>
      <c r="ANL171" s="922"/>
      <c r="ANM171" s="922"/>
      <c r="ANN171" s="922"/>
      <c r="ANO171" s="922"/>
      <c r="ANP171" s="922"/>
      <c r="ANQ171" s="922"/>
      <c r="ANR171" s="922"/>
      <c r="ANS171" s="922"/>
      <c r="ANT171" s="922"/>
      <c r="ANU171" s="922"/>
      <c r="ANV171" s="922"/>
      <c r="ANW171" s="922"/>
      <c r="ANX171" s="922"/>
      <c r="ANY171" s="922"/>
      <c r="ANZ171" s="922"/>
      <c r="AOA171" s="922"/>
      <c r="AOB171" s="922"/>
      <c r="AOC171" s="922"/>
      <c r="AOD171" s="922"/>
      <c r="AOE171" s="922"/>
      <c r="AOF171" s="922"/>
      <c r="AOG171" s="922"/>
      <c r="AOH171" s="922"/>
      <c r="AOI171" s="922"/>
      <c r="AOJ171" s="922"/>
      <c r="AOK171" s="922"/>
      <c r="AOL171" s="922"/>
      <c r="AOM171" s="922"/>
      <c r="AON171" s="922"/>
      <c r="AOO171" s="922"/>
      <c r="AOP171" s="922"/>
      <c r="AOQ171" s="922"/>
      <c r="AOR171" s="922"/>
      <c r="AOS171" s="922"/>
      <c r="AOT171" s="922"/>
      <c r="AOU171" s="922"/>
      <c r="AOV171" s="922"/>
      <c r="AOW171" s="922"/>
      <c r="AOX171" s="922"/>
      <c r="AOY171" s="922"/>
      <c r="AOZ171" s="922"/>
      <c r="APA171" s="922"/>
      <c r="APB171" s="922"/>
      <c r="APC171" s="922"/>
      <c r="APD171" s="922"/>
      <c r="APE171" s="922"/>
      <c r="APF171" s="922"/>
      <c r="APG171" s="922"/>
      <c r="APH171" s="922"/>
      <c r="API171" s="922"/>
      <c r="APJ171" s="922"/>
      <c r="APK171" s="922"/>
      <c r="APL171" s="922"/>
      <c r="APM171" s="922"/>
      <c r="APN171" s="922"/>
      <c r="APO171" s="922"/>
      <c r="APP171" s="922"/>
      <c r="APQ171" s="922"/>
      <c r="APR171" s="922"/>
      <c r="APS171" s="922"/>
      <c r="APT171" s="922"/>
      <c r="APU171" s="922"/>
      <c r="APV171" s="922"/>
      <c r="APW171" s="922"/>
      <c r="APX171" s="922"/>
      <c r="APY171" s="922"/>
      <c r="APZ171" s="922"/>
      <c r="AQA171" s="922"/>
      <c r="AQB171" s="922"/>
      <c r="AQC171" s="922"/>
      <c r="AQD171" s="922"/>
      <c r="AQE171" s="922"/>
      <c r="AQF171" s="922"/>
      <c r="AQG171" s="922"/>
      <c r="AQH171" s="922"/>
      <c r="AQI171" s="922"/>
      <c r="AQJ171" s="922"/>
      <c r="AQK171" s="922"/>
      <c r="AQL171" s="922"/>
      <c r="AQM171" s="922"/>
      <c r="AQN171" s="922"/>
      <c r="AQO171" s="922"/>
      <c r="AQP171" s="922"/>
      <c r="AQQ171" s="922"/>
      <c r="AQR171" s="922"/>
      <c r="AQS171" s="922"/>
      <c r="AQT171" s="922"/>
      <c r="AQU171" s="922"/>
      <c r="AQV171" s="922"/>
      <c r="AQW171" s="922"/>
      <c r="AQX171" s="922"/>
      <c r="AQY171" s="922"/>
      <c r="AQZ171" s="922"/>
      <c r="ARA171" s="922"/>
      <c r="ARB171" s="922"/>
      <c r="ARC171" s="922"/>
      <c r="ARD171" s="922"/>
      <c r="ARE171" s="922"/>
      <c r="ARF171" s="922"/>
      <c r="ARG171" s="922"/>
      <c r="ARH171" s="922"/>
      <c r="ARI171" s="922"/>
      <c r="ARJ171" s="922"/>
      <c r="ARK171" s="922"/>
      <c r="ARL171" s="922"/>
      <c r="ARM171" s="922"/>
      <c r="ARN171" s="922"/>
      <c r="ARO171" s="922"/>
      <c r="ARP171" s="922"/>
      <c r="ARQ171" s="922"/>
      <c r="ARR171" s="922"/>
      <c r="ARS171" s="922"/>
      <c r="ART171" s="922"/>
      <c r="ARU171" s="922"/>
      <c r="ARV171" s="922"/>
      <c r="ARW171" s="922"/>
      <c r="ARX171" s="922"/>
      <c r="ARY171" s="922"/>
      <c r="ARZ171" s="922"/>
      <c r="ASA171" s="922"/>
      <c r="ASB171" s="922"/>
      <c r="ASC171" s="922"/>
    </row>
    <row r="172" spans="1:1173" hidden="1">
      <c r="A172" s="920"/>
      <c r="T172" s="922"/>
      <c r="AN172" s="922"/>
      <c r="AO172" s="922"/>
      <c r="AP172" s="922"/>
      <c r="AQ172" s="922"/>
      <c r="AR172" s="922"/>
      <c r="AS172" s="922"/>
      <c r="AT172" s="922"/>
      <c r="AU172" s="922"/>
      <c r="AV172" s="922"/>
      <c r="AW172" s="922"/>
      <c r="AX172" s="922"/>
      <c r="AY172" s="922"/>
      <c r="AZ172" s="922"/>
      <c r="BA172" s="922"/>
      <c r="BB172" s="922"/>
      <c r="BC172" s="922"/>
      <c r="BD172" s="922"/>
      <c r="BE172" s="922"/>
      <c r="BF172" s="922"/>
      <c r="BG172" s="922"/>
      <c r="BH172" s="922"/>
      <c r="BI172" s="922"/>
      <c r="BJ172" s="922"/>
      <c r="BK172" s="922"/>
      <c r="BL172" s="922"/>
      <c r="BM172" s="922"/>
      <c r="BN172" s="922"/>
      <c r="BO172" s="922"/>
      <c r="BP172" s="922"/>
      <c r="BQ172" s="922"/>
      <c r="BR172" s="922"/>
      <c r="BS172" s="922"/>
      <c r="BT172" s="922"/>
      <c r="BU172" s="922"/>
      <c r="BV172" s="922"/>
      <c r="BW172" s="922"/>
      <c r="BX172" s="922"/>
      <c r="BY172" s="922"/>
      <c r="BZ172" s="922"/>
      <c r="CA172" s="922"/>
      <c r="CB172" s="922"/>
      <c r="CC172" s="922"/>
      <c r="CD172" s="922"/>
      <c r="CE172" s="922"/>
      <c r="CF172" s="922"/>
      <c r="CG172" s="922"/>
      <c r="CH172" s="922"/>
      <c r="CI172" s="922"/>
      <c r="CJ172" s="922"/>
      <c r="CK172" s="922"/>
      <c r="CL172" s="922"/>
      <c r="CM172" s="922"/>
      <c r="CN172" s="922"/>
      <c r="CO172" s="922"/>
      <c r="CP172" s="922"/>
      <c r="CQ172" s="922"/>
      <c r="CR172" s="922"/>
      <c r="CS172" s="922"/>
      <c r="CT172" s="922"/>
      <c r="CU172" s="922"/>
      <c r="CV172" s="922"/>
      <c r="CW172" s="922"/>
      <c r="CX172" s="922"/>
      <c r="CY172" s="922"/>
      <c r="CZ172" s="922"/>
      <c r="DA172" s="922"/>
      <c r="DB172" s="922"/>
      <c r="DC172" s="922"/>
      <c r="DD172" s="922"/>
      <c r="DE172" s="922"/>
      <c r="DF172" s="922"/>
      <c r="DG172" s="922"/>
      <c r="DH172" s="922"/>
      <c r="DI172" s="922"/>
      <c r="DJ172" s="922"/>
      <c r="DK172" s="922"/>
      <c r="DL172" s="922"/>
      <c r="DM172" s="922"/>
      <c r="DN172" s="922"/>
      <c r="DO172" s="922"/>
      <c r="DP172" s="922"/>
      <c r="DQ172" s="922"/>
      <c r="DR172" s="922"/>
      <c r="DS172" s="922"/>
      <c r="DT172" s="922"/>
      <c r="DU172" s="922"/>
      <c r="DV172" s="922"/>
      <c r="DW172" s="922"/>
      <c r="DX172" s="922"/>
      <c r="DY172" s="922"/>
      <c r="DZ172" s="922"/>
      <c r="EA172" s="922"/>
      <c r="EB172" s="922"/>
      <c r="EC172" s="922"/>
      <c r="ED172" s="922"/>
      <c r="EE172" s="922"/>
      <c r="EF172" s="922"/>
      <c r="EG172" s="922"/>
      <c r="EH172" s="922"/>
      <c r="EI172" s="922"/>
      <c r="EJ172" s="922"/>
      <c r="EK172" s="922"/>
      <c r="EL172" s="922"/>
      <c r="EM172" s="922"/>
      <c r="EN172" s="922"/>
      <c r="EO172" s="922"/>
      <c r="EP172" s="922"/>
      <c r="EQ172" s="922"/>
      <c r="ER172" s="922"/>
      <c r="ES172" s="922"/>
      <c r="ET172" s="922"/>
      <c r="EU172" s="922"/>
      <c r="EV172" s="922"/>
      <c r="EW172" s="922"/>
      <c r="EX172" s="922"/>
      <c r="EY172" s="922"/>
      <c r="EZ172" s="922"/>
      <c r="FA172" s="922"/>
      <c r="FB172" s="922"/>
      <c r="FC172" s="922"/>
      <c r="FD172" s="922"/>
      <c r="FE172" s="922"/>
      <c r="FF172" s="922"/>
      <c r="FG172" s="922"/>
      <c r="FH172" s="922"/>
      <c r="FI172" s="922"/>
      <c r="FJ172" s="922"/>
      <c r="FK172" s="922"/>
      <c r="FL172" s="922"/>
      <c r="FM172" s="922"/>
      <c r="FN172" s="922"/>
      <c r="FO172" s="922"/>
      <c r="FP172" s="922"/>
      <c r="FQ172" s="922"/>
      <c r="FR172" s="922"/>
      <c r="FS172" s="922"/>
      <c r="FT172" s="922"/>
      <c r="FU172" s="922"/>
      <c r="FV172" s="922"/>
      <c r="FW172" s="922"/>
      <c r="FX172" s="922"/>
      <c r="FY172" s="922"/>
      <c r="FZ172" s="922"/>
      <c r="GA172" s="922"/>
      <c r="GB172" s="922"/>
      <c r="GC172" s="922"/>
      <c r="GD172" s="922"/>
      <c r="GE172" s="922"/>
      <c r="GF172" s="922"/>
      <c r="GG172" s="922"/>
      <c r="GH172" s="922"/>
      <c r="GI172" s="922"/>
      <c r="GJ172" s="922"/>
      <c r="GK172" s="922"/>
      <c r="GL172" s="922"/>
      <c r="GM172" s="922"/>
      <c r="GN172" s="922"/>
      <c r="GO172" s="922"/>
      <c r="GP172" s="922"/>
      <c r="GQ172" s="922"/>
      <c r="GR172" s="922"/>
      <c r="GS172" s="922"/>
      <c r="GT172" s="922"/>
      <c r="GU172" s="922"/>
      <c r="GV172" s="922"/>
      <c r="GW172" s="922"/>
      <c r="GX172" s="922"/>
      <c r="GY172" s="922"/>
      <c r="GZ172" s="922"/>
      <c r="HA172" s="922"/>
      <c r="HB172" s="922"/>
      <c r="HC172" s="922"/>
      <c r="HD172" s="922"/>
      <c r="HE172" s="922"/>
      <c r="HF172" s="922"/>
      <c r="HG172" s="922"/>
      <c r="HH172" s="922"/>
      <c r="HI172" s="922"/>
      <c r="HJ172" s="922"/>
      <c r="HK172" s="922"/>
      <c r="HL172" s="922"/>
      <c r="HM172" s="922"/>
      <c r="HN172" s="922"/>
      <c r="HO172" s="922"/>
      <c r="HP172" s="922"/>
      <c r="HQ172" s="922"/>
      <c r="HR172" s="922"/>
      <c r="HS172" s="922"/>
      <c r="HT172" s="922"/>
      <c r="HU172" s="922"/>
      <c r="HV172" s="922"/>
      <c r="HW172" s="922"/>
      <c r="HX172" s="922"/>
      <c r="HY172" s="922"/>
      <c r="HZ172" s="922"/>
      <c r="IA172" s="922"/>
      <c r="IB172" s="922"/>
      <c r="IC172" s="922"/>
      <c r="ID172" s="922"/>
      <c r="IE172" s="922"/>
      <c r="IF172" s="922"/>
      <c r="IG172" s="922"/>
      <c r="IH172" s="922"/>
      <c r="II172" s="922"/>
      <c r="IJ172" s="922"/>
      <c r="IK172" s="922"/>
      <c r="IL172" s="922"/>
      <c r="IM172" s="922"/>
      <c r="IN172" s="922"/>
      <c r="IO172" s="922"/>
      <c r="IP172" s="922"/>
      <c r="IQ172" s="922"/>
      <c r="IR172" s="922"/>
      <c r="IS172" s="922"/>
      <c r="IT172" s="922"/>
      <c r="IU172" s="922"/>
      <c r="IV172" s="922"/>
      <c r="IW172" s="922"/>
      <c r="IX172" s="922"/>
      <c r="IY172" s="922"/>
      <c r="IZ172" s="922"/>
      <c r="JA172" s="922"/>
      <c r="JB172" s="922"/>
      <c r="JC172" s="922"/>
      <c r="JD172" s="922"/>
      <c r="JE172" s="922"/>
      <c r="JF172" s="922"/>
      <c r="JG172" s="922"/>
      <c r="JH172" s="922"/>
      <c r="JI172" s="922"/>
      <c r="JJ172" s="922"/>
      <c r="JK172" s="922"/>
      <c r="JL172" s="922"/>
      <c r="JM172" s="922"/>
      <c r="JN172" s="922"/>
      <c r="JO172" s="922"/>
      <c r="JP172" s="922"/>
      <c r="JQ172" s="922"/>
      <c r="JR172" s="922"/>
      <c r="JS172" s="922"/>
      <c r="JT172" s="922"/>
      <c r="JU172" s="922"/>
      <c r="JV172" s="922"/>
      <c r="JW172" s="922"/>
      <c r="JX172" s="922"/>
      <c r="JY172" s="922"/>
      <c r="JZ172" s="922"/>
      <c r="KA172" s="922"/>
      <c r="KB172" s="922"/>
      <c r="KC172" s="922"/>
      <c r="KD172" s="922"/>
      <c r="KE172" s="922"/>
      <c r="KF172" s="922"/>
      <c r="KG172" s="922"/>
      <c r="KH172" s="922"/>
      <c r="KI172" s="922"/>
      <c r="KJ172" s="922"/>
      <c r="KK172" s="922"/>
      <c r="KL172" s="922"/>
      <c r="KM172" s="922"/>
      <c r="KN172" s="922"/>
      <c r="KO172" s="922"/>
      <c r="KP172" s="922"/>
      <c r="KQ172" s="922"/>
      <c r="KR172" s="922"/>
      <c r="KS172" s="922"/>
      <c r="KT172" s="922"/>
      <c r="KU172" s="922"/>
      <c r="KV172" s="922"/>
      <c r="KW172" s="922"/>
      <c r="KX172" s="922"/>
      <c r="KY172" s="922"/>
      <c r="KZ172" s="922"/>
      <c r="LA172" s="922"/>
      <c r="LB172" s="922"/>
      <c r="LC172" s="922"/>
      <c r="LD172" s="922"/>
      <c r="LE172" s="922"/>
      <c r="LF172" s="922"/>
      <c r="LG172" s="922"/>
      <c r="LH172" s="922"/>
      <c r="LI172" s="922"/>
      <c r="LJ172" s="922"/>
      <c r="LK172" s="922"/>
      <c r="LL172" s="922"/>
      <c r="LM172" s="922"/>
      <c r="LN172" s="922"/>
      <c r="LO172" s="922"/>
      <c r="LP172" s="922"/>
      <c r="LQ172" s="922"/>
      <c r="LR172" s="922"/>
      <c r="LS172" s="922"/>
      <c r="LT172" s="922"/>
      <c r="LU172" s="922"/>
      <c r="LV172" s="922"/>
      <c r="LW172" s="922"/>
      <c r="LX172" s="922"/>
      <c r="LY172" s="922"/>
      <c r="LZ172" s="922"/>
      <c r="MA172" s="922"/>
      <c r="MB172" s="922"/>
      <c r="MC172" s="922"/>
      <c r="MD172" s="922"/>
      <c r="ME172" s="922"/>
      <c r="MF172" s="922"/>
      <c r="MG172" s="922"/>
      <c r="MH172" s="922"/>
      <c r="MI172" s="922"/>
      <c r="MJ172" s="922"/>
      <c r="MK172" s="922"/>
      <c r="ML172" s="922"/>
      <c r="MM172" s="922"/>
      <c r="MN172" s="922"/>
      <c r="MO172" s="922"/>
      <c r="MP172" s="922"/>
      <c r="MQ172" s="922"/>
      <c r="MR172" s="922"/>
      <c r="MS172" s="922"/>
      <c r="MT172" s="922"/>
      <c r="MU172" s="922"/>
      <c r="MV172" s="922"/>
      <c r="MW172" s="922"/>
      <c r="MX172" s="922"/>
      <c r="MY172" s="922"/>
      <c r="MZ172" s="922"/>
      <c r="NA172" s="922"/>
      <c r="NB172" s="922"/>
      <c r="NC172" s="922"/>
      <c r="ND172" s="922"/>
      <c r="NE172" s="922"/>
      <c r="NF172" s="922"/>
      <c r="NG172" s="922"/>
      <c r="NH172" s="922"/>
      <c r="NI172" s="922"/>
      <c r="NJ172" s="922"/>
      <c r="NK172" s="922"/>
      <c r="NL172" s="922"/>
      <c r="NM172" s="922"/>
      <c r="NN172" s="922"/>
      <c r="NO172" s="922"/>
      <c r="NP172" s="922"/>
      <c r="NQ172" s="922"/>
      <c r="NR172" s="922"/>
      <c r="NS172" s="922"/>
      <c r="NT172" s="922"/>
      <c r="NU172" s="922"/>
      <c r="NV172" s="922"/>
      <c r="NW172" s="922"/>
      <c r="NX172" s="922"/>
      <c r="NY172" s="922"/>
      <c r="NZ172" s="922"/>
      <c r="OA172" s="922"/>
      <c r="OB172" s="922"/>
      <c r="OC172" s="922"/>
      <c r="OD172" s="922"/>
      <c r="OE172" s="922"/>
      <c r="OF172" s="922"/>
      <c r="OG172" s="922"/>
      <c r="OH172" s="922"/>
      <c r="OI172" s="922"/>
      <c r="OJ172" s="922"/>
      <c r="OK172" s="922"/>
      <c r="OL172" s="922"/>
      <c r="OM172" s="922"/>
      <c r="ON172" s="922"/>
      <c r="OO172" s="922"/>
      <c r="OP172" s="922"/>
      <c r="OQ172" s="922"/>
      <c r="OR172" s="922"/>
      <c r="OS172" s="922"/>
      <c r="OT172" s="922"/>
      <c r="OU172" s="922"/>
      <c r="OV172" s="922"/>
      <c r="OW172" s="922"/>
      <c r="OX172" s="922"/>
      <c r="OY172" s="922"/>
      <c r="OZ172" s="922"/>
      <c r="PA172" s="922"/>
      <c r="PB172" s="922"/>
      <c r="PC172" s="922"/>
      <c r="PD172" s="922"/>
      <c r="PE172" s="922"/>
      <c r="PF172" s="922"/>
      <c r="PG172" s="922"/>
      <c r="PH172" s="922"/>
      <c r="PI172" s="922"/>
      <c r="PJ172" s="922"/>
      <c r="PK172" s="922"/>
      <c r="PL172" s="922"/>
      <c r="PM172" s="922"/>
      <c r="PN172" s="922"/>
      <c r="PO172" s="922"/>
      <c r="PP172" s="922"/>
      <c r="PQ172" s="922"/>
      <c r="PR172" s="922"/>
      <c r="PS172" s="922"/>
      <c r="PT172" s="922"/>
      <c r="PU172" s="922"/>
      <c r="PV172" s="922"/>
      <c r="PW172" s="922"/>
      <c r="PX172" s="922"/>
      <c r="PY172" s="922"/>
      <c r="PZ172" s="922"/>
      <c r="QA172" s="922"/>
      <c r="QB172" s="922"/>
      <c r="QC172" s="922"/>
      <c r="QD172" s="922"/>
      <c r="QE172" s="922"/>
      <c r="QF172" s="922"/>
      <c r="QG172" s="922"/>
      <c r="QH172" s="922"/>
      <c r="QI172" s="922"/>
      <c r="QJ172" s="922"/>
      <c r="QK172" s="922"/>
      <c r="QL172" s="922"/>
      <c r="QM172" s="922"/>
      <c r="QN172" s="922"/>
      <c r="QO172" s="922"/>
      <c r="QP172" s="922"/>
      <c r="QQ172" s="922"/>
      <c r="QR172" s="922"/>
      <c r="QS172" s="922"/>
      <c r="QT172" s="922"/>
      <c r="QU172" s="922"/>
      <c r="QV172" s="922"/>
      <c r="QW172" s="922"/>
      <c r="QX172" s="922"/>
      <c r="QY172" s="922"/>
      <c r="QZ172" s="922"/>
      <c r="RA172" s="922"/>
      <c r="RB172" s="922"/>
      <c r="RC172" s="922"/>
      <c r="RD172" s="922"/>
      <c r="RE172" s="922"/>
      <c r="RF172" s="922"/>
      <c r="RG172" s="922"/>
      <c r="RH172" s="922"/>
      <c r="RI172" s="922"/>
      <c r="RJ172" s="922"/>
      <c r="RK172" s="922"/>
      <c r="RL172" s="922"/>
      <c r="RM172" s="922"/>
      <c r="RN172" s="922"/>
      <c r="RO172" s="922"/>
      <c r="RP172" s="922"/>
      <c r="RQ172" s="922"/>
      <c r="RR172" s="922"/>
      <c r="RS172" s="922"/>
      <c r="RT172" s="922"/>
      <c r="RU172" s="922"/>
      <c r="RV172" s="922"/>
      <c r="RW172" s="922"/>
      <c r="RX172" s="922"/>
      <c r="RY172" s="922"/>
      <c r="RZ172" s="922"/>
      <c r="SA172" s="922"/>
      <c r="SB172" s="922"/>
      <c r="SC172" s="922"/>
      <c r="SD172" s="922"/>
      <c r="SE172" s="922"/>
      <c r="SF172" s="922"/>
      <c r="SG172" s="922"/>
      <c r="SH172" s="922"/>
      <c r="SI172" s="922"/>
      <c r="SJ172" s="922"/>
      <c r="SK172" s="922"/>
      <c r="SL172" s="922"/>
      <c r="SM172" s="922"/>
      <c r="SN172" s="922"/>
      <c r="SO172" s="922"/>
      <c r="SP172" s="922"/>
      <c r="SQ172" s="922"/>
      <c r="SR172" s="922"/>
      <c r="SS172" s="922"/>
      <c r="ST172" s="922"/>
      <c r="SU172" s="922"/>
      <c r="SV172" s="922"/>
      <c r="SW172" s="922"/>
      <c r="SX172" s="922"/>
      <c r="SY172" s="922"/>
      <c r="SZ172" s="922"/>
      <c r="TA172" s="922"/>
      <c r="TB172" s="922"/>
      <c r="TC172" s="922"/>
      <c r="TD172" s="922"/>
      <c r="TE172" s="922"/>
      <c r="TF172" s="922"/>
      <c r="TG172" s="922"/>
      <c r="TH172" s="922"/>
      <c r="TI172" s="922"/>
      <c r="TJ172" s="922"/>
      <c r="TK172" s="922"/>
      <c r="TL172" s="922"/>
      <c r="TM172" s="922"/>
      <c r="TN172" s="922"/>
      <c r="TO172" s="922"/>
      <c r="TP172" s="922"/>
      <c r="TQ172" s="922"/>
      <c r="TR172" s="922"/>
      <c r="TS172" s="922"/>
      <c r="TT172" s="922"/>
      <c r="TU172" s="922"/>
      <c r="TV172" s="922"/>
      <c r="TW172" s="922"/>
      <c r="TX172" s="922"/>
      <c r="TY172" s="922"/>
      <c r="TZ172" s="922"/>
      <c r="UA172" s="922"/>
      <c r="UB172" s="922"/>
      <c r="UC172" s="922"/>
      <c r="UD172" s="922"/>
      <c r="UE172" s="922"/>
      <c r="UF172" s="922"/>
      <c r="UG172" s="922"/>
      <c r="UH172" s="922"/>
      <c r="UI172" s="922"/>
      <c r="UJ172" s="922"/>
      <c r="UK172" s="922"/>
      <c r="UL172" s="922"/>
      <c r="UM172" s="922"/>
      <c r="UN172" s="922"/>
      <c r="UO172" s="922"/>
      <c r="UP172" s="922"/>
      <c r="UQ172" s="922"/>
      <c r="UR172" s="922"/>
      <c r="US172" s="922"/>
      <c r="UT172" s="922"/>
      <c r="UU172" s="922"/>
      <c r="UV172" s="922"/>
      <c r="UW172" s="922"/>
      <c r="UX172" s="922"/>
      <c r="UY172" s="922"/>
      <c r="UZ172" s="922"/>
      <c r="VA172" s="922"/>
      <c r="VB172" s="922"/>
      <c r="VC172" s="922"/>
      <c r="VD172" s="922"/>
      <c r="VE172" s="922"/>
      <c r="VF172" s="922"/>
      <c r="VG172" s="922"/>
      <c r="VH172" s="922"/>
      <c r="VI172" s="922"/>
      <c r="VJ172" s="922"/>
      <c r="VK172" s="922"/>
      <c r="VL172" s="922"/>
      <c r="VM172" s="922"/>
      <c r="VN172" s="922"/>
      <c r="VO172" s="922"/>
      <c r="VP172" s="922"/>
      <c r="VQ172" s="922"/>
      <c r="VR172" s="922"/>
      <c r="VS172" s="922"/>
      <c r="VT172" s="922"/>
      <c r="VU172" s="922"/>
      <c r="VV172" s="922"/>
      <c r="VW172" s="922"/>
      <c r="VX172" s="922"/>
      <c r="VY172" s="922"/>
      <c r="VZ172" s="922"/>
      <c r="WA172" s="922"/>
      <c r="WB172" s="922"/>
      <c r="WC172" s="922"/>
      <c r="WD172" s="922"/>
      <c r="WE172" s="922"/>
      <c r="WF172" s="922"/>
      <c r="WG172" s="922"/>
      <c r="WH172" s="922"/>
      <c r="WI172" s="922"/>
      <c r="WJ172" s="922"/>
      <c r="WK172" s="922"/>
      <c r="WL172" s="922"/>
      <c r="WM172" s="922"/>
      <c r="WN172" s="922"/>
      <c r="WO172" s="922"/>
      <c r="WP172" s="922"/>
      <c r="WQ172" s="922"/>
      <c r="WR172" s="922"/>
      <c r="WS172" s="922"/>
      <c r="WT172" s="922"/>
      <c r="WU172" s="922"/>
      <c r="WV172" s="922"/>
      <c r="WW172" s="922"/>
      <c r="WX172" s="922"/>
      <c r="WY172" s="922"/>
      <c r="WZ172" s="922"/>
      <c r="XA172" s="922"/>
      <c r="XB172" s="922"/>
      <c r="XC172" s="922"/>
      <c r="XD172" s="922"/>
      <c r="XE172" s="922"/>
      <c r="XF172" s="922"/>
      <c r="XG172" s="922"/>
      <c r="XH172" s="922"/>
      <c r="XI172" s="922"/>
      <c r="XJ172" s="922"/>
      <c r="XK172" s="922"/>
      <c r="XL172" s="922"/>
      <c r="XM172" s="922"/>
      <c r="XN172" s="922"/>
      <c r="XO172" s="922"/>
      <c r="XP172" s="922"/>
      <c r="XQ172" s="922"/>
      <c r="XR172" s="922"/>
      <c r="XS172" s="922"/>
      <c r="XT172" s="922"/>
      <c r="XU172" s="922"/>
      <c r="XV172" s="922"/>
      <c r="XW172" s="922"/>
      <c r="XX172" s="922"/>
      <c r="XY172" s="922"/>
      <c r="XZ172" s="922"/>
      <c r="YA172" s="922"/>
      <c r="YB172" s="922"/>
      <c r="YC172" s="922"/>
      <c r="YD172" s="922"/>
      <c r="YE172" s="922"/>
      <c r="YF172" s="922"/>
      <c r="YG172" s="922"/>
      <c r="YH172" s="922"/>
      <c r="YI172" s="922"/>
      <c r="YJ172" s="922"/>
      <c r="YK172" s="922"/>
      <c r="YL172" s="922"/>
      <c r="YM172" s="922"/>
      <c r="YN172" s="922"/>
      <c r="YO172" s="922"/>
      <c r="YP172" s="922"/>
      <c r="YQ172" s="922"/>
      <c r="YR172" s="922"/>
      <c r="YS172" s="922"/>
      <c r="YT172" s="922"/>
      <c r="YU172" s="922"/>
      <c r="YV172" s="922"/>
      <c r="YW172" s="922"/>
      <c r="YX172" s="922"/>
      <c r="YY172" s="922"/>
      <c r="YZ172" s="922"/>
      <c r="ZA172" s="922"/>
      <c r="ZB172" s="922"/>
      <c r="ZC172" s="922"/>
      <c r="ZD172" s="922"/>
      <c r="ZE172" s="922"/>
      <c r="ZF172" s="922"/>
      <c r="ZG172" s="922"/>
      <c r="ZH172" s="922"/>
      <c r="ZI172" s="922"/>
      <c r="ZJ172" s="922"/>
      <c r="ZK172" s="922"/>
      <c r="ZL172" s="922"/>
      <c r="ZM172" s="922"/>
      <c r="ZN172" s="922"/>
      <c r="ZO172" s="922"/>
      <c r="ZP172" s="922"/>
      <c r="ZQ172" s="922"/>
      <c r="ZR172" s="922"/>
      <c r="ZS172" s="922"/>
      <c r="ZT172" s="922"/>
      <c r="ZU172" s="922"/>
      <c r="ZV172" s="922"/>
      <c r="ZW172" s="922"/>
      <c r="ZX172" s="922"/>
      <c r="ZY172" s="922"/>
      <c r="ZZ172" s="922"/>
      <c r="AAA172" s="922"/>
      <c r="AAB172" s="922"/>
      <c r="AAC172" s="922"/>
      <c r="AAD172" s="922"/>
      <c r="AAE172" s="922"/>
      <c r="AAF172" s="922"/>
      <c r="AAG172" s="922"/>
      <c r="AAH172" s="922"/>
      <c r="AAI172" s="922"/>
      <c r="AAJ172" s="922"/>
      <c r="AAK172" s="922"/>
      <c r="AAL172" s="922"/>
      <c r="AAM172" s="922"/>
      <c r="AAN172" s="922"/>
      <c r="AAO172" s="922"/>
      <c r="AAP172" s="922"/>
      <c r="AAQ172" s="922"/>
      <c r="AAR172" s="922"/>
      <c r="AAS172" s="922"/>
      <c r="AAT172" s="922"/>
      <c r="AAU172" s="922"/>
      <c r="AAV172" s="922"/>
      <c r="AAW172" s="922"/>
      <c r="AAX172" s="922"/>
      <c r="AAY172" s="922"/>
      <c r="AAZ172" s="922"/>
      <c r="ABA172" s="922"/>
      <c r="ABB172" s="922"/>
      <c r="ABC172" s="922"/>
      <c r="ABD172" s="922"/>
      <c r="ABE172" s="922"/>
      <c r="ABF172" s="922"/>
      <c r="ABG172" s="922"/>
      <c r="ABH172" s="922"/>
      <c r="ABI172" s="922"/>
      <c r="ABJ172" s="922"/>
      <c r="ABK172" s="922"/>
      <c r="ABL172" s="922"/>
      <c r="ABM172" s="922"/>
      <c r="ABN172" s="922"/>
      <c r="ABO172" s="922"/>
      <c r="ABP172" s="922"/>
      <c r="ABQ172" s="922"/>
      <c r="ABR172" s="922"/>
      <c r="ABS172" s="922"/>
      <c r="ABT172" s="922"/>
      <c r="ABU172" s="922"/>
      <c r="ABV172" s="922"/>
      <c r="ABW172" s="922"/>
      <c r="ABX172" s="922"/>
      <c r="ABY172" s="922"/>
      <c r="ABZ172" s="922"/>
      <c r="ACA172" s="922"/>
      <c r="ACB172" s="922"/>
      <c r="ACC172" s="922"/>
      <c r="ACD172" s="922"/>
      <c r="ACE172" s="922"/>
      <c r="ACF172" s="922"/>
      <c r="ACG172" s="922"/>
      <c r="ACH172" s="922"/>
      <c r="ACI172" s="922"/>
      <c r="ACJ172" s="922"/>
      <c r="ACK172" s="922"/>
      <c r="ACL172" s="922"/>
      <c r="ACM172" s="922"/>
      <c r="ACN172" s="922"/>
      <c r="ACO172" s="922"/>
      <c r="ACP172" s="922"/>
      <c r="ACQ172" s="922"/>
      <c r="ACR172" s="922"/>
      <c r="ACS172" s="922"/>
      <c r="ACT172" s="922"/>
      <c r="ACU172" s="922"/>
      <c r="ACV172" s="922"/>
      <c r="ACW172" s="922"/>
      <c r="ACX172" s="922"/>
      <c r="ACY172" s="922"/>
      <c r="ACZ172" s="922"/>
      <c r="ADA172" s="922"/>
      <c r="ADB172" s="922"/>
      <c r="ADC172" s="922"/>
      <c r="ADD172" s="922"/>
      <c r="ADE172" s="922"/>
      <c r="ADF172" s="922"/>
      <c r="ADG172" s="922"/>
      <c r="ADH172" s="922"/>
      <c r="ADI172" s="922"/>
      <c r="ADJ172" s="922"/>
      <c r="ADK172" s="922"/>
      <c r="ADL172" s="922"/>
      <c r="ADM172" s="922"/>
      <c r="ADN172" s="922"/>
      <c r="ADO172" s="922"/>
      <c r="ADP172" s="922"/>
      <c r="ADQ172" s="922"/>
      <c r="ADR172" s="922"/>
      <c r="ADS172" s="922"/>
      <c r="ADT172" s="922"/>
      <c r="ADU172" s="922"/>
      <c r="ADV172" s="922"/>
      <c r="ADW172" s="922"/>
      <c r="ADX172" s="922"/>
      <c r="ADY172" s="922"/>
      <c r="ADZ172" s="922"/>
      <c r="AEA172" s="922"/>
      <c r="AEB172" s="922"/>
      <c r="AEC172" s="922"/>
      <c r="AED172" s="922"/>
      <c r="AEE172" s="922"/>
      <c r="AEF172" s="922"/>
      <c r="AEG172" s="922"/>
      <c r="AEH172" s="922"/>
      <c r="AEI172" s="922"/>
      <c r="AEJ172" s="922"/>
      <c r="AEK172" s="922"/>
      <c r="AEL172" s="922"/>
      <c r="AEM172" s="922"/>
      <c r="AEN172" s="922"/>
      <c r="AEO172" s="922"/>
      <c r="AEP172" s="922"/>
      <c r="AEQ172" s="922"/>
      <c r="AER172" s="922"/>
      <c r="AES172" s="922"/>
      <c r="AET172" s="922"/>
      <c r="AEU172" s="922"/>
      <c r="AEV172" s="922"/>
      <c r="AEW172" s="922"/>
      <c r="AEX172" s="922"/>
      <c r="AEY172" s="922"/>
      <c r="AEZ172" s="922"/>
      <c r="AFA172" s="922"/>
      <c r="AFB172" s="922"/>
      <c r="AFC172" s="922"/>
      <c r="AFD172" s="922"/>
      <c r="AFE172" s="922"/>
      <c r="AFF172" s="922"/>
      <c r="AFG172" s="922"/>
      <c r="AFH172" s="922"/>
      <c r="AFI172" s="922"/>
      <c r="AFJ172" s="922"/>
      <c r="AFK172" s="922"/>
      <c r="AFL172" s="922"/>
      <c r="AFM172" s="922"/>
      <c r="AFN172" s="922"/>
      <c r="AFO172" s="922"/>
      <c r="AFP172" s="922"/>
      <c r="AFQ172" s="922"/>
      <c r="AFR172" s="922"/>
      <c r="AFS172" s="922"/>
      <c r="AFT172" s="922"/>
      <c r="AFU172" s="922"/>
      <c r="AFV172" s="922"/>
      <c r="AFW172" s="922"/>
      <c r="AFX172" s="922"/>
      <c r="AFY172" s="922"/>
      <c r="AFZ172" s="922"/>
      <c r="AGA172" s="922"/>
      <c r="AGB172" s="922"/>
      <c r="AGC172" s="922"/>
      <c r="AGD172" s="922"/>
      <c r="AGE172" s="922"/>
      <c r="AGF172" s="922"/>
      <c r="AGG172" s="922"/>
      <c r="AGH172" s="922"/>
      <c r="AGI172" s="922"/>
      <c r="AGJ172" s="922"/>
      <c r="AGK172" s="922"/>
      <c r="AGL172" s="922"/>
      <c r="AGM172" s="922"/>
      <c r="AGN172" s="922"/>
      <c r="AGO172" s="922"/>
      <c r="AGP172" s="922"/>
      <c r="AGQ172" s="922"/>
      <c r="AGR172" s="922"/>
      <c r="AGS172" s="922"/>
      <c r="AGT172" s="922"/>
      <c r="AGU172" s="922"/>
      <c r="AGV172" s="922"/>
      <c r="AGW172" s="922"/>
      <c r="AGX172" s="922"/>
      <c r="AGY172" s="922"/>
      <c r="AGZ172" s="922"/>
      <c r="AHA172" s="922"/>
      <c r="AHB172" s="922"/>
      <c r="AHC172" s="922"/>
      <c r="AHD172" s="922"/>
      <c r="AHE172" s="922"/>
      <c r="AHF172" s="922"/>
      <c r="AHG172" s="922"/>
      <c r="AHH172" s="922"/>
      <c r="AHI172" s="922"/>
      <c r="AHJ172" s="922"/>
      <c r="AHK172" s="922"/>
      <c r="AHL172" s="922"/>
      <c r="AHM172" s="922"/>
      <c r="AHN172" s="922"/>
      <c r="AHO172" s="922"/>
      <c r="AHP172" s="922"/>
      <c r="AHQ172" s="922"/>
      <c r="AHR172" s="922"/>
      <c r="AHS172" s="922"/>
      <c r="AHT172" s="922"/>
      <c r="AHU172" s="922"/>
      <c r="AHV172" s="922"/>
      <c r="AHW172" s="922"/>
      <c r="AHX172" s="922"/>
      <c r="AHY172" s="922"/>
      <c r="AHZ172" s="922"/>
      <c r="AIA172" s="922"/>
      <c r="AIB172" s="922"/>
      <c r="AIC172" s="922"/>
      <c r="AID172" s="922"/>
      <c r="AIE172" s="922"/>
      <c r="AIF172" s="922"/>
      <c r="AIG172" s="922"/>
      <c r="AIH172" s="922"/>
      <c r="AII172" s="922"/>
      <c r="AIJ172" s="922"/>
      <c r="AIK172" s="922"/>
      <c r="AIL172" s="922"/>
      <c r="AIM172" s="922"/>
      <c r="AIN172" s="922"/>
      <c r="AIO172" s="922"/>
      <c r="AIP172" s="922"/>
      <c r="AIQ172" s="922"/>
      <c r="AIR172" s="922"/>
      <c r="AIS172" s="922"/>
      <c r="AIT172" s="922"/>
      <c r="AIU172" s="922"/>
      <c r="AIV172" s="922"/>
      <c r="AIW172" s="922"/>
      <c r="AIX172" s="922"/>
      <c r="AIY172" s="922"/>
      <c r="AIZ172" s="922"/>
      <c r="AJA172" s="922"/>
      <c r="AJB172" s="922"/>
      <c r="AJC172" s="922"/>
      <c r="AJD172" s="922"/>
      <c r="AJE172" s="922"/>
      <c r="AJF172" s="922"/>
      <c r="AJG172" s="922"/>
      <c r="AJH172" s="922"/>
      <c r="AJI172" s="922"/>
      <c r="AJJ172" s="922"/>
      <c r="AJK172" s="922"/>
      <c r="AJL172" s="922"/>
      <c r="AJM172" s="922"/>
      <c r="AJN172" s="922"/>
      <c r="AJO172" s="922"/>
      <c r="AJP172" s="922"/>
      <c r="AJQ172" s="922"/>
      <c r="AJR172" s="922"/>
      <c r="AJS172" s="922"/>
      <c r="AJT172" s="922"/>
      <c r="AJU172" s="922"/>
      <c r="AJV172" s="922"/>
      <c r="AJW172" s="922"/>
      <c r="AJX172" s="922"/>
      <c r="AJY172" s="922"/>
      <c r="AJZ172" s="922"/>
      <c r="AKA172" s="922"/>
      <c r="AKB172" s="922"/>
      <c r="AKC172" s="922"/>
      <c r="AKD172" s="922"/>
      <c r="AKE172" s="922"/>
      <c r="AKF172" s="922"/>
      <c r="AKG172" s="922"/>
      <c r="AKH172" s="922"/>
      <c r="AKI172" s="922"/>
      <c r="AKJ172" s="922"/>
      <c r="AKK172" s="922"/>
      <c r="AKL172" s="922"/>
      <c r="AKM172" s="922"/>
      <c r="AKN172" s="922"/>
      <c r="AKO172" s="922"/>
      <c r="AKP172" s="922"/>
      <c r="AKQ172" s="922"/>
      <c r="AKR172" s="922"/>
      <c r="AKS172" s="922"/>
      <c r="AKT172" s="922"/>
      <c r="AKU172" s="922"/>
      <c r="AKV172" s="922"/>
      <c r="AKW172" s="922"/>
      <c r="AKX172" s="922"/>
      <c r="AKY172" s="922"/>
      <c r="AKZ172" s="922"/>
      <c r="ALA172" s="922"/>
      <c r="ALB172" s="922"/>
      <c r="ALC172" s="922"/>
      <c r="ALD172" s="922"/>
      <c r="ALE172" s="922"/>
      <c r="ALF172" s="922"/>
      <c r="ALG172" s="922"/>
      <c r="ALH172" s="922"/>
      <c r="ALI172" s="922"/>
      <c r="ALJ172" s="922"/>
      <c r="ALK172" s="922"/>
      <c r="ALL172" s="922"/>
      <c r="ALM172" s="922"/>
      <c r="ALN172" s="922"/>
      <c r="ALO172" s="922"/>
      <c r="ALP172" s="922"/>
      <c r="ALQ172" s="922"/>
      <c r="ALR172" s="922"/>
      <c r="ALS172" s="922"/>
      <c r="ALT172" s="922"/>
      <c r="ALU172" s="922"/>
      <c r="ALV172" s="922"/>
      <c r="ALW172" s="922"/>
      <c r="ALX172" s="922"/>
      <c r="ALY172" s="922"/>
      <c r="ALZ172" s="922"/>
      <c r="AMA172" s="922"/>
      <c r="AMB172" s="922"/>
      <c r="AMC172" s="922"/>
      <c r="AMD172" s="922"/>
      <c r="AME172" s="922"/>
      <c r="AMF172" s="922"/>
      <c r="AMG172" s="922"/>
      <c r="AMH172" s="922"/>
      <c r="AMI172" s="922"/>
      <c r="AMJ172" s="922"/>
      <c r="AMK172" s="922"/>
      <c r="AML172" s="922"/>
      <c r="AMM172" s="922"/>
      <c r="AMN172" s="922"/>
      <c r="AMO172" s="922"/>
      <c r="AMP172" s="922"/>
      <c r="AMQ172" s="922"/>
      <c r="AMR172" s="922"/>
      <c r="AMS172" s="922"/>
      <c r="AMT172" s="922"/>
      <c r="AMU172" s="922"/>
      <c r="AMV172" s="922"/>
      <c r="AMW172" s="922"/>
      <c r="AMX172" s="922"/>
      <c r="AMY172" s="922"/>
      <c r="AMZ172" s="922"/>
      <c r="ANA172" s="922"/>
      <c r="ANB172" s="922"/>
      <c r="ANC172" s="922"/>
      <c r="AND172" s="922"/>
      <c r="ANE172" s="922"/>
      <c r="ANF172" s="922"/>
      <c r="ANG172" s="922"/>
      <c r="ANH172" s="922"/>
      <c r="ANI172" s="922"/>
      <c r="ANJ172" s="922"/>
      <c r="ANK172" s="922"/>
      <c r="ANL172" s="922"/>
      <c r="ANM172" s="922"/>
      <c r="ANN172" s="922"/>
      <c r="ANO172" s="922"/>
      <c r="ANP172" s="922"/>
      <c r="ANQ172" s="922"/>
      <c r="ANR172" s="922"/>
      <c r="ANS172" s="922"/>
      <c r="ANT172" s="922"/>
      <c r="ANU172" s="922"/>
      <c r="ANV172" s="922"/>
      <c r="ANW172" s="922"/>
      <c r="ANX172" s="922"/>
      <c r="ANY172" s="922"/>
      <c r="ANZ172" s="922"/>
      <c r="AOA172" s="922"/>
      <c r="AOB172" s="922"/>
      <c r="AOC172" s="922"/>
      <c r="AOD172" s="922"/>
      <c r="AOE172" s="922"/>
      <c r="AOF172" s="922"/>
      <c r="AOG172" s="922"/>
      <c r="AOH172" s="922"/>
      <c r="AOI172" s="922"/>
      <c r="AOJ172" s="922"/>
      <c r="AOK172" s="922"/>
      <c r="AOL172" s="922"/>
      <c r="AOM172" s="922"/>
      <c r="AON172" s="922"/>
      <c r="AOO172" s="922"/>
      <c r="AOP172" s="922"/>
      <c r="AOQ172" s="922"/>
      <c r="AOR172" s="922"/>
      <c r="AOS172" s="922"/>
      <c r="AOT172" s="922"/>
      <c r="AOU172" s="922"/>
      <c r="AOV172" s="922"/>
      <c r="AOW172" s="922"/>
      <c r="AOX172" s="922"/>
      <c r="AOY172" s="922"/>
      <c r="AOZ172" s="922"/>
      <c r="APA172" s="922"/>
      <c r="APB172" s="922"/>
      <c r="APC172" s="922"/>
      <c r="APD172" s="922"/>
      <c r="APE172" s="922"/>
      <c r="APF172" s="922"/>
      <c r="APG172" s="922"/>
      <c r="APH172" s="922"/>
      <c r="API172" s="922"/>
      <c r="APJ172" s="922"/>
      <c r="APK172" s="922"/>
      <c r="APL172" s="922"/>
      <c r="APM172" s="922"/>
      <c r="APN172" s="922"/>
      <c r="APO172" s="922"/>
      <c r="APP172" s="922"/>
      <c r="APQ172" s="922"/>
      <c r="APR172" s="922"/>
      <c r="APS172" s="922"/>
      <c r="APT172" s="922"/>
      <c r="APU172" s="922"/>
      <c r="APV172" s="922"/>
      <c r="APW172" s="922"/>
      <c r="APX172" s="922"/>
      <c r="APY172" s="922"/>
      <c r="APZ172" s="922"/>
      <c r="AQA172" s="922"/>
      <c r="AQB172" s="922"/>
      <c r="AQC172" s="922"/>
      <c r="AQD172" s="922"/>
      <c r="AQE172" s="922"/>
      <c r="AQF172" s="922"/>
      <c r="AQG172" s="922"/>
      <c r="AQH172" s="922"/>
      <c r="AQI172" s="922"/>
      <c r="AQJ172" s="922"/>
      <c r="AQK172" s="922"/>
      <c r="AQL172" s="922"/>
      <c r="AQM172" s="922"/>
      <c r="AQN172" s="922"/>
      <c r="AQO172" s="922"/>
      <c r="AQP172" s="922"/>
      <c r="AQQ172" s="922"/>
      <c r="AQR172" s="922"/>
      <c r="AQS172" s="922"/>
      <c r="AQT172" s="922"/>
      <c r="AQU172" s="922"/>
      <c r="AQV172" s="922"/>
      <c r="AQW172" s="922"/>
      <c r="AQX172" s="922"/>
      <c r="AQY172" s="922"/>
      <c r="AQZ172" s="922"/>
      <c r="ARA172" s="922"/>
      <c r="ARB172" s="922"/>
      <c r="ARC172" s="922"/>
      <c r="ARD172" s="922"/>
      <c r="ARE172" s="922"/>
      <c r="ARF172" s="922"/>
      <c r="ARG172" s="922"/>
      <c r="ARH172" s="922"/>
      <c r="ARI172" s="922"/>
      <c r="ARJ172" s="922"/>
      <c r="ARK172" s="922"/>
      <c r="ARL172" s="922"/>
      <c r="ARM172" s="922"/>
      <c r="ARN172" s="922"/>
      <c r="ARO172" s="922"/>
      <c r="ARP172" s="922"/>
      <c r="ARQ172" s="922"/>
      <c r="ARR172" s="922"/>
      <c r="ARS172" s="922"/>
      <c r="ART172" s="922"/>
      <c r="ARU172" s="922"/>
      <c r="ARV172" s="922"/>
      <c r="ARW172" s="922"/>
      <c r="ARX172" s="922"/>
      <c r="ARY172" s="922"/>
      <c r="ARZ172" s="922"/>
      <c r="ASA172" s="922"/>
      <c r="ASB172" s="922"/>
      <c r="ASC172" s="922"/>
    </row>
    <row r="173" spans="1:1173" hidden="1">
      <c r="A173" s="920"/>
      <c r="T173" s="922"/>
      <c r="AN173" s="922"/>
      <c r="AO173" s="922"/>
      <c r="AP173" s="922"/>
      <c r="AQ173" s="922"/>
      <c r="AR173" s="922"/>
      <c r="AS173" s="922"/>
      <c r="AT173" s="922"/>
      <c r="AU173" s="922"/>
      <c r="AV173" s="922"/>
      <c r="AW173" s="922"/>
      <c r="AX173" s="922"/>
      <c r="AY173" s="922"/>
      <c r="AZ173" s="922"/>
      <c r="BA173" s="922"/>
      <c r="BB173" s="922"/>
      <c r="BC173" s="922"/>
      <c r="BD173" s="922"/>
      <c r="BE173" s="922"/>
      <c r="BF173" s="922"/>
      <c r="BG173" s="922"/>
      <c r="BH173" s="922"/>
      <c r="BI173" s="922"/>
      <c r="BJ173" s="922"/>
      <c r="BK173" s="922"/>
      <c r="BL173" s="922"/>
      <c r="BM173" s="922"/>
      <c r="BN173" s="922"/>
      <c r="BO173" s="922"/>
      <c r="BP173" s="922"/>
      <c r="BQ173" s="922"/>
      <c r="BR173" s="922"/>
      <c r="BS173" s="922"/>
      <c r="BT173" s="922"/>
      <c r="BU173" s="922"/>
      <c r="BV173" s="922"/>
      <c r="BW173" s="922"/>
      <c r="BX173" s="922"/>
      <c r="BY173" s="922"/>
      <c r="BZ173" s="922"/>
      <c r="CA173" s="922"/>
      <c r="CB173" s="922"/>
      <c r="CC173" s="922"/>
      <c r="CD173" s="922"/>
      <c r="CE173" s="922"/>
      <c r="CF173" s="922"/>
      <c r="CG173" s="922"/>
      <c r="CH173" s="922"/>
      <c r="CI173" s="922"/>
      <c r="CJ173" s="922"/>
      <c r="CK173" s="922"/>
      <c r="CL173" s="922"/>
      <c r="CM173" s="922"/>
      <c r="CN173" s="922"/>
      <c r="CO173" s="922"/>
      <c r="CP173" s="922"/>
      <c r="CQ173" s="922"/>
      <c r="CR173" s="922"/>
      <c r="CS173" s="922"/>
      <c r="CT173" s="922"/>
      <c r="CU173" s="922"/>
      <c r="CV173" s="922"/>
      <c r="CW173" s="922"/>
      <c r="CX173" s="922"/>
      <c r="CY173" s="922"/>
      <c r="CZ173" s="922"/>
      <c r="DA173" s="922"/>
      <c r="DB173" s="922"/>
      <c r="DC173" s="922"/>
      <c r="DD173" s="922"/>
      <c r="DE173" s="922"/>
      <c r="DF173" s="922"/>
      <c r="DG173" s="922"/>
      <c r="DH173" s="922"/>
      <c r="DI173" s="922"/>
      <c r="DJ173" s="922"/>
      <c r="DK173" s="922"/>
      <c r="DL173" s="922"/>
      <c r="DM173" s="922"/>
      <c r="DN173" s="922"/>
      <c r="DO173" s="922"/>
      <c r="DP173" s="922"/>
      <c r="DQ173" s="922"/>
      <c r="DR173" s="922"/>
      <c r="DS173" s="922"/>
      <c r="DT173" s="922"/>
      <c r="DU173" s="922"/>
      <c r="DV173" s="922"/>
      <c r="DW173" s="922"/>
      <c r="DX173" s="922"/>
      <c r="DY173" s="922"/>
      <c r="DZ173" s="922"/>
      <c r="EA173" s="922"/>
      <c r="EB173" s="922"/>
      <c r="EC173" s="922"/>
      <c r="ED173" s="922"/>
      <c r="EE173" s="922"/>
      <c r="EF173" s="922"/>
      <c r="EG173" s="922"/>
      <c r="EH173" s="922"/>
      <c r="EI173" s="922"/>
      <c r="EJ173" s="922"/>
      <c r="EK173" s="922"/>
      <c r="EL173" s="922"/>
      <c r="EM173" s="922"/>
      <c r="EN173" s="922"/>
      <c r="EO173" s="922"/>
      <c r="EP173" s="922"/>
      <c r="EQ173" s="922"/>
      <c r="ER173" s="922"/>
      <c r="ES173" s="922"/>
      <c r="ET173" s="922"/>
      <c r="EU173" s="922"/>
      <c r="EV173" s="922"/>
      <c r="EW173" s="922"/>
      <c r="EX173" s="922"/>
      <c r="EY173" s="922"/>
      <c r="EZ173" s="922"/>
      <c r="FA173" s="922"/>
      <c r="FB173" s="922"/>
      <c r="FC173" s="922"/>
      <c r="FD173" s="922"/>
      <c r="FE173" s="922"/>
      <c r="FF173" s="922"/>
      <c r="FG173" s="922"/>
      <c r="FH173" s="922"/>
      <c r="FI173" s="922"/>
      <c r="FJ173" s="922"/>
      <c r="FK173" s="922"/>
      <c r="FL173" s="922"/>
      <c r="FM173" s="922"/>
      <c r="FN173" s="922"/>
      <c r="FO173" s="922"/>
      <c r="FP173" s="922"/>
      <c r="FQ173" s="922"/>
      <c r="FR173" s="922"/>
      <c r="FS173" s="922"/>
      <c r="FT173" s="922"/>
      <c r="FU173" s="922"/>
      <c r="FV173" s="922"/>
      <c r="FW173" s="922"/>
      <c r="FX173" s="922"/>
      <c r="FY173" s="922"/>
      <c r="FZ173" s="922"/>
      <c r="GA173" s="922"/>
      <c r="GB173" s="922"/>
      <c r="GC173" s="922"/>
      <c r="GD173" s="922"/>
      <c r="GE173" s="922"/>
      <c r="GF173" s="922"/>
      <c r="GG173" s="922"/>
      <c r="GH173" s="922"/>
      <c r="GI173" s="922"/>
      <c r="GJ173" s="922"/>
      <c r="GK173" s="922"/>
      <c r="GL173" s="922"/>
      <c r="GM173" s="922"/>
      <c r="GN173" s="922"/>
      <c r="GO173" s="922"/>
      <c r="GP173" s="922"/>
      <c r="GQ173" s="922"/>
      <c r="GR173" s="922"/>
      <c r="GS173" s="922"/>
      <c r="GT173" s="922"/>
      <c r="GU173" s="922"/>
      <c r="GV173" s="922"/>
      <c r="GW173" s="922"/>
      <c r="GX173" s="922"/>
      <c r="GY173" s="922"/>
      <c r="GZ173" s="922"/>
      <c r="HA173" s="922"/>
      <c r="HB173" s="922"/>
      <c r="HC173" s="922"/>
      <c r="HD173" s="922"/>
      <c r="HE173" s="922"/>
      <c r="HF173" s="922"/>
      <c r="HG173" s="922"/>
      <c r="HH173" s="922"/>
      <c r="HI173" s="922"/>
      <c r="HJ173" s="922"/>
      <c r="HK173" s="922"/>
      <c r="HL173" s="922"/>
      <c r="HM173" s="922"/>
      <c r="HN173" s="922"/>
      <c r="HO173" s="922"/>
      <c r="HP173" s="922"/>
      <c r="HQ173" s="922"/>
      <c r="HR173" s="922"/>
      <c r="HS173" s="922"/>
      <c r="HT173" s="922"/>
      <c r="HU173" s="922"/>
      <c r="HV173" s="922"/>
      <c r="HW173" s="922"/>
      <c r="HX173" s="922"/>
      <c r="HY173" s="922"/>
      <c r="HZ173" s="922"/>
      <c r="IA173" s="922"/>
      <c r="IB173" s="922"/>
      <c r="IC173" s="922"/>
      <c r="ID173" s="922"/>
      <c r="IE173" s="922"/>
      <c r="IF173" s="922"/>
      <c r="IG173" s="922"/>
      <c r="IH173" s="922"/>
      <c r="II173" s="922"/>
      <c r="IJ173" s="922"/>
      <c r="IK173" s="922"/>
      <c r="IL173" s="922"/>
      <c r="IM173" s="922"/>
      <c r="IN173" s="922"/>
      <c r="IO173" s="922"/>
      <c r="IP173" s="922"/>
      <c r="IQ173" s="922"/>
      <c r="IR173" s="922"/>
      <c r="IS173" s="922"/>
      <c r="IT173" s="922"/>
      <c r="IU173" s="922"/>
      <c r="IV173" s="922"/>
      <c r="IW173" s="922"/>
      <c r="IX173" s="922"/>
      <c r="IY173" s="922"/>
      <c r="IZ173" s="922"/>
      <c r="JA173" s="922"/>
      <c r="JB173" s="922"/>
      <c r="JC173" s="922"/>
      <c r="JD173" s="922"/>
      <c r="JE173" s="922"/>
      <c r="JF173" s="922"/>
      <c r="JG173" s="922"/>
      <c r="JH173" s="922"/>
      <c r="JI173" s="922"/>
      <c r="JJ173" s="922"/>
      <c r="JK173" s="922"/>
      <c r="JL173" s="922"/>
      <c r="JM173" s="922"/>
      <c r="JN173" s="922"/>
      <c r="JO173" s="922"/>
      <c r="JP173" s="922"/>
      <c r="JQ173" s="922"/>
      <c r="JR173" s="922"/>
      <c r="JS173" s="922"/>
      <c r="JT173" s="922"/>
      <c r="JU173" s="922"/>
      <c r="JV173" s="922"/>
      <c r="JW173" s="922"/>
      <c r="JX173" s="922"/>
      <c r="JY173" s="922"/>
      <c r="JZ173" s="922"/>
      <c r="KA173" s="922"/>
      <c r="KB173" s="922"/>
      <c r="KC173" s="922"/>
      <c r="KD173" s="922"/>
      <c r="KE173" s="922"/>
      <c r="KF173" s="922"/>
      <c r="KG173" s="922"/>
      <c r="KH173" s="922"/>
      <c r="KI173" s="922"/>
      <c r="KJ173" s="922"/>
      <c r="KK173" s="922"/>
      <c r="KL173" s="922"/>
      <c r="KM173" s="922"/>
      <c r="KN173" s="922"/>
      <c r="KO173" s="922"/>
      <c r="KP173" s="922"/>
      <c r="KQ173" s="922"/>
      <c r="KR173" s="922"/>
      <c r="KS173" s="922"/>
      <c r="KT173" s="922"/>
      <c r="KU173" s="922"/>
      <c r="KV173" s="922"/>
      <c r="KW173" s="922"/>
      <c r="KX173" s="922"/>
      <c r="KY173" s="922"/>
      <c r="KZ173" s="922"/>
      <c r="LA173" s="922"/>
      <c r="LB173" s="922"/>
      <c r="LC173" s="922"/>
      <c r="LD173" s="922"/>
      <c r="LE173" s="922"/>
      <c r="LF173" s="922"/>
      <c r="LG173" s="922"/>
      <c r="LH173" s="922"/>
      <c r="LI173" s="922"/>
      <c r="LJ173" s="922"/>
      <c r="LK173" s="922"/>
      <c r="LL173" s="922"/>
      <c r="LM173" s="922"/>
      <c r="LN173" s="922"/>
      <c r="LO173" s="922"/>
      <c r="LP173" s="922"/>
      <c r="LQ173" s="922"/>
      <c r="LR173" s="922"/>
      <c r="LS173" s="922"/>
      <c r="LT173" s="922"/>
      <c r="LU173" s="922"/>
      <c r="LV173" s="922"/>
      <c r="LW173" s="922"/>
      <c r="LX173" s="922"/>
      <c r="LY173" s="922"/>
      <c r="LZ173" s="922"/>
      <c r="MA173" s="922"/>
      <c r="MB173" s="922"/>
      <c r="MC173" s="922"/>
      <c r="MD173" s="922"/>
      <c r="ME173" s="922"/>
      <c r="MF173" s="922"/>
      <c r="MG173" s="922"/>
      <c r="MH173" s="922"/>
      <c r="MI173" s="922"/>
      <c r="MJ173" s="922"/>
      <c r="MK173" s="922"/>
      <c r="ML173" s="922"/>
      <c r="MM173" s="922"/>
      <c r="MN173" s="922"/>
      <c r="MO173" s="922"/>
      <c r="MP173" s="922"/>
      <c r="MQ173" s="922"/>
      <c r="MR173" s="922"/>
      <c r="MS173" s="922"/>
      <c r="MT173" s="922"/>
      <c r="MU173" s="922"/>
      <c r="MV173" s="922"/>
      <c r="MW173" s="922"/>
      <c r="MX173" s="922"/>
      <c r="MY173" s="922"/>
      <c r="MZ173" s="922"/>
      <c r="NA173" s="922"/>
      <c r="NB173" s="922"/>
      <c r="NC173" s="922"/>
      <c r="ND173" s="922"/>
      <c r="NE173" s="922"/>
      <c r="NF173" s="922"/>
      <c r="NG173" s="922"/>
      <c r="NH173" s="922"/>
      <c r="NI173" s="922"/>
      <c r="NJ173" s="922"/>
      <c r="NK173" s="922"/>
      <c r="NL173" s="922"/>
      <c r="NM173" s="922"/>
      <c r="NN173" s="922"/>
      <c r="NO173" s="922"/>
      <c r="NP173" s="922"/>
      <c r="NQ173" s="922"/>
      <c r="NR173" s="922"/>
      <c r="NS173" s="922"/>
      <c r="NT173" s="922"/>
      <c r="NU173" s="922"/>
      <c r="NV173" s="922"/>
      <c r="NW173" s="922"/>
      <c r="NX173" s="922"/>
      <c r="NY173" s="922"/>
      <c r="NZ173" s="922"/>
      <c r="OA173" s="922"/>
      <c r="OB173" s="922"/>
      <c r="OC173" s="922"/>
      <c r="OD173" s="922"/>
      <c r="OE173" s="922"/>
      <c r="OF173" s="922"/>
      <c r="OG173" s="922"/>
      <c r="OH173" s="922"/>
      <c r="OI173" s="922"/>
      <c r="OJ173" s="922"/>
      <c r="OK173" s="922"/>
      <c r="OL173" s="922"/>
      <c r="OM173" s="922"/>
      <c r="ON173" s="922"/>
      <c r="OO173" s="922"/>
      <c r="OP173" s="922"/>
      <c r="OQ173" s="922"/>
      <c r="OR173" s="922"/>
      <c r="OS173" s="922"/>
      <c r="OT173" s="922"/>
      <c r="OU173" s="922"/>
      <c r="OV173" s="922"/>
      <c r="OW173" s="922"/>
      <c r="OX173" s="922"/>
      <c r="OY173" s="922"/>
      <c r="OZ173" s="922"/>
      <c r="PA173" s="922"/>
      <c r="PB173" s="922"/>
      <c r="PC173" s="922"/>
      <c r="PD173" s="922"/>
      <c r="PE173" s="922"/>
      <c r="PF173" s="922"/>
      <c r="PG173" s="922"/>
      <c r="PH173" s="922"/>
      <c r="PI173" s="922"/>
      <c r="PJ173" s="922"/>
      <c r="PK173" s="922"/>
      <c r="PL173" s="922"/>
      <c r="PM173" s="922"/>
      <c r="PN173" s="922"/>
      <c r="PO173" s="922"/>
      <c r="PP173" s="922"/>
      <c r="PQ173" s="922"/>
      <c r="PR173" s="922"/>
      <c r="PS173" s="922"/>
      <c r="PT173" s="922"/>
      <c r="PU173" s="922"/>
      <c r="PV173" s="922"/>
      <c r="PW173" s="922"/>
      <c r="PX173" s="922"/>
      <c r="PY173" s="922"/>
      <c r="PZ173" s="922"/>
      <c r="QA173" s="922"/>
      <c r="QB173" s="922"/>
      <c r="QC173" s="922"/>
      <c r="QD173" s="922"/>
      <c r="QE173" s="922"/>
      <c r="QF173" s="922"/>
      <c r="QG173" s="922"/>
      <c r="QH173" s="922"/>
      <c r="QI173" s="922"/>
      <c r="QJ173" s="922"/>
      <c r="QK173" s="922"/>
      <c r="QL173" s="922"/>
      <c r="QM173" s="922"/>
      <c r="QN173" s="922"/>
      <c r="QO173" s="922"/>
      <c r="QP173" s="922"/>
      <c r="QQ173" s="922"/>
      <c r="QR173" s="922"/>
      <c r="QS173" s="922"/>
      <c r="QT173" s="922"/>
      <c r="QU173" s="922"/>
      <c r="QV173" s="922"/>
      <c r="QW173" s="922"/>
      <c r="QX173" s="922"/>
      <c r="QY173" s="922"/>
      <c r="QZ173" s="922"/>
      <c r="RA173" s="922"/>
      <c r="RB173" s="922"/>
      <c r="RC173" s="922"/>
      <c r="RD173" s="922"/>
      <c r="RE173" s="922"/>
      <c r="RF173" s="922"/>
      <c r="RG173" s="922"/>
      <c r="RH173" s="922"/>
      <c r="RI173" s="922"/>
      <c r="RJ173" s="922"/>
      <c r="RK173" s="922"/>
      <c r="RL173" s="922"/>
      <c r="RM173" s="922"/>
      <c r="RN173" s="922"/>
      <c r="RO173" s="922"/>
      <c r="RP173" s="922"/>
      <c r="RQ173" s="922"/>
      <c r="RR173" s="922"/>
      <c r="RS173" s="922"/>
      <c r="RT173" s="922"/>
      <c r="RU173" s="922"/>
      <c r="RV173" s="922"/>
      <c r="RW173" s="922"/>
      <c r="RX173" s="922"/>
      <c r="RY173" s="922"/>
      <c r="RZ173" s="922"/>
      <c r="SA173" s="922"/>
      <c r="SB173" s="922"/>
      <c r="SC173" s="922"/>
      <c r="SD173" s="922"/>
      <c r="SE173" s="922"/>
      <c r="SF173" s="922"/>
      <c r="SG173" s="922"/>
      <c r="SH173" s="922"/>
      <c r="SI173" s="922"/>
      <c r="SJ173" s="922"/>
      <c r="SK173" s="922"/>
      <c r="SL173" s="922"/>
      <c r="SM173" s="922"/>
      <c r="SN173" s="922"/>
      <c r="SO173" s="922"/>
      <c r="SP173" s="922"/>
      <c r="SQ173" s="922"/>
      <c r="SR173" s="922"/>
      <c r="SS173" s="922"/>
      <c r="ST173" s="922"/>
      <c r="SU173" s="922"/>
      <c r="SV173" s="922"/>
      <c r="SW173" s="922"/>
      <c r="SX173" s="922"/>
      <c r="SY173" s="922"/>
      <c r="SZ173" s="922"/>
      <c r="TA173" s="922"/>
      <c r="TB173" s="922"/>
      <c r="TC173" s="922"/>
      <c r="TD173" s="922"/>
      <c r="TE173" s="922"/>
      <c r="TF173" s="922"/>
      <c r="TG173" s="922"/>
      <c r="TH173" s="922"/>
      <c r="TI173" s="922"/>
      <c r="TJ173" s="922"/>
      <c r="TK173" s="922"/>
      <c r="TL173" s="922"/>
      <c r="TM173" s="922"/>
      <c r="TN173" s="922"/>
      <c r="TO173" s="922"/>
      <c r="TP173" s="922"/>
      <c r="TQ173" s="922"/>
      <c r="TR173" s="922"/>
      <c r="TS173" s="922"/>
      <c r="TT173" s="922"/>
      <c r="TU173" s="922"/>
      <c r="TV173" s="922"/>
      <c r="TW173" s="922"/>
      <c r="TX173" s="922"/>
      <c r="TY173" s="922"/>
      <c r="TZ173" s="922"/>
      <c r="UA173" s="922"/>
      <c r="UB173" s="922"/>
      <c r="UC173" s="922"/>
      <c r="UD173" s="922"/>
      <c r="UE173" s="922"/>
      <c r="UF173" s="922"/>
      <c r="UG173" s="922"/>
      <c r="UH173" s="922"/>
      <c r="UI173" s="922"/>
      <c r="UJ173" s="922"/>
      <c r="UK173" s="922"/>
      <c r="UL173" s="922"/>
      <c r="UM173" s="922"/>
      <c r="UN173" s="922"/>
      <c r="UO173" s="922"/>
      <c r="UP173" s="922"/>
      <c r="UQ173" s="922"/>
      <c r="UR173" s="922"/>
      <c r="US173" s="922"/>
      <c r="UT173" s="922"/>
      <c r="UU173" s="922"/>
      <c r="UV173" s="922"/>
      <c r="UW173" s="922"/>
      <c r="UX173" s="922"/>
      <c r="UY173" s="922"/>
      <c r="UZ173" s="922"/>
      <c r="VA173" s="922"/>
      <c r="VB173" s="922"/>
      <c r="VC173" s="922"/>
      <c r="VD173" s="922"/>
      <c r="VE173" s="922"/>
      <c r="VF173" s="922"/>
      <c r="VG173" s="922"/>
      <c r="VH173" s="922"/>
      <c r="VI173" s="922"/>
      <c r="VJ173" s="922"/>
      <c r="VK173" s="922"/>
      <c r="VL173" s="922"/>
      <c r="VM173" s="922"/>
      <c r="VN173" s="922"/>
      <c r="VO173" s="922"/>
      <c r="VP173" s="922"/>
      <c r="VQ173" s="922"/>
      <c r="VR173" s="922"/>
      <c r="VS173" s="922"/>
      <c r="VT173" s="922"/>
      <c r="VU173" s="922"/>
      <c r="VV173" s="922"/>
      <c r="VW173" s="922"/>
      <c r="VX173" s="922"/>
      <c r="VY173" s="922"/>
      <c r="VZ173" s="922"/>
      <c r="WA173" s="922"/>
      <c r="WB173" s="922"/>
      <c r="WC173" s="922"/>
      <c r="WD173" s="922"/>
      <c r="WE173" s="922"/>
      <c r="WF173" s="922"/>
      <c r="WG173" s="922"/>
      <c r="WH173" s="922"/>
      <c r="WI173" s="922"/>
      <c r="WJ173" s="922"/>
      <c r="WK173" s="922"/>
      <c r="WL173" s="922"/>
      <c r="WM173" s="922"/>
      <c r="WN173" s="922"/>
      <c r="WO173" s="922"/>
      <c r="WP173" s="922"/>
      <c r="WQ173" s="922"/>
      <c r="WR173" s="922"/>
      <c r="WS173" s="922"/>
      <c r="WT173" s="922"/>
      <c r="WU173" s="922"/>
      <c r="WV173" s="922"/>
      <c r="WW173" s="922"/>
      <c r="WX173" s="922"/>
      <c r="WY173" s="922"/>
      <c r="WZ173" s="922"/>
      <c r="XA173" s="922"/>
      <c r="XB173" s="922"/>
      <c r="XC173" s="922"/>
      <c r="XD173" s="922"/>
      <c r="XE173" s="922"/>
      <c r="XF173" s="922"/>
      <c r="XG173" s="922"/>
      <c r="XH173" s="922"/>
      <c r="XI173" s="922"/>
      <c r="XJ173" s="922"/>
      <c r="XK173" s="922"/>
      <c r="XL173" s="922"/>
      <c r="XM173" s="922"/>
      <c r="XN173" s="922"/>
      <c r="XO173" s="922"/>
      <c r="XP173" s="922"/>
      <c r="XQ173" s="922"/>
      <c r="XR173" s="922"/>
      <c r="XS173" s="922"/>
      <c r="XT173" s="922"/>
      <c r="XU173" s="922"/>
      <c r="XV173" s="922"/>
      <c r="XW173" s="922"/>
      <c r="XX173" s="922"/>
      <c r="XY173" s="922"/>
      <c r="XZ173" s="922"/>
      <c r="YA173" s="922"/>
      <c r="YB173" s="922"/>
      <c r="YC173" s="922"/>
      <c r="YD173" s="922"/>
      <c r="YE173" s="922"/>
      <c r="YF173" s="922"/>
      <c r="YG173" s="922"/>
      <c r="YH173" s="922"/>
      <c r="YI173" s="922"/>
      <c r="YJ173" s="922"/>
      <c r="YK173" s="922"/>
      <c r="YL173" s="922"/>
      <c r="YM173" s="922"/>
      <c r="YN173" s="922"/>
      <c r="YO173" s="922"/>
      <c r="YP173" s="922"/>
      <c r="YQ173" s="922"/>
      <c r="YR173" s="922"/>
      <c r="YS173" s="922"/>
      <c r="YT173" s="922"/>
      <c r="YU173" s="922"/>
      <c r="YV173" s="922"/>
      <c r="YW173" s="922"/>
      <c r="YX173" s="922"/>
      <c r="YY173" s="922"/>
      <c r="YZ173" s="922"/>
      <c r="ZA173" s="922"/>
      <c r="ZB173" s="922"/>
      <c r="ZC173" s="922"/>
      <c r="ZD173" s="922"/>
      <c r="ZE173" s="922"/>
      <c r="ZF173" s="922"/>
      <c r="ZG173" s="922"/>
      <c r="ZH173" s="922"/>
      <c r="ZI173" s="922"/>
      <c r="ZJ173" s="922"/>
      <c r="ZK173" s="922"/>
      <c r="ZL173" s="922"/>
      <c r="ZM173" s="922"/>
      <c r="ZN173" s="922"/>
      <c r="ZO173" s="922"/>
      <c r="ZP173" s="922"/>
      <c r="ZQ173" s="922"/>
      <c r="ZR173" s="922"/>
      <c r="ZS173" s="922"/>
      <c r="ZT173" s="922"/>
      <c r="ZU173" s="922"/>
      <c r="ZV173" s="922"/>
      <c r="ZW173" s="922"/>
      <c r="ZX173" s="922"/>
      <c r="ZY173" s="922"/>
      <c r="ZZ173" s="922"/>
      <c r="AAA173" s="922"/>
      <c r="AAB173" s="922"/>
      <c r="AAC173" s="922"/>
      <c r="AAD173" s="922"/>
      <c r="AAE173" s="922"/>
      <c r="AAF173" s="922"/>
      <c r="AAG173" s="922"/>
      <c r="AAH173" s="922"/>
      <c r="AAI173" s="922"/>
      <c r="AAJ173" s="922"/>
      <c r="AAK173" s="922"/>
      <c r="AAL173" s="922"/>
      <c r="AAM173" s="922"/>
      <c r="AAN173" s="922"/>
      <c r="AAO173" s="922"/>
      <c r="AAP173" s="922"/>
      <c r="AAQ173" s="922"/>
      <c r="AAR173" s="922"/>
      <c r="AAS173" s="922"/>
      <c r="AAT173" s="922"/>
      <c r="AAU173" s="922"/>
      <c r="AAV173" s="922"/>
      <c r="AAW173" s="922"/>
      <c r="AAX173" s="922"/>
      <c r="AAY173" s="922"/>
      <c r="AAZ173" s="922"/>
      <c r="ABA173" s="922"/>
      <c r="ABB173" s="922"/>
      <c r="ABC173" s="922"/>
      <c r="ABD173" s="922"/>
      <c r="ABE173" s="922"/>
      <c r="ABF173" s="922"/>
      <c r="ABG173" s="922"/>
      <c r="ABH173" s="922"/>
      <c r="ABI173" s="922"/>
      <c r="ABJ173" s="922"/>
      <c r="ABK173" s="922"/>
      <c r="ABL173" s="922"/>
      <c r="ABM173" s="922"/>
      <c r="ABN173" s="922"/>
      <c r="ABO173" s="922"/>
      <c r="ABP173" s="922"/>
      <c r="ABQ173" s="922"/>
      <c r="ABR173" s="922"/>
      <c r="ABS173" s="922"/>
      <c r="ABT173" s="922"/>
      <c r="ABU173" s="922"/>
      <c r="ABV173" s="922"/>
      <c r="ABW173" s="922"/>
      <c r="ABX173" s="922"/>
      <c r="ABY173" s="922"/>
      <c r="ABZ173" s="922"/>
      <c r="ACA173" s="922"/>
      <c r="ACB173" s="922"/>
      <c r="ACC173" s="922"/>
      <c r="ACD173" s="922"/>
      <c r="ACE173" s="922"/>
      <c r="ACF173" s="922"/>
      <c r="ACG173" s="922"/>
      <c r="ACH173" s="922"/>
      <c r="ACI173" s="922"/>
      <c r="ACJ173" s="922"/>
      <c r="ACK173" s="922"/>
      <c r="ACL173" s="922"/>
      <c r="ACM173" s="922"/>
      <c r="ACN173" s="922"/>
      <c r="ACO173" s="922"/>
      <c r="ACP173" s="922"/>
      <c r="ACQ173" s="922"/>
      <c r="ACR173" s="922"/>
      <c r="ACS173" s="922"/>
      <c r="ACT173" s="922"/>
      <c r="ACU173" s="922"/>
      <c r="ACV173" s="922"/>
      <c r="ACW173" s="922"/>
      <c r="ACX173" s="922"/>
      <c r="ACY173" s="922"/>
      <c r="ACZ173" s="922"/>
      <c r="ADA173" s="922"/>
      <c r="ADB173" s="922"/>
      <c r="ADC173" s="922"/>
      <c r="ADD173" s="922"/>
      <c r="ADE173" s="922"/>
      <c r="ADF173" s="922"/>
      <c r="ADG173" s="922"/>
      <c r="ADH173" s="922"/>
      <c r="ADI173" s="922"/>
      <c r="ADJ173" s="922"/>
      <c r="ADK173" s="922"/>
      <c r="ADL173" s="922"/>
      <c r="ADM173" s="922"/>
      <c r="ADN173" s="922"/>
      <c r="ADO173" s="922"/>
      <c r="ADP173" s="922"/>
      <c r="ADQ173" s="922"/>
      <c r="ADR173" s="922"/>
      <c r="ADS173" s="922"/>
      <c r="ADT173" s="922"/>
      <c r="ADU173" s="922"/>
      <c r="ADV173" s="922"/>
      <c r="ADW173" s="922"/>
      <c r="ADX173" s="922"/>
      <c r="ADY173" s="922"/>
      <c r="ADZ173" s="922"/>
      <c r="AEA173" s="922"/>
      <c r="AEB173" s="922"/>
      <c r="AEC173" s="922"/>
      <c r="AED173" s="922"/>
      <c r="AEE173" s="922"/>
      <c r="AEF173" s="922"/>
      <c r="AEG173" s="922"/>
      <c r="AEH173" s="922"/>
      <c r="AEI173" s="922"/>
      <c r="AEJ173" s="922"/>
      <c r="AEK173" s="922"/>
      <c r="AEL173" s="922"/>
      <c r="AEM173" s="922"/>
      <c r="AEN173" s="922"/>
      <c r="AEO173" s="922"/>
      <c r="AEP173" s="922"/>
      <c r="AEQ173" s="922"/>
      <c r="AER173" s="922"/>
      <c r="AES173" s="922"/>
      <c r="AET173" s="922"/>
      <c r="AEU173" s="922"/>
      <c r="AEV173" s="922"/>
      <c r="AEW173" s="922"/>
      <c r="AEX173" s="922"/>
      <c r="AEY173" s="922"/>
      <c r="AEZ173" s="922"/>
      <c r="AFA173" s="922"/>
      <c r="AFB173" s="922"/>
      <c r="AFC173" s="922"/>
      <c r="AFD173" s="922"/>
      <c r="AFE173" s="922"/>
      <c r="AFF173" s="922"/>
      <c r="AFG173" s="922"/>
      <c r="AFH173" s="922"/>
      <c r="AFI173" s="922"/>
      <c r="AFJ173" s="922"/>
      <c r="AFK173" s="922"/>
      <c r="AFL173" s="922"/>
      <c r="AFM173" s="922"/>
      <c r="AFN173" s="922"/>
      <c r="AFO173" s="922"/>
      <c r="AFP173" s="922"/>
      <c r="AFQ173" s="922"/>
      <c r="AFR173" s="922"/>
      <c r="AFS173" s="922"/>
      <c r="AFT173" s="922"/>
      <c r="AFU173" s="922"/>
      <c r="AFV173" s="922"/>
      <c r="AFW173" s="922"/>
      <c r="AFX173" s="922"/>
      <c r="AFY173" s="922"/>
      <c r="AFZ173" s="922"/>
      <c r="AGA173" s="922"/>
      <c r="AGB173" s="922"/>
      <c r="AGC173" s="922"/>
      <c r="AGD173" s="922"/>
      <c r="AGE173" s="922"/>
      <c r="AGF173" s="922"/>
      <c r="AGG173" s="922"/>
      <c r="AGH173" s="922"/>
      <c r="AGI173" s="922"/>
      <c r="AGJ173" s="922"/>
      <c r="AGK173" s="922"/>
      <c r="AGL173" s="922"/>
      <c r="AGM173" s="922"/>
      <c r="AGN173" s="922"/>
      <c r="AGO173" s="922"/>
      <c r="AGP173" s="922"/>
      <c r="AGQ173" s="922"/>
      <c r="AGR173" s="922"/>
      <c r="AGS173" s="922"/>
      <c r="AGT173" s="922"/>
      <c r="AGU173" s="922"/>
      <c r="AGV173" s="922"/>
      <c r="AGW173" s="922"/>
      <c r="AGX173" s="922"/>
      <c r="AGY173" s="922"/>
      <c r="AGZ173" s="922"/>
      <c r="AHA173" s="922"/>
      <c r="AHB173" s="922"/>
      <c r="AHC173" s="922"/>
      <c r="AHD173" s="922"/>
      <c r="AHE173" s="922"/>
      <c r="AHF173" s="922"/>
      <c r="AHG173" s="922"/>
      <c r="AHH173" s="922"/>
      <c r="AHI173" s="922"/>
      <c r="AHJ173" s="922"/>
      <c r="AHK173" s="922"/>
      <c r="AHL173" s="922"/>
      <c r="AHM173" s="922"/>
      <c r="AHN173" s="922"/>
      <c r="AHO173" s="922"/>
      <c r="AHP173" s="922"/>
      <c r="AHQ173" s="922"/>
      <c r="AHR173" s="922"/>
      <c r="AHS173" s="922"/>
      <c r="AHT173" s="922"/>
      <c r="AHU173" s="922"/>
      <c r="AHV173" s="922"/>
      <c r="AHW173" s="922"/>
      <c r="AHX173" s="922"/>
      <c r="AHY173" s="922"/>
      <c r="AHZ173" s="922"/>
      <c r="AIA173" s="922"/>
      <c r="AIB173" s="922"/>
      <c r="AIC173" s="922"/>
      <c r="AID173" s="922"/>
      <c r="AIE173" s="922"/>
      <c r="AIF173" s="922"/>
      <c r="AIG173" s="922"/>
      <c r="AIH173" s="922"/>
      <c r="AII173" s="922"/>
      <c r="AIJ173" s="922"/>
      <c r="AIK173" s="922"/>
      <c r="AIL173" s="922"/>
      <c r="AIM173" s="922"/>
      <c r="AIN173" s="922"/>
      <c r="AIO173" s="922"/>
      <c r="AIP173" s="922"/>
      <c r="AIQ173" s="922"/>
      <c r="AIR173" s="922"/>
      <c r="AIS173" s="922"/>
      <c r="AIT173" s="922"/>
      <c r="AIU173" s="922"/>
      <c r="AIV173" s="922"/>
      <c r="AIW173" s="922"/>
      <c r="AIX173" s="922"/>
      <c r="AIY173" s="922"/>
      <c r="AIZ173" s="922"/>
      <c r="AJA173" s="922"/>
      <c r="AJB173" s="922"/>
      <c r="AJC173" s="922"/>
      <c r="AJD173" s="922"/>
      <c r="AJE173" s="922"/>
      <c r="AJF173" s="922"/>
      <c r="AJG173" s="922"/>
      <c r="AJH173" s="922"/>
      <c r="AJI173" s="922"/>
      <c r="AJJ173" s="922"/>
      <c r="AJK173" s="922"/>
      <c r="AJL173" s="922"/>
      <c r="AJM173" s="922"/>
      <c r="AJN173" s="922"/>
      <c r="AJO173" s="922"/>
      <c r="AJP173" s="922"/>
      <c r="AJQ173" s="922"/>
      <c r="AJR173" s="922"/>
      <c r="AJS173" s="922"/>
      <c r="AJT173" s="922"/>
      <c r="AJU173" s="922"/>
      <c r="AJV173" s="922"/>
      <c r="AJW173" s="922"/>
      <c r="AJX173" s="922"/>
      <c r="AJY173" s="922"/>
      <c r="AJZ173" s="922"/>
      <c r="AKA173" s="922"/>
      <c r="AKB173" s="922"/>
      <c r="AKC173" s="922"/>
      <c r="AKD173" s="922"/>
      <c r="AKE173" s="922"/>
      <c r="AKF173" s="922"/>
      <c r="AKG173" s="922"/>
      <c r="AKH173" s="922"/>
      <c r="AKI173" s="922"/>
      <c r="AKJ173" s="922"/>
      <c r="AKK173" s="922"/>
      <c r="AKL173" s="922"/>
      <c r="AKM173" s="922"/>
      <c r="AKN173" s="922"/>
      <c r="AKO173" s="922"/>
      <c r="AKP173" s="922"/>
      <c r="AKQ173" s="922"/>
      <c r="AKR173" s="922"/>
      <c r="AKS173" s="922"/>
      <c r="AKT173" s="922"/>
      <c r="AKU173" s="922"/>
      <c r="AKV173" s="922"/>
      <c r="AKW173" s="922"/>
      <c r="AKX173" s="922"/>
      <c r="AKY173" s="922"/>
      <c r="AKZ173" s="922"/>
      <c r="ALA173" s="922"/>
      <c r="ALB173" s="922"/>
      <c r="ALC173" s="922"/>
      <c r="ALD173" s="922"/>
      <c r="ALE173" s="922"/>
      <c r="ALF173" s="922"/>
      <c r="ALG173" s="922"/>
      <c r="ALH173" s="922"/>
      <c r="ALI173" s="922"/>
      <c r="ALJ173" s="922"/>
      <c r="ALK173" s="922"/>
      <c r="ALL173" s="922"/>
      <c r="ALM173" s="922"/>
      <c r="ALN173" s="922"/>
      <c r="ALO173" s="922"/>
      <c r="ALP173" s="922"/>
      <c r="ALQ173" s="922"/>
      <c r="ALR173" s="922"/>
      <c r="ALS173" s="922"/>
      <c r="ALT173" s="922"/>
      <c r="ALU173" s="922"/>
      <c r="ALV173" s="922"/>
      <c r="ALW173" s="922"/>
      <c r="ALX173" s="922"/>
      <c r="ALY173" s="922"/>
      <c r="ALZ173" s="922"/>
      <c r="AMA173" s="922"/>
      <c r="AMB173" s="922"/>
      <c r="AMC173" s="922"/>
      <c r="AMD173" s="922"/>
      <c r="AME173" s="922"/>
      <c r="AMF173" s="922"/>
      <c r="AMG173" s="922"/>
      <c r="AMH173" s="922"/>
      <c r="AMI173" s="922"/>
      <c r="AMJ173" s="922"/>
      <c r="AMK173" s="922"/>
      <c r="AML173" s="922"/>
      <c r="AMM173" s="922"/>
      <c r="AMN173" s="922"/>
      <c r="AMO173" s="922"/>
      <c r="AMP173" s="922"/>
      <c r="AMQ173" s="922"/>
      <c r="AMR173" s="922"/>
      <c r="AMS173" s="922"/>
      <c r="AMT173" s="922"/>
      <c r="AMU173" s="922"/>
      <c r="AMV173" s="922"/>
      <c r="AMW173" s="922"/>
      <c r="AMX173" s="922"/>
      <c r="AMY173" s="922"/>
      <c r="AMZ173" s="922"/>
      <c r="ANA173" s="922"/>
      <c r="ANB173" s="922"/>
      <c r="ANC173" s="922"/>
      <c r="AND173" s="922"/>
      <c r="ANE173" s="922"/>
      <c r="ANF173" s="922"/>
      <c r="ANG173" s="922"/>
      <c r="ANH173" s="922"/>
      <c r="ANI173" s="922"/>
      <c r="ANJ173" s="922"/>
      <c r="ANK173" s="922"/>
      <c r="ANL173" s="922"/>
      <c r="ANM173" s="922"/>
      <c r="ANN173" s="922"/>
      <c r="ANO173" s="922"/>
      <c r="ANP173" s="922"/>
      <c r="ANQ173" s="922"/>
      <c r="ANR173" s="922"/>
      <c r="ANS173" s="922"/>
      <c r="ANT173" s="922"/>
      <c r="ANU173" s="922"/>
      <c r="ANV173" s="922"/>
      <c r="ANW173" s="922"/>
      <c r="ANX173" s="922"/>
      <c r="ANY173" s="922"/>
      <c r="ANZ173" s="922"/>
      <c r="AOA173" s="922"/>
      <c r="AOB173" s="922"/>
      <c r="AOC173" s="922"/>
      <c r="AOD173" s="922"/>
      <c r="AOE173" s="922"/>
      <c r="AOF173" s="922"/>
      <c r="AOG173" s="922"/>
      <c r="AOH173" s="922"/>
      <c r="AOI173" s="922"/>
      <c r="AOJ173" s="922"/>
      <c r="AOK173" s="922"/>
      <c r="AOL173" s="922"/>
      <c r="AOM173" s="922"/>
      <c r="AON173" s="922"/>
      <c r="AOO173" s="922"/>
      <c r="AOP173" s="922"/>
      <c r="AOQ173" s="922"/>
      <c r="AOR173" s="922"/>
      <c r="AOS173" s="922"/>
      <c r="AOT173" s="922"/>
      <c r="AOU173" s="922"/>
      <c r="AOV173" s="922"/>
      <c r="AOW173" s="922"/>
      <c r="AOX173" s="922"/>
      <c r="AOY173" s="922"/>
      <c r="AOZ173" s="922"/>
      <c r="APA173" s="922"/>
      <c r="APB173" s="922"/>
      <c r="APC173" s="922"/>
      <c r="APD173" s="922"/>
      <c r="APE173" s="922"/>
      <c r="APF173" s="922"/>
      <c r="APG173" s="922"/>
      <c r="APH173" s="922"/>
      <c r="API173" s="922"/>
      <c r="APJ173" s="922"/>
      <c r="APK173" s="922"/>
      <c r="APL173" s="922"/>
      <c r="APM173" s="922"/>
      <c r="APN173" s="922"/>
      <c r="APO173" s="922"/>
      <c r="APP173" s="922"/>
      <c r="APQ173" s="922"/>
      <c r="APR173" s="922"/>
      <c r="APS173" s="922"/>
      <c r="APT173" s="922"/>
      <c r="APU173" s="922"/>
      <c r="APV173" s="922"/>
      <c r="APW173" s="922"/>
      <c r="APX173" s="922"/>
      <c r="APY173" s="922"/>
      <c r="APZ173" s="922"/>
      <c r="AQA173" s="922"/>
      <c r="AQB173" s="922"/>
      <c r="AQC173" s="922"/>
      <c r="AQD173" s="922"/>
      <c r="AQE173" s="922"/>
      <c r="AQF173" s="922"/>
      <c r="AQG173" s="922"/>
      <c r="AQH173" s="922"/>
      <c r="AQI173" s="922"/>
      <c r="AQJ173" s="922"/>
      <c r="AQK173" s="922"/>
      <c r="AQL173" s="922"/>
      <c r="AQM173" s="922"/>
      <c r="AQN173" s="922"/>
      <c r="AQO173" s="922"/>
      <c r="AQP173" s="922"/>
      <c r="AQQ173" s="922"/>
      <c r="AQR173" s="922"/>
      <c r="AQS173" s="922"/>
      <c r="AQT173" s="922"/>
      <c r="AQU173" s="922"/>
      <c r="AQV173" s="922"/>
      <c r="AQW173" s="922"/>
      <c r="AQX173" s="922"/>
      <c r="AQY173" s="922"/>
      <c r="AQZ173" s="922"/>
      <c r="ARA173" s="922"/>
      <c r="ARB173" s="922"/>
      <c r="ARC173" s="922"/>
      <c r="ARD173" s="922"/>
      <c r="ARE173" s="922"/>
      <c r="ARF173" s="922"/>
      <c r="ARG173" s="922"/>
      <c r="ARH173" s="922"/>
      <c r="ARI173" s="922"/>
      <c r="ARJ173" s="922"/>
      <c r="ARK173" s="922"/>
      <c r="ARL173" s="922"/>
      <c r="ARM173" s="922"/>
      <c r="ARN173" s="922"/>
      <c r="ARO173" s="922"/>
      <c r="ARP173" s="922"/>
      <c r="ARQ173" s="922"/>
      <c r="ARR173" s="922"/>
      <c r="ARS173" s="922"/>
      <c r="ART173" s="922"/>
      <c r="ARU173" s="922"/>
      <c r="ARV173" s="922"/>
      <c r="ARW173" s="922"/>
      <c r="ARX173" s="922"/>
      <c r="ARY173" s="922"/>
      <c r="ARZ173" s="922"/>
      <c r="ASA173" s="922"/>
      <c r="ASB173" s="922"/>
      <c r="ASC173" s="922"/>
    </row>
    <row r="174" spans="1:1173" hidden="1">
      <c r="A174" s="920"/>
      <c r="T174" s="922"/>
      <c r="AN174" s="922"/>
      <c r="AO174" s="922"/>
      <c r="AP174" s="922"/>
      <c r="AQ174" s="922"/>
      <c r="AR174" s="922"/>
      <c r="AS174" s="922"/>
      <c r="AT174" s="922"/>
      <c r="AU174" s="922"/>
      <c r="AV174" s="922"/>
      <c r="AW174" s="922"/>
      <c r="AX174" s="922"/>
      <c r="AY174" s="922"/>
      <c r="AZ174" s="922"/>
      <c r="BA174" s="922"/>
      <c r="BB174" s="922"/>
      <c r="BC174" s="922"/>
      <c r="BD174" s="922"/>
      <c r="BE174" s="922"/>
      <c r="BF174" s="922"/>
      <c r="BG174" s="922"/>
      <c r="BH174" s="922"/>
      <c r="BI174" s="922"/>
      <c r="BJ174" s="922"/>
      <c r="BK174" s="922"/>
      <c r="BL174" s="922"/>
      <c r="BM174" s="922"/>
      <c r="BN174" s="922"/>
      <c r="BO174" s="922"/>
      <c r="BP174" s="922"/>
      <c r="BQ174" s="922"/>
      <c r="BR174" s="922"/>
      <c r="BS174" s="922"/>
      <c r="BT174" s="922"/>
      <c r="BU174" s="922"/>
      <c r="BV174" s="922"/>
      <c r="BW174" s="922"/>
      <c r="BX174" s="922"/>
      <c r="BY174" s="922"/>
      <c r="BZ174" s="922"/>
      <c r="CA174" s="922"/>
      <c r="CB174" s="922"/>
      <c r="CC174" s="922"/>
      <c r="CD174" s="922"/>
      <c r="CE174" s="922"/>
      <c r="CF174" s="922"/>
      <c r="CG174" s="922"/>
      <c r="CH174" s="922"/>
      <c r="CI174" s="922"/>
      <c r="CJ174" s="922"/>
      <c r="CK174" s="922"/>
      <c r="CL174" s="922"/>
      <c r="CM174" s="922"/>
      <c r="CN174" s="922"/>
      <c r="CO174" s="922"/>
      <c r="CP174" s="922"/>
      <c r="CQ174" s="922"/>
      <c r="CR174" s="922"/>
      <c r="CS174" s="922"/>
      <c r="CT174" s="922"/>
      <c r="CU174" s="922"/>
      <c r="CV174" s="922"/>
      <c r="CW174" s="922"/>
      <c r="CX174" s="922"/>
      <c r="CY174" s="922"/>
      <c r="CZ174" s="922"/>
      <c r="DA174" s="922"/>
      <c r="DB174" s="922"/>
      <c r="DC174" s="922"/>
      <c r="DD174" s="922"/>
      <c r="DE174" s="922"/>
      <c r="DF174" s="922"/>
      <c r="DG174" s="922"/>
      <c r="DH174" s="922"/>
      <c r="DI174" s="922"/>
      <c r="DJ174" s="922"/>
      <c r="DK174" s="922"/>
      <c r="DL174" s="922"/>
      <c r="DM174" s="922"/>
      <c r="DN174" s="922"/>
      <c r="DO174" s="922"/>
      <c r="DP174" s="922"/>
      <c r="DQ174" s="922"/>
      <c r="DR174" s="922"/>
      <c r="DS174" s="922"/>
      <c r="DT174" s="922"/>
      <c r="DU174" s="922"/>
      <c r="DV174" s="922"/>
      <c r="DW174" s="922"/>
      <c r="DX174" s="922"/>
      <c r="DY174" s="922"/>
      <c r="DZ174" s="922"/>
      <c r="EA174" s="922"/>
      <c r="EB174" s="922"/>
      <c r="EC174" s="922"/>
      <c r="ED174" s="922"/>
      <c r="EE174" s="922"/>
      <c r="EF174" s="922"/>
      <c r="EG174" s="922"/>
      <c r="EH174" s="922"/>
      <c r="EI174" s="922"/>
      <c r="EJ174" s="922"/>
      <c r="EK174" s="922"/>
      <c r="EL174" s="922"/>
      <c r="EM174" s="922"/>
      <c r="EN174" s="922"/>
      <c r="EO174" s="922"/>
      <c r="EP174" s="922"/>
      <c r="EQ174" s="922"/>
      <c r="ER174" s="922"/>
      <c r="ES174" s="922"/>
      <c r="ET174" s="922"/>
      <c r="EU174" s="922"/>
      <c r="EV174" s="922"/>
      <c r="EW174" s="922"/>
      <c r="EX174" s="922"/>
      <c r="EY174" s="922"/>
      <c r="EZ174" s="922"/>
      <c r="FA174" s="922"/>
      <c r="FB174" s="922"/>
      <c r="FC174" s="922"/>
      <c r="FD174" s="922"/>
      <c r="FE174" s="922"/>
      <c r="FF174" s="922"/>
      <c r="FG174" s="922"/>
      <c r="FH174" s="922"/>
      <c r="FI174" s="922"/>
      <c r="FJ174" s="922"/>
      <c r="FK174" s="922"/>
      <c r="FL174" s="922"/>
      <c r="FM174" s="922"/>
      <c r="FN174" s="922"/>
      <c r="FO174" s="922"/>
      <c r="FP174" s="922"/>
      <c r="FQ174" s="922"/>
      <c r="FR174" s="922"/>
      <c r="FS174" s="922"/>
      <c r="FT174" s="922"/>
      <c r="FU174" s="922"/>
      <c r="FV174" s="922"/>
      <c r="FW174" s="922"/>
      <c r="FX174" s="922"/>
      <c r="FY174" s="922"/>
      <c r="FZ174" s="922"/>
      <c r="GA174" s="922"/>
      <c r="GB174" s="922"/>
      <c r="GC174" s="922"/>
      <c r="GD174" s="922"/>
      <c r="GE174" s="922"/>
      <c r="GF174" s="922"/>
      <c r="GG174" s="922"/>
      <c r="GH174" s="922"/>
      <c r="GI174" s="922"/>
      <c r="GJ174" s="922"/>
      <c r="GK174" s="922"/>
      <c r="GL174" s="922"/>
      <c r="GM174" s="922"/>
      <c r="GN174" s="922"/>
      <c r="GO174" s="922"/>
      <c r="GP174" s="922"/>
      <c r="GQ174" s="922"/>
      <c r="GR174" s="922"/>
      <c r="GS174" s="922"/>
      <c r="GT174" s="922"/>
      <c r="GU174" s="922"/>
      <c r="GV174" s="922"/>
      <c r="GW174" s="922"/>
      <c r="GX174" s="922"/>
      <c r="GY174" s="922"/>
      <c r="GZ174" s="922"/>
      <c r="HA174" s="922"/>
      <c r="HB174" s="922"/>
      <c r="HC174" s="922"/>
      <c r="HD174" s="922"/>
      <c r="HE174" s="922"/>
      <c r="HF174" s="922"/>
      <c r="HG174" s="922"/>
      <c r="HH174" s="922"/>
      <c r="HI174" s="922"/>
      <c r="HJ174" s="922"/>
      <c r="HK174" s="922"/>
      <c r="HL174" s="922"/>
      <c r="HM174" s="922"/>
      <c r="HN174" s="922"/>
      <c r="HO174" s="922"/>
      <c r="HP174" s="922"/>
      <c r="HQ174" s="922"/>
      <c r="HR174" s="922"/>
      <c r="HS174" s="922"/>
      <c r="HT174" s="922"/>
      <c r="HU174" s="922"/>
      <c r="HV174" s="922"/>
      <c r="HW174" s="922"/>
      <c r="HX174" s="922"/>
      <c r="HY174" s="922"/>
      <c r="HZ174" s="922"/>
      <c r="IA174" s="922"/>
      <c r="IB174" s="922"/>
      <c r="IC174" s="922"/>
      <c r="ID174" s="922"/>
      <c r="IE174" s="922"/>
      <c r="IF174" s="922"/>
      <c r="IG174" s="922"/>
      <c r="IH174" s="922"/>
      <c r="II174" s="922"/>
      <c r="IJ174" s="922"/>
      <c r="IK174" s="922"/>
      <c r="IL174" s="922"/>
      <c r="IM174" s="922"/>
      <c r="IN174" s="922"/>
      <c r="IO174" s="922"/>
      <c r="IP174" s="922"/>
      <c r="IQ174" s="922"/>
      <c r="IR174" s="922"/>
      <c r="IS174" s="922"/>
      <c r="IT174" s="922"/>
      <c r="IU174" s="922"/>
      <c r="IV174" s="922"/>
      <c r="IW174" s="922"/>
      <c r="IX174" s="922"/>
      <c r="IY174" s="922"/>
      <c r="IZ174" s="922"/>
      <c r="JA174" s="922"/>
      <c r="JB174" s="922"/>
      <c r="JC174" s="922"/>
      <c r="JD174" s="922"/>
      <c r="JE174" s="922"/>
      <c r="JF174" s="922"/>
      <c r="JG174" s="922"/>
      <c r="JH174" s="922"/>
      <c r="JI174" s="922"/>
      <c r="JJ174" s="922"/>
      <c r="JK174" s="922"/>
      <c r="JL174" s="922"/>
      <c r="JM174" s="922"/>
      <c r="JN174" s="922"/>
      <c r="JO174" s="922"/>
      <c r="JP174" s="922"/>
      <c r="JQ174" s="922"/>
      <c r="JR174" s="922"/>
      <c r="JS174" s="922"/>
      <c r="JT174" s="922"/>
      <c r="JU174" s="922"/>
      <c r="JV174" s="922"/>
      <c r="JW174" s="922"/>
      <c r="JX174" s="922"/>
      <c r="JY174" s="922"/>
      <c r="JZ174" s="922"/>
      <c r="KA174" s="922"/>
      <c r="KB174" s="922"/>
      <c r="KC174" s="922"/>
      <c r="KD174" s="922"/>
      <c r="KE174" s="922"/>
      <c r="KF174" s="922"/>
      <c r="KG174" s="922"/>
      <c r="KH174" s="922"/>
      <c r="KI174" s="922"/>
      <c r="KJ174" s="922"/>
      <c r="KK174" s="922"/>
      <c r="KL174" s="922"/>
      <c r="KM174" s="922"/>
      <c r="KN174" s="922"/>
      <c r="KO174" s="922"/>
      <c r="KP174" s="922"/>
      <c r="KQ174" s="922"/>
      <c r="KR174" s="922"/>
      <c r="KS174" s="922"/>
      <c r="KT174" s="922"/>
      <c r="KU174" s="922"/>
      <c r="KV174" s="922"/>
      <c r="KW174" s="922"/>
      <c r="KX174" s="922"/>
      <c r="KY174" s="922"/>
      <c r="KZ174" s="922"/>
      <c r="LA174" s="922"/>
      <c r="LB174" s="922"/>
      <c r="LC174" s="922"/>
      <c r="LD174" s="922"/>
      <c r="LE174" s="922"/>
      <c r="LF174" s="922"/>
      <c r="LG174" s="922"/>
      <c r="LH174" s="922"/>
      <c r="LI174" s="922"/>
      <c r="LJ174" s="922"/>
      <c r="LK174" s="922"/>
      <c r="LL174" s="922"/>
      <c r="LM174" s="922"/>
      <c r="LN174" s="922"/>
      <c r="LO174" s="922"/>
      <c r="LP174" s="922"/>
      <c r="LQ174" s="922"/>
      <c r="LR174" s="922"/>
      <c r="LS174" s="922"/>
      <c r="LT174" s="922"/>
      <c r="LU174" s="922"/>
      <c r="LV174" s="922"/>
      <c r="LW174" s="922"/>
      <c r="LX174" s="922"/>
      <c r="LY174" s="922"/>
      <c r="LZ174" s="922"/>
      <c r="MA174" s="922"/>
      <c r="MB174" s="922"/>
      <c r="MC174" s="922"/>
      <c r="MD174" s="922"/>
      <c r="ME174" s="922"/>
      <c r="MF174" s="922"/>
      <c r="MG174" s="922"/>
      <c r="MH174" s="922"/>
      <c r="MI174" s="922"/>
      <c r="MJ174" s="922"/>
      <c r="MK174" s="922"/>
      <c r="ML174" s="922"/>
      <c r="MM174" s="922"/>
      <c r="MN174" s="922"/>
      <c r="MO174" s="922"/>
      <c r="MP174" s="922"/>
      <c r="MQ174" s="922"/>
      <c r="MR174" s="922"/>
      <c r="MS174" s="922"/>
      <c r="MT174" s="922"/>
      <c r="MU174" s="922"/>
      <c r="MV174" s="922"/>
      <c r="MW174" s="922"/>
      <c r="MX174" s="922"/>
      <c r="MY174" s="922"/>
      <c r="MZ174" s="922"/>
      <c r="NA174" s="922"/>
      <c r="NB174" s="922"/>
      <c r="NC174" s="922"/>
      <c r="ND174" s="922"/>
      <c r="NE174" s="922"/>
      <c r="NF174" s="922"/>
      <c r="NG174" s="922"/>
      <c r="NH174" s="922"/>
      <c r="NI174" s="922"/>
      <c r="NJ174" s="922"/>
      <c r="NK174" s="922"/>
      <c r="NL174" s="922"/>
      <c r="NM174" s="922"/>
      <c r="NN174" s="922"/>
      <c r="NO174" s="922"/>
      <c r="NP174" s="922"/>
      <c r="NQ174" s="922"/>
      <c r="NR174" s="922"/>
      <c r="NS174" s="922"/>
      <c r="NT174" s="922"/>
      <c r="NU174" s="922"/>
      <c r="NV174" s="922"/>
      <c r="NW174" s="922"/>
      <c r="NX174" s="922"/>
      <c r="NY174" s="922"/>
      <c r="NZ174" s="922"/>
      <c r="OA174" s="922"/>
      <c r="OB174" s="922"/>
      <c r="OC174" s="922"/>
      <c r="OD174" s="922"/>
      <c r="OE174" s="922"/>
      <c r="OF174" s="922"/>
      <c r="OG174" s="922"/>
      <c r="OH174" s="922"/>
      <c r="OI174" s="922"/>
      <c r="OJ174" s="922"/>
      <c r="OK174" s="922"/>
      <c r="OL174" s="922"/>
      <c r="OM174" s="922"/>
      <c r="ON174" s="922"/>
      <c r="OO174" s="922"/>
      <c r="OP174" s="922"/>
      <c r="OQ174" s="922"/>
      <c r="OR174" s="922"/>
      <c r="OS174" s="922"/>
      <c r="OT174" s="922"/>
      <c r="OU174" s="922"/>
      <c r="OV174" s="922"/>
      <c r="OW174" s="922"/>
      <c r="OX174" s="922"/>
      <c r="OY174" s="922"/>
      <c r="OZ174" s="922"/>
      <c r="PA174" s="922"/>
      <c r="PB174" s="922"/>
      <c r="PC174" s="922"/>
      <c r="PD174" s="922"/>
      <c r="PE174" s="922"/>
      <c r="PF174" s="922"/>
      <c r="PG174" s="922"/>
      <c r="PH174" s="922"/>
      <c r="PI174" s="922"/>
      <c r="PJ174" s="922"/>
      <c r="PK174" s="922"/>
      <c r="PL174" s="922"/>
      <c r="PM174" s="922"/>
      <c r="PN174" s="922"/>
      <c r="PO174" s="922"/>
      <c r="PP174" s="922"/>
      <c r="PQ174" s="922"/>
      <c r="PR174" s="922"/>
      <c r="PS174" s="922"/>
      <c r="PT174" s="922"/>
      <c r="PU174" s="922"/>
      <c r="PV174" s="922"/>
      <c r="PW174" s="922"/>
      <c r="PX174" s="922"/>
      <c r="PY174" s="922"/>
      <c r="PZ174" s="922"/>
      <c r="QA174" s="922"/>
      <c r="QB174" s="922"/>
      <c r="QC174" s="922"/>
      <c r="QD174" s="922"/>
      <c r="QE174" s="922"/>
      <c r="QF174" s="922"/>
      <c r="QG174" s="922"/>
      <c r="QH174" s="922"/>
      <c r="QI174" s="922"/>
      <c r="QJ174" s="922"/>
      <c r="QK174" s="922"/>
      <c r="QL174" s="922"/>
      <c r="QM174" s="922"/>
      <c r="QN174" s="922"/>
      <c r="QO174" s="922"/>
      <c r="QP174" s="922"/>
      <c r="QQ174" s="922"/>
      <c r="QR174" s="922"/>
      <c r="QS174" s="922"/>
      <c r="QT174" s="922"/>
      <c r="QU174" s="922"/>
      <c r="QV174" s="922"/>
      <c r="QW174" s="922"/>
      <c r="QX174" s="922"/>
      <c r="QY174" s="922"/>
      <c r="QZ174" s="922"/>
      <c r="RA174" s="922"/>
      <c r="RB174" s="922"/>
      <c r="RC174" s="922"/>
      <c r="RD174" s="922"/>
      <c r="RE174" s="922"/>
      <c r="RF174" s="922"/>
      <c r="RG174" s="922"/>
      <c r="RH174" s="922"/>
      <c r="RI174" s="922"/>
      <c r="RJ174" s="922"/>
      <c r="RK174" s="922"/>
      <c r="RL174" s="922"/>
      <c r="RM174" s="922"/>
      <c r="RN174" s="922"/>
      <c r="RO174" s="922"/>
      <c r="RP174" s="922"/>
      <c r="RQ174" s="922"/>
      <c r="RR174" s="922"/>
      <c r="RS174" s="922"/>
      <c r="RT174" s="922"/>
      <c r="RU174" s="922"/>
      <c r="RV174" s="922"/>
      <c r="RW174" s="922"/>
      <c r="RX174" s="922"/>
      <c r="RY174" s="922"/>
      <c r="RZ174" s="922"/>
      <c r="SA174" s="922"/>
      <c r="SB174" s="922"/>
      <c r="SC174" s="922"/>
      <c r="SD174" s="922"/>
      <c r="SE174" s="922"/>
      <c r="SF174" s="922"/>
      <c r="SG174" s="922"/>
      <c r="SH174" s="922"/>
      <c r="SI174" s="922"/>
      <c r="SJ174" s="922"/>
      <c r="SK174" s="922"/>
      <c r="SL174" s="922"/>
      <c r="SM174" s="922"/>
      <c r="SN174" s="922"/>
      <c r="SO174" s="922"/>
      <c r="SP174" s="922"/>
      <c r="SQ174" s="922"/>
      <c r="SR174" s="922"/>
      <c r="SS174" s="922"/>
      <c r="ST174" s="922"/>
      <c r="SU174" s="922"/>
      <c r="SV174" s="922"/>
      <c r="SW174" s="922"/>
      <c r="SX174" s="922"/>
      <c r="SY174" s="922"/>
      <c r="SZ174" s="922"/>
      <c r="TA174" s="922"/>
      <c r="TB174" s="922"/>
      <c r="TC174" s="922"/>
      <c r="TD174" s="922"/>
      <c r="TE174" s="922"/>
      <c r="TF174" s="922"/>
      <c r="TG174" s="922"/>
      <c r="TH174" s="922"/>
      <c r="TI174" s="922"/>
      <c r="TJ174" s="922"/>
      <c r="TK174" s="922"/>
      <c r="TL174" s="922"/>
      <c r="TM174" s="922"/>
      <c r="TN174" s="922"/>
      <c r="TO174" s="922"/>
      <c r="TP174" s="922"/>
      <c r="TQ174" s="922"/>
      <c r="TR174" s="922"/>
      <c r="TS174" s="922"/>
      <c r="TT174" s="922"/>
      <c r="TU174" s="922"/>
      <c r="TV174" s="922"/>
      <c r="TW174" s="922"/>
      <c r="TX174" s="922"/>
      <c r="TY174" s="922"/>
      <c r="TZ174" s="922"/>
      <c r="UA174" s="922"/>
      <c r="UB174" s="922"/>
      <c r="UC174" s="922"/>
      <c r="UD174" s="922"/>
      <c r="UE174" s="922"/>
      <c r="UF174" s="922"/>
      <c r="UG174" s="922"/>
      <c r="UH174" s="922"/>
      <c r="UI174" s="922"/>
      <c r="UJ174" s="922"/>
      <c r="UK174" s="922"/>
      <c r="UL174" s="922"/>
      <c r="UM174" s="922"/>
      <c r="UN174" s="922"/>
      <c r="UO174" s="922"/>
      <c r="UP174" s="922"/>
      <c r="UQ174" s="922"/>
      <c r="UR174" s="922"/>
      <c r="US174" s="922"/>
      <c r="UT174" s="922"/>
      <c r="UU174" s="922"/>
      <c r="UV174" s="922"/>
      <c r="UW174" s="922"/>
      <c r="UX174" s="922"/>
      <c r="UY174" s="922"/>
      <c r="UZ174" s="922"/>
      <c r="VA174" s="922"/>
      <c r="VB174" s="922"/>
      <c r="VC174" s="922"/>
      <c r="VD174" s="922"/>
      <c r="VE174" s="922"/>
      <c r="VF174" s="922"/>
      <c r="VG174" s="922"/>
      <c r="VH174" s="922"/>
      <c r="VI174" s="922"/>
      <c r="VJ174" s="922"/>
      <c r="VK174" s="922"/>
      <c r="VL174" s="922"/>
      <c r="VM174" s="922"/>
      <c r="VN174" s="922"/>
      <c r="VO174" s="922"/>
      <c r="VP174" s="922"/>
      <c r="VQ174" s="922"/>
      <c r="VR174" s="922"/>
      <c r="VS174" s="922"/>
      <c r="VT174" s="922"/>
      <c r="VU174" s="922"/>
      <c r="VV174" s="922"/>
      <c r="VW174" s="922"/>
      <c r="VX174" s="922"/>
      <c r="VY174" s="922"/>
      <c r="VZ174" s="922"/>
      <c r="WA174" s="922"/>
      <c r="WB174" s="922"/>
      <c r="WC174" s="922"/>
      <c r="WD174" s="922"/>
      <c r="WE174" s="922"/>
      <c r="WF174" s="922"/>
      <c r="WG174" s="922"/>
      <c r="WH174" s="922"/>
      <c r="WI174" s="922"/>
      <c r="WJ174" s="922"/>
      <c r="WK174" s="922"/>
      <c r="WL174" s="922"/>
      <c r="WM174" s="922"/>
      <c r="WN174" s="922"/>
      <c r="WO174" s="922"/>
      <c r="WP174" s="922"/>
      <c r="WQ174" s="922"/>
      <c r="WR174" s="922"/>
      <c r="WS174" s="922"/>
      <c r="WT174" s="922"/>
      <c r="WU174" s="922"/>
      <c r="WV174" s="922"/>
      <c r="WW174" s="922"/>
      <c r="WX174" s="922"/>
      <c r="WY174" s="922"/>
      <c r="WZ174" s="922"/>
      <c r="XA174" s="922"/>
      <c r="XB174" s="922"/>
      <c r="XC174" s="922"/>
      <c r="XD174" s="922"/>
      <c r="XE174" s="922"/>
      <c r="XF174" s="922"/>
      <c r="XG174" s="922"/>
      <c r="XH174" s="922"/>
      <c r="XI174" s="922"/>
      <c r="XJ174" s="922"/>
      <c r="XK174" s="922"/>
      <c r="XL174" s="922"/>
      <c r="XM174" s="922"/>
      <c r="XN174" s="922"/>
      <c r="XO174" s="922"/>
      <c r="XP174" s="922"/>
      <c r="XQ174" s="922"/>
      <c r="XR174" s="922"/>
      <c r="XS174" s="922"/>
      <c r="XT174" s="922"/>
      <c r="XU174" s="922"/>
      <c r="XV174" s="922"/>
      <c r="XW174" s="922"/>
      <c r="XX174" s="922"/>
      <c r="XY174" s="922"/>
      <c r="XZ174" s="922"/>
      <c r="YA174" s="922"/>
      <c r="YB174" s="922"/>
      <c r="YC174" s="922"/>
      <c r="YD174" s="922"/>
      <c r="YE174" s="922"/>
      <c r="YF174" s="922"/>
      <c r="YG174" s="922"/>
      <c r="YH174" s="922"/>
      <c r="YI174" s="922"/>
      <c r="YJ174" s="922"/>
      <c r="YK174" s="922"/>
      <c r="YL174" s="922"/>
      <c r="YM174" s="922"/>
      <c r="YN174" s="922"/>
      <c r="YO174" s="922"/>
      <c r="YP174" s="922"/>
      <c r="YQ174" s="922"/>
      <c r="YR174" s="922"/>
      <c r="YS174" s="922"/>
      <c r="YT174" s="922"/>
      <c r="YU174" s="922"/>
      <c r="YV174" s="922"/>
      <c r="YW174" s="922"/>
      <c r="YX174" s="922"/>
      <c r="YY174" s="922"/>
      <c r="YZ174" s="922"/>
      <c r="ZA174" s="922"/>
      <c r="ZB174" s="922"/>
      <c r="ZC174" s="922"/>
      <c r="ZD174" s="922"/>
      <c r="ZE174" s="922"/>
      <c r="ZF174" s="922"/>
      <c r="ZG174" s="922"/>
      <c r="ZH174" s="922"/>
      <c r="ZI174" s="922"/>
      <c r="ZJ174" s="922"/>
      <c r="ZK174" s="922"/>
      <c r="ZL174" s="922"/>
      <c r="ZM174" s="922"/>
      <c r="ZN174" s="922"/>
      <c r="ZO174" s="922"/>
      <c r="ZP174" s="922"/>
      <c r="ZQ174" s="922"/>
      <c r="ZR174" s="922"/>
      <c r="ZS174" s="922"/>
      <c r="ZT174" s="922"/>
      <c r="ZU174" s="922"/>
      <c r="ZV174" s="922"/>
      <c r="ZW174" s="922"/>
      <c r="ZX174" s="922"/>
      <c r="ZY174" s="922"/>
      <c r="ZZ174" s="922"/>
      <c r="AAA174" s="922"/>
      <c r="AAB174" s="922"/>
      <c r="AAC174" s="922"/>
      <c r="AAD174" s="922"/>
      <c r="AAE174" s="922"/>
      <c r="AAF174" s="922"/>
      <c r="AAG174" s="922"/>
      <c r="AAH174" s="922"/>
      <c r="AAI174" s="922"/>
      <c r="AAJ174" s="922"/>
      <c r="AAK174" s="922"/>
      <c r="AAL174" s="922"/>
      <c r="AAM174" s="922"/>
      <c r="AAN174" s="922"/>
      <c r="AAO174" s="922"/>
      <c r="AAP174" s="922"/>
      <c r="AAQ174" s="922"/>
      <c r="AAR174" s="922"/>
      <c r="AAS174" s="922"/>
      <c r="AAT174" s="922"/>
      <c r="AAU174" s="922"/>
      <c r="AAV174" s="922"/>
      <c r="AAW174" s="922"/>
      <c r="AAX174" s="922"/>
      <c r="AAY174" s="922"/>
      <c r="AAZ174" s="922"/>
      <c r="ABA174" s="922"/>
      <c r="ABB174" s="922"/>
      <c r="ABC174" s="922"/>
      <c r="ABD174" s="922"/>
      <c r="ABE174" s="922"/>
      <c r="ABF174" s="922"/>
      <c r="ABG174" s="922"/>
      <c r="ABH174" s="922"/>
      <c r="ABI174" s="922"/>
      <c r="ABJ174" s="922"/>
      <c r="ABK174" s="922"/>
      <c r="ABL174" s="922"/>
      <c r="ABM174" s="922"/>
      <c r="ABN174" s="922"/>
      <c r="ABO174" s="922"/>
      <c r="ABP174" s="922"/>
      <c r="ABQ174" s="922"/>
      <c r="ABR174" s="922"/>
      <c r="ABS174" s="922"/>
      <c r="ABT174" s="922"/>
      <c r="ABU174" s="922"/>
      <c r="ABV174" s="922"/>
      <c r="ABW174" s="922"/>
      <c r="ABX174" s="922"/>
      <c r="ABY174" s="922"/>
      <c r="ABZ174" s="922"/>
      <c r="ACA174" s="922"/>
      <c r="ACB174" s="922"/>
      <c r="ACC174" s="922"/>
      <c r="ACD174" s="922"/>
      <c r="ACE174" s="922"/>
      <c r="ACF174" s="922"/>
      <c r="ACG174" s="922"/>
      <c r="ACH174" s="922"/>
      <c r="ACI174" s="922"/>
      <c r="ACJ174" s="922"/>
      <c r="ACK174" s="922"/>
      <c r="ACL174" s="922"/>
      <c r="ACM174" s="922"/>
      <c r="ACN174" s="922"/>
      <c r="ACO174" s="922"/>
      <c r="ACP174" s="922"/>
      <c r="ACQ174" s="922"/>
      <c r="ACR174" s="922"/>
      <c r="ACS174" s="922"/>
      <c r="ACT174" s="922"/>
      <c r="ACU174" s="922"/>
      <c r="ACV174" s="922"/>
      <c r="ACW174" s="922"/>
      <c r="ACX174" s="922"/>
      <c r="ACY174" s="922"/>
      <c r="ACZ174" s="922"/>
      <c r="ADA174" s="922"/>
      <c r="ADB174" s="922"/>
      <c r="ADC174" s="922"/>
      <c r="ADD174" s="922"/>
      <c r="ADE174" s="922"/>
      <c r="ADF174" s="922"/>
      <c r="ADG174" s="922"/>
      <c r="ADH174" s="922"/>
      <c r="ADI174" s="922"/>
      <c r="ADJ174" s="922"/>
      <c r="ADK174" s="922"/>
      <c r="ADL174" s="922"/>
      <c r="ADM174" s="922"/>
      <c r="ADN174" s="922"/>
      <c r="ADO174" s="922"/>
      <c r="ADP174" s="922"/>
      <c r="ADQ174" s="922"/>
      <c r="ADR174" s="922"/>
      <c r="ADS174" s="922"/>
      <c r="ADT174" s="922"/>
      <c r="ADU174" s="922"/>
      <c r="ADV174" s="922"/>
      <c r="ADW174" s="922"/>
      <c r="ADX174" s="922"/>
      <c r="ADY174" s="922"/>
      <c r="ADZ174" s="922"/>
      <c r="AEA174" s="922"/>
      <c r="AEB174" s="922"/>
      <c r="AEC174" s="922"/>
      <c r="AED174" s="922"/>
      <c r="AEE174" s="922"/>
      <c r="AEF174" s="922"/>
      <c r="AEG174" s="922"/>
      <c r="AEH174" s="922"/>
      <c r="AEI174" s="922"/>
      <c r="AEJ174" s="922"/>
      <c r="AEK174" s="922"/>
      <c r="AEL174" s="922"/>
      <c r="AEM174" s="922"/>
      <c r="AEN174" s="922"/>
      <c r="AEO174" s="922"/>
      <c r="AEP174" s="922"/>
      <c r="AEQ174" s="922"/>
      <c r="AER174" s="922"/>
      <c r="AES174" s="922"/>
      <c r="AET174" s="922"/>
      <c r="AEU174" s="922"/>
      <c r="AEV174" s="922"/>
      <c r="AEW174" s="922"/>
      <c r="AEX174" s="922"/>
      <c r="AEY174" s="922"/>
      <c r="AEZ174" s="922"/>
      <c r="AFA174" s="922"/>
      <c r="AFB174" s="922"/>
      <c r="AFC174" s="922"/>
      <c r="AFD174" s="922"/>
      <c r="AFE174" s="922"/>
      <c r="AFF174" s="922"/>
      <c r="AFG174" s="922"/>
      <c r="AFH174" s="922"/>
      <c r="AFI174" s="922"/>
      <c r="AFJ174" s="922"/>
      <c r="AFK174" s="922"/>
      <c r="AFL174" s="922"/>
      <c r="AFM174" s="922"/>
      <c r="AFN174" s="922"/>
      <c r="AFO174" s="922"/>
      <c r="AFP174" s="922"/>
      <c r="AFQ174" s="922"/>
      <c r="AFR174" s="922"/>
      <c r="AFS174" s="922"/>
      <c r="AFT174" s="922"/>
      <c r="AFU174" s="922"/>
      <c r="AFV174" s="922"/>
      <c r="AFW174" s="922"/>
      <c r="AFX174" s="922"/>
      <c r="AFY174" s="922"/>
      <c r="AFZ174" s="922"/>
      <c r="AGA174" s="922"/>
      <c r="AGB174" s="922"/>
      <c r="AGC174" s="922"/>
      <c r="AGD174" s="922"/>
      <c r="AGE174" s="922"/>
      <c r="AGF174" s="922"/>
      <c r="AGG174" s="922"/>
      <c r="AGH174" s="922"/>
      <c r="AGI174" s="922"/>
      <c r="AGJ174" s="922"/>
      <c r="AGK174" s="922"/>
      <c r="AGL174" s="922"/>
      <c r="AGM174" s="922"/>
      <c r="AGN174" s="922"/>
      <c r="AGO174" s="922"/>
      <c r="AGP174" s="922"/>
      <c r="AGQ174" s="922"/>
      <c r="AGR174" s="922"/>
      <c r="AGS174" s="922"/>
      <c r="AGT174" s="922"/>
      <c r="AGU174" s="922"/>
      <c r="AGV174" s="922"/>
      <c r="AGW174" s="922"/>
      <c r="AGX174" s="922"/>
      <c r="AGY174" s="922"/>
      <c r="AGZ174" s="922"/>
      <c r="AHA174" s="922"/>
      <c r="AHB174" s="922"/>
      <c r="AHC174" s="922"/>
      <c r="AHD174" s="922"/>
      <c r="AHE174" s="922"/>
      <c r="AHF174" s="922"/>
      <c r="AHG174" s="922"/>
      <c r="AHH174" s="922"/>
      <c r="AHI174" s="922"/>
      <c r="AHJ174" s="922"/>
      <c r="AHK174" s="922"/>
      <c r="AHL174" s="922"/>
      <c r="AHM174" s="922"/>
      <c r="AHN174" s="922"/>
      <c r="AHO174" s="922"/>
      <c r="AHP174" s="922"/>
      <c r="AHQ174" s="922"/>
      <c r="AHR174" s="922"/>
      <c r="AHS174" s="922"/>
      <c r="AHT174" s="922"/>
      <c r="AHU174" s="922"/>
      <c r="AHV174" s="922"/>
      <c r="AHW174" s="922"/>
      <c r="AHX174" s="922"/>
      <c r="AHY174" s="922"/>
      <c r="AHZ174" s="922"/>
      <c r="AIA174" s="922"/>
      <c r="AIB174" s="922"/>
      <c r="AIC174" s="922"/>
      <c r="AID174" s="922"/>
      <c r="AIE174" s="922"/>
      <c r="AIF174" s="922"/>
      <c r="AIG174" s="922"/>
      <c r="AIH174" s="922"/>
      <c r="AII174" s="922"/>
      <c r="AIJ174" s="922"/>
      <c r="AIK174" s="922"/>
      <c r="AIL174" s="922"/>
      <c r="AIM174" s="922"/>
      <c r="AIN174" s="922"/>
      <c r="AIO174" s="922"/>
      <c r="AIP174" s="922"/>
      <c r="AIQ174" s="922"/>
      <c r="AIR174" s="922"/>
      <c r="AIS174" s="922"/>
      <c r="AIT174" s="922"/>
      <c r="AIU174" s="922"/>
      <c r="AIV174" s="922"/>
      <c r="AIW174" s="922"/>
      <c r="AIX174" s="922"/>
      <c r="AIY174" s="922"/>
      <c r="AIZ174" s="922"/>
      <c r="AJA174" s="922"/>
      <c r="AJB174" s="922"/>
      <c r="AJC174" s="922"/>
      <c r="AJD174" s="922"/>
      <c r="AJE174" s="922"/>
      <c r="AJF174" s="922"/>
      <c r="AJG174" s="922"/>
      <c r="AJH174" s="922"/>
      <c r="AJI174" s="922"/>
      <c r="AJJ174" s="922"/>
      <c r="AJK174" s="922"/>
      <c r="AJL174" s="922"/>
      <c r="AJM174" s="922"/>
      <c r="AJN174" s="922"/>
      <c r="AJO174" s="922"/>
      <c r="AJP174" s="922"/>
      <c r="AJQ174" s="922"/>
      <c r="AJR174" s="922"/>
      <c r="AJS174" s="922"/>
      <c r="AJT174" s="922"/>
      <c r="AJU174" s="922"/>
      <c r="AJV174" s="922"/>
      <c r="AJW174" s="922"/>
      <c r="AJX174" s="922"/>
      <c r="AJY174" s="922"/>
      <c r="AJZ174" s="922"/>
      <c r="AKA174" s="922"/>
      <c r="AKB174" s="922"/>
      <c r="AKC174" s="922"/>
      <c r="AKD174" s="922"/>
      <c r="AKE174" s="922"/>
      <c r="AKF174" s="922"/>
      <c r="AKG174" s="922"/>
      <c r="AKH174" s="922"/>
      <c r="AKI174" s="922"/>
      <c r="AKJ174" s="922"/>
      <c r="AKK174" s="922"/>
      <c r="AKL174" s="922"/>
      <c r="AKM174" s="922"/>
      <c r="AKN174" s="922"/>
      <c r="AKO174" s="922"/>
      <c r="AKP174" s="922"/>
      <c r="AKQ174" s="922"/>
      <c r="AKR174" s="922"/>
      <c r="AKS174" s="922"/>
      <c r="AKT174" s="922"/>
      <c r="AKU174" s="922"/>
      <c r="AKV174" s="922"/>
      <c r="AKW174" s="922"/>
      <c r="AKX174" s="922"/>
      <c r="AKY174" s="922"/>
      <c r="AKZ174" s="922"/>
      <c r="ALA174" s="922"/>
      <c r="ALB174" s="922"/>
      <c r="ALC174" s="922"/>
      <c r="ALD174" s="922"/>
      <c r="ALE174" s="922"/>
      <c r="ALF174" s="922"/>
      <c r="ALG174" s="922"/>
      <c r="ALH174" s="922"/>
      <c r="ALI174" s="922"/>
      <c r="ALJ174" s="922"/>
      <c r="ALK174" s="922"/>
      <c r="ALL174" s="922"/>
      <c r="ALM174" s="922"/>
      <c r="ALN174" s="922"/>
      <c r="ALO174" s="922"/>
      <c r="ALP174" s="922"/>
      <c r="ALQ174" s="922"/>
      <c r="ALR174" s="922"/>
      <c r="ALS174" s="922"/>
      <c r="ALT174" s="922"/>
      <c r="ALU174" s="922"/>
      <c r="ALV174" s="922"/>
      <c r="ALW174" s="922"/>
      <c r="ALX174" s="922"/>
      <c r="ALY174" s="922"/>
      <c r="ALZ174" s="922"/>
      <c r="AMA174" s="922"/>
      <c r="AMB174" s="922"/>
      <c r="AMC174" s="922"/>
      <c r="AMD174" s="922"/>
      <c r="AME174" s="922"/>
      <c r="AMF174" s="922"/>
      <c r="AMG174" s="922"/>
      <c r="AMH174" s="922"/>
      <c r="AMI174" s="922"/>
      <c r="AMJ174" s="922"/>
      <c r="AMK174" s="922"/>
      <c r="AML174" s="922"/>
      <c r="AMM174" s="922"/>
      <c r="AMN174" s="922"/>
      <c r="AMO174" s="922"/>
      <c r="AMP174" s="922"/>
      <c r="AMQ174" s="922"/>
      <c r="AMR174" s="922"/>
      <c r="AMS174" s="922"/>
      <c r="AMT174" s="922"/>
      <c r="AMU174" s="922"/>
      <c r="AMV174" s="922"/>
      <c r="AMW174" s="922"/>
      <c r="AMX174" s="922"/>
      <c r="AMY174" s="922"/>
      <c r="AMZ174" s="922"/>
      <c r="ANA174" s="922"/>
      <c r="ANB174" s="922"/>
      <c r="ANC174" s="922"/>
      <c r="AND174" s="922"/>
      <c r="ANE174" s="922"/>
      <c r="ANF174" s="922"/>
      <c r="ANG174" s="922"/>
      <c r="ANH174" s="922"/>
      <c r="ANI174" s="922"/>
      <c r="ANJ174" s="922"/>
      <c r="ANK174" s="922"/>
      <c r="ANL174" s="922"/>
      <c r="ANM174" s="922"/>
      <c r="ANN174" s="922"/>
      <c r="ANO174" s="922"/>
      <c r="ANP174" s="922"/>
      <c r="ANQ174" s="922"/>
      <c r="ANR174" s="922"/>
      <c r="ANS174" s="922"/>
      <c r="ANT174" s="922"/>
      <c r="ANU174" s="922"/>
      <c r="ANV174" s="922"/>
      <c r="ANW174" s="922"/>
      <c r="ANX174" s="922"/>
      <c r="ANY174" s="922"/>
      <c r="ANZ174" s="922"/>
      <c r="AOA174" s="922"/>
      <c r="AOB174" s="922"/>
      <c r="AOC174" s="922"/>
      <c r="AOD174" s="922"/>
      <c r="AOE174" s="922"/>
      <c r="AOF174" s="922"/>
      <c r="AOG174" s="922"/>
      <c r="AOH174" s="922"/>
      <c r="AOI174" s="922"/>
      <c r="AOJ174" s="922"/>
      <c r="AOK174" s="922"/>
      <c r="AOL174" s="922"/>
      <c r="AOM174" s="922"/>
      <c r="AON174" s="922"/>
      <c r="AOO174" s="922"/>
      <c r="AOP174" s="922"/>
      <c r="AOQ174" s="922"/>
      <c r="AOR174" s="922"/>
      <c r="AOS174" s="922"/>
      <c r="AOT174" s="922"/>
      <c r="AOU174" s="922"/>
      <c r="AOV174" s="922"/>
      <c r="AOW174" s="922"/>
      <c r="AOX174" s="922"/>
      <c r="AOY174" s="922"/>
      <c r="AOZ174" s="922"/>
      <c r="APA174" s="922"/>
      <c r="APB174" s="922"/>
      <c r="APC174" s="922"/>
      <c r="APD174" s="922"/>
      <c r="APE174" s="922"/>
      <c r="APF174" s="922"/>
      <c r="APG174" s="922"/>
      <c r="APH174" s="922"/>
      <c r="API174" s="922"/>
      <c r="APJ174" s="922"/>
      <c r="APK174" s="922"/>
      <c r="APL174" s="922"/>
      <c r="APM174" s="922"/>
      <c r="APN174" s="922"/>
      <c r="APO174" s="922"/>
      <c r="APP174" s="922"/>
      <c r="APQ174" s="922"/>
      <c r="APR174" s="922"/>
      <c r="APS174" s="922"/>
      <c r="APT174" s="922"/>
      <c r="APU174" s="922"/>
      <c r="APV174" s="922"/>
      <c r="APW174" s="922"/>
      <c r="APX174" s="922"/>
      <c r="APY174" s="922"/>
      <c r="APZ174" s="922"/>
      <c r="AQA174" s="922"/>
      <c r="AQB174" s="922"/>
      <c r="AQC174" s="922"/>
      <c r="AQD174" s="922"/>
      <c r="AQE174" s="922"/>
      <c r="AQF174" s="922"/>
      <c r="AQG174" s="922"/>
      <c r="AQH174" s="922"/>
      <c r="AQI174" s="922"/>
      <c r="AQJ174" s="922"/>
      <c r="AQK174" s="922"/>
      <c r="AQL174" s="922"/>
      <c r="AQM174" s="922"/>
      <c r="AQN174" s="922"/>
      <c r="AQO174" s="922"/>
      <c r="AQP174" s="922"/>
      <c r="AQQ174" s="922"/>
      <c r="AQR174" s="922"/>
      <c r="AQS174" s="922"/>
      <c r="AQT174" s="922"/>
      <c r="AQU174" s="922"/>
      <c r="AQV174" s="922"/>
      <c r="AQW174" s="922"/>
      <c r="AQX174" s="922"/>
      <c r="AQY174" s="922"/>
      <c r="AQZ174" s="922"/>
      <c r="ARA174" s="922"/>
      <c r="ARB174" s="922"/>
      <c r="ARC174" s="922"/>
      <c r="ARD174" s="922"/>
      <c r="ARE174" s="922"/>
      <c r="ARF174" s="922"/>
      <c r="ARG174" s="922"/>
      <c r="ARH174" s="922"/>
      <c r="ARI174" s="922"/>
      <c r="ARJ174" s="922"/>
      <c r="ARK174" s="922"/>
      <c r="ARL174" s="922"/>
      <c r="ARM174" s="922"/>
      <c r="ARN174" s="922"/>
      <c r="ARO174" s="922"/>
      <c r="ARP174" s="922"/>
      <c r="ARQ174" s="922"/>
      <c r="ARR174" s="922"/>
      <c r="ARS174" s="922"/>
      <c r="ART174" s="922"/>
      <c r="ARU174" s="922"/>
      <c r="ARV174" s="922"/>
      <c r="ARW174" s="922"/>
      <c r="ARX174" s="922"/>
      <c r="ARY174" s="922"/>
      <c r="ARZ174" s="922"/>
      <c r="ASA174" s="922"/>
      <c r="ASB174" s="922"/>
      <c r="ASC174" s="922"/>
    </row>
    <row r="175" spans="1:1173" hidden="1">
      <c r="A175" s="920"/>
      <c r="T175" s="922"/>
      <c r="AN175" s="922"/>
      <c r="AO175" s="922"/>
      <c r="AP175" s="922"/>
      <c r="AQ175" s="922"/>
      <c r="AR175" s="922"/>
      <c r="AS175" s="922"/>
      <c r="AT175" s="922"/>
      <c r="AU175" s="922"/>
      <c r="AV175" s="922"/>
      <c r="AW175" s="922"/>
      <c r="AX175" s="922"/>
      <c r="AY175" s="922"/>
      <c r="AZ175" s="922"/>
      <c r="BA175" s="922"/>
      <c r="BB175" s="922"/>
      <c r="BC175" s="922"/>
      <c r="BD175" s="922"/>
      <c r="BE175" s="922"/>
      <c r="BF175" s="922"/>
      <c r="BG175" s="922"/>
      <c r="BH175" s="922"/>
      <c r="BI175" s="922"/>
      <c r="BJ175" s="922"/>
      <c r="BK175" s="922"/>
      <c r="BL175" s="922"/>
      <c r="BM175" s="922"/>
      <c r="BN175" s="922"/>
      <c r="BO175" s="922"/>
      <c r="BP175" s="922"/>
      <c r="BQ175" s="922"/>
      <c r="BR175" s="922"/>
      <c r="BS175" s="922"/>
      <c r="BT175" s="922"/>
      <c r="BU175" s="922"/>
      <c r="BV175" s="922"/>
      <c r="BW175" s="922"/>
      <c r="BX175" s="922"/>
      <c r="BY175" s="922"/>
      <c r="BZ175" s="922"/>
      <c r="CA175" s="922"/>
      <c r="CB175" s="922"/>
      <c r="CC175" s="922"/>
      <c r="CD175" s="922"/>
      <c r="CE175" s="922"/>
      <c r="CF175" s="922"/>
      <c r="CG175" s="922"/>
      <c r="CH175" s="922"/>
      <c r="CI175" s="922"/>
      <c r="CJ175" s="922"/>
      <c r="CK175" s="922"/>
      <c r="CL175" s="922"/>
      <c r="CM175" s="922"/>
      <c r="CN175" s="922"/>
      <c r="CO175" s="922"/>
      <c r="CP175" s="922"/>
      <c r="CQ175" s="922"/>
      <c r="CR175" s="922"/>
      <c r="CS175" s="922"/>
      <c r="CT175" s="922"/>
      <c r="CU175" s="922"/>
      <c r="CV175" s="922"/>
      <c r="CW175" s="922"/>
      <c r="CX175" s="922"/>
      <c r="CY175" s="922"/>
      <c r="CZ175" s="922"/>
      <c r="DA175" s="922"/>
      <c r="DB175" s="922"/>
      <c r="DC175" s="922"/>
      <c r="DD175" s="922"/>
      <c r="DE175" s="922"/>
      <c r="DF175" s="922"/>
      <c r="DG175" s="922"/>
      <c r="DH175" s="922"/>
      <c r="DI175" s="922"/>
      <c r="DJ175" s="922"/>
      <c r="DK175" s="922"/>
      <c r="DL175" s="922"/>
      <c r="DM175" s="922"/>
      <c r="DN175" s="922"/>
      <c r="DO175" s="922"/>
      <c r="DP175" s="922"/>
      <c r="DQ175" s="922"/>
      <c r="DR175" s="922"/>
      <c r="DS175" s="922"/>
      <c r="DT175" s="922"/>
      <c r="DU175" s="922"/>
      <c r="DV175" s="922"/>
      <c r="DW175" s="922"/>
      <c r="DX175" s="922"/>
      <c r="DY175" s="922"/>
      <c r="DZ175" s="922"/>
      <c r="EA175" s="922"/>
      <c r="EB175" s="922"/>
      <c r="EC175" s="922"/>
      <c r="ED175" s="922"/>
      <c r="EE175" s="922"/>
      <c r="EF175" s="922"/>
      <c r="EG175" s="922"/>
      <c r="EH175" s="922"/>
      <c r="EI175" s="922"/>
      <c r="EJ175" s="922"/>
      <c r="EK175" s="922"/>
      <c r="EL175" s="922"/>
      <c r="EM175" s="922"/>
      <c r="EN175" s="922"/>
      <c r="EO175" s="922"/>
      <c r="EP175" s="922"/>
      <c r="EQ175" s="922"/>
      <c r="ER175" s="922"/>
      <c r="ES175" s="922"/>
      <c r="ET175" s="922"/>
      <c r="EU175" s="922"/>
      <c r="EV175" s="922"/>
      <c r="EW175" s="922"/>
      <c r="EX175" s="922"/>
      <c r="EY175" s="922"/>
      <c r="EZ175" s="922"/>
      <c r="FA175" s="922"/>
      <c r="FB175" s="922"/>
      <c r="FC175" s="922"/>
      <c r="FD175" s="922"/>
      <c r="FE175" s="922"/>
      <c r="FF175" s="922"/>
      <c r="FG175" s="922"/>
      <c r="FH175" s="922"/>
      <c r="FI175" s="922"/>
      <c r="FJ175" s="922"/>
      <c r="FK175" s="922"/>
      <c r="FL175" s="922"/>
      <c r="FM175" s="922"/>
      <c r="FN175" s="922"/>
      <c r="FO175" s="922"/>
      <c r="FP175" s="922"/>
      <c r="FQ175" s="922"/>
      <c r="FR175" s="922"/>
      <c r="FS175" s="922"/>
      <c r="FT175" s="922"/>
      <c r="FU175" s="922"/>
      <c r="FV175" s="922"/>
      <c r="FW175" s="922"/>
      <c r="FX175" s="922"/>
      <c r="FY175" s="922"/>
      <c r="FZ175" s="922"/>
      <c r="GA175" s="922"/>
      <c r="GB175" s="922"/>
      <c r="GC175" s="922"/>
      <c r="GD175" s="922"/>
      <c r="GE175" s="922"/>
      <c r="GF175" s="922"/>
      <c r="GG175" s="922"/>
      <c r="GH175" s="922"/>
      <c r="GI175" s="922"/>
      <c r="GJ175" s="922"/>
      <c r="GK175" s="922"/>
      <c r="GL175" s="922"/>
      <c r="GM175" s="922"/>
      <c r="GN175" s="922"/>
      <c r="GO175" s="922"/>
      <c r="GP175" s="922"/>
      <c r="GQ175" s="922"/>
      <c r="GR175" s="922"/>
      <c r="GS175" s="922"/>
      <c r="GT175" s="922"/>
      <c r="GU175" s="922"/>
      <c r="GV175" s="922"/>
      <c r="GW175" s="922"/>
      <c r="GX175" s="922"/>
      <c r="GY175" s="922"/>
      <c r="GZ175" s="922"/>
      <c r="HA175" s="922"/>
      <c r="HB175" s="922"/>
      <c r="HC175" s="922"/>
      <c r="HD175" s="922"/>
      <c r="HE175" s="922"/>
      <c r="HF175" s="922"/>
      <c r="HG175" s="922"/>
      <c r="HH175" s="922"/>
      <c r="HI175" s="922"/>
      <c r="HJ175" s="922"/>
      <c r="HK175" s="922"/>
      <c r="HL175" s="922"/>
      <c r="HM175" s="922"/>
      <c r="HN175" s="922"/>
      <c r="HO175" s="922"/>
      <c r="HP175" s="922"/>
      <c r="HQ175" s="922"/>
      <c r="HR175" s="922"/>
      <c r="HS175" s="922"/>
      <c r="HT175" s="922"/>
      <c r="HU175" s="922"/>
      <c r="HV175" s="922"/>
      <c r="HW175" s="922"/>
      <c r="HX175" s="922"/>
      <c r="HY175" s="922"/>
      <c r="HZ175" s="922"/>
      <c r="IA175" s="922"/>
      <c r="IB175" s="922"/>
      <c r="IC175" s="922"/>
      <c r="ID175" s="922"/>
      <c r="IE175" s="922"/>
      <c r="IF175" s="922"/>
      <c r="IG175" s="922"/>
      <c r="IH175" s="922"/>
      <c r="II175" s="922"/>
      <c r="IJ175" s="922"/>
      <c r="IK175" s="922"/>
      <c r="IL175" s="922"/>
      <c r="IM175" s="922"/>
      <c r="IN175" s="922"/>
      <c r="IO175" s="922"/>
      <c r="IP175" s="922"/>
      <c r="IQ175" s="922"/>
      <c r="IR175" s="922"/>
      <c r="IS175" s="922"/>
      <c r="IT175" s="922"/>
      <c r="IU175" s="922"/>
      <c r="IV175" s="922"/>
      <c r="IW175" s="922"/>
      <c r="IX175" s="922"/>
      <c r="IY175" s="922"/>
      <c r="IZ175" s="922"/>
      <c r="JA175" s="922"/>
      <c r="JB175" s="922"/>
      <c r="JC175" s="922"/>
      <c r="JD175" s="922"/>
      <c r="JE175" s="922"/>
      <c r="JF175" s="922"/>
      <c r="JG175" s="922"/>
      <c r="JH175" s="922"/>
      <c r="JI175" s="922"/>
      <c r="JJ175" s="922"/>
      <c r="JK175" s="922"/>
      <c r="JL175" s="922"/>
      <c r="JM175" s="922"/>
      <c r="JN175" s="922"/>
      <c r="JO175" s="922"/>
      <c r="JP175" s="922"/>
      <c r="JQ175" s="922"/>
      <c r="JR175" s="922"/>
      <c r="JS175" s="922"/>
      <c r="JT175" s="922"/>
      <c r="JU175" s="922"/>
      <c r="JV175" s="922"/>
      <c r="JW175" s="922"/>
      <c r="JX175" s="922"/>
      <c r="JY175" s="922"/>
      <c r="JZ175" s="922"/>
      <c r="KA175" s="922"/>
      <c r="KB175" s="922"/>
      <c r="KC175" s="922"/>
      <c r="KD175" s="922"/>
      <c r="KE175" s="922"/>
      <c r="KF175" s="922"/>
      <c r="KG175" s="922"/>
      <c r="KH175" s="922"/>
      <c r="KI175" s="922"/>
      <c r="KJ175" s="922"/>
      <c r="KK175" s="922"/>
      <c r="KL175" s="922"/>
      <c r="KM175" s="922"/>
      <c r="KN175" s="922"/>
      <c r="KO175" s="922"/>
      <c r="KP175" s="922"/>
      <c r="KQ175" s="922"/>
      <c r="KR175" s="922"/>
      <c r="KS175" s="922"/>
      <c r="KT175" s="922"/>
      <c r="KU175" s="922"/>
      <c r="KV175" s="922"/>
      <c r="KW175" s="922"/>
      <c r="KX175" s="922"/>
      <c r="KY175" s="922"/>
      <c r="KZ175" s="922"/>
      <c r="LA175" s="922"/>
      <c r="LB175" s="922"/>
      <c r="LC175" s="922"/>
      <c r="LD175" s="922"/>
      <c r="LE175" s="922"/>
      <c r="LF175" s="922"/>
      <c r="LG175" s="922"/>
      <c r="LH175" s="922"/>
      <c r="LI175" s="922"/>
      <c r="LJ175" s="922"/>
      <c r="LK175" s="922"/>
      <c r="LL175" s="922"/>
      <c r="LM175" s="922"/>
      <c r="LN175" s="922"/>
      <c r="LO175" s="922"/>
      <c r="LP175" s="922"/>
      <c r="LQ175" s="922"/>
      <c r="LR175" s="922"/>
      <c r="LS175" s="922"/>
      <c r="LT175" s="922"/>
      <c r="LU175" s="922"/>
      <c r="LV175" s="922"/>
      <c r="LW175" s="922"/>
      <c r="LX175" s="922"/>
      <c r="LY175" s="922"/>
      <c r="LZ175" s="922"/>
      <c r="MA175" s="922"/>
      <c r="MB175" s="922"/>
      <c r="MC175" s="922"/>
      <c r="MD175" s="922"/>
      <c r="ME175" s="922"/>
      <c r="MF175" s="922"/>
      <c r="MG175" s="922"/>
      <c r="MH175" s="922"/>
      <c r="MI175" s="922"/>
      <c r="MJ175" s="922"/>
      <c r="MK175" s="922"/>
      <c r="ML175" s="922"/>
      <c r="MM175" s="922"/>
      <c r="MN175" s="922"/>
      <c r="MO175" s="922"/>
      <c r="MP175" s="922"/>
      <c r="MQ175" s="922"/>
      <c r="MR175" s="922"/>
      <c r="MS175" s="922"/>
      <c r="MT175" s="922"/>
      <c r="MU175" s="922"/>
      <c r="MV175" s="922"/>
      <c r="MW175" s="922"/>
      <c r="MX175" s="922"/>
      <c r="MY175" s="922"/>
      <c r="MZ175" s="922"/>
      <c r="NA175" s="922"/>
      <c r="NB175" s="922"/>
      <c r="NC175" s="922"/>
      <c r="ND175" s="922"/>
      <c r="NE175" s="922"/>
      <c r="NF175" s="922"/>
      <c r="NG175" s="922"/>
      <c r="NH175" s="922"/>
      <c r="NI175" s="922"/>
      <c r="NJ175" s="922"/>
      <c r="NK175" s="922"/>
      <c r="NL175" s="922"/>
      <c r="NM175" s="922"/>
      <c r="NN175" s="922"/>
      <c r="NO175" s="922"/>
      <c r="NP175" s="922"/>
      <c r="NQ175" s="922"/>
      <c r="NR175" s="922"/>
      <c r="NS175" s="922"/>
      <c r="NT175" s="922"/>
      <c r="NU175" s="922"/>
      <c r="NV175" s="922"/>
      <c r="NW175" s="922"/>
      <c r="NX175" s="922"/>
      <c r="NY175" s="922"/>
      <c r="NZ175" s="922"/>
      <c r="OA175" s="922"/>
      <c r="OB175" s="922"/>
      <c r="OC175" s="922"/>
      <c r="OD175" s="922"/>
      <c r="OE175" s="922"/>
      <c r="OF175" s="922"/>
      <c r="OG175" s="922"/>
      <c r="OH175" s="922"/>
      <c r="OI175" s="922"/>
      <c r="OJ175" s="922"/>
      <c r="OK175" s="922"/>
      <c r="OL175" s="922"/>
      <c r="OM175" s="922"/>
      <c r="ON175" s="922"/>
      <c r="OO175" s="922"/>
      <c r="OP175" s="922"/>
      <c r="OQ175" s="922"/>
      <c r="OR175" s="922"/>
      <c r="OS175" s="922"/>
      <c r="OT175" s="922"/>
      <c r="OU175" s="922"/>
      <c r="OV175" s="922"/>
      <c r="OW175" s="922"/>
      <c r="OX175" s="922"/>
      <c r="OY175" s="922"/>
      <c r="OZ175" s="922"/>
      <c r="PA175" s="922"/>
      <c r="PB175" s="922"/>
      <c r="PC175" s="922"/>
      <c r="PD175" s="922"/>
      <c r="PE175" s="922"/>
      <c r="PF175" s="922"/>
      <c r="PG175" s="922"/>
      <c r="PH175" s="922"/>
      <c r="PI175" s="922"/>
      <c r="PJ175" s="922"/>
      <c r="PK175" s="922"/>
      <c r="PL175" s="922"/>
      <c r="PM175" s="922"/>
      <c r="PN175" s="922"/>
      <c r="PO175" s="922"/>
      <c r="PP175" s="922"/>
      <c r="PQ175" s="922"/>
      <c r="PR175" s="922"/>
      <c r="PS175" s="922"/>
      <c r="PT175" s="922"/>
      <c r="PU175" s="922"/>
      <c r="PV175" s="922"/>
      <c r="PW175" s="922"/>
      <c r="PX175" s="922"/>
      <c r="PY175" s="922"/>
      <c r="PZ175" s="922"/>
      <c r="QA175" s="922"/>
      <c r="QB175" s="922"/>
      <c r="QC175" s="922"/>
      <c r="QD175" s="922"/>
      <c r="QE175" s="922"/>
      <c r="QF175" s="922"/>
      <c r="QG175" s="922"/>
      <c r="QH175" s="922"/>
      <c r="QI175" s="922"/>
      <c r="QJ175" s="922"/>
      <c r="QK175" s="922"/>
      <c r="QL175" s="922"/>
      <c r="QM175" s="922"/>
      <c r="QN175" s="922"/>
      <c r="QO175" s="922"/>
      <c r="QP175" s="922"/>
      <c r="QQ175" s="922"/>
      <c r="QR175" s="922"/>
      <c r="QS175" s="922"/>
      <c r="QT175" s="922"/>
      <c r="QU175" s="922"/>
      <c r="QV175" s="922"/>
      <c r="QW175" s="922"/>
      <c r="QX175" s="922"/>
      <c r="QY175" s="922"/>
      <c r="QZ175" s="922"/>
      <c r="RA175" s="922"/>
      <c r="RB175" s="922"/>
      <c r="RC175" s="922"/>
      <c r="RD175" s="922"/>
      <c r="RE175" s="922"/>
      <c r="RF175" s="922"/>
      <c r="RG175" s="922"/>
      <c r="RH175" s="922"/>
      <c r="RI175" s="922"/>
      <c r="RJ175" s="922"/>
      <c r="RK175" s="922"/>
      <c r="RL175" s="922"/>
      <c r="RM175" s="922"/>
      <c r="RN175" s="922"/>
      <c r="RO175" s="922"/>
      <c r="RP175" s="922"/>
      <c r="RQ175" s="922"/>
      <c r="RR175" s="922"/>
      <c r="RS175" s="922"/>
      <c r="RT175" s="922"/>
      <c r="RU175" s="922"/>
      <c r="RV175" s="922"/>
      <c r="RW175" s="922"/>
      <c r="RX175" s="922"/>
      <c r="RY175" s="922"/>
      <c r="RZ175" s="922"/>
      <c r="SA175" s="922"/>
      <c r="SB175" s="922"/>
      <c r="SC175" s="922"/>
      <c r="SD175" s="922"/>
      <c r="SE175" s="922"/>
      <c r="SF175" s="922"/>
      <c r="SG175" s="922"/>
      <c r="SH175" s="922"/>
      <c r="SI175" s="922"/>
      <c r="SJ175" s="922"/>
      <c r="SK175" s="922"/>
      <c r="SL175" s="922"/>
      <c r="SM175" s="922"/>
      <c r="SN175" s="922"/>
      <c r="SO175" s="922"/>
      <c r="SP175" s="922"/>
      <c r="SQ175" s="922"/>
      <c r="SR175" s="922"/>
      <c r="SS175" s="922"/>
      <c r="ST175" s="922"/>
      <c r="SU175" s="922"/>
      <c r="SV175" s="922"/>
      <c r="SW175" s="922"/>
      <c r="SX175" s="922"/>
      <c r="SY175" s="922"/>
      <c r="SZ175" s="922"/>
      <c r="TA175" s="922"/>
      <c r="TB175" s="922"/>
      <c r="TC175" s="922"/>
      <c r="TD175" s="922"/>
      <c r="TE175" s="922"/>
      <c r="TF175" s="922"/>
      <c r="TG175" s="922"/>
      <c r="TH175" s="922"/>
      <c r="TI175" s="922"/>
      <c r="TJ175" s="922"/>
      <c r="TK175" s="922"/>
      <c r="TL175" s="922"/>
      <c r="TM175" s="922"/>
      <c r="TN175" s="922"/>
      <c r="TO175" s="922"/>
      <c r="TP175" s="922"/>
      <c r="TQ175" s="922"/>
      <c r="TR175" s="922"/>
      <c r="TS175" s="922"/>
      <c r="TT175" s="922"/>
      <c r="TU175" s="922"/>
      <c r="TV175" s="922"/>
      <c r="TW175" s="922"/>
      <c r="TX175" s="922"/>
      <c r="TY175" s="922"/>
      <c r="TZ175" s="922"/>
      <c r="UA175" s="922"/>
      <c r="UB175" s="922"/>
      <c r="UC175" s="922"/>
      <c r="UD175" s="922"/>
      <c r="UE175" s="922"/>
      <c r="UF175" s="922"/>
      <c r="UG175" s="922"/>
      <c r="UH175" s="922"/>
      <c r="UI175" s="922"/>
      <c r="UJ175" s="922"/>
      <c r="UK175" s="922"/>
      <c r="UL175" s="922"/>
      <c r="UM175" s="922"/>
      <c r="UN175" s="922"/>
      <c r="UO175" s="922"/>
      <c r="UP175" s="922"/>
      <c r="UQ175" s="922"/>
      <c r="UR175" s="922"/>
      <c r="US175" s="922"/>
      <c r="UT175" s="922"/>
      <c r="UU175" s="922"/>
      <c r="UV175" s="922"/>
      <c r="UW175" s="922"/>
      <c r="UX175" s="922"/>
      <c r="UY175" s="922"/>
      <c r="UZ175" s="922"/>
      <c r="VA175" s="922"/>
      <c r="VB175" s="922"/>
      <c r="VC175" s="922"/>
      <c r="VD175" s="922"/>
      <c r="VE175" s="922"/>
      <c r="VF175" s="922"/>
      <c r="VG175" s="922"/>
      <c r="VH175" s="922"/>
      <c r="VI175" s="922"/>
      <c r="VJ175" s="922"/>
      <c r="VK175" s="922"/>
      <c r="VL175" s="922"/>
      <c r="VM175" s="922"/>
      <c r="VN175" s="922"/>
      <c r="VO175" s="922"/>
      <c r="VP175" s="922"/>
      <c r="VQ175" s="922"/>
      <c r="VR175" s="922"/>
      <c r="VS175" s="922"/>
      <c r="VT175" s="922"/>
      <c r="VU175" s="922"/>
      <c r="VV175" s="922"/>
      <c r="VW175" s="922"/>
      <c r="VX175" s="922"/>
      <c r="VY175" s="922"/>
      <c r="VZ175" s="922"/>
      <c r="WA175" s="922"/>
      <c r="WB175" s="922"/>
      <c r="WC175" s="922"/>
      <c r="WD175" s="922"/>
      <c r="WE175" s="922"/>
      <c r="WF175" s="922"/>
      <c r="WG175" s="922"/>
      <c r="WH175" s="922"/>
      <c r="WI175" s="922"/>
      <c r="WJ175" s="922"/>
      <c r="WK175" s="922"/>
      <c r="WL175" s="922"/>
      <c r="WM175" s="922"/>
      <c r="WN175" s="922"/>
      <c r="WO175" s="922"/>
      <c r="WP175" s="922"/>
      <c r="WQ175" s="922"/>
      <c r="WR175" s="922"/>
      <c r="WS175" s="922"/>
      <c r="WT175" s="922"/>
      <c r="WU175" s="922"/>
      <c r="WV175" s="922"/>
      <c r="WW175" s="922"/>
      <c r="WX175" s="922"/>
      <c r="WY175" s="922"/>
      <c r="WZ175" s="922"/>
      <c r="XA175" s="922"/>
      <c r="XB175" s="922"/>
      <c r="XC175" s="922"/>
      <c r="XD175" s="922"/>
      <c r="XE175" s="922"/>
      <c r="XF175" s="922"/>
      <c r="XG175" s="922"/>
      <c r="XH175" s="922"/>
      <c r="XI175" s="922"/>
      <c r="XJ175" s="922"/>
      <c r="XK175" s="922"/>
      <c r="XL175" s="922"/>
      <c r="XM175" s="922"/>
      <c r="XN175" s="922"/>
      <c r="XO175" s="922"/>
      <c r="XP175" s="922"/>
      <c r="XQ175" s="922"/>
      <c r="XR175" s="922"/>
      <c r="XS175" s="922"/>
      <c r="XT175" s="922"/>
      <c r="XU175" s="922"/>
      <c r="XV175" s="922"/>
      <c r="XW175" s="922"/>
      <c r="XX175" s="922"/>
      <c r="XY175" s="922"/>
      <c r="XZ175" s="922"/>
      <c r="YA175" s="922"/>
      <c r="YB175" s="922"/>
      <c r="YC175" s="922"/>
      <c r="YD175" s="922"/>
      <c r="YE175" s="922"/>
      <c r="YF175" s="922"/>
      <c r="YG175" s="922"/>
      <c r="YH175" s="922"/>
      <c r="YI175" s="922"/>
      <c r="YJ175" s="922"/>
      <c r="YK175" s="922"/>
      <c r="YL175" s="922"/>
      <c r="YM175" s="922"/>
      <c r="YN175" s="922"/>
      <c r="YO175" s="922"/>
      <c r="YP175" s="922"/>
      <c r="YQ175" s="922"/>
      <c r="YR175" s="922"/>
      <c r="YS175" s="922"/>
      <c r="YT175" s="922"/>
      <c r="YU175" s="922"/>
      <c r="YV175" s="922"/>
      <c r="YW175" s="922"/>
      <c r="YX175" s="922"/>
      <c r="YY175" s="922"/>
      <c r="YZ175" s="922"/>
      <c r="ZA175" s="922"/>
      <c r="ZB175" s="922"/>
      <c r="ZC175" s="922"/>
      <c r="ZD175" s="922"/>
      <c r="ZE175" s="922"/>
      <c r="ZF175" s="922"/>
      <c r="ZG175" s="922"/>
      <c r="ZH175" s="922"/>
      <c r="ZI175" s="922"/>
      <c r="ZJ175" s="922"/>
      <c r="ZK175" s="922"/>
      <c r="ZL175" s="922"/>
      <c r="ZM175" s="922"/>
      <c r="ZN175" s="922"/>
      <c r="ZO175" s="922"/>
      <c r="ZP175" s="922"/>
      <c r="ZQ175" s="922"/>
      <c r="ZR175" s="922"/>
      <c r="ZS175" s="922"/>
      <c r="ZT175" s="922"/>
      <c r="ZU175" s="922"/>
      <c r="ZV175" s="922"/>
      <c r="ZW175" s="922"/>
      <c r="ZX175" s="922"/>
      <c r="ZY175" s="922"/>
      <c r="ZZ175" s="922"/>
      <c r="AAA175" s="922"/>
      <c r="AAB175" s="922"/>
      <c r="AAC175" s="922"/>
      <c r="AAD175" s="922"/>
      <c r="AAE175" s="922"/>
      <c r="AAF175" s="922"/>
      <c r="AAG175" s="922"/>
      <c r="AAH175" s="922"/>
      <c r="AAI175" s="922"/>
      <c r="AAJ175" s="922"/>
      <c r="AAK175" s="922"/>
      <c r="AAL175" s="922"/>
      <c r="AAM175" s="922"/>
      <c r="AAN175" s="922"/>
      <c r="AAO175" s="922"/>
      <c r="AAP175" s="922"/>
      <c r="AAQ175" s="922"/>
      <c r="AAR175" s="922"/>
      <c r="AAS175" s="922"/>
      <c r="AAT175" s="922"/>
      <c r="AAU175" s="922"/>
      <c r="AAV175" s="922"/>
      <c r="AAW175" s="922"/>
      <c r="AAX175" s="922"/>
      <c r="AAY175" s="922"/>
      <c r="AAZ175" s="922"/>
      <c r="ABA175" s="922"/>
      <c r="ABB175" s="922"/>
      <c r="ABC175" s="922"/>
      <c r="ABD175" s="922"/>
      <c r="ABE175" s="922"/>
      <c r="ABF175" s="922"/>
      <c r="ABG175" s="922"/>
      <c r="ABH175" s="922"/>
      <c r="ABI175" s="922"/>
      <c r="ABJ175" s="922"/>
      <c r="ABK175" s="922"/>
      <c r="ABL175" s="922"/>
      <c r="ABM175" s="922"/>
      <c r="ABN175" s="922"/>
      <c r="ABO175" s="922"/>
      <c r="ABP175" s="922"/>
      <c r="ABQ175" s="922"/>
      <c r="ABR175" s="922"/>
      <c r="ABS175" s="922"/>
      <c r="ABT175" s="922"/>
      <c r="ABU175" s="922"/>
      <c r="ABV175" s="922"/>
      <c r="ABW175" s="922"/>
      <c r="ABX175" s="922"/>
      <c r="ABY175" s="922"/>
      <c r="ABZ175" s="922"/>
      <c r="ACA175" s="922"/>
      <c r="ACB175" s="922"/>
      <c r="ACC175" s="922"/>
      <c r="ACD175" s="922"/>
      <c r="ACE175" s="922"/>
      <c r="ACF175" s="922"/>
      <c r="ACG175" s="922"/>
      <c r="ACH175" s="922"/>
      <c r="ACI175" s="922"/>
      <c r="ACJ175" s="922"/>
      <c r="ACK175" s="922"/>
      <c r="ACL175" s="922"/>
      <c r="ACM175" s="922"/>
      <c r="ACN175" s="922"/>
      <c r="ACO175" s="922"/>
      <c r="ACP175" s="922"/>
      <c r="ACQ175" s="922"/>
      <c r="ACR175" s="922"/>
      <c r="ACS175" s="922"/>
      <c r="ACT175" s="922"/>
      <c r="ACU175" s="922"/>
      <c r="ACV175" s="922"/>
      <c r="ACW175" s="922"/>
      <c r="ACX175" s="922"/>
      <c r="ACY175" s="922"/>
      <c r="ACZ175" s="922"/>
      <c r="ADA175" s="922"/>
      <c r="ADB175" s="922"/>
      <c r="ADC175" s="922"/>
      <c r="ADD175" s="922"/>
      <c r="ADE175" s="922"/>
      <c r="ADF175" s="922"/>
      <c r="ADG175" s="922"/>
      <c r="ADH175" s="922"/>
      <c r="ADI175" s="922"/>
      <c r="ADJ175" s="922"/>
      <c r="ADK175" s="922"/>
      <c r="ADL175" s="922"/>
      <c r="ADM175" s="922"/>
      <c r="ADN175" s="922"/>
      <c r="ADO175" s="922"/>
      <c r="ADP175" s="922"/>
      <c r="ADQ175" s="922"/>
      <c r="ADR175" s="922"/>
      <c r="ADS175" s="922"/>
      <c r="ADT175" s="922"/>
      <c r="ADU175" s="922"/>
      <c r="ADV175" s="922"/>
      <c r="ADW175" s="922"/>
      <c r="ADX175" s="922"/>
      <c r="ADY175" s="922"/>
      <c r="ADZ175" s="922"/>
      <c r="AEA175" s="922"/>
      <c r="AEB175" s="922"/>
      <c r="AEC175" s="922"/>
      <c r="AED175" s="922"/>
      <c r="AEE175" s="922"/>
      <c r="AEF175" s="922"/>
      <c r="AEG175" s="922"/>
      <c r="AEH175" s="922"/>
      <c r="AEI175" s="922"/>
      <c r="AEJ175" s="922"/>
      <c r="AEK175" s="922"/>
      <c r="AEL175" s="922"/>
      <c r="AEM175" s="922"/>
      <c r="AEN175" s="922"/>
      <c r="AEO175" s="922"/>
      <c r="AEP175" s="922"/>
      <c r="AEQ175" s="922"/>
      <c r="AER175" s="922"/>
      <c r="AES175" s="922"/>
      <c r="AET175" s="922"/>
      <c r="AEU175" s="922"/>
      <c r="AEV175" s="922"/>
      <c r="AEW175" s="922"/>
      <c r="AEX175" s="922"/>
      <c r="AEY175" s="922"/>
      <c r="AEZ175" s="922"/>
      <c r="AFA175" s="922"/>
      <c r="AFB175" s="922"/>
      <c r="AFC175" s="922"/>
      <c r="AFD175" s="922"/>
      <c r="AFE175" s="922"/>
      <c r="AFF175" s="922"/>
      <c r="AFG175" s="922"/>
      <c r="AFH175" s="922"/>
      <c r="AFI175" s="922"/>
      <c r="AFJ175" s="922"/>
      <c r="AFK175" s="922"/>
      <c r="AFL175" s="922"/>
      <c r="AFM175" s="922"/>
      <c r="AFN175" s="922"/>
      <c r="AFO175" s="922"/>
      <c r="AFP175" s="922"/>
      <c r="AFQ175" s="922"/>
      <c r="AFR175" s="922"/>
      <c r="AFS175" s="922"/>
      <c r="AFT175" s="922"/>
      <c r="AFU175" s="922"/>
      <c r="AFV175" s="922"/>
      <c r="AFW175" s="922"/>
      <c r="AFX175" s="922"/>
      <c r="AFY175" s="922"/>
      <c r="AFZ175" s="922"/>
      <c r="AGA175" s="922"/>
      <c r="AGB175" s="922"/>
      <c r="AGC175" s="922"/>
      <c r="AGD175" s="922"/>
      <c r="AGE175" s="922"/>
      <c r="AGF175" s="922"/>
      <c r="AGG175" s="922"/>
      <c r="AGH175" s="922"/>
      <c r="AGI175" s="922"/>
      <c r="AGJ175" s="922"/>
      <c r="AGK175" s="922"/>
      <c r="AGL175" s="922"/>
      <c r="AGM175" s="922"/>
      <c r="AGN175" s="922"/>
      <c r="AGO175" s="922"/>
      <c r="AGP175" s="922"/>
      <c r="AGQ175" s="922"/>
      <c r="AGR175" s="922"/>
      <c r="AGS175" s="922"/>
      <c r="AGT175" s="922"/>
      <c r="AGU175" s="922"/>
      <c r="AGV175" s="922"/>
      <c r="AGW175" s="922"/>
      <c r="AGX175" s="922"/>
      <c r="AGY175" s="922"/>
      <c r="AGZ175" s="922"/>
      <c r="AHA175" s="922"/>
      <c r="AHB175" s="922"/>
      <c r="AHC175" s="922"/>
      <c r="AHD175" s="922"/>
      <c r="AHE175" s="922"/>
      <c r="AHF175" s="922"/>
      <c r="AHG175" s="922"/>
      <c r="AHH175" s="922"/>
      <c r="AHI175" s="922"/>
      <c r="AHJ175" s="922"/>
      <c r="AHK175" s="922"/>
      <c r="AHL175" s="922"/>
      <c r="AHM175" s="922"/>
      <c r="AHN175" s="922"/>
      <c r="AHO175" s="922"/>
      <c r="AHP175" s="922"/>
      <c r="AHQ175" s="922"/>
      <c r="AHR175" s="922"/>
      <c r="AHS175" s="922"/>
      <c r="AHT175" s="922"/>
      <c r="AHU175" s="922"/>
      <c r="AHV175" s="922"/>
      <c r="AHW175" s="922"/>
      <c r="AHX175" s="922"/>
      <c r="AHY175" s="922"/>
      <c r="AHZ175" s="922"/>
      <c r="AIA175" s="922"/>
      <c r="AIB175" s="922"/>
      <c r="AIC175" s="922"/>
      <c r="AID175" s="922"/>
      <c r="AIE175" s="922"/>
      <c r="AIF175" s="922"/>
      <c r="AIG175" s="922"/>
      <c r="AIH175" s="922"/>
      <c r="AII175" s="922"/>
      <c r="AIJ175" s="922"/>
      <c r="AIK175" s="922"/>
      <c r="AIL175" s="922"/>
      <c r="AIM175" s="922"/>
      <c r="AIN175" s="922"/>
      <c r="AIO175" s="922"/>
      <c r="AIP175" s="922"/>
      <c r="AIQ175" s="922"/>
      <c r="AIR175" s="922"/>
      <c r="AIS175" s="922"/>
      <c r="AIT175" s="922"/>
      <c r="AIU175" s="922"/>
      <c r="AIV175" s="922"/>
      <c r="AIW175" s="922"/>
      <c r="AIX175" s="922"/>
      <c r="AIY175" s="922"/>
      <c r="AIZ175" s="922"/>
      <c r="AJA175" s="922"/>
      <c r="AJB175" s="922"/>
      <c r="AJC175" s="922"/>
      <c r="AJD175" s="922"/>
      <c r="AJE175" s="922"/>
      <c r="AJF175" s="922"/>
      <c r="AJG175" s="922"/>
      <c r="AJH175" s="922"/>
      <c r="AJI175" s="922"/>
      <c r="AJJ175" s="922"/>
      <c r="AJK175" s="922"/>
      <c r="AJL175" s="922"/>
      <c r="AJM175" s="922"/>
      <c r="AJN175" s="922"/>
      <c r="AJO175" s="922"/>
      <c r="AJP175" s="922"/>
      <c r="AJQ175" s="922"/>
      <c r="AJR175" s="922"/>
      <c r="AJS175" s="922"/>
      <c r="AJT175" s="922"/>
      <c r="AJU175" s="922"/>
      <c r="AJV175" s="922"/>
      <c r="AJW175" s="922"/>
      <c r="AJX175" s="922"/>
      <c r="AJY175" s="922"/>
      <c r="AJZ175" s="922"/>
      <c r="AKA175" s="922"/>
      <c r="AKB175" s="922"/>
      <c r="AKC175" s="922"/>
      <c r="AKD175" s="922"/>
      <c r="AKE175" s="922"/>
      <c r="AKF175" s="922"/>
      <c r="AKG175" s="922"/>
      <c r="AKH175" s="922"/>
      <c r="AKI175" s="922"/>
      <c r="AKJ175" s="922"/>
      <c r="AKK175" s="922"/>
      <c r="AKL175" s="922"/>
      <c r="AKM175" s="922"/>
      <c r="AKN175" s="922"/>
      <c r="AKO175" s="922"/>
      <c r="AKP175" s="922"/>
      <c r="AKQ175" s="922"/>
      <c r="AKR175" s="922"/>
      <c r="AKS175" s="922"/>
      <c r="AKT175" s="922"/>
      <c r="AKU175" s="922"/>
      <c r="AKV175" s="922"/>
      <c r="AKW175" s="922"/>
      <c r="AKX175" s="922"/>
      <c r="AKY175" s="922"/>
      <c r="AKZ175" s="922"/>
      <c r="ALA175" s="922"/>
      <c r="ALB175" s="922"/>
      <c r="ALC175" s="922"/>
      <c r="ALD175" s="922"/>
      <c r="ALE175" s="922"/>
      <c r="ALF175" s="922"/>
      <c r="ALG175" s="922"/>
      <c r="ALH175" s="922"/>
      <c r="ALI175" s="922"/>
      <c r="ALJ175" s="922"/>
      <c r="ALK175" s="922"/>
      <c r="ALL175" s="922"/>
      <c r="ALM175" s="922"/>
      <c r="ALN175" s="922"/>
      <c r="ALO175" s="922"/>
      <c r="ALP175" s="922"/>
      <c r="ALQ175" s="922"/>
      <c r="ALR175" s="922"/>
      <c r="ALS175" s="922"/>
      <c r="ALT175" s="922"/>
      <c r="ALU175" s="922"/>
      <c r="ALV175" s="922"/>
      <c r="ALW175" s="922"/>
      <c r="ALX175" s="922"/>
      <c r="ALY175" s="922"/>
      <c r="ALZ175" s="922"/>
      <c r="AMA175" s="922"/>
      <c r="AMB175" s="922"/>
      <c r="AMC175" s="922"/>
      <c r="AMD175" s="922"/>
      <c r="AME175" s="922"/>
      <c r="AMF175" s="922"/>
      <c r="AMG175" s="922"/>
      <c r="AMH175" s="922"/>
      <c r="AMI175" s="922"/>
      <c r="AMJ175" s="922"/>
      <c r="AMK175" s="922"/>
      <c r="AML175" s="922"/>
      <c r="AMM175" s="922"/>
      <c r="AMN175" s="922"/>
      <c r="AMO175" s="922"/>
      <c r="AMP175" s="922"/>
      <c r="AMQ175" s="922"/>
      <c r="AMR175" s="922"/>
      <c r="AMS175" s="922"/>
      <c r="AMT175" s="922"/>
      <c r="AMU175" s="922"/>
      <c r="AMV175" s="922"/>
      <c r="AMW175" s="922"/>
      <c r="AMX175" s="922"/>
      <c r="AMY175" s="922"/>
      <c r="AMZ175" s="922"/>
      <c r="ANA175" s="922"/>
      <c r="ANB175" s="922"/>
      <c r="ANC175" s="922"/>
      <c r="AND175" s="922"/>
      <c r="ANE175" s="922"/>
      <c r="ANF175" s="922"/>
      <c r="ANG175" s="922"/>
      <c r="ANH175" s="922"/>
      <c r="ANI175" s="922"/>
      <c r="ANJ175" s="922"/>
      <c r="ANK175" s="922"/>
      <c r="ANL175" s="922"/>
      <c r="ANM175" s="922"/>
      <c r="ANN175" s="922"/>
      <c r="ANO175" s="922"/>
      <c r="ANP175" s="922"/>
      <c r="ANQ175" s="922"/>
      <c r="ANR175" s="922"/>
      <c r="ANS175" s="922"/>
      <c r="ANT175" s="922"/>
      <c r="ANU175" s="922"/>
      <c r="ANV175" s="922"/>
      <c r="ANW175" s="922"/>
      <c r="ANX175" s="922"/>
      <c r="ANY175" s="922"/>
      <c r="ANZ175" s="922"/>
      <c r="AOA175" s="922"/>
      <c r="AOB175" s="922"/>
      <c r="AOC175" s="922"/>
      <c r="AOD175" s="922"/>
      <c r="AOE175" s="922"/>
      <c r="AOF175" s="922"/>
      <c r="AOG175" s="922"/>
      <c r="AOH175" s="922"/>
      <c r="AOI175" s="922"/>
      <c r="AOJ175" s="922"/>
      <c r="AOK175" s="922"/>
      <c r="AOL175" s="922"/>
      <c r="AOM175" s="922"/>
      <c r="AON175" s="922"/>
      <c r="AOO175" s="922"/>
      <c r="AOP175" s="922"/>
      <c r="AOQ175" s="922"/>
      <c r="AOR175" s="922"/>
      <c r="AOS175" s="922"/>
      <c r="AOT175" s="922"/>
      <c r="AOU175" s="922"/>
      <c r="AOV175" s="922"/>
      <c r="AOW175" s="922"/>
      <c r="AOX175" s="922"/>
      <c r="AOY175" s="922"/>
      <c r="AOZ175" s="922"/>
      <c r="APA175" s="922"/>
      <c r="APB175" s="922"/>
      <c r="APC175" s="922"/>
      <c r="APD175" s="922"/>
      <c r="APE175" s="922"/>
      <c r="APF175" s="922"/>
      <c r="APG175" s="922"/>
      <c r="APH175" s="922"/>
      <c r="API175" s="922"/>
      <c r="APJ175" s="922"/>
      <c r="APK175" s="922"/>
      <c r="APL175" s="922"/>
      <c r="APM175" s="922"/>
      <c r="APN175" s="922"/>
      <c r="APO175" s="922"/>
      <c r="APP175" s="922"/>
      <c r="APQ175" s="922"/>
      <c r="APR175" s="922"/>
      <c r="APS175" s="922"/>
      <c r="APT175" s="922"/>
      <c r="APU175" s="922"/>
      <c r="APV175" s="922"/>
      <c r="APW175" s="922"/>
      <c r="APX175" s="922"/>
      <c r="APY175" s="922"/>
      <c r="APZ175" s="922"/>
      <c r="AQA175" s="922"/>
      <c r="AQB175" s="922"/>
      <c r="AQC175" s="922"/>
      <c r="AQD175" s="922"/>
      <c r="AQE175" s="922"/>
      <c r="AQF175" s="922"/>
      <c r="AQG175" s="922"/>
      <c r="AQH175" s="922"/>
      <c r="AQI175" s="922"/>
      <c r="AQJ175" s="922"/>
      <c r="AQK175" s="922"/>
      <c r="AQL175" s="922"/>
      <c r="AQM175" s="922"/>
      <c r="AQN175" s="922"/>
      <c r="AQO175" s="922"/>
      <c r="AQP175" s="922"/>
      <c r="AQQ175" s="922"/>
      <c r="AQR175" s="922"/>
      <c r="AQS175" s="922"/>
      <c r="AQT175" s="922"/>
      <c r="AQU175" s="922"/>
      <c r="AQV175" s="922"/>
      <c r="AQW175" s="922"/>
      <c r="AQX175" s="922"/>
      <c r="AQY175" s="922"/>
      <c r="AQZ175" s="922"/>
      <c r="ARA175" s="922"/>
      <c r="ARB175" s="922"/>
      <c r="ARC175" s="922"/>
      <c r="ARD175" s="922"/>
      <c r="ARE175" s="922"/>
      <c r="ARF175" s="922"/>
      <c r="ARG175" s="922"/>
      <c r="ARH175" s="922"/>
      <c r="ARI175" s="922"/>
      <c r="ARJ175" s="922"/>
      <c r="ARK175" s="922"/>
      <c r="ARL175" s="922"/>
      <c r="ARM175" s="922"/>
      <c r="ARN175" s="922"/>
      <c r="ARO175" s="922"/>
      <c r="ARP175" s="922"/>
      <c r="ARQ175" s="922"/>
      <c r="ARR175" s="922"/>
      <c r="ARS175" s="922"/>
      <c r="ART175" s="922"/>
      <c r="ARU175" s="922"/>
      <c r="ARV175" s="922"/>
      <c r="ARW175" s="922"/>
      <c r="ARX175" s="922"/>
      <c r="ARY175" s="922"/>
      <c r="ARZ175" s="922"/>
      <c r="ASA175" s="922"/>
      <c r="ASB175" s="922"/>
      <c r="ASC175" s="922"/>
    </row>
    <row r="176" spans="1:1173" hidden="1">
      <c r="A176" s="920"/>
      <c r="T176" s="922"/>
      <c r="AN176" s="922"/>
      <c r="AO176" s="922"/>
      <c r="AP176" s="922"/>
      <c r="AQ176" s="922"/>
      <c r="AR176" s="922"/>
      <c r="AS176" s="922"/>
      <c r="AT176" s="922"/>
      <c r="AU176" s="922"/>
      <c r="AV176" s="922"/>
      <c r="AW176" s="922"/>
      <c r="AX176" s="922"/>
      <c r="AY176" s="922"/>
      <c r="AZ176" s="922"/>
      <c r="BA176" s="922"/>
      <c r="BB176" s="922"/>
      <c r="BC176" s="922"/>
      <c r="BD176" s="922"/>
      <c r="BE176" s="922"/>
      <c r="BF176" s="922"/>
      <c r="BG176" s="922"/>
      <c r="BH176" s="922"/>
      <c r="BI176" s="922"/>
      <c r="BJ176" s="922"/>
      <c r="BK176" s="922"/>
      <c r="BL176" s="922"/>
      <c r="BM176" s="922"/>
      <c r="BN176" s="922"/>
      <c r="BO176" s="922"/>
      <c r="BP176" s="922"/>
      <c r="BQ176" s="922"/>
      <c r="BR176" s="922"/>
      <c r="BS176" s="922"/>
      <c r="BT176" s="922"/>
      <c r="BU176" s="922"/>
      <c r="BV176" s="922"/>
      <c r="BW176" s="922"/>
      <c r="BX176" s="922"/>
      <c r="BY176" s="922"/>
      <c r="BZ176" s="922"/>
      <c r="CA176" s="922"/>
      <c r="CB176" s="922"/>
      <c r="CC176" s="922"/>
      <c r="CD176" s="922"/>
      <c r="CE176" s="922"/>
      <c r="CF176" s="922"/>
      <c r="CG176" s="922"/>
      <c r="CH176" s="922"/>
      <c r="CI176" s="922"/>
      <c r="CJ176" s="922"/>
      <c r="CK176" s="922"/>
      <c r="CL176" s="922"/>
      <c r="CM176" s="922"/>
      <c r="CN176" s="922"/>
      <c r="CO176" s="922"/>
      <c r="CP176" s="922"/>
      <c r="CQ176" s="922"/>
      <c r="CR176" s="922"/>
      <c r="CS176" s="922"/>
      <c r="CT176" s="922"/>
      <c r="CU176" s="922"/>
      <c r="CV176" s="922"/>
      <c r="CW176" s="922"/>
      <c r="CX176" s="922"/>
      <c r="CY176" s="922"/>
      <c r="CZ176" s="922"/>
      <c r="DA176" s="922"/>
      <c r="DB176" s="922"/>
      <c r="DC176" s="922"/>
      <c r="DD176" s="922"/>
      <c r="DE176" s="922"/>
      <c r="DF176" s="922"/>
      <c r="DG176" s="922"/>
      <c r="DH176" s="922"/>
      <c r="DI176" s="922"/>
      <c r="DJ176" s="922"/>
      <c r="DK176" s="922"/>
      <c r="DL176" s="922"/>
      <c r="DM176" s="922"/>
      <c r="DN176" s="922"/>
      <c r="DO176" s="922"/>
      <c r="DP176" s="922"/>
      <c r="DQ176" s="922"/>
      <c r="DR176" s="922"/>
      <c r="DS176" s="922"/>
      <c r="DT176" s="922"/>
      <c r="DU176" s="922"/>
      <c r="DV176" s="922"/>
      <c r="DW176" s="922"/>
      <c r="DX176" s="922"/>
      <c r="DY176" s="922"/>
      <c r="DZ176" s="922"/>
      <c r="EA176" s="922"/>
      <c r="EB176" s="922"/>
      <c r="EC176" s="922"/>
      <c r="ED176" s="922"/>
      <c r="EE176" s="922"/>
      <c r="EF176" s="922"/>
      <c r="EG176" s="922"/>
      <c r="EH176" s="922"/>
      <c r="EI176" s="922"/>
      <c r="EJ176" s="922"/>
      <c r="EK176" s="922"/>
      <c r="EL176" s="922"/>
      <c r="EM176" s="922"/>
      <c r="EN176" s="922"/>
      <c r="EO176" s="922"/>
      <c r="EP176" s="922"/>
      <c r="EQ176" s="922"/>
      <c r="ER176" s="922"/>
      <c r="ES176" s="922"/>
      <c r="ET176" s="922"/>
      <c r="EU176" s="922"/>
      <c r="EV176" s="922"/>
      <c r="EW176" s="922"/>
      <c r="EX176" s="922"/>
      <c r="EY176" s="922"/>
      <c r="EZ176" s="922"/>
      <c r="FA176" s="922"/>
      <c r="FB176" s="922"/>
      <c r="FC176" s="922"/>
      <c r="FD176" s="922"/>
      <c r="FE176" s="922"/>
      <c r="FF176" s="922"/>
      <c r="FG176" s="922"/>
      <c r="FH176" s="922"/>
      <c r="FI176" s="922"/>
      <c r="FJ176" s="922"/>
      <c r="FK176" s="922"/>
      <c r="FL176" s="922"/>
      <c r="FM176" s="922"/>
      <c r="FN176" s="922"/>
      <c r="FO176" s="922"/>
      <c r="FP176" s="922"/>
      <c r="FQ176" s="922"/>
      <c r="FR176" s="922"/>
      <c r="FS176" s="922"/>
      <c r="FT176" s="922"/>
      <c r="FU176" s="922"/>
      <c r="FV176" s="922"/>
      <c r="FW176" s="922"/>
      <c r="FX176" s="922"/>
      <c r="FY176" s="922"/>
      <c r="FZ176" s="922"/>
      <c r="GA176" s="922"/>
      <c r="GB176" s="922"/>
      <c r="GC176" s="922"/>
      <c r="GD176" s="922"/>
      <c r="GE176" s="922"/>
      <c r="GF176" s="922"/>
      <c r="GG176" s="922"/>
      <c r="GH176" s="922"/>
      <c r="GI176" s="922"/>
      <c r="GJ176" s="922"/>
      <c r="GK176" s="922"/>
      <c r="GL176" s="922"/>
      <c r="GM176" s="922"/>
      <c r="GN176" s="922"/>
      <c r="GO176" s="922"/>
      <c r="GP176" s="922"/>
      <c r="GQ176" s="922"/>
      <c r="GR176" s="922"/>
      <c r="GS176" s="922"/>
      <c r="GT176" s="922"/>
      <c r="GU176" s="922"/>
      <c r="GV176" s="922"/>
      <c r="GW176" s="922"/>
      <c r="GX176" s="922"/>
      <c r="GY176" s="922"/>
      <c r="GZ176" s="922"/>
      <c r="HA176" s="922"/>
      <c r="HB176" s="922"/>
      <c r="HC176" s="922"/>
      <c r="HD176" s="922"/>
      <c r="HE176" s="922"/>
      <c r="HF176" s="922"/>
      <c r="HG176" s="922"/>
      <c r="HH176" s="922"/>
      <c r="HI176" s="922"/>
      <c r="HJ176" s="922"/>
      <c r="HK176" s="922"/>
      <c r="HL176" s="922"/>
      <c r="HM176" s="922"/>
      <c r="HN176" s="922"/>
      <c r="HO176" s="922"/>
      <c r="HP176" s="922"/>
      <c r="HQ176" s="922"/>
      <c r="HR176" s="922"/>
      <c r="HS176" s="922"/>
      <c r="HT176" s="922"/>
      <c r="HU176" s="922"/>
      <c r="HV176" s="922"/>
      <c r="HW176" s="922"/>
      <c r="HX176" s="922"/>
      <c r="HY176" s="922"/>
      <c r="HZ176" s="922"/>
      <c r="IA176" s="922"/>
      <c r="IB176" s="922"/>
      <c r="IC176" s="922"/>
      <c r="ID176" s="922"/>
      <c r="IE176" s="922"/>
      <c r="IF176" s="922"/>
      <c r="IG176" s="922"/>
      <c r="IH176" s="922"/>
      <c r="II176" s="922"/>
      <c r="IJ176" s="922"/>
      <c r="IK176" s="922"/>
      <c r="IL176" s="922"/>
      <c r="IM176" s="922"/>
      <c r="IN176" s="922"/>
      <c r="IO176" s="922"/>
      <c r="IP176" s="922"/>
      <c r="IQ176" s="922"/>
      <c r="IR176" s="922"/>
      <c r="IS176" s="922"/>
      <c r="IT176" s="922"/>
      <c r="IU176" s="922"/>
      <c r="IV176" s="922"/>
      <c r="IW176" s="922"/>
      <c r="IX176" s="922"/>
      <c r="IY176" s="922"/>
      <c r="IZ176" s="922"/>
      <c r="JA176" s="922"/>
      <c r="JB176" s="922"/>
      <c r="JC176" s="922"/>
      <c r="JD176" s="922"/>
      <c r="JE176" s="922"/>
      <c r="JF176" s="922"/>
      <c r="JG176" s="922"/>
      <c r="JH176" s="922"/>
      <c r="JI176" s="922"/>
      <c r="JJ176" s="922"/>
      <c r="JK176" s="922"/>
      <c r="JL176" s="922"/>
      <c r="JM176" s="922"/>
      <c r="JN176" s="922"/>
      <c r="JO176" s="922"/>
      <c r="JP176" s="922"/>
      <c r="JQ176" s="922"/>
      <c r="JR176" s="922"/>
      <c r="JS176" s="922"/>
      <c r="JT176" s="922"/>
      <c r="JU176" s="922"/>
      <c r="JV176" s="922"/>
      <c r="JW176" s="922"/>
      <c r="JX176" s="922"/>
      <c r="JY176" s="922"/>
      <c r="JZ176" s="922"/>
      <c r="KA176" s="922"/>
      <c r="KB176" s="922"/>
      <c r="KC176" s="922"/>
      <c r="KD176" s="922"/>
      <c r="KE176" s="922"/>
      <c r="KF176" s="922"/>
      <c r="KG176" s="922"/>
      <c r="KH176" s="922"/>
      <c r="KI176" s="922"/>
      <c r="KJ176" s="922"/>
      <c r="KK176" s="922"/>
      <c r="KL176" s="922"/>
      <c r="KM176" s="922"/>
      <c r="KN176" s="922"/>
      <c r="KO176" s="922"/>
      <c r="KP176" s="922"/>
      <c r="KQ176" s="922"/>
      <c r="KR176" s="922"/>
      <c r="KS176" s="922"/>
      <c r="KT176" s="922"/>
      <c r="KU176" s="922"/>
      <c r="KV176" s="922"/>
      <c r="KW176" s="922"/>
      <c r="KX176" s="922"/>
      <c r="KY176" s="922"/>
      <c r="KZ176" s="922"/>
      <c r="LA176" s="922"/>
      <c r="LB176" s="922"/>
      <c r="LC176" s="922"/>
      <c r="LD176" s="922"/>
      <c r="LE176" s="922"/>
      <c r="LF176" s="922"/>
      <c r="LG176" s="922"/>
      <c r="LH176" s="922"/>
      <c r="LI176" s="922"/>
      <c r="LJ176" s="922"/>
      <c r="LK176" s="922"/>
      <c r="LL176" s="922"/>
      <c r="LM176" s="922"/>
      <c r="LN176" s="922"/>
      <c r="LO176" s="922"/>
      <c r="LP176" s="922"/>
      <c r="LQ176" s="922"/>
      <c r="LR176" s="922"/>
      <c r="LS176" s="922"/>
      <c r="LT176" s="922"/>
      <c r="LU176" s="922"/>
      <c r="LV176" s="922"/>
      <c r="LW176" s="922"/>
      <c r="LX176" s="922"/>
      <c r="LY176" s="922"/>
      <c r="LZ176" s="922"/>
      <c r="MA176" s="922"/>
      <c r="MB176" s="922"/>
      <c r="MC176" s="922"/>
      <c r="MD176" s="922"/>
      <c r="ME176" s="922"/>
      <c r="MF176" s="922"/>
      <c r="MG176" s="922"/>
      <c r="MH176" s="922"/>
      <c r="MI176" s="922"/>
      <c r="MJ176" s="922"/>
      <c r="MK176" s="922"/>
      <c r="ML176" s="922"/>
      <c r="MM176" s="922"/>
      <c r="MN176" s="922"/>
      <c r="MO176" s="922"/>
      <c r="MP176" s="922"/>
      <c r="MQ176" s="922"/>
      <c r="MR176" s="922"/>
      <c r="MS176" s="922"/>
      <c r="MT176" s="922"/>
      <c r="MU176" s="922"/>
      <c r="MV176" s="922"/>
      <c r="MW176" s="922"/>
      <c r="MX176" s="922"/>
      <c r="MY176" s="922"/>
      <c r="MZ176" s="922"/>
      <c r="NA176" s="922"/>
      <c r="NB176" s="922"/>
      <c r="NC176" s="922"/>
      <c r="ND176" s="922"/>
      <c r="NE176" s="922"/>
      <c r="NF176" s="922"/>
      <c r="NG176" s="922"/>
      <c r="NH176" s="922"/>
      <c r="NI176" s="922"/>
      <c r="NJ176" s="922"/>
      <c r="NK176" s="922"/>
      <c r="NL176" s="922"/>
      <c r="NM176" s="922"/>
      <c r="NN176" s="922"/>
      <c r="NO176" s="922"/>
      <c r="NP176" s="922"/>
      <c r="NQ176" s="922"/>
      <c r="NR176" s="922"/>
      <c r="NS176" s="922"/>
      <c r="NT176" s="922"/>
      <c r="NU176" s="922"/>
      <c r="NV176" s="922"/>
      <c r="NW176" s="922"/>
      <c r="NX176" s="922"/>
      <c r="NY176" s="922"/>
      <c r="NZ176" s="922"/>
      <c r="OA176" s="922"/>
      <c r="OB176" s="922"/>
      <c r="OC176" s="922"/>
      <c r="OD176" s="922"/>
      <c r="OE176" s="922"/>
      <c r="OF176" s="922"/>
      <c r="OG176" s="922"/>
      <c r="OH176" s="922"/>
      <c r="OI176" s="922"/>
      <c r="OJ176" s="922"/>
      <c r="OK176" s="922"/>
      <c r="OL176" s="922"/>
      <c r="OM176" s="922"/>
      <c r="ON176" s="922"/>
      <c r="OO176" s="922"/>
      <c r="OP176" s="922"/>
      <c r="OQ176" s="922"/>
      <c r="OR176" s="922"/>
      <c r="OS176" s="922"/>
      <c r="OT176" s="922"/>
      <c r="OU176" s="922"/>
      <c r="OV176" s="922"/>
      <c r="OW176" s="922"/>
      <c r="OX176" s="922"/>
      <c r="OY176" s="922"/>
      <c r="OZ176" s="922"/>
      <c r="PA176" s="922"/>
      <c r="PB176" s="922"/>
      <c r="PC176" s="922"/>
      <c r="PD176" s="922"/>
      <c r="PE176" s="922"/>
      <c r="PF176" s="922"/>
      <c r="PG176" s="922"/>
      <c r="PH176" s="922"/>
      <c r="PI176" s="922"/>
      <c r="PJ176" s="922"/>
      <c r="PK176" s="922"/>
      <c r="PL176" s="922"/>
      <c r="PM176" s="922"/>
      <c r="PN176" s="922"/>
      <c r="PO176" s="922"/>
      <c r="PP176" s="922"/>
      <c r="PQ176" s="922"/>
      <c r="PR176" s="922"/>
      <c r="PS176" s="922"/>
      <c r="PT176" s="922"/>
      <c r="PU176" s="922"/>
      <c r="PV176" s="922"/>
      <c r="PW176" s="922"/>
      <c r="PX176" s="922"/>
      <c r="PY176" s="922"/>
      <c r="PZ176" s="922"/>
      <c r="QA176" s="922"/>
      <c r="QB176" s="922"/>
      <c r="QC176" s="922"/>
      <c r="QD176" s="922"/>
      <c r="QE176" s="922"/>
      <c r="QF176" s="922"/>
      <c r="QG176" s="922"/>
      <c r="QH176" s="922"/>
      <c r="QI176" s="922"/>
      <c r="QJ176" s="922"/>
      <c r="QK176" s="922"/>
      <c r="QL176" s="922"/>
      <c r="QM176" s="922"/>
      <c r="QN176" s="922"/>
      <c r="QO176" s="922"/>
      <c r="QP176" s="922"/>
      <c r="QQ176" s="922"/>
      <c r="QR176" s="922"/>
      <c r="QS176" s="922"/>
      <c r="QT176" s="922"/>
      <c r="QU176" s="922"/>
      <c r="QV176" s="922"/>
      <c r="QW176" s="922"/>
      <c r="QX176" s="922"/>
      <c r="QY176" s="922"/>
      <c r="QZ176" s="922"/>
      <c r="RA176" s="922"/>
      <c r="RB176" s="922"/>
      <c r="RC176" s="922"/>
      <c r="RD176" s="922"/>
      <c r="RE176" s="922"/>
      <c r="RF176" s="922"/>
      <c r="RG176" s="922"/>
      <c r="RH176" s="922"/>
      <c r="RI176" s="922"/>
      <c r="RJ176" s="922"/>
      <c r="RK176" s="922"/>
      <c r="RL176" s="922"/>
      <c r="RM176" s="922"/>
      <c r="RN176" s="922"/>
      <c r="RO176" s="922"/>
      <c r="RP176" s="922"/>
      <c r="RQ176" s="922"/>
      <c r="RR176" s="922"/>
      <c r="RS176" s="922"/>
      <c r="RT176" s="922"/>
      <c r="RU176" s="922"/>
      <c r="RV176" s="922"/>
      <c r="RW176" s="922"/>
      <c r="RX176" s="922"/>
      <c r="RY176" s="922"/>
      <c r="RZ176" s="922"/>
      <c r="SA176" s="922"/>
      <c r="SB176" s="922"/>
      <c r="SC176" s="922"/>
      <c r="SD176" s="922"/>
      <c r="SE176" s="922"/>
      <c r="SF176" s="922"/>
      <c r="SG176" s="922"/>
      <c r="SH176" s="922"/>
      <c r="SI176" s="922"/>
      <c r="SJ176" s="922"/>
      <c r="SK176" s="922"/>
      <c r="SL176" s="922"/>
      <c r="SM176" s="922"/>
      <c r="SN176" s="922"/>
      <c r="SO176" s="922"/>
      <c r="SP176" s="922"/>
      <c r="SQ176" s="922"/>
      <c r="SR176" s="922"/>
      <c r="SS176" s="922"/>
      <c r="ST176" s="922"/>
      <c r="SU176" s="922"/>
      <c r="SV176" s="922"/>
      <c r="SW176" s="922"/>
      <c r="SX176" s="922"/>
      <c r="SY176" s="922"/>
      <c r="SZ176" s="922"/>
      <c r="TA176" s="922"/>
      <c r="TB176" s="922"/>
      <c r="TC176" s="922"/>
      <c r="TD176" s="922"/>
      <c r="TE176" s="922"/>
      <c r="TF176" s="922"/>
      <c r="TG176" s="922"/>
      <c r="TH176" s="922"/>
      <c r="TI176" s="922"/>
      <c r="TJ176" s="922"/>
      <c r="TK176" s="922"/>
      <c r="TL176" s="922"/>
      <c r="TM176" s="922"/>
      <c r="TN176" s="922"/>
      <c r="TO176" s="922"/>
      <c r="TP176" s="922"/>
      <c r="TQ176" s="922"/>
      <c r="TR176" s="922"/>
      <c r="TS176" s="922"/>
      <c r="TT176" s="922"/>
      <c r="TU176" s="922"/>
      <c r="TV176" s="922"/>
      <c r="TW176" s="922"/>
      <c r="TX176" s="922"/>
      <c r="TY176" s="922"/>
      <c r="TZ176" s="922"/>
      <c r="UA176" s="922"/>
      <c r="UB176" s="922"/>
      <c r="UC176" s="922"/>
      <c r="UD176" s="922"/>
      <c r="UE176" s="922"/>
      <c r="UF176" s="922"/>
      <c r="UG176" s="922"/>
      <c r="UH176" s="922"/>
      <c r="UI176" s="922"/>
      <c r="UJ176" s="922"/>
      <c r="UK176" s="922"/>
      <c r="UL176" s="922"/>
      <c r="UM176" s="922"/>
      <c r="UN176" s="922"/>
      <c r="UO176" s="922"/>
      <c r="UP176" s="922"/>
      <c r="UQ176" s="922"/>
      <c r="UR176" s="922"/>
      <c r="US176" s="922"/>
      <c r="UT176" s="922"/>
      <c r="UU176" s="922"/>
      <c r="UV176" s="922"/>
      <c r="UW176" s="922"/>
      <c r="UX176" s="922"/>
      <c r="UY176" s="922"/>
      <c r="UZ176" s="922"/>
      <c r="VA176" s="922"/>
      <c r="VB176" s="922"/>
      <c r="VC176" s="922"/>
      <c r="VD176" s="922"/>
      <c r="VE176" s="922"/>
      <c r="VF176" s="922"/>
      <c r="VG176" s="922"/>
      <c r="VH176" s="922"/>
      <c r="VI176" s="922"/>
      <c r="VJ176" s="922"/>
      <c r="VK176" s="922"/>
      <c r="VL176" s="922"/>
      <c r="VM176" s="922"/>
      <c r="VN176" s="922"/>
      <c r="VO176" s="922"/>
      <c r="VP176" s="922"/>
      <c r="VQ176" s="922"/>
      <c r="VR176" s="922"/>
      <c r="VS176" s="922"/>
      <c r="VT176" s="922"/>
      <c r="VU176" s="922"/>
      <c r="VV176" s="922"/>
      <c r="VW176" s="922"/>
      <c r="VX176" s="922"/>
      <c r="VY176" s="922"/>
      <c r="VZ176" s="922"/>
      <c r="WA176" s="922"/>
      <c r="WB176" s="922"/>
      <c r="WC176" s="922"/>
      <c r="WD176" s="922"/>
      <c r="WE176" s="922"/>
      <c r="WF176" s="922"/>
      <c r="WG176" s="922"/>
      <c r="WH176" s="922"/>
      <c r="WI176" s="922"/>
      <c r="WJ176" s="922"/>
      <c r="WK176" s="922"/>
      <c r="WL176" s="922"/>
      <c r="WM176" s="922"/>
      <c r="WN176" s="922"/>
      <c r="WO176" s="922"/>
      <c r="WP176" s="922"/>
      <c r="WQ176" s="922"/>
      <c r="WR176" s="922"/>
      <c r="WS176" s="922"/>
      <c r="WT176" s="922"/>
      <c r="WU176" s="922"/>
      <c r="WV176" s="922"/>
      <c r="WW176" s="922"/>
      <c r="WX176" s="922"/>
      <c r="WY176" s="922"/>
      <c r="WZ176" s="922"/>
      <c r="XA176" s="922"/>
      <c r="XB176" s="922"/>
      <c r="XC176" s="922"/>
      <c r="XD176" s="922"/>
      <c r="XE176" s="922"/>
      <c r="XF176" s="922"/>
      <c r="XG176" s="922"/>
      <c r="XH176" s="922"/>
      <c r="XI176" s="922"/>
      <c r="XJ176" s="922"/>
      <c r="XK176" s="922"/>
      <c r="XL176" s="922"/>
      <c r="XM176" s="922"/>
      <c r="XN176" s="922"/>
      <c r="XO176" s="922"/>
      <c r="XP176" s="922"/>
      <c r="XQ176" s="922"/>
      <c r="XR176" s="922"/>
      <c r="XS176" s="922"/>
      <c r="XT176" s="922"/>
      <c r="XU176" s="922"/>
      <c r="XV176" s="922"/>
      <c r="XW176" s="922"/>
      <c r="XX176" s="922"/>
      <c r="XY176" s="922"/>
      <c r="XZ176" s="922"/>
      <c r="YA176" s="922"/>
      <c r="YB176" s="922"/>
      <c r="YC176" s="922"/>
      <c r="YD176" s="922"/>
      <c r="YE176" s="922"/>
      <c r="YF176" s="922"/>
      <c r="YG176" s="922"/>
      <c r="YH176" s="922"/>
      <c r="YI176" s="922"/>
      <c r="YJ176" s="922"/>
      <c r="YK176" s="922"/>
      <c r="YL176" s="922"/>
      <c r="YM176" s="922"/>
      <c r="YN176" s="922"/>
      <c r="YO176" s="922"/>
      <c r="YP176" s="922"/>
      <c r="YQ176" s="922"/>
      <c r="YR176" s="922"/>
      <c r="YS176" s="922"/>
      <c r="YT176" s="922"/>
      <c r="YU176" s="922"/>
      <c r="YV176" s="922"/>
      <c r="YW176" s="922"/>
      <c r="YX176" s="922"/>
      <c r="YY176" s="922"/>
      <c r="YZ176" s="922"/>
      <c r="ZA176" s="922"/>
      <c r="ZB176" s="922"/>
      <c r="ZC176" s="922"/>
      <c r="ZD176" s="922"/>
      <c r="ZE176" s="922"/>
      <c r="ZF176" s="922"/>
      <c r="ZG176" s="922"/>
      <c r="ZH176" s="922"/>
      <c r="ZI176" s="922"/>
      <c r="ZJ176" s="922"/>
      <c r="ZK176" s="922"/>
      <c r="ZL176" s="922"/>
      <c r="ZM176" s="922"/>
      <c r="ZN176" s="922"/>
      <c r="ZO176" s="922"/>
      <c r="ZP176" s="922"/>
      <c r="ZQ176" s="922"/>
      <c r="ZR176" s="922"/>
      <c r="ZS176" s="922"/>
      <c r="ZT176" s="922"/>
      <c r="ZU176" s="922"/>
      <c r="ZV176" s="922"/>
      <c r="ZW176" s="922"/>
      <c r="ZX176" s="922"/>
      <c r="ZY176" s="922"/>
      <c r="ZZ176" s="922"/>
      <c r="AAA176" s="922"/>
      <c r="AAB176" s="922"/>
      <c r="AAC176" s="922"/>
      <c r="AAD176" s="922"/>
      <c r="AAE176" s="922"/>
      <c r="AAF176" s="922"/>
      <c r="AAG176" s="922"/>
      <c r="AAH176" s="922"/>
      <c r="AAI176" s="922"/>
      <c r="AAJ176" s="922"/>
      <c r="AAK176" s="922"/>
      <c r="AAL176" s="922"/>
      <c r="AAM176" s="922"/>
      <c r="AAN176" s="922"/>
      <c r="AAO176" s="922"/>
      <c r="AAP176" s="922"/>
      <c r="AAQ176" s="922"/>
      <c r="AAR176" s="922"/>
      <c r="AAS176" s="922"/>
      <c r="AAT176" s="922"/>
      <c r="AAU176" s="922"/>
      <c r="AAV176" s="922"/>
      <c r="AAW176" s="922"/>
      <c r="AAX176" s="922"/>
      <c r="AAY176" s="922"/>
      <c r="AAZ176" s="922"/>
      <c r="ABA176" s="922"/>
      <c r="ABB176" s="922"/>
      <c r="ABC176" s="922"/>
      <c r="ABD176" s="922"/>
      <c r="ABE176" s="922"/>
      <c r="ABF176" s="922"/>
      <c r="ABG176" s="922"/>
      <c r="ABH176" s="922"/>
      <c r="ABI176" s="922"/>
      <c r="ABJ176" s="922"/>
      <c r="ABK176" s="922"/>
      <c r="ABL176" s="922"/>
      <c r="ABM176" s="922"/>
      <c r="ABN176" s="922"/>
      <c r="ABO176" s="922"/>
      <c r="ABP176" s="922"/>
      <c r="ABQ176" s="922"/>
      <c r="ABR176" s="922"/>
      <c r="ABS176" s="922"/>
      <c r="ABT176" s="922"/>
      <c r="ABU176" s="922"/>
      <c r="ABV176" s="922"/>
      <c r="ABW176" s="922"/>
      <c r="ABX176" s="922"/>
      <c r="ABY176" s="922"/>
      <c r="ABZ176" s="922"/>
      <c r="ACA176" s="922"/>
      <c r="ACB176" s="922"/>
      <c r="ACC176" s="922"/>
      <c r="ACD176" s="922"/>
      <c r="ACE176" s="922"/>
      <c r="ACF176" s="922"/>
      <c r="ACG176" s="922"/>
      <c r="ACH176" s="922"/>
      <c r="ACI176" s="922"/>
      <c r="ACJ176" s="922"/>
      <c r="ACK176" s="922"/>
      <c r="ACL176" s="922"/>
      <c r="ACM176" s="922"/>
      <c r="ACN176" s="922"/>
      <c r="ACO176" s="922"/>
      <c r="ACP176" s="922"/>
      <c r="ACQ176" s="922"/>
      <c r="ACR176" s="922"/>
      <c r="ACS176" s="922"/>
      <c r="ACT176" s="922"/>
      <c r="ACU176" s="922"/>
      <c r="ACV176" s="922"/>
      <c r="ACW176" s="922"/>
      <c r="ACX176" s="922"/>
      <c r="ACY176" s="922"/>
      <c r="ACZ176" s="922"/>
      <c r="ADA176" s="922"/>
      <c r="ADB176" s="922"/>
      <c r="ADC176" s="922"/>
      <c r="ADD176" s="922"/>
      <c r="ADE176" s="922"/>
      <c r="ADF176" s="922"/>
      <c r="ADG176" s="922"/>
      <c r="ADH176" s="922"/>
      <c r="ADI176" s="922"/>
      <c r="ADJ176" s="922"/>
      <c r="ADK176" s="922"/>
      <c r="ADL176" s="922"/>
      <c r="ADM176" s="922"/>
      <c r="ADN176" s="922"/>
      <c r="ADO176" s="922"/>
      <c r="ADP176" s="922"/>
      <c r="ADQ176" s="922"/>
      <c r="ADR176" s="922"/>
      <c r="ADS176" s="922"/>
      <c r="ADT176" s="922"/>
      <c r="ADU176" s="922"/>
      <c r="ADV176" s="922"/>
      <c r="ADW176" s="922"/>
      <c r="ADX176" s="922"/>
      <c r="ADY176" s="922"/>
      <c r="ADZ176" s="922"/>
      <c r="AEA176" s="922"/>
      <c r="AEB176" s="922"/>
      <c r="AEC176" s="922"/>
      <c r="AED176" s="922"/>
      <c r="AEE176" s="922"/>
      <c r="AEF176" s="922"/>
      <c r="AEG176" s="922"/>
      <c r="AEH176" s="922"/>
      <c r="AEI176" s="922"/>
      <c r="AEJ176" s="922"/>
      <c r="AEK176" s="922"/>
      <c r="AEL176" s="922"/>
      <c r="AEM176" s="922"/>
      <c r="AEN176" s="922"/>
      <c r="AEO176" s="922"/>
      <c r="AEP176" s="922"/>
      <c r="AEQ176" s="922"/>
      <c r="AER176" s="922"/>
      <c r="AES176" s="922"/>
      <c r="AET176" s="922"/>
      <c r="AEU176" s="922"/>
      <c r="AEV176" s="922"/>
      <c r="AEW176" s="922"/>
      <c r="AEX176" s="922"/>
      <c r="AEY176" s="922"/>
      <c r="AEZ176" s="922"/>
      <c r="AFA176" s="922"/>
      <c r="AFB176" s="922"/>
      <c r="AFC176" s="922"/>
      <c r="AFD176" s="922"/>
      <c r="AFE176" s="922"/>
      <c r="AFF176" s="922"/>
      <c r="AFG176" s="922"/>
      <c r="AFH176" s="922"/>
      <c r="AFI176" s="922"/>
      <c r="AFJ176" s="922"/>
      <c r="AFK176" s="922"/>
      <c r="AFL176" s="922"/>
      <c r="AFM176" s="922"/>
      <c r="AFN176" s="922"/>
      <c r="AFO176" s="922"/>
      <c r="AFP176" s="922"/>
      <c r="AFQ176" s="922"/>
      <c r="AFR176" s="922"/>
      <c r="AFS176" s="922"/>
      <c r="AFT176" s="922"/>
      <c r="AFU176" s="922"/>
      <c r="AFV176" s="922"/>
      <c r="AFW176" s="922"/>
      <c r="AFX176" s="922"/>
      <c r="AFY176" s="922"/>
      <c r="AFZ176" s="922"/>
      <c r="AGA176" s="922"/>
      <c r="AGB176" s="922"/>
      <c r="AGC176" s="922"/>
      <c r="AGD176" s="922"/>
      <c r="AGE176" s="922"/>
      <c r="AGF176" s="922"/>
      <c r="AGG176" s="922"/>
      <c r="AGH176" s="922"/>
      <c r="AGI176" s="922"/>
      <c r="AGJ176" s="922"/>
      <c r="AGK176" s="922"/>
      <c r="AGL176" s="922"/>
      <c r="AGM176" s="922"/>
      <c r="AGN176" s="922"/>
      <c r="AGO176" s="922"/>
      <c r="AGP176" s="922"/>
      <c r="AGQ176" s="922"/>
      <c r="AGR176" s="922"/>
      <c r="AGS176" s="922"/>
      <c r="AGT176" s="922"/>
      <c r="AGU176" s="922"/>
      <c r="AGV176" s="922"/>
      <c r="AGW176" s="922"/>
      <c r="AGX176" s="922"/>
      <c r="AGY176" s="922"/>
      <c r="AGZ176" s="922"/>
      <c r="AHA176" s="922"/>
      <c r="AHB176" s="922"/>
      <c r="AHC176" s="922"/>
      <c r="AHD176" s="922"/>
      <c r="AHE176" s="922"/>
      <c r="AHF176" s="922"/>
      <c r="AHG176" s="922"/>
      <c r="AHH176" s="922"/>
      <c r="AHI176" s="922"/>
      <c r="AHJ176" s="922"/>
      <c r="AHK176" s="922"/>
      <c r="AHL176" s="922"/>
      <c r="AHM176" s="922"/>
      <c r="AHN176" s="922"/>
      <c r="AHO176" s="922"/>
      <c r="AHP176" s="922"/>
      <c r="AHQ176" s="922"/>
      <c r="AHR176" s="922"/>
      <c r="AHS176" s="922"/>
      <c r="AHT176" s="922"/>
      <c r="AHU176" s="922"/>
      <c r="AHV176" s="922"/>
      <c r="AHW176" s="922"/>
      <c r="AHX176" s="922"/>
      <c r="AHY176" s="922"/>
      <c r="AHZ176" s="922"/>
      <c r="AIA176" s="922"/>
      <c r="AIB176" s="922"/>
      <c r="AIC176" s="922"/>
      <c r="AID176" s="922"/>
      <c r="AIE176" s="922"/>
      <c r="AIF176" s="922"/>
      <c r="AIG176" s="922"/>
      <c r="AIH176" s="922"/>
      <c r="AII176" s="922"/>
      <c r="AIJ176" s="922"/>
      <c r="AIK176" s="922"/>
      <c r="AIL176" s="922"/>
      <c r="AIM176" s="922"/>
      <c r="AIN176" s="922"/>
      <c r="AIO176" s="922"/>
      <c r="AIP176" s="922"/>
      <c r="AIQ176" s="922"/>
      <c r="AIR176" s="922"/>
      <c r="AIS176" s="922"/>
      <c r="AIT176" s="922"/>
      <c r="AIU176" s="922"/>
      <c r="AIV176" s="922"/>
      <c r="AIW176" s="922"/>
      <c r="AIX176" s="922"/>
      <c r="AIY176" s="922"/>
      <c r="AIZ176" s="922"/>
      <c r="AJA176" s="922"/>
      <c r="AJB176" s="922"/>
      <c r="AJC176" s="922"/>
      <c r="AJD176" s="922"/>
      <c r="AJE176" s="922"/>
      <c r="AJF176" s="922"/>
      <c r="AJG176" s="922"/>
      <c r="AJH176" s="922"/>
      <c r="AJI176" s="922"/>
      <c r="AJJ176" s="922"/>
      <c r="AJK176" s="922"/>
      <c r="AJL176" s="922"/>
      <c r="AJM176" s="922"/>
      <c r="AJN176" s="922"/>
      <c r="AJO176" s="922"/>
      <c r="AJP176" s="922"/>
      <c r="AJQ176" s="922"/>
      <c r="AJR176" s="922"/>
      <c r="AJS176" s="922"/>
      <c r="AJT176" s="922"/>
      <c r="AJU176" s="922"/>
      <c r="AJV176" s="922"/>
      <c r="AJW176" s="922"/>
      <c r="AJX176" s="922"/>
      <c r="AJY176" s="922"/>
      <c r="AJZ176" s="922"/>
      <c r="AKA176" s="922"/>
      <c r="AKB176" s="922"/>
      <c r="AKC176" s="922"/>
      <c r="AKD176" s="922"/>
      <c r="AKE176" s="922"/>
      <c r="AKF176" s="922"/>
      <c r="AKG176" s="922"/>
      <c r="AKH176" s="922"/>
      <c r="AKI176" s="922"/>
      <c r="AKJ176" s="922"/>
      <c r="AKK176" s="922"/>
      <c r="AKL176" s="922"/>
      <c r="AKM176" s="922"/>
      <c r="AKN176" s="922"/>
      <c r="AKO176" s="922"/>
      <c r="AKP176" s="922"/>
      <c r="AKQ176" s="922"/>
      <c r="AKR176" s="922"/>
      <c r="AKS176" s="922"/>
      <c r="AKT176" s="922"/>
      <c r="AKU176" s="922"/>
      <c r="AKV176" s="922"/>
      <c r="AKW176" s="922"/>
      <c r="AKX176" s="922"/>
      <c r="AKY176" s="922"/>
      <c r="AKZ176" s="922"/>
      <c r="ALA176" s="922"/>
      <c r="ALB176" s="922"/>
      <c r="ALC176" s="922"/>
      <c r="ALD176" s="922"/>
      <c r="ALE176" s="922"/>
      <c r="ALF176" s="922"/>
      <c r="ALG176" s="922"/>
      <c r="ALH176" s="922"/>
      <c r="ALI176" s="922"/>
      <c r="ALJ176" s="922"/>
      <c r="ALK176" s="922"/>
      <c r="ALL176" s="922"/>
      <c r="ALM176" s="922"/>
      <c r="ALN176" s="922"/>
      <c r="ALO176" s="922"/>
      <c r="ALP176" s="922"/>
      <c r="ALQ176" s="922"/>
      <c r="ALR176" s="922"/>
      <c r="ALS176" s="922"/>
      <c r="ALT176" s="922"/>
      <c r="ALU176" s="922"/>
      <c r="ALV176" s="922"/>
      <c r="ALW176" s="922"/>
      <c r="ALX176" s="922"/>
      <c r="ALY176" s="922"/>
      <c r="ALZ176" s="922"/>
      <c r="AMA176" s="922"/>
      <c r="AMB176" s="922"/>
      <c r="AMC176" s="922"/>
      <c r="AMD176" s="922"/>
      <c r="AME176" s="922"/>
      <c r="AMF176" s="922"/>
      <c r="AMG176" s="922"/>
      <c r="AMH176" s="922"/>
      <c r="AMI176" s="922"/>
      <c r="AMJ176" s="922"/>
      <c r="AMK176" s="922"/>
      <c r="AML176" s="922"/>
      <c r="AMM176" s="922"/>
      <c r="AMN176" s="922"/>
      <c r="AMO176" s="922"/>
      <c r="AMP176" s="922"/>
      <c r="AMQ176" s="922"/>
      <c r="AMR176" s="922"/>
      <c r="AMS176" s="922"/>
      <c r="AMT176" s="922"/>
      <c r="AMU176" s="922"/>
      <c r="AMV176" s="922"/>
      <c r="AMW176" s="922"/>
      <c r="AMX176" s="922"/>
      <c r="AMY176" s="922"/>
      <c r="AMZ176" s="922"/>
      <c r="ANA176" s="922"/>
      <c r="ANB176" s="922"/>
      <c r="ANC176" s="922"/>
      <c r="AND176" s="922"/>
      <c r="ANE176" s="922"/>
      <c r="ANF176" s="922"/>
      <c r="ANG176" s="922"/>
      <c r="ANH176" s="922"/>
      <c r="ANI176" s="922"/>
      <c r="ANJ176" s="922"/>
      <c r="ANK176" s="922"/>
      <c r="ANL176" s="922"/>
      <c r="ANM176" s="922"/>
      <c r="ANN176" s="922"/>
      <c r="ANO176" s="922"/>
      <c r="ANP176" s="922"/>
      <c r="ANQ176" s="922"/>
      <c r="ANR176" s="922"/>
      <c r="ANS176" s="922"/>
      <c r="ANT176" s="922"/>
      <c r="ANU176" s="922"/>
      <c r="ANV176" s="922"/>
      <c r="ANW176" s="922"/>
      <c r="ANX176" s="922"/>
      <c r="ANY176" s="922"/>
      <c r="ANZ176" s="922"/>
      <c r="AOA176" s="922"/>
      <c r="AOB176" s="922"/>
      <c r="AOC176" s="922"/>
      <c r="AOD176" s="922"/>
      <c r="AOE176" s="922"/>
      <c r="AOF176" s="922"/>
      <c r="AOG176" s="922"/>
      <c r="AOH176" s="922"/>
      <c r="AOI176" s="922"/>
      <c r="AOJ176" s="922"/>
      <c r="AOK176" s="922"/>
      <c r="AOL176" s="922"/>
      <c r="AOM176" s="922"/>
      <c r="AON176" s="922"/>
      <c r="AOO176" s="922"/>
      <c r="AOP176" s="922"/>
      <c r="AOQ176" s="922"/>
      <c r="AOR176" s="922"/>
      <c r="AOS176" s="922"/>
      <c r="AOT176" s="922"/>
      <c r="AOU176" s="922"/>
      <c r="AOV176" s="922"/>
      <c r="AOW176" s="922"/>
      <c r="AOX176" s="922"/>
      <c r="AOY176" s="922"/>
      <c r="AOZ176" s="922"/>
      <c r="APA176" s="922"/>
      <c r="APB176" s="922"/>
      <c r="APC176" s="922"/>
      <c r="APD176" s="922"/>
      <c r="APE176" s="922"/>
      <c r="APF176" s="922"/>
      <c r="APG176" s="922"/>
      <c r="APH176" s="922"/>
      <c r="API176" s="922"/>
      <c r="APJ176" s="922"/>
      <c r="APK176" s="922"/>
      <c r="APL176" s="922"/>
      <c r="APM176" s="922"/>
      <c r="APN176" s="922"/>
      <c r="APO176" s="922"/>
      <c r="APP176" s="922"/>
      <c r="APQ176" s="922"/>
      <c r="APR176" s="922"/>
      <c r="APS176" s="922"/>
      <c r="APT176" s="922"/>
      <c r="APU176" s="922"/>
      <c r="APV176" s="922"/>
      <c r="APW176" s="922"/>
      <c r="APX176" s="922"/>
      <c r="APY176" s="922"/>
      <c r="APZ176" s="922"/>
      <c r="AQA176" s="922"/>
      <c r="AQB176" s="922"/>
      <c r="AQC176" s="922"/>
      <c r="AQD176" s="922"/>
      <c r="AQE176" s="922"/>
      <c r="AQF176" s="922"/>
      <c r="AQG176" s="922"/>
      <c r="AQH176" s="922"/>
      <c r="AQI176" s="922"/>
      <c r="AQJ176" s="922"/>
      <c r="AQK176" s="922"/>
      <c r="AQL176" s="922"/>
      <c r="AQM176" s="922"/>
      <c r="AQN176" s="922"/>
      <c r="AQO176" s="922"/>
      <c r="AQP176" s="922"/>
      <c r="AQQ176" s="922"/>
      <c r="AQR176" s="922"/>
      <c r="AQS176" s="922"/>
      <c r="AQT176" s="922"/>
      <c r="AQU176" s="922"/>
      <c r="AQV176" s="922"/>
      <c r="AQW176" s="922"/>
      <c r="AQX176" s="922"/>
      <c r="AQY176" s="922"/>
      <c r="AQZ176" s="922"/>
      <c r="ARA176" s="922"/>
      <c r="ARB176" s="922"/>
      <c r="ARC176" s="922"/>
      <c r="ARD176" s="922"/>
      <c r="ARE176" s="922"/>
      <c r="ARF176" s="922"/>
      <c r="ARG176" s="922"/>
      <c r="ARH176" s="922"/>
      <c r="ARI176" s="922"/>
      <c r="ARJ176" s="922"/>
      <c r="ARK176" s="922"/>
      <c r="ARL176" s="922"/>
      <c r="ARM176" s="922"/>
      <c r="ARN176" s="922"/>
      <c r="ARO176" s="922"/>
      <c r="ARP176" s="922"/>
      <c r="ARQ176" s="922"/>
      <c r="ARR176" s="922"/>
      <c r="ARS176" s="922"/>
      <c r="ART176" s="922"/>
      <c r="ARU176" s="922"/>
      <c r="ARV176" s="922"/>
      <c r="ARW176" s="922"/>
      <c r="ARX176" s="922"/>
      <c r="ARY176" s="922"/>
      <c r="ARZ176" s="922"/>
      <c r="ASA176" s="922"/>
      <c r="ASB176" s="922"/>
      <c r="ASC176" s="922"/>
    </row>
    <row r="177" spans="1:1173" hidden="1">
      <c r="A177" s="920"/>
      <c r="T177" s="922"/>
      <c r="AN177" s="922"/>
      <c r="AO177" s="922"/>
      <c r="AP177" s="922"/>
      <c r="AQ177" s="922"/>
      <c r="AR177" s="922"/>
      <c r="AS177" s="922"/>
      <c r="AT177" s="922"/>
      <c r="AU177" s="922"/>
      <c r="AV177" s="922"/>
      <c r="AW177" s="922"/>
      <c r="AX177" s="922"/>
      <c r="AY177" s="922"/>
      <c r="AZ177" s="922"/>
      <c r="BA177" s="922"/>
      <c r="BB177" s="922"/>
      <c r="BC177" s="922"/>
      <c r="BD177" s="922"/>
      <c r="BE177" s="922"/>
      <c r="BF177" s="922"/>
      <c r="BG177" s="922"/>
      <c r="BH177" s="922"/>
      <c r="BI177" s="922"/>
      <c r="BJ177" s="922"/>
      <c r="BK177" s="922"/>
      <c r="BL177" s="922"/>
      <c r="BM177" s="922"/>
      <c r="BN177" s="922"/>
      <c r="BO177" s="922"/>
      <c r="BP177" s="922"/>
      <c r="BQ177" s="922"/>
      <c r="BR177" s="922"/>
      <c r="BS177" s="922"/>
      <c r="BT177" s="922"/>
      <c r="BU177" s="922"/>
      <c r="BV177" s="922"/>
      <c r="BW177" s="922"/>
      <c r="BX177" s="922"/>
      <c r="BY177" s="922"/>
      <c r="BZ177" s="922"/>
      <c r="CA177" s="922"/>
      <c r="CB177" s="922"/>
      <c r="CC177" s="922"/>
      <c r="CD177" s="922"/>
      <c r="CE177" s="922"/>
      <c r="CF177" s="922"/>
      <c r="CG177" s="922"/>
      <c r="CH177" s="922"/>
      <c r="CI177" s="922"/>
      <c r="CJ177" s="922"/>
      <c r="CK177" s="922"/>
      <c r="CL177" s="922"/>
      <c r="CM177" s="922"/>
      <c r="CN177" s="922"/>
      <c r="CO177" s="922"/>
      <c r="CP177" s="922"/>
      <c r="CQ177" s="922"/>
      <c r="CR177" s="922"/>
      <c r="CS177" s="922"/>
      <c r="CT177" s="922"/>
      <c r="CU177" s="922"/>
      <c r="CV177" s="922"/>
      <c r="CW177" s="922"/>
      <c r="CX177" s="922"/>
      <c r="CY177" s="922"/>
      <c r="CZ177" s="922"/>
      <c r="DA177" s="922"/>
      <c r="DB177" s="922"/>
      <c r="DC177" s="922"/>
      <c r="DD177" s="922"/>
      <c r="DE177" s="922"/>
      <c r="DF177" s="922"/>
      <c r="DG177" s="922"/>
      <c r="DH177" s="922"/>
      <c r="DI177" s="922"/>
      <c r="DJ177" s="922"/>
      <c r="DK177" s="922"/>
      <c r="DL177" s="922"/>
      <c r="DM177" s="922"/>
      <c r="DN177" s="922"/>
      <c r="DO177" s="922"/>
      <c r="DP177" s="922"/>
      <c r="DQ177" s="922"/>
      <c r="DR177" s="922"/>
      <c r="DS177" s="922"/>
      <c r="DT177" s="922"/>
      <c r="DU177" s="922"/>
      <c r="DV177" s="922"/>
      <c r="DW177" s="922"/>
      <c r="DX177" s="922"/>
      <c r="DY177" s="922"/>
      <c r="DZ177" s="922"/>
      <c r="EA177" s="922"/>
      <c r="EB177" s="922"/>
      <c r="EC177" s="922"/>
      <c r="ED177" s="922"/>
      <c r="EE177" s="922"/>
      <c r="EF177" s="922"/>
      <c r="EG177" s="922"/>
      <c r="EH177" s="922"/>
      <c r="EI177" s="922"/>
      <c r="EJ177" s="922"/>
      <c r="EK177" s="922"/>
      <c r="EL177" s="922"/>
      <c r="EM177" s="922"/>
      <c r="EN177" s="922"/>
      <c r="EO177" s="922"/>
      <c r="EP177" s="922"/>
      <c r="EQ177" s="922"/>
      <c r="ER177" s="922"/>
      <c r="ES177" s="922"/>
      <c r="ET177" s="922"/>
      <c r="EU177" s="922"/>
      <c r="EV177" s="922"/>
      <c r="EW177" s="922"/>
      <c r="EX177" s="922"/>
      <c r="EY177" s="922"/>
      <c r="EZ177" s="922"/>
      <c r="FA177" s="922"/>
      <c r="FB177" s="922"/>
      <c r="FC177" s="922"/>
      <c r="FD177" s="922"/>
      <c r="FE177" s="922"/>
      <c r="FF177" s="922"/>
      <c r="FG177" s="922"/>
      <c r="FH177" s="922"/>
      <c r="FI177" s="922"/>
      <c r="FJ177" s="922"/>
      <c r="FK177" s="922"/>
      <c r="FL177" s="922"/>
      <c r="FM177" s="922"/>
      <c r="FN177" s="922"/>
      <c r="FO177" s="922"/>
      <c r="FP177" s="922"/>
      <c r="FQ177" s="922"/>
      <c r="FR177" s="922"/>
      <c r="FS177" s="922"/>
      <c r="FT177" s="922"/>
      <c r="FU177" s="922"/>
      <c r="FV177" s="922"/>
      <c r="FW177" s="922"/>
      <c r="FX177" s="922"/>
      <c r="FY177" s="922"/>
      <c r="FZ177" s="922"/>
      <c r="GA177" s="922"/>
      <c r="GB177" s="922"/>
      <c r="GC177" s="922"/>
      <c r="GD177" s="922"/>
      <c r="GE177" s="922"/>
      <c r="GF177" s="922"/>
      <c r="GG177" s="922"/>
      <c r="GH177" s="922"/>
      <c r="GI177" s="922"/>
      <c r="GJ177" s="922"/>
      <c r="GK177" s="922"/>
      <c r="GL177" s="922"/>
      <c r="GM177" s="922"/>
      <c r="GN177" s="922"/>
      <c r="GO177" s="922"/>
      <c r="GP177" s="922"/>
      <c r="GQ177" s="922"/>
      <c r="GR177" s="922"/>
      <c r="GS177" s="922"/>
      <c r="GT177" s="922"/>
      <c r="GU177" s="922"/>
      <c r="GV177" s="922"/>
      <c r="GW177" s="922"/>
      <c r="GX177" s="922"/>
      <c r="GY177" s="922"/>
      <c r="GZ177" s="922"/>
      <c r="HA177" s="922"/>
      <c r="HB177" s="922"/>
      <c r="HC177" s="922"/>
      <c r="HD177" s="922"/>
      <c r="HE177" s="922"/>
      <c r="HF177" s="922"/>
      <c r="HG177" s="922"/>
      <c r="HH177" s="922"/>
      <c r="HI177" s="922"/>
      <c r="HJ177" s="922"/>
      <c r="HK177" s="922"/>
      <c r="HL177" s="922"/>
      <c r="HM177" s="922"/>
      <c r="HN177" s="922"/>
      <c r="HO177" s="922"/>
      <c r="HP177" s="922"/>
      <c r="HQ177" s="922"/>
      <c r="HR177" s="922"/>
      <c r="HS177" s="922"/>
      <c r="HT177" s="922"/>
      <c r="HU177" s="922"/>
      <c r="HV177" s="922"/>
      <c r="HW177" s="922"/>
      <c r="HX177" s="922"/>
      <c r="HY177" s="922"/>
      <c r="HZ177" s="922"/>
      <c r="IA177" s="922"/>
      <c r="IB177" s="922"/>
      <c r="IC177" s="922"/>
      <c r="ID177" s="922"/>
      <c r="IE177" s="922"/>
      <c r="IF177" s="922"/>
      <c r="IG177" s="922"/>
      <c r="IH177" s="922"/>
      <c r="II177" s="922"/>
      <c r="IJ177" s="922"/>
      <c r="IK177" s="922"/>
      <c r="IL177" s="922"/>
      <c r="IM177" s="922"/>
      <c r="IN177" s="922"/>
      <c r="IO177" s="922"/>
      <c r="IP177" s="922"/>
      <c r="IQ177" s="922"/>
      <c r="IR177" s="922"/>
      <c r="IS177" s="922"/>
      <c r="IT177" s="922"/>
      <c r="IU177" s="922"/>
      <c r="IV177" s="922"/>
      <c r="IW177" s="922"/>
      <c r="IX177" s="922"/>
      <c r="IY177" s="922"/>
      <c r="IZ177" s="922"/>
      <c r="JA177" s="922"/>
      <c r="JB177" s="922"/>
      <c r="JC177" s="922"/>
      <c r="JD177" s="922"/>
      <c r="JE177" s="922"/>
      <c r="JF177" s="922"/>
      <c r="JG177" s="922"/>
      <c r="JH177" s="922"/>
      <c r="JI177" s="922"/>
      <c r="JJ177" s="922"/>
      <c r="JK177" s="922"/>
      <c r="JL177" s="922"/>
      <c r="JM177" s="922"/>
      <c r="JN177" s="922"/>
      <c r="JO177" s="922"/>
      <c r="JP177" s="922"/>
      <c r="JQ177" s="922"/>
      <c r="JR177" s="922"/>
      <c r="JS177" s="922"/>
      <c r="JT177" s="922"/>
      <c r="JU177" s="922"/>
      <c r="JV177" s="922"/>
      <c r="JW177" s="922"/>
      <c r="JX177" s="922"/>
      <c r="JY177" s="922"/>
      <c r="JZ177" s="922"/>
      <c r="KA177" s="922"/>
      <c r="KB177" s="922"/>
      <c r="KC177" s="922"/>
      <c r="KD177" s="922"/>
      <c r="KE177" s="922"/>
      <c r="KF177" s="922"/>
      <c r="KG177" s="922"/>
      <c r="KH177" s="922"/>
      <c r="KI177" s="922"/>
      <c r="KJ177" s="922"/>
      <c r="KK177" s="922"/>
      <c r="KL177" s="922"/>
      <c r="KM177" s="922"/>
      <c r="KN177" s="922"/>
      <c r="KO177" s="922"/>
      <c r="KP177" s="922"/>
      <c r="KQ177" s="922"/>
      <c r="KR177" s="922"/>
      <c r="KS177" s="922"/>
      <c r="KT177" s="922"/>
      <c r="KU177" s="922"/>
      <c r="KV177" s="922"/>
      <c r="KW177" s="922"/>
      <c r="KX177" s="922"/>
      <c r="KY177" s="922"/>
      <c r="KZ177" s="922"/>
      <c r="LA177" s="922"/>
      <c r="LB177" s="922"/>
      <c r="LC177" s="922"/>
      <c r="LD177" s="922"/>
      <c r="LE177" s="922"/>
      <c r="LF177" s="922"/>
      <c r="LG177" s="922"/>
      <c r="LH177" s="922"/>
      <c r="LI177" s="922"/>
      <c r="LJ177" s="922"/>
      <c r="LK177" s="922"/>
      <c r="LL177" s="922"/>
      <c r="LM177" s="922"/>
      <c r="LN177" s="922"/>
      <c r="LO177" s="922"/>
      <c r="LP177" s="922"/>
      <c r="LQ177" s="922"/>
      <c r="LR177" s="922"/>
      <c r="LS177" s="922"/>
      <c r="LT177" s="922"/>
      <c r="LU177" s="922"/>
      <c r="LV177" s="922"/>
      <c r="LW177" s="922"/>
      <c r="LX177" s="922"/>
      <c r="LY177" s="922"/>
      <c r="LZ177" s="922"/>
      <c r="MA177" s="922"/>
      <c r="MB177" s="922"/>
      <c r="MC177" s="922"/>
      <c r="MD177" s="922"/>
      <c r="ME177" s="922"/>
      <c r="MF177" s="922"/>
      <c r="MG177" s="922"/>
      <c r="MH177" s="922"/>
      <c r="MI177" s="922"/>
      <c r="MJ177" s="922"/>
      <c r="MK177" s="922"/>
      <c r="ML177" s="922"/>
      <c r="MM177" s="922"/>
      <c r="MN177" s="922"/>
      <c r="MO177" s="922"/>
      <c r="MP177" s="922"/>
      <c r="MQ177" s="922"/>
      <c r="MR177" s="922"/>
      <c r="MS177" s="922"/>
      <c r="MT177" s="922"/>
      <c r="MU177" s="922"/>
      <c r="MV177" s="922"/>
      <c r="MW177" s="922"/>
      <c r="MX177" s="922"/>
      <c r="MY177" s="922"/>
      <c r="MZ177" s="922"/>
      <c r="NA177" s="922"/>
      <c r="NB177" s="922"/>
      <c r="NC177" s="922"/>
      <c r="ND177" s="922"/>
      <c r="NE177" s="922"/>
      <c r="NF177" s="922"/>
      <c r="NG177" s="922"/>
      <c r="NH177" s="922"/>
      <c r="NI177" s="922"/>
      <c r="NJ177" s="922"/>
      <c r="NK177" s="922"/>
      <c r="NL177" s="922"/>
      <c r="NM177" s="922"/>
      <c r="NN177" s="922"/>
      <c r="NO177" s="922"/>
      <c r="NP177" s="922"/>
      <c r="NQ177" s="922"/>
      <c r="NR177" s="922"/>
      <c r="NS177" s="922"/>
      <c r="NT177" s="922"/>
      <c r="NU177" s="922"/>
      <c r="NV177" s="922"/>
      <c r="NW177" s="922"/>
      <c r="NX177" s="922"/>
      <c r="NY177" s="922"/>
      <c r="NZ177" s="922"/>
      <c r="OA177" s="922"/>
      <c r="OB177" s="922"/>
      <c r="OC177" s="922"/>
      <c r="OD177" s="922"/>
      <c r="OE177" s="922"/>
      <c r="OF177" s="922"/>
      <c r="OG177" s="922"/>
      <c r="OH177" s="922"/>
      <c r="OI177" s="922"/>
      <c r="OJ177" s="922"/>
      <c r="OK177" s="922"/>
      <c r="OL177" s="922"/>
      <c r="OM177" s="922"/>
      <c r="ON177" s="922"/>
      <c r="OO177" s="922"/>
      <c r="OP177" s="922"/>
      <c r="OQ177" s="922"/>
      <c r="OR177" s="922"/>
      <c r="OS177" s="922"/>
      <c r="OT177" s="922"/>
      <c r="OU177" s="922"/>
      <c r="OV177" s="922"/>
      <c r="OW177" s="922"/>
      <c r="OX177" s="922"/>
      <c r="OY177" s="922"/>
      <c r="OZ177" s="922"/>
      <c r="PA177" s="922"/>
      <c r="PB177" s="922"/>
      <c r="PC177" s="922"/>
      <c r="PD177" s="922"/>
      <c r="PE177" s="922"/>
      <c r="PF177" s="922"/>
      <c r="PG177" s="922"/>
      <c r="PH177" s="922"/>
      <c r="PI177" s="922"/>
      <c r="PJ177" s="922"/>
      <c r="PK177" s="922"/>
      <c r="PL177" s="922"/>
      <c r="PM177" s="922"/>
      <c r="PN177" s="922"/>
      <c r="PO177" s="922"/>
      <c r="PP177" s="922"/>
      <c r="PQ177" s="922"/>
      <c r="PR177" s="922"/>
      <c r="PS177" s="922"/>
      <c r="PT177" s="922"/>
      <c r="PU177" s="922"/>
      <c r="PV177" s="922"/>
      <c r="PW177" s="922"/>
      <c r="PX177" s="922"/>
      <c r="PY177" s="922"/>
      <c r="PZ177" s="922"/>
      <c r="QA177" s="922"/>
      <c r="QB177" s="922"/>
      <c r="QC177" s="922"/>
      <c r="QD177" s="922"/>
      <c r="QE177" s="922"/>
      <c r="QF177" s="922"/>
      <c r="QG177" s="922"/>
      <c r="QH177" s="922"/>
      <c r="QI177" s="922"/>
      <c r="QJ177" s="922"/>
      <c r="QK177" s="922"/>
      <c r="QL177" s="922"/>
      <c r="QM177" s="922"/>
      <c r="QN177" s="922"/>
      <c r="QO177" s="922"/>
      <c r="QP177" s="922"/>
      <c r="QQ177" s="922"/>
      <c r="QR177" s="922"/>
      <c r="QS177" s="922"/>
      <c r="QT177" s="922"/>
      <c r="QU177" s="922"/>
      <c r="QV177" s="922"/>
      <c r="QW177" s="922"/>
      <c r="QX177" s="922"/>
      <c r="QY177" s="922"/>
      <c r="QZ177" s="922"/>
      <c r="RA177" s="922"/>
      <c r="RB177" s="922"/>
      <c r="RC177" s="922"/>
      <c r="RD177" s="922"/>
      <c r="RE177" s="922"/>
      <c r="RF177" s="922"/>
      <c r="RG177" s="922"/>
      <c r="RH177" s="922"/>
      <c r="RI177" s="922"/>
      <c r="RJ177" s="922"/>
      <c r="RK177" s="922"/>
      <c r="RL177" s="922"/>
      <c r="RM177" s="922"/>
      <c r="RN177" s="922"/>
      <c r="RO177" s="922"/>
      <c r="RP177" s="922"/>
      <c r="RQ177" s="922"/>
      <c r="RR177" s="922"/>
      <c r="RS177" s="922"/>
      <c r="RT177" s="922"/>
      <c r="RU177" s="922"/>
      <c r="RV177" s="922"/>
      <c r="RW177" s="922"/>
      <c r="RX177" s="922"/>
      <c r="RY177" s="922"/>
      <c r="RZ177" s="922"/>
      <c r="SA177" s="922"/>
      <c r="SB177" s="922"/>
      <c r="SC177" s="922"/>
      <c r="SD177" s="922"/>
      <c r="SE177" s="922"/>
      <c r="SF177" s="922"/>
      <c r="SG177" s="922"/>
      <c r="SH177" s="922"/>
      <c r="SI177" s="922"/>
      <c r="SJ177" s="922"/>
      <c r="SK177" s="922"/>
      <c r="SL177" s="922"/>
      <c r="SM177" s="922"/>
      <c r="SN177" s="922"/>
      <c r="SO177" s="922"/>
      <c r="SP177" s="922"/>
      <c r="SQ177" s="922"/>
      <c r="SR177" s="922"/>
      <c r="SS177" s="922"/>
      <c r="ST177" s="922"/>
      <c r="SU177" s="922"/>
      <c r="SV177" s="922"/>
      <c r="SW177" s="922"/>
      <c r="SX177" s="922"/>
      <c r="SY177" s="922"/>
      <c r="SZ177" s="922"/>
      <c r="TA177" s="922"/>
      <c r="TB177" s="922"/>
      <c r="TC177" s="922"/>
      <c r="TD177" s="922"/>
      <c r="TE177" s="922"/>
      <c r="TF177" s="922"/>
      <c r="TG177" s="922"/>
      <c r="TH177" s="922"/>
      <c r="TI177" s="922"/>
      <c r="TJ177" s="922"/>
      <c r="TK177" s="922"/>
      <c r="TL177" s="922"/>
      <c r="TM177" s="922"/>
      <c r="TN177" s="922"/>
      <c r="TO177" s="922"/>
      <c r="TP177" s="922"/>
      <c r="TQ177" s="922"/>
      <c r="TR177" s="922"/>
      <c r="TS177" s="922"/>
      <c r="TT177" s="922"/>
      <c r="TU177" s="922"/>
      <c r="TV177" s="922"/>
      <c r="TW177" s="922"/>
      <c r="TX177" s="922"/>
      <c r="TY177" s="922"/>
      <c r="TZ177" s="922"/>
      <c r="UA177" s="922"/>
      <c r="UB177" s="922"/>
      <c r="UC177" s="922"/>
      <c r="UD177" s="922"/>
      <c r="UE177" s="922"/>
      <c r="UF177" s="922"/>
      <c r="UG177" s="922"/>
      <c r="UH177" s="922"/>
      <c r="UI177" s="922"/>
      <c r="UJ177" s="922"/>
      <c r="UK177" s="922"/>
      <c r="UL177" s="922"/>
      <c r="UM177" s="922"/>
      <c r="UN177" s="922"/>
      <c r="UO177" s="922"/>
      <c r="UP177" s="922"/>
      <c r="UQ177" s="922"/>
      <c r="UR177" s="922"/>
      <c r="US177" s="922"/>
      <c r="UT177" s="922"/>
      <c r="UU177" s="922"/>
      <c r="UV177" s="922"/>
      <c r="UW177" s="922"/>
      <c r="UX177" s="922"/>
      <c r="UY177" s="922"/>
      <c r="UZ177" s="922"/>
      <c r="VA177" s="922"/>
      <c r="VB177" s="922"/>
      <c r="VC177" s="922"/>
      <c r="VD177" s="922"/>
      <c r="VE177" s="922"/>
      <c r="VF177" s="922"/>
      <c r="VG177" s="922"/>
      <c r="VH177" s="922"/>
      <c r="VI177" s="922"/>
      <c r="VJ177" s="922"/>
      <c r="VK177" s="922"/>
      <c r="VL177" s="922"/>
      <c r="VM177" s="922"/>
      <c r="VN177" s="922"/>
      <c r="VO177" s="922"/>
      <c r="VP177" s="922"/>
      <c r="VQ177" s="922"/>
      <c r="VR177" s="922"/>
      <c r="VS177" s="922"/>
      <c r="VT177" s="922"/>
      <c r="VU177" s="922"/>
      <c r="VV177" s="922"/>
      <c r="VW177" s="922"/>
      <c r="VX177" s="922"/>
      <c r="VY177" s="922"/>
      <c r="VZ177" s="922"/>
      <c r="WA177" s="922"/>
      <c r="WB177" s="922"/>
      <c r="WC177" s="922"/>
      <c r="WD177" s="922"/>
      <c r="WE177" s="922"/>
      <c r="WF177" s="922"/>
      <c r="WG177" s="922"/>
      <c r="WH177" s="922"/>
      <c r="WI177" s="922"/>
      <c r="WJ177" s="922"/>
      <c r="WK177" s="922"/>
      <c r="WL177" s="922"/>
      <c r="WM177" s="922"/>
      <c r="WN177" s="922"/>
      <c r="WO177" s="922"/>
      <c r="WP177" s="922"/>
      <c r="WQ177" s="922"/>
      <c r="WR177" s="922"/>
      <c r="WS177" s="922"/>
      <c r="WT177" s="922"/>
      <c r="WU177" s="922"/>
      <c r="WV177" s="922"/>
      <c r="WW177" s="922"/>
      <c r="WX177" s="922"/>
      <c r="WY177" s="922"/>
      <c r="WZ177" s="922"/>
      <c r="XA177" s="922"/>
      <c r="XB177" s="922"/>
      <c r="XC177" s="922"/>
      <c r="XD177" s="922"/>
      <c r="XE177" s="922"/>
      <c r="XF177" s="922"/>
      <c r="XG177" s="922"/>
      <c r="XH177" s="922"/>
      <c r="XI177" s="922"/>
      <c r="XJ177" s="922"/>
      <c r="XK177" s="922"/>
      <c r="XL177" s="922"/>
      <c r="XM177" s="922"/>
      <c r="XN177" s="922"/>
      <c r="XO177" s="922"/>
      <c r="XP177" s="922"/>
      <c r="XQ177" s="922"/>
      <c r="XR177" s="922"/>
      <c r="XS177" s="922"/>
      <c r="XT177" s="922"/>
      <c r="XU177" s="922"/>
      <c r="XV177" s="922"/>
      <c r="XW177" s="922"/>
      <c r="XX177" s="922"/>
      <c r="XY177" s="922"/>
      <c r="XZ177" s="922"/>
      <c r="YA177" s="922"/>
      <c r="YB177" s="922"/>
      <c r="YC177" s="922"/>
      <c r="YD177" s="922"/>
      <c r="YE177" s="922"/>
      <c r="YF177" s="922"/>
      <c r="YG177" s="922"/>
      <c r="YH177" s="922"/>
      <c r="YI177" s="922"/>
      <c r="YJ177" s="922"/>
      <c r="YK177" s="922"/>
      <c r="YL177" s="922"/>
      <c r="YM177" s="922"/>
      <c r="YN177" s="922"/>
      <c r="YO177" s="922"/>
      <c r="YP177" s="922"/>
      <c r="YQ177" s="922"/>
      <c r="YR177" s="922"/>
      <c r="YS177" s="922"/>
      <c r="YT177" s="922"/>
      <c r="YU177" s="922"/>
      <c r="YV177" s="922"/>
      <c r="YW177" s="922"/>
      <c r="YX177" s="922"/>
      <c r="YY177" s="922"/>
      <c r="YZ177" s="922"/>
      <c r="ZA177" s="922"/>
      <c r="ZB177" s="922"/>
      <c r="ZC177" s="922"/>
      <c r="ZD177" s="922"/>
      <c r="ZE177" s="922"/>
      <c r="ZF177" s="922"/>
      <c r="ZG177" s="922"/>
      <c r="ZH177" s="922"/>
      <c r="ZI177" s="922"/>
      <c r="ZJ177" s="922"/>
      <c r="ZK177" s="922"/>
      <c r="ZL177" s="922"/>
      <c r="ZM177" s="922"/>
      <c r="ZN177" s="922"/>
      <c r="ZO177" s="922"/>
      <c r="ZP177" s="922"/>
      <c r="ZQ177" s="922"/>
      <c r="ZR177" s="922"/>
      <c r="ZS177" s="922"/>
      <c r="ZT177" s="922"/>
      <c r="ZU177" s="922"/>
      <c r="ZV177" s="922"/>
      <c r="ZW177" s="922"/>
      <c r="ZX177" s="922"/>
      <c r="ZY177" s="922"/>
      <c r="ZZ177" s="922"/>
      <c r="AAA177" s="922"/>
      <c r="AAB177" s="922"/>
      <c r="AAC177" s="922"/>
      <c r="AAD177" s="922"/>
      <c r="AAE177" s="922"/>
      <c r="AAF177" s="922"/>
      <c r="AAG177" s="922"/>
      <c r="AAH177" s="922"/>
      <c r="AAI177" s="922"/>
      <c r="AAJ177" s="922"/>
      <c r="AAK177" s="922"/>
      <c r="AAL177" s="922"/>
      <c r="AAM177" s="922"/>
      <c r="AAN177" s="922"/>
      <c r="AAO177" s="922"/>
      <c r="AAP177" s="922"/>
      <c r="AAQ177" s="922"/>
      <c r="AAR177" s="922"/>
      <c r="AAS177" s="922"/>
      <c r="AAT177" s="922"/>
      <c r="AAU177" s="922"/>
      <c r="AAV177" s="922"/>
      <c r="AAW177" s="922"/>
      <c r="AAX177" s="922"/>
      <c r="AAY177" s="922"/>
      <c r="AAZ177" s="922"/>
      <c r="ABA177" s="922"/>
      <c r="ABB177" s="922"/>
      <c r="ABC177" s="922"/>
      <c r="ABD177" s="922"/>
      <c r="ABE177" s="922"/>
      <c r="ABF177" s="922"/>
      <c r="ABG177" s="922"/>
      <c r="ABH177" s="922"/>
      <c r="ABI177" s="922"/>
      <c r="ABJ177" s="922"/>
      <c r="ABK177" s="922"/>
      <c r="ABL177" s="922"/>
      <c r="ABM177" s="922"/>
      <c r="ABN177" s="922"/>
      <c r="ABO177" s="922"/>
      <c r="ABP177" s="922"/>
      <c r="ABQ177" s="922"/>
      <c r="ABR177" s="922"/>
      <c r="ABS177" s="922"/>
      <c r="ABT177" s="922"/>
      <c r="ABU177" s="922"/>
      <c r="ABV177" s="922"/>
      <c r="ABW177" s="922"/>
      <c r="ABX177" s="922"/>
      <c r="ABY177" s="922"/>
      <c r="ABZ177" s="922"/>
      <c r="ACA177" s="922"/>
      <c r="ACB177" s="922"/>
      <c r="ACC177" s="922"/>
      <c r="ACD177" s="922"/>
      <c r="ACE177" s="922"/>
      <c r="ACF177" s="922"/>
      <c r="ACG177" s="922"/>
      <c r="ACH177" s="922"/>
      <c r="ACI177" s="922"/>
      <c r="ACJ177" s="922"/>
      <c r="ACK177" s="922"/>
      <c r="ACL177" s="922"/>
      <c r="ACM177" s="922"/>
      <c r="ACN177" s="922"/>
      <c r="ACO177" s="922"/>
      <c r="ACP177" s="922"/>
      <c r="ACQ177" s="922"/>
      <c r="ACR177" s="922"/>
      <c r="ACS177" s="922"/>
      <c r="ACT177" s="922"/>
      <c r="ACU177" s="922"/>
      <c r="ACV177" s="922"/>
      <c r="ACW177" s="922"/>
      <c r="ACX177" s="922"/>
      <c r="ACY177" s="922"/>
      <c r="ACZ177" s="922"/>
      <c r="ADA177" s="922"/>
      <c r="ADB177" s="922"/>
      <c r="ADC177" s="922"/>
      <c r="ADD177" s="922"/>
      <c r="ADE177" s="922"/>
      <c r="ADF177" s="922"/>
      <c r="ADG177" s="922"/>
      <c r="ADH177" s="922"/>
      <c r="ADI177" s="922"/>
      <c r="ADJ177" s="922"/>
      <c r="ADK177" s="922"/>
      <c r="ADL177" s="922"/>
      <c r="ADM177" s="922"/>
      <c r="ADN177" s="922"/>
      <c r="ADO177" s="922"/>
      <c r="ADP177" s="922"/>
      <c r="ADQ177" s="922"/>
      <c r="ADR177" s="922"/>
      <c r="ADS177" s="922"/>
      <c r="ADT177" s="922"/>
      <c r="ADU177" s="922"/>
      <c r="ADV177" s="922"/>
      <c r="ADW177" s="922"/>
      <c r="ADX177" s="922"/>
      <c r="ADY177" s="922"/>
      <c r="ADZ177" s="922"/>
      <c r="AEA177" s="922"/>
      <c r="AEB177" s="922"/>
      <c r="AEC177" s="922"/>
      <c r="AED177" s="922"/>
      <c r="AEE177" s="922"/>
      <c r="AEF177" s="922"/>
      <c r="AEG177" s="922"/>
      <c r="AEH177" s="922"/>
      <c r="AEI177" s="922"/>
      <c r="AEJ177" s="922"/>
      <c r="AEK177" s="922"/>
      <c r="AEL177" s="922"/>
      <c r="AEM177" s="922"/>
      <c r="AEN177" s="922"/>
      <c r="AEO177" s="922"/>
      <c r="AEP177" s="922"/>
      <c r="AEQ177" s="922"/>
      <c r="AER177" s="922"/>
      <c r="AES177" s="922"/>
      <c r="AET177" s="922"/>
      <c r="AEU177" s="922"/>
      <c r="AEV177" s="922"/>
      <c r="AEW177" s="922"/>
      <c r="AEX177" s="922"/>
      <c r="AEY177" s="922"/>
      <c r="AEZ177" s="922"/>
      <c r="AFA177" s="922"/>
      <c r="AFB177" s="922"/>
      <c r="AFC177" s="922"/>
      <c r="AFD177" s="922"/>
      <c r="AFE177" s="922"/>
      <c r="AFF177" s="922"/>
      <c r="AFG177" s="922"/>
      <c r="AFH177" s="922"/>
      <c r="AFI177" s="922"/>
      <c r="AFJ177" s="922"/>
      <c r="AFK177" s="922"/>
      <c r="AFL177" s="922"/>
      <c r="AFM177" s="922"/>
      <c r="AFN177" s="922"/>
      <c r="AFO177" s="922"/>
      <c r="AFP177" s="922"/>
      <c r="AFQ177" s="922"/>
      <c r="AFR177" s="922"/>
      <c r="AFS177" s="922"/>
      <c r="AFT177" s="922"/>
      <c r="AFU177" s="922"/>
      <c r="AFV177" s="922"/>
      <c r="AFW177" s="922"/>
      <c r="AFX177" s="922"/>
      <c r="AFY177" s="922"/>
      <c r="AFZ177" s="922"/>
      <c r="AGA177" s="922"/>
      <c r="AGB177" s="922"/>
      <c r="AGC177" s="922"/>
      <c r="AGD177" s="922"/>
      <c r="AGE177" s="922"/>
      <c r="AGF177" s="922"/>
      <c r="AGG177" s="922"/>
      <c r="AGH177" s="922"/>
      <c r="AGI177" s="922"/>
      <c r="AGJ177" s="922"/>
      <c r="AGK177" s="922"/>
      <c r="AGL177" s="922"/>
      <c r="AGM177" s="922"/>
      <c r="AGN177" s="922"/>
      <c r="AGO177" s="922"/>
      <c r="AGP177" s="922"/>
      <c r="AGQ177" s="922"/>
      <c r="AGR177" s="922"/>
      <c r="AGS177" s="922"/>
      <c r="AGT177" s="922"/>
      <c r="AGU177" s="922"/>
      <c r="AGV177" s="922"/>
      <c r="AGW177" s="922"/>
      <c r="AGX177" s="922"/>
      <c r="AGY177" s="922"/>
      <c r="AGZ177" s="922"/>
      <c r="AHA177" s="922"/>
      <c r="AHB177" s="922"/>
      <c r="AHC177" s="922"/>
      <c r="AHD177" s="922"/>
      <c r="AHE177" s="922"/>
      <c r="AHF177" s="922"/>
      <c r="AHG177" s="922"/>
      <c r="AHH177" s="922"/>
      <c r="AHI177" s="922"/>
      <c r="AHJ177" s="922"/>
      <c r="AHK177" s="922"/>
      <c r="AHL177" s="922"/>
      <c r="AHM177" s="922"/>
      <c r="AHN177" s="922"/>
      <c r="AHO177" s="922"/>
      <c r="AHP177" s="922"/>
      <c r="AHQ177" s="922"/>
      <c r="AHR177" s="922"/>
      <c r="AHS177" s="922"/>
      <c r="AHT177" s="922"/>
      <c r="AHU177" s="922"/>
      <c r="AHV177" s="922"/>
      <c r="AHW177" s="922"/>
      <c r="AHX177" s="922"/>
      <c r="AHY177" s="922"/>
      <c r="AHZ177" s="922"/>
      <c r="AIA177" s="922"/>
      <c r="AIB177" s="922"/>
      <c r="AIC177" s="922"/>
      <c r="AID177" s="922"/>
      <c r="AIE177" s="922"/>
      <c r="AIF177" s="922"/>
      <c r="AIG177" s="922"/>
      <c r="AIH177" s="922"/>
      <c r="AII177" s="922"/>
      <c r="AIJ177" s="922"/>
      <c r="AIK177" s="922"/>
      <c r="AIL177" s="922"/>
      <c r="AIM177" s="922"/>
      <c r="AIN177" s="922"/>
      <c r="AIO177" s="922"/>
      <c r="AIP177" s="922"/>
      <c r="AIQ177" s="922"/>
      <c r="AIR177" s="922"/>
      <c r="AIS177" s="922"/>
      <c r="AIT177" s="922"/>
      <c r="AIU177" s="922"/>
      <c r="AIV177" s="922"/>
      <c r="AIW177" s="922"/>
      <c r="AIX177" s="922"/>
      <c r="AIY177" s="922"/>
      <c r="AIZ177" s="922"/>
      <c r="AJA177" s="922"/>
      <c r="AJB177" s="922"/>
      <c r="AJC177" s="922"/>
      <c r="AJD177" s="922"/>
      <c r="AJE177" s="922"/>
      <c r="AJF177" s="922"/>
      <c r="AJG177" s="922"/>
      <c r="AJH177" s="922"/>
      <c r="AJI177" s="922"/>
      <c r="AJJ177" s="922"/>
      <c r="AJK177" s="922"/>
      <c r="AJL177" s="922"/>
      <c r="AJM177" s="922"/>
      <c r="AJN177" s="922"/>
      <c r="AJO177" s="922"/>
      <c r="AJP177" s="922"/>
      <c r="AJQ177" s="922"/>
      <c r="AJR177" s="922"/>
      <c r="AJS177" s="922"/>
      <c r="AJT177" s="922"/>
      <c r="AJU177" s="922"/>
      <c r="AJV177" s="922"/>
      <c r="AJW177" s="922"/>
      <c r="AJX177" s="922"/>
      <c r="AJY177" s="922"/>
      <c r="AJZ177" s="922"/>
      <c r="AKA177" s="922"/>
      <c r="AKB177" s="922"/>
      <c r="AKC177" s="922"/>
      <c r="AKD177" s="922"/>
      <c r="AKE177" s="922"/>
      <c r="AKF177" s="922"/>
      <c r="AKG177" s="922"/>
      <c r="AKH177" s="922"/>
      <c r="AKI177" s="922"/>
      <c r="AKJ177" s="922"/>
      <c r="AKK177" s="922"/>
      <c r="AKL177" s="922"/>
      <c r="AKM177" s="922"/>
      <c r="AKN177" s="922"/>
      <c r="AKO177" s="922"/>
      <c r="AKP177" s="922"/>
      <c r="AKQ177" s="922"/>
      <c r="AKR177" s="922"/>
      <c r="AKS177" s="922"/>
      <c r="AKT177" s="922"/>
      <c r="AKU177" s="922"/>
      <c r="AKV177" s="922"/>
      <c r="AKW177" s="922"/>
      <c r="AKX177" s="922"/>
      <c r="AKY177" s="922"/>
      <c r="AKZ177" s="922"/>
      <c r="ALA177" s="922"/>
      <c r="ALB177" s="922"/>
      <c r="ALC177" s="922"/>
      <c r="ALD177" s="922"/>
      <c r="ALE177" s="922"/>
      <c r="ALF177" s="922"/>
      <c r="ALG177" s="922"/>
      <c r="ALH177" s="922"/>
      <c r="ALI177" s="922"/>
      <c r="ALJ177" s="922"/>
      <c r="ALK177" s="922"/>
      <c r="ALL177" s="922"/>
      <c r="ALM177" s="922"/>
      <c r="ALN177" s="922"/>
      <c r="ALO177" s="922"/>
      <c r="ALP177" s="922"/>
      <c r="ALQ177" s="922"/>
      <c r="ALR177" s="922"/>
      <c r="ALS177" s="922"/>
      <c r="ALT177" s="922"/>
      <c r="ALU177" s="922"/>
      <c r="ALV177" s="922"/>
      <c r="ALW177" s="922"/>
      <c r="ALX177" s="922"/>
      <c r="ALY177" s="922"/>
      <c r="ALZ177" s="922"/>
      <c r="AMA177" s="922"/>
      <c r="AMB177" s="922"/>
      <c r="AMC177" s="922"/>
      <c r="AMD177" s="922"/>
      <c r="AME177" s="922"/>
      <c r="AMF177" s="922"/>
      <c r="AMG177" s="922"/>
      <c r="AMH177" s="922"/>
      <c r="AMI177" s="922"/>
      <c r="AMJ177" s="922"/>
      <c r="AMK177" s="922"/>
      <c r="AML177" s="922"/>
      <c r="AMM177" s="922"/>
      <c r="AMN177" s="922"/>
      <c r="AMO177" s="922"/>
      <c r="AMP177" s="922"/>
      <c r="AMQ177" s="922"/>
      <c r="AMR177" s="922"/>
      <c r="AMS177" s="922"/>
      <c r="AMT177" s="922"/>
      <c r="AMU177" s="922"/>
      <c r="AMV177" s="922"/>
      <c r="AMW177" s="922"/>
      <c r="AMX177" s="922"/>
      <c r="AMY177" s="922"/>
      <c r="AMZ177" s="922"/>
      <c r="ANA177" s="922"/>
      <c r="ANB177" s="922"/>
      <c r="ANC177" s="922"/>
      <c r="AND177" s="922"/>
      <c r="ANE177" s="922"/>
      <c r="ANF177" s="922"/>
      <c r="ANG177" s="922"/>
      <c r="ANH177" s="922"/>
      <c r="ANI177" s="922"/>
      <c r="ANJ177" s="922"/>
      <c r="ANK177" s="922"/>
      <c r="ANL177" s="922"/>
      <c r="ANM177" s="922"/>
      <c r="ANN177" s="922"/>
      <c r="ANO177" s="922"/>
      <c r="ANP177" s="922"/>
      <c r="ANQ177" s="922"/>
      <c r="ANR177" s="922"/>
      <c r="ANS177" s="922"/>
      <c r="ANT177" s="922"/>
      <c r="ANU177" s="922"/>
      <c r="ANV177" s="922"/>
      <c r="ANW177" s="922"/>
      <c r="ANX177" s="922"/>
      <c r="ANY177" s="922"/>
      <c r="ANZ177" s="922"/>
      <c r="AOA177" s="922"/>
      <c r="AOB177" s="922"/>
      <c r="AOC177" s="922"/>
      <c r="AOD177" s="922"/>
      <c r="AOE177" s="922"/>
      <c r="AOF177" s="922"/>
      <c r="AOG177" s="922"/>
      <c r="AOH177" s="922"/>
      <c r="AOI177" s="922"/>
      <c r="AOJ177" s="922"/>
      <c r="AOK177" s="922"/>
      <c r="AOL177" s="922"/>
      <c r="AOM177" s="922"/>
      <c r="AON177" s="922"/>
      <c r="AOO177" s="922"/>
      <c r="AOP177" s="922"/>
      <c r="AOQ177" s="922"/>
      <c r="AOR177" s="922"/>
      <c r="AOS177" s="922"/>
      <c r="AOT177" s="922"/>
      <c r="AOU177" s="922"/>
      <c r="AOV177" s="922"/>
      <c r="AOW177" s="922"/>
      <c r="AOX177" s="922"/>
      <c r="AOY177" s="922"/>
      <c r="AOZ177" s="922"/>
      <c r="APA177" s="922"/>
      <c r="APB177" s="922"/>
      <c r="APC177" s="922"/>
      <c r="APD177" s="922"/>
      <c r="APE177" s="922"/>
      <c r="APF177" s="922"/>
      <c r="APG177" s="922"/>
      <c r="APH177" s="922"/>
      <c r="API177" s="922"/>
      <c r="APJ177" s="922"/>
      <c r="APK177" s="922"/>
      <c r="APL177" s="922"/>
      <c r="APM177" s="922"/>
      <c r="APN177" s="922"/>
      <c r="APO177" s="922"/>
      <c r="APP177" s="922"/>
      <c r="APQ177" s="922"/>
      <c r="APR177" s="922"/>
      <c r="APS177" s="922"/>
      <c r="APT177" s="922"/>
      <c r="APU177" s="922"/>
      <c r="APV177" s="922"/>
      <c r="APW177" s="922"/>
      <c r="APX177" s="922"/>
      <c r="APY177" s="922"/>
      <c r="APZ177" s="922"/>
      <c r="AQA177" s="922"/>
      <c r="AQB177" s="922"/>
      <c r="AQC177" s="922"/>
      <c r="AQD177" s="922"/>
      <c r="AQE177" s="922"/>
      <c r="AQF177" s="922"/>
      <c r="AQG177" s="922"/>
      <c r="AQH177" s="922"/>
      <c r="AQI177" s="922"/>
      <c r="AQJ177" s="922"/>
      <c r="AQK177" s="922"/>
      <c r="AQL177" s="922"/>
      <c r="AQM177" s="922"/>
      <c r="AQN177" s="922"/>
      <c r="AQO177" s="922"/>
      <c r="AQP177" s="922"/>
      <c r="AQQ177" s="922"/>
      <c r="AQR177" s="922"/>
      <c r="AQS177" s="922"/>
      <c r="AQT177" s="922"/>
      <c r="AQU177" s="922"/>
      <c r="AQV177" s="922"/>
      <c r="AQW177" s="922"/>
      <c r="AQX177" s="922"/>
      <c r="AQY177" s="922"/>
      <c r="AQZ177" s="922"/>
      <c r="ARA177" s="922"/>
      <c r="ARB177" s="922"/>
      <c r="ARC177" s="922"/>
      <c r="ARD177" s="922"/>
      <c r="ARE177" s="922"/>
      <c r="ARF177" s="922"/>
      <c r="ARG177" s="922"/>
      <c r="ARH177" s="922"/>
      <c r="ARI177" s="922"/>
      <c r="ARJ177" s="922"/>
      <c r="ARK177" s="922"/>
      <c r="ARL177" s="922"/>
      <c r="ARM177" s="922"/>
      <c r="ARN177" s="922"/>
      <c r="ARO177" s="922"/>
      <c r="ARP177" s="922"/>
      <c r="ARQ177" s="922"/>
      <c r="ARR177" s="922"/>
      <c r="ARS177" s="922"/>
      <c r="ART177" s="922"/>
      <c r="ARU177" s="922"/>
      <c r="ARV177" s="922"/>
      <c r="ARW177" s="922"/>
      <c r="ARX177" s="922"/>
      <c r="ARY177" s="922"/>
      <c r="ARZ177" s="922"/>
      <c r="ASA177" s="922"/>
      <c r="ASB177" s="922"/>
      <c r="ASC177" s="922"/>
    </row>
    <row r="178" spans="1:1173" hidden="1">
      <c r="T178" s="922"/>
      <c r="AN178" s="922"/>
      <c r="AO178" s="922"/>
      <c r="AP178" s="922"/>
      <c r="AQ178" s="922"/>
      <c r="AR178" s="922"/>
      <c r="AS178" s="922"/>
      <c r="AT178" s="922"/>
      <c r="AU178" s="922"/>
      <c r="AV178" s="922"/>
      <c r="AW178" s="922"/>
      <c r="AX178" s="922"/>
      <c r="AY178" s="922"/>
      <c r="AZ178" s="922"/>
      <c r="BA178" s="922"/>
      <c r="BB178" s="922"/>
      <c r="BC178" s="922"/>
      <c r="BD178" s="922"/>
      <c r="BE178" s="922"/>
      <c r="BF178" s="922"/>
      <c r="BG178" s="922"/>
      <c r="BH178" s="922"/>
      <c r="BI178" s="922"/>
      <c r="BJ178" s="922"/>
      <c r="BK178" s="922"/>
      <c r="BL178" s="922"/>
      <c r="BM178" s="922"/>
      <c r="BN178" s="922"/>
      <c r="BO178" s="922"/>
      <c r="BP178" s="922"/>
      <c r="BQ178" s="922"/>
      <c r="BR178" s="922"/>
      <c r="BS178" s="922"/>
      <c r="BT178" s="922"/>
      <c r="BU178" s="922"/>
      <c r="BV178" s="922"/>
      <c r="BW178" s="922"/>
      <c r="BX178" s="922"/>
      <c r="BY178" s="922"/>
      <c r="BZ178" s="922"/>
      <c r="CA178" s="922"/>
      <c r="CB178" s="922"/>
      <c r="CC178" s="922"/>
      <c r="CD178" s="922"/>
      <c r="CE178" s="922"/>
      <c r="CF178" s="922"/>
      <c r="CG178" s="922"/>
      <c r="CH178" s="922"/>
      <c r="CI178" s="922"/>
      <c r="CJ178" s="922"/>
      <c r="CK178" s="922"/>
      <c r="CL178" s="922"/>
      <c r="CM178" s="922"/>
      <c r="CN178" s="922"/>
      <c r="CO178" s="922"/>
      <c r="CP178" s="922"/>
      <c r="CQ178" s="922"/>
      <c r="CR178" s="922"/>
      <c r="CS178" s="922"/>
      <c r="CT178" s="922"/>
      <c r="CU178" s="922"/>
      <c r="CV178" s="922"/>
      <c r="CW178" s="922"/>
      <c r="CX178" s="922"/>
      <c r="CY178" s="922"/>
      <c r="CZ178" s="922"/>
      <c r="DA178" s="922"/>
      <c r="DB178" s="922"/>
      <c r="DC178" s="922"/>
      <c r="DD178" s="922"/>
      <c r="DE178" s="922"/>
      <c r="DF178" s="922"/>
      <c r="DG178" s="922"/>
      <c r="DH178" s="922"/>
      <c r="DI178" s="922"/>
      <c r="DJ178" s="922"/>
      <c r="DK178" s="922"/>
      <c r="DL178" s="922"/>
      <c r="DM178" s="922"/>
      <c r="DN178" s="922"/>
      <c r="DO178" s="922"/>
      <c r="DP178" s="922"/>
      <c r="DQ178" s="922"/>
      <c r="DR178" s="922"/>
      <c r="DS178" s="922"/>
      <c r="DT178" s="922"/>
      <c r="DU178" s="922"/>
      <c r="DV178" s="922"/>
      <c r="DW178" s="922"/>
      <c r="DX178" s="922"/>
      <c r="DY178" s="922"/>
      <c r="DZ178" s="922"/>
      <c r="EA178" s="922"/>
      <c r="EB178" s="922"/>
      <c r="EC178" s="922"/>
      <c r="ED178" s="922"/>
      <c r="EE178" s="922"/>
      <c r="EF178" s="922"/>
      <c r="EG178" s="922"/>
      <c r="EH178" s="922"/>
      <c r="EI178" s="922"/>
      <c r="EJ178" s="922"/>
      <c r="EK178" s="922"/>
      <c r="EL178" s="922"/>
      <c r="EM178" s="922"/>
      <c r="EN178" s="922"/>
      <c r="EO178" s="922"/>
      <c r="EP178" s="922"/>
      <c r="EQ178" s="922"/>
      <c r="ER178" s="922"/>
      <c r="ES178" s="922"/>
      <c r="ET178" s="922"/>
      <c r="EU178" s="922"/>
      <c r="EV178" s="922"/>
      <c r="EW178" s="922"/>
      <c r="EX178" s="922"/>
      <c r="EY178" s="922"/>
      <c r="EZ178" s="922"/>
      <c r="FA178" s="922"/>
      <c r="FB178" s="922"/>
      <c r="FC178" s="922"/>
      <c r="FD178" s="922"/>
      <c r="FE178" s="922"/>
      <c r="FF178" s="922"/>
      <c r="FG178" s="922"/>
      <c r="FH178" s="922"/>
      <c r="FI178" s="922"/>
      <c r="FJ178" s="922"/>
      <c r="FK178" s="922"/>
      <c r="FL178" s="922"/>
      <c r="FM178" s="922"/>
      <c r="FN178" s="922"/>
      <c r="FO178" s="922"/>
      <c r="FP178" s="922"/>
      <c r="FQ178" s="922"/>
      <c r="FR178" s="922"/>
      <c r="FS178" s="922"/>
      <c r="FT178" s="922"/>
      <c r="FU178" s="922"/>
      <c r="FV178" s="922"/>
      <c r="FW178" s="922"/>
      <c r="FX178" s="922"/>
      <c r="FY178" s="922"/>
      <c r="FZ178" s="922"/>
      <c r="GA178" s="922"/>
      <c r="GB178" s="922"/>
      <c r="GC178" s="922"/>
      <c r="GD178" s="922"/>
      <c r="GE178" s="922"/>
      <c r="GF178" s="922"/>
      <c r="GG178" s="922"/>
      <c r="GH178" s="922"/>
      <c r="GI178" s="922"/>
      <c r="GJ178" s="922"/>
      <c r="GK178" s="922"/>
      <c r="GL178" s="922"/>
      <c r="GM178" s="922"/>
      <c r="GN178" s="922"/>
      <c r="GO178" s="922"/>
      <c r="GP178" s="922"/>
      <c r="GQ178" s="922"/>
      <c r="GR178" s="922"/>
      <c r="GS178" s="922"/>
      <c r="GT178" s="922"/>
      <c r="GU178" s="922"/>
      <c r="GV178" s="922"/>
      <c r="GW178" s="922"/>
      <c r="GX178" s="922"/>
      <c r="GY178" s="922"/>
      <c r="GZ178" s="922"/>
      <c r="HA178" s="922"/>
      <c r="HB178" s="922"/>
      <c r="HC178" s="922"/>
      <c r="HD178" s="922"/>
      <c r="HE178" s="922"/>
      <c r="HF178" s="922"/>
      <c r="HG178" s="922"/>
      <c r="HH178" s="922"/>
      <c r="HI178" s="922"/>
      <c r="HJ178" s="922"/>
      <c r="HK178" s="922"/>
      <c r="HL178" s="922"/>
      <c r="HM178" s="922"/>
      <c r="HN178" s="922"/>
      <c r="HO178" s="922"/>
      <c r="HP178" s="922"/>
      <c r="HQ178" s="922"/>
      <c r="HR178" s="922"/>
      <c r="HS178" s="922"/>
      <c r="HT178" s="922"/>
      <c r="HU178" s="922"/>
      <c r="HV178" s="922"/>
      <c r="HW178" s="922"/>
      <c r="HX178" s="922"/>
      <c r="HY178" s="922"/>
      <c r="HZ178" s="922"/>
      <c r="IA178" s="922"/>
      <c r="IB178" s="922"/>
      <c r="IC178" s="922"/>
      <c r="ID178" s="922"/>
      <c r="IE178" s="922"/>
      <c r="IF178" s="922"/>
      <c r="IG178" s="922"/>
      <c r="IH178" s="922"/>
      <c r="II178" s="922"/>
      <c r="IJ178" s="922"/>
      <c r="IK178" s="922"/>
      <c r="IL178" s="922"/>
      <c r="IM178" s="922"/>
      <c r="IN178" s="922"/>
      <c r="IO178" s="922"/>
      <c r="IP178" s="922"/>
      <c r="IQ178" s="922"/>
      <c r="IR178" s="922"/>
      <c r="IS178" s="922"/>
      <c r="IT178" s="922"/>
      <c r="IU178" s="922"/>
      <c r="IV178" s="922"/>
      <c r="IW178" s="922"/>
      <c r="IX178" s="922"/>
      <c r="IY178" s="922"/>
      <c r="IZ178" s="922"/>
      <c r="JA178" s="922"/>
      <c r="JB178" s="922"/>
      <c r="JC178" s="922"/>
      <c r="JD178" s="922"/>
      <c r="JE178" s="922"/>
      <c r="JF178" s="922"/>
      <c r="JG178" s="922"/>
      <c r="JH178" s="922"/>
      <c r="JI178" s="922"/>
      <c r="JJ178" s="922"/>
      <c r="JK178" s="922"/>
      <c r="JL178" s="922"/>
      <c r="JM178" s="922"/>
      <c r="JN178" s="922"/>
      <c r="JO178" s="922"/>
      <c r="JP178" s="922"/>
      <c r="JQ178" s="922"/>
      <c r="JR178" s="922"/>
      <c r="JS178" s="922"/>
      <c r="JT178" s="922"/>
      <c r="JU178" s="922"/>
      <c r="JV178" s="922"/>
      <c r="JW178" s="922"/>
      <c r="JX178" s="922"/>
      <c r="JY178" s="922"/>
      <c r="JZ178" s="922"/>
      <c r="KA178" s="922"/>
      <c r="KB178" s="922"/>
      <c r="KC178" s="922"/>
      <c r="KD178" s="922"/>
      <c r="KE178" s="922"/>
      <c r="KF178" s="922"/>
      <c r="KG178" s="922"/>
      <c r="KH178" s="922"/>
      <c r="KI178" s="922"/>
      <c r="KJ178" s="922"/>
      <c r="KK178" s="922"/>
      <c r="KL178" s="922"/>
      <c r="KM178" s="922"/>
      <c r="KN178" s="922"/>
      <c r="KO178" s="922"/>
      <c r="KP178" s="922"/>
      <c r="KQ178" s="922"/>
      <c r="KR178" s="922"/>
      <c r="KS178" s="922"/>
      <c r="KT178" s="922"/>
      <c r="KU178" s="922"/>
      <c r="KV178" s="922"/>
      <c r="KW178" s="922"/>
      <c r="KX178" s="922"/>
      <c r="KY178" s="922"/>
      <c r="KZ178" s="922"/>
      <c r="LA178" s="922"/>
      <c r="LB178" s="922"/>
      <c r="LC178" s="922"/>
      <c r="LD178" s="922"/>
      <c r="LE178" s="922"/>
      <c r="LF178" s="922"/>
      <c r="LG178" s="922"/>
      <c r="LH178" s="922"/>
      <c r="LI178" s="922"/>
      <c r="LJ178" s="922"/>
      <c r="LK178" s="922"/>
      <c r="LL178" s="922"/>
      <c r="LM178" s="922"/>
      <c r="LN178" s="922"/>
      <c r="LO178" s="922"/>
      <c r="LP178" s="922"/>
      <c r="LQ178" s="922"/>
      <c r="LR178" s="922"/>
      <c r="LS178" s="922"/>
      <c r="LT178" s="922"/>
      <c r="LU178" s="922"/>
      <c r="LV178" s="922"/>
      <c r="LW178" s="922"/>
      <c r="LX178" s="922"/>
      <c r="LY178" s="922"/>
      <c r="LZ178" s="922"/>
      <c r="MA178" s="922"/>
      <c r="MB178" s="922"/>
      <c r="MC178" s="922"/>
      <c r="MD178" s="922"/>
      <c r="ME178" s="922"/>
      <c r="MF178" s="922"/>
      <c r="MG178" s="922"/>
      <c r="MH178" s="922"/>
      <c r="MI178" s="922"/>
      <c r="MJ178" s="922"/>
      <c r="MK178" s="922"/>
      <c r="ML178" s="922"/>
      <c r="MM178" s="922"/>
      <c r="MN178" s="922"/>
      <c r="MO178" s="922"/>
      <c r="MP178" s="922"/>
      <c r="MQ178" s="922"/>
      <c r="MR178" s="922"/>
      <c r="MS178" s="922"/>
      <c r="MT178" s="922"/>
      <c r="MU178" s="922"/>
      <c r="MV178" s="922"/>
      <c r="MW178" s="922"/>
      <c r="MX178" s="922"/>
      <c r="MY178" s="922"/>
      <c r="MZ178" s="922"/>
      <c r="NA178" s="922"/>
      <c r="NB178" s="922"/>
      <c r="NC178" s="922"/>
      <c r="ND178" s="922"/>
      <c r="NE178" s="922"/>
      <c r="NF178" s="922"/>
      <c r="NG178" s="922"/>
      <c r="NH178" s="922"/>
      <c r="NI178" s="922"/>
      <c r="NJ178" s="922"/>
      <c r="NK178" s="922"/>
      <c r="NL178" s="922"/>
      <c r="NM178" s="922"/>
      <c r="NN178" s="922"/>
      <c r="NO178" s="922"/>
      <c r="NP178" s="922"/>
      <c r="NQ178" s="922"/>
      <c r="NR178" s="922"/>
      <c r="NS178" s="922"/>
      <c r="NT178" s="922"/>
      <c r="NU178" s="922"/>
      <c r="NV178" s="922"/>
      <c r="NW178" s="922"/>
      <c r="NX178" s="922"/>
      <c r="NY178" s="922"/>
      <c r="NZ178" s="922"/>
      <c r="OA178" s="922"/>
      <c r="OB178" s="922"/>
      <c r="OC178" s="922"/>
      <c r="OD178" s="922"/>
      <c r="OE178" s="922"/>
      <c r="OF178" s="922"/>
      <c r="OG178" s="922"/>
      <c r="OH178" s="922"/>
      <c r="OI178" s="922"/>
      <c r="OJ178" s="922"/>
      <c r="OK178" s="922"/>
      <c r="OL178" s="922"/>
      <c r="OM178" s="922"/>
      <c r="ON178" s="922"/>
      <c r="OO178" s="922"/>
      <c r="OP178" s="922"/>
      <c r="OQ178" s="922"/>
      <c r="OR178" s="922"/>
      <c r="OS178" s="922"/>
      <c r="OT178" s="922"/>
      <c r="OU178" s="922"/>
      <c r="OV178" s="922"/>
      <c r="OW178" s="922"/>
      <c r="OX178" s="922"/>
      <c r="OY178" s="922"/>
      <c r="OZ178" s="922"/>
      <c r="PA178" s="922"/>
      <c r="PB178" s="922"/>
      <c r="PC178" s="922"/>
      <c r="PD178" s="922"/>
      <c r="PE178" s="922"/>
      <c r="PF178" s="922"/>
      <c r="PG178" s="922"/>
      <c r="PH178" s="922"/>
      <c r="PI178" s="922"/>
      <c r="PJ178" s="922"/>
      <c r="PK178" s="922"/>
      <c r="PL178" s="922"/>
      <c r="PM178" s="922"/>
      <c r="PN178" s="922"/>
      <c r="PO178" s="922"/>
      <c r="PP178" s="922"/>
      <c r="PQ178" s="922"/>
      <c r="PR178" s="922"/>
      <c r="PS178" s="922"/>
      <c r="PT178" s="922"/>
      <c r="PU178" s="922"/>
      <c r="PV178" s="922"/>
      <c r="PW178" s="922"/>
      <c r="PX178" s="922"/>
      <c r="PY178" s="922"/>
      <c r="PZ178" s="922"/>
      <c r="QA178" s="922"/>
      <c r="QB178" s="922"/>
      <c r="QC178" s="922"/>
      <c r="QD178" s="922"/>
      <c r="QE178" s="922"/>
      <c r="QF178" s="922"/>
      <c r="QG178" s="922"/>
      <c r="QH178" s="922"/>
      <c r="QI178" s="922"/>
      <c r="QJ178" s="922"/>
      <c r="QK178" s="922"/>
      <c r="QL178" s="922"/>
      <c r="QM178" s="922"/>
      <c r="QN178" s="922"/>
      <c r="QO178" s="922"/>
      <c r="QP178" s="922"/>
      <c r="QQ178" s="922"/>
      <c r="QR178" s="922"/>
      <c r="QS178" s="922"/>
      <c r="QT178" s="922"/>
      <c r="QU178" s="922"/>
      <c r="QV178" s="922"/>
      <c r="QW178" s="922"/>
      <c r="QX178" s="922"/>
      <c r="QY178" s="922"/>
      <c r="QZ178" s="922"/>
      <c r="RA178" s="922"/>
      <c r="RB178" s="922"/>
      <c r="RC178" s="922"/>
      <c r="RD178" s="922"/>
      <c r="RE178" s="922"/>
      <c r="RF178" s="922"/>
      <c r="RG178" s="922"/>
      <c r="RH178" s="922"/>
      <c r="RI178" s="922"/>
      <c r="RJ178" s="922"/>
      <c r="RK178" s="922"/>
      <c r="RL178" s="922"/>
      <c r="RM178" s="922"/>
      <c r="RN178" s="922"/>
      <c r="RO178" s="922"/>
      <c r="RP178" s="922"/>
      <c r="RQ178" s="922"/>
      <c r="RR178" s="922"/>
      <c r="RS178" s="922"/>
      <c r="RT178" s="922"/>
      <c r="RU178" s="922"/>
      <c r="RV178" s="922"/>
      <c r="RW178" s="922"/>
      <c r="RX178" s="922"/>
      <c r="RY178" s="922"/>
      <c r="RZ178" s="922"/>
      <c r="SA178" s="922"/>
      <c r="SB178" s="922"/>
      <c r="SC178" s="922"/>
      <c r="SD178" s="922"/>
      <c r="SE178" s="922"/>
      <c r="SF178" s="922"/>
      <c r="SG178" s="922"/>
      <c r="SH178" s="922"/>
      <c r="SI178" s="922"/>
      <c r="SJ178" s="922"/>
      <c r="SK178" s="922"/>
      <c r="SL178" s="922"/>
      <c r="SM178" s="922"/>
      <c r="SN178" s="922"/>
      <c r="SO178" s="922"/>
      <c r="SP178" s="922"/>
      <c r="SQ178" s="922"/>
      <c r="SR178" s="922"/>
      <c r="SS178" s="922"/>
      <c r="ST178" s="922"/>
      <c r="SU178" s="922"/>
      <c r="SV178" s="922"/>
      <c r="SW178" s="922"/>
      <c r="SX178" s="922"/>
      <c r="SY178" s="922"/>
      <c r="SZ178" s="922"/>
      <c r="TA178" s="922"/>
      <c r="TB178" s="922"/>
      <c r="TC178" s="922"/>
      <c r="TD178" s="922"/>
      <c r="TE178" s="922"/>
      <c r="TF178" s="922"/>
      <c r="TG178" s="922"/>
      <c r="TH178" s="922"/>
      <c r="TI178" s="922"/>
      <c r="TJ178" s="922"/>
      <c r="TK178" s="922"/>
      <c r="TL178" s="922"/>
      <c r="TM178" s="922"/>
      <c r="TN178" s="922"/>
      <c r="TO178" s="922"/>
      <c r="TP178" s="922"/>
      <c r="TQ178" s="922"/>
      <c r="TR178" s="922"/>
      <c r="TS178" s="922"/>
      <c r="TT178" s="922"/>
      <c r="TU178" s="922"/>
      <c r="TV178" s="922"/>
      <c r="TW178" s="922"/>
      <c r="TX178" s="922"/>
      <c r="TY178" s="922"/>
      <c r="TZ178" s="922"/>
      <c r="UA178" s="922"/>
      <c r="UB178" s="922"/>
      <c r="UC178" s="922"/>
      <c r="UD178" s="922"/>
      <c r="UE178" s="922"/>
      <c r="UF178" s="922"/>
      <c r="UG178" s="922"/>
      <c r="UH178" s="922"/>
      <c r="UI178" s="922"/>
      <c r="UJ178" s="922"/>
      <c r="UK178" s="922"/>
      <c r="UL178" s="922"/>
      <c r="UM178" s="922"/>
      <c r="UN178" s="922"/>
      <c r="UO178" s="922"/>
      <c r="UP178" s="922"/>
      <c r="UQ178" s="922"/>
      <c r="UR178" s="922"/>
      <c r="US178" s="922"/>
      <c r="UT178" s="922"/>
      <c r="UU178" s="922"/>
      <c r="UV178" s="922"/>
      <c r="UW178" s="922"/>
      <c r="UX178" s="922"/>
      <c r="UY178" s="922"/>
      <c r="UZ178" s="922"/>
      <c r="VA178" s="922"/>
      <c r="VB178" s="922"/>
      <c r="VC178" s="922"/>
      <c r="VD178" s="922"/>
      <c r="VE178" s="922"/>
      <c r="VF178" s="922"/>
      <c r="VG178" s="922"/>
      <c r="VH178" s="922"/>
      <c r="VI178" s="922"/>
      <c r="VJ178" s="922"/>
      <c r="VK178" s="922"/>
      <c r="VL178" s="922"/>
      <c r="VM178" s="922"/>
      <c r="VN178" s="922"/>
      <c r="VO178" s="922"/>
      <c r="VP178" s="922"/>
      <c r="VQ178" s="922"/>
      <c r="VR178" s="922"/>
      <c r="VS178" s="922"/>
      <c r="VT178" s="922"/>
      <c r="VU178" s="922"/>
      <c r="VV178" s="922"/>
      <c r="VW178" s="922"/>
      <c r="VX178" s="922"/>
      <c r="VY178" s="922"/>
      <c r="VZ178" s="922"/>
      <c r="WA178" s="922"/>
      <c r="WB178" s="922"/>
      <c r="WC178" s="922"/>
      <c r="WD178" s="922"/>
      <c r="WE178" s="922"/>
      <c r="WF178" s="922"/>
      <c r="WG178" s="922"/>
      <c r="WH178" s="922"/>
      <c r="WI178" s="922"/>
      <c r="WJ178" s="922"/>
      <c r="WK178" s="922"/>
      <c r="WL178" s="922"/>
      <c r="WM178" s="922"/>
      <c r="WN178" s="922"/>
      <c r="WO178" s="922"/>
      <c r="WP178" s="922"/>
      <c r="WQ178" s="922"/>
      <c r="WR178" s="922"/>
      <c r="WS178" s="922"/>
      <c r="WT178" s="922"/>
      <c r="WU178" s="922"/>
      <c r="WV178" s="922"/>
      <c r="WW178" s="922"/>
      <c r="WX178" s="922"/>
      <c r="WY178" s="922"/>
      <c r="WZ178" s="922"/>
      <c r="XA178" s="922"/>
      <c r="XB178" s="922"/>
      <c r="XC178" s="922"/>
      <c r="XD178" s="922"/>
      <c r="XE178" s="922"/>
      <c r="XF178" s="922"/>
      <c r="XG178" s="922"/>
      <c r="XH178" s="922"/>
      <c r="XI178" s="922"/>
      <c r="XJ178" s="922"/>
      <c r="XK178" s="922"/>
      <c r="XL178" s="922"/>
      <c r="XM178" s="922"/>
      <c r="XN178" s="922"/>
      <c r="XO178" s="922"/>
      <c r="XP178" s="922"/>
      <c r="XQ178" s="922"/>
      <c r="XR178" s="922"/>
      <c r="XS178" s="922"/>
      <c r="XT178" s="922"/>
      <c r="XU178" s="922"/>
      <c r="XV178" s="922"/>
      <c r="XW178" s="922"/>
      <c r="XX178" s="922"/>
      <c r="XY178" s="922"/>
      <c r="XZ178" s="922"/>
      <c r="YA178" s="922"/>
      <c r="YB178" s="922"/>
      <c r="YC178" s="922"/>
      <c r="YD178" s="922"/>
      <c r="YE178" s="922"/>
      <c r="YF178" s="922"/>
      <c r="YG178" s="922"/>
      <c r="YH178" s="922"/>
      <c r="YI178" s="922"/>
      <c r="YJ178" s="922"/>
      <c r="YK178" s="922"/>
      <c r="YL178" s="922"/>
      <c r="YM178" s="922"/>
      <c r="YN178" s="922"/>
      <c r="YO178" s="922"/>
      <c r="YP178" s="922"/>
      <c r="YQ178" s="922"/>
      <c r="YR178" s="922"/>
      <c r="YS178" s="922"/>
      <c r="YT178" s="922"/>
      <c r="YU178" s="922"/>
      <c r="YV178" s="922"/>
      <c r="YW178" s="922"/>
      <c r="YX178" s="922"/>
      <c r="YY178" s="922"/>
      <c r="YZ178" s="922"/>
      <c r="ZA178" s="922"/>
      <c r="ZB178" s="922"/>
      <c r="ZC178" s="922"/>
      <c r="ZD178" s="922"/>
      <c r="ZE178" s="922"/>
      <c r="ZF178" s="922"/>
      <c r="ZG178" s="922"/>
      <c r="ZH178" s="922"/>
      <c r="ZI178" s="922"/>
      <c r="ZJ178" s="922"/>
      <c r="ZK178" s="922"/>
      <c r="ZL178" s="922"/>
      <c r="ZM178" s="922"/>
      <c r="ZN178" s="922"/>
      <c r="ZO178" s="922"/>
      <c r="ZP178" s="922"/>
      <c r="ZQ178" s="922"/>
      <c r="ZR178" s="922"/>
      <c r="ZS178" s="922"/>
      <c r="ZT178" s="922"/>
      <c r="ZU178" s="922"/>
      <c r="ZV178" s="922"/>
      <c r="ZW178" s="922"/>
      <c r="ZX178" s="922"/>
      <c r="ZY178" s="922"/>
      <c r="ZZ178" s="922"/>
      <c r="AAA178" s="922"/>
      <c r="AAB178" s="922"/>
      <c r="AAC178" s="922"/>
      <c r="AAD178" s="922"/>
      <c r="AAE178" s="922"/>
      <c r="AAF178" s="922"/>
      <c r="AAG178" s="922"/>
      <c r="AAH178" s="922"/>
      <c r="AAI178" s="922"/>
      <c r="AAJ178" s="922"/>
      <c r="AAK178" s="922"/>
      <c r="AAL178" s="922"/>
      <c r="AAM178" s="922"/>
      <c r="AAN178" s="922"/>
      <c r="AAO178" s="922"/>
      <c r="AAP178" s="922"/>
      <c r="AAQ178" s="922"/>
      <c r="AAR178" s="922"/>
      <c r="AAS178" s="922"/>
      <c r="AAT178" s="922"/>
      <c r="AAU178" s="922"/>
      <c r="AAV178" s="922"/>
      <c r="AAW178" s="922"/>
      <c r="AAX178" s="922"/>
      <c r="AAY178" s="922"/>
      <c r="AAZ178" s="922"/>
      <c r="ABA178" s="922"/>
      <c r="ABB178" s="922"/>
      <c r="ABC178" s="922"/>
      <c r="ABD178" s="922"/>
      <c r="ABE178" s="922"/>
      <c r="ABF178" s="922"/>
      <c r="ABG178" s="922"/>
      <c r="ABH178" s="922"/>
      <c r="ABI178" s="922"/>
      <c r="ABJ178" s="922"/>
      <c r="ABK178" s="922"/>
      <c r="ABL178" s="922"/>
      <c r="ABM178" s="922"/>
      <c r="ABN178" s="922"/>
      <c r="ABO178" s="922"/>
      <c r="ABP178" s="922"/>
      <c r="ABQ178" s="922"/>
      <c r="ABR178" s="922"/>
      <c r="ABS178" s="922"/>
      <c r="ABT178" s="922"/>
      <c r="ABU178" s="922"/>
      <c r="ABV178" s="922"/>
      <c r="ABW178" s="922"/>
      <c r="ABX178" s="922"/>
      <c r="ABY178" s="922"/>
      <c r="ABZ178" s="922"/>
      <c r="ACA178" s="922"/>
      <c r="ACB178" s="922"/>
      <c r="ACC178" s="922"/>
      <c r="ACD178" s="922"/>
      <c r="ACE178" s="922"/>
      <c r="ACF178" s="922"/>
      <c r="ACG178" s="922"/>
      <c r="ACH178" s="922"/>
      <c r="ACI178" s="922"/>
      <c r="ACJ178" s="922"/>
      <c r="ACK178" s="922"/>
      <c r="ACL178" s="922"/>
      <c r="ACM178" s="922"/>
      <c r="ACN178" s="922"/>
      <c r="ACO178" s="922"/>
      <c r="ACP178" s="922"/>
      <c r="ACQ178" s="922"/>
      <c r="ACR178" s="922"/>
      <c r="ACS178" s="922"/>
      <c r="ACT178" s="922"/>
      <c r="ACU178" s="922"/>
      <c r="ACV178" s="922"/>
      <c r="ACW178" s="922"/>
      <c r="ACX178" s="922"/>
      <c r="ACY178" s="922"/>
      <c r="ACZ178" s="922"/>
      <c r="ADA178" s="922"/>
      <c r="ADB178" s="922"/>
      <c r="ADC178" s="922"/>
      <c r="ADD178" s="922"/>
      <c r="ADE178" s="922"/>
      <c r="ADF178" s="922"/>
      <c r="ADG178" s="922"/>
      <c r="ADH178" s="922"/>
      <c r="ADI178" s="922"/>
      <c r="ADJ178" s="922"/>
      <c r="ADK178" s="922"/>
      <c r="ADL178" s="922"/>
      <c r="ADM178" s="922"/>
      <c r="ADN178" s="922"/>
      <c r="ADO178" s="922"/>
      <c r="ADP178" s="922"/>
      <c r="ADQ178" s="922"/>
      <c r="ADR178" s="922"/>
      <c r="ADS178" s="922"/>
      <c r="ADT178" s="922"/>
      <c r="ADU178" s="922"/>
      <c r="ADV178" s="922"/>
      <c r="ADW178" s="922"/>
      <c r="ADX178" s="922"/>
      <c r="ADY178" s="922"/>
      <c r="ADZ178" s="922"/>
      <c r="AEA178" s="922"/>
      <c r="AEB178" s="922"/>
      <c r="AEC178" s="922"/>
      <c r="AED178" s="922"/>
      <c r="AEE178" s="922"/>
      <c r="AEF178" s="922"/>
      <c r="AEG178" s="922"/>
      <c r="AEH178" s="922"/>
      <c r="AEI178" s="922"/>
      <c r="AEJ178" s="922"/>
      <c r="AEK178" s="922"/>
      <c r="AEL178" s="922"/>
      <c r="AEM178" s="922"/>
      <c r="AEN178" s="922"/>
      <c r="AEO178" s="922"/>
      <c r="AEP178" s="922"/>
      <c r="AEQ178" s="922"/>
      <c r="AER178" s="922"/>
      <c r="AES178" s="922"/>
      <c r="AET178" s="922"/>
      <c r="AEU178" s="922"/>
      <c r="AEV178" s="922"/>
      <c r="AEW178" s="922"/>
      <c r="AEX178" s="922"/>
      <c r="AEY178" s="922"/>
      <c r="AEZ178" s="922"/>
      <c r="AFA178" s="922"/>
      <c r="AFB178" s="922"/>
      <c r="AFC178" s="922"/>
      <c r="AFD178" s="922"/>
      <c r="AFE178" s="922"/>
      <c r="AFF178" s="922"/>
      <c r="AFG178" s="922"/>
      <c r="AFH178" s="922"/>
      <c r="AFI178" s="922"/>
      <c r="AFJ178" s="922"/>
      <c r="AFK178" s="922"/>
      <c r="AFL178" s="922"/>
      <c r="AFM178" s="922"/>
      <c r="AFN178" s="922"/>
      <c r="AFO178" s="922"/>
      <c r="AFP178" s="922"/>
      <c r="AFQ178" s="922"/>
      <c r="AFR178" s="922"/>
      <c r="AFS178" s="922"/>
      <c r="AFT178" s="922"/>
      <c r="AFU178" s="922"/>
      <c r="AFV178" s="922"/>
      <c r="AFW178" s="922"/>
      <c r="AFX178" s="922"/>
      <c r="AFY178" s="922"/>
      <c r="AFZ178" s="922"/>
      <c r="AGA178" s="922"/>
      <c r="AGB178" s="922"/>
      <c r="AGC178" s="922"/>
      <c r="AGD178" s="922"/>
      <c r="AGE178" s="922"/>
      <c r="AGF178" s="922"/>
      <c r="AGG178" s="922"/>
      <c r="AGH178" s="922"/>
      <c r="AGI178" s="922"/>
      <c r="AGJ178" s="922"/>
      <c r="AGK178" s="922"/>
      <c r="AGL178" s="922"/>
      <c r="AGM178" s="922"/>
      <c r="AGN178" s="922"/>
      <c r="AGO178" s="922"/>
      <c r="AGP178" s="922"/>
      <c r="AGQ178" s="922"/>
      <c r="AGR178" s="922"/>
      <c r="AGS178" s="922"/>
      <c r="AGT178" s="922"/>
      <c r="AGU178" s="922"/>
      <c r="AGV178" s="922"/>
      <c r="AGW178" s="922"/>
      <c r="AGX178" s="922"/>
      <c r="AGY178" s="922"/>
      <c r="AGZ178" s="922"/>
      <c r="AHA178" s="922"/>
      <c r="AHB178" s="922"/>
      <c r="AHC178" s="922"/>
      <c r="AHD178" s="922"/>
      <c r="AHE178" s="922"/>
      <c r="AHF178" s="922"/>
      <c r="AHG178" s="922"/>
      <c r="AHH178" s="922"/>
      <c r="AHI178" s="922"/>
      <c r="AHJ178" s="922"/>
      <c r="AHK178" s="922"/>
      <c r="AHL178" s="922"/>
      <c r="AHM178" s="922"/>
      <c r="AHN178" s="922"/>
      <c r="AHO178" s="922"/>
      <c r="AHP178" s="922"/>
      <c r="AHQ178" s="922"/>
      <c r="AHR178" s="922"/>
      <c r="AHS178" s="922"/>
      <c r="AHT178" s="922"/>
      <c r="AHU178" s="922"/>
      <c r="AHV178" s="922"/>
      <c r="AHW178" s="922"/>
      <c r="AHX178" s="922"/>
      <c r="AHY178" s="922"/>
      <c r="AHZ178" s="922"/>
      <c r="AIA178" s="922"/>
      <c r="AIB178" s="922"/>
      <c r="AIC178" s="922"/>
      <c r="AID178" s="922"/>
      <c r="AIE178" s="922"/>
      <c r="AIF178" s="922"/>
      <c r="AIG178" s="922"/>
      <c r="AIH178" s="922"/>
      <c r="AII178" s="922"/>
      <c r="AIJ178" s="922"/>
      <c r="AIK178" s="922"/>
      <c r="AIL178" s="922"/>
      <c r="AIM178" s="922"/>
      <c r="AIN178" s="922"/>
      <c r="AIO178" s="922"/>
      <c r="AIP178" s="922"/>
      <c r="AIQ178" s="922"/>
      <c r="AIR178" s="922"/>
      <c r="AIS178" s="922"/>
      <c r="AIT178" s="922"/>
      <c r="AIU178" s="922"/>
      <c r="AIV178" s="922"/>
      <c r="AIW178" s="922"/>
      <c r="AIX178" s="922"/>
      <c r="AIY178" s="922"/>
      <c r="AIZ178" s="922"/>
      <c r="AJA178" s="922"/>
      <c r="AJB178" s="922"/>
      <c r="AJC178" s="922"/>
      <c r="AJD178" s="922"/>
      <c r="AJE178" s="922"/>
      <c r="AJF178" s="922"/>
      <c r="AJG178" s="922"/>
      <c r="AJH178" s="922"/>
      <c r="AJI178" s="922"/>
      <c r="AJJ178" s="922"/>
      <c r="AJK178" s="922"/>
      <c r="AJL178" s="922"/>
      <c r="AJM178" s="922"/>
      <c r="AJN178" s="922"/>
      <c r="AJO178" s="922"/>
      <c r="AJP178" s="922"/>
      <c r="AJQ178" s="922"/>
      <c r="AJR178" s="922"/>
      <c r="AJS178" s="922"/>
      <c r="AJT178" s="922"/>
      <c r="AJU178" s="922"/>
      <c r="AJV178" s="922"/>
      <c r="AJW178" s="922"/>
      <c r="AJX178" s="922"/>
      <c r="AJY178" s="922"/>
      <c r="AJZ178" s="922"/>
      <c r="AKA178" s="922"/>
      <c r="AKB178" s="922"/>
      <c r="AKC178" s="922"/>
      <c r="AKD178" s="922"/>
      <c r="AKE178" s="922"/>
      <c r="AKF178" s="922"/>
      <c r="AKG178" s="922"/>
      <c r="AKH178" s="922"/>
      <c r="AKI178" s="922"/>
      <c r="AKJ178" s="922"/>
      <c r="AKK178" s="922"/>
      <c r="AKL178" s="922"/>
      <c r="AKM178" s="922"/>
      <c r="AKN178" s="922"/>
      <c r="AKO178" s="922"/>
      <c r="AKP178" s="922"/>
      <c r="AKQ178" s="922"/>
      <c r="AKR178" s="922"/>
      <c r="AKS178" s="922"/>
      <c r="AKT178" s="922"/>
      <c r="AKU178" s="922"/>
      <c r="AKV178" s="922"/>
      <c r="AKW178" s="922"/>
      <c r="AKX178" s="922"/>
      <c r="AKY178" s="922"/>
      <c r="AKZ178" s="922"/>
      <c r="ALA178" s="922"/>
      <c r="ALB178" s="922"/>
      <c r="ALC178" s="922"/>
      <c r="ALD178" s="922"/>
      <c r="ALE178" s="922"/>
      <c r="ALF178" s="922"/>
      <c r="ALG178" s="922"/>
      <c r="ALH178" s="922"/>
      <c r="ALI178" s="922"/>
      <c r="ALJ178" s="922"/>
      <c r="ALK178" s="922"/>
      <c r="ALL178" s="922"/>
      <c r="ALM178" s="922"/>
      <c r="ALN178" s="922"/>
      <c r="ALO178" s="922"/>
      <c r="ALP178" s="922"/>
      <c r="ALQ178" s="922"/>
      <c r="ALR178" s="922"/>
      <c r="ALS178" s="922"/>
      <c r="ALT178" s="922"/>
      <c r="ALU178" s="922"/>
      <c r="ALV178" s="922"/>
      <c r="ALW178" s="922"/>
      <c r="ALX178" s="922"/>
      <c r="ALY178" s="922"/>
      <c r="ALZ178" s="922"/>
      <c r="AMA178" s="922"/>
      <c r="AMB178" s="922"/>
      <c r="AMC178" s="922"/>
      <c r="AMD178" s="922"/>
      <c r="AME178" s="922"/>
      <c r="AMF178" s="922"/>
      <c r="AMG178" s="922"/>
      <c r="AMH178" s="922"/>
      <c r="AMI178" s="922"/>
      <c r="AMJ178" s="922"/>
      <c r="AMK178" s="922"/>
      <c r="AML178" s="922"/>
      <c r="AMM178" s="922"/>
      <c r="AMN178" s="922"/>
      <c r="AMO178" s="922"/>
      <c r="AMP178" s="922"/>
      <c r="AMQ178" s="922"/>
      <c r="AMR178" s="922"/>
      <c r="AMS178" s="922"/>
      <c r="AMT178" s="922"/>
      <c r="AMU178" s="922"/>
      <c r="AMV178" s="922"/>
      <c r="AMW178" s="922"/>
      <c r="AMX178" s="922"/>
      <c r="AMY178" s="922"/>
      <c r="AMZ178" s="922"/>
      <c r="ANA178" s="922"/>
      <c r="ANB178" s="922"/>
      <c r="ANC178" s="922"/>
      <c r="AND178" s="922"/>
      <c r="ANE178" s="922"/>
      <c r="ANF178" s="922"/>
      <c r="ANG178" s="922"/>
      <c r="ANH178" s="922"/>
      <c r="ANI178" s="922"/>
      <c r="ANJ178" s="922"/>
      <c r="ANK178" s="922"/>
      <c r="ANL178" s="922"/>
      <c r="ANM178" s="922"/>
      <c r="ANN178" s="922"/>
      <c r="ANO178" s="922"/>
      <c r="ANP178" s="922"/>
      <c r="ANQ178" s="922"/>
      <c r="ANR178" s="922"/>
      <c r="ANS178" s="922"/>
      <c r="ANT178" s="922"/>
      <c r="ANU178" s="922"/>
      <c r="ANV178" s="922"/>
      <c r="ANW178" s="922"/>
      <c r="ANX178" s="922"/>
      <c r="ANY178" s="922"/>
      <c r="ANZ178" s="922"/>
      <c r="AOA178" s="922"/>
      <c r="AOB178" s="922"/>
      <c r="AOC178" s="922"/>
      <c r="AOD178" s="922"/>
      <c r="AOE178" s="922"/>
      <c r="AOF178" s="922"/>
      <c r="AOG178" s="922"/>
      <c r="AOH178" s="922"/>
      <c r="AOI178" s="922"/>
      <c r="AOJ178" s="922"/>
      <c r="AOK178" s="922"/>
      <c r="AOL178" s="922"/>
      <c r="AOM178" s="922"/>
      <c r="AON178" s="922"/>
      <c r="AOO178" s="922"/>
      <c r="AOP178" s="922"/>
      <c r="AOQ178" s="922"/>
      <c r="AOR178" s="922"/>
      <c r="AOS178" s="922"/>
      <c r="AOT178" s="922"/>
      <c r="AOU178" s="922"/>
      <c r="AOV178" s="922"/>
      <c r="AOW178" s="922"/>
      <c r="AOX178" s="922"/>
      <c r="AOY178" s="922"/>
      <c r="AOZ178" s="922"/>
      <c r="APA178" s="922"/>
      <c r="APB178" s="922"/>
      <c r="APC178" s="922"/>
      <c r="APD178" s="922"/>
      <c r="APE178" s="922"/>
      <c r="APF178" s="922"/>
      <c r="APG178" s="922"/>
      <c r="APH178" s="922"/>
      <c r="API178" s="922"/>
      <c r="APJ178" s="922"/>
      <c r="APK178" s="922"/>
      <c r="APL178" s="922"/>
      <c r="APM178" s="922"/>
      <c r="APN178" s="922"/>
      <c r="APO178" s="922"/>
      <c r="APP178" s="922"/>
      <c r="APQ178" s="922"/>
      <c r="APR178" s="922"/>
      <c r="APS178" s="922"/>
      <c r="APT178" s="922"/>
      <c r="APU178" s="922"/>
      <c r="APV178" s="922"/>
      <c r="APW178" s="922"/>
      <c r="APX178" s="922"/>
      <c r="APY178" s="922"/>
      <c r="APZ178" s="922"/>
      <c r="AQA178" s="922"/>
      <c r="AQB178" s="922"/>
      <c r="AQC178" s="922"/>
      <c r="AQD178" s="922"/>
      <c r="AQE178" s="922"/>
      <c r="AQF178" s="922"/>
      <c r="AQG178" s="922"/>
      <c r="AQH178" s="922"/>
      <c r="AQI178" s="922"/>
      <c r="AQJ178" s="922"/>
      <c r="AQK178" s="922"/>
      <c r="AQL178" s="922"/>
      <c r="AQM178" s="922"/>
      <c r="AQN178" s="922"/>
      <c r="AQO178" s="922"/>
      <c r="AQP178" s="922"/>
      <c r="AQQ178" s="922"/>
      <c r="AQR178" s="922"/>
      <c r="AQS178" s="922"/>
      <c r="AQT178" s="922"/>
      <c r="AQU178" s="922"/>
      <c r="AQV178" s="922"/>
      <c r="AQW178" s="922"/>
      <c r="AQX178" s="922"/>
      <c r="AQY178" s="922"/>
      <c r="AQZ178" s="922"/>
      <c r="ARA178" s="922"/>
      <c r="ARB178" s="922"/>
      <c r="ARC178" s="922"/>
      <c r="ARD178" s="922"/>
      <c r="ARE178" s="922"/>
      <c r="ARF178" s="922"/>
      <c r="ARG178" s="922"/>
      <c r="ARH178" s="922"/>
      <c r="ARI178" s="922"/>
      <c r="ARJ178" s="922"/>
      <c r="ARK178" s="922"/>
      <c r="ARL178" s="922"/>
      <c r="ARM178" s="922"/>
      <c r="ARN178" s="922"/>
      <c r="ARO178" s="922"/>
      <c r="ARP178" s="922"/>
      <c r="ARQ178" s="922"/>
      <c r="ARR178" s="922"/>
      <c r="ARS178" s="922"/>
      <c r="ART178" s="922"/>
      <c r="ARU178" s="922"/>
      <c r="ARV178" s="922"/>
      <c r="ARW178" s="922"/>
      <c r="ARX178" s="922"/>
      <c r="ARY178" s="922"/>
      <c r="ARZ178" s="922"/>
      <c r="ASA178" s="922"/>
      <c r="ASB178" s="922"/>
      <c r="ASC178" s="922"/>
    </row>
    <row r="179" spans="1:1173" hidden="1">
      <c r="T179" s="922"/>
      <c r="AN179" s="922"/>
      <c r="AO179" s="922"/>
      <c r="AP179" s="922"/>
      <c r="AQ179" s="922"/>
      <c r="AR179" s="922"/>
      <c r="AS179" s="922"/>
      <c r="AT179" s="922"/>
      <c r="AU179" s="922"/>
      <c r="AV179" s="922"/>
      <c r="AW179" s="922"/>
      <c r="AX179" s="922"/>
      <c r="AY179" s="922"/>
      <c r="AZ179" s="922"/>
      <c r="BA179" s="922"/>
      <c r="BB179" s="922"/>
      <c r="BC179" s="922"/>
      <c r="BD179" s="922"/>
      <c r="BE179" s="922"/>
      <c r="BF179" s="922"/>
      <c r="BG179" s="922"/>
      <c r="BH179" s="922"/>
      <c r="BI179" s="922"/>
      <c r="BJ179" s="922"/>
      <c r="BK179" s="922"/>
      <c r="BL179" s="922"/>
      <c r="BM179" s="922"/>
      <c r="BN179" s="922"/>
      <c r="BO179" s="922"/>
      <c r="BP179" s="922"/>
      <c r="BQ179" s="922"/>
      <c r="BR179" s="922"/>
      <c r="BS179" s="922"/>
      <c r="BT179" s="922"/>
      <c r="BU179" s="922"/>
      <c r="BV179" s="922"/>
      <c r="BW179" s="922"/>
      <c r="BX179" s="922"/>
      <c r="BY179" s="922"/>
      <c r="BZ179" s="922"/>
      <c r="CA179" s="922"/>
      <c r="CB179" s="922"/>
      <c r="CC179" s="922"/>
      <c r="CD179" s="922"/>
      <c r="CE179" s="922"/>
      <c r="CF179" s="922"/>
      <c r="CG179" s="922"/>
      <c r="CH179" s="922"/>
      <c r="CI179" s="922"/>
      <c r="CJ179" s="922"/>
      <c r="CK179" s="922"/>
      <c r="CL179" s="922"/>
      <c r="CM179" s="922"/>
      <c r="CN179" s="922"/>
      <c r="CO179" s="922"/>
      <c r="CP179" s="922"/>
      <c r="CQ179" s="922"/>
      <c r="CR179" s="922"/>
      <c r="CS179" s="922"/>
      <c r="CT179" s="922"/>
      <c r="CU179" s="922"/>
      <c r="CV179" s="922"/>
      <c r="CW179" s="922"/>
      <c r="CX179" s="922"/>
      <c r="CY179" s="922"/>
      <c r="CZ179" s="922"/>
      <c r="DA179" s="922"/>
      <c r="DB179" s="922"/>
      <c r="DC179" s="922"/>
      <c r="DD179" s="922"/>
      <c r="DE179" s="922"/>
      <c r="DF179" s="922"/>
      <c r="DG179" s="922"/>
      <c r="DH179" s="922"/>
      <c r="DI179" s="922"/>
      <c r="DJ179" s="922"/>
      <c r="DK179" s="922"/>
      <c r="DL179" s="922"/>
      <c r="DM179" s="922"/>
      <c r="DN179" s="922"/>
      <c r="DO179" s="922"/>
      <c r="DP179" s="922"/>
      <c r="DQ179" s="922"/>
      <c r="DR179" s="922"/>
      <c r="DS179" s="922"/>
      <c r="DT179" s="922"/>
      <c r="DU179" s="922"/>
      <c r="DV179" s="922"/>
      <c r="DW179" s="922"/>
      <c r="DX179" s="922"/>
      <c r="DY179" s="922"/>
      <c r="DZ179" s="922"/>
      <c r="EA179" s="922"/>
      <c r="EB179" s="922"/>
      <c r="EC179" s="922"/>
      <c r="ED179" s="922"/>
      <c r="EE179" s="922"/>
      <c r="EF179" s="922"/>
      <c r="EG179" s="922"/>
      <c r="EH179" s="922"/>
      <c r="EI179" s="922"/>
      <c r="EJ179" s="922"/>
      <c r="EK179" s="922"/>
      <c r="EL179" s="922"/>
      <c r="EM179" s="922"/>
      <c r="EN179" s="922"/>
      <c r="EO179" s="922"/>
      <c r="EP179" s="922"/>
      <c r="EQ179" s="922"/>
      <c r="ER179" s="922"/>
      <c r="ES179" s="922"/>
      <c r="ET179" s="922"/>
      <c r="EU179" s="922"/>
      <c r="EV179" s="922"/>
      <c r="EW179" s="922"/>
      <c r="EX179" s="922"/>
      <c r="EY179" s="922"/>
      <c r="EZ179" s="922"/>
      <c r="FA179" s="922"/>
      <c r="FB179" s="922"/>
      <c r="FC179" s="922"/>
      <c r="FD179" s="922"/>
      <c r="FE179" s="922"/>
      <c r="FF179" s="922"/>
      <c r="FG179" s="922"/>
      <c r="FH179" s="922"/>
      <c r="FI179" s="922"/>
      <c r="FJ179" s="922"/>
      <c r="FK179" s="922"/>
      <c r="FL179" s="922"/>
      <c r="FM179" s="922"/>
      <c r="FN179" s="922"/>
      <c r="FO179" s="922"/>
      <c r="FP179" s="922"/>
      <c r="FQ179" s="922"/>
      <c r="FR179" s="922"/>
      <c r="FS179" s="922"/>
      <c r="FT179" s="922"/>
      <c r="FU179" s="922"/>
      <c r="FV179" s="922"/>
      <c r="FW179" s="922"/>
      <c r="FX179" s="922"/>
      <c r="FY179" s="922"/>
      <c r="FZ179" s="922"/>
      <c r="GA179" s="922"/>
      <c r="GB179" s="922"/>
      <c r="GC179" s="922"/>
      <c r="GD179" s="922"/>
      <c r="GE179" s="922"/>
      <c r="GF179" s="922"/>
      <c r="GG179" s="922"/>
      <c r="GH179" s="922"/>
      <c r="GI179" s="922"/>
      <c r="GJ179" s="922"/>
      <c r="GK179" s="922"/>
      <c r="GL179" s="922"/>
      <c r="GM179" s="922"/>
      <c r="GN179" s="922"/>
      <c r="GO179" s="922"/>
      <c r="GP179" s="922"/>
      <c r="GQ179" s="922"/>
      <c r="GR179" s="922"/>
      <c r="GS179" s="922"/>
      <c r="GT179" s="922"/>
      <c r="GU179" s="922"/>
      <c r="GV179" s="922"/>
      <c r="GW179" s="922"/>
      <c r="GX179" s="922"/>
      <c r="GY179" s="922"/>
      <c r="GZ179" s="922"/>
      <c r="HA179" s="922"/>
      <c r="HB179" s="922"/>
      <c r="HC179" s="922"/>
      <c r="HD179" s="922"/>
      <c r="HE179" s="922"/>
      <c r="HF179" s="922"/>
      <c r="HG179" s="922"/>
      <c r="HH179" s="922"/>
      <c r="HI179" s="922"/>
      <c r="HJ179" s="922"/>
      <c r="HK179" s="922"/>
      <c r="HL179" s="922"/>
      <c r="HM179" s="922"/>
      <c r="HN179" s="922"/>
      <c r="HO179" s="922"/>
      <c r="HP179" s="922"/>
      <c r="HQ179" s="922"/>
      <c r="HR179" s="922"/>
      <c r="HS179" s="922"/>
      <c r="HT179" s="922"/>
      <c r="HU179" s="922"/>
      <c r="HV179" s="922"/>
      <c r="HW179" s="922"/>
      <c r="HX179" s="922"/>
      <c r="HY179" s="922"/>
      <c r="HZ179" s="922"/>
      <c r="IA179" s="922"/>
      <c r="IB179" s="922"/>
      <c r="IC179" s="922"/>
      <c r="ID179" s="922"/>
      <c r="IE179" s="922"/>
      <c r="IF179" s="922"/>
      <c r="IG179" s="922"/>
      <c r="IH179" s="922"/>
      <c r="II179" s="922"/>
      <c r="IJ179" s="922"/>
      <c r="IK179" s="922"/>
      <c r="IL179" s="922"/>
      <c r="IM179" s="922"/>
      <c r="IN179" s="922"/>
      <c r="IO179" s="922"/>
      <c r="IP179" s="922"/>
      <c r="IQ179" s="922"/>
      <c r="IR179" s="922"/>
      <c r="IS179" s="922"/>
      <c r="IT179" s="922"/>
      <c r="IU179" s="922"/>
      <c r="IV179" s="922"/>
      <c r="IW179" s="922"/>
      <c r="IX179" s="922"/>
      <c r="IY179" s="922"/>
      <c r="IZ179" s="922"/>
      <c r="JA179" s="922"/>
      <c r="JB179" s="922"/>
      <c r="JC179" s="922"/>
      <c r="JD179" s="922"/>
      <c r="JE179" s="922"/>
      <c r="JF179" s="922"/>
      <c r="JG179" s="922"/>
      <c r="JH179" s="922"/>
      <c r="JI179" s="922"/>
      <c r="JJ179" s="922"/>
      <c r="JK179" s="922"/>
      <c r="JL179" s="922"/>
      <c r="JM179" s="922"/>
      <c r="JN179" s="922"/>
      <c r="JO179" s="922"/>
      <c r="JP179" s="922"/>
      <c r="JQ179" s="922"/>
      <c r="JR179" s="922"/>
      <c r="JS179" s="922"/>
      <c r="JT179" s="922"/>
      <c r="JU179" s="922"/>
      <c r="JV179" s="922"/>
      <c r="JW179" s="922"/>
      <c r="JX179" s="922"/>
      <c r="JY179" s="922"/>
      <c r="JZ179" s="922"/>
      <c r="KA179" s="922"/>
      <c r="KB179" s="922"/>
      <c r="KC179" s="922"/>
      <c r="KD179" s="922"/>
      <c r="KE179" s="922"/>
      <c r="KF179" s="922"/>
      <c r="KG179" s="922"/>
      <c r="KH179" s="922"/>
      <c r="KI179" s="922"/>
      <c r="KJ179" s="922"/>
      <c r="KK179" s="922"/>
      <c r="KL179" s="922"/>
      <c r="KM179" s="922"/>
      <c r="KN179" s="922"/>
      <c r="KO179" s="922"/>
      <c r="KP179" s="922"/>
      <c r="KQ179" s="922"/>
      <c r="KR179" s="922"/>
      <c r="KS179" s="922"/>
      <c r="KT179" s="922"/>
      <c r="KU179" s="922"/>
      <c r="KV179" s="922"/>
      <c r="KW179" s="922"/>
      <c r="KX179" s="922"/>
      <c r="KY179" s="922"/>
      <c r="KZ179" s="922"/>
      <c r="LA179" s="922"/>
      <c r="LB179" s="922"/>
      <c r="LC179" s="922"/>
      <c r="LD179" s="922"/>
      <c r="LE179" s="922"/>
      <c r="LF179" s="922"/>
      <c r="LG179" s="922"/>
      <c r="LH179" s="922"/>
      <c r="LI179" s="922"/>
      <c r="LJ179" s="922"/>
      <c r="LK179" s="922"/>
      <c r="LL179" s="922"/>
      <c r="LM179" s="922"/>
      <c r="LN179" s="922"/>
      <c r="LO179" s="922"/>
      <c r="LP179" s="922"/>
      <c r="LQ179" s="922"/>
      <c r="LR179" s="922"/>
      <c r="LS179" s="922"/>
      <c r="LT179" s="922"/>
      <c r="LU179" s="922"/>
      <c r="LV179" s="922"/>
      <c r="LW179" s="922"/>
      <c r="LX179" s="922"/>
      <c r="LY179" s="922"/>
      <c r="LZ179" s="922"/>
      <c r="MA179" s="922"/>
      <c r="MB179" s="922"/>
      <c r="MC179" s="922"/>
      <c r="MD179" s="922"/>
      <c r="ME179" s="922"/>
      <c r="MF179" s="922"/>
      <c r="MG179" s="922"/>
      <c r="MH179" s="922"/>
      <c r="MI179" s="922"/>
      <c r="MJ179" s="922"/>
      <c r="MK179" s="922"/>
      <c r="ML179" s="922"/>
      <c r="MM179" s="922"/>
      <c r="MN179" s="922"/>
      <c r="MO179" s="922"/>
      <c r="MP179" s="922"/>
      <c r="MQ179" s="922"/>
      <c r="MR179" s="922"/>
      <c r="MS179" s="922"/>
      <c r="MT179" s="922"/>
      <c r="MU179" s="922"/>
      <c r="MV179" s="922"/>
      <c r="MW179" s="922"/>
      <c r="MX179" s="922"/>
      <c r="MY179" s="922"/>
      <c r="MZ179" s="922"/>
      <c r="NA179" s="922"/>
      <c r="NB179" s="922"/>
      <c r="NC179" s="922"/>
      <c r="ND179" s="922"/>
      <c r="NE179" s="922"/>
      <c r="NF179" s="922"/>
      <c r="NG179" s="922"/>
      <c r="NH179" s="922"/>
      <c r="NI179" s="922"/>
      <c r="NJ179" s="922"/>
      <c r="NK179" s="922"/>
      <c r="NL179" s="922"/>
      <c r="NM179" s="922"/>
      <c r="NN179" s="922"/>
      <c r="NO179" s="922"/>
      <c r="NP179" s="922"/>
      <c r="NQ179" s="922"/>
      <c r="NR179" s="922"/>
      <c r="NS179" s="922"/>
      <c r="NT179" s="922"/>
      <c r="NU179" s="922"/>
      <c r="NV179" s="922"/>
      <c r="NW179" s="922"/>
      <c r="NX179" s="922"/>
      <c r="NY179" s="922"/>
      <c r="NZ179" s="922"/>
      <c r="OA179" s="922"/>
      <c r="OB179" s="922"/>
      <c r="OC179" s="922"/>
      <c r="OD179" s="922"/>
      <c r="OE179" s="922"/>
      <c r="OF179" s="922"/>
      <c r="OG179" s="922"/>
      <c r="OH179" s="922"/>
      <c r="OI179" s="922"/>
      <c r="OJ179" s="922"/>
      <c r="OK179" s="922"/>
      <c r="OL179" s="922"/>
      <c r="OM179" s="922"/>
      <c r="ON179" s="922"/>
      <c r="OO179" s="922"/>
      <c r="OP179" s="922"/>
      <c r="OQ179" s="922"/>
      <c r="OR179" s="922"/>
      <c r="OS179" s="922"/>
      <c r="OT179" s="922"/>
      <c r="OU179" s="922"/>
      <c r="OV179" s="922"/>
      <c r="OW179" s="922"/>
      <c r="OX179" s="922"/>
      <c r="OY179" s="922"/>
      <c r="OZ179" s="922"/>
      <c r="PA179" s="922"/>
      <c r="PB179" s="922"/>
      <c r="PC179" s="922"/>
      <c r="PD179" s="922"/>
      <c r="PE179" s="922"/>
      <c r="PF179" s="922"/>
      <c r="PG179" s="922"/>
      <c r="PH179" s="922"/>
      <c r="PI179" s="922"/>
      <c r="PJ179" s="922"/>
      <c r="PK179" s="922"/>
      <c r="PL179" s="922"/>
      <c r="PM179" s="922"/>
      <c r="PN179" s="922"/>
      <c r="PO179" s="922"/>
      <c r="PP179" s="922"/>
      <c r="PQ179" s="922"/>
      <c r="PR179" s="922"/>
      <c r="PS179" s="922"/>
      <c r="PT179" s="922"/>
      <c r="PU179" s="922"/>
      <c r="PV179" s="922"/>
      <c r="PW179" s="922"/>
      <c r="PX179" s="922"/>
      <c r="PY179" s="922"/>
      <c r="PZ179" s="922"/>
      <c r="QA179" s="922"/>
      <c r="QB179" s="922"/>
      <c r="QC179" s="922"/>
      <c r="QD179" s="922"/>
      <c r="QE179" s="922"/>
      <c r="QF179" s="922"/>
      <c r="QG179" s="922"/>
      <c r="QH179" s="922"/>
      <c r="QI179" s="922"/>
      <c r="QJ179" s="922"/>
      <c r="QK179" s="922"/>
      <c r="QL179" s="922"/>
      <c r="QM179" s="922"/>
      <c r="QN179" s="922"/>
      <c r="QO179" s="922"/>
      <c r="QP179" s="922"/>
      <c r="QQ179" s="922"/>
      <c r="QR179" s="922"/>
      <c r="QS179" s="922"/>
      <c r="QT179" s="922"/>
      <c r="QU179" s="922"/>
      <c r="QV179" s="922"/>
      <c r="QW179" s="922"/>
      <c r="QX179" s="922"/>
      <c r="QY179" s="922"/>
      <c r="QZ179" s="922"/>
      <c r="RA179" s="922"/>
      <c r="RB179" s="922"/>
      <c r="RC179" s="922"/>
      <c r="RD179" s="922"/>
      <c r="RE179" s="922"/>
      <c r="RF179" s="922"/>
      <c r="RG179" s="922"/>
      <c r="RH179" s="922"/>
      <c r="RI179" s="922"/>
      <c r="RJ179" s="922"/>
      <c r="RK179" s="922"/>
      <c r="RL179" s="922"/>
      <c r="RM179" s="922"/>
      <c r="RN179" s="922"/>
      <c r="RO179" s="922"/>
      <c r="RP179" s="922"/>
      <c r="RQ179" s="922"/>
      <c r="RR179" s="922"/>
      <c r="RS179" s="922"/>
      <c r="RT179" s="922"/>
      <c r="RU179" s="922"/>
      <c r="RV179" s="922"/>
      <c r="RW179" s="922"/>
      <c r="RX179" s="922"/>
      <c r="RY179" s="922"/>
      <c r="RZ179" s="922"/>
      <c r="SA179" s="922"/>
      <c r="SB179" s="922"/>
      <c r="SC179" s="922"/>
      <c r="SD179" s="922"/>
      <c r="SE179" s="922"/>
      <c r="SF179" s="922"/>
      <c r="SG179" s="922"/>
      <c r="SH179" s="922"/>
      <c r="SI179" s="922"/>
      <c r="SJ179" s="922"/>
      <c r="SK179" s="922"/>
      <c r="SL179" s="922"/>
      <c r="SM179" s="922"/>
      <c r="SN179" s="922"/>
      <c r="SO179" s="922"/>
      <c r="SP179" s="922"/>
      <c r="SQ179" s="922"/>
      <c r="SR179" s="922"/>
      <c r="SS179" s="922"/>
      <c r="ST179" s="922"/>
      <c r="SU179" s="922"/>
      <c r="SV179" s="922"/>
      <c r="SW179" s="922"/>
      <c r="SX179" s="922"/>
      <c r="SY179" s="922"/>
      <c r="SZ179" s="922"/>
      <c r="TA179" s="922"/>
      <c r="TB179" s="922"/>
      <c r="TC179" s="922"/>
      <c r="TD179" s="922"/>
      <c r="TE179" s="922"/>
      <c r="TF179" s="922"/>
      <c r="TG179" s="922"/>
      <c r="TH179" s="922"/>
      <c r="TI179" s="922"/>
      <c r="TJ179" s="922"/>
      <c r="TK179" s="922"/>
      <c r="TL179" s="922"/>
      <c r="TM179" s="922"/>
      <c r="TN179" s="922"/>
      <c r="TO179" s="922"/>
      <c r="TP179" s="922"/>
      <c r="TQ179" s="922"/>
      <c r="TR179" s="922"/>
      <c r="TS179" s="922"/>
      <c r="TT179" s="922"/>
      <c r="TU179" s="922"/>
      <c r="TV179" s="922"/>
      <c r="TW179" s="922"/>
      <c r="TX179" s="922"/>
      <c r="TY179" s="922"/>
      <c r="TZ179" s="922"/>
      <c r="UA179" s="922"/>
      <c r="UB179" s="922"/>
      <c r="UC179" s="922"/>
      <c r="UD179" s="922"/>
      <c r="UE179" s="922"/>
      <c r="UF179" s="922"/>
      <c r="UG179" s="922"/>
      <c r="UH179" s="922"/>
      <c r="UI179" s="922"/>
      <c r="UJ179" s="922"/>
      <c r="UK179" s="922"/>
      <c r="UL179" s="922"/>
      <c r="UM179" s="922"/>
      <c r="UN179" s="922"/>
      <c r="UO179" s="922"/>
      <c r="UP179" s="922"/>
      <c r="UQ179" s="922"/>
      <c r="UR179" s="922"/>
      <c r="US179" s="922"/>
      <c r="UT179" s="922"/>
      <c r="UU179" s="922"/>
      <c r="UV179" s="922"/>
      <c r="UW179" s="922"/>
      <c r="UX179" s="922"/>
      <c r="UY179" s="922"/>
      <c r="UZ179" s="922"/>
      <c r="VA179" s="922"/>
      <c r="VB179" s="922"/>
      <c r="VC179" s="922"/>
      <c r="VD179" s="922"/>
      <c r="VE179" s="922"/>
      <c r="VF179" s="922"/>
      <c r="VG179" s="922"/>
      <c r="VH179" s="922"/>
      <c r="VI179" s="922"/>
      <c r="VJ179" s="922"/>
      <c r="VK179" s="922"/>
      <c r="VL179" s="922"/>
      <c r="VM179" s="922"/>
      <c r="VN179" s="922"/>
      <c r="VO179" s="922"/>
      <c r="VP179" s="922"/>
      <c r="VQ179" s="922"/>
      <c r="VR179" s="922"/>
      <c r="VS179" s="922"/>
      <c r="VT179" s="922"/>
      <c r="VU179" s="922"/>
      <c r="VV179" s="922"/>
      <c r="VW179" s="922"/>
      <c r="VX179" s="922"/>
      <c r="VY179" s="922"/>
      <c r="VZ179" s="922"/>
      <c r="WA179" s="922"/>
      <c r="WB179" s="922"/>
      <c r="WC179" s="922"/>
      <c r="WD179" s="922"/>
      <c r="WE179" s="922"/>
      <c r="WF179" s="922"/>
      <c r="WG179" s="922"/>
      <c r="WH179" s="922"/>
      <c r="WI179" s="922"/>
      <c r="WJ179" s="922"/>
      <c r="WK179" s="922"/>
      <c r="WL179" s="922"/>
      <c r="WM179" s="922"/>
      <c r="WN179" s="922"/>
      <c r="WO179" s="922"/>
      <c r="WP179" s="922"/>
      <c r="WQ179" s="922"/>
      <c r="WR179" s="922"/>
      <c r="WS179" s="922"/>
      <c r="WT179" s="922"/>
      <c r="WU179" s="922"/>
      <c r="WV179" s="922"/>
      <c r="WW179" s="922"/>
      <c r="WX179" s="922"/>
      <c r="WY179" s="922"/>
      <c r="WZ179" s="922"/>
      <c r="XA179" s="922"/>
      <c r="XB179" s="922"/>
      <c r="XC179" s="922"/>
      <c r="XD179" s="922"/>
      <c r="XE179" s="922"/>
      <c r="XF179" s="922"/>
      <c r="XG179" s="922"/>
      <c r="XH179" s="922"/>
      <c r="XI179" s="922"/>
      <c r="XJ179" s="922"/>
      <c r="XK179" s="922"/>
      <c r="XL179" s="922"/>
      <c r="XM179" s="922"/>
      <c r="XN179" s="922"/>
      <c r="XO179" s="922"/>
      <c r="XP179" s="922"/>
      <c r="XQ179" s="922"/>
      <c r="XR179" s="922"/>
      <c r="XS179" s="922"/>
      <c r="XT179" s="922"/>
      <c r="XU179" s="922"/>
      <c r="XV179" s="922"/>
      <c r="XW179" s="922"/>
      <c r="XX179" s="922"/>
      <c r="XY179" s="922"/>
      <c r="XZ179" s="922"/>
      <c r="YA179" s="922"/>
      <c r="YB179" s="922"/>
      <c r="YC179" s="922"/>
      <c r="YD179" s="922"/>
      <c r="YE179" s="922"/>
      <c r="YF179" s="922"/>
      <c r="YG179" s="922"/>
      <c r="YH179" s="922"/>
      <c r="YI179" s="922"/>
      <c r="YJ179" s="922"/>
      <c r="YK179" s="922"/>
      <c r="YL179" s="922"/>
      <c r="YM179" s="922"/>
      <c r="YN179" s="922"/>
      <c r="YO179" s="922"/>
      <c r="YP179" s="922"/>
      <c r="YQ179" s="922"/>
      <c r="YR179" s="922"/>
      <c r="YS179" s="922"/>
      <c r="YT179" s="922"/>
      <c r="YU179" s="922"/>
      <c r="YV179" s="922"/>
      <c r="YW179" s="922"/>
      <c r="YX179" s="922"/>
      <c r="YY179" s="922"/>
      <c r="YZ179" s="922"/>
      <c r="ZA179" s="922"/>
      <c r="ZB179" s="922"/>
      <c r="ZC179" s="922"/>
      <c r="ZD179" s="922"/>
      <c r="ZE179" s="922"/>
      <c r="ZF179" s="922"/>
      <c r="ZG179" s="922"/>
      <c r="ZH179" s="922"/>
      <c r="ZI179" s="922"/>
      <c r="ZJ179" s="922"/>
      <c r="ZK179" s="922"/>
      <c r="ZL179" s="922"/>
      <c r="ZM179" s="922"/>
      <c r="ZN179" s="922"/>
      <c r="ZO179" s="922"/>
      <c r="ZP179" s="922"/>
      <c r="ZQ179" s="922"/>
      <c r="ZR179" s="922"/>
      <c r="ZS179" s="922"/>
      <c r="ZT179" s="922"/>
      <c r="ZU179" s="922"/>
      <c r="ZV179" s="922"/>
      <c r="ZW179" s="922"/>
      <c r="ZX179" s="922"/>
      <c r="ZY179" s="922"/>
      <c r="ZZ179" s="922"/>
      <c r="AAA179" s="922"/>
      <c r="AAB179" s="922"/>
      <c r="AAC179" s="922"/>
      <c r="AAD179" s="922"/>
      <c r="AAE179" s="922"/>
      <c r="AAF179" s="922"/>
      <c r="AAG179" s="922"/>
      <c r="AAH179" s="922"/>
      <c r="AAI179" s="922"/>
      <c r="AAJ179" s="922"/>
      <c r="AAK179" s="922"/>
      <c r="AAL179" s="922"/>
      <c r="AAM179" s="922"/>
      <c r="AAN179" s="922"/>
      <c r="AAO179" s="922"/>
      <c r="AAP179" s="922"/>
      <c r="AAQ179" s="922"/>
      <c r="AAR179" s="922"/>
      <c r="AAS179" s="922"/>
      <c r="AAT179" s="922"/>
      <c r="AAU179" s="922"/>
      <c r="AAV179" s="922"/>
      <c r="AAW179" s="922"/>
      <c r="AAX179" s="922"/>
      <c r="AAY179" s="922"/>
      <c r="AAZ179" s="922"/>
      <c r="ABA179" s="922"/>
      <c r="ABB179" s="922"/>
      <c r="ABC179" s="922"/>
      <c r="ABD179" s="922"/>
      <c r="ABE179" s="922"/>
      <c r="ABF179" s="922"/>
      <c r="ABG179" s="922"/>
      <c r="ABH179" s="922"/>
      <c r="ABI179" s="922"/>
      <c r="ABJ179" s="922"/>
      <c r="ABK179" s="922"/>
      <c r="ABL179" s="922"/>
      <c r="ABM179" s="922"/>
      <c r="ABN179" s="922"/>
      <c r="ABO179" s="922"/>
      <c r="ABP179" s="922"/>
      <c r="ABQ179" s="922"/>
      <c r="ABR179" s="922"/>
      <c r="ABS179" s="922"/>
      <c r="ABT179" s="922"/>
      <c r="ABU179" s="922"/>
      <c r="ABV179" s="922"/>
      <c r="ABW179" s="922"/>
      <c r="ABX179" s="922"/>
      <c r="ABY179" s="922"/>
      <c r="ABZ179" s="922"/>
      <c r="ACA179" s="922"/>
      <c r="ACB179" s="922"/>
      <c r="ACC179" s="922"/>
      <c r="ACD179" s="922"/>
      <c r="ACE179" s="922"/>
      <c r="ACF179" s="922"/>
      <c r="ACG179" s="922"/>
      <c r="ACH179" s="922"/>
      <c r="ACI179" s="922"/>
      <c r="ACJ179" s="922"/>
      <c r="ACK179" s="922"/>
      <c r="ACL179" s="922"/>
      <c r="ACM179" s="922"/>
      <c r="ACN179" s="922"/>
      <c r="ACO179" s="922"/>
      <c r="ACP179" s="922"/>
      <c r="ACQ179" s="922"/>
      <c r="ACR179" s="922"/>
      <c r="ACS179" s="922"/>
      <c r="ACT179" s="922"/>
      <c r="ACU179" s="922"/>
      <c r="ACV179" s="922"/>
      <c r="ACW179" s="922"/>
      <c r="ACX179" s="922"/>
      <c r="ACY179" s="922"/>
      <c r="ACZ179" s="922"/>
      <c r="ADA179" s="922"/>
      <c r="ADB179" s="922"/>
      <c r="ADC179" s="922"/>
      <c r="ADD179" s="922"/>
      <c r="ADE179" s="922"/>
      <c r="ADF179" s="922"/>
      <c r="ADG179" s="922"/>
      <c r="ADH179" s="922"/>
      <c r="ADI179" s="922"/>
      <c r="ADJ179" s="922"/>
      <c r="ADK179" s="922"/>
      <c r="ADL179" s="922"/>
      <c r="ADM179" s="922"/>
      <c r="ADN179" s="922"/>
      <c r="ADO179" s="922"/>
      <c r="ADP179" s="922"/>
      <c r="ADQ179" s="922"/>
      <c r="ADR179" s="922"/>
      <c r="ADS179" s="922"/>
      <c r="ADT179" s="922"/>
      <c r="ADU179" s="922"/>
      <c r="ADV179" s="922"/>
      <c r="ADW179" s="922"/>
      <c r="ADX179" s="922"/>
      <c r="ADY179" s="922"/>
      <c r="ADZ179" s="922"/>
      <c r="AEA179" s="922"/>
      <c r="AEB179" s="922"/>
      <c r="AEC179" s="922"/>
      <c r="AED179" s="922"/>
      <c r="AEE179" s="922"/>
      <c r="AEF179" s="922"/>
      <c r="AEG179" s="922"/>
      <c r="AEH179" s="922"/>
      <c r="AEI179" s="922"/>
      <c r="AEJ179" s="922"/>
      <c r="AEK179" s="922"/>
      <c r="AEL179" s="922"/>
      <c r="AEM179" s="922"/>
      <c r="AEN179" s="922"/>
      <c r="AEO179" s="922"/>
      <c r="AEP179" s="922"/>
      <c r="AEQ179" s="922"/>
      <c r="AER179" s="922"/>
      <c r="AES179" s="922"/>
      <c r="AET179" s="922"/>
      <c r="AEU179" s="922"/>
      <c r="AEV179" s="922"/>
      <c r="AEW179" s="922"/>
      <c r="AEX179" s="922"/>
      <c r="AEY179" s="922"/>
      <c r="AEZ179" s="922"/>
      <c r="AFA179" s="922"/>
      <c r="AFB179" s="922"/>
      <c r="AFC179" s="922"/>
      <c r="AFD179" s="922"/>
      <c r="AFE179" s="922"/>
      <c r="AFF179" s="922"/>
      <c r="AFG179" s="922"/>
      <c r="AFH179" s="922"/>
      <c r="AFI179" s="922"/>
      <c r="AFJ179" s="922"/>
      <c r="AFK179" s="922"/>
      <c r="AFL179" s="922"/>
      <c r="AFM179" s="922"/>
      <c r="AFN179" s="922"/>
      <c r="AFO179" s="922"/>
      <c r="AFP179" s="922"/>
      <c r="AFQ179" s="922"/>
      <c r="AFR179" s="922"/>
      <c r="AFS179" s="922"/>
      <c r="AFT179" s="922"/>
      <c r="AFU179" s="922"/>
      <c r="AFV179" s="922"/>
      <c r="AFW179" s="922"/>
      <c r="AFX179" s="922"/>
      <c r="AFY179" s="922"/>
      <c r="AFZ179" s="922"/>
      <c r="AGA179" s="922"/>
      <c r="AGB179" s="922"/>
      <c r="AGC179" s="922"/>
      <c r="AGD179" s="922"/>
      <c r="AGE179" s="922"/>
      <c r="AGF179" s="922"/>
      <c r="AGG179" s="922"/>
      <c r="AGH179" s="922"/>
      <c r="AGI179" s="922"/>
      <c r="AGJ179" s="922"/>
      <c r="AGK179" s="922"/>
      <c r="AGL179" s="922"/>
      <c r="AGM179" s="922"/>
      <c r="AGN179" s="922"/>
      <c r="AGO179" s="922"/>
      <c r="AGP179" s="922"/>
      <c r="AGQ179" s="922"/>
      <c r="AGR179" s="922"/>
      <c r="AGS179" s="922"/>
      <c r="AGT179" s="922"/>
      <c r="AGU179" s="922"/>
      <c r="AGV179" s="922"/>
      <c r="AGW179" s="922"/>
      <c r="AGX179" s="922"/>
      <c r="AGY179" s="922"/>
      <c r="AGZ179" s="922"/>
      <c r="AHA179" s="922"/>
      <c r="AHB179" s="922"/>
      <c r="AHC179" s="922"/>
      <c r="AHD179" s="922"/>
      <c r="AHE179" s="922"/>
      <c r="AHF179" s="922"/>
      <c r="AHG179" s="922"/>
      <c r="AHH179" s="922"/>
      <c r="AHI179" s="922"/>
      <c r="AHJ179" s="922"/>
      <c r="AHK179" s="922"/>
      <c r="AHL179" s="922"/>
      <c r="AHM179" s="922"/>
      <c r="AHN179" s="922"/>
      <c r="AHO179" s="922"/>
      <c r="AHP179" s="922"/>
      <c r="AHQ179" s="922"/>
      <c r="AHR179" s="922"/>
      <c r="AHS179" s="922"/>
      <c r="AHT179" s="922"/>
      <c r="AHU179" s="922"/>
      <c r="AHV179" s="922"/>
      <c r="AHW179" s="922"/>
      <c r="AHX179" s="922"/>
      <c r="AHY179" s="922"/>
      <c r="AHZ179" s="922"/>
      <c r="AIA179" s="922"/>
      <c r="AIB179" s="922"/>
      <c r="AIC179" s="922"/>
      <c r="AID179" s="922"/>
      <c r="AIE179" s="922"/>
      <c r="AIF179" s="922"/>
      <c r="AIG179" s="922"/>
      <c r="AIH179" s="922"/>
      <c r="AII179" s="922"/>
      <c r="AIJ179" s="922"/>
      <c r="AIK179" s="922"/>
      <c r="AIL179" s="922"/>
      <c r="AIM179" s="922"/>
      <c r="AIN179" s="922"/>
      <c r="AIO179" s="922"/>
      <c r="AIP179" s="922"/>
      <c r="AIQ179" s="922"/>
      <c r="AIR179" s="922"/>
      <c r="AIS179" s="922"/>
      <c r="AIT179" s="922"/>
      <c r="AIU179" s="922"/>
      <c r="AIV179" s="922"/>
      <c r="AIW179" s="922"/>
      <c r="AIX179" s="922"/>
      <c r="AIY179" s="922"/>
      <c r="AIZ179" s="922"/>
      <c r="AJA179" s="922"/>
      <c r="AJB179" s="922"/>
      <c r="AJC179" s="922"/>
      <c r="AJD179" s="922"/>
      <c r="AJE179" s="922"/>
      <c r="AJF179" s="922"/>
      <c r="AJG179" s="922"/>
      <c r="AJH179" s="922"/>
      <c r="AJI179" s="922"/>
      <c r="AJJ179" s="922"/>
      <c r="AJK179" s="922"/>
      <c r="AJL179" s="922"/>
      <c r="AJM179" s="922"/>
      <c r="AJN179" s="922"/>
      <c r="AJO179" s="922"/>
      <c r="AJP179" s="922"/>
      <c r="AJQ179" s="922"/>
      <c r="AJR179" s="922"/>
      <c r="AJS179" s="922"/>
      <c r="AJT179" s="922"/>
      <c r="AJU179" s="922"/>
      <c r="AJV179" s="922"/>
      <c r="AJW179" s="922"/>
      <c r="AJX179" s="922"/>
      <c r="AJY179" s="922"/>
      <c r="AJZ179" s="922"/>
      <c r="AKA179" s="922"/>
      <c r="AKB179" s="922"/>
      <c r="AKC179" s="922"/>
      <c r="AKD179" s="922"/>
      <c r="AKE179" s="922"/>
      <c r="AKF179" s="922"/>
      <c r="AKG179" s="922"/>
      <c r="AKH179" s="922"/>
      <c r="AKI179" s="922"/>
      <c r="AKJ179" s="922"/>
      <c r="AKK179" s="922"/>
      <c r="AKL179" s="922"/>
      <c r="AKM179" s="922"/>
      <c r="AKN179" s="922"/>
      <c r="AKO179" s="922"/>
      <c r="AKP179" s="922"/>
      <c r="AKQ179" s="922"/>
      <c r="AKR179" s="922"/>
      <c r="AKS179" s="922"/>
      <c r="AKT179" s="922"/>
      <c r="AKU179" s="922"/>
      <c r="AKV179" s="922"/>
      <c r="AKW179" s="922"/>
      <c r="AKX179" s="922"/>
      <c r="AKY179" s="922"/>
      <c r="AKZ179" s="922"/>
      <c r="ALA179" s="922"/>
      <c r="ALB179" s="922"/>
      <c r="ALC179" s="922"/>
      <c r="ALD179" s="922"/>
      <c r="ALE179" s="922"/>
      <c r="ALF179" s="922"/>
      <c r="ALG179" s="922"/>
      <c r="ALH179" s="922"/>
      <c r="ALI179" s="922"/>
      <c r="ALJ179" s="922"/>
      <c r="ALK179" s="922"/>
      <c r="ALL179" s="922"/>
      <c r="ALM179" s="922"/>
      <c r="ALN179" s="922"/>
      <c r="ALO179" s="922"/>
      <c r="ALP179" s="922"/>
      <c r="ALQ179" s="922"/>
      <c r="ALR179" s="922"/>
      <c r="ALS179" s="922"/>
      <c r="ALT179" s="922"/>
      <c r="ALU179" s="922"/>
      <c r="ALV179" s="922"/>
      <c r="ALW179" s="922"/>
      <c r="ALX179" s="922"/>
      <c r="ALY179" s="922"/>
      <c r="ALZ179" s="922"/>
      <c r="AMA179" s="922"/>
      <c r="AMB179" s="922"/>
      <c r="AMC179" s="922"/>
      <c r="AMD179" s="922"/>
      <c r="AME179" s="922"/>
      <c r="AMF179" s="922"/>
      <c r="AMG179" s="922"/>
      <c r="AMH179" s="922"/>
      <c r="AMI179" s="922"/>
      <c r="AMJ179" s="922"/>
      <c r="AMK179" s="922"/>
      <c r="AML179" s="922"/>
      <c r="AMM179" s="922"/>
      <c r="AMN179" s="922"/>
      <c r="AMO179" s="922"/>
      <c r="AMP179" s="922"/>
      <c r="AMQ179" s="922"/>
      <c r="AMR179" s="922"/>
      <c r="AMS179" s="922"/>
      <c r="AMT179" s="922"/>
      <c r="AMU179" s="922"/>
      <c r="AMV179" s="922"/>
      <c r="AMW179" s="922"/>
      <c r="AMX179" s="922"/>
      <c r="AMY179" s="922"/>
      <c r="AMZ179" s="922"/>
      <c r="ANA179" s="922"/>
      <c r="ANB179" s="922"/>
      <c r="ANC179" s="922"/>
      <c r="AND179" s="922"/>
      <c r="ANE179" s="922"/>
      <c r="ANF179" s="922"/>
      <c r="ANG179" s="922"/>
      <c r="ANH179" s="922"/>
      <c r="ANI179" s="922"/>
      <c r="ANJ179" s="922"/>
      <c r="ANK179" s="922"/>
      <c r="ANL179" s="922"/>
      <c r="ANM179" s="922"/>
      <c r="ANN179" s="922"/>
      <c r="ANO179" s="922"/>
      <c r="ANP179" s="922"/>
      <c r="ANQ179" s="922"/>
      <c r="ANR179" s="922"/>
      <c r="ANS179" s="922"/>
      <c r="ANT179" s="922"/>
      <c r="ANU179" s="922"/>
      <c r="ANV179" s="922"/>
      <c r="ANW179" s="922"/>
      <c r="ANX179" s="922"/>
      <c r="ANY179" s="922"/>
      <c r="ANZ179" s="922"/>
      <c r="AOA179" s="922"/>
      <c r="AOB179" s="922"/>
      <c r="AOC179" s="922"/>
      <c r="AOD179" s="922"/>
      <c r="AOE179" s="922"/>
      <c r="AOF179" s="922"/>
      <c r="AOG179" s="922"/>
      <c r="AOH179" s="922"/>
      <c r="AOI179" s="922"/>
      <c r="AOJ179" s="922"/>
      <c r="AOK179" s="922"/>
      <c r="AOL179" s="922"/>
      <c r="AOM179" s="922"/>
      <c r="AON179" s="922"/>
      <c r="AOO179" s="922"/>
      <c r="AOP179" s="922"/>
      <c r="AOQ179" s="922"/>
      <c r="AOR179" s="922"/>
      <c r="AOS179" s="922"/>
      <c r="AOT179" s="922"/>
      <c r="AOU179" s="922"/>
      <c r="AOV179" s="922"/>
      <c r="AOW179" s="922"/>
      <c r="AOX179" s="922"/>
      <c r="AOY179" s="922"/>
      <c r="AOZ179" s="922"/>
      <c r="APA179" s="922"/>
      <c r="APB179" s="922"/>
      <c r="APC179" s="922"/>
      <c r="APD179" s="922"/>
      <c r="APE179" s="922"/>
      <c r="APF179" s="922"/>
      <c r="APG179" s="922"/>
      <c r="APH179" s="922"/>
      <c r="API179" s="922"/>
      <c r="APJ179" s="922"/>
      <c r="APK179" s="922"/>
      <c r="APL179" s="922"/>
      <c r="APM179" s="922"/>
      <c r="APN179" s="922"/>
      <c r="APO179" s="922"/>
      <c r="APP179" s="922"/>
      <c r="APQ179" s="922"/>
      <c r="APR179" s="922"/>
      <c r="APS179" s="922"/>
      <c r="APT179" s="922"/>
      <c r="APU179" s="922"/>
      <c r="APV179" s="922"/>
      <c r="APW179" s="922"/>
      <c r="APX179" s="922"/>
      <c r="APY179" s="922"/>
      <c r="APZ179" s="922"/>
      <c r="AQA179" s="922"/>
      <c r="AQB179" s="922"/>
      <c r="AQC179" s="922"/>
      <c r="AQD179" s="922"/>
      <c r="AQE179" s="922"/>
      <c r="AQF179" s="922"/>
      <c r="AQG179" s="922"/>
      <c r="AQH179" s="922"/>
      <c r="AQI179" s="922"/>
      <c r="AQJ179" s="922"/>
      <c r="AQK179" s="922"/>
      <c r="AQL179" s="922"/>
      <c r="AQM179" s="922"/>
      <c r="AQN179" s="922"/>
      <c r="AQO179" s="922"/>
      <c r="AQP179" s="922"/>
      <c r="AQQ179" s="922"/>
      <c r="AQR179" s="922"/>
      <c r="AQS179" s="922"/>
      <c r="AQT179" s="922"/>
      <c r="AQU179" s="922"/>
      <c r="AQV179" s="922"/>
      <c r="AQW179" s="922"/>
      <c r="AQX179" s="922"/>
      <c r="AQY179" s="922"/>
      <c r="AQZ179" s="922"/>
      <c r="ARA179" s="922"/>
      <c r="ARB179" s="922"/>
      <c r="ARC179" s="922"/>
      <c r="ARD179" s="922"/>
      <c r="ARE179" s="922"/>
      <c r="ARF179" s="922"/>
      <c r="ARG179" s="922"/>
      <c r="ARH179" s="922"/>
      <c r="ARI179" s="922"/>
      <c r="ARJ179" s="922"/>
      <c r="ARK179" s="922"/>
      <c r="ARL179" s="922"/>
      <c r="ARM179" s="922"/>
      <c r="ARN179" s="922"/>
      <c r="ARO179" s="922"/>
      <c r="ARP179" s="922"/>
      <c r="ARQ179" s="922"/>
      <c r="ARR179" s="922"/>
      <c r="ARS179" s="922"/>
      <c r="ART179" s="922"/>
      <c r="ARU179" s="922"/>
      <c r="ARV179" s="922"/>
      <c r="ARW179" s="922"/>
      <c r="ARX179" s="922"/>
      <c r="ARY179" s="922"/>
      <c r="ARZ179" s="922"/>
      <c r="ASA179" s="922"/>
      <c r="ASB179" s="922"/>
      <c r="ASC179" s="922"/>
    </row>
    <row r="180" spans="1:1173" hidden="1">
      <c r="T180" s="922"/>
      <c r="AN180" s="922"/>
      <c r="AO180" s="922"/>
      <c r="AP180" s="922"/>
      <c r="AQ180" s="922"/>
      <c r="AR180" s="922"/>
      <c r="AS180" s="922"/>
      <c r="AT180" s="922"/>
      <c r="AU180" s="922"/>
      <c r="AV180" s="922"/>
      <c r="AW180" s="922"/>
      <c r="AX180" s="922"/>
      <c r="AY180" s="922"/>
      <c r="AZ180" s="922"/>
      <c r="BA180" s="922"/>
      <c r="BB180" s="922"/>
      <c r="BC180" s="922"/>
      <c r="BD180" s="922"/>
      <c r="BE180" s="922"/>
      <c r="BF180" s="922"/>
      <c r="BG180" s="922"/>
      <c r="BH180" s="922"/>
      <c r="BI180" s="922"/>
      <c r="BJ180" s="922"/>
      <c r="BK180" s="922"/>
      <c r="BL180" s="922"/>
      <c r="BM180" s="922"/>
      <c r="BN180" s="922"/>
      <c r="BO180" s="922"/>
      <c r="BP180" s="922"/>
      <c r="BQ180" s="922"/>
      <c r="BR180" s="922"/>
      <c r="BS180" s="922"/>
      <c r="BT180" s="922"/>
      <c r="BU180" s="922"/>
      <c r="BV180" s="922"/>
      <c r="BW180" s="922"/>
      <c r="BX180" s="922"/>
      <c r="BY180" s="922"/>
      <c r="BZ180" s="922"/>
      <c r="CA180" s="922"/>
      <c r="CB180" s="922"/>
      <c r="CC180" s="922"/>
      <c r="CD180" s="922"/>
      <c r="CE180" s="922"/>
      <c r="CF180" s="922"/>
      <c r="CG180" s="922"/>
      <c r="CH180" s="922"/>
      <c r="CI180" s="922"/>
      <c r="CJ180" s="922"/>
      <c r="CK180" s="922"/>
      <c r="CL180" s="922"/>
      <c r="CM180" s="922"/>
      <c r="CN180" s="922"/>
      <c r="CO180" s="922"/>
      <c r="CP180" s="922"/>
      <c r="CQ180" s="922"/>
      <c r="CR180" s="922"/>
      <c r="CS180" s="922"/>
      <c r="CT180" s="922"/>
      <c r="CU180" s="922"/>
      <c r="CV180" s="922"/>
      <c r="CW180" s="922"/>
      <c r="CX180" s="922"/>
      <c r="CY180" s="922"/>
      <c r="CZ180" s="922"/>
      <c r="DA180" s="922"/>
      <c r="DB180" s="922"/>
      <c r="DC180" s="922"/>
      <c r="DD180" s="922"/>
      <c r="DE180" s="922"/>
      <c r="DF180" s="922"/>
      <c r="DG180" s="922"/>
      <c r="DH180" s="922"/>
      <c r="DI180" s="922"/>
      <c r="DJ180" s="922"/>
      <c r="DK180" s="922"/>
      <c r="DL180" s="922"/>
      <c r="DM180" s="922"/>
      <c r="DN180" s="922"/>
      <c r="DO180" s="922"/>
      <c r="DP180" s="922"/>
      <c r="DQ180" s="922"/>
      <c r="DR180" s="922"/>
      <c r="DS180" s="922"/>
      <c r="DT180" s="922"/>
      <c r="DU180" s="922"/>
      <c r="DV180" s="922"/>
      <c r="DW180" s="922"/>
      <c r="DX180" s="922"/>
      <c r="DY180" s="922"/>
      <c r="DZ180" s="922"/>
      <c r="EA180" s="922"/>
      <c r="EB180" s="922"/>
      <c r="EC180" s="922"/>
      <c r="ED180" s="922"/>
      <c r="EE180" s="922"/>
      <c r="EF180" s="922"/>
      <c r="EG180" s="922"/>
      <c r="EH180" s="922"/>
      <c r="EI180" s="922"/>
      <c r="EJ180" s="922"/>
      <c r="EK180" s="922"/>
      <c r="EL180" s="922"/>
      <c r="EM180" s="922"/>
      <c r="EN180" s="922"/>
      <c r="EO180" s="922"/>
      <c r="EP180" s="922"/>
      <c r="EQ180" s="922"/>
      <c r="ER180" s="922"/>
      <c r="ES180" s="922"/>
      <c r="ET180" s="922"/>
      <c r="EU180" s="922"/>
      <c r="EV180" s="922"/>
      <c r="EW180" s="922"/>
      <c r="EX180" s="922"/>
      <c r="EY180" s="922"/>
      <c r="EZ180" s="922"/>
      <c r="FA180" s="922"/>
      <c r="FB180" s="922"/>
      <c r="FC180" s="922"/>
      <c r="FD180" s="922"/>
      <c r="FE180" s="922"/>
      <c r="FF180" s="922"/>
      <c r="FG180" s="922"/>
      <c r="FH180" s="922"/>
      <c r="FI180" s="922"/>
      <c r="FJ180" s="922"/>
      <c r="FK180" s="922"/>
      <c r="FL180" s="922"/>
      <c r="FM180" s="922"/>
      <c r="FN180" s="922"/>
      <c r="FO180" s="922"/>
      <c r="FP180" s="922"/>
      <c r="FQ180" s="922"/>
      <c r="FR180" s="922"/>
      <c r="FS180" s="922"/>
      <c r="FT180" s="922"/>
      <c r="FU180" s="922"/>
      <c r="FV180" s="922"/>
      <c r="FW180" s="922"/>
      <c r="FX180" s="922"/>
      <c r="FY180" s="922"/>
      <c r="FZ180" s="922"/>
      <c r="GA180" s="922"/>
      <c r="GB180" s="922"/>
      <c r="GC180" s="922"/>
      <c r="GD180" s="922"/>
      <c r="GE180" s="922"/>
      <c r="GF180" s="922"/>
      <c r="GG180" s="922"/>
      <c r="GH180" s="922"/>
      <c r="GI180" s="922"/>
      <c r="GJ180" s="922"/>
      <c r="GK180" s="922"/>
      <c r="GL180" s="922"/>
      <c r="GM180" s="922"/>
      <c r="GN180" s="922"/>
      <c r="GO180" s="922"/>
      <c r="GP180" s="922"/>
      <c r="GQ180" s="922"/>
      <c r="GR180" s="922"/>
      <c r="GS180" s="922"/>
      <c r="GT180" s="922"/>
      <c r="GU180" s="922"/>
      <c r="GV180" s="922"/>
      <c r="GW180" s="922"/>
      <c r="GX180" s="922"/>
      <c r="GY180" s="922"/>
      <c r="GZ180" s="922"/>
      <c r="HA180" s="922"/>
      <c r="HB180" s="922"/>
      <c r="HC180" s="922"/>
      <c r="HD180" s="922"/>
      <c r="HE180" s="922"/>
      <c r="HF180" s="922"/>
      <c r="HG180" s="922"/>
      <c r="HH180" s="922"/>
      <c r="HI180" s="922"/>
      <c r="HJ180" s="922"/>
      <c r="HK180" s="922"/>
      <c r="HL180" s="922"/>
      <c r="HM180" s="922"/>
      <c r="HN180" s="922"/>
      <c r="HO180" s="922"/>
      <c r="HP180" s="922"/>
      <c r="HQ180" s="922"/>
      <c r="HR180" s="922"/>
      <c r="HS180" s="922"/>
      <c r="HT180" s="922"/>
      <c r="HU180" s="922"/>
      <c r="HV180" s="922"/>
      <c r="HW180" s="922"/>
      <c r="HX180" s="922"/>
      <c r="HY180" s="922"/>
      <c r="HZ180" s="922"/>
      <c r="IA180" s="922"/>
      <c r="IB180" s="922"/>
      <c r="IC180" s="922"/>
      <c r="ID180" s="922"/>
      <c r="IE180" s="922"/>
      <c r="IF180" s="922"/>
      <c r="IG180" s="922"/>
      <c r="IH180" s="922"/>
      <c r="II180" s="922"/>
      <c r="IJ180" s="922"/>
      <c r="IK180" s="922"/>
      <c r="IL180" s="922"/>
      <c r="IM180" s="922"/>
      <c r="IN180" s="922"/>
      <c r="IO180" s="922"/>
      <c r="IP180" s="922"/>
      <c r="IQ180" s="922"/>
      <c r="IR180" s="922"/>
      <c r="IS180" s="922"/>
      <c r="IT180" s="922"/>
      <c r="IU180" s="922"/>
      <c r="IV180" s="922"/>
      <c r="IW180" s="922"/>
      <c r="IX180" s="922"/>
      <c r="IY180" s="922"/>
      <c r="IZ180" s="922"/>
      <c r="JA180" s="922"/>
      <c r="JB180" s="922"/>
      <c r="JC180" s="922"/>
      <c r="JD180" s="922"/>
      <c r="JE180" s="922"/>
      <c r="JF180" s="922"/>
      <c r="JG180" s="922"/>
      <c r="JH180" s="922"/>
      <c r="JI180" s="922"/>
      <c r="JJ180" s="922"/>
      <c r="JK180" s="922"/>
      <c r="JL180" s="922"/>
      <c r="JM180" s="922"/>
      <c r="JN180" s="922"/>
      <c r="JO180" s="922"/>
      <c r="JP180" s="922"/>
      <c r="JQ180" s="922"/>
      <c r="JR180" s="922"/>
      <c r="JS180" s="922"/>
      <c r="JT180" s="922"/>
      <c r="JU180" s="922"/>
      <c r="JV180" s="922"/>
      <c r="JW180" s="922"/>
      <c r="JX180" s="922"/>
      <c r="JY180" s="922"/>
      <c r="JZ180" s="922"/>
      <c r="KA180" s="922"/>
      <c r="KB180" s="922"/>
      <c r="KC180" s="922"/>
      <c r="KD180" s="922"/>
      <c r="KE180" s="922"/>
      <c r="KF180" s="922"/>
      <c r="KG180" s="922"/>
      <c r="KH180" s="922"/>
      <c r="KI180" s="922"/>
      <c r="KJ180" s="922"/>
      <c r="KK180" s="922"/>
      <c r="KL180" s="922"/>
      <c r="KM180" s="922"/>
      <c r="KN180" s="922"/>
      <c r="KO180" s="922"/>
      <c r="KP180" s="922"/>
      <c r="KQ180" s="922"/>
      <c r="KR180" s="922"/>
      <c r="KS180" s="922"/>
      <c r="KT180" s="922"/>
      <c r="KU180" s="922"/>
      <c r="KV180" s="922"/>
      <c r="KW180" s="922"/>
      <c r="KX180" s="922"/>
      <c r="KY180" s="922"/>
      <c r="KZ180" s="922"/>
      <c r="LA180" s="922"/>
      <c r="LB180" s="922"/>
      <c r="LC180" s="922"/>
      <c r="LD180" s="922"/>
      <c r="LE180" s="922"/>
      <c r="LF180" s="922"/>
      <c r="LG180" s="922"/>
      <c r="LH180" s="922"/>
      <c r="LI180" s="922"/>
      <c r="LJ180" s="922"/>
      <c r="LK180" s="922"/>
      <c r="LL180" s="922"/>
      <c r="LM180" s="922"/>
      <c r="LN180" s="922"/>
      <c r="LO180" s="922"/>
      <c r="LP180" s="922"/>
      <c r="LQ180" s="922"/>
      <c r="LR180" s="922"/>
      <c r="LS180" s="922"/>
      <c r="LT180" s="922"/>
      <c r="LU180" s="922"/>
      <c r="LV180" s="922"/>
      <c r="LW180" s="922"/>
      <c r="LX180" s="922"/>
      <c r="LY180" s="922"/>
      <c r="LZ180" s="922"/>
      <c r="MA180" s="922"/>
      <c r="MB180" s="922"/>
      <c r="MC180" s="922"/>
      <c r="MD180" s="922"/>
      <c r="ME180" s="922"/>
      <c r="MF180" s="922"/>
      <c r="MG180" s="922"/>
      <c r="MH180" s="922"/>
      <c r="MI180" s="922"/>
      <c r="MJ180" s="922"/>
      <c r="MK180" s="922"/>
      <c r="ML180" s="922"/>
      <c r="MM180" s="922"/>
      <c r="MN180" s="922"/>
      <c r="MO180" s="922"/>
      <c r="MP180" s="922"/>
      <c r="MQ180" s="922"/>
      <c r="MR180" s="922"/>
      <c r="MS180" s="922"/>
      <c r="MT180" s="922"/>
      <c r="MU180" s="922"/>
      <c r="MV180" s="922"/>
      <c r="MW180" s="922"/>
      <c r="MX180" s="922"/>
      <c r="MY180" s="922"/>
      <c r="MZ180" s="922"/>
      <c r="NA180" s="922"/>
      <c r="NB180" s="922"/>
      <c r="NC180" s="922"/>
      <c r="ND180" s="922"/>
      <c r="NE180" s="922"/>
      <c r="NF180" s="922"/>
      <c r="NG180" s="922"/>
      <c r="NH180" s="922"/>
      <c r="NI180" s="922"/>
      <c r="NJ180" s="922"/>
      <c r="NK180" s="922"/>
      <c r="NL180" s="922"/>
      <c r="NM180" s="922"/>
      <c r="NN180" s="922"/>
      <c r="NO180" s="922"/>
      <c r="NP180" s="922"/>
      <c r="NQ180" s="922"/>
      <c r="NR180" s="922"/>
      <c r="NS180" s="922"/>
      <c r="NT180" s="922"/>
      <c r="NU180" s="922"/>
      <c r="NV180" s="922"/>
      <c r="NW180" s="922"/>
      <c r="NX180" s="922"/>
      <c r="NY180" s="922"/>
      <c r="NZ180" s="922"/>
      <c r="OA180" s="922"/>
      <c r="OB180" s="922"/>
      <c r="OC180" s="922"/>
      <c r="OD180" s="922"/>
      <c r="OE180" s="922"/>
      <c r="OF180" s="922"/>
      <c r="OG180" s="922"/>
      <c r="OH180" s="922"/>
      <c r="OI180" s="922"/>
      <c r="OJ180" s="922"/>
      <c r="OK180" s="922"/>
      <c r="OL180" s="922"/>
      <c r="OM180" s="922"/>
      <c r="ON180" s="922"/>
      <c r="OO180" s="922"/>
      <c r="OP180" s="922"/>
      <c r="OQ180" s="922"/>
      <c r="OR180" s="922"/>
      <c r="OS180" s="922"/>
      <c r="OT180" s="922"/>
      <c r="OU180" s="922"/>
      <c r="OV180" s="922"/>
      <c r="OW180" s="922"/>
      <c r="OX180" s="922"/>
      <c r="OY180" s="922"/>
      <c r="OZ180" s="922"/>
      <c r="PA180" s="922"/>
      <c r="PB180" s="922"/>
      <c r="PC180" s="922"/>
      <c r="PD180" s="922"/>
      <c r="PE180" s="922"/>
      <c r="PF180" s="922"/>
      <c r="PG180" s="922"/>
      <c r="PH180" s="922"/>
      <c r="PI180" s="922"/>
      <c r="PJ180" s="922"/>
      <c r="PK180" s="922"/>
      <c r="PL180" s="922"/>
      <c r="PM180" s="922"/>
      <c r="PN180" s="922"/>
      <c r="PO180" s="922"/>
      <c r="PP180" s="922"/>
      <c r="PQ180" s="922"/>
      <c r="PR180" s="922"/>
      <c r="PS180" s="922"/>
      <c r="PT180" s="922"/>
      <c r="PU180" s="922"/>
      <c r="PV180" s="922"/>
      <c r="PW180" s="922"/>
      <c r="PX180" s="922"/>
      <c r="PY180" s="922"/>
      <c r="PZ180" s="922"/>
      <c r="QA180" s="922"/>
      <c r="QB180" s="922"/>
      <c r="QC180" s="922"/>
      <c r="QD180" s="922"/>
      <c r="QE180" s="922"/>
      <c r="QF180" s="922"/>
      <c r="QG180" s="922"/>
      <c r="QH180" s="922"/>
      <c r="QI180" s="922"/>
      <c r="QJ180" s="922"/>
      <c r="QK180" s="922"/>
      <c r="QL180" s="922"/>
      <c r="QM180" s="922"/>
      <c r="QN180" s="922"/>
      <c r="QO180" s="922"/>
      <c r="QP180" s="922"/>
      <c r="QQ180" s="922"/>
      <c r="QR180" s="922"/>
      <c r="QS180" s="922"/>
      <c r="QT180" s="922"/>
      <c r="QU180" s="922"/>
      <c r="QV180" s="922"/>
      <c r="QW180" s="922"/>
      <c r="QX180" s="922"/>
      <c r="QY180" s="922"/>
      <c r="QZ180" s="922"/>
      <c r="RA180" s="922"/>
      <c r="RB180" s="922"/>
      <c r="RC180" s="922"/>
      <c r="RD180" s="922"/>
      <c r="RE180" s="922"/>
      <c r="RF180" s="922"/>
      <c r="RG180" s="922"/>
      <c r="RH180" s="922"/>
      <c r="RI180" s="922"/>
      <c r="RJ180" s="922"/>
      <c r="RK180" s="922"/>
      <c r="RL180" s="922"/>
      <c r="RM180" s="922"/>
      <c r="RN180" s="922"/>
      <c r="RO180" s="922"/>
      <c r="RP180" s="922"/>
      <c r="RQ180" s="922"/>
      <c r="RR180" s="922"/>
      <c r="RS180" s="922"/>
      <c r="RT180" s="922"/>
      <c r="RU180" s="922"/>
      <c r="RV180" s="922"/>
      <c r="RW180" s="922"/>
      <c r="RX180" s="922"/>
      <c r="RY180" s="922"/>
      <c r="RZ180" s="922"/>
      <c r="SA180" s="922"/>
      <c r="SB180" s="922"/>
      <c r="SC180" s="922"/>
      <c r="SD180" s="922"/>
      <c r="SE180" s="922"/>
      <c r="SF180" s="922"/>
      <c r="SG180" s="922"/>
      <c r="SH180" s="922"/>
      <c r="SI180" s="922"/>
      <c r="SJ180" s="922"/>
      <c r="SK180" s="922"/>
      <c r="SL180" s="922"/>
      <c r="SM180" s="922"/>
      <c r="SN180" s="922"/>
      <c r="SO180" s="922"/>
      <c r="SP180" s="922"/>
      <c r="SQ180" s="922"/>
      <c r="SR180" s="922"/>
      <c r="SS180" s="922"/>
      <c r="ST180" s="922"/>
      <c r="SU180" s="922"/>
      <c r="SV180" s="922"/>
      <c r="SW180" s="922"/>
      <c r="SX180" s="922"/>
      <c r="SY180" s="922"/>
      <c r="SZ180" s="922"/>
      <c r="TA180" s="922"/>
      <c r="TB180" s="922"/>
      <c r="TC180" s="922"/>
      <c r="TD180" s="922"/>
      <c r="TE180" s="922"/>
      <c r="TF180" s="922"/>
      <c r="TG180" s="922"/>
      <c r="TH180" s="922"/>
      <c r="TI180" s="922"/>
      <c r="TJ180" s="922"/>
      <c r="TK180" s="922"/>
      <c r="TL180" s="922"/>
      <c r="TM180" s="922"/>
      <c r="TN180" s="922"/>
      <c r="TO180" s="922"/>
      <c r="TP180" s="922"/>
      <c r="TQ180" s="922"/>
      <c r="TR180" s="922"/>
      <c r="TS180" s="922"/>
      <c r="TT180" s="922"/>
      <c r="TU180" s="922"/>
      <c r="TV180" s="922"/>
      <c r="TW180" s="922"/>
      <c r="TX180" s="922"/>
      <c r="TY180" s="922"/>
      <c r="TZ180" s="922"/>
      <c r="UA180" s="922"/>
      <c r="UB180" s="922"/>
      <c r="UC180" s="922"/>
      <c r="UD180" s="922"/>
      <c r="UE180" s="922"/>
      <c r="UF180" s="922"/>
      <c r="UG180" s="922"/>
      <c r="UH180" s="922"/>
      <c r="UI180" s="922"/>
      <c r="UJ180" s="922"/>
      <c r="UK180" s="922"/>
      <c r="UL180" s="922"/>
      <c r="UM180" s="922"/>
      <c r="UN180" s="922"/>
      <c r="UO180" s="922"/>
      <c r="UP180" s="922"/>
      <c r="UQ180" s="922"/>
      <c r="UR180" s="922"/>
      <c r="US180" s="922"/>
      <c r="UT180" s="922"/>
      <c r="UU180" s="922"/>
      <c r="UV180" s="922"/>
      <c r="UW180" s="922"/>
      <c r="UX180" s="922"/>
      <c r="UY180" s="922"/>
      <c r="UZ180" s="922"/>
      <c r="VA180" s="922"/>
      <c r="VB180" s="922"/>
      <c r="VC180" s="922"/>
      <c r="VD180" s="922"/>
      <c r="VE180" s="922"/>
      <c r="VF180" s="922"/>
      <c r="VG180" s="922"/>
      <c r="VH180" s="922"/>
      <c r="VI180" s="922"/>
      <c r="VJ180" s="922"/>
      <c r="VK180" s="922"/>
      <c r="VL180" s="922"/>
      <c r="VM180" s="922"/>
      <c r="VN180" s="922"/>
      <c r="VO180" s="922"/>
      <c r="VP180" s="922"/>
      <c r="VQ180" s="922"/>
      <c r="VR180" s="922"/>
      <c r="VS180" s="922"/>
      <c r="VT180" s="922"/>
      <c r="VU180" s="922"/>
      <c r="VV180" s="922"/>
      <c r="VW180" s="922"/>
      <c r="VX180" s="922"/>
      <c r="VY180" s="922"/>
      <c r="VZ180" s="922"/>
      <c r="WA180" s="922"/>
      <c r="WB180" s="922"/>
      <c r="WC180" s="922"/>
      <c r="WD180" s="922"/>
      <c r="WE180" s="922"/>
      <c r="WF180" s="922"/>
      <c r="WG180" s="922"/>
      <c r="WH180" s="922"/>
      <c r="WI180" s="922"/>
      <c r="WJ180" s="922"/>
      <c r="WK180" s="922"/>
      <c r="WL180" s="922"/>
      <c r="WM180" s="922"/>
      <c r="WN180" s="922"/>
      <c r="WO180" s="922"/>
      <c r="WP180" s="922"/>
      <c r="WQ180" s="922"/>
      <c r="WR180" s="922"/>
      <c r="WS180" s="922"/>
      <c r="WT180" s="922"/>
      <c r="WU180" s="922"/>
      <c r="WV180" s="922"/>
      <c r="WW180" s="922"/>
      <c r="WX180" s="922"/>
      <c r="WY180" s="922"/>
      <c r="WZ180" s="922"/>
      <c r="XA180" s="922"/>
      <c r="XB180" s="922"/>
      <c r="XC180" s="922"/>
      <c r="XD180" s="922"/>
      <c r="XE180" s="922"/>
      <c r="XF180" s="922"/>
      <c r="XG180" s="922"/>
      <c r="XH180" s="922"/>
      <c r="XI180" s="922"/>
      <c r="XJ180" s="922"/>
      <c r="XK180" s="922"/>
      <c r="XL180" s="922"/>
      <c r="XM180" s="922"/>
      <c r="XN180" s="922"/>
      <c r="XO180" s="922"/>
      <c r="XP180" s="922"/>
      <c r="XQ180" s="922"/>
      <c r="XR180" s="922"/>
      <c r="XS180" s="922"/>
      <c r="XT180" s="922"/>
      <c r="XU180" s="922"/>
      <c r="XV180" s="922"/>
      <c r="XW180" s="922"/>
      <c r="XX180" s="922"/>
      <c r="XY180" s="922"/>
      <c r="XZ180" s="922"/>
      <c r="YA180" s="922"/>
      <c r="YB180" s="922"/>
      <c r="YC180" s="922"/>
      <c r="YD180" s="922"/>
      <c r="YE180" s="922"/>
      <c r="YF180" s="922"/>
      <c r="YG180" s="922"/>
      <c r="YH180" s="922"/>
      <c r="YI180" s="922"/>
      <c r="YJ180" s="922"/>
      <c r="YK180" s="922"/>
      <c r="YL180" s="922"/>
      <c r="YM180" s="922"/>
      <c r="YN180" s="922"/>
      <c r="YO180" s="922"/>
      <c r="YP180" s="922"/>
      <c r="YQ180" s="922"/>
      <c r="YR180" s="922"/>
      <c r="YS180" s="922"/>
      <c r="YT180" s="922"/>
      <c r="YU180" s="922"/>
      <c r="YV180" s="922"/>
      <c r="YW180" s="922"/>
      <c r="YX180" s="922"/>
      <c r="YY180" s="922"/>
      <c r="YZ180" s="922"/>
      <c r="ZA180" s="922"/>
      <c r="ZB180" s="922"/>
      <c r="ZC180" s="922"/>
      <c r="ZD180" s="922"/>
      <c r="ZE180" s="922"/>
      <c r="ZF180" s="922"/>
      <c r="ZG180" s="922"/>
      <c r="ZH180" s="922"/>
      <c r="ZI180" s="922"/>
      <c r="ZJ180" s="922"/>
      <c r="ZK180" s="922"/>
      <c r="ZL180" s="922"/>
      <c r="ZM180" s="922"/>
      <c r="ZN180" s="922"/>
      <c r="ZO180" s="922"/>
      <c r="ZP180" s="922"/>
      <c r="ZQ180" s="922"/>
      <c r="ZR180" s="922"/>
      <c r="ZS180" s="922"/>
      <c r="ZT180" s="922"/>
      <c r="ZU180" s="922"/>
      <c r="ZV180" s="922"/>
      <c r="ZW180" s="922"/>
      <c r="ZX180" s="922"/>
      <c r="ZY180" s="922"/>
      <c r="ZZ180" s="922"/>
      <c r="AAA180" s="922"/>
      <c r="AAB180" s="922"/>
      <c r="AAC180" s="922"/>
      <c r="AAD180" s="922"/>
      <c r="AAE180" s="922"/>
      <c r="AAF180" s="922"/>
      <c r="AAG180" s="922"/>
      <c r="AAH180" s="922"/>
      <c r="AAI180" s="922"/>
      <c r="AAJ180" s="922"/>
      <c r="AAK180" s="922"/>
      <c r="AAL180" s="922"/>
      <c r="AAM180" s="922"/>
      <c r="AAN180" s="922"/>
      <c r="AAO180" s="922"/>
      <c r="AAP180" s="922"/>
      <c r="AAQ180" s="922"/>
      <c r="AAR180" s="922"/>
      <c r="AAS180" s="922"/>
      <c r="AAT180" s="922"/>
      <c r="AAU180" s="922"/>
      <c r="AAV180" s="922"/>
      <c r="AAW180" s="922"/>
      <c r="AAX180" s="922"/>
      <c r="AAY180" s="922"/>
      <c r="AAZ180" s="922"/>
      <c r="ABA180" s="922"/>
      <c r="ABB180" s="922"/>
      <c r="ABC180" s="922"/>
      <c r="ABD180" s="922"/>
      <c r="ABE180" s="922"/>
      <c r="ABF180" s="922"/>
      <c r="ABG180" s="922"/>
      <c r="ABH180" s="922"/>
      <c r="ABI180" s="922"/>
      <c r="ABJ180" s="922"/>
      <c r="ABK180" s="922"/>
      <c r="ABL180" s="922"/>
      <c r="ABM180" s="922"/>
      <c r="ABN180" s="922"/>
      <c r="ABO180" s="922"/>
      <c r="ABP180" s="922"/>
      <c r="ABQ180" s="922"/>
      <c r="ABR180" s="922"/>
      <c r="ABS180" s="922"/>
      <c r="ABT180" s="922"/>
      <c r="ABU180" s="922"/>
      <c r="ABV180" s="922"/>
      <c r="ABW180" s="922"/>
      <c r="ABX180" s="922"/>
      <c r="ABY180" s="922"/>
      <c r="ABZ180" s="922"/>
      <c r="ACA180" s="922"/>
      <c r="ACB180" s="922"/>
      <c r="ACC180" s="922"/>
      <c r="ACD180" s="922"/>
      <c r="ACE180" s="922"/>
      <c r="ACF180" s="922"/>
      <c r="ACG180" s="922"/>
      <c r="ACH180" s="922"/>
      <c r="ACI180" s="922"/>
      <c r="ACJ180" s="922"/>
      <c r="ACK180" s="922"/>
      <c r="ACL180" s="922"/>
      <c r="ACM180" s="922"/>
      <c r="ACN180" s="922"/>
      <c r="ACO180" s="922"/>
      <c r="ACP180" s="922"/>
      <c r="ACQ180" s="922"/>
      <c r="ACR180" s="922"/>
      <c r="ACS180" s="922"/>
      <c r="ACT180" s="922"/>
      <c r="ACU180" s="922"/>
      <c r="ACV180" s="922"/>
      <c r="ACW180" s="922"/>
      <c r="ACX180" s="922"/>
      <c r="ACY180" s="922"/>
      <c r="ACZ180" s="922"/>
      <c r="ADA180" s="922"/>
      <c r="ADB180" s="922"/>
      <c r="ADC180" s="922"/>
      <c r="ADD180" s="922"/>
      <c r="ADE180" s="922"/>
      <c r="ADF180" s="922"/>
      <c r="ADG180" s="922"/>
      <c r="ADH180" s="922"/>
      <c r="ADI180" s="922"/>
      <c r="ADJ180" s="922"/>
      <c r="ADK180" s="922"/>
      <c r="ADL180" s="922"/>
      <c r="ADM180" s="922"/>
      <c r="ADN180" s="922"/>
      <c r="ADO180" s="922"/>
      <c r="ADP180" s="922"/>
      <c r="ADQ180" s="922"/>
      <c r="ADR180" s="922"/>
      <c r="ADS180" s="922"/>
      <c r="ADT180" s="922"/>
      <c r="ADU180" s="922"/>
      <c r="ADV180" s="922"/>
      <c r="ADW180" s="922"/>
      <c r="ADX180" s="922"/>
      <c r="ADY180" s="922"/>
      <c r="ADZ180" s="922"/>
      <c r="AEA180" s="922"/>
      <c r="AEB180" s="922"/>
      <c r="AEC180" s="922"/>
      <c r="AED180" s="922"/>
      <c r="AEE180" s="922"/>
      <c r="AEF180" s="922"/>
      <c r="AEG180" s="922"/>
      <c r="AEH180" s="922"/>
      <c r="AEI180" s="922"/>
      <c r="AEJ180" s="922"/>
      <c r="AEK180" s="922"/>
      <c r="AEL180" s="922"/>
      <c r="AEM180" s="922"/>
      <c r="AEN180" s="922"/>
      <c r="AEO180" s="922"/>
      <c r="AEP180" s="922"/>
      <c r="AEQ180" s="922"/>
      <c r="AER180" s="922"/>
      <c r="AES180" s="922"/>
      <c r="AET180" s="922"/>
      <c r="AEU180" s="922"/>
      <c r="AEV180" s="922"/>
      <c r="AEW180" s="922"/>
      <c r="AEX180" s="922"/>
      <c r="AEY180" s="922"/>
      <c r="AEZ180" s="922"/>
      <c r="AFA180" s="922"/>
      <c r="AFB180" s="922"/>
      <c r="AFC180" s="922"/>
      <c r="AFD180" s="922"/>
      <c r="AFE180" s="922"/>
      <c r="AFF180" s="922"/>
      <c r="AFG180" s="922"/>
      <c r="AFH180" s="922"/>
      <c r="AFI180" s="922"/>
      <c r="AFJ180" s="922"/>
      <c r="AFK180" s="922"/>
      <c r="AFL180" s="922"/>
      <c r="AFM180" s="922"/>
      <c r="AFN180" s="922"/>
      <c r="AFO180" s="922"/>
      <c r="AFP180" s="922"/>
      <c r="AFQ180" s="922"/>
      <c r="AFR180" s="922"/>
      <c r="AFS180" s="922"/>
      <c r="AFT180" s="922"/>
      <c r="AFU180" s="922"/>
      <c r="AFV180" s="922"/>
      <c r="AFW180" s="922"/>
      <c r="AFX180" s="922"/>
      <c r="AFY180" s="922"/>
      <c r="AFZ180" s="922"/>
      <c r="AGA180" s="922"/>
      <c r="AGB180" s="922"/>
      <c r="AGC180" s="922"/>
      <c r="AGD180" s="922"/>
      <c r="AGE180" s="922"/>
      <c r="AGF180" s="922"/>
      <c r="AGG180" s="922"/>
      <c r="AGH180" s="922"/>
      <c r="AGI180" s="922"/>
      <c r="AGJ180" s="922"/>
      <c r="AGK180" s="922"/>
      <c r="AGL180" s="922"/>
      <c r="AGM180" s="922"/>
      <c r="AGN180" s="922"/>
      <c r="AGO180" s="922"/>
      <c r="AGP180" s="922"/>
      <c r="AGQ180" s="922"/>
      <c r="AGR180" s="922"/>
      <c r="AGS180" s="922"/>
      <c r="AGT180" s="922"/>
      <c r="AGU180" s="922"/>
      <c r="AGV180" s="922"/>
      <c r="AGW180" s="922"/>
      <c r="AGX180" s="922"/>
      <c r="AGY180" s="922"/>
      <c r="AGZ180" s="922"/>
      <c r="AHA180" s="922"/>
      <c r="AHB180" s="922"/>
      <c r="AHC180" s="922"/>
      <c r="AHD180" s="922"/>
      <c r="AHE180" s="922"/>
      <c r="AHF180" s="922"/>
      <c r="AHG180" s="922"/>
      <c r="AHH180" s="922"/>
      <c r="AHI180" s="922"/>
      <c r="AHJ180" s="922"/>
      <c r="AHK180" s="922"/>
      <c r="AHL180" s="922"/>
      <c r="AHM180" s="922"/>
      <c r="AHN180" s="922"/>
      <c r="AHO180" s="922"/>
      <c r="AHP180" s="922"/>
      <c r="AHQ180" s="922"/>
      <c r="AHR180" s="922"/>
      <c r="AHS180" s="922"/>
      <c r="AHT180" s="922"/>
      <c r="AHU180" s="922"/>
      <c r="AHV180" s="922"/>
      <c r="AHW180" s="922"/>
      <c r="AHX180" s="922"/>
      <c r="AHY180" s="922"/>
      <c r="AHZ180" s="922"/>
      <c r="AIA180" s="922"/>
      <c r="AIB180" s="922"/>
      <c r="AIC180" s="922"/>
      <c r="AID180" s="922"/>
      <c r="AIE180" s="922"/>
      <c r="AIF180" s="922"/>
      <c r="AIG180" s="922"/>
      <c r="AIH180" s="922"/>
      <c r="AII180" s="922"/>
      <c r="AIJ180" s="922"/>
      <c r="AIK180" s="922"/>
      <c r="AIL180" s="922"/>
      <c r="AIM180" s="922"/>
      <c r="AIN180" s="922"/>
      <c r="AIO180" s="922"/>
      <c r="AIP180" s="922"/>
      <c r="AIQ180" s="922"/>
      <c r="AIR180" s="922"/>
      <c r="AIS180" s="922"/>
      <c r="AIT180" s="922"/>
      <c r="AIU180" s="922"/>
      <c r="AIV180" s="922"/>
      <c r="AIW180" s="922"/>
      <c r="AIX180" s="922"/>
      <c r="AIY180" s="922"/>
      <c r="AIZ180" s="922"/>
      <c r="AJA180" s="922"/>
      <c r="AJB180" s="922"/>
      <c r="AJC180" s="922"/>
      <c r="AJD180" s="922"/>
      <c r="AJE180" s="922"/>
      <c r="AJF180" s="922"/>
      <c r="AJG180" s="922"/>
      <c r="AJH180" s="922"/>
      <c r="AJI180" s="922"/>
      <c r="AJJ180" s="922"/>
      <c r="AJK180" s="922"/>
      <c r="AJL180" s="922"/>
      <c r="AJM180" s="922"/>
      <c r="AJN180" s="922"/>
      <c r="AJO180" s="922"/>
      <c r="AJP180" s="922"/>
      <c r="AJQ180" s="922"/>
      <c r="AJR180" s="922"/>
      <c r="AJS180" s="922"/>
      <c r="AJT180" s="922"/>
      <c r="AJU180" s="922"/>
      <c r="AJV180" s="922"/>
      <c r="AJW180" s="922"/>
      <c r="AJX180" s="922"/>
      <c r="AJY180" s="922"/>
      <c r="AJZ180" s="922"/>
      <c r="AKA180" s="922"/>
      <c r="AKB180" s="922"/>
      <c r="AKC180" s="922"/>
      <c r="AKD180" s="922"/>
      <c r="AKE180" s="922"/>
      <c r="AKF180" s="922"/>
      <c r="AKG180" s="922"/>
      <c r="AKH180" s="922"/>
      <c r="AKI180" s="922"/>
      <c r="AKJ180" s="922"/>
      <c r="AKK180" s="922"/>
      <c r="AKL180" s="922"/>
      <c r="AKM180" s="922"/>
      <c r="AKN180" s="922"/>
      <c r="AKO180" s="922"/>
      <c r="AKP180" s="922"/>
      <c r="AKQ180" s="922"/>
      <c r="AKR180" s="922"/>
      <c r="AKS180" s="922"/>
      <c r="AKT180" s="922"/>
      <c r="AKU180" s="922"/>
      <c r="AKV180" s="922"/>
      <c r="AKW180" s="922"/>
      <c r="AKX180" s="922"/>
      <c r="AKY180" s="922"/>
      <c r="AKZ180" s="922"/>
      <c r="ALA180" s="922"/>
      <c r="ALB180" s="922"/>
      <c r="ALC180" s="922"/>
      <c r="ALD180" s="922"/>
      <c r="ALE180" s="922"/>
      <c r="ALF180" s="922"/>
      <c r="ALG180" s="922"/>
      <c r="ALH180" s="922"/>
      <c r="ALI180" s="922"/>
      <c r="ALJ180" s="922"/>
      <c r="ALK180" s="922"/>
      <c r="ALL180" s="922"/>
      <c r="ALM180" s="922"/>
      <c r="ALN180" s="922"/>
      <c r="ALO180" s="922"/>
      <c r="ALP180" s="922"/>
      <c r="ALQ180" s="922"/>
      <c r="ALR180" s="922"/>
      <c r="ALS180" s="922"/>
      <c r="ALT180" s="922"/>
      <c r="ALU180" s="922"/>
      <c r="ALV180" s="922"/>
      <c r="ALW180" s="922"/>
      <c r="ALX180" s="922"/>
      <c r="ALY180" s="922"/>
      <c r="ALZ180" s="922"/>
      <c r="AMA180" s="922"/>
      <c r="AMB180" s="922"/>
      <c r="AMC180" s="922"/>
      <c r="AMD180" s="922"/>
      <c r="AME180" s="922"/>
      <c r="AMF180" s="922"/>
      <c r="AMG180" s="922"/>
      <c r="AMH180" s="922"/>
      <c r="AMI180" s="922"/>
      <c r="AMJ180" s="922"/>
      <c r="AMK180" s="922"/>
      <c r="AML180" s="922"/>
      <c r="AMM180" s="922"/>
      <c r="AMN180" s="922"/>
      <c r="AMO180" s="922"/>
      <c r="AMP180" s="922"/>
      <c r="AMQ180" s="922"/>
      <c r="AMR180" s="922"/>
      <c r="AMS180" s="922"/>
      <c r="AMT180" s="922"/>
      <c r="AMU180" s="922"/>
      <c r="AMV180" s="922"/>
      <c r="AMW180" s="922"/>
      <c r="AMX180" s="922"/>
      <c r="AMY180" s="922"/>
      <c r="AMZ180" s="922"/>
      <c r="ANA180" s="922"/>
      <c r="ANB180" s="922"/>
      <c r="ANC180" s="922"/>
      <c r="AND180" s="922"/>
      <c r="ANE180" s="922"/>
      <c r="ANF180" s="922"/>
      <c r="ANG180" s="922"/>
      <c r="ANH180" s="922"/>
      <c r="ANI180" s="922"/>
      <c r="ANJ180" s="922"/>
      <c r="ANK180" s="922"/>
      <c r="ANL180" s="922"/>
      <c r="ANM180" s="922"/>
      <c r="ANN180" s="922"/>
      <c r="ANO180" s="922"/>
      <c r="ANP180" s="922"/>
      <c r="ANQ180" s="922"/>
      <c r="ANR180" s="922"/>
      <c r="ANS180" s="922"/>
      <c r="ANT180" s="922"/>
      <c r="ANU180" s="922"/>
      <c r="ANV180" s="922"/>
      <c r="ANW180" s="922"/>
      <c r="ANX180" s="922"/>
      <c r="ANY180" s="922"/>
      <c r="ANZ180" s="922"/>
      <c r="AOA180" s="922"/>
      <c r="AOB180" s="922"/>
      <c r="AOC180" s="922"/>
      <c r="AOD180" s="922"/>
      <c r="AOE180" s="922"/>
      <c r="AOF180" s="922"/>
      <c r="AOG180" s="922"/>
      <c r="AOH180" s="922"/>
      <c r="AOI180" s="922"/>
      <c r="AOJ180" s="922"/>
      <c r="AOK180" s="922"/>
      <c r="AOL180" s="922"/>
      <c r="AOM180" s="922"/>
      <c r="AON180" s="922"/>
      <c r="AOO180" s="922"/>
      <c r="AOP180" s="922"/>
      <c r="AOQ180" s="922"/>
      <c r="AOR180" s="922"/>
      <c r="AOS180" s="922"/>
      <c r="AOT180" s="922"/>
      <c r="AOU180" s="922"/>
      <c r="AOV180" s="922"/>
      <c r="AOW180" s="922"/>
      <c r="AOX180" s="922"/>
      <c r="AOY180" s="922"/>
      <c r="AOZ180" s="922"/>
      <c r="APA180" s="922"/>
      <c r="APB180" s="922"/>
      <c r="APC180" s="922"/>
      <c r="APD180" s="922"/>
      <c r="APE180" s="922"/>
      <c r="APF180" s="922"/>
      <c r="APG180" s="922"/>
      <c r="APH180" s="922"/>
      <c r="API180" s="922"/>
      <c r="APJ180" s="922"/>
      <c r="APK180" s="922"/>
      <c r="APL180" s="922"/>
      <c r="APM180" s="922"/>
      <c r="APN180" s="922"/>
      <c r="APO180" s="922"/>
      <c r="APP180" s="922"/>
      <c r="APQ180" s="922"/>
      <c r="APR180" s="922"/>
      <c r="APS180" s="922"/>
      <c r="APT180" s="922"/>
      <c r="APU180" s="922"/>
      <c r="APV180" s="922"/>
      <c r="APW180" s="922"/>
      <c r="APX180" s="922"/>
      <c r="APY180" s="922"/>
      <c r="APZ180" s="922"/>
      <c r="AQA180" s="922"/>
      <c r="AQB180" s="922"/>
      <c r="AQC180" s="922"/>
      <c r="AQD180" s="922"/>
      <c r="AQE180" s="922"/>
      <c r="AQF180" s="922"/>
      <c r="AQG180" s="922"/>
      <c r="AQH180" s="922"/>
      <c r="AQI180" s="922"/>
      <c r="AQJ180" s="922"/>
      <c r="AQK180" s="922"/>
      <c r="AQL180" s="922"/>
      <c r="AQM180" s="922"/>
      <c r="AQN180" s="922"/>
      <c r="AQO180" s="922"/>
      <c r="AQP180" s="922"/>
      <c r="AQQ180" s="922"/>
      <c r="AQR180" s="922"/>
      <c r="AQS180" s="922"/>
      <c r="AQT180" s="922"/>
      <c r="AQU180" s="922"/>
      <c r="AQV180" s="922"/>
      <c r="AQW180" s="922"/>
      <c r="AQX180" s="922"/>
      <c r="AQY180" s="922"/>
      <c r="AQZ180" s="922"/>
      <c r="ARA180" s="922"/>
      <c r="ARB180" s="922"/>
      <c r="ARC180" s="922"/>
      <c r="ARD180" s="922"/>
      <c r="ARE180" s="922"/>
      <c r="ARF180" s="922"/>
      <c r="ARG180" s="922"/>
      <c r="ARH180" s="922"/>
      <c r="ARI180" s="922"/>
      <c r="ARJ180" s="922"/>
      <c r="ARK180" s="922"/>
      <c r="ARL180" s="922"/>
      <c r="ARM180" s="922"/>
      <c r="ARN180" s="922"/>
      <c r="ARO180" s="922"/>
      <c r="ARP180" s="922"/>
      <c r="ARQ180" s="922"/>
      <c r="ARR180" s="922"/>
      <c r="ARS180" s="922"/>
      <c r="ART180" s="922"/>
      <c r="ARU180" s="922"/>
      <c r="ARV180" s="922"/>
      <c r="ARW180" s="922"/>
      <c r="ARX180" s="922"/>
      <c r="ARY180" s="922"/>
      <c r="ARZ180" s="922"/>
      <c r="ASA180" s="922"/>
      <c r="ASB180" s="922"/>
      <c r="ASC180" s="922"/>
    </row>
    <row r="181" spans="1:1173" hidden="1">
      <c r="T181" s="922"/>
      <c r="AN181" s="922"/>
      <c r="AO181" s="922"/>
      <c r="AP181" s="922"/>
      <c r="AQ181" s="922"/>
      <c r="AR181" s="922"/>
      <c r="AS181" s="922"/>
      <c r="AT181" s="922"/>
      <c r="AU181" s="922"/>
      <c r="AV181" s="922"/>
      <c r="AW181" s="922"/>
      <c r="AX181" s="922"/>
      <c r="AY181" s="922"/>
      <c r="AZ181" s="922"/>
      <c r="BA181" s="922"/>
      <c r="BB181" s="922"/>
      <c r="BC181" s="922"/>
      <c r="BD181" s="922"/>
      <c r="BE181" s="922"/>
      <c r="BF181" s="922"/>
      <c r="BG181" s="922"/>
      <c r="BH181" s="922"/>
      <c r="BI181" s="922"/>
      <c r="BJ181" s="922"/>
      <c r="BK181" s="922"/>
      <c r="BL181" s="922"/>
      <c r="BM181" s="922"/>
      <c r="BN181" s="922"/>
      <c r="BO181" s="922"/>
      <c r="BP181" s="922"/>
      <c r="BQ181" s="922"/>
      <c r="BR181" s="922"/>
      <c r="BS181" s="922"/>
      <c r="BT181" s="922"/>
      <c r="BU181" s="922"/>
      <c r="BV181" s="922"/>
      <c r="BW181" s="922"/>
      <c r="BX181" s="922"/>
      <c r="BY181" s="922"/>
      <c r="BZ181" s="922"/>
      <c r="CA181" s="922"/>
      <c r="CB181" s="922"/>
      <c r="CC181" s="922"/>
      <c r="CD181" s="922"/>
      <c r="CE181" s="922"/>
      <c r="CF181" s="922"/>
      <c r="CG181" s="922"/>
      <c r="CH181" s="922"/>
      <c r="CI181" s="922"/>
      <c r="CJ181" s="922"/>
      <c r="CK181" s="922"/>
      <c r="CL181" s="922"/>
      <c r="CM181" s="922"/>
      <c r="CN181" s="922"/>
      <c r="CO181" s="922"/>
      <c r="CP181" s="922"/>
      <c r="CQ181" s="922"/>
      <c r="CR181" s="922"/>
      <c r="CS181" s="922"/>
      <c r="CT181" s="922"/>
      <c r="CU181" s="922"/>
      <c r="CV181" s="922"/>
      <c r="CW181" s="922"/>
      <c r="CX181" s="922"/>
      <c r="CY181" s="922"/>
      <c r="CZ181" s="922"/>
      <c r="DA181" s="922"/>
      <c r="DB181" s="922"/>
      <c r="DC181" s="922"/>
      <c r="DD181" s="922"/>
      <c r="DE181" s="922"/>
      <c r="DF181" s="922"/>
      <c r="DG181" s="922"/>
      <c r="DH181" s="922"/>
      <c r="DI181" s="922"/>
      <c r="DJ181" s="922"/>
      <c r="DK181" s="922"/>
      <c r="DL181" s="922"/>
      <c r="DM181" s="922"/>
      <c r="DN181" s="922"/>
      <c r="DO181" s="922"/>
      <c r="DP181" s="922"/>
      <c r="DQ181" s="922"/>
      <c r="DR181" s="922"/>
      <c r="DS181" s="922"/>
      <c r="DT181" s="922"/>
      <c r="DU181" s="922"/>
      <c r="DV181" s="922"/>
      <c r="DW181" s="922"/>
      <c r="DX181" s="922"/>
      <c r="DY181" s="922"/>
      <c r="DZ181" s="922"/>
      <c r="EA181" s="922"/>
      <c r="EB181" s="922"/>
      <c r="EC181" s="922"/>
      <c r="ED181" s="922"/>
      <c r="EE181" s="922"/>
      <c r="EF181" s="922"/>
      <c r="EG181" s="922"/>
      <c r="EH181" s="922"/>
      <c r="EI181" s="922"/>
      <c r="EJ181" s="922"/>
      <c r="EK181" s="922"/>
      <c r="EL181" s="922"/>
      <c r="EM181" s="922"/>
      <c r="EN181" s="922"/>
      <c r="EO181" s="922"/>
      <c r="EP181" s="922"/>
      <c r="EQ181" s="922"/>
      <c r="ER181" s="922"/>
      <c r="ES181" s="922"/>
      <c r="ET181" s="922"/>
      <c r="EU181" s="922"/>
      <c r="EV181" s="922"/>
      <c r="EW181" s="922"/>
      <c r="EX181" s="922"/>
      <c r="EY181" s="922"/>
      <c r="EZ181" s="922"/>
      <c r="FA181" s="922"/>
      <c r="FB181" s="922"/>
      <c r="FC181" s="922"/>
      <c r="FD181" s="922"/>
      <c r="FE181" s="922"/>
      <c r="FF181" s="922"/>
      <c r="FG181" s="922"/>
      <c r="FH181" s="922"/>
      <c r="FI181" s="922"/>
      <c r="FJ181" s="922"/>
      <c r="FK181" s="922"/>
      <c r="FL181" s="922"/>
      <c r="FM181" s="922"/>
      <c r="FN181" s="922"/>
      <c r="FO181" s="922"/>
      <c r="FP181" s="922"/>
      <c r="FQ181" s="922"/>
      <c r="FR181" s="922"/>
      <c r="FS181" s="922"/>
      <c r="FT181" s="922"/>
      <c r="FU181" s="922"/>
      <c r="FV181" s="922"/>
      <c r="FW181" s="922"/>
      <c r="FX181" s="922"/>
      <c r="FY181" s="922"/>
      <c r="FZ181" s="922"/>
      <c r="GA181" s="922"/>
      <c r="GB181" s="922"/>
      <c r="GC181" s="922"/>
      <c r="GD181" s="922"/>
      <c r="GE181" s="922"/>
      <c r="GF181" s="922"/>
      <c r="GG181" s="922"/>
      <c r="GH181" s="922"/>
      <c r="GI181" s="922"/>
      <c r="GJ181" s="922"/>
      <c r="GK181" s="922"/>
      <c r="GL181" s="922"/>
      <c r="GM181" s="922"/>
      <c r="GN181" s="922"/>
      <c r="GO181" s="922"/>
      <c r="GP181" s="922"/>
      <c r="GQ181" s="922"/>
      <c r="GR181" s="922"/>
      <c r="GS181" s="922"/>
      <c r="GT181" s="922"/>
      <c r="GU181" s="922"/>
      <c r="GV181" s="922"/>
      <c r="GW181" s="922"/>
      <c r="GX181" s="922"/>
      <c r="GY181" s="922"/>
      <c r="GZ181" s="922"/>
      <c r="HA181" s="922"/>
      <c r="HB181" s="922"/>
      <c r="HC181" s="922"/>
      <c r="HD181" s="922"/>
      <c r="HE181" s="922"/>
      <c r="HF181" s="922"/>
      <c r="HG181" s="922"/>
      <c r="HH181" s="922"/>
      <c r="HI181" s="922"/>
      <c r="HJ181" s="922"/>
      <c r="HK181" s="922"/>
      <c r="HL181" s="922"/>
      <c r="HM181" s="922"/>
      <c r="HN181" s="922"/>
      <c r="HO181" s="922"/>
      <c r="HP181" s="922"/>
      <c r="HQ181" s="922"/>
      <c r="HR181" s="922"/>
      <c r="HS181" s="922"/>
      <c r="HT181" s="922"/>
      <c r="HU181" s="922"/>
      <c r="HV181" s="922"/>
      <c r="HW181" s="922"/>
      <c r="HX181" s="922"/>
      <c r="HY181" s="922"/>
      <c r="HZ181" s="922"/>
      <c r="IA181" s="922"/>
      <c r="IB181" s="922"/>
      <c r="IC181" s="922"/>
      <c r="ID181" s="922"/>
      <c r="IE181" s="922"/>
      <c r="IF181" s="922"/>
      <c r="IG181" s="922"/>
      <c r="IH181" s="922"/>
      <c r="II181" s="922"/>
      <c r="IJ181" s="922"/>
      <c r="IK181" s="922"/>
      <c r="IL181" s="922"/>
      <c r="IM181" s="922"/>
      <c r="IN181" s="922"/>
      <c r="IO181" s="922"/>
      <c r="IP181" s="922"/>
      <c r="IQ181" s="922"/>
      <c r="IR181" s="922"/>
      <c r="IS181" s="922"/>
      <c r="IT181" s="922"/>
      <c r="IU181" s="922"/>
      <c r="IV181" s="922"/>
      <c r="IW181" s="922"/>
      <c r="IX181" s="922"/>
      <c r="IY181" s="922"/>
      <c r="IZ181" s="922"/>
      <c r="JA181" s="922"/>
      <c r="JB181" s="922"/>
      <c r="JC181" s="922"/>
      <c r="JD181" s="922"/>
      <c r="JE181" s="922"/>
      <c r="JF181" s="922"/>
      <c r="JG181" s="922"/>
      <c r="JH181" s="922"/>
      <c r="JI181" s="922"/>
      <c r="JJ181" s="922"/>
      <c r="JK181" s="922"/>
      <c r="JL181" s="922"/>
      <c r="JM181" s="922"/>
      <c r="JN181" s="922"/>
      <c r="JO181" s="922"/>
      <c r="JP181" s="922"/>
      <c r="JQ181" s="922"/>
      <c r="JR181" s="922"/>
      <c r="JS181" s="922"/>
      <c r="JT181" s="922"/>
      <c r="JU181" s="922"/>
      <c r="JV181" s="922"/>
      <c r="JW181" s="922"/>
      <c r="JX181" s="922"/>
      <c r="JY181" s="922"/>
      <c r="JZ181" s="922"/>
      <c r="KA181" s="922"/>
      <c r="KB181" s="922"/>
      <c r="KC181" s="922"/>
      <c r="KD181" s="922"/>
      <c r="KE181" s="922"/>
      <c r="KF181" s="922"/>
      <c r="KG181" s="922"/>
      <c r="KH181" s="922"/>
      <c r="KI181" s="922"/>
      <c r="KJ181" s="922"/>
      <c r="KK181" s="922"/>
      <c r="KL181" s="922"/>
      <c r="KM181" s="922"/>
      <c r="KN181" s="922"/>
      <c r="KO181" s="922"/>
      <c r="KP181" s="922"/>
      <c r="KQ181" s="922"/>
      <c r="KR181" s="922"/>
      <c r="KS181" s="922"/>
      <c r="KT181" s="922"/>
      <c r="KU181" s="922"/>
      <c r="KV181" s="922"/>
      <c r="KW181" s="922"/>
      <c r="KX181" s="922"/>
      <c r="KY181" s="922"/>
      <c r="KZ181" s="922"/>
      <c r="LA181" s="922"/>
      <c r="LB181" s="922"/>
      <c r="LC181" s="922"/>
      <c r="LD181" s="922"/>
      <c r="LE181" s="922"/>
      <c r="LF181" s="922"/>
      <c r="LG181" s="922"/>
      <c r="LH181" s="922"/>
      <c r="LI181" s="922"/>
      <c r="LJ181" s="922"/>
      <c r="LK181" s="922"/>
      <c r="LL181" s="922"/>
      <c r="LM181" s="922"/>
      <c r="LN181" s="922"/>
      <c r="LO181" s="922"/>
      <c r="LP181" s="922"/>
      <c r="LQ181" s="922"/>
      <c r="LR181" s="922"/>
      <c r="LS181" s="922"/>
      <c r="LT181" s="922"/>
      <c r="LU181" s="922"/>
      <c r="LV181" s="922"/>
      <c r="LW181" s="922"/>
      <c r="LX181" s="922"/>
      <c r="LY181" s="922"/>
      <c r="LZ181" s="922"/>
      <c r="MA181" s="922"/>
      <c r="MB181" s="922"/>
      <c r="MC181" s="922"/>
      <c r="MD181" s="922"/>
      <c r="ME181" s="922"/>
      <c r="MF181" s="922"/>
      <c r="MG181" s="922"/>
      <c r="MH181" s="922"/>
      <c r="MI181" s="922"/>
      <c r="MJ181" s="922"/>
      <c r="MK181" s="922"/>
      <c r="ML181" s="922"/>
      <c r="MM181" s="922"/>
      <c r="MN181" s="922"/>
      <c r="MO181" s="922"/>
      <c r="MP181" s="922"/>
      <c r="MQ181" s="922"/>
      <c r="MR181" s="922"/>
      <c r="MS181" s="922"/>
      <c r="MT181" s="922"/>
      <c r="MU181" s="922"/>
      <c r="MV181" s="922"/>
      <c r="MW181" s="922"/>
      <c r="MX181" s="922"/>
      <c r="MY181" s="922"/>
      <c r="MZ181" s="922"/>
      <c r="NA181" s="922"/>
      <c r="NB181" s="922"/>
      <c r="NC181" s="922"/>
      <c r="ND181" s="922"/>
      <c r="NE181" s="922"/>
      <c r="NF181" s="922"/>
      <c r="NG181" s="922"/>
      <c r="NH181" s="922"/>
      <c r="NI181" s="922"/>
      <c r="NJ181" s="922"/>
      <c r="NK181" s="922"/>
      <c r="NL181" s="922"/>
      <c r="NM181" s="922"/>
      <c r="NN181" s="922"/>
      <c r="NO181" s="922"/>
      <c r="NP181" s="922"/>
      <c r="NQ181" s="922"/>
      <c r="NR181" s="922"/>
      <c r="NS181" s="922"/>
      <c r="NT181" s="922"/>
      <c r="NU181" s="922"/>
      <c r="NV181" s="922"/>
      <c r="NW181" s="922"/>
      <c r="NX181" s="922"/>
      <c r="NY181" s="922"/>
      <c r="NZ181" s="922"/>
      <c r="OA181" s="922"/>
      <c r="OB181" s="922"/>
      <c r="OC181" s="922"/>
      <c r="OD181" s="922"/>
      <c r="OE181" s="922"/>
      <c r="OF181" s="922"/>
      <c r="OG181" s="922"/>
      <c r="OH181" s="922"/>
      <c r="OI181" s="922"/>
      <c r="OJ181" s="922"/>
      <c r="OK181" s="922"/>
      <c r="OL181" s="922"/>
      <c r="OM181" s="922"/>
      <c r="ON181" s="922"/>
      <c r="OO181" s="922"/>
      <c r="OP181" s="922"/>
      <c r="OQ181" s="922"/>
      <c r="OR181" s="922"/>
      <c r="OS181" s="922"/>
      <c r="OT181" s="922"/>
      <c r="OU181" s="922"/>
      <c r="OV181" s="922"/>
      <c r="OW181" s="922"/>
      <c r="OX181" s="922"/>
      <c r="OY181" s="922"/>
      <c r="OZ181" s="922"/>
      <c r="PA181" s="922"/>
      <c r="PB181" s="922"/>
      <c r="PC181" s="922"/>
      <c r="PD181" s="922"/>
      <c r="PE181" s="922"/>
      <c r="PF181" s="922"/>
      <c r="PG181" s="922"/>
      <c r="PH181" s="922"/>
      <c r="PI181" s="922"/>
      <c r="PJ181" s="922"/>
      <c r="PK181" s="922"/>
      <c r="PL181" s="922"/>
      <c r="PM181" s="922"/>
      <c r="PN181" s="922"/>
      <c r="PO181" s="922"/>
      <c r="PP181" s="922"/>
      <c r="PQ181" s="922"/>
      <c r="PR181" s="922"/>
      <c r="PS181" s="922"/>
      <c r="PT181" s="922"/>
      <c r="PU181" s="922"/>
      <c r="PV181" s="922"/>
      <c r="PW181" s="922"/>
      <c r="PX181" s="922"/>
      <c r="PY181" s="922"/>
      <c r="PZ181" s="922"/>
      <c r="QA181" s="922"/>
      <c r="QB181" s="922"/>
      <c r="QC181" s="922"/>
      <c r="QD181" s="922"/>
      <c r="QE181" s="922"/>
      <c r="QF181" s="922"/>
      <c r="QG181" s="922"/>
      <c r="QH181" s="922"/>
      <c r="QI181" s="922"/>
      <c r="QJ181" s="922"/>
      <c r="QK181" s="922"/>
      <c r="QL181" s="922"/>
      <c r="QM181" s="922"/>
      <c r="QN181" s="922"/>
      <c r="QO181" s="922"/>
      <c r="QP181" s="922"/>
      <c r="QQ181" s="922"/>
      <c r="QR181" s="922"/>
      <c r="QS181" s="922"/>
      <c r="QT181" s="922"/>
      <c r="QU181" s="922"/>
      <c r="QV181" s="922"/>
      <c r="QW181" s="922"/>
      <c r="QX181" s="922"/>
      <c r="QY181" s="922"/>
      <c r="QZ181" s="922"/>
      <c r="RA181" s="922"/>
      <c r="RB181" s="922"/>
      <c r="RC181" s="922"/>
      <c r="RD181" s="922"/>
      <c r="RE181" s="922"/>
      <c r="RF181" s="922"/>
      <c r="RG181" s="922"/>
      <c r="RH181" s="922"/>
      <c r="RI181" s="922"/>
      <c r="RJ181" s="922"/>
      <c r="RK181" s="922"/>
      <c r="RL181" s="922"/>
      <c r="RM181" s="922"/>
      <c r="RN181" s="922"/>
      <c r="RO181" s="922"/>
      <c r="RP181" s="922"/>
      <c r="RQ181" s="922"/>
      <c r="RR181" s="922"/>
      <c r="RS181" s="922"/>
      <c r="RT181" s="922"/>
      <c r="RU181" s="922"/>
      <c r="RV181" s="922"/>
      <c r="RW181" s="922"/>
      <c r="RX181" s="922"/>
      <c r="RY181" s="922"/>
      <c r="RZ181" s="922"/>
      <c r="SA181" s="922"/>
      <c r="SB181" s="922"/>
      <c r="SC181" s="922"/>
      <c r="SD181" s="922"/>
      <c r="SE181" s="922"/>
      <c r="SF181" s="922"/>
      <c r="SG181" s="922"/>
      <c r="SH181" s="922"/>
      <c r="SI181" s="922"/>
      <c r="SJ181" s="922"/>
      <c r="SK181" s="922"/>
      <c r="SL181" s="922"/>
      <c r="SM181" s="922"/>
      <c r="SN181" s="922"/>
      <c r="SO181" s="922"/>
      <c r="SP181" s="922"/>
      <c r="SQ181" s="922"/>
      <c r="SR181" s="922"/>
      <c r="SS181" s="922"/>
      <c r="ST181" s="922"/>
      <c r="SU181" s="922"/>
      <c r="SV181" s="922"/>
      <c r="SW181" s="922"/>
      <c r="SX181" s="922"/>
      <c r="SY181" s="922"/>
      <c r="SZ181" s="922"/>
      <c r="TA181" s="922"/>
      <c r="TB181" s="922"/>
      <c r="TC181" s="922"/>
      <c r="TD181" s="922"/>
      <c r="TE181" s="922"/>
      <c r="TF181" s="922"/>
      <c r="TG181" s="922"/>
      <c r="TH181" s="922"/>
      <c r="TI181" s="922"/>
      <c r="TJ181" s="922"/>
      <c r="TK181" s="922"/>
      <c r="TL181" s="922"/>
      <c r="TM181" s="922"/>
      <c r="TN181" s="922"/>
      <c r="TO181" s="922"/>
      <c r="TP181" s="922"/>
      <c r="TQ181" s="922"/>
      <c r="TR181" s="922"/>
      <c r="TS181" s="922"/>
      <c r="TT181" s="922"/>
      <c r="TU181" s="922"/>
      <c r="TV181" s="922"/>
      <c r="TW181" s="922"/>
      <c r="TX181" s="922"/>
      <c r="TY181" s="922"/>
      <c r="TZ181" s="922"/>
      <c r="UA181" s="922"/>
      <c r="UB181" s="922"/>
      <c r="UC181" s="922"/>
      <c r="UD181" s="922"/>
      <c r="UE181" s="922"/>
      <c r="UF181" s="922"/>
      <c r="UG181" s="922"/>
      <c r="UH181" s="922"/>
      <c r="UI181" s="922"/>
      <c r="UJ181" s="922"/>
      <c r="UK181" s="922"/>
      <c r="UL181" s="922"/>
      <c r="UM181" s="922"/>
      <c r="UN181" s="922"/>
      <c r="UO181" s="922"/>
      <c r="UP181" s="922"/>
      <c r="UQ181" s="922"/>
      <c r="UR181" s="922"/>
      <c r="US181" s="922"/>
      <c r="UT181" s="922"/>
      <c r="UU181" s="922"/>
      <c r="UV181" s="922"/>
      <c r="UW181" s="922"/>
      <c r="UX181" s="922"/>
      <c r="UY181" s="922"/>
      <c r="UZ181" s="922"/>
      <c r="VA181" s="922"/>
      <c r="VB181" s="922"/>
      <c r="VC181" s="922"/>
      <c r="VD181" s="922"/>
      <c r="VE181" s="922"/>
      <c r="VF181" s="922"/>
      <c r="VG181" s="922"/>
      <c r="VH181" s="922"/>
      <c r="VI181" s="922"/>
      <c r="VJ181" s="922"/>
      <c r="VK181" s="922"/>
      <c r="VL181" s="922"/>
      <c r="VM181" s="922"/>
      <c r="VN181" s="922"/>
      <c r="VO181" s="922"/>
      <c r="VP181" s="922"/>
      <c r="VQ181" s="922"/>
      <c r="VR181" s="922"/>
      <c r="VS181" s="922"/>
      <c r="VT181" s="922"/>
      <c r="VU181" s="922"/>
      <c r="VV181" s="922"/>
      <c r="VW181" s="922"/>
      <c r="VX181" s="922"/>
      <c r="VY181" s="922"/>
      <c r="VZ181" s="922"/>
      <c r="WA181" s="922"/>
      <c r="WB181" s="922"/>
      <c r="WC181" s="922"/>
      <c r="WD181" s="922"/>
      <c r="WE181" s="922"/>
      <c r="WF181" s="922"/>
      <c r="WG181" s="922"/>
      <c r="WH181" s="922"/>
      <c r="WI181" s="922"/>
      <c r="WJ181" s="922"/>
      <c r="WK181" s="922"/>
      <c r="WL181" s="922"/>
      <c r="WM181" s="922"/>
      <c r="WN181" s="922"/>
      <c r="WO181" s="922"/>
      <c r="WP181" s="922"/>
      <c r="WQ181" s="922"/>
      <c r="WR181" s="922"/>
      <c r="WS181" s="922"/>
      <c r="WT181" s="922"/>
      <c r="WU181" s="922"/>
      <c r="WV181" s="922"/>
      <c r="WW181" s="922"/>
      <c r="WX181" s="922"/>
      <c r="WY181" s="922"/>
      <c r="WZ181" s="922"/>
      <c r="XA181" s="922"/>
      <c r="XB181" s="922"/>
      <c r="XC181" s="922"/>
      <c r="XD181" s="922"/>
      <c r="XE181" s="922"/>
      <c r="XF181" s="922"/>
      <c r="XG181" s="922"/>
      <c r="XH181" s="922"/>
      <c r="XI181" s="922"/>
      <c r="XJ181" s="922"/>
      <c r="XK181" s="922"/>
      <c r="XL181" s="922"/>
      <c r="XM181" s="922"/>
      <c r="XN181" s="922"/>
      <c r="XO181" s="922"/>
      <c r="XP181" s="922"/>
      <c r="XQ181" s="922"/>
      <c r="XR181" s="922"/>
      <c r="XS181" s="922"/>
      <c r="XT181" s="922"/>
      <c r="XU181" s="922"/>
      <c r="XV181" s="922"/>
      <c r="XW181" s="922"/>
      <c r="XX181" s="922"/>
      <c r="XY181" s="922"/>
      <c r="XZ181" s="922"/>
      <c r="YA181" s="922"/>
      <c r="YB181" s="922"/>
      <c r="YC181" s="922"/>
      <c r="YD181" s="922"/>
      <c r="YE181" s="922"/>
      <c r="YF181" s="922"/>
      <c r="YG181" s="922"/>
      <c r="YH181" s="922"/>
      <c r="YI181" s="922"/>
      <c r="YJ181" s="922"/>
      <c r="YK181" s="922"/>
      <c r="YL181" s="922"/>
      <c r="YM181" s="922"/>
      <c r="YN181" s="922"/>
      <c r="YO181" s="922"/>
      <c r="YP181" s="922"/>
      <c r="YQ181" s="922"/>
      <c r="YR181" s="922"/>
      <c r="YS181" s="922"/>
      <c r="YT181" s="922"/>
      <c r="YU181" s="922"/>
      <c r="YV181" s="922"/>
      <c r="YW181" s="922"/>
      <c r="YX181" s="922"/>
      <c r="YY181" s="922"/>
      <c r="YZ181" s="922"/>
      <c r="ZA181" s="922"/>
      <c r="ZB181" s="922"/>
      <c r="ZC181" s="922"/>
      <c r="ZD181" s="922"/>
      <c r="ZE181" s="922"/>
      <c r="ZF181" s="922"/>
      <c r="ZG181" s="922"/>
      <c r="ZH181" s="922"/>
      <c r="ZI181" s="922"/>
      <c r="ZJ181" s="922"/>
      <c r="ZK181" s="922"/>
      <c r="ZL181" s="922"/>
      <c r="ZM181" s="922"/>
      <c r="ZN181" s="922"/>
      <c r="ZO181" s="922"/>
      <c r="ZP181" s="922"/>
      <c r="ZQ181" s="922"/>
      <c r="ZR181" s="922"/>
      <c r="ZS181" s="922"/>
      <c r="ZT181" s="922"/>
      <c r="ZU181" s="922"/>
      <c r="ZV181" s="922"/>
      <c r="ZW181" s="922"/>
      <c r="ZX181" s="922"/>
      <c r="ZY181" s="922"/>
      <c r="ZZ181" s="922"/>
      <c r="AAA181" s="922"/>
      <c r="AAB181" s="922"/>
      <c r="AAC181" s="922"/>
      <c r="AAD181" s="922"/>
      <c r="AAE181" s="922"/>
      <c r="AAF181" s="922"/>
      <c r="AAG181" s="922"/>
      <c r="AAH181" s="922"/>
      <c r="AAI181" s="922"/>
      <c r="AAJ181" s="922"/>
      <c r="AAK181" s="922"/>
      <c r="AAL181" s="922"/>
      <c r="AAM181" s="922"/>
      <c r="AAN181" s="922"/>
      <c r="AAO181" s="922"/>
      <c r="AAP181" s="922"/>
      <c r="AAQ181" s="922"/>
      <c r="AAR181" s="922"/>
      <c r="AAS181" s="922"/>
      <c r="AAT181" s="922"/>
      <c r="AAU181" s="922"/>
      <c r="AAV181" s="922"/>
      <c r="AAW181" s="922"/>
      <c r="AAX181" s="922"/>
      <c r="AAY181" s="922"/>
      <c r="AAZ181" s="922"/>
      <c r="ABA181" s="922"/>
      <c r="ABB181" s="922"/>
      <c r="ABC181" s="922"/>
      <c r="ABD181" s="922"/>
      <c r="ABE181" s="922"/>
      <c r="ABF181" s="922"/>
      <c r="ABG181" s="922"/>
      <c r="ABH181" s="922"/>
      <c r="ABI181" s="922"/>
      <c r="ABJ181" s="922"/>
      <c r="ABK181" s="922"/>
      <c r="ABL181" s="922"/>
      <c r="ABM181" s="922"/>
      <c r="ABN181" s="922"/>
      <c r="ABO181" s="922"/>
      <c r="ABP181" s="922"/>
      <c r="ABQ181" s="922"/>
      <c r="ABR181" s="922"/>
      <c r="ABS181" s="922"/>
      <c r="ABT181" s="922"/>
      <c r="ABU181" s="922"/>
      <c r="ABV181" s="922"/>
      <c r="ABW181" s="922"/>
      <c r="ABX181" s="922"/>
      <c r="ABY181" s="922"/>
      <c r="ABZ181" s="922"/>
      <c r="ACA181" s="922"/>
      <c r="ACB181" s="922"/>
      <c r="ACC181" s="922"/>
      <c r="ACD181" s="922"/>
      <c r="ACE181" s="922"/>
      <c r="ACF181" s="922"/>
      <c r="ACG181" s="922"/>
      <c r="ACH181" s="922"/>
      <c r="ACI181" s="922"/>
      <c r="ACJ181" s="922"/>
      <c r="ACK181" s="922"/>
      <c r="ACL181" s="922"/>
      <c r="ACM181" s="922"/>
      <c r="ACN181" s="922"/>
      <c r="ACO181" s="922"/>
      <c r="ACP181" s="922"/>
      <c r="ACQ181" s="922"/>
      <c r="ACR181" s="922"/>
      <c r="ACS181" s="922"/>
      <c r="ACT181" s="922"/>
      <c r="ACU181" s="922"/>
      <c r="ACV181" s="922"/>
      <c r="ACW181" s="922"/>
      <c r="ACX181" s="922"/>
      <c r="ACY181" s="922"/>
      <c r="ACZ181" s="922"/>
      <c r="ADA181" s="922"/>
      <c r="ADB181" s="922"/>
      <c r="ADC181" s="922"/>
      <c r="ADD181" s="922"/>
      <c r="ADE181" s="922"/>
      <c r="ADF181" s="922"/>
      <c r="ADG181" s="922"/>
      <c r="ADH181" s="922"/>
      <c r="ADI181" s="922"/>
      <c r="ADJ181" s="922"/>
      <c r="ADK181" s="922"/>
      <c r="ADL181" s="922"/>
      <c r="ADM181" s="922"/>
      <c r="ADN181" s="922"/>
      <c r="ADO181" s="922"/>
      <c r="ADP181" s="922"/>
      <c r="ADQ181" s="922"/>
      <c r="ADR181" s="922"/>
      <c r="ADS181" s="922"/>
      <c r="ADT181" s="922"/>
      <c r="ADU181" s="922"/>
      <c r="ADV181" s="922"/>
      <c r="ADW181" s="922"/>
      <c r="ADX181" s="922"/>
      <c r="ADY181" s="922"/>
      <c r="ADZ181" s="922"/>
      <c r="AEA181" s="922"/>
      <c r="AEB181" s="922"/>
      <c r="AEC181" s="922"/>
      <c r="AED181" s="922"/>
      <c r="AEE181" s="922"/>
      <c r="AEF181" s="922"/>
      <c r="AEG181" s="922"/>
      <c r="AEH181" s="922"/>
      <c r="AEI181" s="922"/>
      <c r="AEJ181" s="922"/>
      <c r="AEK181" s="922"/>
      <c r="AEL181" s="922"/>
      <c r="AEM181" s="922"/>
      <c r="AEN181" s="922"/>
      <c r="AEO181" s="922"/>
      <c r="AEP181" s="922"/>
      <c r="AEQ181" s="922"/>
      <c r="AER181" s="922"/>
      <c r="AES181" s="922"/>
      <c r="AET181" s="922"/>
      <c r="AEU181" s="922"/>
      <c r="AEV181" s="922"/>
      <c r="AEW181" s="922"/>
      <c r="AEX181" s="922"/>
      <c r="AEY181" s="922"/>
      <c r="AEZ181" s="922"/>
      <c r="AFA181" s="922"/>
      <c r="AFB181" s="922"/>
      <c r="AFC181" s="922"/>
      <c r="AFD181" s="922"/>
      <c r="AFE181" s="922"/>
      <c r="AFF181" s="922"/>
      <c r="AFG181" s="922"/>
      <c r="AFH181" s="922"/>
      <c r="AFI181" s="922"/>
      <c r="AFJ181" s="922"/>
      <c r="AFK181" s="922"/>
      <c r="AFL181" s="922"/>
      <c r="AFM181" s="922"/>
      <c r="AFN181" s="922"/>
      <c r="AFO181" s="922"/>
      <c r="AFP181" s="922"/>
      <c r="AFQ181" s="922"/>
      <c r="AFR181" s="922"/>
      <c r="AFS181" s="922"/>
      <c r="AFT181" s="922"/>
      <c r="AFU181" s="922"/>
      <c r="AFV181" s="922"/>
      <c r="AFW181" s="922"/>
      <c r="AFX181" s="922"/>
      <c r="AFY181" s="922"/>
      <c r="AFZ181" s="922"/>
      <c r="AGA181" s="922"/>
      <c r="AGB181" s="922"/>
      <c r="AGC181" s="922"/>
      <c r="AGD181" s="922"/>
      <c r="AGE181" s="922"/>
      <c r="AGF181" s="922"/>
      <c r="AGG181" s="922"/>
      <c r="AGH181" s="922"/>
      <c r="AGI181" s="922"/>
      <c r="AGJ181" s="922"/>
      <c r="AGK181" s="922"/>
      <c r="AGL181" s="922"/>
      <c r="AGM181" s="922"/>
      <c r="AGN181" s="922"/>
      <c r="AGO181" s="922"/>
      <c r="AGP181" s="922"/>
      <c r="AGQ181" s="922"/>
      <c r="AGR181" s="922"/>
      <c r="AGS181" s="922"/>
      <c r="AGT181" s="922"/>
      <c r="AGU181" s="922"/>
      <c r="AGV181" s="922"/>
      <c r="AGW181" s="922"/>
      <c r="AGX181" s="922"/>
      <c r="AGY181" s="922"/>
      <c r="AGZ181" s="922"/>
      <c r="AHA181" s="922"/>
      <c r="AHB181" s="922"/>
      <c r="AHC181" s="922"/>
      <c r="AHD181" s="922"/>
      <c r="AHE181" s="922"/>
      <c r="AHF181" s="922"/>
      <c r="AHG181" s="922"/>
      <c r="AHH181" s="922"/>
      <c r="AHI181" s="922"/>
      <c r="AHJ181" s="922"/>
      <c r="AHK181" s="922"/>
      <c r="AHL181" s="922"/>
      <c r="AHM181" s="922"/>
      <c r="AHN181" s="922"/>
      <c r="AHO181" s="922"/>
      <c r="AHP181" s="922"/>
      <c r="AHQ181" s="922"/>
      <c r="AHR181" s="922"/>
      <c r="AHS181" s="922"/>
      <c r="AHT181" s="922"/>
      <c r="AHU181" s="922"/>
      <c r="AHV181" s="922"/>
      <c r="AHW181" s="922"/>
      <c r="AHX181" s="922"/>
      <c r="AHY181" s="922"/>
      <c r="AHZ181" s="922"/>
      <c r="AIA181" s="922"/>
      <c r="AIB181" s="922"/>
      <c r="AIC181" s="922"/>
      <c r="AID181" s="922"/>
      <c r="AIE181" s="922"/>
      <c r="AIF181" s="922"/>
      <c r="AIG181" s="922"/>
      <c r="AIH181" s="922"/>
      <c r="AII181" s="922"/>
      <c r="AIJ181" s="922"/>
      <c r="AIK181" s="922"/>
      <c r="AIL181" s="922"/>
      <c r="AIM181" s="922"/>
      <c r="AIN181" s="922"/>
      <c r="AIO181" s="922"/>
      <c r="AIP181" s="922"/>
      <c r="AIQ181" s="922"/>
      <c r="AIR181" s="922"/>
      <c r="AIS181" s="922"/>
      <c r="AIT181" s="922"/>
      <c r="AIU181" s="922"/>
      <c r="AIV181" s="922"/>
      <c r="AIW181" s="922"/>
      <c r="AIX181" s="922"/>
      <c r="AIY181" s="922"/>
      <c r="AIZ181" s="922"/>
      <c r="AJA181" s="922"/>
      <c r="AJB181" s="922"/>
      <c r="AJC181" s="922"/>
      <c r="AJD181" s="922"/>
      <c r="AJE181" s="922"/>
      <c r="AJF181" s="922"/>
      <c r="AJG181" s="922"/>
      <c r="AJH181" s="922"/>
      <c r="AJI181" s="922"/>
      <c r="AJJ181" s="922"/>
      <c r="AJK181" s="922"/>
      <c r="AJL181" s="922"/>
      <c r="AJM181" s="922"/>
      <c r="AJN181" s="922"/>
      <c r="AJO181" s="922"/>
      <c r="AJP181" s="922"/>
      <c r="AJQ181" s="922"/>
      <c r="AJR181" s="922"/>
      <c r="AJS181" s="922"/>
      <c r="AJT181" s="922"/>
      <c r="AJU181" s="922"/>
      <c r="AJV181" s="922"/>
      <c r="AJW181" s="922"/>
      <c r="AJX181" s="922"/>
      <c r="AJY181" s="922"/>
      <c r="AJZ181" s="922"/>
      <c r="AKA181" s="922"/>
      <c r="AKB181" s="922"/>
      <c r="AKC181" s="922"/>
      <c r="AKD181" s="922"/>
      <c r="AKE181" s="922"/>
      <c r="AKF181" s="922"/>
      <c r="AKG181" s="922"/>
      <c r="AKH181" s="922"/>
      <c r="AKI181" s="922"/>
      <c r="AKJ181" s="922"/>
      <c r="AKK181" s="922"/>
      <c r="AKL181" s="922"/>
      <c r="AKM181" s="922"/>
      <c r="AKN181" s="922"/>
      <c r="AKO181" s="922"/>
      <c r="AKP181" s="922"/>
      <c r="AKQ181" s="922"/>
      <c r="AKR181" s="922"/>
      <c r="AKS181" s="922"/>
      <c r="AKT181" s="922"/>
      <c r="AKU181" s="922"/>
      <c r="AKV181" s="922"/>
      <c r="AKW181" s="922"/>
      <c r="AKX181" s="922"/>
      <c r="AKY181" s="922"/>
      <c r="AKZ181" s="922"/>
      <c r="ALA181" s="922"/>
      <c r="ALB181" s="922"/>
      <c r="ALC181" s="922"/>
      <c r="ALD181" s="922"/>
      <c r="ALE181" s="922"/>
      <c r="ALF181" s="922"/>
      <c r="ALG181" s="922"/>
      <c r="ALH181" s="922"/>
      <c r="ALI181" s="922"/>
      <c r="ALJ181" s="922"/>
      <c r="ALK181" s="922"/>
      <c r="ALL181" s="922"/>
      <c r="ALM181" s="922"/>
      <c r="ALN181" s="922"/>
      <c r="ALO181" s="922"/>
      <c r="ALP181" s="922"/>
      <c r="ALQ181" s="922"/>
      <c r="ALR181" s="922"/>
      <c r="ALS181" s="922"/>
      <c r="ALT181" s="922"/>
      <c r="ALU181" s="922"/>
      <c r="ALV181" s="922"/>
      <c r="ALW181" s="922"/>
      <c r="ALX181" s="922"/>
      <c r="ALY181" s="922"/>
      <c r="ALZ181" s="922"/>
      <c r="AMA181" s="922"/>
      <c r="AMB181" s="922"/>
      <c r="AMC181" s="922"/>
      <c r="AMD181" s="922"/>
      <c r="AME181" s="922"/>
      <c r="AMF181" s="922"/>
      <c r="AMG181" s="922"/>
      <c r="AMH181" s="922"/>
      <c r="AMI181" s="922"/>
      <c r="AMJ181" s="922"/>
      <c r="AMK181" s="922"/>
      <c r="AML181" s="922"/>
      <c r="AMM181" s="922"/>
      <c r="AMN181" s="922"/>
      <c r="AMO181" s="922"/>
      <c r="AMP181" s="922"/>
      <c r="AMQ181" s="922"/>
      <c r="AMR181" s="922"/>
      <c r="AMS181" s="922"/>
      <c r="AMT181" s="922"/>
      <c r="AMU181" s="922"/>
      <c r="AMV181" s="922"/>
      <c r="AMW181" s="922"/>
      <c r="AMX181" s="922"/>
      <c r="AMY181" s="922"/>
      <c r="AMZ181" s="922"/>
      <c r="ANA181" s="922"/>
      <c r="ANB181" s="922"/>
      <c r="ANC181" s="922"/>
      <c r="AND181" s="922"/>
      <c r="ANE181" s="922"/>
      <c r="ANF181" s="922"/>
      <c r="ANG181" s="922"/>
      <c r="ANH181" s="922"/>
      <c r="ANI181" s="922"/>
      <c r="ANJ181" s="922"/>
      <c r="ANK181" s="922"/>
      <c r="ANL181" s="922"/>
      <c r="ANM181" s="922"/>
      <c r="ANN181" s="922"/>
      <c r="ANO181" s="922"/>
      <c r="ANP181" s="922"/>
      <c r="ANQ181" s="922"/>
      <c r="ANR181" s="922"/>
      <c r="ANS181" s="922"/>
      <c r="ANT181" s="922"/>
      <c r="ANU181" s="922"/>
      <c r="ANV181" s="922"/>
      <c r="ANW181" s="922"/>
      <c r="ANX181" s="922"/>
      <c r="ANY181" s="922"/>
      <c r="ANZ181" s="922"/>
      <c r="AOA181" s="922"/>
      <c r="AOB181" s="922"/>
      <c r="AOC181" s="922"/>
      <c r="AOD181" s="922"/>
      <c r="AOE181" s="922"/>
      <c r="AOF181" s="922"/>
      <c r="AOG181" s="922"/>
      <c r="AOH181" s="922"/>
      <c r="AOI181" s="922"/>
      <c r="AOJ181" s="922"/>
      <c r="AOK181" s="922"/>
      <c r="AOL181" s="922"/>
      <c r="AOM181" s="922"/>
      <c r="AON181" s="922"/>
      <c r="AOO181" s="922"/>
      <c r="AOP181" s="922"/>
      <c r="AOQ181" s="922"/>
      <c r="AOR181" s="922"/>
      <c r="AOS181" s="922"/>
      <c r="AOT181" s="922"/>
      <c r="AOU181" s="922"/>
      <c r="AOV181" s="922"/>
      <c r="AOW181" s="922"/>
      <c r="AOX181" s="922"/>
      <c r="AOY181" s="922"/>
      <c r="AOZ181" s="922"/>
      <c r="APA181" s="922"/>
      <c r="APB181" s="922"/>
      <c r="APC181" s="922"/>
      <c r="APD181" s="922"/>
      <c r="APE181" s="922"/>
      <c r="APF181" s="922"/>
      <c r="APG181" s="922"/>
      <c r="APH181" s="922"/>
      <c r="API181" s="922"/>
      <c r="APJ181" s="922"/>
      <c r="APK181" s="922"/>
      <c r="APL181" s="922"/>
      <c r="APM181" s="922"/>
      <c r="APN181" s="922"/>
      <c r="APO181" s="922"/>
      <c r="APP181" s="922"/>
      <c r="APQ181" s="922"/>
      <c r="APR181" s="922"/>
      <c r="APS181" s="922"/>
      <c r="APT181" s="922"/>
      <c r="APU181" s="922"/>
      <c r="APV181" s="922"/>
      <c r="APW181" s="922"/>
      <c r="APX181" s="922"/>
      <c r="APY181" s="922"/>
      <c r="APZ181" s="922"/>
      <c r="AQA181" s="922"/>
      <c r="AQB181" s="922"/>
      <c r="AQC181" s="922"/>
      <c r="AQD181" s="922"/>
      <c r="AQE181" s="922"/>
      <c r="AQF181" s="922"/>
      <c r="AQG181" s="922"/>
      <c r="AQH181" s="922"/>
      <c r="AQI181" s="922"/>
      <c r="AQJ181" s="922"/>
      <c r="AQK181" s="922"/>
      <c r="AQL181" s="922"/>
      <c r="AQM181" s="922"/>
      <c r="AQN181" s="922"/>
      <c r="AQO181" s="922"/>
      <c r="AQP181" s="922"/>
      <c r="AQQ181" s="922"/>
      <c r="AQR181" s="922"/>
      <c r="AQS181" s="922"/>
      <c r="AQT181" s="922"/>
      <c r="AQU181" s="922"/>
      <c r="AQV181" s="922"/>
      <c r="AQW181" s="922"/>
      <c r="AQX181" s="922"/>
      <c r="AQY181" s="922"/>
      <c r="AQZ181" s="922"/>
      <c r="ARA181" s="922"/>
      <c r="ARB181" s="922"/>
      <c r="ARC181" s="922"/>
      <c r="ARD181" s="922"/>
      <c r="ARE181" s="922"/>
      <c r="ARF181" s="922"/>
      <c r="ARG181" s="922"/>
      <c r="ARH181" s="922"/>
      <c r="ARI181" s="922"/>
      <c r="ARJ181" s="922"/>
      <c r="ARK181" s="922"/>
      <c r="ARL181" s="922"/>
      <c r="ARM181" s="922"/>
      <c r="ARN181" s="922"/>
      <c r="ARO181" s="922"/>
      <c r="ARP181" s="922"/>
      <c r="ARQ181" s="922"/>
      <c r="ARR181" s="922"/>
      <c r="ARS181" s="922"/>
      <c r="ART181" s="922"/>
      <c r="ARU181" s="922"/>
      <c r="ARV181" s="922"/>
      <c r="ARW181" s="922"/>
      <c r="ARX181" s="922"/>
      <c r="ARY181" s="922"/>
      <c r="ARZ181" s="922"/>
      <c r="ASA181" s="922"/>
      <c r="ASB181" s="922"/>
      <c r="ASC181" s="922"/>
    </row>
    <row r="182" spans="1:1173" hidden="1">
      <c r="T182" s="922"/>
      <c r="AN182" s="922"/>
      <c r="AO182" s="922"/>
      <c r="AP182" s="922"/>
      <c r="AQ182" s="922"/>
      <c r="AR182" s="922"/>
      <c r="AS182" s="922"/>
      <c r="AT182" s="922"/>
      <c r="AU182" s="922"/>
      <c r="AV182" s="922"/>
      <c r="AW182" s="922"/>
      <c r="AX182" s="922"/>
      <c r="AY182" s="922"/>
      <c r="AZ182" s="922"/>
      <c r="BA182" s="922"/>
      <c r="BB182" s="922"/>
      <c r="BC182" s="922"/>
      <c r="BD182" s="922"/>
      <c r="BE182" s="922"/>
      <c r="BF182" s="922"/>
      <c r="BG182" s="922"/>
      <c r="BH182" s="922"/>
      <c r="BI182" s="922"/>
      <c r="BJ182" s="922"/>
      <c r="BK182" s="922"/>
      <c r="BL182" s="922"/>
      <c r="BM182" s="922"/>
      <c r="BN182" s="922"/>
      <c r="BO182" s="922"/>
      <c r="BP182" s="922"/>
      <c r="BQ182" s="922"/>
      <c r="BR182" s="922"/>
      <c r="BS182" s="922"/>
      <c r="BT182" s="922"/>
      <c r="BU182" s="922"/>
      <c r="BV182" s="922"/>
      <c r="BW182" s="922"/>
      <c r="BX182" s="922"/>
      <c r="BY182" s="922"/>
      <c r="BZ182" s="922"/>
      <c r="CA182" s="922"/>
      <c r="CB182" s="922"/>
      <c r="CC182" s="922"/>
      <c r="CD182" s="922"/>
      <c r="CE182" s="922"/>
      <c r="CF182" s="922"/>
      <c r="CG182" s="922"/>
      <c r="CH182" s="922"/>
      <c r="CI182" s="922"/>
      <c r="CJ182" s="922"/>
      <c r="CK182" s="922"/>
      <c r="CL182" s="922"/>
      <c r="CM182" s="922"/>
      <c r="CN182" s="922"/>
      <c r="CO182" s="922"/>
      <c r="CP182" s="922"/>
      <c r="CQ182" s="922"/>
      <c r="CR182" s="922"/>
      <c r="CS182" s="922"/>
      <c r="CT182" s="922"/>
      <c r="CU182" s="922"/>
      <c r="CV182" s="922"/>
      <c r="CW182" s="922"/>
      <c r="CX182" s="922"/>
      <c r="CY182" s="922"/>
      <c r="CZ182" s="922"/>
      <c r="DA182" s="922"/>
      <c r="DB182" s="922"/>
      <c r="DC182" s="922"/>
      <c r="DD182" s="922"/>
      <c r="DE182" s="922"/>
      <c r="DF182" s="922"/>
      <c r="DG182" s="922"/>
      <c r="DH182" s="922"/>
      <c r="DI182" s="922"/>
      <c r="DJ182" s="922"/>
      <c r="DK182" s="922"/>
      <c r="DL182" s="922"/>
      <c r="DM182" s="922"/>
      <c r="DN182" s="922"/>
      <c r="DO182" s="922"/>
      <c r="DP182" s="922"/>
      <c r="DQ182" s="922"/>
      <c r="DR182" s="922"/>
      <c r="DS182" s="922"/>
      <c r="DT182" s="922"/>
      <c r="DU182" s="922"/>
      <c r="DV182" s="922"/>
      <c r="DW182" s="922"/>
      <c r="DX182" s="922"/>
      <c r="DY182" s="922"/>
      <c r="DZ182" s="922"/>
      <c r="EA182" s="922"/>
      <c r="EB182" s="922"/>
      <c r="EC182" s="922"/>
      <c r="ED182" s="922"/>
      <c r="EE182" s="922"/>
      <c r="EF182" s="922"/>
      <c r="EG182" s="922"/>
      <c r="EH182" s="922"/>
      <c r="EI182" s="922"/>
      <c r="EJ182" s="922"/>
      <c r="EK182" s="922"/>
      <c r="EL182" s="922"/>
      <c r="EM182" s="922"/>
      <c r="EN182" s="922"/>
      <c r="EO182" s="922"/>
      <c r="EP182" s="922"/>
      <c r="EQ182" s="922"/>
      <c r="ER182" s="922"/>
      <c r="ES182" s="922"/>
      <c r="ET182" s="922"/>
      <c r="EU182" s="922"/>
      <c r="EV182" s="922"/>
      <c r="EW182" s="922"/>
      <c r="EX182" s="922"/>
      <c r="EY182" s="922"/>
      <c r="EZ182" s="922"/>
      <c r="FA182" s="922"/>
      <c r="FB182" s="922"/>
      <c r="FC182" s="922"/>
      <c r="FD182" s="922"/>
      <c r="FE182" s="922"/>
      <c r="FF182" s="922"/>
      <c r="FG182" s="922"/>
      <c r="FH182" s="922"/>
      <c r="FI182" s="922"/>
      <c r="FJ182" s="922"/>
      <c r="FK182" s="922"/>
      <c r="FL182" s="922"/>
      <c r="FM182" s="922"/>
      <c r="FN182" s="922"/>
      <c r="FO182" s="922"/>
      <c r="FP182" s="922"/>
      <c r="FQ182" s="922"/>
      <c r="FR182" s="922"/>
      <c r="FS182" s="922"/>
      <c r="FT182" s="922"/>
      <c r="FU182" s="922"/>
      <c r="FV182" s="922"/>
      <c r="FW182" s="922"/>
      <c r="FX182" s="922"/>
      <c r="FY182" s="922"/>
      <c r="FZ182" s="922"/>
      <c r="GA182" s="922"/>
      <c r="GB182" s="922"/>
      <c r="GC182" s="922"/>
      <c r="GD182" s="922"/>
      <c r="GE182" s="922"/>
      <c r="GF182" s="922"/>
      <c r="GG182" s="922"/>
      <c r="GH182" s="922"/>
      <c r="GI182" s="922"/>
      <c r="GJ182" s="922"/>
      <c r="GK182" s="922"/>
      <c r="GL182" s="922"/>
      <c r="GM182" s="922"/>
      <c r="GN182" s="922"/>
      <c r="GO182" s="922"/>
      <c r="GP182" s="922"/>
      <c r="GQ182" s="922"/>
      <c r="GR182" s="922"/>
      <c r="GS182" s="922"/>
      <c r="GT182" s="922"/>
      <c r="GU182" s="922"/>
      <c r="GV182" s="922"/>
      <c r="GW182" s="922"/>
      <c r="GX182" s="922"/>
      <c r="GY182" s="922"/>
      <c r="GZ182" s="922"/>
      <c r="HA182" s="922"/>
      <c r="HB182" s="922"/>
      <c r="HC182" s="922"/>
      <c r="HD182" s="922"/>
      <c r="HE182" s="922"/>
      <c r="HF182" s="922"/>
      <c r="HG182" s="922"/>
      <c r="HH182" s="922"/>
      <c r="HI182" s="922"/>
      <c r="HJ182" s="922"/>
      <c r="HK182" s="922"/>
      <c r="HL182" s="922"/>
      <c r="HM182" s="922"/>
      <c r="HN182" s="922"/>
      <c r="HO182" s="922"/>
      <c r="HP182" s="922"/>
      <c r="HQ182" s="922"/>
      <c r="HR182" s="922"/>
      <c r="HS182" s="922"/>
      <c r="HT182" s="922"/>
      <c r="HU182" s="922"/>
      <c r="HV182" s="922"/>
      <c r="HW182" s="922"/>
      <c r="HX182" s="922"/>
      <c r="HY182" s="922"/>
      <c r="HZ182" s="922"/>
      <c r="IA182" s="922"/>
      <c r="IB182" s="922"/>
      <c r="IC182" s="922"/>
      <c r="ID182" s="922"/>
      <c r="IE182" s="922"/>
      <c r="IF182" s="922"/>
      <c r="IG182" s="922"/>
      <c r="IH182" s="922"/>
      <c r="II182" s="922"/>
      <c r="IJ182" s="922"/>
      <c r="IK182" s="922"/>
      <c r="IL182" s="922"/>
      <c r="IM182" s="922"/>
      <c r="IN182" s="922"/>
      <c r="IO182" s="922"/>
      <c r="IP182" s="922"/>
      <c r="IQ182" s="922"/>
      <c r="IR182" s="922"/>
      <c r="IS182" s="922"/>
      <c r="IT182" s="922"/>
      <c r="IU182" s="922"/>
      <c r="IV182" s="922"/>
      <c r="IW182" s="922"/>
      <c r="IX182" s="922"/>
      <c r="IY182" s="922"/>
      <c r="IZ182" s="922"/>
      <c r="JA182" s="922"/>
      <c r="JB182" s="922"/>
      <c r="JC182" s="922"/>
      <c r="JD182" s="922"/>
      <c r="JE182" s="922"/>
      <c r="JF182" s="922"/>
      <c r="JG182" s="922"/>
      <c r="JH182" s="922"/>
      <c r="JI182" s="922"/>
      <c r="JJ182" s="922"/>
      <c r="JK182" s="922"/>
      <c r="JL182" s="922"/>
      <c r="JM182" s="922"/>
      <c r="JN182" s="922"/>
      <c r="JO182" s="922"/>
      <c r="JP182" s="922"/>
      <c r="JQ182" s="922"/>
      <c r="JR182" s="922"/>
      <c r="JS182" s="922"/>
      <c r="JT182" s="922"/>
      <c r="JU182" s="922"/>
      <c r="JV182" s="922"/>
      <c r="JW182" s="922"/>
      <c r="JX182" s="922"/>
      <c r="JY182" s="922"/>
      <c r="JZ182" s="922"/>
      <c r="KA182" s="922"/>
      <c r="KB182" s="922"/>
      <c r="KC182" s="922"/>
      <c r="KD182" s="922"/>
      <c r="KE182" s="922"/>
      <c r="KF182" s="922"/>
      <c r="KG182" s="922"/>
      <c r="KH182" s="922"/>
      <c r="KI182" s="922"/>
      <c r="KJ182" s="922"/>
      <c r="KK182" s="922"/>
      <c r="KL182" s="922"/>
      <c r="KM182" s="922"/>
      <c r="KN182" s="922"/>
      <c r="KO182" s="922"/>
      <c r="KP182" s="922"/>
      <c r="KQ182" s="922"/>
      <c r="KR182" s="922"/>
      <c r="KS182" s="922"/>
      <c r="KT182" s="922"/>
      <c r="KU182" s="922"/>
      <c r="KV182" s="922"/>
      <c r="KW182" s="922"/>
      <c r="KX182" s="922"/>
      <c r="KY182" s="922"/>
      <c r="KZ182" s="922"/>
      <c r="LA182" s="922"/>
      <c r="LB182" s="922"/>
      <c r="LC182" s="922"/>
      <c r="LD182" s="922"/>
      <c r="LE182" s="922"/>
      <c r="LF182" s="922"/>
      <c r="LG182" s="922"/>
      <c r="LH182" s="922"/>
      <c r="LI182" s="922"/>
      <c r="LJ182" s="922"/>
      <c r="LK182" s="922"/>
      <c r="LL182" s="922"/>
      <c r="LM182" s="922"/>
      <c r="LN182" s="922"/>
      <c r="LO182" s="922"/>
      <c r="LP182" s="922"/>
      <c r="LQ182" s="922"/>
      <c r="LR182" s="922"/>
      <c r="LS182" s="922"/>
      <c r="LT182" s="922"/>
      <c r="LU182" s="922"/>
      <c r="LV182" s="922"/>
      <c r="LW182" s="922"/>
      <c r="LX182" s="922"/>
      <c r="LY182" s="922"/>
      <c r="LZ182" s="922"/>
      <c r="MA182" s="922"/>
      <c r="MB182" s="922"/>
      <c r="MC182" s="922"/>
      <c r="MD182" s="922"/>
      <c r="ME182" s="922"/>
      <c r="MF182" s="922"/>
      <c r="MG182" s="922"/>
      <c r="MH182" s="922"/>
      <c r="MI182" s="922"/>
      <c r="MJ182" s="922"/>
      <c r="MK182" s="922"/>
      <c r="ML182" s="922"/>
      <c r="MM182" s="922"/>
      <c r="MN182" s="922"/>
      <c r="MO182" s="922"/>
      <c r="MP182" s="922"/>
      <c r="MQ182" s="922"/>
      <c r="MR182" s="922"/>
      <c r="MS182" s="922"/>
      <c r="MT182" s="922"/>
      <c r="MU182" s="922"/>
      <c r="MV182" s="922"/>
      <c r="MW182" s="922"/>
      <c r="MX182" s="922"/>
      <c r="MY182" s="922"/>
      <c r="MZ182" s="922"/>
      <c r="NA182" s="922"/>
      <c r="NB182" s="922"/>
      <c r="NC182" s="922"/>
      <c r="ND182" s="922"/>
      <c r="NE182" s="922"/>
      <c r="NF182" s="922"/>
      <c r="NG182" s="922"/>
      <c r="NH182" s="922"/>
      <c r="NI182" s="922"/>
      <c r="NJ182" s="922"/>
      <c r="NK182" s="922"/>
      <c r="NL182" s="922"/>
      <c r="NM182" s="922"/>
      <c r="NN182" s="922"/>
      <c r="NO182" s="922"/>
      <c r="NP182" s="922"/>
      <c r="NQ182" s="922"/>
      <c r="NR182" s="922"/>
      <c r="NS182" s="922"/>
      <c r="NT182" s="922"/>
      <c r="NU182" s="922"/>
      <c r="NV182" s="922"/>
      <c r="NW182" s="922"/>
      <c r="NX182" s="922"/>
      <c r="NY182" s="922"/>
      <c r="NZ182" s="922"/>
      <c r="OA182" s="922"/>
      <c r="OB182" s="922"/>
      <c r="OC182" s="922"/>
      <c r="OD182" s="922"/>
      <c r="OE182" s="922"/>
      <c r="OF182" s="922"/>
      <c r="OG182" s="922"/>
      <c r="OH182" s="922"/>
      <c r="OI182" s="922"/>
      <c r="OJ182" s="922"/>
      <c r="OK182" s="922"/>
      <c r="OL182" s="922"/>
      <c r="OM182" s="922"/>
      <c r="ON182" s="922"/>
      <c r="OO182" s="922"/>
      <c r="OP182" s="922"/>
      <c r="OQ182" s="922"/>
      <c r="OR182" s="922"/>
      <c r="OS182" s="922"/>
      <c r="OT182" s="922"/>
      <c r="OU182" s="922"/>
      <c r="OV182" s="922"/>
      <c r="OW182" s="922"/>
      <c r="OX182" s="922"/>
      <c r="OY182" s="922"/>
      <c r="OZ182" s="922"/>
      <c r="PA182" s="922"/>
      <c r="PB182" s="922"/>
      <c r="PC182" s="922"/>
      <c r="PD182" s="922"/>
      <c r="PE182" s="922"/>
      <c r="PF182" s="922"/>
      <c r="PG182" s="922"/>
      <c r="PH182" s="922"/>
      <c r="PI182" s="922"/>
      <c r="PJ182" s="922"/>
      <c r="PK182" s="922"/>
      <c r="PL182" s="922"/>
      <c r="PM182" s="922"/>
      <c r="PN182" s="922"/>
      <c r="PO182" s="922"/>
      <c r="PP182" s="922"/>
      <c r="PQ182" s="922"/>
      <c r="PR182" s="922"/>
      <c r="PS182" s="922"/>
      <c r="PT182" s="922"/>
      <c r="PU182" s="922"/>
      <c r="PV182" s="922"/>
      <c r="PW182" s="922"/>
      <c r="PX182" s="922"/>
      <c r="PY182" s="922"/>
      <c r="PZ182" s="922"/>
      <c r="QA182" s="922"/>
      <c r="QB182" s="922"/>
      <c r="QC182" s="922"/>
      <c r="QD182" s="922"/>
      <c r="QE182" s="922"/>
      <c r="QF182" s="922"/>
      <c r="QG182" s="922"/>
      <c r="QH182" s="922"/>
      <c r="QI182" s="922"/>
      <c r="QJ182" s="922"/>
      <c r="QK182" s="922"/>
      <c r="QL182" s="922"/>
      <c r="QM182" s="922"/>
      <c r="QN182" s="922"/>
      <c r="QO182" s="922"/>
      <c r="QP182" s="922"/>
      <c r="QQ182" s="922"/>
      <c r="QR182" s="922"/>
      <c r="QS182" s="922"/>
      <c r="QT182" s="922"/>
      <c r="QU182" s="922"/>
      <c r="QV182" s="922"/>
      <c r="QW182" s="922"/>
      <c r="QX182" s="922"/>
      <c r="QY182" s="922"/>
      <c r="QZ182" s="922"/>
      <c r="RA182" s="922"/>
      <c r="RB182" s="922"/>
      <c r="RC182" s="922"/>
      <c r="RD182" s="922"/>
      <c r="RE182" s="922"/>
      <c r="RF182" s="922"/>
      <c r="RG182" s="922"/>
      <c r="RH182" s="922"/>
      <c r="RI182" s="922"/>
      <c r="RJ182" s="922"/>
      <c r="RK182" s="922"/>
      <c r="RL182" s="922"/>
      <c r="RM182" s="922"/>
      <c r="RN182" s="922"/>
      <c r="RO182" s="922"/>
      <c r="RP182" s="922"/>
      <c r="RQ182" s="922"/>
      <c r="RR182" s="922"/>
      <c r="RS182" s="922"/>
      <c r="RT182" s="922"/>
      <c r="RU182" s="922"/>
      <c r="RV182" s="922"/>
      <c r="RW182" s="922"/>
      <c r="RX182" s="922"/>
      <c r="RY182" s="922"/>
      <c r="RZ182" s="922"/>
      <c r="SA182" s="922"/>
      <c r="SB182" s="922"/>
      <c r="SC182" s="922"/>
      <c r="SD182" s="922"/>
      <c r="SE182" s="922"/>
      <c r="SF182" s="922"/>
      <c r="SG182" s="922"/>
      <c r="SH182" s="922"/>
      <c r="SI182" s="922"/>
      <c r="SJ182" s="922"/>
      <c r="SK182" s="922"/>
      <c r="SL182" s="922"/>
      <c r="SM182" s="922"/>
      <c r="SN182" s="922"/>
      <c r="SO182" s="922"/>
      <c r="SP182" s="922"/>
      <c r="SQ182" s="922"/>
      <c r="SR182" s="922"/>
      <c r="SS182" s="922"/>
      <c r="ST182" s="922"/>
      <c r="SU182" s="922"/>
      <c r="SV182" s="922"/>
      <c r="SW182" s="922"/>
      <c r="SX182" s="922"/>
      <c r="SY182" s="922"/>
      <c r="SZ182" s="922"/>
      <c r="TA182" s="922"/>
      <c r="TB182" s="922"/>
      <c r="TC182" s="922"/>
      <c r="TD182" s="922"/>
      <c r="TE182" s="922"/>
      <c r="TF182" s="922"/>
      <c r="TG182" s="922"/>
      <c r="TH182" s="922"/>
      <c r="TI182" s="922"/>
      <c r="TJ182" s="922"/>
      <c r="TK182" s="922"/>
      <c r="TL182" s="922"/>
      <c r="TM182" s="922"/>
      <c r="TN182" s="922"/>
      <c r="TO182" s="922"/>
      <c r="TP182" s="922"/>
      <c r="TQ182" s="922"/>
      <c r="TR182" s="922"/>
      <c r="TS182" s="922"/>
      <c r="TT182" s="922"/>
      <c r="TU182" s="922"/>
      <c r="TV182" s="922"/>
      <c r="TW182" s="922"/>
      <c r="TX182" s="922"/>
      <c r="TY182" s="922"/>
      <c r="TZ182" s="922"/>
      <c r="UA182" s="922"/>
      <c r="UB182" s="922"/>
      <c r="UC182" s="922"/>
      <c r="UD182" s="922"/>
      <c r="UE182" s="922"/>
      <c r="UF182" s="922"/>
      <c r="UG182" s="922"/>
      <c r="UH182" s="922"/>
      <c r="UI182" s="922"/>
      <c r="UJ182" s="922"/>
      <c r="UK182" s="922"/>
      <c r="UL182" s="922"/>
      <c r="UM182" s="922"/>
      <c r="UN182" s="922"/>
      <c r="UO182" s="922"/>
      <c r="UP182" s="922"/>
      <c r="UQ182" s="922"/>
      <c r="UR182" s="922"/>
      <c r="US182" s="922"/>
      <c r="UT182" s="922"/>
      <c r="UU182" s="922"/>
      <c r="UV182" s="922"/>
      <c r="UW182" s="922"/>
      <c r="UX182" s="922"/>
      <c r="UY182" s="922"/>
      <c r="UZ182" s="922"/>
      <c r="VA182" s="922"/>
      <c r="VB182" s="922"/>
      <c r="VC182" s="922"/>
      <c r="VD182" s="922"/>
      <c r="VE182" s="922"/>
      <c r="VF182" s="922"/>
      <c r="VG182" s="922"/>
      <c r="VH182" s="922"/>
      <c r="VI182" s="922"/>
      <c r="VJ182" s="922"/>
      <c r="VK182" s="922"/>
      <c r="VL182" s="922"/>
      <c r="VM182" s="922"/>
      <c r="VN182" s="922"/>
      <c r="VO182" s="922"/>
      <c r="VP182" s="922"/>
      <c r="VQ182" s="922"/>
      <c r="VR182" s="922"/>
      <c r="VS182" s="922"/>
      <c r="VT182" s="922"/>
      <c r="VU182" s="922"/>
      <c r="VV182" s="922"/>
      <c r="VW182" s="922"/>
      <c r="VX182" s="922"/>
      <c r="VY182" s="922"/>
      <c r="VZ182" s="922"/>
      <c r="WA182" s="922"/>
      <c r="WB182" s="922"/>
      <c r="WC182" s="922"/>
      <c r="WD182" s="922"/>
      <c r="WE182" s="922"/>
      <c r="WF182" s="922"/>
      <c r="WG182" s="922"/>
      <c r="WH182" s="922"/>
      <c r="WI182" s="922"/>
      <c r="WJ182" s="922"/>
      <c r="WK182" s="922"/>
      <c r="WL182" s="922"/>
      <c r="WM182" s="922"/>
      <c r="WN182" s="922"/>
      <c r="WO182" s="922"/>
      <c r="WP182" s="922"/>
      <c r="WQ182" s="922"/>
      <c r="WR182" s="922"/>
      <c r="WS182" s="922"/>
      <c r="WT182" s="922"/>
      <c r="WU182" s="922"/>
      <c r="WV182" s="922"/>
      <c r="WW182" s="922"/>
      <c r="WX182" s="922"/>
      <c r="WY182" s="922"/>
      <c r="WZ182" s="922"/>
      <c r="XA182" s="922"/>
      <c r="XB182" s="922"/>
      <c r="XC182" s="922"/>
      <c r="XD182" s="922"/>
      <c r="XE182" s="922"/>
      <c r="XF182" s="922"/>
      <c r="XG182" s="922"/>
      <c r="XH182" s="922"/>
      <c r="XI182" s="922"/>
      <c r="XJ182" s="922"/>
      <c r="XK182" s="922"/>
      <c r="XL182" s="922"/>
      <c r="XM182" s="922"/>
      <c r="XN182" s="922"/>
      <c r="XO182" s="922"/>
      <c r="XP182" s="922"/>
      <c r="XQ182" s="922"/>
      <c r="XR182" s="922"/>
      <c r="XS182" s="922"/>
      <c r="XT182" s="922"/>
      <c r="XU182" s="922"/>
      <c r="XV182" s="922"/>
      <c r="XW182" s="922"/>
      <c r="XX182" s="922"/>
      <c r="XY182" s="922"/>
      <c r="XZ182" s="922"/>
      <c r="YA182" s="922"/>
      <c r="YB182" s="922"/>
      <c r="YC182" s="922"/>
      <c r="YD182" s="922"/>
      <c r="YE182" s="922"/>
      <c r="YF182" s="922"/>
      <c r="YG182" s="922"/>
      <c r="YH182" s="922"/>
      <c r="YI182" s="922"/>
      <c r="YJ182" s="922"/>
      <c r="YK182" s="922"/>
      <c r="YL182" s="922"/>
      <c r="YM182" s="922"/>
      <c r="YN182" s="922"/>
      <c r="YO182" s="922"/>
      <c r="YP182" s="922"/>
      <c r="YQ182" s="922"/>
      <c r="YR182" s="922"/>
      <c r="YS182" s="922"/>
      <c r="YT182" s="922"/>
      <c r="YU182" s="922"/>
      <c r="YV182" s="922"/>
      <c r="YW182" s="922"/>
      <c r="YX182" s="922"/>
      <c r="YY182" s="922"/>
      <c r="YZ182" s="922"/>
      <c r="ZA182" s="922"/>
      <c r="ZB182" s="922"/>
      <c r="ZC182" s="922"/>
      <c r="ZD182" s="922"/>
      <c r="ZE182" s="922"/>
      <c r="ZF182" s="922"/>
      <c r="ZG182" s="922"/>
      <c r="ZH182" s="922"/>
      <c r="ZI182" s="922"/>
      <c r="ZJ182" s="922"/>
      <c r="ZK182" s="922"/>
      <c r="ZL182" s="922"/>
      <c r="ZM182" s="922"/>
      <c r="ZN182" s="922"/>
      <c r="ZO182" s="922"/>
      <c r="ZP182" s="922"/>
      <c r="ZQ182" s="922"/>
      <c r="ZR182" s="922"/>
      <c r="ZS182" s="922"/>
      <c r="ZT182" s="922"/>
      <c r="ZU182" s="922"/>
      <c r="ZV182" s="922"/>
      <c r="ZW182" s="922"/>
      <c r="ZX182" s="922"/>
      <c r="ZY182" s="922"/>
      <c r="ZZ182" s="922"/>
      <c r="AAA182" s="922"/>
      <c r="AAB182" s="922"/>
      <c r="AAC182" s="922"/>
      <c r="AAD182" s="922"/>
      <c r="AAE182" s="922"/>
      <c r="AAF182" s="922"/>
      <c r="AAG182" s="922"/>
      <c r="AAH182" s="922"/>
      <c r="AAI182" s="922"/>
      <c r="AAJ182" s="922"/>
      <c r="AAK182" s="922"/>
      <c r="AAL182" s="922"/>
      <c r="AAM182" s="922"/>
      <c r="AAN182" s="922"/>
      <c r="AAO182" s="922"/>
      <c r="AAP182" s="922"/>
      <c r="AAQ182" s="922"/>
      <c r="AAR182" s="922"/>
      <c r="AAS182" s="922"/>
      <c r="AAT182" s="922"/>
      <c r="AAU182" s="922"/>
      <c r="AAV182" s="922"/>
      <c r="AAW182" s="922"/>
      <c r="AAX182" s="922"/>
      <c r="AAY182" s="922"/>
      <c r="AAZ182" s="922"/>
      <c r="ABA182" s="922"/>
      <c r="ABB182" s="922"/>
      <c r="ABC182" s="922"/>
      <c r="ABD182" s="922"/>
      <c r="ABE182" s="922"/>
      <c r="ABF182" s="922"/>
      <c r="ABG182" s="922"/>
      <c r="ABH182" s="922"/>
      <c r="ABI182" s="922"/>
      <c r="ABJ182" s="922"/>
      <c r="ABK182" s="922"/>
      <c r="ABL182" s="922"/>
      <c r="ABM182" s="922"/>
      <c r="ABN182" s="922"/>
      <c r="ABO182" s="922"/>
      <c r="ABP182" s="922"/>
      <c r="ABQ182" s="922"/>
      <c r="ABR182" s="922"/>
      <c r="ABS182" s="922"/>
      <c r="ABT182" s="922"/>
      <c r="ABU182" s="922"/>
      <c r="ABV182" s="922"/>
      <c r="ABW182" s="922"/>
      <c r="ABX182" s="922"/>
      <c r="ABY182" s="922"/>
      <c r="ABZ182" s="922"/>
      <c r="ACA182" s="922"/>
      <c r="ACB182" s="922"/>
      <c r="ACC182" s="922"/>
      <c r="ACD182" s="922"/>
      <c r="ACE182" s="922"/>
      <c r="ACF182" s="922"/>
      <c r="ACG182" s="922"/>
      <c r="ACH182" s="922"/>
      <c r="ACI182" s="922"/>
      <c r="ACJ182" s="922"/>
      <c r="ACK182" s="922"/>
      <c r="ACL182" s="922"/>
      <c r="ACM182" s="922"/>
      <c r="ACN182" s="922"/>
      <c r="ACO182" s="922"/>
      <c r="ACP182" s="922"/>
      <c r="ACQ182" s="922"/>
      <c r="ACR182" s="922"/>
      <c r="ACS182" s="922"/>
      <c r="ACT182" s="922"/>
      <c r="ACU182" s="922"/>
      <c r="ACV182" s="922"/>
      <c r="ACW182" s="922"/>
      <c r="ACX182" s="922"/>
      <c r="ACY182" s="922"/>
      <c r="ACZ182" s="922"/>
      <c r="ADA182" s="922"/>
      <c r="ADB182" s="922"/>
      <c r="ADC182" s="922"/>
      <c r="ADD182" s="922"/>
      <c r="ADE182" s="922"/>
      <c r="ADF182" s="922"/>
      <c r="ADG182" s="922"/>
      <c r="ADH182" s="922"/>
      <c r="ADI182" s="922"/>
      <c r="ADJ182" s="922"/>
      <c r="ADK182" s="922"/>
      <c r="ADL182" s="922"/>
      <c r="ADM182" s="922"/>
      <c r="ADN182" s="922"/>
      <c r="ADO182" s="922"/>
      <c r="ADP182" s="922"/>
      <c r="ADQ182" s="922"/>
      <c r="ADR182" s="922"/>
      <c r="ADS182" s="922"/>
      <c r="ADT182" s="922"/>
      <c r="ADU182" s="922"/>
      <c r="ADV182" s="922"/>
      <c r="ADW182" s="922"/>
      <c r="ADX182" s="922"/>
      <c r="ADY182" s="922"/>
      <c r="ADZ182" s="922"/>
      <c r="AEA182" s="922"/>
      <c r="AEB182" s="922"/>
      <c r="AEC182" s="922"/>
      <c r="AED182" s="922"/>
      <c r="AEE182" s="922"/>
      <c r="AEF182" s="922"/>
      <c r="AEG182" s="922"/>
      <c r="AEH182" s="922"/>
      <c r="AEI182" s="922"/>
      <c r="AEJ182" s="922"/>
      <c r="AEK182" s="922"/>
      <c r="AEL182" s="922"/>
      <c r="AEM182" s="922"/>
      <c r="AEN182" s="922"/>
      <c r="AEO182" s="922"/>
      <c r="AEP182" s="922"/>
      <c r="AEQ182" s="922"/>
      <c r="AER182" s="922"/>
      <c r="AES182" s="922"/>
      <c r="AET182" s="922"/>
      <c r="AEU182" s="922"/>
      <c r="AEV182" s="922"/>
      <c r="AEW182" s="922"/>
      <c r="AEX182" s="922"/>
      <c r="AEY182" s="922"/>
      <c r="AEZ182" s="922"/>
      <c r="AFA182" s="922"/>
      <c r="AFB182" s="922"/>
      <c r="AFC182" s="922"/>
      <c r="AFD182" s="922"/>
      <c r="AFE182" s="922"/>
      <c r="AFF182" s="922"/>
      <c r="AFG182" s="922"/>
      <c r="AFH182" s="922"/>
      <c r="AFI182" s="922"/>
      <c r="AFJ182" s="922"/>
      <c r="AFK182" s="922"/>
      <c r="AFL182" s="922"/>
      <c r="AFM182" s="922"/>
      <c r="AFN182" s="922"/>
      <c r="AFO182" s="922"/>
      <c r="AFP182" s="922"/>
      <c r="AFQ182" s="922"/>
      <c r="AFR182" s="922"/>
      <c r="AFS182" s="922"/>
      <c r="AFT182" s="922"/>
      <c r="AFU182" s="922"/>
      <c r="AFV182" s="922"/>
      <c r="AFW182" s="922"/>
      <c r="AFX182" s="922"/>
      <c r="AFY182" s="922"/>
      <c r="AFZ182" s="922"/>
      <c r="AGA182" s="922"/>
      <c r="AGB182" s="922"/>
      <c r="AGC182" s="922"/>
      <c r="AGD182" s="922"/>
      <c r="AGE182" s="922"/>
      <c r="AGF182" s="922"/>
      <c r="AGG182" s="922"/>
      <c r="AGH182" s="922"/>
      <c r="AGI182" s="922"/>
      <c r="AGJ182" s="922"/>
      <c r="AGK182" s="922"/>
      <c r="AGL182" s="922"/>
      <c r="AGM182" s="922"/>
      <c r="AGN182" s="922"/>
      <c r="AGO182" s="922"/>
      <c r="AGP182" s="922"/>
      <c r="AGQ182" s="922"/>
      <c r="AGR182" s="922"/>
      <c r="AGS182" s="922"/>
      <c r="AGT182" s="922"/>
      <c r="AGU182" s="922"/>
      <c r="AGV182" s="922"/>
      <c r="AGW182" s="922"/>
      <c r="AGX182" s="922"/>
      <c r="AGY182" s="922"/>
      <c r="AGZ182" s="922"/>
      <c r="AHA182" s="922"/>
      <c r="AHB182" s="922"/>
      <c r="AHC182" s="922"/>
      <c r="AHD182" s="922"/>
      <c r="AHE182" s="922"/>
      <c r="AHF182" s="922"/>
      <c r="AHG182" s="922"/>
      <c r="AHH182" s="922"/>
      <c r="AHI182" s="922"/>
      <c r="AHJ182" s="922"/>
      <c r="AHK182" s="922"/>
      <c r="AHL182" s="922"/>
      <c r="AHM182" s="922"/>
      <c r="AHN182" s="922"/>
      <c r="AHO182" s="922"/>
      <c r="AHP182" s="922"/>
      <c r="AHQ182" s="922"/>
      <c r="AHR182" s="922"/>
      <c r="AHS182" s="922"/>
      <c r="AHT182" s="922"/>
      <c r="AHU182" s="922"/>
      <c r="AHV182" s="922"/>
      <c r="AHW182" s="922"/>
      <c r="AHX182" s="922"/>
      <c r="AHY182" s="922"/>
      <c r="AHZ182" s="922"/>
      <c r="AIA182" s="922"/>
      <c r="AIB182" s="922"/>
      <c r="AIC182" s="922"/>
      <c r="AID182" s="922"/>
      <c r="AIE182" s="922"/>
      <c r="AIF182" s="922"/>
      <c r="AIG182" s="922"/>
      <c r="AIH182" s="922"/>
      <c r="AII182" s="922"/>
      <c r="AIJ182" s="922"/>
      <c r="AIK182" s="922"/>
      <c r="AIL182" s="922"/>
      <c r="AIM182" s="922"/>
      <c r="AIN182" s="922"/>
      <c r="AIO182" s="922"/>
      <c r="AIP182" s="922"/>
      <c r="AIQ182" s="922"/>
      <c r="AIR182" s="922"/>
      <c r="AIS182" s="922"/>
      <c r="AIT182" s="922"/>
      <c r="AIU182" s="922"/>
      <c r="AIV182" s="922"/>
      <c r="AIW182" s="922"/>
      <c r="AIX182" s="922"/>
      <c r="AIY182" s="922"/>
      <c r="AIZ182" s="922"/>
      <c r="AJA182" s="922"/>
      <c r="AJB182" s="922"/>
      <c r="AJC182" s="922"/>
      <c r="AJD182" s="922"/>
      <c r="AJE182" s="922"/>
      <c r="AJF182" s="922"/>
      <c r="AJG182" s="922"/>
      <c r="AJH182" s="922"/>
      <c r="AJI182" s="922"/>
      <c r="AJJ182" s="922"/>
      <c r="AJK182" s="922"/>
      <c r="AJL182" s="922"/>
      <c r="AJM182" s="922"/>
      <c r="AJN182" s="922"/>
      <c r="AJO182" s="922"/>
      <c r="AJP182" s="922"/>
      <c r="AJQ182" s="922"/>
      <c r="AJR182" s="922"/>
      <c r="AJS182" s="922"/>
      <c r="AJT182" s="922"/>
      <c r="AJU182" s="922"/>
      <c r="AJV182" s="922"/>
      <c r="AJW182" s="922"/>
      <c r="AJX182" s="922"/>
      <c r="AJY182" s="922"/>
      <c r="AJZ182" s="922"/>
      <c r="AKA182" s="922"/>
      <c r="AKB182" s="922"/>
      <c r="AKC182" s="922"/>
      <c r="AKD182" s="922"/>
      <c r="AKE182" s="922"/>
      <c r="AKF182" s="922"/>
      <c r="AKG182" s="922"/>
      <c r="AKH182" s="922"/>
      <c r="AKI182" s="922"/>
      <c r="AKJ182" s="922"/>
      <c r="AKK182" s="922"/>
      <c r="AKL182" s="922"/>
      <c r="AKM182" s="922"/>
      <c r="AKN182" s="922"/>
      <c r="AKO182" s="922"/>
      <c r="AKP182" s="922"/>
      <c r="AKQ182" s="922"/>
      <c r="AKR182" s="922"/>
      <c r="AKS182" s="922"/>
      <c r="AKT182" s="922"/>
      <c r="AKU182" s="922"/>
      <c r="AKV182" s="922"/>
      <c r="AKW182" s="922"/>
      <c r="AKX182" s="922"/>
      <c r="AKY182" s="922"/>
      <c r="AKZ182" s="922"/>
      <c r="ALA182" s="922"/>
      <c r="ALB182" s="922"/>
      <c r="ALC182" s="922"/>
      <c r="ALD182" s="922"/>
      <c r="ALE182" s="922"/>
      <c r="ALF182" s="922"/>
      <c r="ALG182" s="922"/>
      <c r="ALH182" s="922"/>
      <c r="ALI182" s="922"/>
      <c r="ALJ182" s="922"/>
      <c r="ALK182" s="922"/>
      <c r="ALL182" s="922"/>
      <c r="ALM182" s="922"/>
      <c r="ALN182" s="922"/>
      <c r="ALO182" s="922"/>
      <c r="ALP182" s="922"/>
      <c r="ALQ182" s="922"/>
      <c r="ALR182" s="922"/>
      <c r="ALS182" s="922"/>
      <c r="ALT182" s="922"/>
      <c r="ALU182" s="922"/>
      <c r="ALV182" s="922"/>
      <c r="ALW182" s="922"/>
      <c r="ALX182" s="922"/>
      <c r="ALY182" s="922"/>
      <c r="ALZ182" s="922"/>
      <c r="AMA182" s="922"/>
      <c r="AMB182" s="922"/>
      <c r="AMC182" s="922"/>
      <c r="AMD182" s="922"/>
      <c r="AME182" s="922"/>
      <c r="AMF182" s="922"/>
      <c r="AMG182" s="922"/>
      <c r="AMH182" s="922"/>
      <c r="AMI182" s="922"/>
      <c r="AMJ182" s="922"/>
      <c r="AMK182" s="922"/>
      <c r="AML182" s="922"/>
      <c r="AMM182" s="922"/>
      <c r="AMN182" s="922"/>
      <c r="AMO182" s="922"/>
      <c r="AMP182" s="922"/>
      <c r="AMQ182" s="922"/>
      <c r="AMR182" s="922"/>
      <c r="AMS182" s="922"/>
      <c r="AMT182" s="922"/>
      <c r="AMU182" s="922"/>
      <c r="AMV182" s="922"/>
      <c r="AMW182" s="922"/>
      <c r="AMX182" s="922"/>
      <c r="AMY182" s="922"/>
      <c r="AMZ182" s="922"/>
      <c r="ANA182" s="922"/>
      <c r="ANB182" s="922"/>
      <c r="ANC182" s="922"/>
      <c r="AND182" s="922"/>
      <c r="ANE182" s="922"/>
      <c r="ANF182" s="922"/>
      <c r="ANG182" s="922"/>
      <c r="ANH182" s="922"/>
      <c r="ANI182" s="922"/>
      <c r="ANJ182" s="922"/>
      <c r="ANK182" s="922"/>
      <c r="ANL182" s="922"/>
      <c r="ANM182" s="922"/>
      <c r="ANN182" s="922"/>
      <c r="ANO182" s="922"/>
      <c r="ANP182" s="922"/>
      <c r="ANQ182" s="922"/>
      <c r="ANR182" s="922"/>
      <c r="ANS182" s="922"/>
      <c r="ANT182" s="922"/>
      <c r="ANU182" s="922"/>
      <c r="ANV182" s="922"/>
      <c r="ANW182" s="922"/>
      <c r="ANX182" s="922"/>
      <c r="ANY182" s="922"/>
      <c r="ANZ182" s="922"/>
      <c r="AOA182" s="922"/>
      <c r="AOB182" s="922"/>
      <c r="AOC182" s="922"/>
      <c r="AOD182" s="922"/>
      <c r="AOE182" s="922"/>
      <c r="AOF182" s="922"/>
      <c r="AOG182" s="922"/>
      <c r="AOH182" s="922"/>
      <c r="AOI182" s="922"/>
      <c r="AOJ182" s="922"/>
      <c r="AOK182" s="922"/>
      <c r="AOL182" s="922"/>
      <c r="AOM182" s="922"/>
      <c r="AON182" s="922"/>
      <c r="AOO182" s="922"/>
      <c r="AOP182" s="922"/>
      <c r="AOQ182" s="922"/>
      <c r="AOR182" s="922"/>
      <c r="AOS182" s="922"/>
      <c r="AOT182" s="922"/>
      <c r="AOU182" s="922"/>
      <c r="AOV182" s="922"/>
      <c r="AOW182" s="922"/>
      <c r="AOX182" s="922"/>
      <c r="AOY182" s="922"/>
      <c r="AOZ182" s="922"/>
      <c r="APA182" s="922"/>
      <c r="APB182" s="922"/>
      <c r="APC182" s="922"/>
      <c r="APD182" s="922"/>
      <c r="APE182" s="922"/>
      <c r="APF182" s="922"/>
      <c r="APG182" s="922"/>
      <c r="APH182" s="922"/>
      <c r="API182" s="922"/>
      <c r="APJ182" s="922"/>
      <c r="APK182" s="922"/>
      <c r="APL182" s="922"/>
      <c r="APM182" s="922"/>
      <c r="APN182" s="922"/>
      <c r="APO182" s="922"/>
      <c r="APP182" s="922"/>
      <c r="APQ182" s="922"/>
      <c r="APR182" s="922"/>
      <c r="APS182" s="922"/>
      <c r="APT182" s="922"/>
      <c r="APU182" s="922"/>
      <c r="APV182" s="922"/>
      <c r="APW182" s="922"/>
      <c r="APX182" s="922"/>
      <c r="APY182" s="922"/>
      <c r="APZ182" s="922"/>
      <c r="AQA182" s="922"/>
      <c r="AQB182" s="922"/>
      <c r="AQC182" s="922"/>
      <c r="AQD182" s="922"/>
      <c r="AQE182" s="922"/>
      <c r="AQF182" s="922"/>
      <c r="AQG182" s="922"/>
      <c r="AQH182" s="922"/>
      <c r="AQI182" s="922"/>
      <c r="AQJ182" s="922"/>
      <c r="AQK182" s="922"/>
      <c r="AQL182" s="922"/>
      <c r="AQM182" s="922"/>
      <c r="AQN182" s="922"/>
      <c r="AQO182" s="922"/>
      <c r="AQP182" s="922"/>
      <c r="AQQ182" s="922"/>
      <c r="AQR182" s="922"/>
      <c r="AQS182" s="922"/>
      <c r="AQT182" s="922"/>
      <c r="AQU182" s="922"/>
      <c r="AQV182" s="922"/>
      <c r="AQW182" s="922"/>
      <c r="AQX182" s="922"/>
      <c r="AQY182" s="922"/>
      <c r="AQZ182" s="922"/>
      <c r="ARA182" s="922"/>
      <c r="ARB182" s="922"/>
      <c r="ARC182" s="922"/>
      <c r="ARD182" s="922"/>
      <c r="ARE182" s="922"/>
      <c r="ARF182" s="922"/>
      <c r="ARG182" s="922"/>
      <c r="ARH182" s="922"/>
      <c r="ARI182" s="922"/>
      <c r="ARJ182" s="922"/>
      <c r="ARK182" s="922"/>
      <c r="ARL182" s="922"/>
      <c r="ARM182" s="922"/>
      <c r="ARN182" s="922"/>
      <c r="ARO182" s="922"/>
      <c r="ARP182" s="922"/>
      <c r="ARQ182" s="922"/>
      <c r="ARR182" s="922"/>
      <c r="ARS182" s="922"/>
      <c r="ART182" s="922"/>
      <c r="ARU182" s="922"/>
      <c r="ARV182" s="922"/>
      <c r="ARW182" s="922"/>
      <c r="ARX182" s="922"/>
      <c r="ARY182" s="922"/>
      <c r="ARZ182" s="922"/>
      <c r="ASA182" s="922"/>
      <c r="ASB182" s="922"/>
      <c r="ASC182" s="922"/>
    </row>
    <row r="183" spans="1:1173" hidden="1">
      <c r="T183" s="922"/>
      <c r="AN183" s="922"/>
      <c r="AO183" s="922"/>
      <c r="AP183" s="922"/>
      <c r="AQ183" s="922"/>
      <c r="AR183" s="922"/>
      <c r="AS183" s="922"/>
      <c r="AT183" s="922"/>
      <c r="AU183" s="922"/>
      <c r="AV183" s="922"/>
      <c r="AW183" s="922"/>
      <c r="AX183" s="922"/>
      <c r="AY183" s="922"/>
      <c r="AZ183" s="922"/>
      <c r="BA183" s="922"/>
      <c r="BB183" s="922"/>
      <c r="BC183" s="922"/>
      <c r="BD183" s="922"/>
      <c r="BE183" s="922"/>
      <c r="BF183" s="922"/>
      <c r="BG183" s="922"/>
      <c r="BH183" s="922"/>
      <c r="BI183" s="922"/>
      <c r="BJ183" s="922"/>
      <c r="BK183" s="922"/>
      <c r="BL183" s="922"/>
      <c r="BM183" s="922"/>
      <c r="BN183" s="922"/>
      <c r="BO183" s="922"/>
      <c r="BP183" s="922"/>
      <c r="BQ183" s="922"/>
      <c r="BR183" s="922"/>
      <c r="BS183" s="922"/>
      <c r="BT183" s="922"/>
      <c r="BU183" s="922"/>
      <c r="BV183" s="922"/>
      <c r="BW183" s="922"/>
      <c r="BX183" s="922"/>
      <c r="BY183" s="922"/>
      <c r="BZ183" s="922"/>
      <c r="CA183" s="922"/>
      <c r="CB183" s="922"/>
      <c r="CC183" s="922"/>
      <c r="CD183" s="922"/>
      <c r="CE183" s="922"/>
      <c r="CF183" s="922"/>
      <c r="CG183" s="922"/>
      <c r="CH183" s="922"/>
      <c r="CI183" s="922"/>
      <c r="CJ183" s="922"/>
      <c r="CK183" s="922"/>
      <c r="CL183" s="922"/>
      <c r="CM183" s="922"/>
      <c r="CN183" s="922"/>
      <c r="CO183" s="922"/>
      <c r="CP183" s="922"/>
      <c r="CQ183" s="922"/>
      <c r="CR183" s="922"/>
      <c r="CS183" s="922"/>
      <c r="CT183" s="922"/>
      <c r="CU183" s="922"/>
      <c r="CV183" s="922"/>
      <c r="CW183" s="922"/>
      <c r="CX183" s="922"/>
      <c r="CY183" s="922"/>
      <c r="CZ183" s="922"/>
      <c r="DA183" s="922"/>
      <c r="DB183" s="922"/>
      <c r="DC183" s="922"/>
      <c r="DD183" s="922"/>
      <c r="DE183" s="922"/>
      <c r="DF183" s="922"/>
      <c r="DG183" s="922"/>
      <c r="DH183" s="922"/>
      <c r="DI183" s="922"/>
      <c r="DJ183" s="922"/>
      <c r="DK183" s="922"/>
      <c r="DL183" s="922"/>
      <c r="DM183" s="922"/>
      <c r="DN183" s="922"/>
      <c r="DO183" s="922"/>
      <c r="DP183" s="922"/>
      <c r="DQ183" s="922"/>
      <c r="DR183" s="922"/>
      <c r="DS183" s="922"/>
      <c r="DT183" s="922"/>
      <c r="DU183" s="922"/>
      <c r="DV183" s="922"/>
      <c r="DW183" s="922"/>
      <c r="DX183" s="922"/>
      <c r="DY183" s="922"/>
      <c r="DZ183" s="922"/>
      <c r="EA183" s="922"/>
      <c r="EB183" s="922"/>
      <c r="EC183" s="922"/>
      <c r="ED183" s="922"/>
      <c r="EE183" s="922"/>
      <c r="EF183" s="922"/>
      <c r="EG183" s="922"/>
      <c r="EH183" s="922"/>
      <c r="EI183" s="922"/>
      <c r="EJ183" s="922"/>
      <c r="EK183" s="922"/>
      <c r="EL183" s="922"/>
      <c r="EM183" s="922"/>
      <c r="EN183" s="922"/>
      <c r="EO183" s="922"/>
      <c r="EP183" s="922"/>
      <c r="EQ183" s="922"/>
      <c r="ER183" s="922"/>
      <c r="ES183" s="922"/>
      <c r="ET183" s="922"/>
      <c r="EU183" s="922"/>
      <c r="EV183" s="922"/>
      <c r="EW183" s="922"/>
      <c r="EX183" s="922"/>
      <c r="EY183" s="922"/>
      <c r="EZ183" s="922"/>
      <c r="FA183" s="922"/>
      <c r="FB183" s="922"/>
      <c r="FC183" s="922"/>
      <c r="FD183" s="922"/>
      <c r="FE183" s="922"/>
      <c r="FF183" s="922"/>
      <c r="FG183" s="922"/>
      <c r="FH183" s="922"/>
      <c r="FI183" s="922"/>
      <c r="FJ183" s="922"/>
      <c r="FK183" s="922"/>
      <c r="FL183" s="922"/>
      <c r="FM183" s="922"/>
      <c r="FN183" s="922"/>
      <c r="FO183" s="922"/>
      <c r="FP183" s="922"/>
      <c r="FQ183" s="922"/>
      <c r="FR183" s="922"/>
      <c r="FS183" s="922"/>
      <c r="FT183" s="922"/>
      <c r="FU183" s="922"/>
      <c r="FV183" s="922"/>
      <c r="FW183" s="922"/>
      <c r="FX183" s="922"/>
      <c r="FY183" s="922"/>
      <c r="FZ183" s="922"/>
      <c r="GA183" s="922"/>
      <c r="GB183" s="922"/>
      <c r="GC183" s="922"/>
      <c r="GD183" s="922"/>
      <c r="GE183" s="922"/>
      <c r="GF183" s="922"/>
      <c r="GG183" s="922"/>
      <c r="GH183" s="922"/>
      <c r="GI183" s="922"/>
      <c r="GJ183" s="922"/>
      <c r="GK183" s="922"/>
      <c r="GL183" s="922"/>
      <c r="GM183" s="922"/>
      <c r="GN183" s="922"/>
      <c r="GO183" s="922"/>
      <c r="GP183" s="922"/>
      <c r="GQ183" s="922"/>
      <c r="GR183" s="922"/>
      <c r="GS183" s="922"/>
      <c r="GT183" s="922"/>
      <c r="GU183" s="922"/>
      <c r="GV183" s="922"/>
      <c r="GW183" s="922"/>
      <c r="GX183" s="922"/>
      <c r="GY183" s="922"/>
      <c r="GZ183" s="922"/>
      <c r="HA183" s="922"/>
      <c r="HB183" s="922"/>
      <c r="HC183" s="922"/>
      <c r="HD183" s="922"/>
      <c r="HE183" s="922"/>
      <c r="HF183" s="922"/>
      <c r="HG183" s="922"/>
      <c r="HH183" s="922"/>
      <c r="HI183" s="922"/>
      <c r="HJ183" s="922"/>
      <c r="HK183" s="922"/>
      <c r="HL183" s="922"/>
      <c r="HM183" s="922"/>
      <c r="HN183" s="922"/>
      <c r="HO183" s="922"/>
      <c r="HP183" s="922"/>
      <c r="HQ183" s="922"/>
      <c r="HR183" s="922"/>
      <c r="HS183" s="922"/>
      <c r="HT183" s="922"/>
      <c r="HU183" s="922"/>
      <c r="HV183" s="922"/>
      <c r="HW183" s="922"/>
      <c r="HX183" s="922"/>
      <c r="HY183" s="922"/>
      <c r="HZ183" s="922"/>
      <c r="IA183" s="922"/>
      <c r="IB183" s="922"/>
      <c r="IC183" s="922"/>
      <c r="ID183" s="922"/>
      <c r="IE183" s="922"/>
      <c r="IF183" s="922"/>
      <c r="IG183" s="922"/>
      <c r="IH183" s="922"/>
      <c r="II183" s="922"/>
      <c r="IJ183" s="922"/>
      <c r="IK183" s="922"/>
      <c r="IL183" s="922"/>
      <c r="IM183" s="922"/>
      <c r="IN183" s="922"/>
      <c r="IO183" s="922"/>
      <c r="IP183" s="922"/>
      <c r="IQ183" s="922"/>
      <c r="IR183" s="922"/>
      <c r="IS183" s="922"/>
      <c r="IT183" s="922"/>
      <c r="IU183" s="922"/>
      <c r="IV183" s="922"/>
      <c r="IW183" s="922"/>
      <c r="IX183" s="922"/>
      <c r="IY183" s="922"/>
      <c r="IZ183" s="922"/>
      <c r="JA183" s="922"/>
      <c r="JB183" s="922"/>
      <c r="JC183" s="922"/>
      <c r="JD183" s="922"/>
      <c r="JE183" s="922"/>
      <c r="JF183" s="922"/>
      <c r="JG183" s="922"/>
      <c r="JH183" s="922"/>
      <c r="JI183" s="922"/>
      <c r="JJ183" s="922"/>
      <c r="JK183" s="922"/>
      <c r="JL183" s="922"/>
      <c r="JM183" s="922"/>
      <c r="JN183" s="922"/>
      <c r="JO183" s="922"/>
      <c r="JP183" s="922"/>
      <c r="JQ183" s="922"/>
      <c r="JR183" s="922"/>
      <c r="JS183" s="922"/>
      <c r="JT183" s="922"/>
      <c r="JU183" s="922"/>
      <c r="JV183" s="922"/>
      <c r="JW183" s="922"/>
      <c r="JX183" s="922"/>
      <c r="JY183" s="922"/>
      <c r="JZ183" s="922"/>
      <c r="KA183" s="922"/>
      <c r="KB183" s="922"/>
      <c r="KC183" s="922"/>
      <c r="KD183" s="922"/>
      <c r="KE183" s="922"/>
      <c r="KF183" s="922"/>
      <c r="KG183" s="922"/>
      <c r="KH183" s="922"/>
      <c r="KI183" s="922"/>
      <c r="KJ183" s="922"/>
      <c r="KK183" s="922"/>
      <c r="KL183" s="922"/>
      <c r="KM183" s="922"/>
      <c r="KN183" s="922"/>
      <c r="KO183" s="922"/>
      <c r="KP183" s="922"/>
      <c r="KQ183" s="922"/>
      <c r="KR183" s="922"/>
      <c r="KS183" s="922"/>
      <c r="KT183" s="922"/>
      <c r="KU183" s="922"/>
      <c r="KV183" s="922"/>
      <c r="KW183" s="922"/>
      <c r="KX183" s="922"/>
      <c r="KY183" s="922"/>
      <c r="KZ183" s="922"/>
      <c r="LA183" s="922"/>
      <c r="LB183" s="922"/>
      <c r="LC183" s="922"/>
      <c r="LD183" s="922"/>
      <c r="LE183" s="922"/>
      <c r="LF183" s="922"/>
      <c r="LG183" s="922"/>
      <c r="LH183" s="922"/>
      <c r="LI183" s="922"/>
      <c r="LJ183" s="922"/>
      <c r="LK183" s="922"/>
      <c r="LL183" s="922"/>
      <c r="LM183" s="922"/>
      <c r="LN183" s="922"/>
      <c r="LO183" s="922"/>
      <c r="LP183" s="922"/>
      <c r="LQ183" s="922"/>
      <c r="LR183" s="922"/>
      <c r="LS183" s="922"/>
      <c r="LT183" s="922"/>
      <c r="LU183" s="922"/>
      <c r="LV183" s="922"/>
      <c r="LW183" s="922"/>
      <c r="LX183" s="922"/>
      <c r="LY183" s="922"/>
      <c r="LZ183" s="922"/>
      <c r="MA183" s="922"/>
      <c r="MB183" s="922"/>
      <c r="MC183" s="922"/>
      <c r="MD183" s="922"/>
      <c r="ME183" s="922"/>
      <c r="MF183" s="922"/>
      <c r="MG183" s="922"/>
      <c r="MH183" s="922"/>
      <c r="MI183" s="922"/>
      <c r="MJ183" s="922"/>
      <c r="MK183" s="922"/>
      <c r="ML183" s="922"/>
      <c r="MM183" s="922"/>
      <c r="MN183" s="922"/>
      <c r="MO183" s="922"/>
      <c r="MP183" s="922"/>
      <c r="MQ183" s="922"/>
      <c r="MR183" s="922"/>
      <c r="MS183" s="922"/>
      <c r="MT183" s="922"/>
      <c r="MU183" s="922"/>
      <c r="MV183" s="922"/>
      <c r="MW183" s="922"/>
      <c r="MX183" s="922"/>
      <c r="MY183" s="922"/>
      <c r="MZ183" s="922"/>
      <c r="NA183" s="922"/>
      <c r="NB183" s="922"/>
      <c r="NC183" s="922"/>
      <c r="ND183" s="922"/>
      <c r="NE183" s="922"/>
      <c r="NF183" s="922"/>
      <c r="NG183" s="922"/>
      <c r="NH183" s="922"/>
      <c r="NI183" s="922"/>
      <c r="NJ183" s="922"/>
      <c r="NK183" s="922"/>
      <c r="NL183" s="922"/>
      <c r="NM183" s="922"/>
      <c r="NN183" s="922"/>
      <c r="NO183" s="922"/>
      <c r="NP183" s="922"/>
      <c r="NQ183" s="922"/>
      <c r="NR183" s="922"/>
      <c r="NS183" s="922"/>
      <c r="NT183" s="922"/>
      <c r="NU183" s="922"/>
      <c r="NV183" s="922"/>
      <c r="NW183" s="922"/>
      <c r="NX183" s="922"/>
      <c r="NY183" s="922"/>
      <c r="NZ183" s="922"/>
      <c r="OA183" s="922"/>
      <c r="OB183" s="922"/>
      <c r="OC183" s="922"/>
      <c r="OD183" s="922"/>
      <c r="OE183" s="922"/>
      <c r="OF183" s="922"/>
      <c r="OG183" s="922"/>
      <c r="OH183" s="922"/>
      <c r="OI183" s="922"/>
      <c r="OJ183" s="922"/>
      <c r="OK183" s="922"/>
      <c r="OL183" s="922"/>
      <c r="OM183" s="922"/>
      <c r="ON183" s="922"/>
      <c r="OO183" s="922"/>
      <c r="OP183" s="922"/>
      <c r="OQ183" s="922"/>
      <c r="OR183" s="922"/>
      <c r="OS183" s="922"/>
      <c r="OT183" s="922"/>
      <c r="OU183" s="922"/>
      <c r="OV183" s="922"/>
      <c r="OW183" s="922"/>
      <c r="OX183" s="922"/>
      <c r="OY183" s="922"/>
      <c r="OZ183" s="922"/>
      <c r="PA183" s="922"/>
      <c r="PB183" s="922"/>
      <c r="PC183" s="922"/>
      <c r="PD183" s="922"/>
      <c r="PE183" s="922"/>
      <c r="PF183" s="922"/>
      <c r="PG183" s="922"/>
      <c r="PH183" s="922"/>
      <c r="PI183" s="922"/>
      <c r="PJ183" s="922"/>
      <c r="PK183" s="922"/>
      <c r="PL183" s="922"/>
      <c r="PM183" s="922"/>
      <c r="PN183" s="922"/>
      <c r="PO183" s="922"/>
      <c r="PP183" s="922"/>
      <c r="PQ183" s="922"/>
      <c r="PR183" s="922"/>
      <c r="PS183" s="922"/>
      <c r="PT183" s="922"/>
      <c r="PU183" s="922"/>
      <c r="PV183" s="922"/>
      <c r="PW183" s="922"/>
      <c r="PX183" s="922"/>
      <c r="PY183" s="922"/>
      <c r="PZ183" s="922"/>
      <c r="QA183" s="922"/>
      <c r="QB183" s="922"/>
      <c r="QC183" s="922"/>
      <c r="QD183" s="922"/>
      <c r="QE183" s="922"/>
      <c r="QF183" s="922"/>
      <c r="QG183" s="922"/>
      <c r="QH183" s="922"/>
      <c r="QI183" s="922"/>
      <c r="QJ183" s="922"/>
      <c r="QK183" s="922"/>
      <c r="QL183" s="922"/>
      <c r="QM183" s="922"/>
      <c r="QN183" s="922"/>
      <c r="QO183" s="922"/>
      <c r="QP183" s="922"/>
      <c r="QQ183" s="922"/>
      <c r="QR183" s="922"/>
      <c r="QS183" s="922"/>
      <c r="QT183" s="922"/>
      <c r="QU183" s="922"/>
      <c r="QV183" s="922"/>
      <c r="QW183" s="922"/>
      <c r="QX183" s="922"/>
      <c r="QY183" s="922"/>
      <c r="QZ183" s="922"/>
      <c r="RA183" s="922"/>
      <c r="RB183" s="922"/>
      <c r="RC183" s="922"/>
      <c r="RD183" s="922"/>
      <c r="RE183" s="922"/>
      <c r="RF183" s="922"/>
      <c r="RG183" s="922"/>
      <c r="RH183" s="922"/>
      <c r="RI183" s="922"/>
      <c r="RJ183" s="922"/>
      <c r="RK183" s="922"/>
      <c r="RL183" s="922"/>
      <c r="RM183" s="922"/>
      <c r="RN183" s="922"/>
      <c r="RO183" s="922"/>
      <c r="RP183" s="922"/>
      <c r="RQ183" s="922"/>
      <c r="RR183" s="922"/>
      <c r="RS183" s="922"/>
      <c r="RT183" s="922"/>
      <c r="RU183" s="922"/>
      <c r="RV183" s="922"/>
      <c r="RW183" s="922"/>
      <c r="RX183" s="922"/>
      <c r="RY183" s="922"/>
      <c r="RZ183" s="922"/>
      <c r="SA183" s="922"/>
      <c r="SB183" s="922"/>
      <c r="SC183" s="922"/>
      <c r="SD183" s="922"/>
      <c r="SE183" s="922"/>
      <c r="SF183" s="922"/>
      <c r="SG183" s="922"/>
      <c r="SH183" s="922"/>
      <c r="SI183" s="922"/>
      <c r="SJ183" s="922"/>
      <c r="SK183" s="922"/>
      <c r="SL183" s="922"/>
      <c r="SM183" s="922"/>
      <c r="SN183" s="922"/>
      <c r="SO183" s="922"/>
      <c r="SP183" s="922"/>
      <c r="SQ183" s="922"/>
      <c r="SR183" s="922"/>
      <c r="SS183" s="922"/>
      <c r="ST183" s="922"/>
      <c r="SU183" s="922"/>
      <c r="SV183" s="922"/>
      <c r="SW183" s="922"/>
      <c r="SX183" s="922"/>
      <c r="SY183" s="922"/>
      <c r="SZ183" s="922"/>
      <c r="TA183" s="922"/>
      <c r="TB183" s="922"/>
      <c r="TC183" s="922"/>
      <c r="TD183" s="922"/>
      <c r="TE183" s="922"/>
      <c r="TF183" s="922"/>
      <c r="TG183" s="922"/>
      <c r="TH183" s="922"/>
      <c r="TI183" s="922"/>
      <c r="TJ183" s="922"/>
      <c r="TK183" s="922"/>
      <c r="TL183" s="922"/>
      <c r="TM183" s="922"/>
      <c r="TN183" s="922"/>
      <c r="TO183" s="922"/>
      <c r="TP183" s="922"/>
      <c r="TQ183" s="922"/>
      <c r="TR183" s="922"/>
      <c r="TS183" s="922"/>
      <c r="TT183" s="922"/>
      <c r="TU183" s="922"/>
      <c r="TV183" s="922"/>
      <c r="TW183" s="922"/>
      <c r="TX183" s="922"/>
      <c r="TY183" s="922"/>
      <c r="TZ183" s="922"/>
      <c r="UA183" s="922"/>
      <c r="UB183" s="922"/>
      <c r="UC183" s="922"/>
      <c r="UD183" s="922"/>
      <c r="UE183" s="922"/>
      <c r="UF183" s="922"/>
      <c r="UG183" s="922"/>
      <c r="UH183" s="922"/>
      <c r="UI183" s="922"/>
      <c r="UJ183" s="922"/>
      <c r="UK183" s="922"/>
      <c r="UL183" s="922"/>
      <c r="UM183" s="922"/>
      <c r="UN183" s="922"/>
      <c r="UO183" s="922"/>
      <c r="UP183" s="922"/>
      <c r="UQ183" s="922"/>
      <c r="UR183" s="922"/>
      <c r="US183" s="922"/>
      <c r="UT183" s="922"/>
      <c r="UU183" s="922"/>
      <c r="UV183" s="922"/>
      <c r="UW183" s="922"/>
      <c r="UX183" s="922"/>
      <c r="UY183" s="922"/>
      <c r="UZ183" s="922"/>
      <c r="VA183" s="922"/>
      <c r="VB183" s="922"/>
      <c r="VC183" s="922"/>
      <c r="VD183" s="922"/>
      <c r="VE183" s="922"/>
      <c r="VF183" s="922"/>
      <c r="VG183" s="922"/>
      <c r="VH183" s="922"/>
      <c r="VI183" s="922"/>
      <c r="VJ183" s="922"/>
      <c r="VK183" s="922"/>
      <c r="VL183" s="922"/>
      <c r="VM183" s="922"/>
      <c r="VN183" s="922"/>
      <c r="VO183" s="922"/>
      <c r="VP183" s="922"/>
      <c r="VQ183" s="922"/>
      <c r="VR183" s="922"/>
      <c r="VS183" s="922"/>
      <c r="VT183" s="922"/>
      <c r="VU183" s="922"/>
      <c r="VV183" s="922"/>
      <c r="VW183" s="922"/>
      <c r="VX183" s="922"/>
      <c r="VY183" s="922"/>
      <c r="VZ183" s="922"/>
      <c r="WA183" s="922"/>
      <c r="WB183" s="922"/>
      <c r="WC183" s="922"/>
      <c r="WD183" s="922"/>
      <c r="WE183" s="922"/>
      <c r="WF183" s="922"/>
      <c r="WG183" s="922"/>
      <c r="WH183" s="922"/>
      <c r="WI183" s="922"/>
      <c r="WJ183" s="922"/>
      <c r="WK183" s="922"/>
      <c r="WL183" s="922"/>
      <c r="WM183" s="922"/>
      <c r="WN183" s="922"/>
      <c r="WO183" s="922"/>
      <c r="WP183" s="922"/>
      <c r="WQ183" s="922"/>
      <c r="WR183" s="922"/>
      <c r="WS183" s="922"/>
      <c r="WT183" s="922"/>
      <c r="WU183" s="922"/>
      <c r="WV183" s="922"/>
      <c r="WW183" s="922"/>
      <c r="WX183" s="922"/>
      <c r="WY183" s="922"/>
      <c r="WZ183" s="922"/>
      <c r="XA183" s="922"/>
      <c r="XB183" s="922"/>
      <c r="XC183" s="922"/>
      <c r="XD183" s="922"/>
      <c r="XE183" s="922"/>
      <c r="XF183" s="922"/>
      <c r="XG183" s="922"/>
      <c r="XH183" s="922"/>
      <c r="XI183" s="922"/>
      <c r="XJ183" s="922"/>
      <c r="XK183" s="922"/>
      <c r="XL183" s="922"/>
      <c r="XM183" s="922"/>
      <c r="XN183" s="922"/>
      <c r="XO183" s="922"/>
      <c r="XP183" s="922"/>
      <c r="XQ183" s="922"/>
      <c r="XR183" s="922"/>
      <c r="XS183" s="922"/>
      <c r="XT183" s="922"/>
      <c r="XU183" s="922"/>
      <c r="XV183" s="922"/>
      <c r="XW183" s="922"/>
      <c r="XX183" s="922"/>
      <c r="XY183" s="922"/>
      <c r="XZ183" s="922"/>
      <c r="YA183" s="922"/>
      <c r="YB183" s="922"/>
      <c r="YC183" s="922"/>
      <c r="YD183" s="922"/>
      <c r="YE183" s="922"/>
      <c r="YF183" s="922"/>
      <c r="YG183" s="922"/>
      <c r="YH183" s="922"/>
      <c r="YI183" s="922"/>
      <c r="YJ183" s="922"/>
      <c r="YK183" s="922"/>
      <c r="YL183" s="922"/>
      <c r="YM183" s="922"/>
      <c r="YN183" s="922"/>
      <c r="YO183" s="922"/>
      <c r="YP183" s="922"/>
      <c r="YQ183" s="922"/>
      <c r="YR183" s="922"/>
      <c r="YS183" s="922"/>
      <c r="YT183" s="922"/>
      <c r="YU183" s="922"/>
      <c r="YV183" s="922"/>
      <c r="YW183" s="922"/>
      <c r="YX183" s="922"/>
      <c r="YY183" s="922"/>
      <c r="YZ183" s="922"/>
      <c r="ZA183" s="922"/>
      <c r="ZB183" s="922"/>
      <c r="ZC183" s="922"/>
      <c r="ZD183" s="922"/>
      <c r="ZE183" s="922"/>
      <c r="ZF183" s="922"/>
      <c r="ZG183" s="922"/>
      <c r="ZH183" s="922"/>
      <c r="ZI183" s="922"/>
      <c r="ZJ183" s="922"/>
      <c r="ZK183" s="922"/>
      <c r="ZL183" s="922"/>
      <c r="ZM183" s="922"/>
      <c r="ZN183" s="922"/>
      <c r="ZO183" s="922"/>
      <c r="ZP183" s="922"/>
      <c r="ZQ183" s="922"/>
      <c r="ZR183" s="922"/>
      <c r="ZS183" s="922"/>
      <c r="ZT183" s="922"/>
      <c r="ZU183" s="922"/>
      <c r="ZV183" s="922"/>
      <c r="ZW183" s="922"/>
      <c r="ZX183" s="922"/>
      <c r="ZY183" s="922"/>
      <c r="ZZ183" s="922"/>
      <c r="AAA183" s="922"/>
      <c r="AAB183" s="922"/>
      <c r="AAC183" s="922"/>
      <c r="AAD183" s="922"/>
      <c r="AAE183" s="922"/>
      <c r="AAF183" s="922"/>
      <c r="AAG183" s="922"/>
      <c r="AAH183" s="922"/>
      <c r="AAI183" s="922"/>
      <c r="AAJ183" s="922"/>
      <c r="AAK183" s="922"/>
      <c r="AAL183" s="922"/>
      <c r="AAM183" s="922"/>
      <c r="AAN183" s="922"/>
      <c r="AAO183" s="922"/>
      <c r="AAP183" s="922"/>
      <c r="AAQ183" s="922"/>
      <c r="AAR183" s="922"/>
      <c r="AAS183" s="922"/>
      <c r="AAT183" s="922"/>
      <c r="AAU183" s="922"/>
      <c r="AAV183" s="922"/>
      <c r="AAW183" s="922"/>
      <c r="AAX183" s="922"/>
      <c r="AAY183" s="922"/>
      <c r="AAZ183" s="922"/>
      <c r="ABA183" s="922"/>
      <c r="ABB183" s="922"/>
      <c r="ABC183" s="922"/>
      <c r="ABD183" s="922"/>
      <c r="ABE183" s="922"/>
      <c r="ABF183" s="922"/>
      <c r="ABG183" s="922"/>
      <c r="ABH183" s="922"/>
      <c r="ABI183" s="922"/>
      <c r="ABJ183" s="922"/>
      <c r="ABK183" s="922"/>
      <c r="ABL183" s="922"/>
      <c r="ABM183" s="922"/>
      <c r="ABN183" s="922"/>
      <c r="ABO183" s="922"/>
      <c r="ABP183" s="922"/>
      <c r="ABQ183" s="922"/>
      <c r="ABR183" s="922"/>
      <c r="ABS183" s="922"/>
      <c r="ABT183" s="922"/>
      <c r="ABU183" s="922"/>
      <c r="ABV183" s="922"/>
      <c r="ABW183" s="922"/>
      <c r="ABX183" s="922"/>
      <c r="ABY183" s="922"/>
      <c r="ABZ183" s="922"/>
      <c r="ACA183" s="922"/>
      <c r="ACB183" s="922"/>
      <c r="ACC183" s="922"/>
      <c r="ACD183" s="922"/>
      <c r="ACE183" s="922"/>
      <c r="ACF183" s="922"/>
      <c r="ACG183" s="922"/>
      <c r="ACH183" s="922"/>
      <c r="ACI183" s="922"/>
      <c r="ACJ183" s="922"/>
      <c r="ACK183" s="922"/>
      <c r="ACL183" s="922"/>
      <c r="ACM183" s="922"/>
      <c r="ACN183" s="922"/>
      <c r="ACO183" s="922"/>
      <c r="ACP183" s="922"/>
      <c r="ACQ183" s="922"/>
      <c r="ACR183" s="922"/>
      <c r="ACS183" s="922"/>
      <c r="ACT183" s="922"/>
      <c r="ACU183" s="922"/>
      <c r="ACV183" s="922"/>
      <c r="ACW183" s="922"/>
      <c r="ACX183" s="922"/>
      <c r="ACY183" s="922"/>
      <c r="ACZ183" s="922"/>
      <c r="ADA183" s="922"/>
      <c r="ADB183" s="922"/>
      <c r="ADC183" s="922"/>
      <c r="ADD183" s="922"/>
      <c r="ADE183" s="922"/>
      <c r="ADF183" s="922"/>
      <c r="ADG183" s="922"/>
      <c r="ADH183" s="922"/>
      <c r="ADI183" s="922"/>
      <c r="ADJ183" s="922"/>
      <c r="ADK183" s="922"/>
      <c r="ADL183" s="922"/>
      <c r="ADM183" s="922"/>
      <c r="ADN183" s="922"/>
      <c r="ADO183" s="922"/>
      <c r="ADP183" s="922"/>
      <c r="ADQ183" s="922"/>
      <c r="ADR183" s="922"/>
      <c r="ADS183" s="922"/>
      <c r="ADT183" s="922"/>
      <c r="ADU183" s="922"/>
      <c r="ADV183" s="922"/>
      <c r="ADW183" s="922"/>
      <c r="ADX183" s="922"/>
      <c r="ADY183" s="922"/>
      <c r="ADZ183" s="922"/>
      <c r="AEA183" s="922"/>
      <c r="AEB183" s="922"/>
      <c r="AEC183" s="922"/>
      <c r="AED183" s="922"/>
      <c r="AEE183" s="922"/>
      <c r="AEF183" s="922"/>
      <c r="AEG183" s="922"/>
      <c r="AEH183" s="922"/>
      <c r="AEI183" s="922"/>
      <c r="AEJ183" s="922"/>
      <c r="AEK183" s="922"/>
      <c r="AEL183" s="922"/>
      <c r="AEM183" s="922"/>
      <c r="AEN183" s="922"/>
      <c r="AEO183" s="922"/>
      <c r="AEP183" s="922"/>
      <c r="AEQ183" s="922"/>
      <c r="AER183" s="922"/>
      <c r="AES183" s="922"/>
      <c r="AET183" s="922"/>
      <c r="AEU183" s="922"/>
      <c r="AEV183" s="922"/>
      <c r="AEW183" s="922"/>
      <c r="AEX183" s="922"/>
      <c r="AEY183" s="922"/>
      <c r="AEZ183" s="922"/>
      <c r="AFA183" s="922"/>
      <c r="AFB183" s="922"/>
      <c r="AFC183" s="922"/>
      <c r="AFD183" s="922"/>
      <c r="AFE183" s="922"/>
      <c r="AFF183" s="922"/>
      <c r="AFG183" s="922"/>
      <c r="AFH183" s="922"/>
      <c r="AFI183" s="922"/>
      <c r="AFJ183" s="922"/>
      <c r="AFK183" s="922"/>
      <c r="AFL183" s="922"/>
      <c r="AFM183" s="922"/>
      <c r="AFN183" s="922"/>
      <c r="AFO183" s="922"/>
      <c r="AFP183" s="922"/>
      <c r="AFQ183" s="922"/>
      <c r="AFR183" s="922"/>
      <c r="AFS183" s="922"/>
      <c r="AFT183" s="922"/>
      <c r="AFU183" s="922"/>
      <c r="AFV183" s="922"/>
      <c r="AFW183" s="922"/>
      <c r="AFX183" s="922"/>
      <c r="AFY183" s="922"/>
      <c r="AFZ183" s="922"/>
      <c r="AGA183" s="922"/>
      <c r="AGB183" s="922"/>
      <c r="AGC183" s="922"/>
      <c r="AGD183" s="922"/>
      <c r="AGE183" s="922"/>
      <c r="AGF183" s="922"/>
      <c r="AGG183" s="922"/>
      <c r="AGH183" s="922"/>
      <c r="AGI183" s="922"/>
      <c r="AGJ183" s="922"/>
      <c r="AGK183" s="922"/>
      <c r="AGL183" s="922"/>
      <c r="AGM183" s="922"/>
      <c r="AGN183" s="922"/>
      <c r="AGO183" s="922"/>
      <c r="AGP183" s="922"/>
      <c r="AGQ183" s="922"/>
      <c r="AGR183" s="922"/>
      <c r="AGS183" s="922"/>
      <c r="AGT183" s="922"/>
      <c r="AGU183" s="922"/>
      <c r="AGV183" s="922"/>
      <c r="AGW183" s="922"/>
      <c r="AGX183" s="922"/>
      <c r="AGY183" s="922"/>
      <c r="AGZ183" s="922"/>
      <c r="AHA183" s="922"/>
      <c r="AHB183" s="922"/>
      <c r="AHC183" s="922"/>
      <c r="AHD183" s="922"/>
      <c r="AHE183" s="922"/>
      <c r="AHF183" s="922"/>
      <c r="AHG183" s="922"/>
      <c r="AHH183" s="922"/>
      <c r="AHI183" s="922"/>
      <c r="AHJ183" s="922"/>
      <c r="AHK183" s="922"/>
      <c r="AHL183" s="922"/>
      <c r="AHM183" s="922"/>
      <c r="AHN183" s="922"/>
      <c r="AHO183" s="922"/>
      <c r="AHP183" s="922"/>
      <c r="AHQ183" s="922"/>
      <c r="AHR183" s="922"/>
      <c r="AHS183" s="922"/>
      <c r="AHT183" s="922"/>
      <c r="AHU183" s="922"/>
      <c r="AHV183" s="922"/>
      <c r="AHW183" s="922"/>
      <c r="AHX183" s="922"/>
      <c r="AHY183" s="922"/>
      <c r="AHZ183" s="922"/>
      <c r="AIA183" s="922"/>
      <c r="AIB183" s="922"/>
      <c r="AIC183" s="922"/>
      <c r="AID183" s="922"/>
      <c r="AIE183" s="922"/>
      <c r="AIF183" s="922"/>
      <c r="AIG183" s="922"/>
      <c r="AIH183" s="922"/>
      <c r="AII183" s="922"/>
      <c r="AIJ183" s="922"/>
      <c r="AIK183" s="922"/>
      <c r="AIL183" s="922"/>
      <c r="AIM183" s="922"/>
      <c r="AIN183" s="922"/>
      <c r="AIO183" s="922"/>
      <c r="AIP183" s="922"/>
      <c r="AIQ183" s="922"/>
      <c r="AIR183" s="922"/>
      <c r="AIS183" s="922"/>
      <c r="AIT183" s="922"/>
      <c r="AIU183" s="922"/>
      <c r="AIV183" s="922"/>
      <c r="AIW183" s="922"/>
      <c r="AIX183" s="922"/>
      <c r="AIY183" s="922"/>
      <c r="AIZ183" s="922"/>
      <c r="AJA183" s="922"/>
      <c r="AJB183" s="922"/>
      <c r="AJC183" s="922"/>
      <c r="AJD183" s="922"/>
      <c r="AJE183" s="922"/>
      <c r="AJF183" s="922"/>
      <c r="AJG183" s="922"/>
      <c r="AJH183" s="922"/>
      <c r="AJI183" s="922"/>
      <c r="AJJ183" s="922"/>
      <c r="AJK183" s="922"/>
      <c r="AJL183" s="922"/>
      <c r="AJM183" s="922"/>
      <c r="AJN183" s="922"/>
      <c r="AJO183" s="922"/>
      <c r="AJP183" s="922"/>
      <c r="AJQ183" s="922"/>
      <c r="AJR183" s="922"/>
      <c r="AJS183" s="922"/>
      <c r="AJT183" s="922"/>
      <c r="AJU183" s="922"/>
      <c r="AJV183" s="922"/>
      <c r="AJW183" s="922"/>
      <c r="AJX183" s="922"/>
      <c r="AJY183" s="922"/>
      <c r="AJZ183" s="922"/>
      <c r="AKA183" s="922"/>
      <c r="AKB183" s="922"/>
      <c r="AKC183" s="922"/>
      <c r="AKD183" s="922"/>
      <c r="AKE183" s="922"/>
      <c r="AKF183" s="922"/>
      <c r="AKG183" s="922"/>
      <c r="AKH183" s="922"/>
      <c r="AKI183" s="922"/>
      <c r="AKJ183" s="922"/>
      <c r="AKK183" s="922"/>
      <c r="AKL183" s="922"/>
      <c r="AKM183" s="922"/>
      <c r="AKN183" s="922"/>
      <c r="AKO183" s="922"/>
      <c r="AKP183" s="922"/>
      <c r="AKQ183" s="922"/>
      <c r="AKR183" s="922"/>
      <c r="AKS183" s="922"/>
      <c r="AKT183" s="922"/>
      <c r="AKU183" s="922"/>
      <c r="AKV183" s="922"/>
      <c r="AKW183" s="922"/>
      <c r="AKX183" s="922"/>
      <c r="AKY183" s="922"/>
      <c r="AKZ183" s="922"/>
      <c r="ALA183" s="922"/>
      <c r="ALB183" s="922"/>
      <c r="ALC183" s="922"/>
      <c r="ALD183" s="922"/>
      <c r="ALE183" s="922"/>
      <c r="ALF183" s="922"/>
      <c r="ALG183" s="922"/>
      <c r="ALH183" s="922"/>
      <c r="ALI183" s="922"/>
      <c r="ALJ183" s="922"/>
      <c r="ALK183" s="922"/>
      <c r="ALL183" s="922"/>
      <c r="ALM183" s="922"/>
      <c r="ALN183" s="922"/>
      <c r="ALO183" s="922"/>
      <c r="ALP183" s="922"/>
      <c r="ALQ183" s="922"/>
      <c r="ALR183" s="922"/>
      <c r="ALS183" s="922"/>
      <c r="ALT183" s="922"/>
      <c r="ALU183" s="922"/>
      <c r="ALV183" s="922"/>
      <c r="ALW183" s="922"/>
      <c r="ALX183" s="922"/>
      <c r="ALY183" s="922"/>
      <c r="ALZ183" s="922"/>
      <c r="AMA183" s="922"/>
      <c r="AMB183" s="922"/>
      <c r="AMC183" s="922"/>
      <c r="AMD183" s="922"/>
      <c r="AME183" s="922"/>
      <c r="AMF183" s="922"/>
      <c r="AMG183" s="922"/>
      <c r="AMH183" s="922"/>
      <c r="AMI183" s="922"/>
      <c r="AMJ183" s="922"/>
      <c r="AMK183" s="922"/>
      <c r="AML183" s="922"/>
      <c r="AMM183" s="922"/>
      <c r="AMN183" s="922"/>
      <c r="AMO183" s="922"/>
      <c r="AMP183" s="922"/>
      <c r="AMQ183" s="922"/>
      <c r="AMR183" s="922"/>
      <c r="AMS183" s="922"/>
      <c r="AMT183" s="922"/>
      <c r="AMU183" s="922"/>
      <c r="AMV183" s="922"/>
      <c r="AMW183" s="922"/>
      <c r="AMX183" s="922"/>
      <c r="AMY183" s="922"/>
      <c r="AMZ183" s="922"/>
      <c r="ANA183" s="922"/>
      <c r="ANB183" s="922"/>
      <c r="ANC183" s="922"/>
      <c r="AND183" s="922"/>
      <c r="ANE183" s="922"/>
      <c r="ANF183" s="922"/>
      <c r="ANG183" s="922"/>
      <c r="ANH183" s="922"/>
      <c r="ANI183" s="922"/>
      <c r="ANJ183" s="922"/>
      <c r="ANK183" s="922"/>
      <c r="ANL183" s="922"/>
      <c r="ANM183" s="922"/>
      <c r="ANN183" s="922"/>
      <c r="ANO183" s="922"/>
      <c r="ANP183" s="922"/>
      <c r="ANQ183" s="922"/>
      <c r="ANR183" s="922"/>
      <c r="ANS183" s="922"/>
      <c r="ANT183" s="922"/>
      <c r="ANU183" s="922"/>
      <c r="ANV183" s="922"/>
      <c r="ANW183" s="922"/>
      <c r="ANX183" s="922"/>
      <c r="ANY183" s="922"/>
      <c r="ANZ183" s="922"/>
      <c r="AOA183" s="922"/>
      <c r="AOB183" s="922"/>
      <c r="AOC183" s="922"/>
      <c r="AOD183" s="922"/>
      <c r="AOE183" s="922"/>
      <c r="AOF183" s="922"/>
      <c r="AOG183" s="922"/>
      <c r="AOH183" s="922"/>
      <c r="AOI183" s="922"/>
      <c r="AOJ183" s="922"/>
      <c r="AOK183" s="922"/>
      <c r="AOL183" s="922"/>
      <c r="AOM183" s="922"/>
      <c r="AON183" s="922"/>
      <c r="AOO183" s="922"/>
      <c r="AOP183" s="922"/>
      <c r="AOQ183" s="922"/>
      <c r="AOR183" s="922"/>
      <c r="AOS183" s="922"/>
      <c r="AOT183" s="922"/>
      <c r="AOU183" s="922"/>
      <c r="AOV183" s="922"/>
      <c r="AOW183" s="922"/>
      <c r="AOX183" s="922"/>
      <c r="AOY183" s="922"/>
      <c r="AOZ183" s="922"/>
      <c r="APA183" s="922"/>
      <c r="APB183" s="922"/>
      <c r="APC183" s="922"/>
      <c r="APD183" s="922"/>
      <c r="APE183" s="922"/>
      <c r="APF183" s="922"/>
      <c r="APG183" s="922"/>
      <c r="APH183" s="922"/>
      <c r="API183" s="922"/>
      <c r="APJ183" s="922"/>
      <c r="APK183" s="922"/>
      <c r="APL183" s="922"/>
      <c r="APM183" s="922"/>
      <c r="APN183" s="922"/>
      <c r="APO183" s="922"/>
      <c r="APP183" s="922"/>
      <c r="APQ183" s="922"/>
      <c r="APR183" s="922"/>
      <c r="APS183" s="922"/>
      <c r="APT183" s="922"/>
      <c r="APU183" s="922"/>
      <c r="APV183" s="922"/>
      <c r="APW183" s="922"/>
      <c r="APX183" s="922"/>
      <c r="APY183" s="922"/>
      <c r="APZ183" s="922"/>
      <c r="AQA183" s="922"/>
      <c r="AQB183" s="922"/>
      <c r="AQC183" s="922"/>
      <c r="AQD183" s="922"/>
      <c r="AQE183" s="922"/>
      <c r="AQF183" s="922"/>
      <c r="AQG183" s="922"/>
      <c r="AQH183" s="922"/>
      <c r="AQI183" s="922"/>
      <c r="AQJ183" s="922"/>
      <c r="AQK183" s="922"/>
      <c r="AQL183" s="922"/>
      <c r="AQM183" s="922"/>
      <c r="AQN183" s="922"/>
      <c r="AQO183" s="922"/>
      <c r="AQP183" s="922"/>
      <c r="AQQ183" s="922"/>
      <c r="AQR183" s="922"/>
      <c r="AQS183" s="922"/>
      <c r="AQT183" s="922"/>
      <c r="AQU183" s="922"/>
      <c r="AQV183" s="922"/>
      <c r="AQW183" s="922"/>
      <c r="AQX183" s="922"/>
      <c r="AQY183" s="922"/>
      <c r="AQZ183" s="922"/>
      <c r="ARA183" s="922"/>
      <c r="ARB183" s="922"/>
      <c r="ARC183" s="922"/>
      <c r="ARD183" s="922"/>
      <c r="ARE183" s="922"/>
      <c r="ARF183" s="922"/>
      <c r="ARG183" s="922"/>
      <c r="ARH183" s="922"/>
      <c r="ARI183" s="922"/>
      <c r="ARJ183" s="922"/>
      <c r="ARK183" s="922"/>
      <c r="ARL183" s="922"/>
      <c r="ARM183" s="922"/>
      <c r="ARN183" s="922"/>
      <c r="ARO183" s="922"/>
      <c r="ARP183" s="922"/>
      <c r="ARQ183" s="922"/>
      <c r="ARR183" s="922"/>
      <c r="ARS183" s="922"/>
      <c r="ART183" s="922"/>
      <c r="ARU183" s="922"/>
      <c r="ARV183" s="922"/>
      <c r="ARW183" s="922"/>
      <c r="ARX183" s="922"/>
      <c r="ARY183" s="922"/>
      <c r="ARZ183" s="922"/>
      <c r="ASA183" s="922"/>
      <c r="ASB183" s="922"/>
      <c r="ASC183" s="922"/>
    </row>
    <row r="184" spans="1:1173" hidden="1">
      <c r="T184" s="922"/>
      <c r="AN184" s="922"/>
      <c r="AO184" s="922"/>
      <c r="AP184" s="922"/>
      <c r="AQ184" s="922"/>
      <c r="AR184" s="922"/>
      <c r="AS184" s="922"/>
      <c r="AT184" s="922"/>
      <c r="AU184" s="922"/>
      <c r="AV184" s="922"/>
      <c r="AW184" s="922"/>
      <c r="AX184" s="922"/>
      <c r="AY184" s="922"/>
      <c r="AZ184" s="922"/>
      <c r="BA184" s="922"/>
      <c r="BB184" s="922"/>
      <c r="BC184" s="922"/>
      <c r="BD184" s="922"/>
      <c r="BE184" s="922"/>
      <c r="BF184" s="922"/>
      <c r="BG184" s="922"/>
      <c r="BH184" s="922"/>
      <c r="BI184" s="922"/>
      <c r="BJ184" s="922"/>
      <c r="BK184" s="922"/>
      <c r="BL184" s="922"/>
      <c r="BM184" s="922"/>
      <c r="BN184" s="922"/>
      <c r="BO184" s="922"/>
      <c r="BP184" s="922"/>
      <c r="BQ184" s="922"/>
      <c r="BR184" s="922"/>
      <c r="BS184" s="922"/>
      <c r="BT184" s="922"/>
      <c r="BU184" s="922"/>
      <c r="BV184" s="922"/>
      <c r="BW184" s="922"/>
      <c r="BX184" s="922"/>
      <c r="BY184" s="922"/>
      <c r="BZ184" s="922"/>
      <c r="CA184" s="922"/>
      <c r="CB184" s="922"/>
      <c r="CC184" s="922"/>
      <c r="CD184" s="922"/>
      <c r="CE184" s="922"/>
      <c r="CF184" s="922"/>
      <c r="CG184" s="922"/>
      <c r="CH184" s="922"/>
      <c r="CI184" s="922"/>
      <c r="CJ184" s="922"/>
      <c r="CK184" s="922"/>
      <c r="CL184" s="922"/>
      <c r="CM184" s="922"/>
      <c r="CN184" s="922"/>
      <c r="CO184" s="922"/>
      <c r="CP184" s="922"/>
      <c r="CQ184" s="922"/>
      <c r="CR184" s="922"/>
      <c r="CS184" s="922"/>
      <c r="CT184" s="922"/>
      <c r="CU184" s="922"/>
      <c r="CV184" s="922"/>
      <c r="CW184" s="922"/>
      <c r="CX184" s="922"/>
      <c r="CY184" s="922"/>
      <c r="CZ184" s="922"/>
      <c r="DA184" s="922"/>
      <c r="DB184" s="922"/>
      <c r="DC184" s="922"/>
      <c r="DD184" s="922"/>
      <c r="DE184" s="922"/>
      <c r="DF184" s="922"/>
      <c r="DG184" s="922"/>
      <c r="DH184" s="922"/>
      <c r="DI184" s="922"/>
      <c r="DJ184" s="922"/>
      <c r="DK184" s="922"/>
      <c r="DL184" s="922"/>
      <c r="DM184" s="922"/>
      <c r="DN184" s="922"/>
      <c r="DO184" s="922"/>
      <c r="DP184" s="922"/>
      <c r="DQ184" s="922"/>
      <c r="DR184" s="922"/>
      <c r="DS184" s="922"/>
      <c r="DT184" s="922"/>
      <c r="DU184" s="922"/>
      <c r="DV184" s="922"/>
      <c r="DW184" s="922"/>
      <c r="DX184" s="922"/>
      <c r="DY184" s="922"/>
      <c r="DZ184" s="922"/>
      <c r="EA184" s="922"/>
      <c r="EB184" s="922"/>
      <c r="EC184" s="922"/>
      <c r="ED184" s="922"/>
      <c r="EE184" s="922"/>
      <c r="EF184" s="922"/>
      <c r="EG184" s="922"/>
      <c r="EH184" s="922"/>
      <c r="EI184" s="922"/>
      <c r="EJ184" s="922"/>
      <c r="EK184" s="922"/>
      <c r="EL184" s="922"/>
      <c r="EM184" s="922"/>
      <c r="EN184" s="922"/>
      <c r="EO184" s="922"/>
      <c r="EP184" s="922"/>
      <c r="EQ184" s="922"/>
      <c r="ER184" s="922"/>
      <c r="ES184" s="922"/>
      <c r="ET184" s="922"/>
      <c r="EU184" s="922"/>
      <c r="EV184" s="922"/>
      <c r="EW184" s="922"/>
      <c r="EX184" s="922"/>
      <c r="EY184" s="922"/>
      <c r="EZ184" s="922"/>
      <c r="FA184" s="922"/>
      <c r="FB184" s="922"/>
      <c r="FC184" s="922"/>
      <c r="FD184" s="922"/>
      <c r="FE184" s="922"/>
      <c r="FF184" s="922"/>
      <c r="FG184" s="922"/>
      <c r="FH184" s="922"/>
      <c r="FI184" s="922"/>
      <c r="FJ184" s="922"/>
      <c r="FK184" s="922"/>
      <c r="FL184" s="922"/>
      <c r="FM184" s="922"/>
      <c r="FN184" s="922"/>
      <c r="FO184" s="922"/>
      <c r="FP184" s="922"/>
      <c r="FQ184" s="922"/>
      <c r="FR184" s="922"/>
      <c r="FS184" s="922"/>
      <c r="FT184" s="922"/>
      <c r="FU184" s="922"/>
      <c r="FV184" s="922"/>
      <c r="FW184" s="922"/>
      <c r="FX184" s="922"/>
      <c r="FY184" s="922"/>
      <c r="FZ184" s="922"/>
      <c r="GA184" s="922"/>
      <c r="GB184" s="922"/>
      <c r="GC184" s="922"/>
      <c r="GD184" s="922"/>
      <c r="GE184" s="922"/>
      <c r="GF184" s="922"/>
      <c r="GG184" s="922"/>
      <c r="GH184" s="922"/>
      <c r="GI184" s="922"/>
      <c r="GJ184" s="922"/>
      <c r="GK184" s="922"/>
      <c r="GL184" s="922"/>
      <c r="GM184" s="922"/>
      <c r="GN184" s="922"/>
      <c r="GO184" s="922"/>
      <c r="GP184" s="922"/>
      <c r="GQ184" s="922"/>
      <c r="GR184" s="922"/>
      <c r="GS184" s="922"/>
      <c r="GT184" s="922"/>
      <c r="GU184" s="922"/>
      <c r="GV184" s="922"/>
      <c r="GW184" s="922"/>
      <c r="GX184" s="922"/>
      <c r="GY184" s="922"/>
      <c r="GZ184" s="922"/>
      <c r="HA184" s="922"/>
      <c r="HB184" s="922"/>
      <c r="HC184" s="922"/>
      <c r="HD184" s="922"/>
      <c r="HE184" s="922"/>
      <c r="HF184" s="922"/>
      <c r="HG184" s="922"/>
      <c r="HH184" s="922"/>
      <c r="HI184" s="922"/>
      <c r="HJ184" s="922"/>
      <c r="HK184" s="922"/>
      <c r="HL184" s="922"/>
      <c r="HM184" s="922"/>
      <c r="HN184" s="922"/>
      <c r="HO184" s="922"/>
      <c r="HP184" s="922"/>
      <c r="HQ184" s="922"/>
      <c r="HR184" s="922"/>
      <c r="HS184" s="922"/>
      <c r="HT184" s="922"/>
      <c r="HU184" s="922"/>
      <c r="HV184" s="922"/>
      <c r="HW184" s="922"/>
      <c r="HX184" s="922"/>
      <c r="HY184" s="922"/>
      <c r="HZ184" s="922"/>
      <c r="IA184" s="922"/>
      <c r="IB184" s="922"/>
      <c r="IC184" s="922"/>
      <c r="ID184" s="922"/>
      <c r="IE184" s="922"/>
      <c r="IF184" s="922"/>
      <c r="IG184" s="922"/>
      <c r="IH184" s="922"/>
      <c r="II184" s="922"/>
      <c r="IJ184" s="922"/>
      <c r="IK184" s="922"/>
      <c r="IL184" s="922"/>
      <c r="IM184" s="922"/>
      <c r="IN184" s="922"/>
      <c r="IO184" s="922"/>
      <c r="IP184" s="922"/>
      <c r="IQ184" s="922"/>
      <c r="IR184" s="922"/>
      <c r="IS184" s="922"/>
      <c r="IT184" s="922"/>
      <c r="IU184" s="922"/>
      <c r="IV184" s="922"/>
      <c r="IW184" s="922"/>
      <c r="IX184" s="922"/>
      <c r="IY184" s="922"/>
      <c r="IZ184" s="922"/>
      <c r="JA184" s="922"/>
      <c r="JB184" s="922"/>
      <c r="JC184" s="922"/>
      <c r="JD184" s="922"/>
      <c r="JE184" s="922"/>
      <c r="JF184" s="922"/>
      <c r="JG184" s="922"/>
      <c r="JH184" s="922"/>
      <c r="JI184" s="922"/>
      <c r="JJ184" s="922"/>
      <c r="JK184" s="922"/>
      <c r="JL184" s="922"/>
      <c r="JM184" s="922"/>
      <c r="JN184" s="922"/>
      <c r="JO184" s="922"/>
      <c r="JP184" s="922"/>
      <c r="JQ184" s="922"/>
      <c r="JR184" s="922"/>
      <c r="JS184" s="922"/>
      <c r="JT184" s="922"/>
      <c r="JU184" s="922"/>
      <c r="JV184" s="922"/>
      <c r="JW184" s="922"/>
      <c r="JX184" s="922"/>
      <c r="JY184" s="922"/>
      <c r="JZ184" s="922"/>
      <c r="KA184" s="922"/>
      <c r="KB184" s="922"/>
      <c r="KC184" s="922"/>
      <c r="KD184" s="922"/>
      <c r="KE184" s="922"/>
      <c r="KF184" s="922"/>
      <c r="KG184" s="922"/>
      <c r="KH184" s="922"/>
      <c r="KI184" s="922"/>
      <c r="KJ184" s="922"/>
      <c r="KK184" s="922"/>
      <c r="KL184" s="922"/>
      <c r="KM184" s="922"/>
      <c r="KN184" s="922"/>
      <c r="KO184" s="922"/>
      <c r="KP184" s="922"/>
      <c r="KQ184" s="922"/>
      <c r="KR184" s="922"/>
      <c r="KS184" s="922"/>
      <c r="KT184" s="922"/>
      <c r="KU184" s="922"/>
      <c r="KV184" s="922"/>
      <c r="KW184" s="922"/>
      <c r="KX184" s="922"/>
      <c r="KY184" s="922"/>
      <c r="KZ184" s="922"/>
      <c r="LA184" s="922"/>
      <c r="LB184" s="922"/>
      <c r="LC184" s="922"/>
      <c r="LD184" s="922"/>
      <c r="LE184" s="922"/>
      <c r="LF184" s="922"/>
      <c r="LG184" s="922"/>
      <c r="LH184" s="922"/>
      <c r="LI184" s="922"/>
      <c r="LJ184" s="922"/>
      <c r="LK184" s="922"/>
      <c r="LL184" s="922"/>
      <c r="LM184" s="922"/>
      <c r="LN184" s="922"/>
      <c r="LO184" s="922"/>
      <c r="LP184" s="922"/>
      <c r="LQ184" s="922"/>
      <c r="LR184" s="922"/>
      <c r="LS184" s="922"/>
      <c r="LT184" s="922"/>
      <c r="LU184" s="922"/>
      <c r="LV184" s="922"/>
      <c r="LW184" s="922"/>
      <c r="LX184" s="922"/>
      <c r="LY184" s="922"/>
      <c r="LZ184" s="922"/>
      <c r="MA184" s="922"/>
      <c r="MB184" s="922"/>
      <c r="MC184" s="922"/>
      <c r="MD184" s="922"/>
      <c r="ME184" s="922"/>
      <c r="MF184" s="922"/>
      <c r="MG184" s="922"/>
      <c r="MH184" s="922"/>
      <c r="MI184" s="922"/>
      <c r="MJ184" s="922"/>
      <c r="MK184" s="922"/>
      <c r="ML184" s="922"/>
      <c r="MM184" s="922"/>
      <c r="MN184" s="922"/>
      <c r="MO184" s="922"/>
      <c r="MP184" s="922"/>
      <c r="MQ184" s="922"/>
      <c r="MR184" s="922"/>
      <c r="MS184" s="922"/>
      <c r="MT184" s="922"/>
      <c r="MU184" s="922"/>
      <c r="MV184" s="922"/>
      <c r="MW184" s="922"/>
      <c r="MX184" s="922"/>
      <c r="MY184" s="922"/>
      <c r="MZ184" s="922"/>
      <c r="NA184" s="922"/>
      <c r="NB184" s="922"/>
      <c r="NC184" s="922"/>
      <c r="ND184" s="922"/>
      <c r="NE184" s="922"/>
      <c r="NF184" s="922"/>
      <c r="NG184" s="922"/>
      <c r="NH184" s="922"/>
      <c r="NI184" s="922"/>
      <c r="NJ184" s="922"/>
      <c r="NK184" s="922"/>
      <c r="NL184" s="922"/>
      <c r="NM184" s="922"/>
      <c r="NN184" s="922"/>
      <c r="NO184" s="922"/>
      <c r="NP184" s="922"/>
      <c r="NQ184" s="922"/>
      <c r="NR184" s="922"/>
      <c r="NS184" s="922"/>
      <c r="NT184" s="922"/>
      <c r="NU184" s="922"/>
      <c r="NV184" s="922"/>
      <c r="NW184" s="922"/>
      <c r="NX184" s="922"/>
      <c r="NY184" s="922"/>
      <c r="NZ184" s="922"/>
      <c r="OA184" s="922"/>
      <c r="OB184" s="922"/>
      <c r="OC184" s="922"/>
      <c r="OD184" s="922"/>
      <c r="OE184" s="922"/>
      <c r="OF184" s="922"/>
      <c r="OG184" s="922"/>
      <c r="OH184" s="922"/>
      <c r="OI184" s="922"/>
      <c r="OJ184" s="922"/>
      <c r="OK184" s="922"/>
      <c r="OL184" s="922"/>
      <c r="OM184" s="922"/>
      <c r="ON184" s="922"/>
      <c r="OO184" s="922"/>
      <c r="OP184" s="922"/>
      <c r="OQ184" s="922"/>
      <c r="OR184" s="922"/>
      <c r="OS184" s="922"/>
      <c r="OT184" s="922"/>
      <c r="OU184" s="922"/>
      <c r="OV184" s="922"/>
      <c r="OW184" s="922"/>
      <c r="OX184" s="922"/>
      <c r="OY184" s="922"/>
      <c r="OZ184" s="922"/>
      <c r="PA184" s="922"/>
      <c r="PB184" s="922"/>
      <c r="PC184" s="922"/>
      <c r="PD184" s="922"/>
      <c r="PE184" s="922"/>
      <c r="PF184" s="922"/>
      <c r="PG184" s="922"/>
      <c r="PH184" s="922"/>
      <c r="PI184" s="922"/>
      <c r="PJ184" s="922"/>
      <c r="PK184" s="922"/>
      <c r="PL184" s="922"/>
      <c r="PM184" s="922"/>
      <c r="PN184" s="922"/>
      <c r="PO184" s="922"/>
      <c r="PP184" s="922"/>
      <c r="PQ184" s="922"/>
      <c r="PR184" s="922"/>
      <c r="PS184" s="922"/>
      <c r="PT184" s="922"/>
      <c r="PU184" s="922"/>
      <c r="PV184" s="922"/>
      <c r="PW184" s="922"/>
      <c r="PX184" s="922"/>
      <c r="PY184" s="922"/>
      <c r="PZ184" s="922"/>
      <c r="QA184" s="922"/>
      <c r="QB184" s="922"/>
      <c r="QC184" s="922"/>
      <c r="QD184" s="922"/>
      <c r="QE184" s="922"/>
      <c r="QF184" s="922"/>
      <c r="QG184" s="922"/>
      <c r="QH184" s="922"/>
      <c r="QI184" s="922"/>
      <c r="QJ184" s="922"/>
      <c r="QK184" s="922"/>
      <c r="QL184" s="922"/>
      <c r="QM184" s="922"/>
      <c r="QN184" s="922"/>
      <c r="QO184" s="922"/>
      <c r="QP184" s="922"/>
      <c r="QQ184" s="922"/>
      <c r="QR184" s="922"/>
      <c r="QS184" s="922"/>
      <c r="QT184" s="922"/>
      <c r="QU184" s="922"/>
      <c r="QV184" s="922"/>
      <c r="QW184" s="922"/>
      <c r="QX184" s="922"/>
      <c r="QY184" s="922"/>
      <c r="QZ184" s="922"/>
      <c r="RA184" s="922"/>
      <c r="RB184" s="922"/>
      <c r="RC184" s="922"/>
      <c r="RD184" s="922"/>
      <c r="RE184" s="922"/>
      <c r="RF184" s="922"/>
      <c r="RG184" s="922"/>
      <c r="RH184" s="922"/>
      <c r="RI184" s="922"/>
      <c r="RJ184" s="922"/>
      <c r="RK184" s="922"/>
      <c r="RL184" s="922"/>
      <c r="RM184" s="922"/>
      <c r="RN184" s="922"/>
      <c r="RO184" s="922"/>
      <c r="RP184" s="922"/>
      <c r="RQ184" s="922"/>
      <c r="RR184" s="922"/>
      <c r="RS184" s="922"/>
      <c r="RT184" s="922"/>
      <c r="RU184" s="922"/>
      <c r="RV184" s="922"/>
      <c r="RW184" s="922"/>
      <c r="RX184" s="922"/>
      <c r="RY184" s="922"/>
      <c r="RZ184" s="922"/>
      <c r="SA184" s="922"/>
      <c r="SB184" s="922"/>
      <c r="SC184" s="922"/>
      <c r="SD184" s="922"/>
      <c r="SE184" s="922"/>
      <c r="SF184" s="922"/>
      <c r="SG184" s="922"/>
      <c r="SH184" s="922"/>
      <c r="SI184" s="922"/>
      <c r="SJ184" s="922"/>
      <c r="SK184" s="922"/>
      <c r="SL184" s="922"/>
      <c r="SM184" s="922"/>
      <c r="SN184" s="922"/>
      <c r="SO184" s="922"/>
      <c r="SP184" s="922"/>
      <c r="SQ184" s="922"/>
      <c r="SR184" s="922"/>
      <c r="SS184" s="922"/>
      <c r="ST184" s="922"/>
      <c r="SU184" s="922"/>
      <c r="SV184" s="922"/>
      <c r="SW184" s="922"/>
      <c r="SX184" s="922"/>
      <c r="SY184" s="922"/>
      <c r="SZ184" s="922"/>
      <c r="TA184" s="922"/>
      <c r="TB184" s="922"/>
      <c r="TC184" s="922"/>
      <c r="TD184" s="922"/>
      <c r="TE184" s="922"/>
      <c r="TF184" s="922"/>
      <c r="TG184" s="922"/>
      <c r="TH184" s="922"/>
      <c r="TI184" s="922"/>
      <c r="TJ184" s="922"/>
      <c r="TK184" s="922"/>
      <c r="TL184" s="922"/>
      <c r="TM184" s="922"/>
      <c r="TN184" s="922"/>
      <c r="TO184" s="922"/>
      <c r="TP184" s="922"/>
      <c r="TQ184" s="922"/>
      <c r="TR184" s="922"/>
      <c r="TS184" s="922"/>
      <c r="TT184" s="922"/>
      <c r="TU184" s="922"/>
      <c r="TV184" s="922"/>
      <c r="TW184" s="922"/>
      <c r="TX184" s="922"/>
      <c r="TY184" s="922"/>
      <c r="TZ184" s="922"/>
      <c r="UA184" s="922"/>
      <c r="UB184" s="922"/>
      <c r="UC184" s="922"/>
      <c r="UD184" s="922"/>
      <c r="UE184" s="922"/>
      <c r="UF184" s="922"/>
      <c r="UG184" s="922"/>
      <c r="UH184" s="922"/>
      <c r="UI184" s="922"/>
      <c r="UJ184" s="922"/>
      <c r="UK184" s="922"/>
      <c r="UL184" s="922"/>
      <c r="UM184" s="922"/>
      <c r="UN184" s="922"/>
      <c r="UO184" s="922"/>
      <c r="UP184" s="922"/>
      <c r="UQ184" s="922"/>
      <c r="UR184" s="922"/>
      <c r="US184" s="922"/>
      <c r="UT184" s="922"/>
      <c r="UU184" s="922"/>
      <c r="UV184" s="922"/>
      <c r="UW184" s="922"/>
      <c r="UX184" s="922"/>
      <c r="UY184" s="922"/>
      <c r="UZ184" s="922"/>
      <c r="VA184" s="922"/>
      <c r="VB184" s="922"/>
      <c r="VC184" s="922"/>
      <c r="VD184" s="922"/>
      <c r="VE184" s="922"/>
      <c r="VF184" s="922"/>
      <c r="VG184" s="922"/>
      <c r="VH184" s="922"/>
      <c r="VI184" s="922"/>
      <c r="VJ184" s="922"/>
      <c r="VK184" s="922"/>
      <c r="VL184" s="922"/>
      <c r="VM184" s="922"/>
      <c r="VN184" s="922"/>
      <c r="VO184" s="922"/>
      <c r="VP184" s="922"/>
      <c r="VQ184" s="922"/>
      <c r="VR184" s="922"/>
      <c r="VS184" s="922"/>
      <c r="VT184" s="922"/>
      <c r="VU184" s="922"/>
      <c r="VV184" s="922"/>
      <c r="VW184" s="922"/>
      <c r="VX184" s="922"/>
      <c r="VY184" s="922"/>
      <c r="VZ184" s="922"/>
      <c r="WA184" s="922"/>
      <c r="WB184" s="922"/>
      <c r="WC184" s="922"/>
      <c r="WD184" s="922"/>
      <c r="WE184" s="922"/>
      <c r="WF184" s="922"/>
      <c r="WG184" s="922"/>
      <c r="WH184" s="922"/>
      <c r="WI184" s="922"/>
      <c r="WJ184" s="922"/>
      <c r="WK184" s="922"/>
      <c r="WL184" s="922"/>
      <c r="WM184" s="922"/>
      <c r="WN184" s="922"/>
      <c r="WO184" s="922"/>
      <c r="WP184" s="922"/>
      <c r="WQ184" s="922"/>
      <c r="WR184" s="922"/>
      <c r="WS184" s="922"/>
      <c r="WT184" s="922"/>
      <c r="WU184" s="922"/>
      <c r="WV184" s="922"/>
      <c r="WW184" s="922"/>
      <c r="WX184" s="922"/>
      <c r="WY184" s="922"/>
      <c r="WZ184" s="922"/>
      <c r="XA184" s="922"/>
      <c r="XB184" s="922"/>
      <c r="XC184" s="922"/>
      <c r="XD184" s="922"/>
      <c r="XE184" s="922"/>
      <c r="XF184" s="922"/>
      <c r="XG184" s="922"/>
      <c r="XH184" s="922"/>
      <c r="XI184" s="922"/>
      <c r="XJ184" s="922"/>
      <c r="XK184" s="922"/>
      <c r="XL184" s="922"/>
      <c r="XM184" s="922"/>
      <c r="XN184" s="922"/>
      <c r="XO184" s="922"/>
      <c r="XP184" s="922"/>
      <c r="XQ184" s="922"/>
      <c r="XR184" s="922"/>
      <c r="XS184" s="922"/>
      <c r="XT184" s="922"/>
      <c r="XU184" s="922"/>
      <c r="XV184" s="922"/>
      <c r="XW184" s="922"/>
      <c r="XX184" s="922"/>
      <c r="XY184" s="922"/>
      <c r="XZ184" s="922"/>
      <c r="YA184" s="922"/>
      <c r="YB184" s="922"/>
      <c r="YC184" s="922"/>
      <c r="YD184" s="922"/>
      <c r="YE184" s="922"/>
      <c r="YF184" s="922"/>
      <c r="YG184" s="922"/>
      <c r="YH184" s="922"/>
      <c r="YI184" s="922"/>
      <c r="YJ184" s="922"/>
      <c r="YK184" s="922"/>
      <c r="YL184" s="922"/>
      <c r="YM184" s="922"/>
      <c r="YN184" s="922"/>
      <c r="YO184" s="922"/>
      <c r="YP184" s="922"/>
      <c r="YQ184" s="922"/>
      <c r="YR184" s="922"/>
      <c r="YS184" s="922"/>
      <c r="YT184" s="922"/>
      <c r="YU184" s="922"/>
      <c r="YV184" s="922"/>
      <c r="YW184" s="922"/>
      <c r="YX184" s="922"/>
      <c r="YY184" s="922"/>
      <c r="YZ184" s="922"/>
      <c r="ZA184" s="922"/>
      <c r="ZB184" s="922"/>
      <c r="ZC184" s="922"/>
      <c r="ZD184" s="922"/>
      <c r="ZE184" s="922"/>
      <c r="ZF184" s="922"/>
      <c r="ZG184" s="922"/>
      <c r="ZH184" s="922"/>
      <c r="ZI184" s="922"/>
      <c r="ZJ184" s="922"/>
      <c r="ZK184" s="922"/>
      <c r="ZL184" s="922"/>
      <c r="ZM184" s="922"/>
      <c r="ZN184" s="922"/>
      <c r="ZO184" s="922"/>
      <c r="ZP184" s="922"/>
      <c r="ZQ184" s="922"/>
      <c r="ZR184" s="922"/>
      <c r="ZS184" s="922"/>
      <c r="ZT184" s="922"/>
      <c r="ZU184" s="922"/>
      <c r="ZV184" s="922"/>
      <c r="ZW184" s="922"/>
      <c r="ZX184" s="922"/>
      <c r="ZY184" s="922"/>
      <c r="ZZ184" s="922"/>
      <c r="AAA184" s="922"/>
      <c r="AAB184" s="922"/>
      <c r="AAC184" s="922"/>
      <c r="AAD184" s="922"/>
      <c r="AAE184" s="922"/>
      <c r="AAF184" s="922"/>
      <c r="AAG184" s="922"/>
      <c r="AAH184" s="922"/>
      <c r="AAI184" s="922"/>
      <c r="AAJ184" s="922"/>
      <c r="AAK184" s="922"/>
      <c r="AAL184" s="922"/>
      <c r="AAM184" s="922"/>
      <c r="AAN184" s="922"/>
      <c r="AAO184" s="922"/>
      <c r="AAP184" s="922"/>
      <c r="AAQ184" s="922"/>
      <c r="AAR184" s="922"/>
      <c r="AAS184" s="922"/>
      <c r="AAT184" s="922"/>
      <c r="AAU184" s="922"/>
      <c r="AAV184" s="922"/>
      <c r="AAW184" s="922"/>
      <c r="AAX184" s="922"/>
      <c r="AAY184" s="922"/>
      <c r="AAZ184" s="922"/>
      <c r="ABA184" s="922"/>
      <c r="ABB184" s="922"/>
      <c r="ABC184" s="922"/>
      <c r="ABD184" s="922"/>
      <c r="ABE184" s="922"/>
      <c r="ABF184" s="922"/>
      <c r="ABG184" s="922"/>
      <c r="ABH184" s="922"/>
      <c r="ABI184" s="922"/>
      <c r="ABJ184" s="922"/>
      <c r="ABK184" s="922"/>
      <c r="ABL184" s="922"/>
      <c r="ABM184" s="922"/>
      <c r="ABN184" s="922"/>
      <c r="ABO184" s="922"/>
      <c r="ABP184" s="922"/>
      <c r="ABQ184" s="922"/>
      <c r="ABR184" s="922"/>
      <c r="ABS184" s="922"/>
      <c r="ABT184" s="922"/>
      <c r="ABU184" s="922"/>
      <c r="ABV184" s="922"/>
      <c r="ABW184" s="922"/>
      <c r="ABX184" s="922"/>
      <c r="ABY184" s="922"/>
      <c r="ABZ184" s="922"/>
      <c r="ACA184" s="922"/>
      <c r="ACB184" s="922"/>
      <c r="ACC184" s="922"/>
      <c r="ACD184" s="922"/>
      <c r="ACE184" s="922"/>
      <c r="ACF184" s="922"/>
      <c r="ACG184" s="922"/>
      <c r="ACH184" s="922"/>
      <c r="ACI184" s="922"/>
      <c r="ACJ184" s="922"/>
      <c r="ACK184" s="922"/>
      <c r="ACL184" s="922"/>
      <c r="ACM184" s="922"/>
      <c r="ACN184" s="922"/>
      <c r="ACO184" s="922"/>
      <c r="ACP184" s="922"/>
      <c r="ACQ184" s="922"/>
      <c r="ACR184" s="922"/>
      <c r="ACS184" s="922"/>
      <c r="ACT184" s="922"/>
      <c r="ACU184" s="922"/>
      <c r="ACV184" s="922"/>
      <c r="ACW184" s="922"/>
      <c r="ACX184" s="922"/>
      <c r="ACY184" s="922"/>
      <c r="ACZ184" s="922"/>
      <c r="ADA184" s="922"/>
      <c r="ADB184" s="922"/>
      <c r="ADC184" s="922"/>
      <c r="ADD184" s="922"/>
      <c r="ADE184" s="922"/>
      <c r="ADF184" s="922"/>
      <c r="ADG184" s="922"/>
      <c r="ADH184" s="922"/>
      <c r="ADI184" s="922"/>
      <c r="ADJ184" s="922"/>
      <c r="ADK184" s="922"/>
      <c r="ADL184" s="922"/>
      <c r="ADM184" s="922"/>
      <c r="ADN184" s="922"/>
      <c r="ADO184" s="922"/>
      <c r="ADP184" s="922"/>
      <c r="ADQ184" s="922"/>
      <c r="ADR184" s="922"/>
      <c r="ADS184" s="922"/>
      <c r="ADT184" s="922"/>
      <c r="ADU184" s="922"/>
      <c r="ADV184" s="922"/>
      <c r="ADW184" s="922"/>
      <c r="ADX184" s="922"/>
      <c r="ADY184" s="922"/>
      <c r="ADZ184" s="922"/>
      <c r="AEA184" s="922"/>
      <c r="AEB184" s="922"/>
      <c r="AEC184" s="922"/>
      <c r="AED184" s="922"/>
      <c r="AEE184" s="922"/>
      <c r="AEF184" s="922"/>
      <c r="AEG184" s="922"/>
      <c r="AEH184" s="922"/>
      <c r="AEI184" s="922"/>
      <c r="AEJ184" s="922"/>
      <c r="AEK184" s="922"/>
      <c r="AEL184" s="922"/>
      <c r="AEM184" s="922"/>
      <c r="AEN184" s="922"/>
      <c r="AEO184" s="922"/>
      <c r="AEP184" s="922"/>
      <c r="AEQ184" s="922"/>
      <c r="AER184" s="922"/>
      <c r="AES184" s="922"/>
      <c r="AET184" s="922"/>
      <c r="AEU184" s="922"/>
      <c r="AEV184" s="922"/>
      <c r="AEW184" s="922"/>
      <c r="AEX184" s="922"/>
      <c r="AEY184" s="922"/>
      <c r="AEZ184" s="922"/>
      <c r="AFA184" s="922"/>
      <c r="AFB184" s="922"/>
      <c r="AFC184" s="922"/>
      <c r="AFD184" s="922"/>
      <c r="AFE184" s="922"/>
      <c r="AFF184" s="922"/>
      <c r="AFG184" s="922"/>
      <c r="AFH184" s="922"/>
      <c r="AFI184" s="922"/>
      <c r="AFJ184" s="922"/>
      <c r="AFK184" s="922"/>
      <c r="AFL184" s="922"/>
      <c r="AFM184" s="922"/>
      <c r="AFN184" s="922"/>
      <c r="AFO184" s="922"/>
      <c r="AFP184" s="922"/>
      <c r="AFQ184" s="922"/>
      <c r="AFR184" s="922"/>
      <c r="AFS184" s="922"/>
      <c r="AFT184" s="922"/>
      <c r="AFU184" s="922"/>
      <c r="AFV184" s="922"/>
      <c r="AFW184" s="922"/>
      <c r="AFX184" s="922"/>
      <c r="AFY184" s="922"/>
      <c r="AFZ184" s="922"/>
      <c r="AGA184" s="922"/>
      <c r="AGB184" s="922"/>
      <c r="AGC184" s="922"/>
      <c r="AGD184" s="922"/>
      <c r="AGE184" s="922"/>
      <c r="AGF184" s="922"/>
      <c r="AGG184" s="922"/>
      <c r="AGH184" s="922"/>
      <c r="AGI184" s="922"/>
      <c r="AGJ184" s="922"/>
      <c r="AGK184" s="922"/>
      <c r="AGL184" s="922"/>
      <c r="AGM184" s="922"/>
      <c r="AGN184" s="922"/>
      <c r="AGO184" s="922"/>
      <c r="AGP184" s="922"/>
      <c r="AGQ184" s="922"/>
      <c r="AGR184" s="922"/>
      <c r="AGS184" s="922"/>
      <c r="AGT184" s="922"/>
      <c r="AGU184" s="922"/>
      <c r="AGV184" s="922"/>
      <c r="AGW184" s="922"/>
      <c r="AGX184" s="922"/>
      <c r="AGY184" s="922"/>
      <c r="AGZ184" s="922"/>
      <c r="AHA184" s="922"/>
      <c r="AHB184" s="922"/>
      <c r="AHC184" s="922"/>
      <c r="AHD184" s="922"/>
      <c r="AHE184" s="922"/>
      <c r="AHF184" s="922"/>
      <c r="AHG184" s="922"/>
      <c r="AHH184" s="922"/>
      <c r="AHI184" s="922"/>
      <c r="AHJ184" s="922"/>
      <c r="AHK184" s="922"/>
      <c r="AHL184" s="922"/>
      <c r="AHM184" s="922"/>
      <c r="AHN184" s="922"/>
      <c r="AHO184" s="922"/>
      <c r="AHP184" s="922"/>
      <c r="AHQ184" s="922"/>
      <c r="AHR184" s="922"/>
      <c r="AHS184" s="922"/>
      <c r="AHT184" s="922"/>
      <c r="AHU184" s="922"/>
      <c r="AHV184" s="922"/>
      <c r="AHW184" s="922"/>
      <c r="AHX184" s="922"/>
      <c r="AHY184" s="922"/>
      <c r="AHZ184" s="922"/>
      <c r="AIA184" s="922"/>
      <c r="AIB184" s="922"/>
      <c r="AIC184" s="922"/>
      <c r="AID184" s="922"/>
      <c r="AIE184" s="922"/>
      <c r="AIF184" s="922"/>
      <c r="AIG184" s="922"/>
      <c r="AIH184" s="922"/>
      <c r="AII184" s="922"/>
      <c r="AIJ184" s="922"/>
      <c r="AIK184" s="922"/>
      <c r="AIL184" s="922"/>
      <c r="AIM184" s="922"/>
      <c r="AIN184" s="922"/>
      <c r="AIO184" s="922"/>
      <c r="AIP184" s="922"/>
      <c r="AIQ184" s="922"/>
      <c r="AIR184" s="922"/>
      <c r="AIS184" s="922"/>
      <c r="AIT184" s="922"/>
      <c r="AIU184" s="922"/>
      <c r="AIV184" s="922"/>
      <c r="AIW184" s="922"/>
      <c r="AIX184" s="922"/>
      <c r="AIY184" s="922"/>
      <c r="AIZ184" s="922"/>
      <c r="AJA184" s="922"/>
      <c r="AJB184" s="922"/>
      <c r="AJC184" s="922"/>
      <c r="AJD184" s="922"/>
      <c r="AJE184" s="922"/>
      <c r="AJF184" s="922"/>
      <c r="AJG184" s="922"/>
      <c r="AJH184" s="922"/>
      <c r="AJI184" s="922"/>
      <c r="AJJ184" s="922"/>
      <c r="AJK184" s="922"/>
      <c r="AJL184" s="922"/>
      <c r="AJM184" s="922"/>
      <c r="AJN184" s="922"/>
      <c r="AJO184" s="922"/>
      <c r="AJP184" s="922"/>
      <c r="AJQ184" s="922"/>
      <c r="AJR184" s="922"/>
      <c r="AJS184" s="922"/>
      <c r="AJT184" s="922"/>
      <c r="AJU184" s="922"/>
      <c r="AJV184" s="922"/>
      <c r="AJW184" s="922"/>
      <c r="AJX184" s="922"/>
      <c r="AJY184" s="922"/>
      <c r="AJZ184" s="922"/>
      <c r="AKA184" s="922"/>
      <c r="AKB184" s="922"/>
      <c r="AKC184" s="922"/>
      <c r="AKD184" s="922"/>
      <c r="AKE184" s="922"/>
      <c r="AKF184" s="922"/>
      <c r="AKG184" s="922"/>
      <c r="AKH184" s="922"/>
      <c r="AKI184" s="922"/>
      <c r="AKJ184" s="922"/>
      <c r="AKK184" s="922"/>
      <c r="AKL184" s="922"/>
      <c r="AKM184" s="922"/>
      <c r="AKN184" s="922"/>
      <c r="AKO184" s="922"/>
      <c r="AKP184" s="922"/>
      <c r="AKQ184" s="922"/>
      <c r="AKR184" s="922"/>
      <c r="AKS184" s="922"/>
      <c r="AKT184" s="922"/>
      <c r="AKU184" s="922"/>
      <c r="AKV184" s="922"/>
      <c r="AKW184" s="922"/>
      <c r="AKX184" s="922"/>
      <c r="AKY184" s="922"/>
      <c r="AKZ184" s="922"/>
      <c r="ALA184" s="922"/>
      <c r="ALB184" s="922"/>
      <c r="ALC184" s="922"/>
      <c r="ALD184" s="922"/>
      <c r="ALE184" s="922"/>
      <c r="ALF184" s="922"/>
      <c r="ALG184" s="922"/>
      <c r="ALH184" s="922"/>
      <c r="ALI184" s="922"/>
      <c r="ALJ184" s="922"/>
      <c r="ALK184" s="922"/>
      <c r="ALL184" s="922"/>
      <c r="ALM184" s="922"/>
      <c r="ALN184" s="922"/>
      <c r="ALO184" s="922"/>
      <c r="ALP184" s="922"/>
      <c r="ALQ184" s="922"/>
      <c r="ALR184" s="922"/>
      <c r="ALS184" s="922"/>
      <c r="ALT184" s="922"/>
      <c r="ALU184" s="922"/>
      <c r="ALV184" s="922"/>
      <c r="ALW184" s="922"/>
      <c r="ALX184" s="922"/>
      <c r="ALY184" s="922"/>
      <c r="ALZ184" s="922"/>
      <c r="AMA184" s="922"/>
      <c r="AMB184" s="922"/>
      <c r="AMC184" s="922"/>
      <c r="AMD184" s="922"/>
      <c r="AME184" s="922"/>
      <c r="AMF184" s="922"/>
      <c r="AMG184" s="922"/>
      <c r="AMH184" s="922"/>
      <c r="AMI184" s="922"/>
      <c r="AMJ184" s="922"/>
      <c r="AMK184" s="922"/>
      <c r="AML184" s="922"/>
      <c r="AMM184" s="922"/>
      <c r="AMN184" s="922"/>
      <c r="AMO184" s="922"/>
      <c r="AMP184" s="922"/>
      <c r="AMQ184" s="922"/>
      <c r="AMR184" s="922"/>
      <c r="AMS184" s="922"/>
      <c r="AMT184" s="922"/>
      <c r="AMU184" s="922"/>
      <c r="AMV184" s="922"/>
      <c r="AMW184" s="922"/>
      <c r="AMX184" s="922"/>
      <c r="AMY184" s="922"/>
      <c r="AMZ184" s="922"/>
      <c r="ANA184" s="922"/>
      <c r="ANB184" s="922"/>
      <c r="ANC184" s="922"/>
      <c r="AND184" s="922"/>
      <c r="ANE184" s="922"/>
      <c r="ANF184" s="922"/>
      <c r="ANG184" s="922"/>
      <c r="ANH184" s="922"/>
      <c r="ANI184" s="922"/>
      <c r="ANJ184" s="922"/>
      <c r="ANK184" s="922"/>
      <c r="ANL184" s="922"/>
      <c r="ANM184" s="922"/>
      <c r="ANN184" s="922"/>
      <c r="ANO184" s="922"/>
      <c r="ANP184" s="922"/>
      <c r="ANQ184" s="922"/>
      <c r="ANR184" s="922"/>
      <c r="ANS184" s="922"/>
      <c r="ANT184" s="922"/>
      <c r="ANU184" s="922"/>
      <c r="ANV184" s="922"/>
      <c r="ANW184" s="922"/>
      <c r="ANX184" s="922"/>
      <c r="ANY184" s="922"/>
      <c r="ANZ184" s="922"/>
      <c r="AOA184" s="922"/>
      <c r="AOB184" s="922"/>
      <c r="AOC184" s="922"/>
      <c r="AOD184" s="922"/>
      <c r="AOE184" s="922"/>
      <c r="AOF184" s="922"/>
      <c r="AOG184" s="922"/>
      <c r="AOH184" s="922"/>
      <c r="AOI184" s="922"/>
      <c r="AOJ184" s="922"/>
      <c r="AOK184" s="922"/>
      <c r="AOL184" s="922"/>
      <c r="AOM184" s="922"/>
      <c r="AON184" s="922"/>
      <c r="AOO184" s="922"/>
      <c r="AOP184" s="922"/>
      <c r="AOQ184" s="922"/>
      <c r="AOR184" s="922"/>
      <c r="AOS184" s="922"/>
      <c r="AOT184" s="922"/>
      <c r="AOU184" s="922"/>
      <c r="AOV184" s="922"/>
      <c r="AOW184" s="922"/>
      <c r="AOX184" s="922"/>
      <c r="AOY184" s="922"/>
      <c r="AOZ184" s="922"/>
      <c r="APA184" s="922"/>
      <c r="APB184" s="922"/>
      <c r="APC184" s="922"/>
      <c r="APD184" s="922"/>
      <c r="APE184" s="922"/>
      <c r="APF184" s="922"/>
      <c r="APG184" s="922"/>
      <c r="APH184" s="922"/>
      <c r="API184" s="922"/>
      <c r="APJ184" s="922"/>
      <c r="APK184" s="922"/>
      <c r="APL184" s="922"/>
      <c r="APM184" s="922"/>
      <c r="APN184" s="922"/>
      <c r="APO184" s="922"/>
      <c r="APP184" s="922"/>
      <c r="APQ184" s="922"/>
      <c r="APR184" s="922"/>
      <c r="APS184" s="922"/>
      <c r="APT184" s="922"/>
      <c r="APU184" s="922"/>
      <c r="APV184" s="922"/>
      <c r="APW184" s="922"/>
      <c r="APX184" s="922"/>
      <c r="APY184" s="922"/>
      <c r="APZ184" s="922"/>
      <c r="AQA184" s="922"/>
      <c r="AQB184" s="922"/>
      <c r="AQC184" s="922"/>
      <c r="AQD184" s="922"/>
      <c r="AQE184" s="922"/>
      <c r="AQF184" s="922"/>
      <c r="AQG184" s="922"/>
      <c r="AQH184" s="922"/>
      <c r="AQI184" s="922"/>
      <c r="AQJ184" s="922"/>
      <c r="AQK184" s="922"/>
      <c r="AQL184" s="922"/>
      <c r="AQM184" s="922"/>
      <c r="AQN184" s="922"/>
      <c r="AQO184" s="922"/>
      <c r="AQP184" s="922"/>
      <c r="AQQ184" s="922"/>
      <c r="AQR184" s="922"/>
      <c r="AQS184" s="922"/>
      <c r="AQT184" s="922"/>
      <c r="AQU184" s="922"/>
      <c r="AQV184" s="922"/>
      <c r="AQW184" s="922"/>
      <c r="AQX184" s="922"/>
      <c r="AQY184" s="922"/>
      <c r="AQZ184" s="922"/>
      <c r="ARA184" s="922"/>
      <c r="ARB184" s="922"/>
      <c r="ARC184" s="922"/>
      <c r="ARD184" s="922"/>
      <c r="ARE184" s="922"/>
      <c r="ARF184" s="922"/>
      <c r="ARG184" s="922"/>
      <c r="ARH184" s="922"/>
      <c r="ARI184" s="922"/>
      <c r="ARJ184" s="922"/>
      <c r="ARK184" s="922"/>
      <c r="ARL184" s="922"/>
      <c r="ARM184" s="922"/>
      <c r="ARN184" s="922"/>
      <c r="ARO184" s="922"/>
      <c r="ARP184" s="922"/>
      <c r="ARQ184" s="922"/>
      <c r="ARR184" s="922"/>
      <c r="ARS184" s="922"/>
      <c r="ART184" s="922"/>
      <c r="ARU184" s="922"/>
      <c r="ARV184" s="922"/>
      <c r="ARW184" s="922"/>
      <c r="ARX184" s="922"/>
      <c r="ARY184" s="922"/>
      <c r="ARZ184" s="922"/>
      <c r="ASA184" s="922"/>
      <c r="ASB184" s="922"/>
      <c r="ASC184" s="922"/>
    </row>
    <row r="185" spans="1:1173" hidden="1">
      <c r="T185" s="922"/>
      <c r="AN185" s="922"/>
      <c r="AO185" s="922"/>
      <c r="AP185" s="922"/>
      <c r="AQ185" s="922"/>
      <c r="AR185" s="922"/>
      <c r="AS185" s="922"/>
      <c r="AT185" s="922"/>
      <c r="AU185" s="922"/>
      <c r="AV185" s="922"/>
      <c r="AW185" s="922"/>
      <c r="AX185" s="922"/>
      <c r="AY185" s="922"/>
      <c r="AZ185" s="922"/>
      <c r="BA185" s="922"/>
      <c r="BB185" s="922"/>
      <c r="BC185" s="922"/>
      <c r="BD185" s="922"/>
      <c r="BE185" s="922"/>
      <c r="BF185" s="922"/>
      <c r="BG185" s="922"/>
      <c r="BH185" s="922"/>
      <c r="BI185" s="922"/>
      <c r="BJ185" s="922"/>
      <c r="BK185" s="922"/>
      <c r="BL185" s="922"/>
      <c r="BM185" s="922"/>
      <c r="BN185" s="922"/>
      <c r="BO185" s="922"/>
      <c r="BP185" s="922"/>
      <c r="BQ185" s="922"/>
      <c r="BR185" s="922"/>
      <c r="BS185" s="922"/>
      <c r="BT185" s="922"/>
      <c r="BU185" s="922"/>
      <c r="BV185" s="922"/>
      <c r="BW185" s="922"/>
      <c r="BX185" s="922"/>
      <c r="BY185" s="922"/>
      <c r="BZ185" s="922"/>
      <c r="CA185" s="922"/>
      <c r="CB185" s="922"/>
      <c r="CC185" s="922"/>
      <c r="CD185" s="922"/>
      <c r="CE185" s="922"/>
      <c r="CF185" s="922"/>
      <c r="CG185" s="922"/>
      <c r="CH185" s="922"/>
      <c r="CI185" s="922"/>
      <c r="CJ185" s="922"/>
      <c r="CK185" s="922"/>
      <c r="CL185" s="922"/>
      <c r="CM185" s="922"/>
      <c r="CN185" s="922"/>
      <c r="CO185" s="922"/>
      <c r="CP185" s="922"/>
      <c r="CQ185" s="922"/>
      <c r="CR185" s="922"/>
      <c r="CS185" s="922"/>
      <c r="CT185" s="922"/>
      <c r="CU185" s="922"/>
      <c r="CV185" s="922"/>
      <c r="CW185" s="922"/>
      <c r="CX185" s="922"/>
      <c r="CY185" s="922"/>
      <c r="CZ185" s="922"/>
      <c r="DA185" s="922"/>
      <c r="DB185" s="922"/>
      <c r="DC185" s="922"/>
      <c r="DD185" s="922"/>
      <c r="DE185" s="922"/>
      <c r="DF185" s="922"/>
      <c r="DG185" s="922"/>
      <c r="DH185" s="922"/>
      <c r="DI185" s="922"/>
      <c r="DJ185" s="922"/>
      <c r="DK185" s="922"/>
      <c r="DL185" s="922"/>
      <c r="DM185" s="922"/>
      <c r="DN185" s="922"/>
      <c r="DO185" s="922"/>
      <c r="DP185" s="922"/>
      <c r="DQ185" s="922"/>
      <c r="DR185" s="922"/>
      <c r="DS185" s="922"/>
      <c r="DT185" s="922"/>
      <c r="DU185" s="922"/>
      <c r="DV185" s="922"/>
      <c r="DW185" s="922"/>
      <c r="DX185" s="922"/>
      <c r="DY185" s="922"/>
      <c r="DZ185" s="922"/>
      <c r="EA185" s="922"/>
      <c r="EB185" s="922"/>
      <c r="EC185" s="922"/>
      <c r="ED185" s="922"/>
      <c r="EE185" s="922"/>
      <c r="EF185" s="922"/>
      <c r="EG185" s="922"/>
      <c r="EH185" s="922"/>
      <c r="EI185" s="922"/>
      <c r="EJ185" s="922"/>
      <c r="EK185" s="922"/>
      <c r="EL185" s="922"/>
      <c r="EM185" s="922"/>
      <c r="EN185" s="922"/>
      <c r="EO185" s="922"/>
      <c r="EP185" s="922"/>
      <c r="EQ185" s="922"/>
      <c r="ER185" s="922"/>
      <c r="ES185" s="922"/>
      <c r="ET185" s="922"/>
      <c r="EU185" s="922"/>
      <c r="EV185" s="922"/>
      <c r="EW185" s="922"/>
      <c r="EX185" s="922"/>
      <c r="EY185" s="922"/>
      <c r="EZ185" s="922"/>
      <c r="FA185" s="922"/>
      <c r="FB185" s="922"/>
      <c r="FC185" s="922"/>
      <c r="FD185" s="922"/>
      <c r="FE185" s="922"/>
      <c r="FF185" s="922"/>
      <c r="FG185" s="922"/>
      <c r="FH185" s="922"/>
      <c r="FI185" s="922"/>
      <c r="FJ185" s="922"/>
      <c r="FK185" s="922"/>
      <c r="FL185" s="922"/>
      <c r="FM185" s="922"/>
      <c r="FN185" s="922"/>
      <c r="FO185" s="922"/>
      <c r="FP185" s="922"/>
      <c r="FQ185" s="922"/>
      <c r="FR185" s="922"/>
      <c r="FS185" s="922"/>
      <c r="FT185" s="922"/>
      <c r="FU185" s="922"/>
      <c r="FV185" s="922"/>
      <c r="FW185" s="922"/>
      <c r="FX185" s="922"/>
      <c r="FY185" s="922"/>
      <c r="FZ185" s="922"/>
      <c r="GA185" s="922"/>
      <c r="GB185" s="922"/>
      <c r="GC185" s="922"/>
      <c r="GD185" s="922"/>
      <c r="GE185" s="922"/>
      <c r="GF185" s="922"/>
      <c r="GG185" s="922"/>
      <c r="GH185" s="922"/>
      <c r="GI185" s="922"/>
      <c r="GJ185" s="922"/>
      <c r="GK185" s="922"/>
      <c r="GL185" s="922"/>
      <c r="GM185" s="922"/>
      <c r="GN185" s="922"/>
      <c r="GO185" s="922"/>
      <c r="GP185" s="922"/>
      <c r="GQ185" s="922"/>
      <c r="GR185" s="922"/>
      <c r="GS185" s="922"/>
      <c r="GT185" s="922"/>
      <c r="GU185" s="922"/>
      <c r="GV185" s="922"/>
      <c r="GW185" s="922"/>
      <c r="GX185" s="922"/>
      <c r="GY185" s="922"/>
      <c r="GZ185" s="922"/>
      <c r="HA185" s="922"/>
      <c r="HB185" s="922"/>
      <c r="HC185" s="922"/>
      <c r="HD185" s="922"/>
      <c r="HE185" s="922"/>
      <c r="HF185" s="922"/>
      <c r="HG185" s="922"/>
      <c r="HH185" s="922"/>
      <c r="HI185" s="922"/>
      <c r="HJ185" s="922"/>
      <c r="HK185" s="922"/>
      <c r="HL185" s="922"/>
      <c r="HM185" s="922"/>
      <c r="HN185" s="922"/>
      <c r="HO185" s="922"/>
      <c r="HP185" s="922"/>
      <c r="HQ185" s="922"/>
      <c r="HR185" s="922"/>
      <c r="HS185" s="922"/>
      <c r="HT185" s="922"/>
      <c r="HU185" s="922"/>
      <c r="HV185" s="922"/>
      <c r="HW185" s="922"/>
      <c r="HX185" s="922"/>
      <c r="HY185" s="922"/>
      <c r="HZ185" s="922"/>
      <c r="IA185" s="922"/>
      <c r="IB185" s="922"/>
      <c r="IC185" s="922"/>
      <c r="ID185" s="922"/>
      <c r="IE185" s="922"/>
      <c r="IF185" s="922"/>
      <c r="IG185" s="922"/>
      <c r="IH185" s="922"/>
      <c r="II185" s="922"/>
      <c r="IJ185" s="922"/>
      <c r="IK185" s="922"/>
      <c r="IL185" s="922"/>
      <c r="IM185" s="922"/>
      <c r="IN185" s="922"/>
      <c r="IO185" s="922"/>
      <c r="IP185" s="922"/>
      <c r="IQ185" s="922"/>
      <c r="IR185" s="922"/>
      <c r="IS185" s="922"/>
      <c r="IT185" s="922"/>
      <c r="IU185" s="922"/>
      <c r="IV185" s="922"/>
      <c r="IW185" s="922"/>
      <c r="IX185" s="922"/>
      <c r="IY185" s="922"/>
      <c r="IZ185" s="922"/>
      <c r="JA185" s="922"/>
      <c r="JB185" s="922"/>
      <c r="JC185" s="922"/>
      <c r="JD185" s="922"/>
      <c r="JE185" s="922"/>
      <c r="JF185" s="922"/>
      <c r="JG185" s="922"/>
      <c r="JH185" s="922"/>
      <c r="JI185" s="922"/>
      <c r="JJ185" s="922"/>
      <c r="JK185" s="922"/>
      <c r="JL185" s="922"/>
      <c r="JM185" s="922"/>
      <c r="JN185" s="922"/>
      <c r="JO185" s="922"/>
      <c r="JP185" s="922"/>
      <c r="JQ185" s="922"/>
      <c r="JR185" s="922"/>
      <c r="JS185" s="922"/>
      <c r="JT185" s="922"/>
      <c r="JU185" s="922"/>
      <c r="JV185" s="922"/>
      <c r="JW185" s="922"/>
      <c r="JX185" s="922"/>
      <c r="JY185" s="922"/>
      <c r="JZ185" s="922"/>
      <c r="KA185" s="922"/>
      <c r="KB185" s="922"/>
      <c r="KC185" s="922"/>
      <c r="KD185" s="922"/>
      <c r="KE185" s="922"/>
      <c r="KF185" s="922"/>
      <c r="KG185" s="922"/>
      <c r="KH185" s="922"/>
      <c r="KI185" s="922"/>
      <c r="KJ185" s="922"/>
      <c r="KK185" s="922"/>
      <c r="KL185" s="922"/>
      <c r="KM185" s="922"/>
      <c r="KN185" s="922"/>
      <c r="KO185" s="922"/>
      <c r="KP185" s="922"/>
      <c r="KQ185" s="922"/>
      <c r="KR185" s="922"/>
      <c r="KS185" s="922"/>
      <c r="KT185" s="922"/>
      <c r="KU185" s="922"/>
      <c r="KV185" s="922"/>
      <c r="KW185" s="922"/>
      <c r="KX185" s="922"/>
      <c r="KY185" s="922"/>
      <c r="KZ185" s="922"/>
      <c r="LA185" s="922"/>
      <c r="LB185" s="922"/>
      <c r="LC185" s="922"/>
      <c r="LD185" s="922"/>
      <c r="LE185" s="922"/>
      <c r="LF185" s="922"/>
      <c r="LG185" s="922"/>
      <c r="LH185" s="922"/>
      <c r="LI185" s="922"/>
      <c r="LJ185" s="922"/>
      <c r="LK185" s="922"/>
      <c r="LL185" s="922"/>
      <c r="LM185" s="922"/>
      <c r="LN185" s="922"/>
      <c r="LO185" s="922"/>
      <c r="LP185" s="922"/>
      <c r="LQ185" s="922"/>
      <c r="LR185" s="922"/>
      <c r="LS185" s="922"/>
      <c r="LT185" s="922"/>
      <c r="LU185" s="922"/>
      <c r="LV185" s="922"/>
      <c r="LW185" s="922"/>
      <c r="LX185" s="922"/>
      <c r="LY185" s="922"/>
      <c r="LZ185" s="922"/>
      <c r="MA185" s="922"/>
      <c r="MB185" s="922"/>
      <c r="MC185" s="922"/>
      <c r="MD185" s="922"/>
      <c r="ME185" s="922"/>
      <c r="MF185" s="922"/>
      <c r="MG185" s="922"/>
      <c r="MH185" s="922"/>
      <c r="MI185" s="922"/>
      <c r="MJ185" s="922"/>
      <c r="MK185" s="922"/>
      <c r="ML185" s="922"/>
      <c r="MM185" s="922"/>
      <c r="MN185" s="922"/>
      <c r="MO185" s="922"/>
      <c r="MP185" s="922"/>
      <c r="MQ185" s="922"/>
      <c r="MR185" s="922"/>
      <c r="MS185" s="922"/>
      <c r="MT185" s="922"/>
      <c r="MU185" s="922"/>
      <c r="MV185" s="922"/>
      <c r="MW185" s="922"/>
      <c r="MX185" s="922"/>
      <c r="MY185" s="922"/>
      <c r="MZ185" s="922"/>
      <c r="NA185" s="922"/>
      <c r="NB185" s="922"/>
      <c r="NC185" s="922"/>
      <c r="ND185" s="922"/>
      <c r="NE185" s="922"/>
      <c r="NF185" s="922"/>
      <c r="NG185" s="922"/>
      <c r="NH185" s="922"/>
      <c r="NI185" s="922"/>
      <c r="NJ185" s="922"/>
      <c r="NK185" s="922"/>
      <c r="NL185" s="922"/>
      <c r="NM185" s="922"/>
      <c r="NN185" s="922"/>
      <c r="NO185" s="922"/>
      <c r="NP185" s="922"/>
      <c r="NQ185" s="922"/>
      <c r="NR185" s="922"/>
      <c r="NS185" s="922"/>
      <c r="NT185" s="922"/>
      <c r="NU185" s="922"/>
      <c r="NV185" s="922"/>
      <c r="NW185" s="922"/>
      <c r="NX185" s="922"/>
      <c r="NY185" s="922"/>
      <c r="NZ185" s="922"/>
      <c r="OA185" s="922"/>
      <c r="OB185" s="922"/>
      <c r="OC185" s="922"/>
      <c r="OD185" s="922"/>
      <c r="OE185" s="922"/>
      <c r="OF185" s="922"/>
      <c r="OG185" s="922"/>
      <c r="OH185" s="922"/>
      <c r="OI185" s="922"/>
      <c r="OJ185" s="922"/>
      <c r="OK185" s="922"/>
      <c r="OL185" s="922"/>
      <c r="OM185" s="922"/>
      <c r="ON185" s="922"/>
      <c r="OO185" s="922"/>
      <c r="OP185" s="922"/>
      <c r="OQ185" s="922"/>
      <c r="OR185" s="922"/>
      <c r="OS185" s="922"/>
      <c r="OT185" s="922"/>
      <c r="OU185" s="922"/>
      <c r="OV185" s="922"/>
      <c r="OW185" s="922"/>
      <c r="OX185" s="922"/>
      <c r="OY185" s="922"/>
      <c r="OZ185" s="922"/>
      <c r="PA185" s="922"/>
      <c r="PB185" s="922"/>
      <c r="PC185" s="922"/>
      <c r="PD185" s="922"/>
      <c r="PE185" s="922"/>
      <c r="PF185" s="922"/>
      <c r="PG185" s="922"/>
      <c r="PH185" s="922"/>
      <c r="PI185" s="922"/>
      <c r="PJ185" s="922"/>
      <c r="PK185" s="922"/>
      <c r="PL185" s="922"/>
      <c r="PM185" s="922"/>
      <c r="PN185" s="922"/>
      <c r="PO185" s="922"/>
      <c r="PP185" s="922"/>
      <c r="PQ185" s="922"/>
      <c r="PR185" s="922"/>
      <c r="PS185" s="922"/>
      <c r="PT185" s="922"/>
      <c r="PU185" s="922"/>
      <c r="PV185" s="922"/>
      <c r="PW185" s="922"/>
      <c r="PX185" s="922"/>
      <c r="PY185" s="922"/>
      <c r="PZ185" s="922"/>
      <c r="QA185" s="922"/>
      <c r="QB185" s="922"/>
      <c r="QC185" s="922"/>
      <c r="QD185" s="922"/>
      <c r="QE185" s="922"/>
      <c r="QF185" s="922"/>
      <c r="QG185" s="922"/>
      <c r="QH185" s="922"/>
      <c r="QI185" s="922"/>
      <c r="QJ185" s="922"/>
      <c r="QK185" s="922"/>
      <c r="QL185" s="922"/>
      <c r="QM185" s="922"/>
      <c r="QN185" s="922"/>
      <c r="QO185" s="922"/>
      <c r="QP185" s="922"/>
      <c r="QQ185" s="922"/>
      <c r="QR185" s="922"/>
      <c r="QS185" s="922"/>
      <c r="QT185" s="922"/>
      <c r="QU185" s="922"/>
      <c r="QV185" s="922"/>
      <c r="QW185" s="922"/>
      <c r="QX185" s="922"/>
      <c r="QY185" s="922"/>
      <c r="QZ185" s="922"/>
      <c r="RA185" s="922"/>
      <c r="RB185" s="922"/>
      <c r="RC185" s="922"/>
      <c r="RD185" s="922"/>
      <c r="RE185" s="922"/>
      <c r="RF185" s="922"/>
      <c r="RG185" s="922"/>
      <c r="RH185" s="922"/>
      <c r="RI185" s="922"/>
      <c r="RJ185" s="922"/>
      <c r="RK185" s="922"/>
      <c r="RL185" s="922"/>
      <c r="RM185" s="922"/>
      <c r="RN185" s="922"/>
      <c r="RO185" s="922"/>
      <c r="RP185" s="922"/>
      <c r="RQ185" s="922"/>
      <c r="RR185" s="922"/>
      <c r="RS185" s="922"/>
      <c r="RT185" s="922"/>
      <c r="RU185" s="922"/>
      <c r="RV185" s="922"/>
      <c r="RW185" s="922"/>
      <c r="RX185" s="922"/>
      <c r="RY185" s="922"/>
      <c r="RZ185" s="922"/>
      <c r="SA185" s="922"/>
      <c r="SB185" s="922"/>
      <c r="SC185" s="922"/>
      <c r="SD185" s="922"/>
      <c r="SE185" s="922"/>
      <c r="SF185" s="922"/>
      <c r="SG185" s="922"/>
      <c r="SH185" s="922"/>
      <c r="SI185" s="922"/>
      <c r="SJ185" s="922"/>
      <c r="SK185" s="922"/>
      <c r="SL185" s="922"/>
      <c r="SM185" s="922"/>
      <c r="SN185" s="922"/>
      <c r="SO185" s="922"/>
      <c r="SP185" s="922"/>
      <c r="SQ185" s="922"/>
      <c r="SR185" s="922"/>
      <c r="SS185" s="922"/>
      <c r="ST185" s="922"/>
      <c r="SU185" s="922"/>
      <c r="SV185" s="922"/>
      <c r="SW185" s="922"/>
      <c r="SX185" s="922"/>
      <c r="SY185" s="922"/>
      <c r="SZ185" s="922"/>
      <c r="TA185" s="922"/>
      <c r="TB185" s="922"/>
      <c r="TC185" s="922"/>
      <c r="TD185" s="922"/>
      <c r="TE185" s="922"/>
      <c r="TF185" s="922"/>
      <c r="TG185" s="922"/>
      <c r="TH185" s="922"/>
      <c r="TI185" s="922"/>
      <c r="TJ185" s="922"/>
      <c r="TK185" s="922"/>
      <c r="TL185" s="922"/>
      <c r="TM185" s="922"/>
      <c r="TN185" s="922"/>
      <c r="TO185" s="922"/>
      <c r="TP185" s="922"/>
      <c r="TQ185" s="922"/>
      <c r="TR185" s="922"/>
      <c r="TS185" s="922"/>
      <c r="TT185" s="922"/>
      <c r="TU185" s="922"/>
      <c r="TV185" s="922"/>
      <c r="TW185" s="922"/>
      <c r="TX185" s="922"/>
      <c r="TY185" s="922"/>
      <c r="TZ185" s="922"/>
      <c r="UA185" s="922"/>
      <c r="UB185" s="922"/>
      <c r="UC185" s="922"/>
      <c r="UD185" s="922"/>
      <c r="UE185" s="922"/>
      <c r="UF185" s="922"/>
      <c r="UG185" s="922"/>
      <c r="UH185" s="922"/>
      <c r="UI185" s="922"/>
      <c r="UJ185" s="922"/>
      <c r="UK185" s="922"/>
      <c r="UL185" s="922"/>
      <c r="UM185" s="922"/>
      <c r="UN185" s="922"/>
      <c r="UO185" s="922"/>
      <c r="UP185" s="922"/>
      <c r="UQ185" s="922"/>
      <c r="UR185" s="922"/>
      <c r="US185" s="922"/>
      <c r="UT185" s="922"/>
      <c r="UU185" s="922"/>
      <c r="UV185" s="922"/>
      <c r="UW185" s="922"/>
      <c r="UX185" s="922"/>
      <c r="UY185" s="922"/>
      <c r="UZ185" s="922"/>
      <c r="VA185" s="922"/>
      <c r="VB185" s="922"/>
      <c r="VC185" s="922"/>
      <c r="VD185" s="922"/>
      <c r="VE185" s="922"/>
      <c r="VF185" s="922"/>
      <c r="VG185" s="922"/>
      <c r="VH185" s="922"/>
      <c r="VI185" s="922"/>
      <c r="VJ185" s="922"/>
      <c r="VK185" s="922"/>
      <c r="VL185" s="922"/>
      <c r="VM185" s="922"/>
      <c r="VN185" s="922"/>
      <c r="VO185" s="922"/>
      <c r="VP185" s="922"/>
      <c r="VQ185" s="922"/>
      <c r="VR185" s="922"/>
      <c r="VS185" s="922"/>
      <c r="VT185" s="922"/>
      <c r="VU185" s="922"/>
      <c r="VV185" s="922"/>
      <c r="VW185" s="922"/>
      <c r="VX185" s="922"/>
      <c r="VY185" s="922"/>
      <c r="VZ185" s="922"/>
      <c r="WA185" s="922"/>
      <c r="WB185" s="922"/>
      <c r="WC185" s="922"/>
      <c r="WD185" s="922"/>
      <c r="WE185" s="922"/>
      <c r="WF185" s="922"/>
      <c r="WG185" s="922"/>
      <c r="WH185" s="922"/>
      <c r="WI185" s="922"/>
      <c r="WJ185" s="922"/>
      <c r="WK185" s="922"/>
      <c r="WL185" s="922"/>
      <c r="WM185" s="922"/>
      <c r="WN185" s="922"/>
      <c r="WO185" s="922"/>
      <c r="WP185" s="922"/>
      <c r="WQ185" s="922"/>
      <c r="WR185" s="922"/>
      <c r="WS185" s="922"/>
      <c r="WT185" s="922"/>
      <c r="WU185" s="922"/>
      <c r="WV185" s="922"/>
      <c r="WW185" s="922"/>
      <c r="WX185" s="922"/>
      <c r="WY185" s="922"/>
      <c r="WZ185" s="922"/>
      <c r="XA185" s="922"/>
      <c r="XB185" s="922"/>
      <c r="XC185" s="922"/>
      <c r="XD185" s="922"/>
      <c r="XE185" s="922"/>
      <c r="XF185" s="922"/>
      <c r="XG185" s="922"/>
      <c r="XH185" s="922"/>
      <c r="XI185" s="922"/>
      <c r="XJ185" s="922"/>
      <c r="XK185" s="922"/>
      <c r="XL185" s="922"/>
      <c r="XM185" s="922"/>
      <c r="XN185" s="922"/>
      <c r="XO185" s="922"/>
      <c r="XP185" s="922"/>
      <c r="XQ185" s="922"/>
      <c r="XR185" s="922"/>
      <c r="XS185" s="922"/>
      <c r="XT185" s="922"/>
      <c r="XU185" s="922"/>
      <c r="XV185" s="922"/>
      <c r="XW185" s="922"/>
      <c r="XX185" s="922"/>
      <c r="XY185" s="922"/>
      <c r="XZ185" s="922"/>
      <c r="YA185" s="922"/>
      <c r="YB185" s="922"/>
      <c r="YC185" s="922"/>
      <c r="YD185" s="922"/>
      <c r="YE185" s="922"/>
      <c r="YF185" s="922"/>
      <c r="YG185" s="922"/>
      <c r="YH185" s="922"/>
      <c r="YI185" s="922"/>
      <c r="YJ185" s="922"/>
      <c r="YK185" s="922"/>
      <c r="YL185" s="922"/>
      <c r="YM185" s="922"/>
      <c r="YN185" s="922"/>
      <c r="YO185" s="922"/>
      <c r="YP185" s="922"/>
      <c r="YQ185" s="922"/>
      <c r="YR185" s="922"/>
      <c r="YS185" s="922"/>
      <c r="YT185" s="922"/>
      <c r="YU185" s="922"/>
      <c r="YV185" s="922"/>
      <c r="YW185" s="922"/>
      <c r="YX185" s="922"/>
      <c r="YY185" s="922"/>
      <c r="YZ185" s="922"/>
      <c r="ZA185" s="922"/>
      <c r="ZB185" s="922"/>
      <c r="ZC185" s="922"/>
      <c r="ZD185" s="922"/>
      <c r="ZE185" s="922"/>
      <c r="ZF185" s="922"/>
      <c r="ZG185" s="922"/>
      <c r="ZH185" s="922"/>
      <c r="ZI185" s="922"/>
      <c r="ZJ185" s="922"/>
      <c r="ZK185" s="922"/>
      <c r="ZL185" s="922"/>
      <c r="ZM185" s="922"/>
      <c r="ZN185" s="922"/>
      <c r="ZO185" s="922"/>
      <c r="ZP185" s="922"/>
      <c r="ZQ185" s="922"/>
      <c r="ZR185" s="922"/>
      <c r="ZS185" s="922"/>
      <c r="ZT185" s="922"/>
      <c r="ZU185" s="922"/>
      <c r="ZV185" s="922"/>
      <c r="ZW185" s="922"/>
      <c r="ZX185" s="922"/>
      <c r="ZY185" s="922"/>
      <c r="ZZ185" s="922"/>
      <c r="AAA185" s="922"/>
      <c r="AAB185" s="922"/>
      <c r="AAC185" s="922"/>
      <c r="AAD185" s="922"/>
      <c r="AAE185" s="922"/>
      <c r="AAF185" s="922"/>
      <c r="AAG185" s="922"/>
      <c r="AAH185" s="922"/>
      <c r="AAI185" s="922"/>
      <c r="AAJ185" s="922"/>
      <c r="AAK185" s="922"/>
      <c r="AAL185" s="922"/>
      <c r="AAM185" s="922"/>
      <c r="AAN185" s="922"/>
      <c r="AAO185" s="922"/>
      <c r="AAP185" s="922"/>
      <c r="AAQ185" s="922"/>
      <c r="AAR185" s="922"/>
      <c r="AAS185" s="922"/>
      <c r="AAT185" s="922"/>
      <c r="AAU185" s="922"/>
      <c r="AAV185" s="922"/>
      <c r="AAW185" s="922"/>
      <c r="AAX185" s="922"/>
      <c r="AAY185" s="922"/>
      <c r="AAZ185" s="922"/>
      <c r="ABA185" s="922"/>
      <c r="ABB185" s="922"/>
      <c r="ABC185" s="922"/>
      <c r="ABD185" s="922"/>
      <c r="ABE185" s="922"/>
      <c r="ABF185" s="922"/>
      <c r="ABG185" s="922"/>
      <c r="ABH185" s="922"/>
      <c r="ABI185" s="922"/>
      <c r="ABJ185" s="922"/>
      <c r="ABK185" s="922"/>
      <c r="ABL185" s="922"/>
      <c r="ABM185" s="922"/>
      <c r="ABN185" s="922"/>
      <c r="ABO185" s="922"/>
      <c r="ABP185" s="922"/>
      <c r="ABQ185" s="922"/>
      <c r="ABR185" s="922"/>
      <c r="ABS185" s="922"/>
      <c r="ABT185" s="922"/>
      <c r="ABU185" s="922"/>
      <c r="ABV185" s="922"/>
      <c r="ABW185" s="922"/>
      <c r="ABX185" s="922"/>
      <c r="ABY185" s="922"/>
      <c r="ABZ185" s="922"/>
      <c r="ACA185" s="922"/>
      <c r="ACB185" s="922"/>
      <c r="ACC185" s="922"/>
      <c r="ACD185" s="922"/>
      <c r="ACE185" s="922"/>
      <c r="ACF185" s="922"/>
      <c r="ACG185" s="922"/>
      <c r="ACH185" s="922"/>
      <c r="ACI185" s="922"/>
      <c r="ACJ185" s="922"/>
      <c r="ACK185" s="922"/>
      <c r="ACL185" s="922"/>
      <c r="ACM185" s="922"/>
      <c r="ACN185" s="922"/>
      <c r="ACO185" s="922"/>
      <c r="ACP185" s="922"/>
      <c r="ACQ185" s="922"/>
      <c r="ACR185" s="922"/>
      <c r="ACS185" s="922"/>
      <c r="ACT185" s="922"/>
      <c r="ACU185" s="922"/>
      <c r="ACV185" s="922"/>
      <c r="ACW185" s="922"/>
      <c r="ACX185" s="922"/>
      <c r="ACY185" s="922"/>
      <c r="ACZ185" s="922"/>
      <c r="ADA185" s="922"/>
      <c r="ADB185" s="922"/>
      <c r="ADC185" s="922"/>
      <c r="ADD185" s="922"/>
      <c r="ADE185" s="922"/>
      <c r="ADF185" s="922"/>
      <c r="ADG185" s="922"/>
      <c r="ADH185" s="922"/>
      <c r="ADI185" s="922"/>
      <c r="ADJ185" s="922"/>
      <c r="ADK185" s="922"/>
      <c r="ADL185" s="922"/>
      <c r="ADM185" s="922"/>
      <c r="ADN185" s="922"/>
      <c r="ADO185" s="922"/>
      <c r="ADP185" s="922"/>
      <c r="ADQ185" s="922"/>
      <c r="ADR185" s="922"/>
      <c r="ADS185" s="922"/>
      <c r="ADT185" s="922"/>
      <c r="ADU185" s="922"/>
      <c r="ADV185" s="922"/>
      <c r="ADW185" s="922"/>
      <c r="ADX185" s="922"/>
      <c r="ADY185" s="922"/>
      <c r="ADZ185" s="922"/>
      <c r="AEA185" s="922"/>
      <c r="AEB185" s="922"/>
      <c r="AEC185" s="922"/>
      <c r="AED185" s="922"/>
      <c r="AEE185" s="922"/>
      <c r="AEF185" s="922"/>
      <c r="AEG185" s="922"/>
      <c r="AEH185" s="922"/>
      <c r="AEI185" s="922"/>
      <c r="AEJ185" s="922"/>
      <c r="AEK185" s="922"/>
      <c r="AEL185" s="922"/>
      <c r="AEM185" s="922"/>
      <c r="AEN185" s="922"/>
      <c r="AEO185" s="922"/>
      <c r="AEP185" s="922"/>
      <c r="AEQ185" s="922"/>
      <c r="AER185" s="922"/>
      <c r="AES185" s="922"/>
      <c r="AET185" s="922"/>
      <c r="AEU185" s="922"/>
      <c r="AEV185" s="922"/>
      <c r="AEW185" s="922"/>
      <c r="AEX185" s="922"/>
      <c r="AEY185" s="922"/>
      <c r="AEZ185" s="922"/>
      <c r="AFA185" s="922"/>
      <c r="AFB185" s="922"/>
      <c r="AFC185" s="922"/>
      <c r="AFD185" s="922"/>
      <c r="AFE185" s="922"/>
      <c r="AFF185" s="922"/>
      <c r="AFG185" s="922"/>
      <c r="AFH185" s="922"/>
      <c r="AFI185" s="922"/>
      <c r="AFJ185" s="922"/>
      <c r="AFK185" s="922"/>
      <c r="AFL185" s="922"/>
      <c r="AFM185" s="922"/>
      <c r="AFN185" s="922"/>
      <c r="AFO185" s="922"/>
      <c r="AFP185" s="922"/>
      <c r="AFQ185" s="922"/>
      <c r="AFR185" s="922"/>
      <c r="AFS185" s="922"/>
      <c r="AFT185" s="922"/>
      <c r="AFU185" s="922"/>
      <c r="AFV185" s="922"/>
      <c r="AFW185" s="922"/>
      <c r="AFX185" s="922"/>
      <c r="AFY185" s="922"/>
      <c r="AFZ185" s="922"/>
      <c r="AGA185" s="922"/>
      <c r="AGB185" s="922"/>
      <c r="AGC185" s="922"/>
      <c r="AGD185" s="922"/>
      <c r="AGE185" s="922"/>
      <c r="AGF185" s="922"/>
      <c r="AGG185" s="922"/>
      <c r="AGH185" s="922"/>
      <c r="AGI185" s="922"/>
      <c r="AGJ185" s="922"/>
      <c r="AGK185" s="922"/>
      <c r="AGL185" s="922"/>
      <c r="AGM185" s="922"/>
      <c r="AGN185" s="922"/>
      <c r="AGO185" s="922"/>
      <c r="AGP185" s="922"/>
      <c r="AGQ185" s="922"/>
      <c r="AGR185" s="922"/>
      <c r="AGS185" s="922"/>
      <c r="AGT185" s="922"/>
      <c r="AGU185" s="922"/>
      <c r="AGV185" s="922"/>
      <c r="AGW185" s="922"/>
      <c r="AGX185" s="922"/>
      <c r="AGY185" s="922"/>
      <c r="AGZ185" s="922"/>
      <c r="AHA185" s="922"/>
      <c r="AHB185" s="922"/>
      <c r="AHC185" s="922"/>
      <c r="AHD185" s="922"/>
      <c r="AHE185" s="922"/>
      <c r="AHF185" s="922"/>
      <c r="AHG185" s="922"/>
      <c r="AHH185" s="922"/>
      <c r="AHI185" s="922"/>
      <c r="AHJ185" s="922"/>
      <c r="AHK185" s="922"/>
      <c r="AHL185" s="922"/>
      <c r="AHM185" s="922"/>
      <c r="AHN185" s="922"/>
      <c r="AHO185" s="922"/>
      <c r="AHP185" s="922"/>
      <c r="AHQ185" s="922"/>
      <c r="AHR185" s="922"/>
      <c r="AHS185" s="922"/>
      <c r="AHT185" s="922"/>
      <c r="AHU185" s="922"/>
      <c r="AHV185" s="922"/>
      <c r="AHW185" s="922"/>
      <c r="AHX185" s="922"/>
      <c r="AHY185" s="922"/>
      <c r="AHZ185" s="922"/>
      <c r="AIA185" s="922"/>
      <c r="AIB185" s="922"/>
      <c r="AIC185" s="922"/>
      <c r="AID185" s="922"/>
      <c r="AIE185" s="922"/>
      <c r="AIF185" s="922"/>
      <c r="AIG185" s="922"/>
      <c r="AIH185" s="922"/>
      <c r="AII185" s="922"/>
      <c r="AIJ185" s="922"/>
      <c r="AIK185" s="922"/>
      <c r="AIL185" s="922"/>
      <c r="AIM185" s="922"/>
      <c r="AIN185" s="922"/>
      <c r="AIO185" s="922"/>
      <c r="AIP185" s="922"/>
      <c r="AIQ185" s="922"/>
      <c r="AIR185" s="922"/>
      <c r="AIS185" s="922"/>
      <c r="AIT185" s="922"/>
      <c r="AIU185" s="922"/>
      <c r="AIV185" s="922"/>
      <c r="AIW185" s="922"/>
      <c r="AIX185" s="922"/>
      <c r="AIY185" s="922"/>
      <c r="AIZ185" s="922"/>
      <c r="AJA185" s="922"/>
      <c r="AJB185" s="922"/>
      <c r="AJC185" s="922"/>
      <c r="AJD185" s="922"/>
      <c r="AJE185" s="922"/>
      <c r="AJF185" s="922"/>
      <c r="AJG185" s="922"/>
      <c r="AJH185" s="922"/>
      <c r="AJI185" s="922"/>
      <c r="AJJ185" s="922"/>
      <c r="AJK185" s="922"/>
      <c r="AJL185" s="922"/>
      <c r="AJM185" s="922"/>
      <c r="AJN185" s="922"/>
      <c r="AJO185" s="922"/>
      <c r="AJP185" s="922"/>
      <c r="AJQ185" s="922"/>
      <c r="AJR185" s="922"/>
      <c r="AJS185" s="922"/>
      <c r="AJT185" s="922"/>
      <c r="AJU185" s="922"/>
      <c r="AJV185" s="922"/>
      <c r="AJW185" s="922"/>
      <c r="AJX185" s="922"/>
      <c r="AJY185" s="922"/>
      <c r="AJZ185" s="922"/>
      <c r="AKA185" s="922"/>
      <c r="AKB185" s="922"/>
      <c r="AKC185" s="922"/>
      <c r="AKD185" s="922"/>
      <c r="AKE185" s="922"/>
      <c r="AKF185" s="922"/>
      <c r="AKG185" s="922"/>
      <c r="AKH185" s="922"/>
      <c r="AKI185" s="922"/>
      <c r="AKJ185" s="922"/>
      <c r="AKK185" s="922"/>
      <c r="AKL185" s="922"/>
      <c r="AKM185" s="922"/>
      <c r="AKN185" s="922"/>
      <c r="AKO185" s="922"/>
      <c r="AKP185" s="922"/>
      <c r="AKQ185" s="922"/>
      <c r="AKR185" s="922"/>
      <c r="AKS185" s="922"/>
      <c r="AKT185" s="922"/>
      <c r="AKU185" s="922"/>
      <c r="AKV185" s="922"/>
      <c r="AKW185" s="922"/>
      <c r="AKX185" s="922"/>
      <c r="AKY185" s="922"/>
      <c r="AKZ185" s="922"/>
      <c r="ALA185" s="922"/>
      <c r="ALB185" s="922"/>
      <c r="ALC185" s="922"/>
      <c r="ALD185" s="922"/>
      <c r="ALE185" s="922"/>
      <c r="ALF185" s="922"/>
      <c r="ALG185" s="922"/>
      <c r="ALH185" s="922"/>
      <c r="ALI185" s="922"/>
      <c r="ALJ185" s="922"/>
      <c r="ALK185" s="922"/>
      <c r="ALL185" s="922"/>
      <c r="ALM185" s="922"/>
      <c r="ALN185" s="922"/>
      <c r="ALO185" s="922"/>
      <c r="ALP185" s="922"/>
      <c r="ALQ185" s="922"/>
      <c r="ALR185" s="922"/>
      <c r="ALS185" s="922"/>
      <c r="ALT185" s="922"/>
      <c r="ALU185" s="922"/>
      <c r="ALV185" s="922"/>
      <c r="ALW185" s="922"/>
      <c r="ALX185" s="922"/>
      <c r="ALY185" s="922"/>
      <c r="ALZ185" s="922"/>
      <c r="AMA185" s="922"/>
      <c r="AMB185" s="922"/>
      <c r="AMC185" s="922"/>
      <c r="AMD185" s="922"/>
      <c r="AME185" s="922"/>
      <c r="AMF185" s="922"/>
      <c r="AMG185" s="922"/>
      <c r="AMH185" s="922"/>
      <c r="AMI185" s="922"/>
      <c r="AMJ185" s="922"/>
      <c r="AMK185" s="922"/>
      <c r="AML185" s="922"/>
      <c r="AMM185" s="922"/>
      <c r="AMN185" s="922"/>
      <c r="AMO185" s="922"/>
      <c r="AMP185" s="922"/>
      <c r="AMQ185" s="922"/>
      <c r="AMR185" s="922"/>
      <c r="AMS185" s="922"/>
      <c r="AMT185" s="922"/>
      <c r="AMU185" s="922"/>
      <c r="AMV185" s="922"/>
      <c r="AMW185" s="922"/>
      <c r="AMX185" s="922"/>
      <c r="AMY185" s="922"/>
      <c r="AMZ185" s="922"/>
      <c r="ANA185" s="922"/>
      <c r="ANB185" s="922"/>
      <c r="ANC185" s="922"/>
      <c r="AND185" s="922"/>
      <c r="ANE185" s="922"/>
      <c r="ANF185" s="922"/>
      <c r="ANG185" s="922"/>
      <c r="ANH185" s="922"/>
      <c r="ANI185" s="922"/>
      <c r="ANJ185" s="922"/>
      <c r="ANK185" s="922"/>
      <c r="ANL185" s="922"/>
      <c r="ANM185" s="922"/>
      <c r="ANN185" s="922"/>
      <c r="ANO185" s="922"/>
      <c r="ANP185" s="922"/>
      <c r="ANQ185" s="922"/>
      <c r="ANR185" s="922"/>
      <c r="ANS185" s="922"/>
      <c r="ANT185" s="922"/>
      <c r="ANU185" s="922"/>
      <c r="ANV185" s="922"/>
      <c r="ANW185" s="922"/>
      <c r="ANX185" s="922"/>
      <c r="ANY185" s="922"/>
      <c r="ANZ185" s="922"/>
      <c r="AOA185" s="922"/>
      <c r="AOB185" s="922"/>
      <c r="AOC185" s="922"/>
      <c r="AOD185" s="922"/>
      <c r="AOE185" s="922"/>
      <c r="AOF185" s="922"/>
      <c r="AOG185" s="922"/>
      <c r="AOH185" s="922"/>
      <c r="AOI185" s="922"/>
      <c r="AOJ185" s="922"/>
      <c r="AOK185" s="922"/>
      <c r="AOL185" s="922"/>
      <c r="AOM185" s="922"/>
      <c r="AON185" s="922"/>
      <c r="AOO185" s="922"/>
      <c r="AOP185" s="922"/>
      <c r="AOQ185" s="922"/>
      <c r="AOR185" s="922"/>
      <c r="AOS185" s="922"/>
      <c r="AOT185" s="922"/>
      <c r="AOU185" s="922"/>
      <c r="AOV185" s="922"/>
      <c r="AOW185" s="922"/>
      <c r="AOX185" s="922"/>
      <c r="AOY185" s="922"/>
      <c r="AOZ185" s="922"/>
      <c r="APA185" s="922"/>
      <c r="APB185" s="922"/>
      <c r="APC185" s="922"/>
      <c r="APD185" s="922"/>
      <c r="APE185" s="922"/>
      <c r="APF185" s="922"/>
      <c r="APG185" s="922"/>
      <c r="APH185" s="922"/>
      <c r="API185" s="922"/>
      <c r="APJ185" s="922"/>
      <c r="APK185" s="922"/>
      <c r="APL185" s="922"/>
      <c r="APM185" s="922"/>
      <c r="APN185" s="922"/>
      <c r="APO185" s="922"/>
      <c r="APP185" s="922"/>
      <c r="APQ185" s="922"/>
      <c r="APR185" s="922"/>
      <c r="APS185" s="922"/>
      <c r="APT185" s="922"/>
      <c r="APU185" s="922"/>
      <c r="APV185" s="922"/>
      <c r="APW185" s="922"/>
      <c r="APX185" s="922"/>
      <c r="APY185" s="922"/>
      <c r="APZ185" s="922"/>
      <c r="AQA185" s="922"/>
      <c r="AQB185" s="922"/>
      <c r="AQC185" s="922"/>
      <c r="AQD185" s="922"/>
      <c r="AQE185" s="922"/>
      <c r="AQF185" s="922"/>
      <c r="AQG185" s="922"/>
      <c r="AQH185" s="922"/>
      <c r="AQI185" s="922"/>
      <c r="AQJ185" s="922"/>
      <c r="AQK185" s="922"/>
      <c r="AQL185" s="922"/>
      <c r="AQM185" s="922"/>
      <c r="AQN185" s="922"/>
      <c r="AQO185" s="922"/>
      <c r="AQP185" s="922"/>
      <c r="AQQ185" s="922"/>
      <c r="AQR185" s="922"/>
      <c r="AQS185" s="922"/>
      <c r="AQT185" s="922"/>
      <c r="AQU185" s="922"/>
      <c r="AQV185" s="922"/>
      <c r="AQW185" s="922"/>
      <c r="AQX185" s="922"/>
      <c r="AQY185" s="922"/>
      <c r="AQZ185" s="922"/>
      <c r="ARA185" s="922"/>
      <c r="ARB185" s="922"/>
      <c r="ARC185" s="922"/>
      <c r="ARD185" s="922"/>
      <c r="ARE185" s="922"/>
      <c r="ARF185" s="922"/>
      <c r="ARG185" s="922"/>
      <c r="ARH185" s="922"/>
      <c r="ARI185" s="922"/>
      <c r="ARJ185" s="922"/>
      <c r="ARK185" s="922"/>
      <c r="ARL185" s="922"/>
      <c r="ARM185" s="922"/>
      <c r="ARN185" s="922"/>
      <c r="ARO185" s="922"/>
      <c r="ARP185" s="922"/>
      <c r="ARQ185" s="922"/>
      <c r="ARR185" s="922"/>
      <c r="ARS185" s="922"/>
      <c r="ART185" s="922"/>
      <c r="ARU185" s="922"/>
      <c r="ARV185" s="922"/>
      <c r="ARW185" s="922"/>
      <c r="ARX185" s="922"/>
      <c r="ARY185" s="922"/>
      <c r="ARZ185" s="922"/>
      <c r="ASA185" s="922"/>
      <c r="ASB185" s="922"/>
      <c r="ASC185" s="922"/>
    </row>
    <row r="186" spans="1:1173" hidden="1">
      <c r="T186" s="922"/>
      <c r="AN186" s="922"/>
      <c r="AO186" s="922"/>
      <c r="AP186" s="922"/>
      <c r="AQ186" s="922"/>
      <c r="AR186" s="922"/>
      <c r="AS186" s="922"/>
      <c r="AT186" s="922"/>
      <c r="AU186" s="922"/>
      <c r="AV186" s="922"/>
      <c r="AW186" s="922"/>
      <c r="AX186" s="922"/>
      <c r="AY186" s="922"/>
      <c r="AZ186" s="922"/>
      <c r="BA186" s="922"/>
      <c r="BB186" s="922"/>
      <c r="BC186" s="922"/>
      <c r="BD186" s="922"/>
      <c r="BE186" s="922"/>
      <c r="BF186" s="922"/>
      <c r="BG186" s="922"/>
      <c r="BH186" s="922"/>
      <c r="BI186" s="922"/>
      <c r="BJ186" s="922"/>
      <c r="BK186" s="922"/>
      <c r="BL186" s="922"/>
      <c r="BM186" s="922"/>
      <c r="BN186" s="922"/>
      <c r="BO186" s="922"/>
      <c r="BP186" s="922"/>
      <c r="BQ186" s="922"/>
      <c r="BR186" s="922"/>
      <c r="BS186" s="922"/>
      <c r="BT186" s="922"/>
      <c r="BU186" s="922"/>
      <c r="BV186" s="922"/>
      <c r="BW186" s="922"/>
      <c r="BX186" s="922"/>
      <c r="BY186" s="922"/>
      <c r="BZ186" s="922"/>
      <c r="CA186" s="922"/>
      <c r="CB186" s="922"/>
      <c r="CC186" s="922"/>
      <c r="CD186" s="922"/>
      <c r="CE186" s="922"/>
      <c r="CF186" s="922"/>
      <c r="CG186" s="922"/>
      <c r="CH186" s="922"/>
      <c r="CI186" s="922"/>
      <c r="CJ186" s="922"/>
      <c r="CK186" s="922"/>
      <c r="CL186" s="922"/>
      <c r="CM186" s="922"/>
      <c r="CN186" s="922"/>
      <c r="CO186" s="922"/>
      <c r="CP186" s="922"/>
      <c r="CQ186" s="922"/>
      <c r="CR186" s="922"/>
      <c r="CS186" s="922"/>
      <c r="CT186" s="922"/>
      <c r="CU186" s="922"/>
      <c r="CV186" s="922"/>
      <c r="CW186" s="922"/>
      <c r="CX186" s="922"/>
      <c r="CY186" s="922"/>
      <c r="CZ186" s="922"/>
      <c r="DA186" s="922"/>
      <c r="DB186" s="922"/>
      <c r="DC186" s="922"/>
      <c r="DD186" s="922"/>
      <c r="DE186" s="922"/>
      <c r="DF186" s="922"/>
      <c r="DG186" s="922"/>
      <c r="DH186" s="922"/>
      <c r="DI186" s="922"/>
      <c r="DJ186" s="922"/>
      <c r="DK186" s="922"/>
      <c r="DL186" s="922"/>
      <c r="DM186" s="922"/>
      <c r="DN186" s="922"/>
      <c r="DO186" s="922"/>
      <c r="DP186" s="922"/>
      <c r="DQ186" s="922"/>
      <c r="DR186" s="922"/>
      <c r="DS186" s="922"/>
      <c r="DT186" s="922"/>
      <c r="DU186" s="922"/>
      <c r="DV186" s="922"/>
      <c r="DW186" s="922"/>
      <c r="DX186" s="922"/>
      <c r="DY186" s="922"/>
      <c r="DZ186" s="922"/>
      <c r="EA186" s="922"/>
      <c r="EB186" s="922"/>
      <c r="EC186" s="922"/>
      <c r="ED186" s="922"/>
      <c r="EE186" s="922"/>
      <c r="EF186" s="922"/>
      <c r="EG186" s="922"/>
      <c r="EH186" s="922"/>
      <c r="EI186" s="922"/>
      <c r="EJ186" s="922"/>
      <c r="EK186" s="922"/>
      <c r="EL186" s="922"/>
      <c r="EM186" s="922"/>
      <c r="EN186" s="922"/>
      <c r="EO186" s="922"/>
      <c r="EP186" s="922"/>
      <c r="EQ186" s="922"/>
      <c r="ER186" s="922"/>
      <c r="ES186" s="922"/>
      <c r="ET186" s="922"/>
      <c r="EU186" s="922"/>
      <c r="EV186" s="922"/>
      <c r="EW186" s="922"/>
      <c r="EX186" s="922"/>
      <c r="EY186" s="922"/>
      <c r="EZ186" s="922"/>
      <c r="FA186" s="922"/>
      <c r="FB186" s="922"/>
      <c r="FC186" s="922"/>
      <c r="FD186" s="922"/>
      <c r="FE186" s="922"/>
      <c r="FF186" s="922"/>
      <c r="FG186" s="922"/>
      <c r="FH186" s="922"/>
      <c r="FI186" s="922"/>
      <c r="FJ186" s="922"/>
      <c r="FK186" s="922"/>
      <c r="FL186" s="922"/>
      <c r="FM186" s="922"/>
      <c r="FN186" s="922"/>
      <c r="FO186" s="922"/>
      <c r="FP186" s="922"/>
      <c r="FQ186" s="922"/>
      <c r="FR186" s="922"/>
      <c r="FS186" s="922"/>
      <c r="FT186" s="922"/>
      <c r="FU186" s="922"/>
      <c r="FV186" s="922"/>
      <c r="FW186" s="922"/>
      <c r="FX186" s="922"/>
      <c r="FY186" s="922"/>
      <c r="FZ186" s="922"/>
      <c r="GA186" s="922"/>
      <c r="GB186" s="922"/>
      <c r="GC186" s="922"/>
      <c r="GD186" s="922"/>
      <c r="GE186" s="922"/>
      <c r="GF186" s="922"/>
      <c r="GG186" s="922"/>
      <c r="GH186" s="922"/>
      <c r="GI186" s="922"/>
      <c r="GJ186" s="922"/>
      <c r="GK186" s="922"/>
      <c r="GL186" s="922"/>
      <c r="GM186" s="922"/>
      <c r="GN186" s="922"/>
      <c r="GO186" s="922"/>
      <c r="GP186" s="922"/>
      <c r="GQ186" s="922"/>
      <c r="GR186" s="922"/>
      <c r="GS186" s="922"/>
      <c r="GT186" s="922"/>
      <c r="GU186" s="922"/>
      <c r="GV186" s="922"/>
      <c r="GW186" s="922"/>
      <c r="GX186" s="922"/>
      <c r="GY186" s="922"/>
      <c r="GZ186" s="922"/>
      <c r="HA186" s="922"/>
      <c r="HB186" s="922"/>
      <c r="HC186" s="922"/>
      <c r="HD186" s="922"/>
      <c r="HE186" s="922"/>
      <c r="HF186" s="922"/>
      <c r="HG186" s="922"/>
      <c r="HH186" s="922"/>
      <c r="HI186" s="922"/>
      <c r="HJ186" s="922"/>
      <c r="HK186" s="922"/>
      <c r="HL186" s="922"/>
      <c r="HM186" s="922"/>
      <c r="HN186" s="922"/>
      <c r="HO186" s="922"/>
      <c r="HP186" s="922"/>
      <c r="HQ186" s="922"/>
      <c r="HR186" s="922"/>
      <c r="HS186" s="922"/>
      <c r="HT186" s="922"/>
      <c r="HU186" s="922"/>
      <c r="HV186" s="922"/>
      <c r="HW186" s="922"/>
      <c r="HX186" s="922"/>
      <c r="HY186" s="922"/>
      <c r="HZ186" s="922"/>
      <c r="IA186" s="922"/>
      <c r="IB186" s="922"/>
      <c r="IC186" s="922"/>
      <c r="ID186" s="922"/>
      <c r="IE186" s="922"/>
      <c r="IF186" s="922"/>
      <c r="IG186" s="922"/>
      <c r="IH186" s="922"/>
      <c r="II186" s="922"/>
      <c r="IJ186" s="922"/>
      <c r="IK186" s="922"/>
      <c r="IL186" s="922"/>
      <c r="IM186" s="922"/>
      <c r="IN186" s="922"/>
      <c r="IO186" s="922"/>
      <c r="IP186" s="922"/>
      <c r="IQ186" s="922"/>
      <c r="IR186" s="922"/>
      <c r="IS186" s="922"/>
      <c r="IT186" s="922"/>
      <c r="IU186" s="922"/>
      <c r="IV186" s="922"/>
      <c r="IW186" s="922"/>
      <c r="IX186" s="922"/>
      <c r="IY186" s="922"/>
      <c r="IZ186" s="922"/>
      <c r="JA186" s="922"/>
      <c r="JB186" s="922"/>
      <c r="JC186" s="922"/>
      <c r="JD186" s="922"/>
      <c r="JE186" s="922"/>
      <c r="JF186" s="922"/>
      <c r="JG186" s="922"/>
      <c r="JH186" s="922"/>
      <c r="JI186" s="922"/>
      <c r="JJ186" s="922"/>
      <c r="JK186" s="922"/>
      <c r="JL186" s="922"/>
      <c r="JM186" s="922"/>
      <c r="JN186" s="922"/>
      <c r="JO186" s="922"/>
      <c r="JP186" s="922"/>
      <c r="JQ186" s="922"/>
      <c r="JR186" s="922"/>
      <c r="JS186" s="922"/>
      <c r="JT186" s="922"/>
      <c r="JU186" s="922"/>
      <c r="JV186" s="922"/>
      <c r="JW186" s="922"/>
      <c r="JX186" s="922"/>
      <c r="JY186" s="922"/>
      <c r="JZ186" s="922"/>
      <c r="KA186" s="922"/>
      <c r="KB186" s="922"/>
      <c r="KC186" s="922"/>
      <c r="KD186" s="922"/>
      <c r="KE186" s="922"/>
      <c r="KF186" s="922"/>
      <c r="KG186" s="922"/>
      <c r="KH186" s="922"/>
      <c r="KI186" s="922"/>
      <c r="KJ186" s="922"/>
      <c r="KK186" s="922"/>
      <c r="KL186" s="922"/>
      <c r="KM186" s="922"/>
      <c r="KN186" s="922"/>
      <c r="KO186" s="922"/>
      <c r="KP186" s="922"/>
      <c r="KQ186" s="922"/>
      <c r="KR186" s="922"/>
      <c r="KS186" s="922"/>
      <c r="KT186" s="922"/>
      <c r="KU186" s="922"/>
      <c r="KV186" s="922"/>
      <c r="KW186" s="922"/>
      <c r="KX186" s="922"/>
      <c r="KY186" s="922"/>
      <c r="KZ186" s="922"/>
      <c r="LA186" s="922"/>
      <c r="LB186" s="922"/>
      <c r="LC186" s="922"/>
      <c r="LD186" s="922"/>
      <c r="LE186" s="922"/>
      <c r="LF186" s="922"/>
      <c r="LG186" s="922"/>
      <c r="LH186" s="922"/>
      <c r="LI186" s="922"/>
      <c r="LJ186" s="922"/>
      <c r="LK186" s="922"/>
      <c r="LL186" s="922"/>
      <c r="LM186" s="922"/>
      <c r="LN186" s="922"/>
      <c r="LO186" s="922"/>
      <c r="LP186" s="922"/>
      <c r="LQ186" s="922"/>
      <c r="LR186" s="922"/>
      <c r="LS186" s="922"/>
      <c r="LT186" s="922"/>
      <c r="LU186" s="922"/>
      <c r="LV186" s="922"/>
      <c r="LW186" s="922"/>
      <c r="LX186" s="922"/>
      <c r="LY186" s="922"/>
      <c r="LZ186" s="922"/>
      <c r="MA186" s="922"/>
      <c r="MB186" s="922"/>
      <c r="MC186" s="922"/>
      <c r="MD186" s="922"/>
      <c r="ME186" s="922"/>
      <c r="MF186" s="922"/>
      <c r="MG186" s="922"/>
      <c r="MH186" s="922"/>
      <c r="MI186" s="922"/>
      <c r="MJ186" s="922"/>
      <c r="MK186" s="922"/>
      <c r="ML186" s="922"/>
      <c r="MM186" s="922"/>
      <c r="MN186" s="922"/>
      <c r="MO186" s="922"/>
      <c r="MP186" s="922"/>
      <c r="MQ186" s="922"/>
      <c r="MR186" s="922"/>
      <c r="MS186" s="922"/>
      <c r="MT186" s="922"/>
      <c r="MU186" s="922"/>
      <c r="MV186" s="922"/>
      <c r="MW186" s="922"/>
      <c r="MX186" s="922"/>
      <c r="MY186" s="922"/>
      <c r="MZ186" s="922"/>
      <c r="NA186" s="922"/>
      <c r="NB186" s="922"/>
      <c r="NC186" s="922"/>
      <c r="ND186" s="922"/>
      <c r="NE186" s="922"/>
      <c r="NF186" s="922"/>
      <c r="NG186" s="922"/>
      <c r="NH186" s="922"/>
      <c r="NI186" s="922"/>
      <c r="NJ186" s="922"/>
      <c r="NK186" s="922"/>
      <c r="NL186" s="922"/>
      <c r="NM186" s="922"/>
      <c r="NN186" s="922"/>
      <c r="NO186" s="922"/>
      <c r="NP186" s="922"/>
      <c r="NQ186" s="922"/>
      <c r="NR186" s="922"/>
      <c r="NS186" s="922"/>
      <c r="NT186" s="922"/>
      <c r="NU186" s="922"/>
      <c r="NV186" s="922"/>
      <c r="NW186" s="922"/>
      <c r="NX186" s="922"/>
      <c r="NY186" s="922"/>
      <c r="NZ186" s="922"/>
      <c r="OA186" s="922"/>
      <c r="OB186" s="922"/>
      <c r="OC186" s="922"/>
      <c r="OD186" s="922"/>
      <c r="OE186" s="922"/>
      <c r="OF186" s="922"/>
      <c r="OG186" s="922"/>
      <c r="OH186" s="922"/>
      <c r="OI186" s="922"/>
      <c r="OJ186" s="922"/>
      <c r="OK186" s="922"/>
      <c r="OL186" s="922"/>
      <c r="OM186" s="922"/>
      <c r="ON186" s="922"/>
      <c r="OO186" s="922"/>
      <c r="OP186" s="922"/>
      <c r="OQ186" s="922"/>
      <c r="OR186" s="922"/>
      <c r="OS186" s="922"/>
      <c r="OT186" s="922"/>
      <c r="OU186" s="922"/>
      <c r="OV186" s="922"/>
      <c r="OW186" s="922"/>
      <c r="OX186" s="922"/>
      <c r="OY186" s="922"/>
      <c r="OZ186" s="922"/>
      <c r="PA186" s="922"/>
      <c r="PB186" s="922"/>
      <c r="PC186" s="922"/>
      <c r="PD186" s="922"/>
      <c r="PE186" s="922"/>
      <c r="PF186" s="922"/>
      <c r="PG186" s="922"/>
      <c r="PH186" s="922"/>
      <c r="PI186" s="922"/>
      <c r="PJ186" s="922"/>
      <c r="PK186" s="922"/>
      <c r="PL186" s="922"/>
      <c r="PM186" s="922"/>
      <c r="PN186" s="922"/>
      <c r="PO186" s="922"/>
      <c r="PP186" s="922"/>
      <c r="PQ186" s="922"/>
      <c r="PR186" s="922"/>
      <c r="PS186" s="922"/>
      <c r="PT186" s="922"/>
      <c r="PU186" s="922"/>
      <c r="PV186" s="922"/>
      <c r="PW186" s="922"/>
      <c r="PX186" s="922"/>
      <c r="PY186" s="922"/>
      <c r="PZ186" s="922"/>
      <c r="QA186" s="922"/>
      <c r="QB186" s="922"/>
      <c r="QC186" s="922"/>
      <c r="QD186" s="922"/>
      <c r="QE186" s="922"/>
      <c r="QF186" s="922"/>
      <c r="QG186" s="922"/>
      <c r="QH186" s="922"/>
      <c r="QI186" s="922"/>
      <c r="QJ186" s="922"/>
      <c r="QK186" s="922"/>
      <c r="QL186" s="922"/>
      <c r="QM186" s="922"/>
      <c r="QN186" s="922"/>
      <c r="QO186" s="922"/>
      <c r="QP186" s="922"/>
      <c r="QQ186" s="922"/>
      <c r="QR186" s="922"/>
      <c r="QS186" s="922"/>
      <c r="QT186" s="922"/>
      <c r="QU186" s="922"/>
      <c r="QV186" s="922"/>
      <c r="QW186" s="922"/>
      <c r="QX186" s="922"/>
      <c r="QY186" s="922"/>
      <c r="QZ186" s="922"/>
      <c r="RA186" s="922"/>
      <c r="RB186" s="922"/>
      <c r="RC186" s="922"/>
      <c r="RD186" s="922"/>
      <c r="RE186" s="922"/>
      <c r="RF186" s="922"/>
      <c r="RG186" s="922"/>
      <c r="RH186" s="922"/>
      <c r="RI186" s="922"/>
      <c r="RJ186" s="922"/>
      <c r="RK186" s="922"/>
      <c r="RL186" s="922"/>
      <c r="RM186" s="922"/>
      <c r="RN186" s="922"/>
      <c r="RO186" s="922"/>
      <c r="RP186" s="922"/>
      <c r="RQ186" s="922"/>
      <c r="RR186" s="922"/>
      <c r="RS186" s="922"/>
      <c r="RT186" s="922"/>
      <c r="RU186" s="922"/>
      <c r="RV186" s="922"/>
      <c r="RW186" s="922"/>
      <c r="RX186" s="922"/>
      <c r="RY186" s="922"/>
      <c r="RZ186" s="922"/>
      <c r="SA186" s="922"/>
      <c r="SB186" s="922"/>
      <c r="SC186" s="922"/>
      <c r="SD186" s="922"/>
      <c r="SE186" s="922"/>
      <c r="SF186" s="922"/>
      <c r="SG186" s="922"/>
      <c r="SH186" s="922"/>
      <c r="SI186" s="922"/>
      <c r="SJ186" s="922"/>
      <c r="SK186" s="922"/>
      <c r="SL186" s="922"/>
      <c r="SM186" s="922"/>
      <c r="SN186" s="922"/>
      <c r="SO186" s="922"/>
      <c r="SP186" s="922"/>
      <c r="SQ186" s="922"/>
      <c r="SR186" s="922"/>
      <c r="SS186" s="922"/>
      <c r="ST186" s="922"/>
      <c r="SU186" s="922"/>
      <c r="SV186" s="922"/>
      <c r="SW186" s="922"/>
      <c r="SX186" s="922"/>
      <c r="SY186" s="922"/>
      <c r="SZ186" s="922"/>
      <c r="TA186" s="922"/>
      <c r="TB186" s="922"/>
      <c r="TC186" s="922"/>
      <c r="TD186" s="922"/>
      <c r="TE186" s="922"/>
      <c r="TF186" s="922"/>
      <c r="TG186" s="922"/>
      <c r="TH186" s="922"/>
      <c r="TI186" s="922"/>
      <c r="TJ186" s="922"/>
      <c r="TK186" s="922"/>
      <c r="TL186" s="922"/>
      <c r="TM186" s="922"/>
      <c r="TN186" s="922"/>
      <c r="TO186" s="922"/>
      <c r="TP186" s="922"/>
      <c r="TQ186" s="922"/>
      <c r="TR186" s="922"/>
      <c r="TS186" s="922"/>
      <c r="TT186" s="922"/>
      <c r="TU186" s="922"/>
      <c r="TV186" s="922"/>
      <c r="TW186" s="922"/>
      <c r="TX186" s="922"/>
      <c r="TY186" s="922"/>
      <c r="TZ186" s="922"/>
      <c r="UA186" s="922"/>
      <c r="UB186" s="922"/>
      <c r="UC186" s="922"/>
      <c r="UD186" s="922"/>
      <c r="UE186" s="922"/>
      <c r="UF186" s="922"/>
      <c r="UG186" s="922"/>
      <c r="UH186" s="922"/>
      <c r="UI186" s="922"/>
      <c r="UJ186" s="922"/>
      <c r="UK186" s="922"/>
      <c r="UL186" s="922"/>
      <c r="UM186" s="922"/>
      <c r="UN186" s="922"/>
      <c r="UO186" s="922"/>
      <c r="UP186" s="922"/>
      <c r="UQ186" s="922"/>
      <c r="UR186" s="922"/>
      <c r="US186" s="922"/>
      <c r="UT186" s="922"/>
      <c r="UU186" s="922"/>
      <c r="UV186" s="922"/>
      <c r="UW186" s="922"/>
      <c r="UX186" s="922"/>
      <c r="UY186" s="922"/>
      <c r="UZ186" s="922"/>
      <c r="VA186" s="922"/>
      <c r="VB186" s="922"/>
      <c r="VC186" s="922"/>
      <c r="VD186" s="922"/>
      <c r="VE186" s="922"/>
      <c r="VF186" s="922"/>
      <c r="VG186" s="922"/>
      <c r="VH186" s="922"/>
      <c r="VI186" s="922"/>
      <c r="VJ186" s="922"/>
      <c r="VK186" s="922"/>
      <c r="VL186" s="922"/>
      <c r="VM186" s="922"/>
      <c r="VN186" s="922"/>
      <c r="VO186" s="922"/>
      <c r="VP186" s="922"/>
      <c r="VQ186" s="922"/>
      <c r="VR186" s="922"/>
      <c r="VS186" s="922"/>
      <c r="VT186" s="922"/>
      <c r="VU186" s="922"/>
      <c r="VV186" s="922"/>
      <c r="VW186" s="922"/>
      <c r="VX186" s="922"/>
      <c r="VY186" s="922"/>
      <c r="VZ186" s="922"/>
      <c r="WA186" s="922"/>
      <c r="WB186" s="922"/>
      <c r="WC186" s="922"/>
      <c r="WD186" s="922"/>
      <c r="WE186" s="922"/>
      <c r="WF186" s="922"/>
      <c r="WG186" s="922"/>
      <c r="WH186" s="922"/>
      <c r="WI186" s="922"/>
      <c r="WJ186" s="922"/>
      <c r="WK186" s="922"/>
      <c r="WL186" s="922"/>
      <c r="WM186" s="922"/>
      <c r="WN186" s="922"/>
      <c r="WO186" s="922"/>
      <c r="WP186" s="922"/>
      <c r="WQ186" s="922"/>
      <c r="WR186" s="922"/>
      <c r="WS186" s="922"/>
      <c r="WT186" s="922"/>
      <c r="WU186" s="922"/>
      <c r="WV186" s="922"/>
      <c r="WW186" s="922"/>
      <c r="WX186" s="922"/>
      <c r="WY186" s="922"/>
      <c r="WZ186" s="922"/>
      <c r="XA186" s="922"/>
      <c r="XB186" s="922"/>
      <c r="XC186" s="922"/>
      <c r="XD186" s="922"/>
      <c r="XE186" s="922"/>
      <c r="XF186" s="922"/>
      <c r="XG186" s="922"/>
      <c r="XH186" s="922"/>
      <c r="XI186" s="922"/>
      <c r="XJ186" s="922"/>
      <c r="XK186" s="922"/>
      <c r="XL186" s="922"/>
      <c r="XM186" s="922"/>
      <c r="XN186" s="922"/>
      <c r="XO186" s="922"/>
      <c r="XP186" s="922"/>
      <c r="XQ186" s="922"/>
      <c r="XR186" s="922"/>
      <c r="XS186" s="922"/>
      <c r="XT186" s="922"/>
      <c r="XU186" s="922"/>
      <c r="XV186" s="922"/>
      <c r="XW186" s="922"/>
      <c r="XX186" s="922"/>
      <c r="XY186" s="922"/>
      <c r="XZ186" s="922"/>
      <c r="YA186" s="922"/>
      <c r="YB186" s="922"/>
      <c r="YC186" s="922"/>
      <c r="YD186" s="922"/>
      <c r="YE186" s="922"/>
      <c r="YF186" s="922"/>
      <c r="YG186" s="922"/>
      <c r="YH186" s="922"/>
      <c r="YI186" s="922"/>
      <c r="YJ186" s="922"/>
      <c r="YK186" s="922"/>
      <c r="YL186" s="922"/>
      <c r="YM186" s="922"/>
      <c r="YN186" s="922"/>
      <c r="YO186" s="922"/>
      <c r="YP186" s="922"/>
      <c r="YQ186" s="922"/>
      <c r="YR186" s="922"/>
      <c r="YS186" s="922"/>
      <c r="YT186" s="922"/>
      <c r="YU186" s="922"/>
      <c r="YV186" s="922"/>
      <c r="YW186" s="922"/>
      <c r="YX186" s="922"/>
      <c r="YY186" s="922"/>
      <c r="YZ186" s="922"/>
      <c r="ZA186" s="922"/>
      <c r="ZB186" s="922"/>
      <c r="ZC186" s="922"/>
      <c r="ZD186" s="922"/>
      <c r="ZE186" s="922"/>
      <c r="ZF186" s="922"/>
      <c r="ZG186" s="922"/>
      <c r="ZH186" s="922"/>
      <c r="ZI186" s="922"/>
      <c r="ZJ186" s="922"/>
      <c r="ZK186" s="922"/>
      <c r="ZL186" s="922"/>
      <c r="ZM186" s="922"/>
      <c r="ZN186" s="922"/>
      <c r="ZO186" s="922"/>
      <c r="ZP186" s="922"/>
      <c r="ZQ186" s="922"/>
      <c r="ZR186" s="922"/>
      <c r="ZS186" s="922"/>
      <c r="ZT186" s="922"/>
      <c r="ZU186" s="922"/>
      <c r="ZV186" s="922"/>
      <c r="ZW186" s="922"/>
      <c r="ZX186" s="922"/>
      <c r="ZY186" s="922"/>
      <c r="ZZ186" s="922"/>
      <c r="AAA186" s="922"/>
      <c r="AAB186" s="922"/>
      <c r="AAC186" s="922"/>
      <c r="AAD186" s="922"/>
      <c r="AAE186" s="922"/>
      <c r="AAF186" s="922"/>
      <c r="AAG186" s="922"/>
      <c r="AAH186" s="922"/>
      <c r="AAI186" s="922"/>
      <c r="AAJ186" s="922"/>
      <c r="AAK186" s="922"/>
      <c r="AAL186" s="922"/>
      <c r="AAM186" s="922"/>
      <c r="AAN186" s="922"/>
      <c r="AAO186" s="922"/>
      <c r="AAP186" s="922"/>
      <c r="AAQ186" s="922"/>
      <c r="AAR186" s="922"/>
      <c r="AAS186" s="922"/>
      <c r="AAT186" s="922"/>
      <c r="AAU186" s="922"/>
      <c r="AAV186" s="922"/>
      <c r="AAW186" s="922"/>
      <c r="AAX186" s="922"/>
      <c r="AAY186" s="922"/>
      <c r="AAZ186" s="922"/>
      <c r="ABA186" s="922"/>
      <c r="ABB186" s="922"/>
      <c r="ABC186" s="922"/>
      <c r="ABD186" s="922"/>
      <c r="ABE186" s="922"/>
      <c r="ABF186" s="922"/>
      <c r="ABG186" s="922"/>
      <c r="ABH186" s="922"/>
      <c r="ABI186" s="922"/>
      <c r="ABJ186" s="922"/>
      <c r="ABK186" s="922"/>
      <c r="ABL186" s="922"/>
      <c r="ABM186" s="922"/>
      <c r="ABN186" s="922"/>
      <c r="ABO186" s="922"/>
      <c r="ABP186" s="922"/>
      <c r="ABQ186" s="922"/>
      <c r="ABR186" s="922"/>
      <c r="ABS186" s="922"/>
      <c r="ABT186" s="922"/>
      <c r="ABU186" s="922"/>
      <c r="ABV186" s="922"/>
      <c r="ABW186" s="922"/>
      <c r="ABX186" s="922"/>
      <c r="ABY186" s="922"/>
      <c r="ABZ186" s="922"/>
      <c r="ACA186" s="922"/>
      <c r="ACB186" s="922"/>
      <c r="ACC186" s="922"/>
      <c r="ACD186" s="922"/>
      <c r="ACE186" s="922"/>
      <c r="ACF186" s="922"/>
      <c r="ACG186" s="922"/>
      <c r="ACH186" s="922"/>
      <c r="ACI186" s="922"/>
      <c r="ACJ186" s="922"/>
      <c r="ACK186" s="922"/>
      <c r="ACL186" s="922"/>
      <c r="ACM186" s="922"/>
      <c r="ACN186" s="922"/>
      <c r="ACO186" s="922"/>
      <c r="ACP186" s="922"/>
      <c r="ACQ186" s="922"/>
      <c r="ACR186" s="922"/>
      <c r="ACS186" s="922"/>
      <c r="ACT186" s="922"/>
      <c r="ACU186" s="922"/>
      <c r="ACV186" s="922"/>
      <c r="ACW186" s="922"/>
      <c r="ACX186" s="922"/>
      <c r="ACY186" s="922"/>
      <c r="ACZ186" s="922"/>
      <c r="ADA186" s="922"/>
      <c r="ADB186" s="922"/>
      <c r="ADC186" s="922"/>
      <c r="ADD186" s="922"/>
      <c r="ADE186" s="922"/>
      <c r="ADF186" s="922"/>
      <c r="ADG186" s="922"/>
      <c r="ADH186" s="922"/>
      <c r="ADI186" s="922"/>
      <c r="ADJ186" s="922"/>
      <c r="ADK186" s="922"/>
      <c r="ADL186" s="922"/>
      <c r="ADM186" s="922"/>
      <c r="ADN186" s="922"/>
      <c r="ADO186" s="922"/>
      <c r="ADP186" s="922"/>
      <c r="ADQ186" s="922"/>
      <c r="ADR186" s="922"/>
      <c r="ADS186" s="922"/>
      <c r="ADT186" s="922"/>
      <c r="ADU186" s="922"/>
      <c r="ADV186" s="922"/>
      <c r="ADW186" s="922"/>
      <c r="ADX186" s="922"/>
      <c r="ADY186" s="922"/>
      <c r="ADZ186" s="922"/>
      <c r="AEA186" s="922"/>
      <c r="AEB186" s="922"/>
      <c r="AEC186" s="922"/>
      <c r="AED186" s="922"/>
      <c r="AEE186" s="922"/>
      <c r="AEF186" s="922"/>
      <c r="AEG186" s="922"/>
      <c r="AEH186" s="922"/>
      <c r="AEI186" s="922"/>
      <c r="AEJ186" s="922"/>
      <c r="AEK186" s="922"/>
      <c r="AEL186" s="922"/>
      <c r="AEM186" s="922"/>
      <c r="AEN186" s="922"/>
      <c r="AEO186" s="922"/>
      <c r="AEP186" s="922"/>
      <c r="AEQ186" s="922"/>
      <c r="AER186" s="922"/>
      <c r="AES186" s="922"/>
      <c r="AET186" s="922"/>
      <c r="AEU186" s="922"/>
      <c r="AEV186" s="922"/>
      <c r="AEW186" s="922"/>
      <c r="AEX186" s="922"/>
      <c r="AEY186" s="922"/>
      <c r="AEZ186" s="922"/>
      <c r="AFA186" s="922"/>
      <c r="AFB186" s="922"/>
      <c r="AFC186" s="922"/>
      <c r="AFD186" s="922"/>
      <c r="AFE186" s="922"/>
      <c r="AFF186" s="922"/>
      <c r="AFG186" s="922"/>
      <c r="AFH186" s="922"/>
      <c r="AFI186" s="922"/>
      <c r="AFJ186" s="922"/>
      <c r="AFK186" s="922"/>
      <c r="AFL186" s="922"/>
      <c r="AFM186" s="922"/>
      <c r="AFN186" s="922"/>
      <c r="AFO186" s="922"/>
      <c r="AFP186" s="922"/>
      <c r="AFQ186" s="922"/>
      <c r="AFR186" s="922"/>
      <c r="AFS186" s="922"/>
      <c r="AFT186" s="922"/>
      <c r="AFU186" s="922"/>
      <c r="AFV186" s="922"/>
      <c r="AFW186" s="922"/>
      <c r="AFX186" s="922"/>
      <c r="AFY186" s="922"/>
      <c r="AFZ186" s="922"/>
      <c r="AGA186" s="922"/>
      <c r="AGB186" s="922"/>
      <c r="AGC186" s="922"/>
      <c r="AGD186" s="922"/>
      <c r="AGE186" s="922"/>
      <c r="AGF186" s="922"/>
      <c r="AGG186" s="922"/>
      <c r="AGH186" s="922"/>
      <c r="AGI186" s="922"/>
      <c r="AGJ186" s="922"/>
      <c r="AGK186" s="922"/>
      <c r="AGL186" s="922"/>
      <c r="AGM186" s="922"/>
      <c r="AGN186" s="922"/>
      <c r="AGO186" s="922"/>
      <c r="AGP186" s="922"/>
      <c r="AGQ186" s="922"/>
      <c r="AGR186" s="922"/>
      <c r="AGS186" s="922"/>
      <c r="AGT186" s="922"/>
      <c r="AGU186" s="922"/>
      <c r="AGV186" s="922"/>
      <c r="AGW186" s="922"/>
      <c r="AGX186" s="922"/>
      <c r="AGY186" s="922"/>
      <c r="AGZ186" s="922"/>
      <c r="AHA186" s="922"/>
      <c r="AHB186" s="922"/>
      <c r="AHC186" s="922"/>
      <c r="AHD186" s="922"/>
      <c r="AHE186" s="922"/>
      <c r="AHF186" s="922"/>
      <c r="AHG186" s="922"/>
      <c r="AHH186" s="922"/>
      <c r="AHI186" s="922"/>
      <c r="AHJ186" s="922"/>
      <c r="AHK186" s="922"/>
      <c r="AHL186" s="922"/>
      <c r="AHM186" s="922"/>
      <c r="AHN186" s="922"/>
      <c r="AHO186" s="922"/>
      <c r="AHP186" s="922"/>
      <c r="AHQ186" s="922"/>
      <c r="AHR186" s="922"/>
      <c r="AHS186" s="922"/>
      <c r="AHT186" s="922"/>
      <c r="AHU186" s="922"/>
      <c r="AHV186" s="922"/>
      <c r="AHW186" s="922"/>
      <c r="AHX186" s="922"/>
      <c r="AHY186" s="922"/>
      <c r="AHZ186" s="922"/>
      <c r="AIA186" s="922"/>
      <c r="AIB186" s="922"/>
      <c r="AIC186" s="922"/>
      <c r="AID186" s="922"/>
      <c r="AIE186" s="922"/>
      <c r="AIF186" s="922"/>
      <c r="AIG186" s="922"/>
      <c r="AIH186" s="922"/>
      <c r="AII186" s="922"/>
      <c r="AIJ186" s="922"/>
      <c r="AIK186" s="922"/>
      <c r="AIL186" s="922"/>
      <c r="AIM186" s="922"/>
      <c r="AIN186" s="922"/>
      <c r="AIO186" s="922"/>
      <c r="AIP186" s="922"/>
      <c r="AIQ186" s="922"/>
      <c r="AIR186" s="922"/>
      <c r="AIS186" s="922"/>
      <c r="AIT186" s="922"/>
      <c r="AIU186" s="922"/>
      <c r="AIV186" s="922"/>
      <c r="AIW186" s="922"/>
      <c r="AIX186" s="922"/>
      <c r="AIY186" s="922"/>
      <c r="AIZ186" s="922"/>
      <c r="AJA186" s="922"/>
      <c r="AJB186" s="922"/>
      <c r="AJC186" s="922"/>
      <c r="AJD186" s="922"/>
      <c r="AJE186" s="922"/>
      <c r="AJF186" s="922"/>
      <c r="AJG186" s="922"/>
      <c r="AJH186" s="922"/>
      <c r="AJI186" s="922"/>
      <c r="AJJ186" s="922"/>
      <c r="AJK186" s="922"/>
      <c r="AJL186" s="922"/>
      <c r="AJM186" s="922"/>
      <c r="AJN186" s="922"/>
      <c r="AJO186" s="922"/>
      <c r="AJP186" s="922"/>
      <c r="AJQ186" s="922"/>
      <c r="AJR186" s="922"/>
      <c r="AJS186" s="922"/>
      <c r="AJT186" s="922"/>
      <c r="AJU186" s="922"/>
      <c r="AJV186" s="922"/>
      <c r="AJW186" s="922"/>
      <c r="AJX186" s="922"/>
      <c r="AJY186" s="922"/>
      <c r="AJZ186" s="922"/>
      <c r="AKA186" s="922"/>
      <c r="AKB186" s="922"/>
      <c r="AKC186" s="922"/>
      <c r="AKD186" s="922"/>
      <c r="AKE186" s="922"/>
      <c r="AKF186" s="922"/>
      <c r="AKG186" s="922"/>
      <c r="AKH186" s="922"/>
      <c r="AKI186" s="922"/>
      <c r="AKJ186" s="922"/>
      <c r="AKK186" s="922"/>
      <c r="AKL186" s="922"/>
      <c r="AKM186" s="922"/>
      <c r="AKN186" s="922"/>
      <c r="AKO186" s="922"/>
      <c r="AKP186" s="922"/>
      <c r="AKQ186" s="922"/>
      <c r="AKR186" s="922"/>
      <c r="AKS186" s="922"/>
      <c r="AKT186" s="922"/>
      <c r="AKU186" s="922"/>
      <c r="AKV186" s="922"/>
      <c r="AKW186" s="922"/>
      <c r="AKX186" s="922"/>
      <c r="AKY186" s="922"/>
      <c r="AKZ186" s="922"/>
      <c r="ALA186" s="922"/>
      <c r="ALB186" s="922"/>
      <c r="ALC186" s="922"/>
      <c r="ALD186" s="922"/>
      <c r="ALE186" s="922"/>
      <c r="ALF186" s="922"/>
      <c r="ALG186" s="922"/>
      <c r="ALH186" s="922"/>
      <c r="ALI186" s="922"/>
      <c r="ALJ186" s="922"/>
      <c r="ALK186" s="922"/>
      <c r="ALL186" s="922"/>
      <c r="ALM186" s="922"/>
      <c r="ALN186" s="922"/>
      <c r="ALO186" s="922"/>
      <c r="ALP186" s="922"/>
      <c r="ALQ186" s="922"/>
      <c r="ALR186" s="922"/>
      <c r="ALS186" s="922"/>
      <c r="ALT186" s="922"/>
      <c r="ALU186" s="922"/>
      <c r="ALV186" s="922"/>
      <c r="ALW186" s="922"/>
      <c r="ALX186" s="922"/>
      <c r="ALY186" s="922"/>
      <c r="ALZ186" s="922"/>
      <c r="AMA186" s="922"/>
      <c r="AMB186" s="922"/>
      <c r="AMC186" s="922"/>
      <c r="AMD186" s="922"/>
      <c r="AME186" s="922"/>
      <c r="AMF186" s="922"/>
      <c r="AMG186" s="922"/>
      <c r="AMH186" s="922"/>
      <c r="AMI186" s="922"/>
      <c r="AMJ186" s="922"/>
      <c r="AMK186" s="922"/>
      <c r="AML186" s="922"/>
      <c r="AMM186" s="922"/>
      <c r="AMN186" s="922"/>
      <c r="AMO186" s="922"/>
      <c r="AMP186" s="922"/>
      <c r="AMQ186" s="922"/>
      <c r="AMR186" s="922"/>
      <c r="AMS186" s="922"/>
      <c r="AMT186" s="922"/>
      <c r="AMU186" s="922"/>
      <c r="AMV186" s="922"/>
      <c r="AMW186" s="922"/>
      <c r="AMX186" s="922"/>
      <c r="AMY186" s="922"/>
      <c r="AMZ186" s="922"/>
      <c r="ANA186" s="922"/>
      <c r="ANB186" s="922"/>
      <c r="ANC186" s="922"/>
      <c r="AND186" s="922"/>
      <c r="ANE186" s="922"/>
      <c r="ANF186" s="922"/>
      <c r="ANG186" s="922"/>
      <c r="ANH186" s="922"/>
      <c r="ANI186" s="922"/>
      <c r="ANJ186" s="922"/>
      <c r="ANK186" s="922"/>
      <c r="ANL186" s="922"/>
      <c r="ANM186" s="922"/>
      <c r="ANN186" s="922"/>
      <c r="ANO186" s="922"/>
      <c r="ANP186" s="922"/>
      <c r="ANQ186" s="922"/>
      <c r="ANR186" s="922"/>
      <c r="ANS186" s="922"/>
      <c r="ANT186" s="922"/>
      <c r="ANU186" s="922"/>
      <c r="ANV186" s="922"/>
      <c r="ANW186" s="922"/>
      <c r="ANX186" s="922"/>
      <c r="ANY186" s="922"/>
      <c r="ANZ186" s="922"/>
      <c r="AOA186" s="922"/>
      <c r="AOB186" s="922"/>
      <c r="AOC186" s="922"/>
      <c r="AOD186" s="922"/>
      <c r="AOE186" s="922"/>
      <c r="AOF186" s="922"/>
      <c r="AOG186" s="922"/>
      <c r="AOH186" s="922"/>
      <c r="AOI186" s="922"/>
      <c r="AOJ186" s="922"/>
      <c r="AOK186" s="922"/>
      <c r="AOL186" s="922"/>
      <c r="AOM186" s="922"/>
      <c r="AON186" s="922"/>
      <c r="AOO186" s="922"/>
      <c r="AOP186" s="922"/>
      <c r="AOQ186" s="922"/>
      <c r="AOR186" s="922"/>
      <c r="AOS186" s="922"/>
      <c r="AOT186" s="922"/>
      <c r="AOU186" s="922"/>
      <c r="AOV186" s="922"/>
      <c r="AOW186" s="922"/>
      <c r="AOX186" s="922"/>
      <c r="AOY186" s="922"/>
      <c r="AOZ186" s="922"/>
      <c r="APA186" s="922"/>
      <c r="APB186" s="922"/>
      <c r="APC186" s="922"/>
      <c r="APD186" s="922"/>
      <c r="APE186" s="922"/>
      <c r="APF186" s="922"/>
      <c r="APG186" s="922"/>
      <c r="APH186" s="922"/>
      <c r="API186" s="922"/>
      <c r="APJ186" s="922"/>
      <c r="APK186" s="922"/>
      <c r="APL186" s="922"/>
      <c r="APM186" s="922"/>
      <c r="APN186" s="922"/>
      <c r="APO186" s="922"/>
      <c r="APP186" s="922"/>
      <c r="APQ186" s="922"/>
      <c r="APR186" s="922"/>
      <c r="APS186" s="922"/>
      <c r="APT186" s="922"/>
      <c r="APU186" s="922"/>
      <c r="APV186" s="922"/>
      <c r="APW186" s="922"/>
      <c r="APX186" s="922"/>
      <c r="APY186" s="922"/>
      <c r="APZ186" s="922"/>
      <c r="AQA186" s="922"/>
      <c r="AQB186" s="922"/>
      <c r="AQC186" s="922"/>
      <c r="AQD186" s="922"/>
      <c r="AQE186" s="922"/>
      <c r="AQF186" s="922"/>
      <c r="AQG186" s="922"/>
      <c r="AQH186" s="922"/>
      <c r="AQI186" s="922"/>
      <c r="AQJ186" s="922"/>
      <c r="AQK186" s="922"/>
      <c r="AQL186" s="922"/>
      <c r="AQM186" s="922"/>
      <c r="AQN186" s="922"/>
      <c r="AQO186" s="922"/>
      <c r="AQP186" s="922"/>
      <c r="AQQ186" s="922"/>
      <c r="AQR186" s="922"/>
      <c r="AQS186" s="922"/>
      <c r="AQT186" s="922"/>
      <c r="AQU186" s="922"/>
      <c r="AQV186" s="922"/>
      <c r="AQW186" s="922"/>
      <c r="AQX186" s="922"/>
      <c r="AQY186" s="922"/>
      <c r="AQZ186" s="922"/>
      <c r="ARA186" s="922"/>
      <c r="ARB186" s="922"/>
      <c r="ARC186" s="922"/>
      <c r="ARD186" s="922"/>
      <c r="ARE186" s="922"/>
      <c r="ARF186" s="922"/>
      <c r="ARG186" s="922"/>
      <c r="ARH186" s="922"/>
      <c r="ARI186" s="922"/>
      <c r="ARJ186" s="922"/>
      <c r="ARK186" s="922"/>
      <c r="ARL186" s="922"/>
      <c r="ARM186" s="922"/>
      <c r="ARN186" s="922"/>
      <c r="ARO186" s="922"/>
      <c r="ARP186" s="922"/>
      <c r="ARQ186" s="922"/>
      <c r="ARR186" s="922"/>
      <c r="ARS186" s="922"/>
      <c r="ART186" s="922"/>
      <c r="ARU186" s="922"/>
      <c r="ARV186" s="922"/>
      <c r="ARW186" s="922"/>
      <c r="ARX186" s="922"/>
      <c r="ARY186" s="922"/>
      <c r="ARZ186" s="922"/>
      <c r="ASA186" s="922"/>
      <c r="ASB186" s="922"/>
      <c r="ASC186" s="922"/>
    </row>
    <row r="187" spans="1:1173" hidden="1">
      <c r="T187" s="922"/>
      <c r="AN187" s="922"/>
      <c r="AO187" s="922"/>
      <c r="AP187" s="922"/>
      <c r="AQ187" s="922"/>
      <c r="AR187" s="922"/>
      <c r="AS187" s="922"/>
      <c r="AT187" s="922"/>
      <c r="AU187" s="922"/>
      <c r="AV187" s="922"/>
      <c r="AW187" s="922"/>
      <c r="AX187" s="922"/>
      <c r="AY187" s="922"/>
      <c r="AZ187" s="922"/>
      <c r="BA187" s="922"/>
      <c r="BB187" s="922"/>
      <c r="BC187" s="922"/>
      <c r="BD187" s="922"/>
      <c r="BE187" s="922"/>
      <c r="BF187" s="922"/>
      <c r="BG187" s="922"/>
      <c r="BH187" s="922"/>
      <c r="BI187" s="922"/>
      <c r="BJ187" s="922"/>
      <c r="BK187" s="922"/>
      <c r="BL187" s="922"/>
      <c r="BM187" s="922"/>
      <c r="BN187" s="922"/>
      <c r="BO187" s="922"/>
      <c r="BP187" s="922"/>
      <c r="BQ187" s="922"/>
      <c r="BR187" s="922"/>
      <c r="BS187" s="922"/>
      <c r="BT187" s="922"/>
      <c r="BU187" s="922"/>
      <c r="BV187" s="922"/>
      <c r="BW187" s="922"/>
      <c r="BX187" s="922"/>
      <c r="BY187" s="922"/>
      <c r="BZ187" s="922"/>
      <c r="CA187" s="922"/>
      <c r="CB187" s="922"/>
      <c r="CC187" s="922"/>
      <c r="CD187" s="922"/>
      <c r="CE187" s="922"/>
      <c r="CF187" s="922"/>
      <c r="CG187" s="922"/>
      <c r="CH187" s="922"/>
      <c r="CI187" s="922"/>
      <c r="CJ187" s="922"/>
      <c r="CK187" s="922"/>
      <c r="CL187" s="922"/>
      <c r="CM187" s="922"/>
      <c r="CN187" s="922"/>
      <c r="CO187" s="922"/>
      <c r="CP187" s="922"/>
      <c r="CQ187" s="922"/>
      <c r="CR187" s="922"/>
      <c r="CS187" s="922"/>
      <c r="CT187" s="922"/>
      <c r="CU187" s="922"/>
      <c r="CV187" s="922"/>
      <c r="CW187" s="922"/>
      <c r="CX187" s="922"/>
      <c r="CY187" s="922"/>
      <c r="CZ187" s="922"/>
      <c r="DA187" s="922"/>
      <c r="DB187" s="922"/>
      <c r="DC187" s="922"/>
      <c r="DD187" s="922"/>
      <c r="DE187" s="922"/>
      <c r="DF187" s="922"/>
      <c r="DG187" s="922"/>
      <c r="DH187" s="922"/>
      <c r="DI187" s="922"/>
      <c r="DJ187" s="922"/>
      <c r="DK187" s="922"/>
      <c r="DL187" s="922"/>
      <c r="DM187" s="922"/>
      <c r="DN187" s="922"/>
      <c r="DO187" s="922"/>
      <c r="DP187" s="922"/>
      <c r="DQ187" s="922"/>
      <c r="DR187" s="922"/>
      <c r="DS187" s="922"/>
      <c r="DT187" s="922"/>
      <c r="DU187" s="922"/>
      <c r="DV187" s="922"/>
      <c r="DW187" s="922"/>
      <c r="DX187" s="922"/>
      <c r="DY187" s="922"/>
      <c r="DZ187" s="922"/>
      <c r="EA187" s="922"/>
      <c r="EB187" s="922"/>
      <c r="EC187" s="922"/>
      <c r="ED187" s="922"/>
      <c r="EE187" s="922"/>
      <c r="EF187" s="922"/>
      <c r="EG187" s="922"/>
      <c r="EH187" s="922"/>
      <c r="EI187" s="922"/>
      <c r="EJ187" s="922"/>
      <c r="EK187" s="922"/>
      <c r="EL187" s="922"/>
      <c r="EM187" s="922"/>
      <c r="EN187" s="922"/>
      <c r="EO187" s="922"/>
      <c r="EP187" s="922"/>
      <c r="EQ187" s="922"/>
      <c r="ER187" s="922"/>
      <c r="ES187" s="922"/>
      <c r="ET187" s="922"/>
      <c r="EU187" s="922"/>
      <c r="EV187" s="922"/>
      <c r="EW187" s="922"/>
      <c r="EX187" s="922"/>
      <c r="EY187" s="922"/>
      <c r="EZ187" s="922"/>
      <c r="FA187" s="922"/>
      <c r="FB187" s="922"/>
      <c r="FC187" s="922"/>
      <c r="FD187" s="922"/>
      <c r="FE187" s="922"/>
      <c r="FF187" s="922"/>
      <c r="FG187" s="922"/>
      <c r="FH187" s="922"/>
      <c r="FI187" s="922"/>
      <c r="FJ187" s="922"/>
      <c r="FK187" s="922"/>
      <c r="FL187" s="922"/>
      <c r="FM187" s="922"/>
      <c r="FN187" s="922"/>
      <c r="FO187" s="922"/>
      <c r="FP187" s="922"/>
      <c r="FQ187" s="922"/>
      <c r="FR187" s="922"/>
      <c r="FS187" s="922"/>
      <c r="FT187" s="922"/>
      <c r="FU187" s="922"/>
      <c r="FV187" s="922"/>
      <c r="FW187" s="922"/>
      <c r="FX187" s="922"/>
      <c r="FY187" s="922"/>
      <c r="FZ187" s="922"/>
      <c r="GA187" s="922"/>
      <c r="GB187" s="922"/>
      <c r="GC187" s="922"/>
      <c r="GD187" s="922"/>
      <c r="GE187" s="922"/>
      <c r="GF187" s="922"/>
      <c r="GG187" s="922"/>
      <c r="GH187" s="922"/>
      <c r="GI187" s="922"/>
      <c r="GJ187" s="922"/>
      <c r="GK187" s="922"/>
      <c r="GL187" s="922"/>
      <c r="GM187" s="922"/>
      <c r="GN187" s="922"/>
      <c r="GO187" s="922"/>
      <c r="GP187" s="922"/>
      <c r="GQ187" s="922"/>
      <c r="GR187" s="922"/>
      <c r="GS187" s="922"/>
      <c r="GT187" s="922"/>
      <c r="GU187" s="922"/>
      <c r="GV187" s="922"/>
      <c r="GW187" s="922"/>
      <c r="GX187" s="922"/>
      <c r="GY187" s="922"/>
      <c r="GZ187" s="922"/>
      <c r="HA187" s="922"/>
      <c r="HB187" s="922"/>
      <c r="HC187" s="922"/>
      <c r="HD187" s="922"/>
      <c r="HE187" s="922"/>
      <c r="HF187" s="922"/>
      <c r="HG187" s="922"/>
      <c r="HH187" s="922"/>
      <c r="HI187" s="922"/>
      <c r="HJ187" s="922"/>
      <c r="HK187" s="922"/>
      <c r="HL187" s="922"/>
      <c r="HM187" s="922"/>
      <c r="HN187" s="922"/>
      <c r="HO187" s="922"/>
      <c r="HP187" s="922"/>
      <c r="HQ187" s="922"/>
      <c r="HR187" s="922"/>
      <c r="HS187" s="922"/>
      <c r="HT187" s="922"/>
      <c r="HU187" s="922"/>
      <c r="HV187" s="922"/>
      <c r="HW187" s="922"/>
      <c r="HX187" s="922"/>
      <c r="HY187" s="922"/>
      <c r="HZ187" s="922"/>
      <c r="IA187" s="922"/>
      <c r="IB187" s="922"/>
      <c r="IC187" s="922"/>
      <c r="ID187" s="922"/>
      <c r="IE187" s="922"/>
      <c r="IF187" s="922"/>
      <c r="IG187" s="922"/>
      <c r="IH187" s="922"/>
      <c r="II187" s="922"/>
      <c r="IJ187" s="922"/>
      <c r="IK187" s="922"/>
      <c r="IL187" s="922"/>
      <c r="IM187" s="922"/>
      <c r="IN187" s="922"/>
      <c r="IO187" s="922"/>
      <c r="IP187" s="922"/>
      <c r="IQ187" s="922"/>
      <c r="IR187" s="922"/>
      <c r="IS187" s="922"/>
      <c r="IT187" s="922"/>
      <c r="IU187" s="922"/>
      <c r="IV187" s="922"/>
      <c r="IW187" s="922"/>
      <c r="IX187" s="922"/>
      <c r="IY187" s="922"/>
      <c r="IZ187" s="922"/>
      <c r="JA187" s="922"/>
      <c r="JB187" s="922"/>
      <c r="JC187" s="922"/>
      <c r="JD187" s="922"/>
      <c r="JE187" s="922"/>
      <c r="JF187" s="922"/>
      <c r="JG187" s="922"/>
      <c r="JH187" s="922"/>
      <c r="JI187" s="922"/>
      <c r="JJ187" s="922"/>
      <c r="JK187" s="922"/>
      <c r="JL187" s="922"/>
      <c r="JM187" s="922"/>
      <c r="JN187" s="922"/>
      <c r="JO187" s="922"/>
      <c r="JP187" s="922"/>
      <c r="JQ187" s="922"/>
      <c r="JR187" s="922"/>
      <c r="JS187" s="922"/>
      <c r="JT187" s="922"/>
      <c r="JU187" s="922"/>
      <c r="JV187" s="922"/>
      <c r="JW187" s="922"/>
      <c r="JX187" s="922"/>
      <c r="JY187" s="922"/>
      <c r="JZ187" s="922"/>
      <c r="KA187" s="922"/>
      <c r="KB187" s="922"/>
      <c r="KC187" s="922"/>
      <c r="KD187" s="922"/>
      <c r="KE187" s="922"/>
      <c r="KF187" s="922"/>
      <c r="KG187" s="922"/>
      <c r="KH187" s="922"/>
      <c r="KI187" s="922"/>
      <c r="KJ187" s="922"/>
      <c r="KK187" s="922"/>
      <c r="KL187" s="922"/>
      <c r="KM187" s="922"/>
      <c r="KN187" s="922"/>
      <c r="KO187" s="922"/>
      <c r="KP187" s="922"/>
      <c r="KQ187" s="922"/>
      <c r="KR187" s="922"/>
      <c r="KS187" s="922"/>
      <c r="KT187" s="922"/>
      <c r="KU187" s="922"/>
      <c r="KV187" s="922"/>
      <c r="KW187" s="922"/>
      <c r="KX187" s="922"/>
      <c r="KY187" s="922"/>
      <c r="KZ187" s="922"/>
      <c r="LA187" s="922"/>
      <c r="LB187" s="922"/>
      <c r="LC187" s="922"/>
      <c r="LD187" s="922"/>
      <c r="LE187" s="922"/>
      <c r="LF187" s="922"/>
      <c r="LG187" s="922"/>
      <c r="LH187" s="922"/>
      <c r="LI187" s="922"/>
      <c r="LJ187" s="922"/>
      <c r="LK187" s="922"/>
      <c r="LL187" s="922"/>
      <c r="LM187" s="922"/>
      <c r="LN187" s="922"/>
      <c r="LO187" s="922"/>
      <c r="LP187" s="922"/>
      <c r="LQ187" s="922"/>
      <c r="LR187" s="922"/>
      <c r="LS187" s="922"/>
      <c r="LT187" s="922"/>
      <c r="LU187" s="922"/>
      <c r="LV187" s="922"/>
      <c r="LW187" s="922"/>
      <c r="LX187" s="922"/>
      <c r="LY187" s="922"/>
      <c r="LZ187" s="922"/>
      <c r="MA187" s="922"/>
      <c r="MB187" s="922"/>
      <c r="MC187" s="922"/>
      <c r="MD187" s="922"/>
      <c r="ME187" s="922"/>
      <c r="MF187" s="922"/>
      <c r="MG187" s="922"/>
      <c r="MH187" s="922"/>
      <c r="MI187" s="922"/>
      <c r="MJ187" s="922"/>
      <c r="MK187" s="922"/>
      <c r="ML187" s="922"/>
      <c r="MM187" s="922"/>
      <c r="MN187" s="922"/>
      <c r="MO187" s="922"/>
      <c r="MP187" s="922"/>
      <c r="MQ187" s="922"/>
      <c r="MR187" s="922"/>
      <c r="MS187" s="922"/>
      <c r="MT187" s="922"/>
      <c r="MU187" s="922"/>
      <c r="MV187" s="922"/>
      <c r="MW187" s="922"/>
      <c r="MX187" s="922"/>
      <c r="MY187" s="922"/>
      <c r="MZ187" s="922"/>
      <c r="NA187" s="922"/>
      <c r="NB187" s="922"/>
      <c r="NC187" s="922"/>
      <c r="ND187" s="922"/>
      <c r="NE187" s="922"/>
      <c r="NF187" s="922"/>
      <c r="NG187" s="922"/>
      <c r="NH187" s="922"/>
      <c r="NI187" s="922"/>
      <c r="NJ187" s="922"/>
      <c r="NK187" s="922"/>
      <c r="NL187" s="922"/>
      <c r="NM187" s="922"/>
      <c r="NN187" s="922"/>
      <c r="NO187" s="922"/>
      <c r="NP187" s="922"/>
      <c r="NQ187" s="922"/>
      <c r="NR187" s="922"/>
      <c r="NS187" s="922"/>
      <c r="NT187" s="922"/>
      <c r="NU187" s="922"/>
      <c r="NV187" s="922"/>
      <c r="NW187" s="922"/>
      <c r="NX187" s="922"/>
      <c r="NY187" s="922"/>
      <c r="NZ187" s="922"/>
      <c r="OA187" s="922"/>
      <c r="OB187" s="922"/>
      <c r="OC187" s="922"/>
      <c r="OD187" s="922"/>
      <c r="OE187" s="922"/>
      <c r="OF187" s="922"/>
      <c r="OG187" s="922"/>
      <c r="OH187" s="922"/>
      <c r="OI187" s="922"/>
      <c r="OJ187" s="922"/>
      <c r="OK187" s="922"/>
      <c r="OL187" s="922"/>
      <c r="OM187" s="922"/>
      <c r="ON187" s="922"/>
      <c r="OO187" s="922"/>
      <c r="OP187" s="922"/>
      <c r="OQ187" s="922"/>
      <c r="OR187" s="922"/>
      <c r="OS187" s="922"/>
      <c r="OT187" s="922"/>
      <c r="OU187" s="922"/>
      <c r="OV187" s="922"/>
      <c r="OW187" s="922"/>
      <c r="OX187" s="922"/>
      <c r="OY187" s="922"/>
      <c r="OZ187" s="922"/>
      <c r="PA187" s="922"/>
      <c r="PB187" s="922"/>
      <c r="PC187" s="922"/>
      <c r="PD187" s="922"/>
      <c r="PE187" s="922"/>
      <c r="PF187" s="922"/>
      <c r="PG187" s="922"/>
      <c r="PH187" s="922"/>
      <c r="PI187" s="922"/>
      <c r="PJ187" s="922"/>
      <c r="PK187" s="922"/>
      <c r="PL187" s="922"/>
      <c r="PM187" s="922"/>
      <c r="PN187" s="922"/>
      <c r="PO187" s="922"/>
      <c r="PP187" s="922"/>
      <c r="PQ187" s="922"/>
      <c r="PR187" s="922"/>
      <c r="PS187" s="922"/>
      <c r="PT187" s="922"/>
      <c r="PU187" s="922"/>
      <c r="PV187" s="922"/>
      <c r="PW187" s="922"/>
      <c r="PX187" s="922"/>
      <c r="PY187" s="922"/>
      <c r="PZ187" s="922"/>
      <c r="QA187" s="922"/>
      <c r="QB187" s="922"/>
      <c r="QC187" s="922"/>
      <c r="QD187" s="922"/>
      <c r="QE187" s="922"/>
      <c r="QF187" s="922"/>
      <c r="QG187" s="922"/>
      <c r="QH187" s="922"/>
      <c r="QI187" s="922"/>
      <c r="QJ187" s="922"/>
      <c r="QK187" s="922"/>
      <c r="QL187" s="922"/>
      <c r="QM187" s="922"/>
      <c r="QN187" s="922"/>
      <c r="QO187" s="922"/>
      <c r="QP187" s="922"/>
      <c r="QQ187" s="922"/>
      <c r="QR187" s="922"/>
      <c r="QS187" s="922"/>
      <c r="QT187" s="922"/>
      <c r="QU187" s="922"/>
      <c r="QV187" s="922"/>
      <c r="QW187" s="922"/>
      <c r="QX187" s="922"/>
      <c r="QY187" s="922"/>
      <c r="QZ187" s="922"/>
      <c r="RA187" s="922"/>
      <c r="RB187" s="922"/>
      <c r="RC187" s="922"/>
      <c r="RD187" s="922"/>
      <c r="RE187" s="922"/>
      <c r="RF187" s="922"/>
      <c r="RG187" s="922"/>
      <c r="RH187" s="922"/>
      <c r="RI187" s="922"/>
      <c r="RJ187" s="922"/>
      <c r="RK187" s="922"/>
      <c r="RL187" s="922"/>
      <c r="RM187" s="922"/>
      <c r="RN187" s="922"/>
      <c r="RO187" s="922"/>
      <c r="RP187" s="922"/>
      <c r="RQ187" s="922"/>
      <c r="RR187" s="922"/>
      <c r="RS187" s="922"/>
      <c r="RT187" s="922"/>
      <c r="RU187" s="922"/>
      <c r="RV187" s="922"/>
      <c r="RW187" s="922"/>
      <c r="RX187" s="922"/>
      <c r="RY187" s="922"/>
      <c r="RZ187" s="922"/>
      <c r="SA187" s="922"/>
      <c r="SB187" s="922"/>
      <c r="SC187" s="922"/>
      <c r="SD187" s="922"/>
      <c r="SE187" s="922"/>
      <c r="SF187" s="922"/>
      <c r="SG187" s="922"/>
      <c r="SH187" s="922"/>
      <c r="SI187" s="922"/>
      <c r="SJ187" s="922"/>
      <c r="SK187" s="922"/>
      <c r="SL187" s="922"/>
      <c r="SM187" s="922"/>
      <c r="SN187" s="922"/>
      <c r="SO187" s="922"/>
      <c r="SP187" s="922"/>
      <c r="SQ187" s="922"/>
      <c r="SR187" s="922"/>
      <c r="SS187" s="922"/>
      <c r="ST187" s="922"/>
      <c r="SU187" s="922"/>
      <c r="SV187" s="922"/>
      <c r="SW187" s="922"/>
      <c r="SX187" s="922"/>
      <c r="SY187" s="922"/>
      <c r="SZ187" s="922"/>
      <c r="TA187" s="922"/>
      <c r="TB187" s="922"/>
      <c r="TC187" s="922"/>
      <c r="TD187" s="922"/>
      <c r="TE187" s="922"/>
      <c r="TF187" s="922"/>
      <c r="TG187" s="922"/>
      <c r="TH187" s="922"/>
      <c r="TI187" s="922"/>
      <c r="TJ187" s="922"/>
      <c r="TK187" s="922"/>
      <c r="TL187" s="922"/>
      <c r="TM187" s="922"/>
      <c r="TN187" s="922"/>
      <c r="TO187" s="922"/>
      <c r="TP187" s="922"/>
      <c r="TQ187" s="922"/>
      <c r="TR187" s="922"/>
      <c r="TS187" s="922"/>
      <c r="TT187" s="922"/>
      <c r="TU187" s="922"/>
      <c r="TV187" s="922"/>
      <c r="TW187" s="922"/>
      <c r="TX187" s="922"/>
      <c r="TY187" s="922"/>
      <c r="TZ187" s="922"/>
      <c r="UA187" s="922"/>
      <c r="UB187" s="922"/>
      <c r="UC187" s="922"/>
      <c r="UD187" s="922"/>
      <c r="UE187" s="922"/>
      <c r="UF187" s="922"/>
      <c r="UG187" s="922"/>
      <c r="UH187" s="922"/>
      <c r="UI187" s="922"/>
      <c r="UJ187" s="922"/>
      <c r="UK187" s="922"/>
      <c r="UL187" s="922"/>
      <c r="UM187" s="922"/>
      <c r="UN187" s="922"/>
      <c r="UO187" s="922"/>
      <c r="UP187" s="922"/>
      <c r="UQ187" s="922"/>
      <c r="UR187" s="922"/>
      <c r="US187" s="922"/>
      <c r="UT187" s="922"/>
      <c r="UU187" s="922"/>
      <c r="UV187" s="922"/>
      <c r="UW187" s="922"/>
      <c r="UX187" s="922"/>
      <c r="UY187" s="922"/>
      <c r="UZ187" s="922"/>
      <c r="VA187" s="922"/>
      <c r="VB187" s="922"/>
      <c r="VC187" s="922"/>
      <c r="VD187" s="922"/>
      <c r="VE187" s="922"/>
      <c r="VF187" s="922"/>
      <c r="VG187" s="922"/>
      <c r="VH187" s="922"/>
      <c r="VI187" s="922"/>
      <c r="VJ187" s="922"/>
      <c r="VK187" s="922"/>
      <c r="VL187" s="922"/>
      <c r="VM187" s="922"/>
      <c r="VN187" s="922"/>
      <c r="VO187" s="922"/>
      <c r="VP187" s="922"/>
      <c r="VQ187" s="922"/>
      <c r="VR187" s="922"/>
      <c r="VS187" s="922"/>
      <c r="VT187" s="922"/>
      <c r="VU187" s="922"/>
      <c r="VV187" s="922"/>
      <c r="VW187" s="922"/>
      <c r="VX187" s="922"/>
      <c r="VY187" s="922"/>
      <c r="VZ187" s="922"/>
      <c r="WA187" s="922"/>
      <c r="WB187" s="922"/>
      <c r="WC187" s="922"/>
      <c r="WD187" s="922"/>
      <c r="WE187" s="922"/>
      <c r="WF187" s="922"/>
      <c r="WG187" s="922"/>
      <c r="WH187" s="922"/>
      <c r="WI187" s="922"/>
      <c r="WJ187" s="922"/>
      <c r="WK187" s="922"/>
      <c r="WL187" s="922"/>
      <c r="WM187" s="922"/>
      <c r="WN187" s="922"/>
      <c r="WO187" s="922"/>
      <c r="WP187" s="922"/>
      <c r="WQ187" s="922"/>
      <c r="WR187" s="922"/>
      <c r="WS187" s="922"/>
      <c r="WT187" s="922"/>
      <c r="WU187" s="922"/>
      <c r="WV187" s="922"/>
      <c r="WW187" s="922"/>
      <c r="WX187" s="922"/>
      <c r="WY187" s="922"/>
      <c r="WZ187" s="922"/>
      <c r="XA187" s="922"/>
      <c r="XB187" s="922"/>
      <c r="XC187" s="922"/>
      <c r="XD187" s="922"/>
      <c r="XE187" s="922"/>
      <c r="XF187" s="922"/>
      <c r="XG187" s="922"/>
      <c r="XH187" s="922"/>
      <c r="XI187" s="922"/>
      <c r="XJ187" s="922"/>
      <c r="XK187" s="922"/>
      <c r="XL187" s="922"/>
      <c r="XM187" s="922"/>
      <c r="XN187" s="922"/>
      <c r="XO187" s="922"/>
      <c r="XP187" s="922"/>
      <c r="XQ187" s="922"/>
      <c r="XR187" s="922"/>
      <c r="XS187" s="922"/>
      <c r="XT187" s="922"/>
      <c r="XU187" s="922"/>
      <c r="XV187" s="922"/>
      <c r="XW187" s="922"/>
      <c r="XX187" s="922"/>
      <c r="XY187" s="922"/>
      <c r="XZ187" s="922"/>
      <c r="YA187" s="922"/>
      <c r="YB187" s="922"/>
      <c r="YC187" s="922"/>
      <c r="YD187" s="922"/>
      <c r="YE187" s="922"/>
      <c r="YF187" s="922"/>
      <c r="YG187" s="922"/>
      <c r="YH187" s="922"/>
      <c r="YI187" s="922"/>
      <c r="YJ187" s="922"/>
      <c r="YK187" s="922"/>
      <c r="YL187" s="922"/>
      <c r="YM187" s="922"/>
      <c r="YN187" s="922"/>
      <c r="YO187" s="922"/>
      <c r="YP187" s="922"/>
      <c r="YQ187" s="922"/>
      <c r="YR187" s="922"/>
      <c r="YS187" s="922"/>
      <c r="YT187" s="922"/>
      <c r="YU187" s="922"/>
      <c r="YV187" s="922"/>
      <c r="YW187" s="922"/>
      <c r="YX187" s="922"/>
      <c r="YY187" s="922"/>
      <c r="YZ187" s="922"/>
      <c r="ZA187" s="922"/>
      <c r="ZB187" s="922"/>
      <c r="ZC187" s="922"/>
      <c r="ZD187" s="922"/>
      <c r="ZE187" s="922"/>
      <c r="ZF187" s="922"/>
      <c r="ZG187" s="922"/>
      <c r="ZH187" s="922"/>
      <c r="ZI187" s="922"/>
      <c r="ZJ187" s="922"/>
      <c r="ZK187" s="922"/>
      <c r="ZL187" s="922"/>
      <c r="ZM187" s="922"/>
      <c r="ZN187" s="922"/>
      <c r="ZO187" s="922"/>
      <c r="ZP187" s="922"/>
      <c r="ZQ187" s="922"/>
      <c r="ZR187" s="922"/>
      <c r="ZS187" s="922"/>
      <c r="ZT187" s="922"/>
      <c r="ZU187" s="922"/>
      <c r="ZV187" s="922"/>
      <c r="ZW187" s="922"/>
      <c r="ZX187" s="922"/>
      <c r="ZY187" s="922"/>
      <c r="ZZ187" s="922"/>
      <c r="AAA187" s="922"/>
      <c r="AAB187" s="922"/>
      <c r="AAC187" s="922"/>
      <c r="AAD187" s="922"/>
      <c r="AAE187" s="922"/>
      <c r="AAF187" s="922"/>
      <c r="AAG187" s="922"/>
      <c r="AAH187" s="922"/>
      <c r="AAI187" s="922"/>
      <c r="AAJ187" s="922"/>
      <c r="AAK187" s="922"/>
      <c r="AAL187" s="922"/>
      <c r="AAM187" s="922"/>
      <c r="AAN187" s="922"/>
      <c r="AAO187" s="922"/>
      <c r="AAP187" s="922"/>
      <c r="AAQ187" s="922"/>
      <c r="AAR187" s="922"/>
      <c r="AAS187" s="922"/>
      <c r="AAT187" s="922"/>
      <c r="AAU187" s="922"/>
      <c r="AAV187" s="922"/>
      <c r="AAW187" s="922"/>
      <c r="AAX187" s="922"/>
      <c r="AAY187" s="922"/>
      <c r="AAZ187" s="922"/>
      <c r="ABA187" s="922"/>
      <c r="ABB187" s="922"/>
      <c r="ABC187" s="922"/>
      <c r="ABD187" s="922"/>
      <c r="ABE187" s="922"/>
      <c r="ABF187" s="922"/>
      <c r="ABG187" s="922"/>
      <c r="ABH187" s="922"/>
      <c r="ABI187" s="922"/>
      <c r="ABJ187" s="922"/>
      <c r="ABK187" s="922"/>
      <c r="ABL187" s="922"/>
      <c r="ABM187" s="922"/>
      <c r="ABN187" s="922"/>
      <c r="ABO187" s="922"/>
      <c r="ABP187" s="922"/>
      <c r="ABQ187" s="922"/>
      <c r="ABR187" s="922"/>
      <c r="ABS187" s="922"/>
      <c r="ABT187" s="922"/>
      <c r="ABU187" s="922"/>
      <c r="ABV187" s="922"/>
      <c r="ABW187" s="922"/>
      <c r="ABX187" s="922"/>
      <c r="ABY187" s="922"/>
      <c r="ABZ187" s="922"/>
      <c r="ACA187" s="922"/>
      <c r="ACB187" s="922"/>
      <c r="ACC187" s="922"/>
      <c r="ACD187" s="922"/>
      <c r="ACE187" s="922"/>
      <c r="ACF187" s="922"/>
      <c r="ACG187" s="922"/>
      <c r="ACH187" s="922"/>
      <c r="ACI187" s="922"/>
      <c r="ACJ187" s="922"/>
      <c r="ACK187" s="922"/>
      <c r="ACL187" s="922"/>
      <c r="ACM187" s="922"/>
      <c r="ACN187" s="922"/>
      <c r="ACO187" s="922"/>
      <c r="ACP187" s="922"/>
      <c r="ACQ187" s="922"/>
      <c r="ACR187" s="922"/>
      <c r="ACS187" s="922"/>
      <c r="ACT187" s="922"/>
      <c r="ACU187" s="922"/>
      <c r="ACV187" s="922"/>
      <c r="ACW187" s="922"/>
      <c r="ACX187" s="922"/>
      <c r="ACY187" s="922"/>
      <c r="ACZ187" s="922"/>
      <c r="ADA187" s="922"/>
      <c r="ADB187" s="922"/>
      <c r="ADC187" s="922"/>
      <c r="ADD187" s="922"/>
      <c r="ADE187" s="922"/>
      <c r="ADF187" s="922"/>
      <c r="ADG187" s="922"/>
      <c r="ADH187" s="922"/>
      <c r="ADI187" s="922"/>
      <c r="ADJ187" s="922"/>
      <c r="ADK187" s="922"/>
      <c r="ADL187" s="922"/>
      <c r="ADM187" s="922"/>
      <c r="ADN187" s="922"/>
      <c r="ADO187" s="922"/>
      <c r="ADP187" s="922"/>
      <c r="ADQ187" s="922"/>
      <c r="ADR187" s="922"/>
      <c r="ADS187" s="922"/>
      <c r="ADT187" s="922"/>
      <c r="ADU187" s="922"/>
      <c r="ADV187" s="922"/>
      <c r="ADW187" s="922"/>
      <c r="ADX187" s="922"/>
      <c r="ADY187" s="922"/>
      <c r="ADZ187" s="922"/>
      <c r="AEA187" s="922"/>
      <c r="AEB187" s="922"/>
      <c r="AEC187" s="922"/>
      <c r="AED187" s="922"/>
      <c r="AEE187" s="922"/>
      <c r="AEF187" s="922"/>
      <c r="AEG187" s="922"/>
      <c r="AEH187" s="922"/>
      <c r="AEI187" s="922"/>
      <c r="AEJ187" s="922"/>
      <c r="AEK187" s="922"/>
      <c r="AEL187" s="922"/>
      <c r="AEM187" s="922"/>
      <c r="AEN187" s="922"/>
      <c r="AEO187" s="922"/>
      <c r="AEP187" s="922"/>
      <c r="AEQ187" s="922"/>
      <c r="AER187" s="922"/>
      <c r="AES187" s="922"/>
      <c r="AET187" s="922"/>
      <c r="AEU187" s="922"/>
      <c r="AEV187" s="922"/>
      <c r="AEW187" s="922"/>
      <c r="AEX187" s="922"/>
      <c r="AEY187" s="922"/>
      <c r="AEZ187" s="922"/>
      <c r="AFA187" s="922"/>
      <c r="AFB187" s="922"/>
      <c r="AFC187" s="922"/>
      <c r="AFD187" s="922"/>
      <c r="AFE187" s="922"/>
      <c r="AFF187" s="922"/>
      <c r="AFG187" s="922"/>
      <c r="AFH187" s="922"/>
      <c r="AFI187" s="922"/>
      <c r="AFJ187" s="922"/>
      <c r="AFK187" s="922"/>
      <c r="AFL187" s="922"/>
      <c r="AFM187" s="922"/>
      <c r="AFN187" s="922"/>
      <c r="AFO187" s="922"/>
      <c r="AFP187" s="922"/>
      <c r="AFQ187" s="922"/>
      <c r="AFR187" s="922"/>
      <c r="AFS187" s="922"/>
      <c r="AFT187" s="922"/>
      <c r="AFU187" s="922"/>
      <c r="AFV187" s="922"/>
      <c r="AFW187" s="922"/>
      <c r="AFX187" s="922"/>
      <c r="AFY187" s="922"/>
      <c r="AFZ187" s="922"/>
      <c r="AGA187" s="922"/>
      <c r="AGB187" s="922"/>
      <c r="AGC187" s="922"/>
      <c r="AGD187" s="922"/>
      <c r="AGE187" s="922"/>
      <c r="AGF187" s="922"/>
      <c r="AGG187" s="922"/>
      <c r="AGH187" s="922"/>
      <c r="AGI187" s="922"/>
      <c r="AGJ187" s="922"/>
      <c r="AGK187" s="922"/>
      <c r="AGL187" s="922"/>
      <c r="AGM187" s="922"/>
      <c r="AGN187" s="922"/>
      <c r="AGO187" s="922"/>
      <c r="AGP187" s="922"/>
      <c r="AGQ187" s="922"/>
      <c r="AGR187" s="922"/>
      <c r="AGS187" s="922"/>
      <c r="AGT187" s="922"/>
      <c r="AGU187" s="922"/>
      <c r="AGV187" s="922"/>
      <c r="AGW187" s="922"/>
      <c r="AGX187" s="922"/>
      <c r="AGY187" s="922"/>
      <c r="AGZ187" s="922"/>
      <c r="AHA187" s="922"/>
      <c r="AHB187" s="922"/>
      <c r="AHC187" s="922"/>
      <c r="AHD187" s="922"/>
      <c r="AHE187" s="922"/>
      <c r="AHF187" s="922"/>
      <c r="AHG187" s="922"/>
      <c r="AHH187" s="922"/>
      <c r="AHI187" s="922"/>
      <c r="AHJ187" s="922"/>
      <c r="AHK187" s="922"/>
      <c r="AHL187" s="922"/>
      <c r="AHM187" s="922"/>
      <c r="AHN187" s="922"/>
      <c r="AHO187" s="922"/>
      <c r="AHP187" s="922"/>
      <c r="AHQ187" s="922"/>
      <c r="AHR187" s="922"/>
      <c r="AHS187" s="922"/>
      <c r="AHT187" s="922"/>
      <c r="AHU187" s="922"/>
      <c r="AHV187" s="922"/>
      <c r="AHW187" s="922"/>
      <c r="AHX187" s="922"/>
      <c r="AHY187" s="922"/>
      <c r="AHZ187" s="922"/>
      <c r="AIA187" s="922"/>
      <c r="AIB187" s="922"/>
      <c r="AIC187" s="922"/>
      <c r="AID187" s="922"/>
      <c r="AIE187" s="922"/>
      <c r="AIF187" s="922"/>
      <c r="AIG187" s="922"/>
      <c r="AIH187" s="922"/>
      <c r="AII187" s="922"/>
      <c r="AIJ187" s="922"/>
      <c r="AIK187" s="922"/>
      <c r="AIL187" s="922"/>
      <c r="AIM187" s="922"/>
      <c r="AIN187" s="922"/>
      <c r="AIO187" s="922"/>
      <c r="AIP187" s="922"/>
      <c r="AIQ187" s="922"/>
      <c r="AIR187" s="922"/>
      <c r="AIS187" s="922"/>
      <c r="AIT187" s="922"/>
      <c r="AIU187" s="922"/>
      <c r="AIV187" s="922"/>
      <c r="AIW187" s="922"/>
      <c r="AIX187" s="922"/>
      <c r="AIY187" s="922"/>
      <c r="AIZ187" s="922"/>
      <c r="AJA187" s="922"/>
      <c r="AJB187" s="922"/>
      <c r="AJC187" s="922"/>
      <c r="AJD187" s="922"/>
      <c r="AJE187" s="922"/>
      <c r="AJF187" s="922"/>
      <c r="AJG187" s="922"/>
      <c r="AJH187" s="922"/>
      <c r="AJI187" s="922"/>
      <c r="AJJ187" s="922"/>
      <c r="AJK187" s="922"/>
      <c r="AJL187" s="922"/>
      <c r="AJM187" s="922"/>
      <c r="AJN187" s="922"/>
      <c r="AJO187" s="922"/>
      <c r="AJP187" s="922"/>
      <c r="AJQ187" s="922"/>
      <c r="AJR187" s="922"/>
      <c r="AJS187" s="922"/>
      <c r="AJT187" s="922"/>
      <c r="AJU187" s="922"/>
      <c r="AJV187" s="922"/>
      <c r="AJW187" s="922"/>
      <c r="AJX187" s="922"/>
      <c r="AJY187" s="922"/>
      <c r="AJZ187" s="922"/>
      <c r="AKA187" s="922"/>
      <c r="AKB187" s="922"/>
      <c r="AKC187" s="922"/>
      <c r="AKD187" s="922"/>
      <c r="AKE187" s="922"/>
      <c r="AKF187" s="922"/>
      <c r="AKG187" s="922"/>
      <c r="AKH187" s="922"/>
      <c r="AKI187" s="922"/>
      <c r="AKJ187" s="922"/>
      <c r="AKK187" s="922"/>
      <c r="AKL187" s="922"/>
      <c r="AKM187" s="922"/>
      <c r="AKN187" s="922"/>
      <c r="AKO187" s="922"/>
      <c r="AKP187" s="922"/>
      <c r="AKQ187" s="922"/>
      <c r="AKR187" s="922"/>
      <c r="AKS187" s="922"/>
      <c r="AKT187" s="922"/>
      <c r="AKU187" s="922"/>
      <c r="AKV187" s="922"/>
      <c r="AKW187" s="922"/>
      <c r="AKX187" s="922"/>
      <c r="AKY187" s="922"/>
      <c r="AKZ187" s="922"/>
      <c r="ALA187" s="922"/>
      <c r="ALB187" s="922"/>
      <c r="ALC187" s="922"/>
      <c r="ALD187" s="922"/>
      <c r="ALE187" s="922"/>
      <c r="ALF187" s="922"/>
      <c r="ALG187" s="922"/>
      <c r="ALH187" s="922"/>
      <c r="ALI187" s="922"/>
      <c r="ALJ187" s="922"/>
      <c r="ALK187" s="922"/>
      <c r="ALL187" s="922"/>
      <c r="ALM187" s="922"/>
      <c r="ALN187" s="922"/>
      <c r="ALO187" s="922"/>
      <c r="ALP187" s="922"/>
      <c r="ALQ187" s="922"/>
      <c r="ALR187" s="922"/>
      <c r="ALS187" s="922"/>
      <c r="ALT187" s="922"/>
      <c r="ALU187" s="922"/>
      <c r="ALV187" s="922"/>
      <c r="ALW187" s="922"/>
      <c r="ALX187" s="922"/>
      <c r="ALY187" s="922"/>
      <c r="ALZ187" s="922"/>
      <c r="AMA187" s="922"/>
      <c r="AMB187" s="922"/>
      <c r="AMC187" s="922"/>
      <c r="AMD187" s="922"/>
      <c r="AME187" s="922"/>
      <c r="AMF187" s="922"/>
      <c r="AMG187" s="922"/>
      <c r="AMH187" s="922"/>
      <c r="AMI187" s="922"/>
      <c r="AMJ187" s="922"/>
      <c r="AMK187" s="922"/>
      <c r="AML187" s="922"/>
      <c r="AMM187" s="922"/>
      <c r="AMN187" s="922"/>
      <c r="AMO187" s="922"/>
      <c r="AMP187" s="922"/>
      <c r="AMQ187" s="922"/>
      <c r="AMR187" s="922"/>
      <c r="AMS187" s="922"/>
      <c r="AMT187" s="922"/>
      <c r="AMU187" s="922"/>
      <c r="AMV187" s="922"/>
      <c r="AMW187" s="922"/>
      <c r="AMX187" s="922"/>
      <c r="AMY187" s="922"/>
      <c r="AMZ187" s="922"/>
      <c r="ANA187" s="922"/>
      <c r="ANB187" s="922"/>
      <c r="ANC187" s="922"/>
      <c r="AND187" s="922"/>
      <c r="ANE187" s="922"/>
      <c r="ANF187" s="922"/>
      <c r="ANG187" s="922"/>
      <c r="ANH187" s="922"/>
      <c r="ANI187" s="922"/>
      <c r="ANJ187" s="922"/>
      <c r="ANK187" s="922"/>
      <c r="ANL187" s="922"/>
      <c r="ANM187" s="922"/>
      <c r="ANN187" s="922"/>
      <c r="ANO187" s="922"/>
      <c r="ANP187" s="922"/>
      <c r="ANQ187" s="922"/>
      <c r="ANR187" s="922"/>
      <c r="ANS187" s="922"/>
      <c r="ANT187" s="922"/>
      <c r="ANU187" s="922"/>
      <c r="ANV187" s="922"/>
      <c r="ANW187" s="922"/>
      <c r="ANX187" s="922"/>
      <c r="ANY187" s="922"/>
      <c r="ANZ187" s="922"/>
      <c r="AOA187" s="922"/>
      <c r="AOB187" s="922"/>
      <c r="AOC187" s="922"/>
      <c r="AOD187" s="922"/>
      <c r="AOE187" s="922"/>
      <c r="AOF187" s="922"/>
      <c r="AOG187" s="922"/>
      <c r="AOH187" s="922"/>
      <c r="AOI187" s="922"/>
      <c r="AOJ187" s="922"/>
      <c r="AOK187" s="922"/>
      <c r="AOL187" s="922"/>
      <c r="AOM187" s="922"/>
      <c r="AON187" s="922"/>
      <c r="AOO187" s="922"/>
      <c r="AOP187" s="922"/>
      <c r="AOQ187" s="922"/>
      <c r="AOR187" s="922"/>
      <c r="AOS187" s="922"/>
      <c r="AOT187" s="922"/>
      <c r="AOU187" s="922"/>
      <c r="AOV187" s="922"/>
      <c r="AOW187" s="922"/>
      <c r="AOX187" s="922"/>
      <c r="AOY187" s="922"/>
      <c r="AOZ187" s="922"/>
      <c r="APA187" s="922"/>
      <c r="APB187" s="922"/>
      <c r="APC187" s="922"/>
      <c r="APD187" s="922"/>
      <c r="APE187" s="922"/>
      <c r="APF187" s="922"/>
      <c r="APG187" s="922"/>
      <c r="APH187" s="922"/>
      <c r="API187" s="922"/>
      <c r="APJ187" s="922"/>
      <c r="APK187" s="922"/>
      <c r="APL187" s="922"/>
      <c r="APM187" s="922"/>
      <c r="APN187" s="922"/>
      <c r="APO187" s="922"/>
      <c r="APP187" s="922"/>
      <c r="APQ187" s="922"/>
      <c r="APR187" s="922"/>
      <c r="APS187" s="922"/>
      <c r="APT187" s="922"/>
      <c r="APU187" s="922"/>
      <c r="APV187" s="922"/>
      <c r="APW187" s="922"/>
      <c r="APX187" s="922"/>
      <c r="APY187" s="922"/>
      <c r="APZ187" s="922"/>
      <c r="AQA187" s="922"/>
      <c r="AQB187" s="922"/>
      <c r="AQC187" s="922"/>
      <c r="AQD187" s="922"/>
      <c r="AQE187" s="922"/>
      <c r="AQF187" s="922"/>
      <c r="AQG187" s="922"/>
      <c r="AQH187" s="922"/>
      <c r="AQI187" s="922"/>
      <c r="AQJ187" s="922"/>
      <c r="AQK187" s="922"/>
      <c r="AQL187" s="922"/>
      <c r="AQM187" s="922"/>
      <c r="AQN187" s="922"/>
      <c r="AQO187" s="922"/>
      <c r="AQP187" s="922"/>
      <c r="AQQ187" s="922"/>
      <c r="AQR187" s="922"/>
      <c r="AQS187" s="922"/>
      <c r="AQT187" s="922"/>
      <c r="AQU187" s="922"/>
      <c r="AQV187" s="922"/>
      <c r="AQW187" s="922"/>
      <c r="AQX187" s="922"/>
      <c r="AQY187" s="922"/>
      <c r="AQZ187" s="922"/>
      <c r="ARA187" s="922"/>
      <c r="ARB187" s="922"/>
      <c r="ARC187" s="922"/>
      <c r="ARD187" s="922"/>
      <c r="ARE187" s="922"/>
      <c r="ARF187" s="922"/>
      <c r="ARG187" s="922"/>
      <c r="ARH187" s="922"/>
      <c r="ARI187" s="922"/>
      <c r="ARJ187" s="922"/>
      <c r="ARK187" s="922"/>
      <c r="ARL187" s="922"/>
      <c r="ARM187" s="922"/>
      <c r="ARN187" s="922"/>
      <c r="ARO187" s="922"/>
      <c r="ARP187" s="922"/>
      <c r="ARQ187" s="922"/>
      <c r="ARR187" s="922"/>
      <c r="ARS187" s="922"/>
      <c r="ART187" s="922"/>
      <c r="ARU187" s="922"/>
      <c r="ARV187" s="922"/>
      <c r="ARW187" s="922"/>
      <c r="ARX187" s="922"/>
      <c r="ARY187" s="922"/>
      <c r="ARZ187" s="922"/>
      <c r="ASA187" s="922"/>
      <c r="ASB187" s="922"/>
      <c r="ASC187" s="922"/>
    </row>
    <row r="188" spans="1:1173" hidden="1">
      <c r="T188" s="922"/>
      <c r="AN188" s="922"/>
      <c r="AO188" s="922"/>
      <c r="AP188" s="922"/>
      <c r="AQ188" s="922"/>
      <c r="AR188" s="922"/>
      <c r="AS188" s="922"/>
      <c r="AT188" s="922"/>
      <c r="AU188" s="922"/>
      <c r="AV188" s="922"/>
      <c r="AW188" s="922"/>
      <c r="AX188" s="922"/>
      <c r="AY188" s="922"/>
      <c r="AZ188" s="922"/>
      <c r="BA188" s="922"/>
      <c r="BB188" s="922"/>
      <c r="BC188" s="922"/>
      <c r="BD188" s="922"/>
      <c r="BE188" s="922"/>
      <c r="BF188" s="922"/>
      <c r="BG188" s="922"/>
      <c r="BH188" s="922"/>
      <c r="BI188" s="922"/>
      <c r="BJ188" s="922"/>
      <c r="BK188" s="922"/>
      <c r="BL188" s="922"/>
      <c r="BM188" s="922"/>
      <c r="BN188" s="922"/>
      <c r="BO188" s="922"/>
      <c r="BP188" s="922"/>
      <c r="BQ188" s="922"/>
      <c r="BR188" s="922"/>
      <c r="BS188" s="922"/>
      <c r="BT188" s="922"/>
      <c r="BU188" s="922"/>
      <c r="BV188" s="922"/>
      <c r="BW188" s="922"/>
      <c r="BX188" s="922"/>
      <c r="BY188" s="922"/>
      <c r="BZ188" s="922"/>
      <c r="CA188" s="922"/>
      <c r="CB188" s="922"/>
      <c r="CC188" s="922"/>
      <c r="CD188" s="922"/>
      <c r="CE188" s="922"/>
      <c r="CF188" s="922"/>
      <c r="CG188" s="922"/>
      <c r="CH188" s="922"/>
      <c r="CI188" s="922"/>
      <c r="CJ188" s="922"/>
      <c r="CK188" s="922"/>
      <c r="CL188" s="922"/>
      <c r="CM188" s="922"/>
      <c r="CN188" s="922"/>
      <c r="CO188" s="922"/>
      <c r="CP188" s="922"/>
      <c r="CQ188" s="922"/>
      <c r="CR188" s="922"/>
      <c r="CS188" s="922"/>
      <c r="CT188" s="922"/>
      <c r="CU188" s="922"/>
      <c r="CV188" s="922"/>
      <c r="CW188" s="922"/>
      <c r="CX188" s="922"/>
      <c r="CY188" s="922"/>
      <c r="CZ188" s="922"/>
      <c r="DA188" s="922"/>
      <c r="DB188" s="922"/>
      <c r="DC188" s="922"/>
      <c r="DD188" s="922"/>
      <c r="DE188" s="922"/>
      <c r="DF188" s="922"/>
      <c r="DG188" s="922"/>
      <c r="DH188" s="922"/>
      <c r="DI188" s="922"/>
      <c r="DJ188" s="922"/>
      <c r="DK188" s="922"/>
      <c r="DL188" s="922"/>
      <c r="DM188" s="922"/>
      <c r="DN188" s="922"/>
      <c r="DO188" s="922"/>
      <c r="DP188" s="922"/>
      <c r="DQ188" s="922"/>
      <c r="DR188" s="922"/>
      <c r="DS188" s="922"/>
      <c r="DT188" s="922"/>
      <c r="DU188" s="922"/>
      <c r="DV188" s="922"/>
      <c r="DW188" s="922"/>
      <c r="DX188" s="922"/>
      <c r="DY188" s="922"/>
      <c r="DZ188" s="922"/>
      <c r="EA188" s="922"/>
      <c r="EB188" s="922"/>
      <c r="EC188" s="922"/>
      <c r="ED188" s="922"/>
      <c r="EE188" s="922"/>
      <c r="EF188" s="922"/>
      <c r="EG188" s="922"/>
      <c r="EH188" s="922"/>
      <c r="EI188" s="922"/>
      <c r="EJ188" s="922"/>
      <c r="EK188" s="922"/>
      <c r="EL188" s="922"/>
      <c r="EM188" s="922"/>
      <c r="EN188" s="922"/>
      <c r="EO188" s="922"/>
      <c r="EP188" s="922"/>
      <c r="EQ188" s="922"/>
      <c r="ER188" s="922"/>
      <c r="ES188" s="922"/>
      <c r="ET188" s="922"/>
      <c r="EU188" s="922"/>
      <c r="EV188" s="922"/>
      <c r="EW188" s="922"/>
      <c r="EX188" s="922"/>
      <c r="EY188" s="922"/>
      <c r="EZ188" s="922"/>
      <c r="FA188" s="922"/>
      <c r="FB188" s="922"/>
      <c r="FC188" s="922"/>
      <c r="FD188" s="922"/>
      <c r="FE188" s="922"/>
      <c r="FF188" s="922"/>
      <c r="FG188" s="922"/>
      <c r="FH188" s="922"/>
      <c r="FI188" s="922"/>
      <c r="FJ188" s="922"/>
      <c r="FK188" s="922"/>
      <c r="FL188" s="922"/>
      <c r="FM188" s="922"/>
      <c r="FN188" s="922"/>
      <c r="FO188" s="922"/>
      <c r="FP188" s="922"/>
      <c r="FQ188" s="922"/>
      <c r="FR188" s="922"/>
      <c r="FS188" s="922"/>
      <c r="FT188" s="922"/>
      <c r="FU188" s="922"/>
      <c r="FV188" s="922"/>
      <c r="FW188" s="922"/>
      <c r="FX188" s="922"/>
      <c r="FY188" s="922"/>
      <c r="FZ188" s="922"/>
      <c r="GA188" s="922"/>
      <c r="GB188" s="922"/>
      <c r="GC188" s="922"/>
      <c r="GD188" s="922"/>
      <c r="GE188" s="922"/>
      <c r="GF188" s="922"/>
      <c r="GG188" s="922"/>
      <c r="GH188" s="922"/>
      <c r="GI188" s="922"/>
      <c r="GJ188" s="922"/>
      <c r="GK188" s="922"/>
      <c r="GL188" s="922"/>
      <c r="GM188" s="922"/>
      <c r="GN188" s="922"/>
      <c r="GO188" s="922"/>
      <c r="GP188" s="922"/>
      <c r="GQ188" s="922"/>
      <c r="GR188" s="922"/>
      <c r="GS188" s="922"/>
      <c r="GT188" s="922"/>
      <c r="GU188" s="922"/>
      <c r="GV188" s="922"/>
      <c r="GW188" s="922"/>
      <c r="GX188" s="922"/>
      <c r="GY188" s="922"/>
      <c r="GZ188" s="922"/>
      <c r="HA188" s="922"/>
      <c r="HB188" s="922"/>
      <c r="HC188" s="922"/>
      <c r="HD188" s="922"/>
      <c r="HE188" s="922"/>
      <c r="HF188" s="922"/>
      <c r="HG188" s="922"/>
      <c r="HH188" s="922"/>
      <c r="HI188" s="922"/>
      <c r="HJ188" s="922"/>
      <c r="HK188" s="922"/>
      <c r="HL188" s="922"/>
      <c r="HM188" s="922"/>
      <c r="HN188" s="922"/>
      <c r="HO188" s="922"/>
      <c r="HP188" s="922"/>
      <c r="HQ188" s="922"/>
      <c r="HR188" s="922"/>
      <c r="HS188" s="922"/>
      <c r="HT188" s="922"/>
      <c r="HU188" s="922"/>
      <c r="HV188" s="922"/>
      <c r="HW188" s="922"/>
      <c r="HX188" s="922"/>
      <c r="HY188" s="922"/>
      <c r="HZ188" s="922"/>
      <c r="IA188" s="922"/>
      <c r="IB188" s="922"/>
      <c r="IC188" s="922"/>
      <c r="ID188" s="922"/>
      <c r="IE188" s="922"/>
      <c r="IF188" s="922"/>
      <c r="IG188" s="922"/>
      <c r="IH188" s="922"/>
      <c r="II188" s="922"/>
      <c r="IJ188" s="922"/>
      <c r="IK188" s="922"/>
      <c r="IL188" s="922"/>
      <c r="IM188" s="922"/>
      <c r="IN188" s="922"/>
      <c r="IO188" s="922"/>
      <c r="IP188" s="922"/>
      <c r="IQ188" s="922"/>
      <c r="IR188" s="922"/>
      <c r="IS188" s="922"/>
      <c r="IT188" s="922"/>
      <c r="IU188" s="922"/>
      <c r="IV188" s="922"/>
      <c r="IW188" s="922"/>
      <c r="IX188" s="922"/>
      <c r="IY188" s="922"/>
      <c r="IZ188" s="922"/>
      <c r="JA188" s="922"/>
      <c r="JB188" s="922"/>
      <c r="JC188" s="922"/>
      <c r="JD188" s="922"/>
      <c r="JE188" s="922"/>
      <c r="JF188" s="922"/>
      <c r="JG188" s="922"/>
      <c r="JH188" s="922"/>
      <c r="JI188" s="922"/>
      <c r="JJ188" s="922"/>
      <c r="JK188" s="922"/>
      <c r="JL188" s="922"/>
      <c r="JM188" s="922"/>
      <c r="JN188" s="922"/>
      <c r="JO188" s="922"/>
      <c r="JP188" s="922"/>
      <c r="JQ188" s="922"/>
      <c r="JR188" s="922"/>
      <c r="JS188" s="922"/>
      <c r="JT188" s="922"/>
      <c r="JU188" s="922"/>
      <c r="JV188" s="922"/>
      <c r="JW188" s="922"/>
      <c r="JX188" s="922"/>
      <c r="JY188" s="922"/>
      <c r="JZ188" s="922"/>
      <c r="KA188" s="922"/>
      <c r="KB188" s="922"/>
      <c r="KC188" s="922"/>
      <c r="KD188" s="922"/>
      <c r="KE188" s="922"/>
      <c r="KF188" s="922"/>
      <c r="KG188" s="922"/>
      <c r="KH188" s="922"/>
      <c r="KI188" s="922"/>
      <c r="KJ188" s="922"/>
      <c r="KK188" s="922"/>
      <c r="KL188" s="922"/>
      <c r="KM188" s="922"/>
      <c r="KN188" s="922"/>
      <c r="KO188" s="922"/>
      <c r="KP188" s="922"/>
      <c r="KQ188" s="922"/>
      <c r="KR188" s="922"/>
      <c r="KS188" s="922"/>
      <c r="KT188" s="922"/>
      <c r="KU188" s="922"/>
      <c r="KV188" s="922"/>
      <c r="KW188" s="922"/>
      <c r="KX188" s="922"/>
      <c r="KY188" s="922"/>
      <c r="KZ188" s="922"/>
      <c r="LA188" s="922"/>
      <c r="LB188" s="922"/>
      <c r="LC188" s="922"/>
      <c r="LD188" s="922"/>
      <c r="LE188" s="922"/>
      <c r="LF188" s="922"/>
      <c r="LG188" s="922"/>
      <c r="LH188" s="922"/>
      <c r="LI188" s="922"/>
      <c r="LJ188" s="922"/>
      <c r="LK188" s="922"/>
      <c r="LL188" s="922"/>
      <c r="LM188" s="922"/>
      <c r="LN188" s="922"/>
      <c r="LO188" s="922"/>
      <c r="LP188" s="922"/>
      <c r="LQ188" s="922"/>
      <c r="LR188" s="922"/>
      <c r="LS188" s="922"/>
      <c r="LT188" s="922"/>
      <c r="LU188" s="922"/>
      <c r="LV188" s="922"/>
      <c r="LW188" s="922"/>
      <c r="LX188" s="922"/>
      <c r="LY188" s="922"/>
      <c r="LZ188" s="922"/>
      <c r="MA188" s="922"/>
      <c r="MB188" s="922"/>
      <c r="MC188" s="922"/>
      <c r="MD188" s="922"/>
      <c r="ME188" s="922"/>
      <c r="MF188" s="922"/>
      <c r="MG188" s="922"/>
      <c r="MH188" s="922"/>
      <c r="MI188" s="922"/>
      <c r="MJ188" s="922"/>
      <c r="MK188" s="922"/>
      <c r="ML188" s="922"/>
      <c r="MM188" s="922"/>
      <c r="MN188" s="922"/>
      <c r="MO188" s="922"/>
      <c r="MP188" s="922"/>
      <c r="MQ188" s="922"/>
      <c r="MR188" s="922"/>
      <c r="MS188" s="922"/>
      <c r="MT188" s="922"/>
      <c r="MU188" s="922"/>
      <c r="MV188" s="922"/>
      <c r="MW188" s="922"/>
      <c r="MX188" s="922"/>
      <c r="MY188" s="922"/>
      <c r="MZ188" s="922"/>
      <c r="NA188" s="922"/>
      <c r="NB188" s="922"/>
      <c r="NC188" s="922"/>
      <c r="ND188" s="922"/>
      <c r="NE188" s="922"/>
      <c r="NF188" s="922"/>
      <c r="NG188" s="922"/>
      <c r="NH188" s="922"/>
      <c r="NI188" s="922"/>
      <c r="NJ188" s="922"/>
      <c r="NK188" s="922"/>
      <c r="NL188" s="922"/>
      <c r="NM188" s="922"/>
      <c r="NN188" s="922"/>
      <c r="NO188" s="922"/>
      <c r="NP188" s="922"/>
      <c r="NQ188" s="922"/>
      <c r="NR188" s="922"/>
      <c r="NS188" s="922"/>
      <c r="NT188" s="922"/>
      <c r="NU188" s="922"/>
      <c r="NV188" s="922"/>
      <c r="NW188" s="922"/>
      <c r="NX188" s="922"/>
      <c r="NY188" s="922"/>
      <c r="NZ188" s="922"/>
      <c r="OA188" s="922"/>
      <c r="OB188" s="922"/>
      <c r="OC188" s="922"/>
      <c r="OD188" s="922"/>
      <c r="OE188" s="922"/>
      <c r="OF188" s="922"/>
      <c r="OG188" s="922"/>
      <c r="OH188" s="922"/>
      <c r="OI188" s="922"/>
      <c r="OJ188" s="922"/>
      <c r="OK188" s="922"/>
      <c r="OL188" s="922"/>
      <c r="OM188" s="922"/>
      <c r="ON188" s="922"/>
      <c r="OO188" s="922"/>
      <c r="OP188" s="922"/>
      <c r="OQ188" s="922"/>
      <c r="OR188" s="922"/>
      <c r="OS188" s="922"/>
      <c r="OT188" s="922"/>
      <c r="OU188" s="922"/>
      <c r="OV188" s="922"/>
      <c r="OW188" s="922"/>
      <c r="OX188" s="922"/>
      <c r="OY188" s="922"/>
      <c r="OZ188" s="922"/>
      <c r="PA188" s="922"/>
      <c r="PB188" s="922"/>
      <c r="PC188" s="922"/>
      <c r="PD188" s="922"/>
      <c r="PE188" s="922"/>
      <c r="PF188" s="922"/>
      <c r="PG188" s="922"/>
      <c r="PH188" s="922"/>
      <c r="PI188" s="922"/>
      <c r="PJ188" s="922"/>
      <c r="PK188" s="922"/>
      <c r="PL188" s="922"/>
      <c r="PM188" s="922"/>
      <c r="PN188" s="922"/>
      <c r="PO188" s="922"/>
      <c r="PP188" s="922"/>
      <c r="PQ188" s="922"/>
      <c r="PR188" s="922"/>
      <c r="PS188" s="922"/>
      <c r="PT188" s="922"/>
      <c r="PU188" s="922"/>
      <c r="PV188" s="922"/>
      <c r="PW188" s="922"/>
      <c r="PX188" s="922"/>
      <c r="PY188" s="922"/>
      <c r="PZ188" s="922"/>
      <c r="QA188" s="922"/>
      <c r="QB188" s="922"/>
      <c r="QC188" s="922"/>
      <c r="QD188" s="922"/>
      <c r="QE188" s="922"/>
      <c r="QF188" s="922"/>
      <c r="QG188" s="922"/>
      <c r="QH188" s="922"/>
      <c r="QI188" s="922"/>
      <c r="QJ188" s="922"/>
      <c r="QK188" s="922"/>
      <c r="QL188" s="922"/>
      <c r="QM188" s="922"/>
      <c r="QN188" s="922"/>
      <c r="QO188" s="922"/>
      <c r="QP188" s="922"/>
      <c r="QQ188" s="922"/>
      <c r="QR188" s="922"/>
      <c r="QS188" s="922"/>
      <c r="QT188" s="922"/>
      <c r="QU188" s="922"/>
      <c r="QV188" s="922"/>
      <c r="QW188" s="922"/>
      <c r="QX188" s="922"/>
      <c r="QY188" s="922"/>
      <c r="QZ188" s="922"/>
      <c r="RA188" s="922"/>
      <c r="RB188" s="922"/>
      <c r="RC188" s="922"/>
      <c r="RD188" s="922"/>
      <c r="RE188" s="922"/>
      <c r="RF188" s="922"/>
      <c r="RG188" s="922"/>
      <c r="RH188" s="922"/>
      <c r="RI188" s="922"/>
      <c r="RJ188" s="922"/>
      <c r="RK188" s="922"/>
      <c r="RL188" s="922"/>
      <c r="RM188" s="922"/>
      <c r="RN188" s="922"/>
      <c r="RO188" s="922"/>
      <c r="RP188" s="922"/>
      <c r="RQ188" s="922"/>
      <c r="RR188" s="922"/>
      <c r="RS188" s="922"/>
      <c r="RT188" s="922"/>
      <c r="RU188" s="922"/>
      <c r="RV188" s="922"/>
      <c r="RW188" s="922"/>
      <c r="RX188" s="922"/>
      <c r="RY188" s="922"/>
      <c r="RZ188" s="922"/>
      <c r="SA188" s="922"/>
      <c r="SB188" s="922"/>
      <c r="SC188" s="922"/>
      <c r="SD188" s="922"/>
      <c r="SE188" s="922"/>
      <c r="SF188" s="922"/>
      <c r="SG188" s="922"/>
      <c r="SH188" s="922"/>
      <c r="SI188" s="922"/>
      <c r="SJ188" s="922"/>
      <c r="SK188" s="922"/>
      <c r="SL188" s="922"/>
      <c r="SM188" s="922"/>
      <c r="SN188" s="922"/>
      <c r="SO188" s="922"/>
      <c r="SP188" s="922"/>
      <c r="SQ188" s="922"/>
      <c r="SR188" s="922"/>
      <c r="SS188" s="922"/>
      <c r="ST188" s="922"/>
      <c r="SU188" s="922"/>
      <c r="SV188" s="922"/>
      <c r="SW188" s="922"/>
      <c r="SX188" s="922"/>
      <c r="SY188" s="922"/>
      <c r="SZ188" s="922"/>
      <c r="TA188" s="922"/>
      <c r="TB188" s="922"/>
      <c r="TC188" s="922"/>
      <c r="TD188" s="922"/>
      <c r="TE188" s="922"/>
      <c r="TF188" s="922"/>
      <c r="TG188" s="922"/>
      <c r="TH188" s="922"/>
      <c r="TI188" s="922"/>
      <c r="TJ188" s="922"/>
      <c r="TK188" s="922"/>
      <c r="TL188" s="922"/>
      <c r="TM188" s="922"/>
      <c r="TN188" s="922"/>
      <c r="TO188" s="922"/>
      <c r="TP188" s="922"/>
      <c r="TQ188" s="922"/>
      <c r="TR188" s="922"/>
      <c r="TS188" s="922"/>
      <c r="TT188" s="922"/>
      <c r="TU188" s="922"/>
      <c r="TV188" s="922"/>
      <c r="TW188" s="922"/>
      <c r="TX188" s="922"/>
      <c r="TY188" s="922"/>
      <c r="TZ188" s="922"/>
      <c r="UA188" s="922"/>
      <c r="UB188" s="922"/>
      <c r="UC188" s="922"/>
      <c r="UD188" s="922"/>
      <c r="UE188" s="922"/>
      <c r="UF188" s="922"/>
      <c r="UG188" s="922"/>
      <c r="UH188" s="922"/>
      <c r="UI188" s="922"/>
      <c r="UJ188" s="922"/>
      <c r="UK188" s="922"/>
      <c r="UL188" s="922"/>
      <c r="UM188" s="922"/>
      <c r="UN188" s="922"/>
      <c r="UO188" s="922"/>
      <c r="UP188" s="922"/>
      <c r="UQ188" s="922"/>
      <c r="UR188" s="922"/>
      <c r="US188" s="922"/>
      <c r="UT188" s="922"/>
      <c r="UU188" s="922"/>
      <c r="UV188" s="922"/>
      <c r="UW188" s="922"/>
      <c r="UX188" s="922"/>
      <c r="UY188" s="922"/>
      <c r="UZ188" s="922"/>
      <c r="VA188" s="922"/>
      <c r="VB188" s="922"/>
      <c r="VC188" s="922"/>
      <c r="VD188" s="922"/>
      <c r="VE188" s="922"/>
      <c r="VF188" s="922"/>
      <c r="VG188" s="922"/>
      <c r="VH188" s="922"/>
      <c r="VI188" s="922"/>
      <c r="VJ188" s="922"/>
      <c r="VK188" s="922"/>
      <c r="VL188" s="922"/>
      <c r="VM188" s="922"/>
      <c r="VN188" s="922"/>
      <c r="VO188" s="922"/>
      <c r="VP188" s="922"/>
      <c r="VQ188" s="922"/>
      <c r="VR188" s="922"/>
      <c r="VS188" s="922"/>
      <c r="VT188" s="922"/>
      <c r="VU188" s="922"/>
      <c r="VV188" s="922"/>
      <c r="VW188" s="922"/>
      <c r="VX188" s="922"/>
      <c r="VY188" s="922"/>
      <c r="VZ188" s="922"/>
      <c r="WA188" s="922"/>
      <c r="WB188" s="922"/>
      <c r="WC188" s="922"/>
      <c r="WD188" s="922"/>
      <c r="WE188" s="922"/>
      <c r="WF188" s="922"/>
      <c r="WG188" s="922"/>
      <c r="WH188" s="922"/>
      <c r="WI188" s="922"/>
      <c r="WJ188" s="922"/>
      <c r="WK188" s="922"/>
      <c r="WL188" s="922"/>
      <c r="WM188" s="922"/>
      <c r="WN188" s="922"/>
      <c r="WO188" s="922"/>
      <c r="WP188" s="922"/>
      <c r="WQ188" s="922"/>
      <c r="WR188" s="922"/>
      <c r="WS188" s="922"/>
      <c r="WT188" s="922"/>
      <c r="WU188" s="922"/>
      <c r="WV188" s="922"/>
      <c r="WW188" s="922"/>
      <c r="WX188" s="922"/>
      <c r="WY188" s="922"/>
      <c r="WZ188" s="922"/>
      <c r="XA188" s="922"/>
      <c r="XB188" s="922"/>
      <c r="XC188" s="922"/>
      <c r="XD188" s="922"/>
      <c r="XE188" s="922"/>
      <c r="XF188" s="922"/>
      <c r="XG188" s="922"/>
      <c r="XH188" s="922"/>
      <c r="XI188" s="922"/>
      <c r="XJ188" s="922"/>
      <c r="XK188" s="922"/>
      <c r="XL188" s="922"/>
      <c r="XM188" s="922"/>
      <c r="XN188" s="922"/>
      <c r="XO188" s="922"/>
      <c r="XP188" s="922"/>
      <c r="XQ188" s="922"/>
      <c r="XR188" s="922"/>
      <c r="XS188" s="922"/>
      <c r="XT188" s="922"/>
      <c r="XU188" s="922"/>
      <c r="XV188" s="922"/>
      <c r="XW188" s="922"/>
      <c r="XX188" s="922"/>
      <c r="XY188" s="922"/>
      <c r="XZ188" s="922"/>
      <c r="YA188" s="922"/>
      <c r="YB188" s="922"/>
      <c r="YC188" s="922"/>
      <c r="YD188" s="922"/>
      <c r="YE188" s="922"/>
      <c r="YF188" s="922"/>
      <c r="YG188" s="922"/>
      <c r="YH188" s="922"/>
      <c r="YI188" s="922"/>
      <c r="YJ188" s="922"/>
      <c r="YK188" s="922"/>
      <c r="YL188" s="922"/>
      <c r="YM188" s="922"/>
      <c r="YN188" s="922"/>
      <c r="YO188" s="922"/>
      <c r="YP188" s="922"/>
      <c r="YQ188" s="922"/>
      <c r="YR188" s="922"/>
      <c r="YS188" s="922"/>
      <c r="YT188" s="922"/>
      <c r="YU188" s="922"/>
      <c r="YV188" s="922"/>
      <c r="YW188" s="922"/>
      <c r="YX188" s="922"/>
      <c r="YY188" s="922"/>
      <c r="YZ188" s="922"/>
      <c r="ZA188" s="922"/>
      <c r="ZB188" s="922"/>
      <c r="ZC188" s="922"/>
      <c r="ZD188" s="922"/>
      <c r="ZE188" s="922"/>
      <c r="ZF188" s="922"/>
      <c r="ZG188" s="922"/>
      <c r="ZH188" s="922"/>
      <c r="ZI188" s="922"/>
      <c r="ZJ188" s="922"/>
      <c r="ZK188" s="922"/>
      <c r="ZL188" s="922"/>
      <c r="ZM188" s="922"/>
      <c r="ZN188" s="922"/>
      <c r="ZO188" s="922"/>
      <c r="ZP188" s="922"/>
      <c r="ZQ188" s="922"/>
      <c r="ZR188" s="922"/>
      <c r="ZS188" s="922"/>
      <c r="ZT188" s="922"/>
      <c r="ZU188" s="922"/>
      <c r="ZV188" s="922"/>
      <c r="ZW188" s="922"/>
      <c r="ZX188" s="922"/>
      <c r="ZY188" s="922"/>
      <c r="ZZ188" s="922"/>
      <c r="AAA188" s="922"/>
      <c r="AAB188" s="922"/>
      <c r="AAC188" s="922"/>
      <c r="AAD188" s="922"/>
      <c r="AAE188" s="922"/>
      <c r="AAF188" s="922"/>
      <c r="AAG188" s="922"/>
      <c r="AAH188" s="922"/>
      <c r="AAI188" s="922"/>
      <c r="AAJ188" s="922"/>
      <c r="AAK188" s="922"/>
      <c r="AAL188" s="922"/>
      <c r="AAM188" s="922"/>
      <c r="AAN188" s="922"/>
      <c r="AAO188" s="922"/>
      <c r="AAP188" s="922"/>
      <c r="AAQ188" s="922"/>
      <c r="AAR188" s="922"/>
      <c r="AAS188" s="922"/>
      <c r="AAT188" s="922"/>
      <c r="AAU188" s="922"/>
      <c r="AAV188" s="922"/>
      <c r="AAW188" s="922"/>
      <c r="AAX188" s="922"/>
      <c r="AAY188" s="922"/>
      <c r="AAZ188" s="922"/>
      <c r="ABA188" s="922"/>
      <c r="ABB188" s="922"/>
      <c r="ABC188" s="922"/>
      <c r="ABD188" s="922"/>
      <c r="ABE188" s="922"/>
      <c r="ABF188" s="922"/>
      <c r="ABG188" s="922"/>
      <c r="ABH188" s="922"/>
      <c r="ABI188" s="922"/>
      <c r="ABJ188" s="922"/>
      <c r="ABK188" s="922"/>
      <c r="ABL188" s="922"/>
      <c r="ABM188" s="922"/>
      <c r="ABN188" s="922"/>
      <c r="ABO188" s="922"/>
      <c r="ABP188" s="922"/>
      <c r="ABQ188" s="922"/>
      <c r="ABR188" s="922"/>
      <c r="ABS188" s="922"/>
      <c r="ABT188" s="922"/>
      <c r="ABU188" s="922"/>
      <c r="ABV188" s="922"/>
      <c r="ABW188" s="922"/>
      <c r="ABX188" s="922"/>
      <c r="ABY188" s="922"/>
      <c r="ABZ188" s="922"/>
      <c r="ACA188" s="922"/>
      <c r="ACB188" s="922"/>
      <c r="ACC188" s="922"/>
      <c r="ACD188" s="922"/>
      <c r="ACE188" s="922"/>
      <c r="ACF188" s="922"/>
      <c r="ACG188" s="922"/>
      <c r="ACH188" s="922"/>
      <c r="ACI188" s="922"/>
      <c r="ACJ188" s="922"/>
      <c r="ACK188" s="922"/>
      <c r="ACL188" s="922"/>
      <c r="ACM188" s="922"/>
      <c r="ACN188" s="922"/>
      <c r="ACO188" s="922"/>
      <c r="ACP188" s="922"/>
      <c r="ACQ188" s="922"/>
      <c r="ACR188" s="922"/>
      <c r="ACS188" s="922"/>
      <c r="ACT188" s="922"/>
      <c r="ACU188" s="922"/>
      <c r="ACV188" s="922"/>
      <c r="ACW188" s="922"/>
      <c r="ACX188" s="922"/>
      <c r="ACY188" s="922"/>
      <c r="ACZ188" s="922"/>
      <c r="ADA188" s="922"/>
      <c r="ADB188" s="922"/>
      <c r="ADC188" s="922"/>
      <c r="ADD188" s="922"/>
      <c r="ADE188" s="922"/>
      <c r="ADF188" s="922"/>
      <c r="ADG188" s="922"/>
      <c r="ADH188" s="922"/>
      <c r="ADI188" s="922"/>
      <c r="ADJ188" s="922"/>
      <c r="ADK188" s="922"/>
      <c r="ADL188" s="922"/>
      <c r="ADM188" s="922"/>
      <c r="ADN188" s="922"/>
      <c r="ADO188" s="922"/>
      <c r="ADP188" s="922"/>
      <c r="ADQ188" s="922"/>
      <c r="ADR188" s="922"/>
      <c r="ADS188" s="922"/>
      <c r="ADT188" s="922"/>
      <c r="ADU188" s="922"/>
      <c r="ADV188" s="922"/>
      <c r="ADW188" s="922"/>
      <c r="ADX188" s="922"/>
      <c r="ADY188" s="922"/>
      <c r="ADZ188" s="922"/>
      <c r="AEA188" s="922"/>
      <c r="AEB188" s="922"/>
      <c r="AEC188" s="922"/>
      <c r="AED188" s="922"/>
      <c r="AEE188" s="922"/>
      <c r="AEF188" s="922"/>
      <c r="AEG188" s="922"/>
      <c r="AEH188" s="922"/>
      <c r="AEI188" s="922"/>
      <c r="AEJ188" s="922"/>
      <c r="AEK188" s="922"/>
      <c r="AEL188" s="922"/>
      <c r="AEM188" s="922"/>
      <c r="AEN188" s="922"/>
      <c r="AEO188" s="922"/>
      <c r="AEP188" s="922"/>
      <c r="AEQ188" s="922"/>
      <c r="AER188" s="922"/>
      <c r="AES188" s="922"/>
      <c r="AET188" s="922"/>
      <c r="AEU188" s="922"/>
      <c r="AEV188" s="922"/>
      <c r="AEW188" s="922"/>
      <c r="AEX188" s="922"/>
      <c r="AEY188" s="922"/>
      <c r="AEZ188" s="922"/>
      <c r="AFA188" s="922"/>
      <c r="AFB188" s="922"/>
      <c r="AFC188" s="922"/>
      <c r="AFD188" s="922"/>
      <c r="AFE188" s="922"/>
      <c r="AFF188" s="922"/>
      <c r="AFG188" s="922"/>
      <c r="AFH188" s="922"/>
      <c r="AFI188" s="922"/>
      <c r="AFJ188" s="922"/>
      <c r="AFK188" s="922"/>
      <c r="AFL188" s="922"/>
      <c r="AFM188" s="922"/>
      <c r="AFN188" s="922"/>
      <c r="AFO188" s="922"/>
      <c r="AFP188" s="922"/>
      <c r="AFQ188" s="922"/>
      <c r="AFR188" s="922"/>
      <c r="AFS188" s="922"/>
      <c r="AFT188" s="922"/>
      <c r="AFU188" s="922"/>
      <c r="AFV188" s="922"/>
      <c r="AFW188" s="922"/>
      <c r="AFX188" s="922"/>
      <c r="AFY188" s="922"/>
      <c r="AFZ188" s="922"/>
      <c r="AGA188" s="922"/>
      <c r="AGB188" s="922"/>
      <c r="AGC188" s="922"/>
      <c r="AGD188" s="922"/>
      <c r="AGE188" s="922"/>
      <c r="AGF188" s="922"/>
      <c r="AGG188" s="922"/>
      <c r="AGH188" s="922"/>
      <c r="AGI188" s="922"/>
      <c r="AGJ188" s="922"/>
      <c r="AGK188" s="922"/>
      <c r="AGL188" s="922"/>
      <c r="AGM188" s="922"/>
      <c r="AGN188" s="922"/>
      <c r="AGO188" s="922"/>
      <c r="AGP188" s="922"/>
      <c r="AGQ188" s="922"/>
      <c r="AGR188" s="922"/>
      <c r="AGS188" s="922"/>
      <c r="AGT188" s="922"/>
      <c r="AGU188" s="922"/>
      <c r="AGV188" s="922"/>
      <c r="AGW188" s="922"/>
      <c r="AGX188" s="922"/>
      <c r="AGY188" s="922"/>
      <c r="AGZ188" s="922"/>
      <c r="AHA188" s="922"/>
      <c r="AHB188" s="922"/>
      <c r="AHC188" s="922"/>
      <c r="AHD188" s="922"/>
      <c r="AHE188" s="922"/>
      <c r="AHF188" s="922"/>
      <c r="AHG188" s="922"/>
      <c r="AHH188" s="922"/>
      <c r="AHI188" s="922"/>
      <c r="AHJ188" s="922"/>
      <c r="AHK188" s="922"/>
      <c r="AHL188" s="922"/>
      <c r="AHM188" s="922"/>
      <c r="AHN188" s="922"/>
      <c r="AHO188" s="922"/>
      <c r="AHP188" s="922"/>
      <c r="AHQ188" s="922"/>
      <c r="AHR188" s="922"/>
      <c r="AHS188" s="922"/>
      <c r="AHT188" s="922"/>
      <c r="AHU188" s="922"/>
      <c r="AHV188" s="922"/>
      <c r="AHW188" s="922"/>
      <c r="AHX188" s="922"/>
      <c r="AHY188" s="922"/>
      <c r="AHZ188" s="922"/>
      <c r="AIA188" s="922"/>
      <c r="AIB188" s="922"/>
      <c r="AIC188" s="922"/>
      <c r="AID188" s="922"/>
      <c r="AIE188" s="922"/>
      <c r="AIF188" s="922"/>
      <c r="AIG188" s="922"/>
      <c r="AIH188" s="922"/>
      <c r="AII188" s="922"/>
      <c r="AIJ188" s="922"/>
      <c r="AIK188" s="922"/>
      <c r="AIL188" s="922"/>
      <c r="AIM188" s="922"/>
      <c r="AIN188" s="922"/>
      <c r="AIO188" s="922"/>
      <c r="AIP188" s="922"/>
      <c r="AIQ188" s="922"/>
      <c r="AIR188" s="922"/>
      <c r="AIS188" s="922"/>
      <c r="AIT188" s="922"/>
      <c r="AIU188" s="922"/>
      <c r="AIV188" s="922"/>
      <c r="AIW188" s="922"/>
      <c r="AIX188" s="922"/>
      <c r="AIY188" s="922"/>
      <c r="AIZ188" s="922"/>
      <c r="AJA188" s="922"/>
      <c r="AJB188" s="922"/>
      <c r="AJC188" s="922"/>
      <c r="AJD188" s="922"/>
      <c r="AJE188" s="922"/>
      <c r="AJF188" s="922"/>
      <c r="AJG188" s="922"/>
      <c r="AJH188" s="922"/>
      <c r="AJI188" s="922"/>
      <c r="AJJ188" s="922"/>
      <c r="AJK188" s="922"/>
      <c r="AJL188" s="922"/>
      <c r="AJM188" s="922"/>
      <c r="AJN188" s="922"/>
      <c r="AJO188" s="922"/>
      <c r="AJP188" s="922"/>
      <c r="AJQ188" s="922"/>
      <c r="AJR188" s="922"/>
      <c r="AJS188" s="922"/>
      <c r="AJT188" s="922"/>
      <c r="AJU188" s="922"/>
      <c r="AJV188" s="922"/>
      <c r="AJW188" s="922"/>
      <c r="AJX188" s="922"/>
      <c r="AJY188" s="922"/>
      <c r="AJZ188" s="922"/>
      <c r="AKA188" s="922"/>
      <c r="AKB188" s="922"/>
      <c r="AKC188" s="922"/>
      <c r="AKD188" s="922"/>
      <c r="AKE188" s="922"/>
      <c r="AKF188" s="922"/>
      <c r="AKG188" s="922"/>
      <c r="AKH188" s="922"/>
      <c r="AKI188" s="922"/>
      <c r="AKJ188" s="922"/>
      <c r="AKK188" s="922"/>
      <c r="AKL188" s="922"/>
      <c r="AKM188" s="922"/>
      <c r="AKN188" s="922"/>
      <c r="AKO188" s="922"/>
      <c r="AKP188" s="922"/>
      <c r="AKQ188" s="922"/>
      <c r="AKR188" s="922"/>
      <c r="AKS188" s="922"/>
      <c r="AKT188" s="922"/>
      <c r="AKU188" s="922"/>
      <c r="AKV188" s="922"/>
      <c r="AKW188" s="922"/>
      <c r="AKX188" s="922"/>
      <c r="AKY188" s="922"/>
      <c r="AKZ188" s="922"/>
      <c r="ALA188" s="922"/>
      <c r="ALB188" s="922"/>
      <c r="ALC188" s="922"/>
      <c r="ALD188" s="922"/>
      <c r="ALE188" s="922"/>
      <c r="ALF188" s="922"/>
      <c r="ALG188" s="922"/>
      <c r="ALH188" s="922"/>
      <c r="ALI188" s="922"/>
      <c r="ALJ188" s="922"/>
      <c r="ALK188" s="922"/>
      <c r="ALL188" s="922"/>
      <c r="ALM188" s="922"/>
      <c r="ALN188" s="922"/>
      <c r="ALO188" s="922"/>
      <c r="ALP188" s="922"/>
      <c r="ALQ188" s="922"/>
      <c r="ALR188" s="922"/>
      <c r="ALS188" s="922"/>
      <c r="ALT188" s="922"/>
      <c r="ALU188" s="922"/>
      <c r="ALV188" s="922"/>
      <c r="ALW188" s="922"/>
      <c r="ALX188" s="922"/>
      <c r="ALY188" s="922"/>
      <c r="ALZ188" s="922"/>
      <c r="AMA188" s="922"/>
      <c r="AMB188" s="922"/>
      <c r="AMC188" s="922"/>
      <c r="AMD188" s="922"/>
      <c r="AME188" s="922"/>
      <c r="AMF188" s="922"/>
      <c r="AMG188" s="922"/>
      <c r="AMH188" s="922"/>
      <c r="AMI188" s="922"/>
      <c r="AMJ188" s="922"/>
      <c r="AMK188" s="922"/>
      <c r="AML188" s="922"/>
      <c r="AMM188" s="922"/>
      <c r="AMN188" s="922"/>
      <c r="AMO188" s="922"/>
      <c r="AMP188" s="922"/>
      <c r="AMQ188" s="922"/>
      <c r="AMR188" s="922"/>
      <c r="AMS188" s="922"/>
      <c r="AMT188" s="922"/>
      <c r="AMU188" s="922"/>
      <c r="AMV188" s="922"/>
      <c r="AMW188" s="922"/>
      <c r="AMX188" s="922"/>
      <c r="AMY188" s="922"/>
      <c r="AMZ188" s="922"/>
      <c r="ANA188" s="922"/>
      <c r="ANB188" s="922"/>
      <c r="ANC188" s="922"/>
      <c r="AND188" s="922"/>
      <c r="ANE188" s="922"/>
      <c r="ANF188" s="922"/>
      <c r="ANG188" s="922"/>
      <c r="ANH188" s="922"/>
      <c r="ANI188" s="922"/>
      <c r="ANJ188" s="922"/>
      <c r="ANK188" s="922"/>
      <c r="ANL188" s="922"/>
      <c r="ANM188" s="922"/>
      <c r="ANN188" s="922"/>
      <c r="ANO188" s="922"/>
      <c r="ANP188" s="922"/>
      <c r="ANQ188" s="922"/>
      <c r="ANR188" s="922"/>
      <c r="ANS188" s="922"/>
      <c r="ANT188" s="922"/>
      <c r="ANU188" s="922"/>
      <c r="ANV188" s="922"/>
      <c r="ANW188" s="922"/>
      <c r="ANX188" s="922"/>
      <c r="ANY188" s="922"/>
      <c r="ANZ188" s="922"/>
      <c r="AOA188" s="922"/>
      <c r="AOB188" s="922"/>
      <c r="AOC188" s="922"/>
      <c r="AOD188" s="922"/>
      <c r="AOE188" s="922"/>
      <c r="AOF188" s="922"/>
      <c r="AOG188" s="922"/>
      <c r="AOH188" s="922"/>
      <c r="AOI188" s="922"/>
      <c r="AOJ188" s="922"/>
      <c r="AOK188" s="922"/>
      <c r="AOL188" s="922"/>
      <c r="AOM188" s="922"/>
      <c r="AON188" s="922"/>
      <c r="AOO188" s="922"/>
      <c r="AOP188" s="922"/>
      <c r="AOQ188" s="922"/>
      <c r="AOR188" s="922"/>
      <c r="AOS188" s="922"/>
      <c r="AOT188" s="922"/>
      <c r="AOU188" s="922"/>
      <c r="AOV188" s="922"/>
      <c r="AOW188" s="922"/>
      <c r="AOX188" s="922"/>
      <c r="AOY188" s="922"/>
      <c r="AOZ188" s="922"/>
      <c r="APA188" s="922"/>
      <c r="APB188" s="922"/>
      <c r="APC188" s="922"/>
      <c r="APD188" s="922"/>
      <c r="APE188" s="922"/>
      <c r="APF188" s="922"/>
      <c r="APG188" s="922"/>
      <c r="APH188" s="922"/>
      <c r="API188" s="922"/>
      <c r="APJ188" s="922"/>
      <c r="APK188" s="922"/>
      <c r="APL188" s="922"/>
      <c r="APM188" s="922"/>
      <c r="APN188" s="922"/>
      <c r="APO188" s="922"/>
      <c r="APP188" s="922"/>
      <c r="APQ188" s="922"/>
      <c r="APR188" s="922"/>
      <c r="APS188" s="922"/>
      <c r="APT188" s="922"/>
      <c r="APU188" s="922"/>
      <c r="APV188" s="922"/>
      <c r="APW188" s="922"/>
      <c r="APX188" s="922"/>
      <c r="APY188" s="922"/>
      <c r="APZ188" s="922"/>
      <c r="AQA188" s="922"/>
      <c r="AQB188" s="922"/>
      <c r="AQC188" s="922"/>
      <c r="AQD188" s="922"/>
      <c r="AQE188" s="922"/>
      <c r="AQF188" s="922"/>
      <c r="AQG188" s="922"/>
      <c r="AQH188" s="922"/>
      <c r="AQI188" s="922"/>
      <c r="AQJ188" s="922"/>
      <c r="AQK188" s="922"/>
      <c r="AQL188" s="922"/>
      <c r="AQM188" s="922"/>
      <c r="AQN188" s="922"/>
      <c r="AQO188" s="922"/>
      <c r="AQP188" s="922"/>
      <c r="AQQ188" s="922"/>
      <c r="AQR188" s="922"/>
      <c r="AQS188" s="922"/>
      <c r="AQT188" s="922"/>
      <c r="AQU188" s="922"/>
      <c r="AQV188" s="922"/>
      <c r="AQW188" s="922"/>
      <c r="AQX188" s="922"/>
      <c r="AQY188" s="922"/>
      <c r="AQZ188" s="922"/>
      <c r="ARA188" s="922"/>
      <c r="ARB188" s="922"/>
      <c r="ARC188" s="922"/>
      <c r="ARD188" s="922"/>
      <c r="ARE188" s="922"/>
      <c r="ARF188" s="922"/>
      <c r="ARG188" s="922"/>
      <c r="ARH188" s="922"/>
      <c r="ARI188" s="922"/>
      <c r="ARJ188" s="922"/>
      <c r="ARK188" s="922"/>
      <c r="ARL188" s="922"/>
      <c r="ARM188" s="922"/>
      <c r="ARN188" s="922"/>
      <c r="ARO188" s="922"/>
      <c r="ARP188" s="922"/>
      <c r="ARQ188" s="922"/>
      <c r="ARR188" s="922"/>
      <c r="ARS188" s="922"/>
      <c r="ART188" s="922"/>
      <c r="ARU188" s="922"/>
      <c r="ARV188" s="922"/>
      <c r="ARW188" s="922"/>
      <c r="ARX188" s="922"/>
      <c r="ARY188" s="922"/>
      <c r="ARZ188" s="922"/>
      <c r="ASA188" s="922"/>
      <c r="ASB188" s="922"/>
      <c r="ASC188" s="922"/>
    </row>
    <row r="189" spans="1:1173" hidden="1">
      <c r="T189" s="922"/>
      <c r="AN189" s="922"/>
      <c r="AO189" s="922"/>
      <c r="AP189" s="922"/>
      <c r="AQ189" s="922"/>
      <c r="AR189" s="922"/>
      <c r="AS189" s="922"/>
      <c r="AT189" s="922"/>
      <c r="AU189" s="922"/>
      <c r="AV189" s="922"/>
      <c r="AW189" s="922"/>
      <c r="AX189" s="922"/>
      <c r="AY189" s="922"/>
      <c r="AZ189" s="922"/>
      <c r="BA189" s="922"/>
      <c r="BB189" s="922"/>
      <c r="BC189" s="922"/>
      <c r="BD189" s="922"/>
      <c r="BE189" s="922"/>
      <c r="BF189" s="922"/>
      <c r="BG189" s="922"/>
      <c r="BH189" s="922"/>
      <c r="BI189" s="922"/>
      <c r="BJ189" s="922"/>
      <c r="BK189" s="922"/>
      <c r="BL189" s="922"/>
      <c r="BM189" s="922"/>
      <c r="BN189" s="922"/>
      <c r="BO189" s="922"/>
      <c r="BP189" s="922"/>
      <c r="BQ189" s="922"/>
      <c r="BR189" s="922"/>
      <c r="BS189" s="922"/>
      <c r="BT189" s="922"/>
      <c r="BU189" s="922"/>
      <c r="BV189" s="922"/>
      <c r="BW189" s="922"/>
      <c r="BX189" s="922"/>
      <c r="BY189" s="922"/>
      <c r="BZ189" s="922"/>
      <c r="CA189" s="922"/>
      <c r="CB189" s="922"/>
      <c r="CC189" s="922"/>
      <c r="CD189" s="922"/>
      <c r="CE189" s="922"/>
      <c r="CF189" s="922"/>
      <c r="CG189" s="922"/>
      <c r="CH189" s="922"/>
      <c r="CI189" s="922"/>
      <c r="CJ189" s="922"/>
      <c r="CK189" s="922"/>
      <c r="CL189" s="922"/>
      <c r="CM189" s="922"/>
      <c r="CN189" s="922"/>
      <c r="CO189" s="922"/>
      <c r="CP189" s="922"/>
      <c r="CQ189" s="922"/>
      <c r="CR189" s="922"/>
      <c r="CS189" s="922"/>
      <c r="CT189" s="922"/>
      <c r="CU189" s="922"/>
      <c r="CV189" s="922"/>
      <c r="CW189" s="922"/>
      <c r="CX189" s="922"/>
      <c r="CY189" s="922"/>
      <c r="CZ189" s="922"/>
      <c r="DA189" s="922"/>
      <c r="DB189" s="922"/>
      <c r="DC189" s="922"/>
      <c r="DD189" s="922"/>
      <c r="DE189" s="922"/>
      <c r="DF189" s="922"/>
      <c r="DG189" s="922"/>
      <c r="DH189" s="922"/>
      <c r="DI189" s="922"/>
      <c r="DJ189" s="922"/>
      <c r="DK189" s="922"/>
      <c r="DL189" s="922"/>
      <c r="DM189" s="922"/>
      <c r="DN189" s="922"/>
      <c r="DO189" s="922"/>
      <c r="DP189" s="922"/>
      <c r="DQ189" s="922"/>
      <c r="DR189" s="922"/>
      <c r="DS189" s="922"/>
      <c r="DT189" s="922"/>
      <c r="DU189" s="922"/>
      <c r="DV189" s="922"/>
      <c r="DW189" s="922"/>
      <c r="DX189" s="922"/>
      <c r="DY189" s="922"/>
      <c r="DZ189" s="922"/>
      <c r="EA189" s="922"/>
      <c r="EB189" s="922"/>
      <c r="EC189" s="922"/>
      <c r="ED189" s="922"/>
      <c r="EE189" s="922"/>
      <c r="EF189" s="922"/>
      <c r="EG189" s="922"/>
      <c r="EH189" s="922"/>
      <c r="EI189" s="922"/>
      <c r="EJ189" s="922"/>
      <c r="EK189" s="922"/>
      <c r="EL189" s="922"/>
      <c r="EM189" s="922"/>
      <c r="EN189" s="922"/>
      <c r="EO189" s="922"/>
      <c r="EP189" s="922"/>
      <c r="EQ189" s="922"/>
      <c r="ER189" s="922"/>
      <c r="ES189" s="922"/>
      <c r="ET189" s="922"/>
      <c r="EU189" s="922"/>
      <c r="EV189" s="922"/>
      <c r="EW189" s="922"/>
      <c r="EX189" s="922"/>
      <c r="EY189" s="922"/>
      <c r="EZ189" s="922"/>
      <c r="FA189" s="922"/>
      <c r="FB189" s="922"/>
      <c r="FC189" s="922"/>
      <c r="FD189" s="922"/>
      <c r="FE189" s="922"/>
      <c r="FF189" s="922"/>
      <c r="FG189" s="922"/>
      <c r="FH189" s="922"/>
      <c r="FI189" s="922"/>
      <c r="FJ189" s="922"/>
      <c r="FK189" s="922"/>
      <c r="FL189" s="922"/>
      <c r="FM189" s="922"/>
      <c r="FN189" s="922"/>
      <c r="FO189" s="922"/>
      <c r="FP189" s="922"/>
      <c r="FQ189" s="922"/>
      <c r="FR189" s="922"/>
      <c r="FS189" s="922"/>
      <c r="FT189" s="922"/>
      <c r="FU189" s="922"/>
      <c r="FV189" s="922"/>
      <c r="FW189" s="922"/>
      <c r="FX189" s="922"/>
      <c r="FY189" s="922"/>
      <c r="FZ189" s="922"/>
      <c r="GA189" s="922"/>
      <c r="GB189" s="922"/>
      <c r="GC189" s="922"/>
      <c r="GD189" s="922"/>
      <c r="GE189" s="922"/>
      <c r="GF189" s="922"/>
      <c r="GG189" s="922"/>
      <c r="GH189" s="922"/>
      <c r="GI189" s="922"/>
      <c r="GJ189" s="922"/>
      <c r="GK189" s="922"/>
      <c r="GL189" s="922"/>
      <c r="GM189" s="922"/>
      <c r="GN189" s="922"/>
      <c r="GO189" s="922"/>
      <c r="GP189" s="922"/>
      <c r="GQ189" s="922"/>
      <c r="GR189" s="922"/>
      <c r="GS189" s="922"/>
      <c r="GT189" s="922"/>
      <c r="GU189" s="922"/>
      <c r="GV189" s="922"/>
      <c r="GW189" s="922"/>
      <c r="GX189" s="922"/>
      <c r="GY189" s="922"/>
      <c r="GZ189" s="922"/>
      <c r="HA189" s="922"/>
      <c r="HB189" s="922"/>
      <c r="HC189" s="922"/>
      <c r="HD189" s="922"/>
      <c r="HE189" s="922"/>
      <c r="HF189" s="922"/>
      <c r="HG189" s="922"/>
      <c r="HH189" s="922"/>
      <c r="HI189" s="922"/>
      <c r="HJ189" s="922"/>
      <c r="HK189" s="922"/>
      <c r="HL189" s="922"/>
      <c r="HM189" s="922"/>
      <c r="HN189" s="922"/>
      <c r="HO189" s="922"/>
      <c r="HP189" s="922"/>
      <c r="HQ189" s="922"/>
      <c r="HR189" s="922"/>
      <c r="HS189" s="922"/>
      <c r="HT189" s="922"/>
      <c r="HU189" s="922"/>
      <c r="HV189" s="922"/>
      <c r="HW189" s="922"/>
      <c r="HX189" s="922"/>
      <c r="HY189" s="922"/>
      <c r="HZ189" s="922"/>
      <c r="IA189" s="922"/>
      <c r="IB189" s="922"/>
      <c r="IC189" s="922"/>
      <c r="ID189" s="922"/>
      <c r="IE189" s="922"/>
      <c r="IF189" s="922"/>
      <c r="IG189" s="922"/>
      <c r="IH189" s="922"/>
      <c r="II189" s="922"/>
      <c r="IJ189" s="922"/>
      <c r="IK189" s="922"/>
      <c r="IL189" s="922"/>
      <c r="IM189" s="922"/>
      <c r="IN189" s="922"/>
      <c r="IO189" s="922"/>
      <c r="IP189" s="922"/>
      <c r="IQ189" s="922"/>
      <c r="IR189" s="922"/>
      <c r="IS189" s="922"/>
      <c r="IT189" s="922"/>
      <c r="IU189" s="922"/>
      <c r="IV189" s="922"/>
      <c r="IW189" s="922"/>
      <c r="IX189" s="922"/>
      <c r="IY189" s="922"/>
      <c r="IZ189" s="922"/>
      <c r="JA189" s="922"/>
      <c r="JB189" s="922"/>
      <c r="JC189" s="922"/>
      <c r="JD189" s="922"/>
      <c r="JE189" s="922"/>
      <c r="JF189" s="922"/>
      <c r="JG189" s="922"/>
      <c r="JH189" s="922"/>
      <c r="JI189" s="922"/>
      <c r="JJ189" s="922"/>
      <c r="JK189" s="922"/>
      <c r="JL189" s="922"/>
      <c r="JM189" s="922"/>
      <c r="JN189" s="922"/>
      <c r="JO189" s="922"/>
      <c r="JP189" s="922"/>
      <c r="JQ189" s="922"/>
      <c r="JR189" s="922"/>
      <c r="JS189" s="922"/>
      <c r="JT189" s="922"/>
      <c r="JU189" s="922"/>
      <c r="JV189" s="922"/>
      <c r="JW189" s="922"/>
      <c r="JX189" s="922"/>
      <c r="JY189" s="922"/>
      <c r="JZ189" s="922"/>
      <c r="KA189" s="922"/>
      <c r="KB189" s="922"/>
      <c r="KC189" s="922"/>
      <c r="KD189" s="922"/>
      <c r="KE189" s="922"/>
      <c r="KF189" s="922"/>
      <c r="KG189" s="922"/>
      <c r="KH189" s="922"/>
      <c r="KI189" s="922"/>
      <c r="KJ189" s="922"/>
      <c r="KK189" s="922"/>
      <c r="KL189" s="922"/>
      <c r="KM189" s="922"/>
      <c r="KN189" s="922"/>
      <c r="KO189" s="922"/>
      <c r="KP189" s="922"/>
      <c r="KQ189" s="922"/>
      <c r="KR189" s="922"/>
      <c r="KS189" s="922"/>
      <c r="KT189" s="922"/>
      <c r="KU189" s="922"/>
      <c r="KV189" s="922"/>
      <c r="KW189" s="922"/>
      <c r="KX189" s="922"/>
      <c r="KY189" s="922"/>
      <c r="KZ189" s="922"/>
      <c r="LA189" s="922"/>
      <c r="LB189" s="922"/>
      <c r="LC189" s="922"/>
      <c r="LD189" s="922"/>
      <c r="LE189" s="922"/>
      <c r="LF189" s="922"/>
      <c r="LG189" s="922"/>
      <c r="LH189" s="922"/>
      <c r="LI189" s="922"/>
      <c r="LJ189" s="922"/>
      <c r="LK189" s="922"/>
      <c r="LL189" s="922"/>
      <c r="LM189" s="922"/>
      <c r="LN189" s="922"/>
      <c r="LO189" s="922"/>
      <c r="LP189" s="922"/>
      <c r="LQ189" s="922"/>
      <c r="LR189" s="922"/>
      <c r="LS189" s="922"/>
      <c r="LT189" s="922"/>
      <c r="LU189" s="922"/>
      <c r="LV189" s="922"/>
      <c r="LW189" s="922"/>
      <c r="LX189" s="922"/>
      <c r="LY189" s="922"/>
      <c r="LZ189" s="922"/>
      <c r="MA189" s="922"/>
      <c r="MB189" s="922"/>
      <c r="MC189" s="922"/>
      <c r="MD189" s="922"/>
      <c r="ME189" s="922"/>
      <c r="MF189" s="922"/>
      <c r="MG189" s="922"/>
      <c r="MH189" s="922"/>
      <c r="MI189" s="922"/>
      <c r="MJ189" s="922"/>
      <c r="MK189" s="922"/>
      <c r="ML189" s="922"/>
      <c r="MM189" s="922"/>
      <c r="MN189" s="922"/>
      <c r="MO189" s="922"/>
      <c r="MP189" s="922"/>
      <c r="MQ189" s="922"/>
      <c r="MR189" s="922"/>
      <c r="MS189" s="922"/>
      <c r="MT189" s="922"/>
      <c r="MU189" s="922"/>
      <c r="MV189" s="922"/>
      <c r="MW189" s="922"/>
      <c r="MX189" s="922"/>
      <c r="MY189" s="922"/>
      <c r="MZ189" s="922"/>
      <c r="NA189" s="922"/>
      <c r="NB189" s="922"/>
      <c r="NC189" s="922"/>
      <c r="ND189" s="922"/>
      <c r="NE189" s="922"/>
      <c r="NF189" s="922"/>
      <c r="NG189" s="922"/>
      <c r="NH189" s="922"/>
      <c r="NI189" s="922"/>
      <c r="NJ189" s="922"/>
      <c r="NK189" s="922"/>
      <c r="NL189" s="922"/>
      <c r="NM189" s="922"/>
      <c r="NN189" s="922"/>
      <c r="NO189" s="922"/>
      <c r="NP189" s="922"/>
      <c r="NQ189" s="922"/>
      <c r="NR189" s="922"/>
      <c r="NS189" s="922"/>
      <c r="NT189" s="922"/>
      <c r="NU189" s="922"/>
      <c r="NV189" s="922"/>
      <c r="NW189" s="922"/>
      <c r="NX189" s="922"/>
      <c r="NY189" s="922"/>
      <c r="NZ189" s="922"/>
      <c r="OA189" s="922"/>
      <c r="OB189" s="922"/>
      <c r="OC189" s="922"/>
      <c r="OD189" s="922"/>
      <c r="OE189" s="922"/>
      <c r="OF189" s="922"/>
      <c r="OG189" s="922"/>
      <c r="OH189" s="922"/>
      <c r="OI189" s="922"/>
      <c r="OJ189" s="922"/>
      <c r="OK189" s="922"/>
      <c r="OL189" s="922"/>
      <c r="OM189" s="922"/>
      <c r="ON189" s="922"/>
      <c r="OO189" s="922"/>
      <c r="OP189" s="922"/>
      <c r="OQ189" s="922"/>
      <c r="OR189" s="922"/>
      <c r="OS189" s="922"/>
      <c r="OT189" s="922"/>
      <c r="OU189" s="922"/>
      <c r="OV189" s="922"/>
      <c r="OW189" s="922"/>
      <c r="OX189" s="922"/>
      <c r="OY189" s="922"/>
      <c r="OZ189" s="922"/>
      <c r="PA189" s="922"/>
      <c r="PB189" s="922"/>
      <c r="PC189" s="922"/>
      <c r="PD189" s="922"/>
      <c r="PE189" s="922"/>
      <c r="PF189" s="922"/>
      <c r="PG189" s="922"/>
      <c r="PH189" s="922"/>
      <c r="PI189" s="922"/>
      <c r="PJ189" s="922"/>
      <c r="PK189" s="922"/>
      <c r="PL189" s="922"/>
      <c r="PM189" s="922"/>
      <c r="PN189" s="922"/>
      <c r="PO189" s="922"/>
      <c r="PP189" s="922"/>
      <c r="PQ189" s="922"/>
      <c r="PR189" s="922"/>
      <c r="PS189" s="922"/>
      <c r="PT189" s="922"/>
      <c r="PU189" s="922"/>
      <c r="PV189" s="922"/>
      <c r="PW189" s="922"/>
      <c r="PX189" s="922"/>
      <c r="PY189" s="922"/>
      <c r="PZ189" s="922"/>
      <c r="QA189" s="922"/>
      <c r="QB189" s="922"/>
      <c r="QC189" s="922"/>
      <c r="QD189" s="922"/>
      <c r="QE189" s="922"/>
      <c r="QF189" s="922"/>
      <c r="QG189" s="922"/>
      <c r="QH189" s="922"/>
      <c r="QI189" s="922"/>
      <c r="QJ189" s="922"/>
      <c r="QK189" s="922"/>
      <c r="QL189" s="922"/>
      <c r="QM189" s="922"/>
      <c r="QN189" s="922"/>
      <c r="QO189" s="922"/>
      <c r="QP189" s="922"/>
      <c r="QQ189" s="922"/>
      <c r="QR189" s="922"/>
      <c r="QS189" s="922"/>
      <c r="QT189" s="922"/>
      <c r="QU189" s="922"/>
      <c r="QV189" s="922"/>
      <c r="QW189" s="922"/>
      <c r="QX189" s="922"/>
      <c r="QY189" s="922"/>
      <c r="QZ189" s="922"/>
      <c r="RA189" s="922"/>
      <c r="RB189" s="922"/>
      <c r="RC189" s="922"/>
      <c r="RD189" s="922"/>
      <c r="RE189" s="922"/>
      <c r="RF189" s="922"/>
      <c r="RG189" s="922"/>
      <c r="RH189" s="922"/>
      <c r="RI189" s="922"/>
      <c r="RJ189" s="922"/>
      <c r="RK189" s="922"/>
      <c r="RL189" s="922"/>
      <c r="RM189" s="922"/>
      <c r="RN189" s="922"/>
      <c r="RO189" s="922"/>
      <c r="RP189" s="922"/>
      <c r="RQ189" s="922"/>
      <c r="RR189" s="922"/>
      <c r="RS189" s="922"/>
      <c r="RT189" s="922"/>
      <c r="RU189" s="922"/>
      <c r="RV189" s="922"/>
      <c r="RW189" s="922"/>
      <c r="RX189" s="922"/>
      <c r="RY189" s="922"/>
      <c r="RZ189" s="922"/>
      <c r="SA189" s="922"/>
      <c r="SB189" s="922"/>
      <c r="SC189" s="922"/>
      <c r="SD189" s="922"/>
      <c r="SE189" s="922"/>
      <c r="SF189" s="922"/>
      <c r="SG189" s="922"/>
      <c r="SH189" s="922"/>
      <c r="SI189" s="922"/>
      <c r="SJ189" s="922"/>
      <c r="SK189" s="922"/>
      <c r="SL189" s="922"/>
      <c r="SM189" s="922"/>
      <c r="SN189" s="922"/>
      <c r="SO189" s="922"/>
      <c r="SP189" s="922"/>
      <c r="SQ189" s="922"/>
      <c r="SR189" s="922"/>
      <c r="SS189" s="922"/>
      <c r="ST189" s="922"/>
      <c r="SU189" s="922"/>
      <c r="SV189" s="922"/>
      <c r="SW189" s="922"/>
      <c r="SX189" s="922"/>
      <c r="SY189" s="922"/>
      <c r="SZ189" s="922"/>
      <c r="TA189" s="922"/>
      <c r="TB189" s="922"/>
      <c r="TC189" s="922"/>
      <c r="TD189" s="922"/>
      <c r="TE189" s="922"/>
      <c r="TF189" s="922"/>
      <c r="TG189" s="922"/>
      <c r="TH189" s="922"/>
      <c r="TI189" s="922"/>
      <c r="TJ189" s="922"/>
      <c r="TK189" s="922"/>
      <c r="TL189" s="922"/>
      <c r="TM189" s="922"/>
      <c r="TN189" s="922"/>
      <c r="TO189" s="922"/>
      <c r="TP189" s="922"/>
      <c r="TQ189" s="922"/>
      <c r="TR189" s="922"/>
      <c r="TS189" s="922"/>
      <c r="TT189" s="922"/>
      <c r="TU189" s="922"/>
      <c r="TV189" s="922"/>
      <c r="TW189" s="922"/>
      <c r="TX189" s="922"/>
      <c r="TY189" s="922"/>
      <c r="TZ189" s="922"/>
      <c r="UA189" s="922"/>
      <c r="UB189" s="922"/>
      <c r="UC189" s="922"/>
      <c r="UD189" s="922"/>
      <c r="UE189" s="922"/>
      <c r="UF189" s="922"/>
      <c r="UG189" s="922"/>
      <c r="UH189" s="922"/>
      <c r="UI189" s="922"/>
      <c r="UJ189" s="922"/>
      <c r="UK189" s="922"/>
      <c r="UL189" s="922"/>
      <c r="UM189" s="922"/>
      <c r="UN189" s="922"/>
      <c r="UO189" s="922"/>
      <c r="UP189" s="922"/>
      <c r="UQ189" s="922"/>
      <c r="UR189" s="922"/>
      <c r="US189" s="922"/>
      <c r="UT189" s="922"/>
      <c r="UU189" s="922"/>
      <c r="UV189" s="922"/>
      <c r="UW189" s="922"/>
      <c r="UX189" s="922"/>
      <c r="UY189" s="922"/>
      <c r="UZ189" s="922"/>
      <c r="VA189" s="922"/>
      <c r="VB189" s="922"/>
      <c r="VC189" s="922"/>
      <c r="VD189" s="922"/>
      <c r="VE189" s="922"/>
      <c r="VF189" s="922"/>
      <c r="VG189" s="922"/>
      <c r="VH189" s="922"/>
      <c r="VI189" s="922"/>
      <c r="VJ189" s="922"/>
      <c r="VK189" s="922"/>
      <c r="VL189" s="922"/>
      <c r="VM189" s="922"/>
      <c r="VN189" s="922"/>
      <c r="VO189" s="922"/>
      <c r="VP189" s="922"/>
      <c r="VQ189" s="922"/>
      <c r="VR189" s="922"/>
      <c r="VS189" s="922"/>
      <c r="VT189" s="922"/>
      <c r="VU189" s="922"/>
      <c r="VV189" s="922"/>
      <c r="VW189" s="922"/>
      <c r="VX189" s="922"/>
      <c r="VY189" s="922"/>
      <c r="VZ189" s="922"/>
      <c r="WA189" s="922"/>
      <c r="WB189" s="922"/>
      <c r="WC189" s="922"/>
      <c r="WD189" s="922"/>
      <c r="WE189" s="922"/>
      <c r="WF189" s="922"/>
      <c r="WG189" s="922"/>
      <c r="WH189" s="922"/>
      <c r="WI189" s="922"/>
      <c r="WJ189" s="922"/>
      <c r="WK189" s="922"/>
      <c r="WL189" s="922"/>
      <c r="WM189" s="922"/>
      <c r="WN189" s="922"/>
      <c r="WO189" s="922"/>
      <c r="WP189" s="922"/>
      <c r="WQ189" s="922"/>
      <c r="WR189" s="922"/>
      <c r="WS189" s="922"/>
      <c r="WT189" s="922"/>
      <c r="WU189" s="922"/>
      <c r="WV189" s="922"/>
      <c r="WW189" s="922"/>
      <c r="WX189" s="922"/>
      <c r="WY189" s="922"/>
      <c r="WZ189" s="922"/>
      <c r="XA189" s="922"/>
      <c r="XB189" s="922"/>
      <c r="XC189" s="922"/>
      <c r="XD189" s="922"/>
      <c r="XE189" s="922"/>
      <c r="XF189" s="922"/>
      <c r="XG189" s="922"/>
      <c r="XH189" s="922"/>
      <c r="XI189" s="922"/>
      <c r="XJ189" s="922"/>
      <c r="XK189" s="922"/>
      <c r="XL189" s="922"/>
      <c r="XM189" s="922"/>
      <c r="XN189" s="922"/>
      <c r="XO189" s="922"/>
      <c r="XP189" s="922"/>
      <c r="XQ189" s="922"/>
      <c r="XR189" s="922"/>
      <c r="XS189" s="922"/>
      <c r="XT189" s="922"/>
      <c r="XU189" s="922"/>
      <c r="XV189" s="922"/>
      <c r="XW189" s="922"/>
      <c r="XX189" s="922"/>
      <c r="XY189" s="922"/>
      <c r="XZ189" s="922"/>
      <c r="YA189" s="922"/>
      <c r="YB189" s="922"/>
      <c r="YC189" s="922"/>
      <c r="YD189" s="922"/>
      <c r="YE189" s="922"/>
      <c r="YF189" s="922"/>
      <c r="YG189" s="922"/>
      <c r="YH189" s="922"/>
      <c r="YI189" s="922"/>
      <c r="YJ189" s="922"/>
      <c r="YK189" s="922"/>
      <c r="YL189" s="922"/>
      <c r="YM189" s="922"/>
      <c r="YN189" s="922"/>
      <c r="YO189" s="922"/>
      <c r="YP189" s="922"/>
      <c r="YQ189" s="922"/>
      <c r="YR189" s="922"/>
      <c r="YS189" s="922"/>
      <c r="YT189" s="922"/>
      <c r="YU189" s="922"/>
      <c r="YV189" s="922"/>
      <c r="YW189" s="922"/>
      <c r="YX189" s="922"/>
      <c r="YY189" s="922"/>
      <c r="YZ189" s="922"/>
      <c r="ZA189" s="922"/>
      <c r="ZB189" s="922"/>
      <c r="ZC189" s="922"/>
      <c r="ZD189" s="922"/>
      <c r="ZE189" s="922"/>
      <c r="ZF189" s="922"/>
      <c r="ZG189" s="922"/>
      <c r="ZH189" s="922"/>
      <c r="ZI189" s="922"/>
      <c r="ZJ189" s="922"/>
      <c r="ZK189" s="922"/>
      <c r="ZL189" s="922"/>
      <c r="ZM189" s="922"/>
      <c r="ZN189" s="922"/>
      <c r="ZO189" s="922"/>
      <c r="ZP189" s="922"/>
      <c r="ZQ189" s="922"/>
      <c r="ZR189" s="922"/>
      <c r="ZS189" s="922"/>
      <c r="ZT189" s="922"/>
      <c r="ZU189" s="922"/>
      <c r="ZV189" s="922"/>
      <c r="ZW189" s="922"/>
      <c r="ZX189" s="922"/>
      <c r="ZY189" s="922"/>
      <c r="ZZ189" s="922"/>
      <c r="AAA189" s="922"/>
      <c r="AAB189" s="922"/>
      <c r="AAC189" s="922"/>
      <c r="AAD189" s="922"/>
      <c r="AAE189" s="922"/>
      <c r="AAF189" s="922"/>
      <c r="AAG189" s="922"/>
      <c r="AAH189" s="922"/>
      <c r="AAI189" s="922"/>
      <c r="AAJ189" s="922"/>
      <c r="AAK189" s="922"/>
      <c r="AAL189" s="922"/>
      <c r="AAM189" s="922"/>
      <c r="AAN189" s="922"/>
      <c r="AAO189" s="922"/>
      <c r="AAP189" s="922"/>
      <c r="AAQ189" s="922"/>
      <c r="AAR189" s="922"/>
      <c r="AAS189" s="922"/>
      <c r="AAT189" s="922"/>
      <c r="AAU189" s="922"/>
      <c r="AAV189" s="922"/>
      <c r="AAW189" s="922"/>
      <c r="AAX189" s="922"/>
      <c r="AAY189" s="922"/>
      <c r="AAZ189" s="922"/>
      <c r="ABA189" s="922"/>
      <c r="ABB189" s="922"/>
      <c r="ABC189" s="922"/>
      <c r="ABD189" s="922"/>
      <c r="ABE189" s="922"/>
      <c r="ABF189" s="922"/>
      <c r="ABG189" s="922"/>
      <c r="ABH189" s="922"/>
      <c r="ABI189" s="922"/>
      <c r="ABJ189" s="922"/>
      <c r="ABK189" s="922"/>
      <c r="ABL189" s="922"/>
      <c r="ABM189" s="922"/>
      <c r="ABN189" s="922"/>
      <c r="ABO189" s="922"/>
      <c r="ABP189" s="922"/>
      <c r="ABQ189" s="922"/>
      <c r="ABR189" s="922"/>
      <c r="ABS189" s="922"/>
      <c r="ABT189" s="922"/>
      <c r="ABU189" s="922"/>
      <c r="ABV189" s="922"/>
      <c r="ABW189" s="922"/>
      <c r="ABX189" s="922"/>
      <c r="ABY189" s="922"/>
      <c r="ABZ189" s="922"/>
      <c r="ACA189" s="922"/>
      <c r="ACB189" s="922"/>
      <c r="ACC189" s="922"/>
      <c r="ACD189" s="922"/>
      <c r="ACE189" s="922"/>
      <c r="ACF189" s="922"/>
      <c r="ACG189" s="922"/>
      <c r="ACH189" s="922"/>
      <c r="ACI189" s="922"/>
      <c r="ACJ189" s="922"/>
      <c r="ACK189" s="922"/>
      <c r="ACL189" s="922"/>
      <c r="ACM189" s="922"/>
      <c r="ACN189" s="922"/>
      <c r="ACO189" s="922"/>
      <c r="ACP189" s="922"/>
      <c r="ACQ189" s="922"/>
      <c r="ACR189" s="922"/>
      <c r="ACS189" s="922"/>
      <c r="ACT189" s="922"/>
      <c r="ACU189" s="922"/>
      <c r="ACV189" s="922"/>
      <c r="ACW189" s="922"/>
      <c r="ACX189" s="922"/>
      <c r="ACY189" s="922"/>
      <c r="ACZ189" s="922"/>
      <c r="ADA189" s="922"/>
      <c r="ADB189" s="922"/>
      <c r="ADC189" s="922"/>
      <c r="ADD189" s="922"/>
      <c r="ADE189" s="922"/>
      <c r="ADF189" s="922"/>
      <c r="ADG189" s="922"/>
      <c r="ADH189" s="922"/>
      <c r="ADI189" s="922"/>
      <c r="ADJ189" s="922"/>
      <c r="ADK189" s="922"/>
      <c r="ADL189" s="922"/>
      <c r="ADM189" s="922"/>
      <c r="ADN189" s="922"/>
      <c r="ADO189" s="922"/>
      <c r="ADP189" s="922"/>
      <c r="ADQ189" s="922"/>
      <c r="ADR189" s="922"/>
      <c r="ADS189" s="922"/>
      <c r="ADT189" s="922"/>
      <c r="ADU189" s="922"/>
      <c r="ADV189" s="922"/>
      <c r="ADW189" s="922"/>
      <c r="ADX189" s="922"/>
      <c r="ADY189" s="922"/>
      <c r="ADZ189" s="922"/>
      <c r="AEA189" s="922"/>
      <c r="AEB189" s="922"/>
      <c r="AEC189" s="922"/>
      <c r="AED189" s="922"/>
      <c r="AEE189" s="922"/>
      <c r="AEF189" s="922"/>
      <c r="AEG189" s="922"/>
      <c r="AEH189" s="922"/>
      <c r="AEI189" s="922"/>
      <c r="AEJ189" s="922"/>
      <c r="AEK189" s="922"/>
      <c r="AEL189" s="922"/>
      <c r="AEM189" s="922"/>
      <c r="AEN189" s="922"/>
      <c r="AEO189" s="922"/>
      <c r="AEP189" s="922"/>
      <c r="AEQ189" s="922"/>
      <c r="AER189" s="922"/>
      <c r="AES189" s="922"/>
      <c r="AET189" s="922"/>
      <c r="AEU189" s="922"/>
      <c r="AEV189" s="922"/>
      <c r="AEW189" s="922"/>
      <c r="AEX189" s="922"/>
      <c r="AEY189" s="922"/>
      <c r="AEZ189" s="922"/>
      <c r="AFA189" s="922"/>
      <c r="AFB189" s="922"/>
      <c r="AFC189" s="922"/>
      <c r="AFD189" s="922"/>
      <c r="AFE189" s="922"/>
      <c r="AFF189" s="922"/>
      <c r="AFG189" s="922"/>
      <c r="AFH189" s="922"/>
      <c r="AFI189" s="922"/>
      <c r="AFJ189" s="922"/>
      <c r="AFK189" s="922"/>
      <c r="AFL189" s="922"/>
      <c r="AFM189" s="922"/>
      <c r="AFN189" s="922"/>
      <c r="AFO189" s="922"/>
      <c r="AFP189" s="922"/>
      <c r="AFQ189" s="922"/>
      <c r="AFR189" s="922"/>
      <c r="AFS189" s="922"/>
      <c r="AFT189" s="922"/>
      <c r="AFU189" s="922"/>
      <c r="AFV189" s="922"/>
      <c r="AFW189" s="922"/>
      <c r="AFX189" s="922"/>
      <c r="AFY189" s="922"/>
      <c r="AFZ189" s="922"/>
      <c r="AGA189" s="922"/>
      <c r="AGB189" s="922"/>
      <c r="AGC189" s="922"/>
      <c r="AGD189" s="922"/>
      <c r="AGE189" s="922"/>
      <c r="AGF189" s="922"/>
      <c r="AGG189" s="922"/>
      <c r="AGH189" s="922"/>
      <c r="AGI189" s="922"/>
      <c r="AGJ189" s="922"/>
      <c r="AGK189" s="922"/>
      <c r="AGL189" s="922"/>
      <c r="AGM189" s="922"/>
      <c r="AGN189" s="922"/>
      <c r="AGO189" s="922"/>
      <c r="AGP189" s="922"/>
      <c r="AGQ189" s="922"/>
      <c r="AGR189" s="922"/>
      <c r="AGS189" s="922"/>
      <c r="AGT189" s="922"/>
      <c r="AGU189" s="922"/>
      <c r="AGV189" s="922"/>
      <c r="AGW189" s="922"/>
      <c r="AGX189" s="922"/>
      <c r="AGY189" s="922"/>
      <c r="AGZ189" s="922"/>
      <c r="AHA189" s="922"/>
      <c r="AHB189" s="922"/>
      <c r="AHC189" s="922"/>
      <c r="AHD189" s="922"/>
      <c r="AHE189" s="922"/>
      <c r="AHF189" s="922"/>
      <c r="AHG189" s="922"/>
      <c r="AHH189" s="922"/>
      <c r="AHI189" s="922"/>
      <c r="AHJ189" s="922"/>
      <c r="AHK189" s="922"/>
      <c r="AHL189" s="922"/>
      <c r="AHM189" s="922"/>
      <c r="AHN189" s="922"/>
      <c r="AHO189" s="922"/>
      <c r="AHP189" s="922"/>
      <c r="AHQ189" s="922"/>
      <c r="AHR189" s="922"/>
      <c r="AHS189" s="922"/>
      <c r="AHT189" s="922"/>
      <c r="AHU189" s="922"/>
      <c r="AHV189" s="922"/>
      <c r="AHW189" s="922"/>
      <c r="AHX189" s="922"/>
      <c r="AHY189" s="922"/>
      <c r="AHZ189" s="922"/>
      <c r="AIA189" s="922"/>
      <c r="AIB189" s="922"/>
      <c r="AIC189" s="922"/>
      <c r="AID189" s="922"/>
      <c r="AIE189" s="922"/>
      <c r="AIF189" s="922"/>
      <c r="AIG189" s="922"/>
      <c r="AIH189" s="922"/>
      <c r="AII189" s="922"/>
      <c r="AIJ189" s="922"/>
      <c r="AIK189" s="922"/>
      <c r="AIL189" s="922"/>
      <c r="AIM189" s="922"/>
      <c r="AIN189" s="922"/>
      <c r="AIO189" s="922"/>
      <c r="AIP189" s="922"/>
      <c r="AIQ189" s="922"/>
      <c r="AIR189" s="922"/>
      <c r="AIS189" s="922"/>
      <c r="AIT189" s="922"/>
      <c r="AIU189" s="922"/>
      <c r="AIV189" s="922"/>
      <c r="AIW189" s="922"/>
      <c r="AIX189" s="922"/>
      <c r="AIY189" s="922"/>
      <c r="AIZ189" s="922"/>
      <c r="AJA189" s="922"/>
      <c r="AJB189" s="922"/>
      <c r="AJC189" s="922"/>
      <c r="AJD189" s="922"/>
      <c r="AJE189" s="922"/>
      <c r="AJF189" s="922"/>
      <c r="AJG189" s="922"/>
      <c r="AJH189" s="922"/>
      <c r="AJI189" s="922"/>
      <c r="AJJ189" s="922"/>
      <c r="AJK189" s="922"/>
      <c r="AJL189" s="922"/>
      <c r="AJM189" s="922"/>
      <c r="AJN189" s="922"/>
      <c r="AJO189" s="922"/>
      <c r="AJP189" s="922"/>
      <c r="AJQ189" s="922"/>
      <c r="AJR189" s="922"/>
      <c r="AJS189" s="922"/>
      <c r="AJT189" s="922"/>
      <c r="AJU189" s="922"/>
      <c r="AJV189" s="922"/>
      <c r="AJW189" s="922"/>
      <c r="AJX189" s="922"/>
      <c r="AJY189" s="922"/>
      <c r="AJZ189" s="922"/>
      <c r="AKA189" s="922"/>
      <c r="AKB189" s="922"/>
      <c r="AKC189" s="922"/>
      <c r="AKD189" s="922"/>
      <c r="AKE189" s="922"/>
      <c r="AKF189" s="922"/>
      <c r="AKG189" s="922"/>
      <c r="AKH189" s="922"/>
      <c r="AKI189" s="922"/>
      <c r="AKJ189" s="922"/>
      <c r="AKK189" s="922"/>
      <c r="AKL189" s="922"/>
      <c r="AKM189" s="922"/>
      <c r="AKN189" s="922"/>
      <c r="AKO189" s="922"/>
      <c r="AKP189" s="922"/>
      <c r="AKQ189" s="922"/>
      <c r="AKR189" s="922"/>
      <c r="AKS189" s="922"/>
      <c r="AKT189" s="922"/>
      <c r="AKU189" s="922"/>
      <c r="AKV189" s="922"/>
      <c r="AKW189" s="922"/>
      <c r="AKX189" s="922"/>
      <c r="AKY189" s="922"/>
      <c r="AKZ189" s="922"/>
      <c r="ALA189" s="922"/>
      <c r="ALB189" s="922"/>
      <c r="ALC189" s="922"/>
      <c r="ALD189" s="922"/>
      <c r="ALE189" s="922"/>
      <c r="ALF189" s="922"/>
      <c r="ALG189" s="922"/>
      <c r="ALH189" s="922"/>
      <c r="ALI189" s="922"/>
      <c r="ALJ189" s="922"/>
      <c r="ALK189" s="922"/>
      <c r="ALL189" s="922"/>
      <c r="ALM189" s="922"/>
      <c r="ALN189" s="922"/>
      <c r="ALO189" s="922"/>
      <c r="ALP189" s="922"/>
      <c r="ALQ189" s="922"/>
      <c r="ALR189" s="922"/>
      <c r="ALS189" s="922"/>
      <c r="ALT189" s="922"/>
      <c r="ALU189" s="922"/>
      <c r="ALV189" s="922"/>
      <c r="ALW189" s="922"/>
      <c r="ALX189" s="922"/>
      <c r="ALY189" s="922"/>
      <c r="ALZ189" s="922"/>
      <c r="AMA189" s="922"/>
      <c r="AMB189" s="922"/>
      <c r="AMC189" s="922"/>
      <c r="AMD189" s="922"/>
      <c r="AME189" s="922"/>
      <c r="AMF189" s="922"/>
      <c r="AMG189" s="922"/>
      <c r="AMH189" s="922"/>
      <c r="AMI189" s="922"/>
      <c r="AMJ189" s="922"/>
      <c r="AMK189" s="922"/>
      <c r="AML189" s="922"/>
      <c r="AMM189" s="922"/>
      <c r="AMN189" s="922"/>
      <c r="AMO189" s="922"/>
      <c r="AMP189" s="922"/>
      <c r="AMQ189" s="922"/>
      <c r="AMR189" s="922"/>
      <c r="AMS189" s="922"/>
      <c r="AMT189" s="922"/>
      <c r="AMU189" s="922"/>
      <c r="AMV189" s="922"/>
      <c r="AMW189" s="922"/>
      <c r="AMX189" s="922"/>
      <c r="AMY189" s="922"/>
      <c r="AMZ189" s="922"/>
      <c r="ANA189" s="922"/>
      <c r="ANB189" s="922"/>
      <c r="ANC189" s="922"/>
      <c r="AND189" s="922"/>
      <c r="ANE189" s="922"/>
      <c r="ANF189" s="922"/>
      <c r="ANG189" s="922"/>
      <c r="ANH189" s="922"/>
      <c r="ANI189" s="922"/>
      <c r="ANJ189" s="922"/>
      <c r="ANK189" s="922"/>
      <c r="ANL189" s="922"/>
      <c r="ANM189" s="922"/>
      <c r="ANN189" s="922"/>
      <c r="ANO189" s="922"/>
      <c r="ANP189" s="922"/>
      <c r="ANQ189" s="922"/>
      <c r="ANR189" s="922"/>
      <c r="ANS189" s="922"/>
      <c r="ANT189" s="922"/>
      <c r="ANU189" s="922"/>
      <c r="ANV189" s="922"/>
      <c r="ANW189" s="922"/>
      <c r="ANX189" s="922"/>
      <c r="ANY189" s="922"/>
      <c r="ANZ189" s="922"/>
      <c r="AOA189" s="922"/>
      <c r="AOB189" s="922"/>
      <c r="AOC189" s="922"/>
      <c r="AOD189" s="922"/>
      <c r="AOE189" s="922"/>
      <c r="AOF189" s="922"/>
      <c r="AOG189" s="922"/>
      <c r="AOH189" s="922"/>
      <c r="AOI189" s="922"/>
      <c r="AOJ189" s="922"/>
      <c r="AOK189" s="922"/>
      <c r="AOL189" s="922"/>
      <c r="AOM189" s="922"/>
      <c r="AON189" s="922"/>
      <c r="AOO189" s="922"/>
      <c r="AOP189" s="922"/>
      <c r="AOQ189" s="922"/>
      <c r="AOR189" s="922"/>
      <c r="AOS189" s="922"/>
      <c r="AOT189" s="922"/>
      <c r="AOU189" s="922"/>
      <c r="AOV189" s="922"/>
      <c r="AOW189" s="922"/>
      <c r="AOX189" s="922"/>
      <c r="AOY189" s="922"/>
      <c r="AOZ189" s="922"/>
      <c r="APA189" s="922"/>
      <c r="APB189" s="922"/>
      <c r="APC189" s="922"/>
      <c r="APD189" s="922"/>
      <c r="APE189" s="922"/>
      <c r="APF189" s="922"/>
      <c r="APG189" s="922"/>
      <c r="APH189" s="922"/>
      <c r="API189" s="922"/>
      <c r="APJ189" s="922"/>
      <c r="APK189" s="922"/>
      <c r="APL189" s="922"/>
      <c r="APM189" s="922"/>
      <c r="APN189" s="922"/>
      <c r="APO189" s="922"/>
      <c r="APP189" s="922"/>
      <c r="APQ189" s="922"/>
      <c r="APR189" s="922"/>
      <c r="APS189" s="922"/>
      <c r="APT189" s="922"/>
      <c r="APU189" s="922"/>
      <c r="APV189" s="922"/>
      <c r="APW189" s="922"/>
      <c r="APX189" s="922"/>
      <c r="APY189" s="922"/>
      <c r="APZ189" s="922"/>
      <c r="AQA189" s="922"/>
      <c r="AQB189" s="922"/>
      <c r="AQC189" s="922"/>
      <c r="AQD189" s="922"/>
      <c r="AQE189" s="922"/>
      <c r="AQF189" s="922"/>
      <c r="AQG189" s="922"/>
      <c r="AQH189" s="922"/>
      <c r="AQI189" s="922"/>
      <c r="AQJ189" s="922"/>
      <c r="AQK189" s="922"/>
      <c r="AQL189" s="922"/>
      <c r="AQM189" s="922"/>
      <c r="AQN189" s="922"/>
      <c r="AQO189" s="922"/>
      <c r="AQP189" s="922"/>
      <c r="AQQ189" s="922"/>
      <c r="AQR189" s="922"/>
      <c r="AQS189" s="922"/>
      <c r="AQT189" s="922"/>
      <c r="AQU189" s="922"/>
      <c r="AQV189" s="922"/>
      <c r="AQW189" s="922"/>
      <c r="AQX189" s="922"/>
      <c r="AQY189" s="922"/>
      <c r="AQZ189" s="922"/>
      <c r="ARA189" s="922"/>
      <c r="ARB189" s="922"/>
      <c r="ARC189" s="922"/>
      <c r="ARD189" s="922"/>
      <c r="ARE189" s="922"/>
      <c r="ARF189" s="922"/>
      <c r="ARG189" s="922"/>
      <c r="ARH189" s="922"/>
      <c r="ARI189" s="922"/>
      <c r="ARJ189" s="922"/>
      <c r="ARK189" s="922"/>
      <c r="ARL189" s="922"/>
      <c r="ARM189" s="922"/>
      <c r="ARN189" s="922"/>
      <c r="ARO189" s="922"/>
      <c r="ARP189" s="922"/>
      <c r="ARQ189" s="922"/>
      <c r="ARR189" s="922"/>
      <c r="ARS189" s="922"/>
      <c r="ART189" s="922"/>
      <c r="ARU189" s="922"/>
      <c r="ARV189" s="922"/>
      <c r="ARW189" s="922"/>
      <c r="ARX189" s="922"/>
      <c r="ARY189" s="922"/>
      <c r="ARZ189" s="922"/>
      <c r="ASA189" s="922"/>
      <c r="ASB189" s="922"/>
      <c r="ASC189" s="922"/>
    </row>
    <row r="190" spans="1:1173" hidden="1">
      <c r="T190" s="922"/>
      <c r="AN190" s="922"/>
      <c r="AO190" s="922"/>
      <c r="AP190" s="922"/>
      <c r="AQ190" s="922"/>
      <c r="AR190" s="922"/>
      <c r="AS190" s="922"/>
      <c r="AT190" s="922"/>
      <c r="AU190" s="922"/>
      <c r="AV190" s="922"/>
      <c r="AW190" s="922"/>
      <c r="AX190" s="922"/>
      <c r="AY190" s="922"/>
      <c r="AZ190" s="922"/>
      <c r="BA190" s="922"/>
      <c r="BB190" s="922"/>
      <c r="BC190" s="922"/>
      <c r="BD190" s="922"/>
      <c r="BE190" s="922"/>
      <c r="BF190" s="922"/>
      <c r="BG190" s="922"/>
      <c r="BH190" s="922"/>
      <c r="BI190" s="922"/>
      <c r="BJ190" s="922"/>
      <c r="BK190" s="922"/>
      <c r="BL190" s="922"/>
      <c r="BM190" s="922"/>
      <c r="BN190" s="922"/>
      <c r="BO190" s="922"/>
      <c r="BP190" s="922"/>
      <c r="BQ190" s="922"/>
      <c r="BR190" s="922"/>
      <c r="BS190" s="922"/>
      <c r="BT190" s="922"/>
      <c r="BU190" s="922"/>
      <c r="BV190" s="922"/>
      <c r="BW190" s="922"/>
      <c r="BX190" s="922"/>
      <c r="BY190" s="922"/>
      <c r="BZ190" s="922"/>
      <c r="CA190" s="922"/>
      <c r="CB190" s="922"/>
      <c r="CC190" s="922"/>
      <c r="CD190" s="922"/>
      <c r="CE190" s="922"/>
      <c r="CF190" s="922"/>
      <c r="CG190" s="922"/>
      <c r="CH190" s="922"/>
      <c r="CI190" s="922"/>
      <c r="CJ190" s="922"/>
      <c r="CK190" s="922"/>
      <c r="CL190" s="922"/>
      <c r="CM190" s="922"/>
      <c r="CN190" s="922"/>
      <c r="CO190" s="922"/>
      <c r="CP190" s="922"/>
      <c r="CQ190" s="922"/>
      <c r="CR190" s="922"/>
      <c r="CS190" s="922"/>
      <c r="CT190" s="922"/>
      <c r="CU190" s="922"/>
      <c r="CV190" s="922"/>
      <c r="CW190" s="922"/>
      <c r="CX190" s="922"/>
      <c r="CY190" s="922"/>
      <c r="CZ190" s="922"/>
      <c r="DA190" s="922"/>
      <c r="DB190" s="922"/>
      <c r="DC190" s="922"/>
      <c r="DD190" s="922"/>
      <c r="DE190" s="922"/>
      <c r="DF190" s="922"/>
      <c r="DG190" s="922"/>
      <c r="DH190" s="922"/>
      <c r="DI190" s="922"/>
      <c r="DJ190" s="922"/>
      <c r="DK190" s="922"/>
      <c r="DL190" s="922"/>
      <c r="DM190" s="922"/>
      <c r="DN190" s="922"/>
      <c r="DO190" s="922"/>
      <c r="DP190" s="922"/>
      <c r="DQ190" s="922"/>
      <c r="DR190" s="922"/>
      <c r="DS190" s="922"/>
      <c r="DT190" s="922"/>
      <c r="DU190" s="922"/>
      <c r="DV190" s="922"/>
      <c r="DW190" s="922"/>
      <c r="DX190" s="922"/>
      <c r="DY190" s="922"/>
      <c r="DZ190" s="922"/>
      <c r="EA190" s="922"/>
      <c r="EB190" s="922"/>
      <c r="EC190" s="922"/>
      <c r="ED190" s="922"/>
      <c r="EE190" s="922"/>
      <c r="EF190" s="922"/>
      <c r="EG190" s="922"/>
      <c r="EH190" s="922"/>
      <c r="EI190" s="922"/>
      <c r="EJ190" s="922"/>
      <c r="EK190" s="922"/>
      <c r="EL190" s="922"/>
      <c r="EM190" s="922"/>
      <c r="EN190" s="922"/>
      <c r="EO190" s="922"/>
      <c r="EP190" s="922"/>
      <c r="EQ190" s="922"/>
      <c r="ER190" s="922"/>
      <c r="ES190" s="922"/>
      <c r="ET190" s="922"/>
      <c r="EU190" s="922"/>
      <c r="EV190" s="922"/>
      <c r="EW190" s="922"/>
      <c r="EX190" s="922"/>
      <c r="EY190" s="922"/>
      <c r="EZ190" s="922"/>
      <c r="FA190" s="922"/>
      <c r="FB190" s="922"/>
      <c r="FC190" s="922"/>
      <c r="FD190" s="922"/>
      <c r="FE190" s="922"/>
      <c r="FF190" s="922"/>
      <c r="FG190" s="922"/>
      <c r="FH190" s="922"/>
      <c r="FI190" s="922"/>
      <c r="FJ190" s="922"/>
      <c r="FK190" s="922"/>
      <c r="FL190" s="922"/>
      <c r="FM190" s="922"/>
      <c r="FN190" s="922"/>
      <c r="FO190" s="922"/>
      <c r="FP190" s="922"/>
      <c r="FQ190" s="922"/>
      <c r="FR190" s="922"/>
      <c r="FS190" s="922"/>
      <c r="FT190" s="922"/>
      <c r="FU190" s="922"/>
      <c r="FV190" s="922"/>
      <c r="FW190" s="922"/>
      <c r="FX190" s="922"/>
      <c r="FY190" s="922"/>
      <c r="FZ190" s="922"/>
      <c r="GA190" s="922"/>
      <c r="GB190" s="922"/>
      <c r="GC190" s="922"/>
      <c r="GD190" s="922"/>
      <c r="GE190" s="922"/>
      <c r="GF190" s="922"/>
      <c r="GG190" s="922"/>
      <c r="GH190" s="922"/>
      <c r="GI190" s="922"/>
      <c r="GJ190" s="922"/>
      <c r="GK190" s="922"/>
      <c r="GL190" s="922"/>
      <c r="GM190" s="922"/>
      <c r="GN190" s="922"/>
      <c r="GO190" s="922"/>
      <c r="GP190" s="922"/>
      <c r="GQ190" s="922"/>
      <c r="GR190" s="922"/>
      <c r="GS190" s="922"/>
      <c r="GT190" s="922"/>
      <c r="GU190" s="922"/>
      <c r="GV190" s="922"/>
      <c r="GW190" s="922"/>
      <c r="GX190" s="922"/>
      <c r="GY190" s="922"/>
      <c r="GZ190" s="922"/>
      <c r="HA190" s="922"/>
      <c r="HB190" s="922"/>
      <c r="HC190" s="922"/>
      <c r="HD190" s="922"/>
      <c r="HE190" s="922"/>
      <c r="HF190" s="922"/>
      <c r="HG190" s="922"/>
      <c r="HH190" s="922"/>
      <c r="HI190" s="922"/>
      <c r="HJ190" s="922"/>
      <c r="HK190" s="922"/>
      <c r="HL190" s="922"/>
      <c r="HM190" s="922"/>
      <c r="HN190" s="922"/>
      <c r="HO190" s="922"/>
      <c r="HP190" s="922"/>
      <c r="HQ190" s="922"/>
      <c r="HR190" s="922"/>
      <c r="HS190" s="922"/>
      <c r="HT190" s="922"/>
      <c r="HU190" s="922"/>
      <c r="HV190" s="922"/>
      <c r="HW190" s="922"/>
      <c r="HX190" s="922"/>
      <c r="HY190" s="922"/>
      <c r="HZ190" s="922"/>
      <c r="IA190" s="922"/>
      <c r="IB190" s="922"/>
      <c r="IC190" s="922"/>
      <c r="ID190" s="922"/>
      <c r="IE190" s="922"/>
      <c r="IF190" s="922"/>
      <c r="IG190" s="922"/>
      <c r="IH190" s="922"/>
      <c r="II190" s="922"/>
      <c r="IJ190" s="922"/>
      <c r="IK190" s="922"/>
      <c r="IL190" s="922"/>
      <c r="IM190" s="922"/>
      <c r="IN190" s="922"/>
      <c r="IO190" s="922"/>
      <c r="IP190" s="922"/>
      <c r="IQ190" s="922"/>
      <c r="IR190" s="922"/>
      <c r="IS190" s="922"/>
      <c r="IT190" s="922"/>
      <c r="IU190" s="922"/>
      <c r="IV190" s="922"/>
      <c r="IW190" s="922"/>
      <c r="IX190" s="922"/>
      <c r="IY190" s="922"/>
      <c r="IZ190" s="922"/>
      <c r="JA190" s="922"/>
      <c r="JB190" s="922"/>
      <c r="JC190" s="922"/>
      <c r="JD190" s="922"/>
      <c r="JE190" s="922"/>
      <c r="JF190" s="922"/>
      <c r="JG190" s="922"/>
      <c r="JH190" s="922"/>
      <c r="JI190" s="922"/>
      <c r="JJ190" s="922"/>
      <c r="JK190" s="922"/>
      <c r="JL190" s="922"/>
      <c r="JM190" s="922"/>
      <c r="JN190" s="922"/>
      <c r="JO190" s="922"/>
      <c r="JP190" s="922"/>
      <c r="JQ190" s="922"/>
      <c r="JR190" s="922"/>
      <c r="JS190" s="922"/>
      <c r="JT190" s="922"/>
      <c r="JU190" s="922"/>
      <c r="JV190" s="922"/>
      <c r="JW190" s="922"/>
      <c r="JX190" s="922"/>
      <c r="JY190" s="922"/>
      <c r="JZ190" s="922"/>
      <c r="KA190" s="922"/>
      <c r="KB190" s="922"/>
      <c r="KC190" s="922"/>
      <c r="KD190" s="922"/>
      <c r="KE190" s="922"/>
      <c r="KF190" s="922"/>
      <c r="KG190" s="922"/>
      <c r="KH190" s="922"/>
      <c r="KI190" s="922"/>
      <c r="KJ190" s="922"/>
      <c r="KK190" s="922"/>
      <c r="KL190" s="922"/>
      <c r="KM190" s="922"/>
      <c r="KN190" s="922"/>
      <c r="KO190" s="922"/>
      <c r="KP190" s="922"/>
      <c r="KQ190" s="922"/>
      <c r="KR190" s="922"/>
      <c r="KS190" s="922"/>
      <c r="KT190" s="922"/>
      <c r="KU190" s="922"/>
      <c r="KV190" s="922"/>
      <c r="KW190" s="922"/>
      <c r="KX190" s="922"/>
      <c r="KY190" s="922"/>
      <c r="KZ190" s="922"/>
      <c r="LA190" s="922"/>
      <c r="LB190" s="922"/>
      <c r="LC190" s="922"/>
      <c r="LD190" s="922"/>
      <c r="LE190" s="922"/>
      <c r="LF190" s="922"/>
      <c r="LG190" s="922"/>
      <c r="LH190" s="922"/>
      <c r="LI190" s="922"/>
      <c r="LJ190" s="922"/>
      <c r="LK190" s="922"/>
      <c r="LL190" s="922"/>
      <c r="LM190" s="922"/>
      <c r="LN190" s="922"/>
      <c r="LO190" s="922"/>
      <c r="LP190" s="922"/>
      <c r="LQ190" s="922"/>
      <c r="LR190" s="922"/>
      <c r="LS190" s="922"/>
      <c r="LT190" s="922"/>
      <c r="LU190" s="922"/>
      <c r="LV190" s="922"/>
      <c r="LW190" s="922"/>
      <c r="LX190" s="922"/>
      <c r="LY190" s="922"/>
      <c r="LZ190" s="922"/>
      <c r="MA190" s="922"/>
      <c r="MB190" s="922"/>
      <c r="MC190" s="922"/>
      <c r="MD190" s="922"/>
      <c r="ME190" s="922"/>
      <c r="MF190" s="922"/>
      <c r="MG190" s="922"/>
      <c r="MH190" s="922"/>
      <c r="MI190" s="922"/>
      <c r="MJ190" s="922"/>
      <c r="MK190" s="922"/>
      <c r="ML190" s="922"/>
      <c r="MM190" s="922"/>
      <c r="MN190" s="922"/>
      <c r="MO190" s="922"/>
      <c r="MP190" s="922"/>
      <c r="MQ190" s="922"/>
      <c r="MR190" s="922"/>
      <c r="MS190" s="922"/>
      <c r="MT190" s="922"/>
      <c r="MU190" s="922"/>
      <c r="MV190" s="922"/>
      <c r="MW190" s="922"/>
      <c r="MX190" s="922"/>
      <c r="MY190" s="922"/>
      <c r="MZ190" s="922"/>
      <c r="NA190" s="922"/>
      <c r="NB190" s="922"/>
      <c r="NC190" s="922"/>
      <c r="ND190" s="922"/>
      <c r="NE190" s="922"/>
      <c r="NF190" s="922"/>
      <c r="NG190" s="922"/>
      <c r="NH190" s="922"/>
      <c r="NI190" s="922"/>
      <c r="NJ190" s="922"/>
      <c r="NK190" s="922"/>
      <c r="NL190" s="922"/>
      <c r="NM190" s="922"/>
      <c r="NN190" s="922"/>
      <c r="NO190" s="922"/>
      <c r="NP190" s="922"/>
      <c r="NQ190" s="922"/>
      <c r="NR190" s="922"/>
      <c r="NS190" s="922"/>
      <c r="NT190" s="922"/>
      <c r="NU190" s="922"/>
      <c r="NV190" s="922"/>
      <c r="NW190" s="922"/>
      <c r="NX190" s="922"/>
      <c r="NY190" s="922"/>
      <c r="NZ190" s="922"/>
      <c r="OA190" s="922"/>
      <c r="OB190" s="922"/>
      <c r="OC190" s="922"/>
      <c r="OD190" s="922"/>
      <c r="OE190" s="922"/>
      <c r="OF190" s="922"/>
      <c r="OG190" s="922"/>
      <c r="OH190" s="922"/>
      <c r="OI190" s="922"/>
      <c r="OJ190" s="922"/>
      <c r="OK190" s="922"/>
      <c r="OL190" s="922"/>
      <c r="OM190" s="922"/>
      <c r="ON190" s="922"/>
      <c r="OO190" s="922"/>
      <c r="OP190" s="922"/>
      <c r="OQ190" s="922"/>
      <c r="OR190" s="922"/>
      <c r="OS190" s="922"/>
      <c r="OT190" s="922"/>
      <c r="OU190" s="922"/>
      <c r="OV190" s="922"/>
      <c r="OW190" s="922"/>
      <c r="OX190" s="922"/>
      <c r="OY190" s="922"/>
      <c r="OZ190" s="922"/>
      <c r="PA190" s="922"/>
      <c r="PB190" s="922"/>
      <c r="PC190" s="922"/>
      <c r="PD190" s="922"/>
      <c r="PE190" s="922"/>
      <c r="PF190" s="922"/>
      <c r="PG190" s="922"/>
      <c r="PH190" s="922"/>
      <c r="PI190" s="922"/>
      <c r="PJ190" s="922"/>
      <c r="PK190" s="922"/>
      <c r="PL190" s="922"/>
      <c r="PM190" s="922"/>
      <c r="PN190" s="922"/>
      <c r="PO190" s="922"/>
      <c r="PP190" s="922"/>
      <c r="PQ190" s="922"/>
      <c r="PR190" s="922"/>
      <c r="PS190" s="922"/>
      <c r="PT190" s="922"/>
      <c r="PU190" s="922"/>
      <c r="PV190" s="922"/>
      <c r="PW190" s="922"/>
      <c r="PX190" s="922"/>
      <c r="PY190" s="922"/>
      <c r="PZ190" s="922"/>
      <c r="QA190" s="922"/>
      <c r="QB190" s="922"/>
      <c r="QC190" s="922"/>
      <c r="QD190" s="922"/>
      <c r="QE190" s="922"/>
      <c r="QF190" s="922"/>
      <c r="QG190" s="922"/>
      <c r="QH190" s="922"/>
      <c r="QI190" s="922"/>
      <c r="QJ190" s="922"/>
      <c r="QK190" s="922"/>
      <c r="QL190" s="922"/>
      <c r="QM190" s="922"/>
      <c r="QN190" s="922"/>
      <c r="QO190" s="922"/>
      <c r="QP190" s="922"/>
      <c r="QQ190" s="922"/>
      <c r="QR190" s="922"/>
      <c r="QS190" s="922"/>
      <c r="QT190" s="922"/>
      <c r="QU190" s="922"/>
      <c r="QV190" s="922"/>
      <c r="QW190" s="922"/>
      <c r="QX190" s="922"/>
      <c r="QY190" s="922"/>
      <c r="QZ190" s="922"/>
      <c r="RA190" s="922"/>
      <c r="RB190" s="922"/>
      <c r="RC190" s="922"/>
      <c r="RD190" s="922"/>
      <c r="RE190" s="922"/>
      <c r="RF190" s="922"/>
      <c r="RG190" s="922"/>
      <c r="RH190" s="922"/>
      <c r="RI190" s="922"/>
      <c r="RJ190" s="922"/>
      <c r="RK190" s="922"/>
      <c r="RL190" s="922"/>
      <c r="RM190" s="922"/>
      <c r="RN190" s="922"/>
      <c r="RO190" s="922"/>
      <c r="RP190" s="922"/>
      <c r="RQ190" s="922"/>
      <c r="RR190" s="922"/>
      <c r="RS190" s="922"/>
      <c r="RT190" s="922"/>
      <c r="RU190" s="922"/>
      <c r="RV190" s="922"/>
      <c r="RW190" s="922"/>
      <c r="RX190" s="922"/>
      <c r="RY190" s="922"/>
      <c r="RZ190" s="922"/>
      <c r="SA190" s="922"/>
      <c r="SB190" s="922"/>
      <c r="SC190" s="922"/>
      <c r="SD190" s="922"/>
      <c r="SE190" s="922"/>
      <c r="SF190" s="922"/>
      <c r="SG190" s="922"/>
      <c r="SH190" s="922"/>
      <c r="SI190" s="922"/>
      <c r="SJ190" s="922"/>
      <c r="SK190" s="922"/>
      <c r="SL190" s="922"/>
      <c r="SM190" s="922"/>
      <c r="SN190" s="922"/>
      <c r="SO190" s="922"/>
      <c r="SP190" s="922"/>
      <c r="SQ190" s="922"/>
      <c r="SR190" s="922"/>
      <c r="SS190" s="922"/>
      <c r="ST190" s="922"/>
      <c r="SU190" s="922"/>
      <c r="SV190" s="922"/>
      <c r="SW190" s="922"/>
      <c r="SX190" s="922"/>
      <c r="SY190" s="922"/>
      <c r="SZ190" s="922"/>
      <c r="TA190" s="922"/>
      <c r="TB190" s="922"/>
      <c r="TC190" s="922"/>
      <c r="TD190" s="922"/>
      <c r="TE190" s="922"/>
      <c r="TF190" s="922"/>
      <c r="TG190" s="922"/>
      <c r="TH190" s="922"/>
      <c r="TI190" s="922"/>
      <c r="TJ190" s="922"/>
      <c r="TK190" s="922"/>
      <c r="TL190" s="922"/>
      <c r="TM190" s="922"/>
      <c r="TN190" s="922"/>
      <c r="TO190" s="922"/>
      <c r="TP190" s="922"/>
      <c r="TQ190" s="922"/>
      <c r="TR190" s="922"/>
      <c r="TS190" s="922"/>
      <c r="TT190" s="922"/>
      <c r="TU190" s="922"/>
      <c r="TV190" s="922"/>
      <c r="TW190" s="922"/>
      <c r="TX190" s="922"/>
      <c r="TY190" s="922"/>
      <c r="TZ190" s="922"/>
      <c r="UA190" s="922"/>
      <c r="UB190" s="922"/>
      <c r="UC190" s="922"/>
      <c r="UD190" s="922"/>
      <c r="UE190" s="922"/>
      <c r="UF190" s="922"/>
      <c r="UG190" s="922"/>
      <c r="UH190" s="922"/>
      <c r="UI190" s="922"/>
      <c r="UJ190" s="922"/>
      <c r="UK190" s="922"/>
      <c r="UL190" s="922"/>
      <c r="UM190" s="922"/>
      <c r="UN190" s="922"/>
      <c r="UO190" s="922"/>
      <c r="UP190" s="922"/>
      <c r="UQ190" s="922"/>
      <c r="UR190" s="922"/>
      <c r="US190" s="922"/>
      <c r="UT190" s="922"/>
      <c r="UU190" s="922"/>
      <c r="UV190" s="922"/>
      <c r="UW190" s="922"/>
      <c r="UX190" s="922"/>
      <c r="UY190" s="922"/>
      <c r="UZ190" s="922"/>
      <c r="VA190" s="922"/>
      <c r="VB190" s="922"/>
      <c r="VC190" s="922"/>
      <c r="VD190" s="922"/>
      <c r="VE190" s="922"/>
      <c r="VF190" s="922"/>
      <c r="VG190" s="922"/>
      <c r="VH190" s="922"/>
      <c r="VI190" s="922"/>
      <c r="VJ190" s="922"/>
      <c r="VK190" s="922"/>
      <c r="VL190" s="922"/>
      <c r="VM190" s="922"/>
      <c r="VN190" s="922"/>
      <c r="VO190" s="922"/>
      <c r="VP190" s="922"/>
      <c r="VQ190" s="922"/>
      <c r="VR190" s="922"/>
      <c r="VS190" s="922"/>
      <c r="VT190" s="922"/>
      <c r="VU190" s="922"/>
      <c r="VV190" s="922"/>
      <c r="VW190" s="922"/>
      <c r="VX190" s="922"/>
      <c r="VY190" s="922"/>
      <c r="VZ190" s="922"/>
      <c r="WA190" s="922"/>
      <c r="WB190" s="922"/>
      <c r="WC190" s="922"/>
      <c r="WD190" s="922"/>
      <c r="WE190" s="922"/>
      <c r="WF190" s="922"/>
      <c r="WG190" s="922"/>
      <c r="WH190" s="922"/>
      <c r="WI190" s="922"/>
      <c r="WJ190" s="922"/>
      <c r="WK190" s="922"/>
      <c r="WL190" s="922"/>
      <c r="WM190" s="922"/>
      <c r="WN190" s="922"/>
      <c r="WO190" s="922"/>
      <c r="WP190" s="922"/>
      <c r="WQ190" s="922"/>
      <c r="WR190" s="922"/>
      <c r="WS190" s="922"/>
      <c r="WT190" s="922"/>
      <c r="WU190" s="922"/>
      <c r="WV190" s="922"/>
      <c r="WW190" s="922"/>
      <c r="WX190" s="922"/>
      <c r="WY190" s="922"/>
      <c r="WZ190" s="922"/>
      <c r="XA190" s="922"/>
      <c r="XB190" s="922"/>
      <c r="XC190" s="922"/>
      <c r="XD190" s="922"/>
      <c r="XE190" s="922"/>
      <c r="XF190" s="922"/>
      <c r="XG190" s="922"/>
      <c r="XH190" s="922"/>
      <c r="XI190" s="922"/>
      <c r="XJ190" s="922"/>
      <c r="XK190" s="922"/>
      <c r="XL190" s="922"/>
      <c r="XM190" s="922"/>
      <c r="XN190" s="922"/>
      <c r="XO190" s="922"/>
      <c r="XP190" s="922"/>
      <c r="XQ190" s="922"/>
      <c r="XR190" s="922"/>
      <c r="XS190" s="922"/>
      <c r="XT190" s="922"/>
      <c r="XU190" s="922"/>
      <c r="XV190" s="922"/>
      <c r="XW190" s="922"/>
      <c r="XX190" s="922"/>
      <c r="XY190" s="922"/>
      <c r="XZ190" s="922"/>
      <c r="YA190" s="922"/>
      <c r="YB190" s="922"/>
      <c r="YC190" s="922"/>
      <c r="YD190" s="922"/>
      <c r="YE190" s="922"/>
      <c r="YF190" s="922"/>
      <c r="YG190" s="922"/>
      <c r="YH190" s="922"/>
      <c r="YI190" s="922"/>
      <c r="YJ190" s="922"/>
      <c r="YK190" s="922"/>
      <c r="YL190" s="922"/>
      <c r="YM190" s="922"/>
      <c r="YN190" s="922"/>
      <c r="YO190" s="922"/>
      <c r="YP190" s="922"/>
      <c r="YQ190" s="922"/>
      <c r="YR190" s="922"/>
      <c r="YS190" s="922"/>
      <c r="YT190" s="922"/>
      <c r="YU190" s="922"/>
      <c r="YV190" s="922"/>
      <c r="YW190" s="922"/>
      <c r="YX190" s="922"/>
      <c r="YY190" s="922"/>
      <c r="YZ190" s="922"/>
      <c r="ZA190" s="922"/>
      <c r="ZB190" s="922"/>
      <c r="ZC190" s="922"/>
      <c r="ZD190" s="922"/>
      <c r="ZE190" s="922"/>
      <c r="ZF190" s="922"/>
      <c r="ZG190" s="922"/>
      <c r="ZH190" s="922"/>
      <c r="ZI190" s="922"/>
      <c r="ZJ190" s="922"/>
      <c r="ZK190" s="922"/>
      <c r="ZL190" s="922"/>
      <c r="ZM190" s="922"/>
      <c r="ZN190" s="922"/>
      <c r="ZO190" s="922"/>
      <c r="ZP190" s="922"/>
      <c r="ZQ190" s="922"/>
      <c r="ZR190" s="922"/>
      <c r="ZS190" s="922"/>
      <c r="ZT190" s="922"/>
      <c r="ZU190" s="922"/>
      <c r="ZV190" s="922"/>
      <c r="ZW190" s="922"/>
      <c r="ZX190" s="922"/>
      <c r="ZY190" s="922"/>
      <c r="ZZ190" s="922"/>
      <c r="AAA190" s="922"/>
      <c r="AAB190" s="922"/>
      <c r="AAC190" s="922"/>
      <c r="AAD190" s="922"/>
      <c r="AAE190" s="922"/>
      <c r="AAF190" s="922"/>
      <c r="AAG190" s="922"/>
      <c r="AAH190" s="922"/>
      <c r="AAI190" s="922"/>
      <c r="AAJ190" s="922"/>
      <c r="AAK190" s="922"/>
      <c r="AAL190" s="922"/>
      <c r="AAM190" s="922"/>
      <c r="AAN190" s="922"/>
      <c r="AAO190" s="922"/>
      <c r="AAP190" s="922"/>
      <c r="AAQ190" s="922"/>
      <c r="AAR190" s="922"/>
      <c r="AAS190" s="922"/>
      <c r="AAT190" s="922"/>
      <c r="AAU190" s="922"/>
      <c r="AAV190" s="922"/>
      <c r="AAW190" s="922"/>
      <c r="AAX190" s="922"/>
      <c r="AAY190" s="922"/>
      <c r="AAZ190" s="922"/>
      <c r="ABA190" s="922"/>
      <c r="ABB190" s="922"/>
      <c r="ABC190" s="922"/>
      <c r="ABD190" s="922"/>
      <c r="ABE190" s="922"/>
      <c r="ABF190" s="922"/>
      <c r="ABG190" s="922"/>
      <c r="ABH190" s="922"/>
      <c r="ABI190" s="922"/>
      <c r="ABJ190" s="922"/>
      <c r="ABK190" s="922"/>
      <c r="ABL190" s="922"/>
      <c r="ABM190" s="922"/>
      <c r="ABN190" s="922"/>
      <c r="ABO190" s="922"/>
      <c r="ABP190" s="922"/>
      <c r="ABQ190" s="922"/>
      <c r="ABR190" s="922"/>
      <c r="ABS190" s="922"/>
      <c r="ABT190" s="922"/>
      <c r="ABU190" s="922"/>
      <c r="ABV190" s="922"/>
      <c r="ABW190" s="922"/>
      <c r="ABX190" s="922"/>
      <c r="ABY190" s="922"/>
      <c r="ABZ190" s="922"/>
      <c r="ACA190" s="922"/>
      <c r="ACB190" s="922"/>
      <c r="ACC190" s="922"/>
      <c r="ACD190" s="922"/>
      <c r="ACE190" s="922"/>
      <c r="ACF190" s="922"/>
      <c r="ACG190" s="922"/>
      <c r="ACH190" s="922"/>
      <c r="ACI190" s="922"/>
      <c r="ACJ190" s="922"/>
      <c r="ACK190" s="922"/>
      <c r="ACL190" s="922"/>
      <c r="ACM190" s="922"/>
      <c r="ACN190" s="922"/>
      <c r="ACO190" s="922"/>
      <c r="ACP190" s="922"/>
      <c r="ACQ190" s="922"/>
      <c r="ACR190" s="922"/>
      <c r="ACS190" s="922"/>
      <c r="ACT190" s="922"/>
      <c r="ACU190" s="922"/>
      <c r="ACV190" s="922"/>
      <c r="ACW190" s="922"/>
      <c r="ACX190" s="922"/>
      <c r="ACY190" s="922"/>
      <c r="ACZ190" s="922"/>
      <c r="ADA190" s="922"/>
      <c r="ADB190" s="922"/>
      <c r="ADC190" s="922"/>
      <c r="ADD190" s="922"/>
      <c r="ADE190" s="922"/>
      <c r="ADF190" s="922"/>
      <c r="ADG190" s="922"/>
      <c r="ADH190" s="922"/>
      <c r="ADI190" s="922"/>
      <c r="ADJ190" s="922"/>
      <c r="ADK190" s="922"/>
      <c r="ADL190" s="922"/>
      <c r="ADM190" s="922"/>
      <c r="ADN190" s="922"/>
      <c r="ADO190" s="922"/>
      <c r="ADP190" s="922"/>
      <c r="ADQ190" s="922"/>
      <c r="ADR190" s="922"/>
      <c r="ADS190" s="922"/>
      <c r="ADT190" s="922"/>
      <c r="ADU190" s="922"/>
      <c r="ADV190" s="922"/>
      <c r="ADW190" s="922"/>
      <c r="ADX190" s="922"/>
      <c r="ADY190" s="922"/>
      <c r="ADZ190" s="922"/>
      <c r="AEA190" s="922"/>
      <c r="AEB190" s="922"/>
      <c r="AEC190" s="922"/>
      <c r="AED190" s="922"/>
      <c r="AEE190" s="922"/>
      <c r="AEF190" s="922"/>
      <c r="AEG190" s="922"/>
      <c r="AEH190" s="922"/>
      <c r="AEI190" s="922"/>
      <c r="AEJ190" s="922"/>
      <c r="AEK190" s="922"/>
      <c r="AEL190" s="922"/>
      <c r="AEM190" s="922"/>
      <c r="AEN190" s="922"/>
      <c r="AEO190" s="922"/>
      <c r="AEP190" s="922"/>
      <c r="AEQ190" s="922"/>
      <c r="AER190" s="922"/>
      <c r="AES190" s="922"/>
      <c r="AET190" s="922"/>
      <c r="AEU190" s="922"/>
      <c r="AEV190" s="922"/>
      <c r="AEW190" s="922"/>
      <c r="AEX190" s="922"/>
      <c r="AEY190" s="922"/>
      <c r="AEZ190" s="922"/>
      <c r="AFA190" s="922"/>
      <c r="AFB190" s="922"/>
      <c r="AFC190" s="922"/>
      <c r="AFD190" s="922"/>
      <c r="AFE190" s="922"/>
      <c r="AFF190" s="922"/>
      <c r="AFG190" s="922"/>
      <c r="AFH190" s="922"/>
      <c r="AFI190" s="922"/>
      <c r="AFJ190" s="922"/>
      <c r="AFK190" s="922"/>
      <c r="AFL190" s="922"/>
      <c r="AFM190" s="922"/>
      <c r="AFN190" s="922"/>
      <c r="AFO190" s="922"/>
      <c r="AFP190" s="922"/>
      <c r="AFQ190" s="922"/>
      <c r="AFR190" s="922"/>
      <c r="AFS190" s="922"/>
      <c r="AFT190" s="922"/>
      <c r="AFU190" s="922"/>
      <c r="AFV190" s="922"/>
      <c r="AFW190" s="922"/>
      <c r="AFX190" s="922"/>
      <c r="AFY190" s="922"/>
      <c r="AFZ190" s="922"/>
      <c r="AGA190" s="922"/>
      <c r="AGB190" s="922"/>
      <c r="AGC190" s="922"/>
      <c r="AGD190" s="922"/>
      <c r="AGE190" s="922"/>
      <c r="AGF190" s="922"/>
      <c r="AGG190" s="922"/>
      <c r="AGH190" s="922"/>
      <c r="AGI190" s="922"/>
      <c r="AGJ190" s="922"/>
      <c r="AGK190" s="922"/>
      <c r="AGL190" s="922"/>
      <c r="AGM190" s="922"/>
      <c r="AGN190" s="922"/>
      <c r="AGO190" s="922"/>
      <c r="AGP190" s="922"/>
      <c r="AGQ190" s="922"/>
      <c r="AGR190" s="922"/>
      <c r="AGS190" s="922"/>
      <c r="AGT190" s="922"/>
      <c r="AGU190" s="922"/>
      <c r="AGV190" s="922"/>
      <c r="AGW190" s="922"/>
      <c r="AGX190" s="922"/>
      <c r="AGY190" s="922"/>
      <c r="AGZ190" s="922"/>
      <c r="AHA190" s="922"/>
      <c r="AHB190" s="922"/>
      <c r="AHC190" s="922"/>
      <c r="AHD190" s="922"/>
      <c r="AHE190" s="922"/>
      <c r="AHF190" s="922"/>
      <c r="AHG190" s="922"/>
      <c r="AHH190" s="922"/>
      <c r="AHI190" s="922"/>
      <c r="AHJ190" s="922"/>
      <c r="AHK190" s="922"/>
      <c r="AHL190" s="922"/>
      <c r="AHM190" s="922"/>
      <c r="AHN190" s="922"/>
      <c r="AHO190" s="922"/>
      <c r="AHP190" s="922"/>
      <c r="AHQ190" s="922"/>
      <c r="AHR190" s="922"/>
      <c r="AHS190" s="922"/>
      <c r="AHT190" s="922"/>
      <c r="AHU190" s="922"/>
      <c r="AHV190" s="922"/>
      <c r="AHW190" s="922"/>
      <c r="AHX190" s="922"/>
      <c r="AHY190" s="922"/>
      <c r="AHZ190" s="922"/>
      <c r="AIA190" s="922"/>
      <c r="AIB190" s="922"/>
      <c r="AIC190" s="922"/>
      <c r="AID190" s="922"/>
      <c r="AIE190" s="922"/>
      <c r="AIF190" s="922"/>
      <c r="AIG190" s="922"/>
      <c r="AIH190" s="922"/>
      <c r="AII190" s="922"/>
      <c r="AIJ190" s="922"/>
      <c r="AIK190" s="922"/>
      <c r="AIL190" s="922"/>
      <c r="AIM190" s="922"/>
      <c r="AIN190" s="922"/>
      <c r="AIO190" s="922"/>
      <c r="AIP190" s="922"/>
      <c r="AIQ190" s="922"/>
      <c r="AIR190" s="922"/>
      <c r="AIS190" s="922"/>
      <c r="AIT190" s="922"/>
      <c r="AIU190" s="922"/>
      <c r="AIV190" s="922"/>
      <c r="AIW190" s="922"/>
      <c r="AIX190" s="922"/>
      <c r="AIY190" s="922"/>
      <c r="AIZ190" s="922"/>
      <c r="AJA190" s="922"/>
      <c r="AJB190" s="922"/>
      <c r="AJC190" s="922"/>
      <c r="AJD190" s="922"/>
      <c r="AJE190" s="922"/>
      <c r="AJF190" s="922"/>
      <c r="AJG190" s="922"/>
      <c r="AJH190" s="922"/>
      <c r="AJI190" s="922"/>
      <c r="AJJ190" s="922"/>
      <c r="AJK190" s="922"/>
      <c r="AJL190" s="922"/>
      <c r="AJM190" s="922"/>
      <c r="AJN190" s="922"/>
      <c r="AJO190" s="922"/>
      <c r="AJP190" s="922"/>
      <c r="AJQ190" s="922"/>
      <c r="AJR190" s="922"/>
      <c r="AJS190" s="922"/>
      <c r="AJT190" s="922"/>
      <c r="AJU190" s="922"/>
      <c r="AJV190" s="922"/>
      <c r="AJW190" s="922"/>
      <c r="AJX190" s="922"/>
      <c r="AJY190" s="922"/>
      <c r="AJZ190" s="922"/>
      <c r="AKA190" s="922"/>
      <c r="AKB190" s="922"/>
      <c r="AKC190" s="922"/>
      <c r="AKD190" s="922"/>
      <c r="AKE190" s="922"/>
      <c r="AKF190" s="922"/>
      <c r="AKG190" s="922"/>
      <c r="AKH190" s="922"/>
      <c r="AKI190" s="922"/>
      <c r="AKJ190" s="922"/>
      <c r="AKK190" s="922"/>
      <c r="AKL190" s="922"/>
      <c r="AKM190" s="922"/>
      <c r="AKN190" s="922"/>
      <c r="AKO190" s="922"/>
      <c r="AKP190" s="922"/>
      <c r="AKQ190" s="922"/>
      <c r="AKR190" s="922"/>
      <c r="AKS190" s="922"/>
      <c r="AKT190" s="922"/>
      <c r="AKU190" s="922"/>
      <c r="AKV190" s="922"/>
      <c r="AKW190" s="922"/>
      <c r="AKX190" s="922"/>
      <c r="AKY190" s="922"/>
      <c r="AKZ190" s="922"/>
      <c r="ALA190" s="922"/>
      <c r="ALB190" s="922"/>
      <c r="ALC190" s="922"/>
      <c r="ALD190" s="922"/>
      <c r="ALE190" s="922"/>
      <c r="ALF190" s="922"/>
      <c r="ALG190" s="922"/>
      <c r="ALH190" s="922"/>
      <c r="ALI190" s="922"/>
      <c r="ALJ190" s="922"/>
      <c r="ALK190" s="922"/>
      <c r="ALL190" s="922"/>
      <c r="ALM190" s="922"/>
      <c r="ALN190" s="922"/>
      <c r="ALO190" s="922"/>
      <c r="ALP190" s="922"/>
      <c r="ALQ190" s="922"/>
      <c r="ALR190" s="922"/>
      <c r="ALS190" s="922"/>
      <c r="ALT190" s="922"/>
      <c r="ALU190" s="922"/>
      <c r="ALV190" s="922"/>
      <c r="ALW190" s="922"/>
      <c r="ALX190" s="922"/>
      <c r="ALY190" s="922"/>
      <c r="ALZ190" s="922"/>
      <c r="AMA190" s="922"/>
      <c r="AMB190" s="922"/>
      <c r="AMC190" s="922"/>
      <c r="AMD190" s="922"/>
      <c r="AME190" s="922"/>
      <c r="AMF190" s="922"/>
      <c r="AMG190" s="922"/>
      <c r="AMH190" s="922"/>
      <c r="AMI190" s="922"/>
      <c r="AMJ190" s="922"/>
      <c r="AMK190" s="922"/>
      <c r="AML190" s="922"/>
      <c r="AMM190" s="922"/>
      <c r="AMN190" s="922"/>
      <c r="AMO190" s="922"/>
      <c r="AMP190" s="922"/>
      <c r="AMQ190" s="922"/>
      <c r="AMR190" s="922"/>
      <c r="AMS190" s="922"/>
      <c r="AMT190" s="922"/>
      <c r="AMU190" s="922"/>
      <c r="AMV190" s="922"/>
      <c r="AMW190" s="922"/>
      <c r="AMX190" s="922"/>
      <c r="AMY190" s="922"/>
      <c r="AMZ190" s="922"/>
      <c r="ANA190" s="922"/>
      <c r="ANB190" s="922"/>
      <c r="ANC190" s="922"/>
      <c r="AND190" s="922"/>
      <c r="ANE190" s="922"/>
      <c r="ANF190" s="922"/>
      <c r="ANG190" s="922"/>
      <c r="ANH190" s="922"/>
      <c r="ANI190" s="922"/>
      <c r="ANJ190" s="922"/>
      <c r="ANK190" s="922"/>
      <c r="ANL190" s="922"/>
      <c r="ANM190" s="922"/>
      <c r="ANN190" s="922"/>
      <c r="ANO190" s="922"/>
      <c r="ANP190" s="922"/>
      <c r="ANQ190" s="922"/>
      <c r="ANR190" s="922"/>
      <c r="ANS190" s="922"/>
      <c r="ANT190" s="922"/>
      <c r="ANU190" s="922"/>
      <c r="ANV190" s="922"/>
      <c r="ANW190" s="922"/>
      <c r="ANX190" s="922"/>
      <c r="ANY190" s="922"/>
      <c r="ANZ190" s="922"/>
      <c r="AOA190" s="922"/>
      <c r="AOB190" s="922"/>
      <c r="AOC190" s="922"/>
      <c r="AOD190" s="922"/>
      <c r="AOE190" s="922"/>
      <c r="AOF190" s="922"/>
      <c r="AOG190" s="922"/>
      <c r="AOH190" s="922"/>
      <c r="AOI190" s="922"/>
      <c r="AOJ190" s="922"/>
      <c r="AOK190" s="922"/>
      <c r="AOL190" s="922"/>
      <c r="AOM190" s="922"/>
      <c r="AON190" s="922"/>
      <c r="AOO190" s="922"/>
      <c r="AOP190" s="922"/>
      <c r="AOQ190" s="922"/>
      <c r="AOR190" s="922"/>
      <c r="AOS190" s="922"/>
      <c r="AOT190" s="922"/>
      <c r="AOU190" s="922"/>
      <c r="AOV190" s="922"/>
      <c r="AOW190" s="922"/>
      <c r="AOX190" s="922"/>
      <c r="AOY190" s="922"/>
      <c r="AOZ190" s="922"/>
      <c r="APA190" s="922"/>
      <c r="APB190" s="922"/>
      <c r="APC190" s="922"/>
      <c r="APD190" s="922"/>
      <c r="APE190" s="922"/>
      <c r="APF190" s="922"/>
      <c r="APG190" s="922"/>
      <c r="APH190" s="922"/>
      <c r="API190" s="922"/>
      <c r="APJ190" s="922"/>
      <c r="APK190" s="922"/>
      <c r="APL190" s="922"/>
      <c r="APM190" s="922"/>
      <c r="APN190" s="922"/>
      <c r="APO190" s="922"/>
      <c r="APP190" s="922"/>
      <c r="APQ190" s="922"/>
      <c r="APR190" s="922"/>
      <c r="APS190" s="922"/>
      <c r="APT190" s="922"/>
      <c r="APU190" s="922"/>
      <c r="APV190" s="922"/>
      <c r="APW190" s="922"/>
      <c r="APX190" s="922"/>
      <c r="APY190" s="922"/>
      <c r="APZ190" s="922"/>
      <c r="AQA190" s="922"/>
      <c r="AQB190" s="922"/>
      <c r="AQC190" s="922"/>
      <c r="AQD190" s="922"/>
      <c r="AQE190" s="922"/>
      <c r="AQF190" s="922"/>
      <c r="AQG190" s="922"/>
      <c r="AQH190" s="922"/>
      <c r="AQI190" s="922"/>
      <c r="AQJ190" s="922"/>
      <c r="AQK190" s="922"/>
      <c r="AQL190" s="922"/>
      <c r="AQM190" s="922"/>
      <c r="AQN190" s="922"/>
      <c r="AQO190" s="922"/>
      <c r="AQP190" s="922"/>
      <c r="AQQ190" s="922"/>
      <c r="AQR190" s="922"/>
      <c r="AQS190" s="922"/>
      <c r="AQT190" s="922"/>
      <c r="AQU190" s="922"/>
      <c r="AQV190" s="922"/>
      <c r="AQW190" s="922"/>
      <c r="AQX190" s="922"/>
      <c r="AQY190" s="922"/>
      <c r="AQZ190" s="922"/>
      <c r="ARA190" s="922"/>
      <c r="ARB190" s="922"/>
      <c r="ARC190" s="922"/>
      <c r="ARD190" s="922"/>
      <c r="ARE190" s="922"/>
      <c r="ARF190" s="922"/>
      <c r="ARG190" s="922"/>
      <c r="ARH190" s="922"/>
      <c r="ARI190" s="922"/>
      <c r="ARJ190" s="922"/>
      <c r="ARK190" s="922"/>
      <c r="ARL190" s="922"/>
      <c r="ARM190" s="922"/>
      <c r="ARN190" s="922"/>
      <c r="ARO190" s="922"/>
      <c r="ARP190" s="922"/>
      <c r="ARQ190" s="922"/>
      <c r="ARR190" s="922"/>
      <c r="ARS190" s="922"/>
      <c r="ART190" s="922"/>
      <c r="ARU190" s="922"/>
      <c r="ARV190" s="922"/>
      <c r="ARW190" s="922"/>
      <c r="ARX190" s="922"/>
      <c r="ARY190" s="922"/>
      <c r="ARZ190" s="922"/>
      <c r="ASA190" s="922"/>
      <c r="ASB190" s="922"/>
      <c r="ASC190" s="922"/>
    </row>
    <row r="191" spans="1:1173" hidden="1">
      <c r="T191" s="922"/>
      <c r="AN191" s="922"/>
      <c r="AO191" s="922"/>
      <c r="AP191" s="922"/>
      <c r="AQ191" s="922"/>
      <c r="AR191" s="922"/>
      <c r="AS191" s="922"/>
      <c r="AT191" s="922"/>
      <c r="AU191" s="922"/>
      <c r="AV191" s="922"/>
      <c r="AW191" s="922"/>
      <c r="AX191" s="922"/>
      <c r="AY191" s="922"/>
      <c r="AZ191" s="922"/>
      <c r="BA191" s="922"/>
      <c r="BB191" s="922"/>
      <c r="BC191" s="922"/>
      <c r="BD191" s="922"/>
      <c r="BE191" s="922"/>
      <c r="BF191" s="922"/>
      <c r="BG191" s="922"/>
      <c r="BH191" s="922"/>
      <c r="BI191" s="922"/>
      <c r="BJ191" s="922"/>
      <c r="BK191" s="922"/>
      <c r="BL191" s="922"/>
      <c r="BM191" s="922"/>
      <c r="BN191" s="922"/>
      <c r="BO191" s="922"/>
      <c r="BP191" s="922"/>
      <c r="BQ191" s="922"/>
      <c r="BR191" s="922"/>
      <c r="BS191" s="922"/>
      <c r="BT191" s="922"/>
      <c r="BU191" s="922"/>
      <c r="BV191" s="922"/>
      <c r="BW191" s="922"/>
      <c r="BX191" s="922"/>
      <c r="BY191" s="922"/>
      <c r="BZ191" s="922"/>
      <c r="CA191" s="922"/>
      <c r="CB191" s="922"/>
      <c r="CC191" s="922"/>
      <c r="CD191" s="922"/>
      <c r="CE191" s="922"/>
      <c r="CF191" s="922"/>
      <c r="CG191" s="922"/>
      <c r="CH191" s="922"/>
      <c r="CI191" s="922"/>
      <c r="CJ191" s="922"/>
      <c r="CK191" s="922"/>
      <c r="CL191" s="922"/>
      <c r="CM191" s="922"/>
      <c r="CN191" s="922"/>
      <c r="CO191" s="922"/>
      <c r="CP191" s="922"/>
      <c r="CQ191" s="922"/>
      <c r="CR191" s="922"/>
      <c r="CS191" s="922"/>
      <c r="CT191" s="922"/>
      <c r="CU191" s="922"/>
      <c r="CV191" s="922"/>
      <c r="CW191" s="922"/>
      <c r="CX191" s="922"/>
      <c r="CY191" s="922"/>
      <c r="CZ191" s="922"/>
      <c r="DA191" s="922"/>
      <c r="DB191" s="922"/>
      <c r="DC191" s="922"/>
      <c r="DD191" s="922"/>
      <c r="DE191" s="922"/>
      <c r="DF191" s="922"/>
      <c r="DG191" s="922"/>
      <c r="DH191" s="922"/>
      <c r="DI191" s="922"/>
      <c r="DJ191" s="922"/>
      <c r="DK191" s="922"/>
      <c r="DL191" s="922"/>
      <c r="DM191" s="922"/>
      <c r="DN191" s="922"/>
      <c r="DO191" s="922"/>
      <c r="DP191" s="922"/>
      <c r="DQ191" s="922"/>
      <c r="DR191" s="922"/>
      <c r="DS191" s="922"/>
      <c r="DT191" s="922"/>
      <c r="DU191" s="922"/>
      <c r="DV191" s="922"/>
      <c r="DW191" s="922"/>
      <c r="DX191" s="922"/>
      <c r="DY191" s="922"/>
      <c r="DZ191" s="922"/>
      <c r="EA191" s="922"/>
      <c r="EB191" s="922"/>
      <c r="EC191" s="922"/>
      <c r="ED191" s="922"/>
      <c r="EE191" s="922"/>
      <c r="EF191" s="922"/>
      <c r="EG191" s="922"/>
      <c r="EH191" s="922"/>
      <c r="EI191" s="922"/>
      <c r="EJ191" s="922"/>
      <c r="EK191" s="922"/>
      <c r="EL191" s="922"/>
      <c r="EM191" s="922"/>
      <c r="EN191" s="922"/>
      <c r="EO191" s="922"/>
      <c r="EP191" s="922"/>
      <c r="EQ191" s="922"/>
      <c r="ER191" s="922"/>
      <c r="ES191" s="922"/>
      <c r="ET191" s="922"/>
      <c r="EU191" s="922"/>
      <c r="EV191" s="922"/>
      <c r="EW191" s="922"/>
      <c r="EX191" s="922"/>
      <c r="EY191" s="922"/>
      <c r="EZ191" s="922"/>
      <c r="FA191" s="922"/>
      <c r="FB191" s="922"/>
      <c r="FC191" s="922"/>
      <c r="FD191" s="922"/>
      <c r="FE191" s="922"/>
      <c r="FF191" s="922"/>
      <c r="FG191" s="922"/>
      <c r="FH191" s="922"/>
      <c r="FI191" s="922"/>
      <c r="FJ191" s="922"/>
      <c r="FK191" s="922"/>
      <c r="FL191" s="922"/>
      <c r="FM191" s="922"/>
      <c r="FN191" s="922"/>
      <c r="FO191" s="922"/>
      <c r="FP191" s="922"/>
      <c r="FQ191" s="922"/>
      <c r="FR191" s="922"/>
      <c r="FS191" s="922"/>
      <c r="FT191" s="922"/>
      <c r="FU191" s="922"/>
      <c r="FV191" s="922"/>
      <c r="FW191" s="922"/>
      <c r="FX191" s="922"/>
      <c r="FY191" s="922"/>
      <c r="FZ191" s="922"/>
      <c r="GA191" s="922"/>
      <c r="GB191" s="922"/>
      <c r="GC191" s="922"/>
      <c r="GD191" s="922"/>
      <c r="GE191" s="922"/>
      <c r="GF191" s="922"/>
      <c r="GG191" s="922"/>
      <c r="GH191" s="922"/>
      <c r="GI191" s="922"/>
      <c r="GJ191" s="922"/>
      <c r="GK191" s="922"/>
      <c r="GL191" s="922"/>
      <c r="GM191" s="922"/>
      <c r="GN191" s="922"/>
      <c r="GO191" s="922"/>
      <c r="GP191" s="922"/>
      <c r="GQ191" s="922"/>
      <c r="GR191" s="922"/>
      <c r="GS191" s="922"/>
      <c r="GT191" s="922"/>
      <c r="GU191" s="922"/>
      <c r="GV191" s="922"/>
      <c r="GW191" s="922"/>
      <c r="GX191" s="922"/>
      <c r="GY191" s="922"/>
      <c r="GZ191" s="922"/>
      <c r="HA191" s="922"/>
      <c r="HB191" s="922"/>
      <c r="HC191" s="922"/>
      <c r="HD191" s="922"/>
      <c r="HE191" s="922"/>
      <c r="HF191" s="922"/>
      <c r="HG191" s="922"/>
      <c r="HH191" s="922"/>
      <c r="HI191" s="922"/>
      <c r="HJ191" s="922"/>
      <c r="HK191" s="922"/>
      <c r="HL191" s="922"/>
      <c r="HM191" s="922"/>
      <c r="HN191" s="922"/>
      <c r="HO191" s="922"/>
      <c r="HP191" s="922"/>
      <c r="HQ191" s="922"/>
      <c r="HR191" s="922"/>
      <c r="HS191" s="922"/>
      <c r="HT191" s="922"/>
      <c r="HU191" s="922"/>
      <c r="HV191" s="922"/>
      <c r="HW191" s="922"/>
      <c r="HX191" s="922"/>
      <c r="HY191" s="922"/>
      <c r="HZ191" s="922"/>
      <c r="IA191" s="922"/>
      <c r="IB191" s="922"/>
      <c r="IC191" s="922"/>
      <c r="ID191" s="922"/>
      <c r="IE191" s="922"/>
      <c r="IF191" s="922"/>
      <c r="IG191" s="922"/>
      <c r="IH191" s="922"/>
      <c r="II191" s="922"/>
      <c r="IJ191" s="922"/>
      <c r="IK191" s="922"/>
      <c r="IL191" s="922"/>
      <c r="IM191" s="922"/>
      <c r="IN191" s="922"/>
      <c r="IO191" s="922"/>
      <c r="IP191" s="922"/>
      <c r="IQ191" s="922"/>
      <c r="IR191" s="922"/>
      <c r="IS191" s="922"/>
      <c r="IT191" s="922"/>
      <c r="IU191" s="922"/>
      <c r="IV191" s="922"/>
      <c r="IW191" s="922"/>
      <c r="IX191" s="922"/>
      <c r="IY191" s="922"/>
      <c r="IZ191" s="922"/>
      <c r="JA191" s="922"/>
      <c r="JB191" s="922"/>
      <c r="JC191" s="922"/>
      <c r="JD191" s="922"/>
      <c r="JE191" s="922"/>
      <c r="JF191" s="922"/>
      <c r="JG191" s="922"/>
      <c r="JH191" s="922"/>
      <c r="JI191" s="922"/>
      <c r="JJ191" s="922"/>
      <c r="JK191" s="922"/>
      <c r="JL191" s="922"/>
      <c r="JM191" s="922"/>
      <c r="JN191" s="922"/>
      <c r="JO191" s="922"/>
      <c r="JP191" s="922"/>
      <c r="JQ191" s="922"/>
      <c r="JR191" s="922"/>
      <c r="JS191" s="922"/>
      <c r="JT191" s="922"/>
      <c r="JU191" s="922"/>
      <c r="JV191" s="922"/>
      <c r="JW191" s="922"/>
      <c r="JX191" s="922"/>
      <c r="JY191" s="922"/>
      <c r="JZ191" s="922"/>
      <c r="KA191" s="922"/>
      <c r="KB191" s="922"/>
      <c r="KC191" s="922"/>
      <c r="KD191" s="922"/>
      <c r="KE191" s="922"/>
      <c r="KF191" s="922"/>
      <c r="KG191" s="922"/>
      <c r="KH191" s="922"/>
      <c r="KI191" s="922"/>
      <c r="KJ191" s="922"/>
      <c r="KK191" s="922"/>
      <c r="KL191" s="922"/>
      <c r="KM191" s="922"/>
      <c r="KN191" s="922"/>
      <c r="KO191" s="922"/>
      <c r="KP191" s="922"/>
      <c r="KQ191" s="922"/>
      <c r="KR191" s="922"/>
      <c r="KS191" s="922"/>
      <c r="KT191" s="922"/>
      <c r="KU191" s="922"/>
      <c r="KV191" s="922"/>
      <c r="KW191" s="922"/>
      <c r="KX191" s="922"/>
      <c r="KY191" s="922"/>
      <c r="KZ191" s="922"/>
      <c r="LA191" s="922"/>
      <c r="LB191" s="922"/>
      <c r="LC191" s="922"/>
      <c r="LD191" s="922"/>
      <c r="LE191" s="922"/>
      <c r="LF191" s="922"/>
      <c r="LG191" s="922"/>
      <c r="LH191" s="922"/>
      <c r="LI191" s="922"/>
      <c r="LJ191" s="922"/>
      <c r="LK191" s="922"/>
      <c r="LL191" s="922"/>
      <c r="LM191" s="922"/>
      <c r="LN191" s="922"/>
      <c r="LO191" s="922"/>
      <c r="LP191" s="922"/>
      <c r="LQ191" s="922"/>
      <c r="LR191" s="922"/>
      <c r="LS191" s="922"/>
      <c r="LT191" s="922"/>
      <c r="LU191" s="922"/>
      <c r="LV191" s="922"/>
      <c r="LW191" s="922"/>
      <c r="LX191" s="922"/>
      <c r="LY191" s="922"/>
      <c r="LZ191" s="922"/>
      <c r="MA191" s="922"/>
      <c r="MB191" s="922"/>
      <c r="MC191" s="922"/>
      <c r="MD191" s="922"/>
      <c r="ME191" s="922"/>
      <c r="MF191" s="922"/>
      <c r="MG191" s="922"/>
      <c r="MH191" s="922"/>
      <c r="MI191" s="922"/>
      <c r="MJ191" s="922"/>
      <c r="MK191" s="922"/>
      <c r="ML191" s="922"/>
      <c r="MM191" s="922"/>
      <c r="MN191" s="922"/>
      <c r="MO191" s="922"/>
      <c r="MP191" s="922"/>
      <c r="MQ191" s="922"/>
      <c r="MR191" s="922"/>
      <c r="MS191" s="922"/>
      <c r="MT191" s="922"/>
      <c r="MU191" s="922"/>
      <c r="MV191" s="922"/>
      <c r="MW191" s="922"/>
      <c r="MX191" s="922"/>
      <c r="MY191" s="922"/>
      <c r="MZ191" s="922"/>
      <c r="NA191" s="922"/>
      <c r="NB191" s="922"/>
      <c r="NC191" s="922"/>
      <c r="ND191" s="922"/>
      <c r="NE191" s="922"/>
      <c r="NF191" s="922"/>
      <c r="NG191" s="922"/>
      <c r="NH191" s="922"/>
      <c r="NI191" s="922"/>
      <c r="NJ191" s="922"/>
      <c r="NK191" s="922"/>
      <c r="NL191" s="922"/>
      <c r="NM191" s="922"/>
      <c r="NN191" s="922"/>
      <c r="NO191" s="922"/>
      <c r="NP191" s="922"/>
      <c r="NQ191" s="922"/>
      <c r="NR191" s="922"/>
      <c r="NS191" s="922"/>
      <c r="NT191" s="922"/>
      <c r="NU191" s="922"/>
      <c r="NV191" s="922"/>
      <c r="NW191" s="922"/>
      <c r="NX191" s="922"/>
      <c r="NY191" s="922"/>
      <c r="NZ191" s="922"/>
      <c r="OA191" s="922"/>
      <c r="OB191" s="922"/>
      <c r="OC191" s="922"/>
      <c r="OD191" s="922"/>
      <c r="OE191" s="922"/>
      <c r="OF191" s="922"/>
      <c r="OG191" s="922"/>
      <c r="OH191" s="922"/>
      <c r="OI191" s="922"/>
      <c r="OJ191" s="922"/>
      <c r="OK191" s="922"/>
      <c r="OL191" s="922"/>
      <c r="OM191" s="922"/>
      <c r="ON191" s="922"/>
      <c r="OO191" s="922"/>
      <c r="OP191" s="922"/>
      <c r="OQ191" s="922"/>
      <c r="OR191" s="922"/>
      <c r="OS191" s="922"/>
      <c r="OT191" s="922"/>
      <c r="OU191" s="922"/>
      <c r="OV191" s="922"/>
      <c r="OW191" s="922"/>
      <c r="OX191" s="922"/>
      <c r="OY191" s="922"/>
      <c r="OZ191" s="922"/>
      <c r="PA191" s="922"/>
      <c r="PB191" s="922"/>
      <c r="PC191" s="922"/>
      <c r="PD191" s="922"/>
      <c r="PE191" s="922"/>
      <c r="PF191" s="922"/>
      <c r="PG191" s="922"/>
      <c r="PH191" s="922"/>
      <c r="PI191" s="922"/>
      <c r="PJ191" s="922"/>
      <c r="PK191" s="922"/>
      <c r="PL191" s="922"/>
      <c r="PM191" s="922"/>
      <c r="PN191" s="922"/>
      <c r="PO191" s="922"/>
      <c r="PP191" s="922"/>
      <c r="PQ191" s="922"/>
      <c r="PR191" s="922"/>
      <c r="PS191" s="922"/>
      <c r="PT191" s="922"/>
      <c r="PU191" s="922"/>
      <c r="PV191" s="922"/>
      <c r="PW191" s="922"/>
      <c r="PX191" s="922"/>
      <c r="PY191" s="922"/>
      <c r="PZ191" s="922"/>
      <c r="QA191" s="922"/>
      <c r="QB191" s="922"/>
      <c r="QC191" s="922"/>
      <c r="QD191" s="922"/>
      <c r="QE191" s="922"/>
      <c r="QF191" s="922"/>
      <c r="QG191" s="922"/>
      <c r="QH191" s="922"/>
      <c r="QI191" s="922"/>
      <c r="QJ191" s="922"/>
      <c r="QK191" s="922"/>
      <c r="QL191" s="922"/>
      <c r="QM191" s="922"/>
      <c r="QN191" s="922"/>
      <c r="QO191" s="922"/>
      <c r="QP191" s="922"/>
      <c r="QQ191" s="922"/>
      <c r="QR191" s="922"/>
      <c r="QS191" s="922"/>
      <c r="QT191" s="922"/>
      <c r="QU191" s="922"/>
      <c r="QV191" s="922"/>
      <c r="QW191" s="922"/>
      <c r="QX191" s="922"/>
      <c r="QY191" s="922"/>
      <c r="QZ191" s="922"/>
      <c r="RA191" s="922"/>
      <c r="RB191" s="922"/>
      <c r="RC191" s="922"/>
      <c r="RD191" s="922"/>
      <c r="RE191" s="922"/>
      <c r="RF191" s="922"/>
      <c r="RG191" s="922"/>
      <c r="RH191" s="922"/>
      <c r="RI191" s="922"/>
      <c r="RJ191" s="922"/>
      <c r="RK191" s="922"/>
      <c r="RL191" s="922"/>
      <c r="RM191" s="922"/>
      <c r="RN191" s="922"/>
      <c r="RO191" s="922"/>
      <c r="RP191" s="922"/>
      <c r="RQ191" s="922"/>
      <c r="RR191" s="922"/>
      <c r="RS191" s="922"/>
      <c r="RT191" s="922"/>
      <c r="RU191" s="922"/>
      <c r="RV191" s="922"/>
      <c r="RW191" s="922"/>
      <c r="RX191" s="922"/>
      <c r="RY191" s="922"/>
      <c r="RZ191" s="922"/>
      <c r="SA191" s="922"/>
      <c r="SB191" s="922"/>
      <c r="SC191" s="922"/>
      <c r="SD191" s="922"/>
      <c r="SE191" s="922"/>
      <c r="SF191" s="922"/>
      <c r="SG191" s="922"/>
      <c r="SH191" s="922"/>
      <c r="SI191" s="922"/>
      <c r="SJ191" s="922"/>
      <c r="SK191" s="922"/>
      <c r="SL191" s="922"/>
      <c r="SM191" s="922"/>
      <c r="SN191" s="922"/>
      <c r="SO191" s="922"/>
      <c r="SP191" s="922"/>
      <c r="SQ191" s="922"/>
      <c r="SR191" s="922"/>
      <c r="SS191" s="922"/>
      <c r="ST191" s="922"/>
      <c r="SU191" s="922"/>
      <c r="SV191" s="922"/>
      <c r="SW191" s="922"/>
      <c r="SX191" s="922"/>
      <c r="SY191" s="922"/>
      <c r="SZ191" s="922"/>
      <c r="TA191" s="922"/>
      <c r="TB191" s="922"/>
      <c r="TC191" s="922"/>
      <c r="TD191" s="922"/>
      <c r="TE191" s="922"/>
      <c r="TF191" s="922"/>
      <c r="TG191" s="922"/>
      <c r="TH191" s="922"/>
      <c r="TI191" s="922"/>
      <c r="TJ191" s="922"/>
      <c r="TK191" s="922"/>
      <c r="TL191" s="922"/>
      <c r="TM191" s="922"/>
      <c r="TN191" s="922"/>
      <c r="TO191" s="922"/>
      <c r="TP191" s="922"/>
      <c r="TQ191" s="922"/>
      <c r="TR191" s="922"/>
      <c r="TS191" s="922"/>
      <c r="TT191" s="922"/>
      <c r="TU191" s="922"/>
      <c r="TV191" s="922"/>
      <c r="TW191" s="922"/>
      <c r="TX191" s="922"/>
      <c r="TY191" s="922"/>
      <c r="TZ191" s="922"/>
      <c r="UA191" s="922"/>
      <c r="UB191" s="922"/>
      <c r="UC191" s="922"/>
      <c r="UD191" s="922"/>
      <c r="UE191" s="922"/>
      <c r="UF191" s="922"/>
      <c r="UG191" s="922"/>
      <c r="UH191" s="922"/>
      <c r="UI191" s="922"/>
      <c r="UJ191" s="922"/>
      <c r="UK191" s="922"/>
      <c r="UL191" s="922"/>
      <c r="UM191" s="922"/>
      <c r="UN191" s="922"/>
      <c r="UO191" s="922"/>
      <c r="UP191" s="922"/>
      <c r="UQ191" s="922"/>
      <c r="UR191" s="922"/>
      <c r="US191" s="922"/>
      <c r="UT191" s="922"/>
      <c r="UU191" s="922"/>
      <c r="UV191" s="922"/>
      <c r="UW191" s="922"/>
      <c r="UX191" s="922"/>
      <c r="UY191" s="922"/>
      <c r="UZ191" s="922"/>
      <c r="VA191" s="922"/>
      <c r="VB191" s="922"/>
      <c r="VC191" s="922"/>
      <c r="VD191" s="922"/>
      <c r="VE191" s="922"/>
      <c r="VF191" s="922"/>
      <c r="VG191" s="922"/>
      <c r="VH191" s="922"/>
      <c r="VI191" s="922"/>
      <c r="VJ191" s="922"/>
      <c r="VK191" s="922"/>
      <c r="VL191" s="922"/>
      <c r="VM191" s="922"/>
      <c r="VN191" s="922"/>
      <c r="VO191" s="922"/>
      <c r="VP191" s="922"/>
      <c r="VQ191" s="922"/>
      <c r="VR191" s="922"/>
      <c r="VS191" s="922"/>
      <c r="VT191" s="922"/>
      <c r="VU191" s="922"/>
      <c r="VV191" s="922"/>
      <c r="VW191" s="922"/>
      <c r="VX191" s="922"/>
      <c r="VY191" s="922"/>
      <c r="VZ191" s="922"/>
      <c r="WA191" s="922"/>
      <c r="WB191" s="922"/>
      <c r="WC191" s="922"/>
      <c r="WD191" s="922"/>
      <c r="WE191" s="922"/>
      <c r="WF191" s="922"/>
      <c r="WG191" s="922"/>
      <c r="WH191" s="922"/>
      <c r="WI191" s="922"/>
      <c r="WJ191" s="922"/>
      <c r="WK191" s="922"/>
      <c r="WL191" s="922"/>
      <c r="WM191" s="922"/>
      <c r="WN191" s="922"/>
      <c r="WO191" s="922"/>
      <c r="WP191" s="922"/>
      <c r="WQ191" s="922"/>
      <c r="WR191" s="922"/>
      <c r="WS191" s="922"/>
      <c r="WT191" s="922"/>
      <c r="WU191" s="922"/>
      <c r="WV191" s="922"/>
      <c r="WW191" s="922"/>
      <c r="WX191" s="922"/>
      <c r="WY191" s="922"/>
      <c r="WZ191" s="922"/>
      <c r="XA191" s="922"/>
      <c r="XB191" s="922"/>
      <c r="XC191" s="922"/>
      <c r="XD191" s="922"/>
      <c r="XE191" s="922"/>
      <c r="XF191" s="922"/>
      <c r="XG191" s="922"/>
      <c r="XH191" s="922"/>
      <c r="XI191" s="922"/>
      <c r="XJ191" s="922"/>
      <c r="XK191" s="922"/>
      <c r="XL191" s="922"/>
      <c r="XM191" s="922"/>
      <c r="XN191" s="922"/>
      <c r="XO191" s="922"/>
      <c r="XP191" s="922"/>
      <c r="XQ191" s="922"/>
      <c r="XR191" s="922"/>
      <c r="XS191" s="922"/>
      <c r="XT191" s="922"/>
      <c r="XU191" s="922"/>
      <c r="XV191" s="922"/>
      <c r="XW191" s="922"/>
      <c r="XX191" s="922"/>
      <c r="XY191" s="922"/>
      <c r="XZ191" s="922"/>
      <c r="YA191" s="922"/>
      <c r="YB191" s="922"/>
      <c r="YC191" s="922"/>
      <c r="YD191" s="922"/>
      <c r="YE191" s="922"/>
      <c r="YF191" s="922"/>
      <c r="YG191" s="922"/>
      <c r="YH191" s="922"/>
      <c r="YI191" s="922"/>
      <c r="YJ191" s="922"/>
      <c r="YK191" s="922"/>
      <c r="YL191" s="922"/>
      <c r="YM191" s="922"/>
      <c r="YN191" s="922"/>
      <c r="YO191" s="922"/>
      <c r="YP191" s="922"/>
      <c r="YQ191" s="922"/>
      <c r="YR191" s="922"/>
      <c r="YS191" s="922"/>
      <c r="YT191" s="922"/>
      <c r="YU191" s="922"/>
      <c r="YV191" s="922"/>
      <c r="YW191" s="922"/>
      <c r="YX191" s="922"/>
      <c r="YY191" s="922"/>
      <c r="YZ191" s="922"/>
      <c r="ZA191" s="922"/>
      <c r="ZB191" s="922"/>
      <c r="ZC191" s="922"/>
      <c r="ZD191" s="922"/>
      <c r="ZE191" s="922"/>
      <c r="ZF191" s="922"/>
      <c r="ZG191" s="922"/>
      <c r="ZH191" s="922"/>
      <c r="ZI191" s="922"/>
      <c r="ZJ191" s="922"/>
      <c r="ZK191" s="922"/>
      <c r="ZL191" s="922"/>
      <c r="ZM191" s="922"/>
      <c r="ZN191" s="922"/>
      <c r="ZO191" s="922"/>
      <c r="ZP191" s="922"/>
      <c r="ZQ191" s="922"/>
      <c r="ZR191" s="922"/>
      <c r="ZS191" s="922"/>
      <c r="ZT191" s="922"/>
      <c r="ZU191" s="922"/>
      <c r="ZV191" s="922"/>
      <c r="ZW191" s="922"/>
      <c r="ZX191" s="922"/>
      <c r="ZY191" s="922"/>
      <c r="ZZ191" s="922"/>
      <c r="AAA191" s="922"/>
      <c r="AAB191" s="922"/>
      <c r="AAC191" s="922"/>
      <c r="AAD191" s="922"/>
      <c r="AAE191" s="922"/>
      <c r="AAF191" s="922"/>
      <c r="AAG191" s="922"/>
      <c r="AAH191" s="922"/>
      <c r="AAI191" s="922"/>
      <c r="AAJ191" s="922"/>
      <c r="AAK191" s="922"/>
      <c r="AAL191" s="922"/>
      <c r="AAM191" s="922"/>
      <c r="AAN191" s="922"/>
      <c r="AAO191" s="922"/>
      <c r="AAP191" s="922"/>
      <c r="AAQ191" s="922"/>
      <c r="AAR191" s="922"/>
      <c r="AAS191" s="922"/>
      <c r="AAT191" s="922"/>
      <c r="AAU191" s="922"/>
      <c r="AAV191" s="922"/>
      <c r="AAW191" s="922"/>
      <c r="AAX191" s="922"/>
      <c r="AAY191" s="922"/>
      <c r="AAZ191" s="922"/>
      <c r="ABA191" s="922"/>
      <c r="ABB191" s="922"/>
      <c r="ABC191" s="922"/>
      <c r="ABD191" s="922"/>
      <c r="ABE191" s="922"/>
      <c r="ABF191" s="922"/>
      <c r="ABG191" s="922"/>
      <c r="ABH191" s="922"/>
      <c r="ABI191" s="922"/>
      <c r="ABJ191" s="922"/>
      <c r="ABK191" s="922"/>
      <c r="ABL191" s="922"/>
      <c r="ABM191" s="922"/>
      <c r="ABN191" s="922"/>
      <c r="ABO191" s="922"/>
      <c r="ABP191" s="922"/>
      <c r="ABQ191" s="922"/>
      <c r="ABR191" s="922"/>
      <c r="ABS191" s="922"/>
      <c r="ABT191" s="922"/>
      <c r="ABU191" s="922"/>
      <c r="ABV191" s="922"/>
      <c r="ABW191" s="922"/>
      <c r="ABX191" s="922"/>
      <c r="ABY191" s="922"/>
      <c r="ABZ191" s="922"/>
      <c r="ACA191" s="922"/>
      <c r="ACB191" s="922"/>
      <c r="ACC191" s="922"/>
      <c r="ACD191" s="922"/>
      <c r="ACE191" s="922"/>
      <c r="ACF191" s="922"/>
      <c r="ACG191" s="922"/>
      <c r="ACH191" s="922"/>
      <c r="ACI191" s="922"/>
      <c r="ACJ191" s="922"/>
      <c r="ACK191" s="922"/>
      <c r="ACL191" s="922"/>
      <c r="ACM191" s="922"/>
      <c r="ACN191" s="922"/>
      <c r="ACO191" s="922"/>
      <c r="ACP191" s="922"/>
      <c r="ACQ191" s="922"/>
      <c r="ACR191" s="922"/>
      <c r="ACS191" s="922"/>
      <c r="ACT191" s="922"/>
      <c r="ACU191" s="922"/>
      <c r="ACV191" s="922"/>
      <c r="ACW191" s="922"/>
      <c r="ACX191" s="922"/>
      <c r="ACY191" s="922"/>
      <c r="ACZ191" s="922"/>
      <c r="ADA191" s="922"/>
      <c r="ADB191" s="922"/>
      <c r="ADC191" s="922"/>
      <c r="ADD191" s="922"/>
      <c r="ADE191" s="922"/>
      <c r="ADF191" s="922"/>
      <c r="ADG191" s="922"/>
      <c r="ADH191" s="922"/>
      <c r="ADI191" s="922"/>
      <c r="ADJ191" s="922"/>
      <c r="ADK191" s="922"/>
      <c r="ADL191" s="922"/>
      <c r="ADM191" s="922"/>
      <c r="ADN191" s="922"/>
      <c r="ADO191" s="922"/>
      <c r="ADP191" s="922"/>
      <c r="ADQ191" s="922"/>
      <c r="ADR191" s="922"/>
      <c r="ADS191" s="922"/>
      <c r="ADT191" s="922"/>
      <c r="ADU191" s="922"/>
      <c r="ADV191" s="922"/>
      <c r="ADW191" s="922"/>
      <c r="ADX191" s="922"/>
      <c r="ADY191" s="922"/>
      <c r="ADZ191" s="922"/>
      <c r="AEA191" s="922"/>
      <c r="AEB191" s="922"/>
      <c r="AEC191" s="922"/>
      <c r="AED191" s="922"/>
      <c r="AEE191" s="922"/>
      <c r="AEF191" s="922"/>
      <c r="AEG191" s="922"/>
      <c r="AEH191" s="922"/>
      <c r="AEI191" s="922"/>
      <c r="AEJ191" s="922"/>
      <c r="AEK191" s="922"/>
      <c r="AEL191" s="922"/>
      <c r="AEM191" s="922"/>
      <c r="AEN191" s="922"/>
      <c r="AEO191" s="922"/>
      <c r="AEP191" s="922"/>
      <c r="AEQ191" s="922"/>
      <c r="AER191" s="922"/>
      <c r="AES191" s="922"/>
      <c r="AET191" s="922"/>
      <c r="AEU191" s="922"/>
      <c r="AEV191" s="922"/>
      <c r="AEW191" s="922"/>
      <c r="AEX191" s="922"/>
      <c r="AEY191" s="922"/>
      <c r="AEZ191" s="922"/>
      <c r="AFA191" s="922"/>
      <c r="AFB191" s="922"/>
      <c r="AFC191" s="922"/>
      <c r="AFD191" s="922"/>
      <c r="AFE191" s="922"/>
      <c r="AFF191" s="922"/>
      <c r="AFG191" s="922"/>
      <c r="AFH191" s="922"/>
      <c r="AFI191" s="922"/>
      <c r="AFJ191" s="922"/>
      <c r="AFK191" s="922"/>
      <c r="AFL191" s="922"/>
      <c r="AFM191" s="922"/>
      <c r="AFN191" s="922"/>
      <c r="AFO191" s="922"/>
      <c r="AFP191" s="922"/>
      <c r="AFQ191" s="922"/>
      <c r="AFR191" s="922"/>
      <c r="AFS191" s="922"/>
      <c r="AFT191" s="922"/>
      <c r="AFU191" s="922"/>
      <c r="AFV191" s="922"/>
      <c r="AFW191" s="922"/>
      <c r="AFX191" s="922"/>
      <c r="AFY191" s="922"/>
      <c r="AFZ191" s="922"/>
      <c r="AGA191" s="922"/>
      <c r="AGB191" s="922"/>
      <c r="AGC191" s="922"/>
      <c r="AGD191" s="922"/>
      <c r="AGE191" s="922"/>
      <c r="AGF191" s="922"/>
      <c r="AGG191" s="922"/>
      <c r="AGH191" s="922"/>
      <c r="AGI191" s="922"/>
      <c r="AGJ191" s="922"/>
      <c r="AGK191" s="922"/>
      <c r="AGL191" s="922"/>
      <c r="AGM191" s="922"/>
      <c r="AGN191" s="922"/>
      <c r="AGO191" s="922"/>
      <c r="AGP191" s="922"/>
      <c r="AGQ191" s="922"/>
      <c r="AGR191" s="922"/>
      <c r="AGS191" s="922"/>
      <c r="AGT191" s="922"/>
      <c r="AGU191" s="922"/>
      <c r="AGV191" s="922"/>
      <c r="AGW191" s="922"/>
      <c r="AGX191" s="922"/>
      <c r="AGY191" s="922"/>
      <c r="AGZ191" s="922"/>
      <c r="AHA191" s="922"/>
      <c r="AHB191" s="922"/>
      <c r="AHC191" s="922"/>
      <c r="AHD191" s="922"/>
      <c r="AHE191" s="922"/>
      <c r="AHF191" s="922"/>
      <c r="AHG191" s="922"/>
      <c r="AHH191" s="922"/>
      <c r="AHI191" s="922"/>
      <c r="AHJ191" s="922"/>
      <c r="AHK191" s="922"/>
      <c r="AHL191" s="922"/>
      <c r="AHM191" s="922"/>
      <c r="AHN191" s="922"/>
      <c r="AHO191" s="922"/>
      <c r="AHP191" s="922"/>
      <c r="AHQ191" s="922"/>
      <c r="AHR191" s="922"/>
      <c r="AHS191" s="922"/>
      <c r="AHT191" s="922"/>
      <c r="AHU191" s="922"/>
      <c r="AHV191" s="922"/>
      <c r="AHW191" s="922"/>
      <c r="AHX191" s="922"/>
      <c r="AHY191" s="922"/>
      <c r="AHZ191" s="922"/>
      <c r="AIA191" s="922"/>
      <c r="AIB191" s="922"/>
      <c r="AIC191" s="922"/>
      <c r="AID191" s="922"/>
      <c r="AIE191" s="922"/>
      <c r="AIF191" s="922"/>
      <c r="AIG191" s="922"/>
      <c r="AIH191" s="922"/>
      <c r="AII191" s="922"/>
      <c r="AIJ191" s="922"/>
      <c r="AIK191" s="922"/>
      <c r="AIL191" s="922"/>
      <c r="AIM191" s="922"/>
      <c r="AIN191" s="922"/>
      <c r="AIO191" s="922"/>
      <c r="AIP191" s="922"/>
      <c r="AIQ191" s="922"/>
      <c r="AIR191" s="922"/>
      <c r="AIS191" s="922"/>
      <c r="AIT191" s="922"/>
      <c r="AIU191" s="922"/>
      <c r="AIV191" s="922"/>
      <c r="AIW191" s="922"/>
      <c r="AIX191" s="922"/>
      <c r="AIY191" s="922"/>
      <c r="AIZ191" s="922"/>
      <c r="AJA191" s="922"/>
      <c r="AJB191" s="922"/>
      <c r="AJC191" s="922"/>
      <c r="AJD191" s="922"/>
      <c r="AJE191" s="922"/>
      <c r="AJF191" s="922"/>
      <c r="AJG191" s="922"/>
      <c r="AJH191" s="922"/>
      <c r="AJI191" s="922"/>
      <c r="AJJ191" s="922"/>
      <c r="AJK191" s="922"/>
      <c r="AJL191" s="922"/>
      <c r="AJM191" s="922"/>
      <c r="AJN191" s="922"/>
      <c r="AJO191" s="922"/>
      <c r="AJP191" s="922"/>
      <c r="AJQ191" s="922"/>
      <c r="AJR191" s="922"/>
      <c r="AJS191" s="922"/>
      <c r="AJT191" s="922"/>
      <c r="AJU191" s="922"/>
      <c r="AJV191" s="922"/>
      <c r="AJW191" s="922"/>
      <c r="AJX191" s="922"/>
      <c r="AJY191" s="922"/>
      <c r="AJZ191" s="922"/>
      <c r="AKA191" s="922"/>
      <c r="AKB191" s="922"/>
      <c r="AKC191" s="922"/>
      <c r="AKD191" s="922"/>
      <c r="AKE191" s="922"/>
      <c r="AKF191" s="922"/>
      <c r="AKG191" s="922"/>
      <c r="AKH191" s="922"/>
      <c r="AKI191" s="922"/>
      <c r="AKJ191" s="922"/>
      <c r="AKK191" s="922"/>
      <c r="AKL191" s="922"/>
      <c r="AKM191" s="922"/>
      <c r="AKN191" s="922"/>
      <c r="AKO191" s="922"/>
      <c r="AKP191" s="922"/>
      <c r="AKQ191" s="922"/>
      <c r="AKR191" s="922"/>
      <c r="AKS191" s="922"/>
      <c r="AKT191" s="922"/>
      <c r="AKU191" s="922"/>
      <c r="AKV191" s="922"/>
      <c r="AKW191" s="922"/>
      <c r="AKX191" s="922"/>
      <c r="AKY191" s="922"/>
      <c r="AKZ191" s="922"/>
      <c r="ALA191" s="922"/>
      <c r="ALB191" s="922"/>
      <c r="ALC191" s="922"/>
      <c r="ALD191" s="922"/>
      <c r="ALE191" s="922"/>
      <c r="ALF191" s="922"/>
      <c r="ALG191" s="922"/>
      <c r="ALH191" s="922"/>
      <c r="ALI191" s="922"/>
      <c r="ALJ191" s="922"/>
      <c r="ALK191" s="922"/>
      <c r="ALL191" s="922"/>
      <c r="ALM191" s="922"/>
      <c r="ALN191" s="922"/>
      <c r="ALO191" s="922"/>
      <c r="ALP191" s="922"/>
      <c r="ALQ191" s="922"/>
      <c r="ALR191" s="922"/>
      <c r="ALS191" s="922"/>
      <c r="ALT191" s="922"/>
      <c r="ALU191" s="922"/>
      <c r="ALV191" s="922"/>
      <c r="ALW191" s="922"/>
      <c r="ALX191" s="922"/>
      <c r="ALY191" s="922"/>
      <c r="ALZ191" s="922"/>
      <c r="AMA191" s="922"/>
      <c r="AMB191" s="922"/>
      <c r="AMC191" s="922"/>
      <c r="AMD191" s="922"/>
      <c r="AME191" s="922"/>
      <c r="AMF191" s="922"/>
      <c r="AMG191" s="922"/>
      <c r="AMH191" s="922"/>
      <c r="AMI191" s="922"/>
      <c r="AMJ191" s="922"/>
      <c r="AMK191" s="922"/>
      <c r="AML191" s="922"/>
      <c r="AMM191" s="922"/>
      <c r="AMN191" s="922"/>
      <c r="AMO191" s="922"/>
      <c r="AMP191" s="922"/>
      <c r="AMQ191" s="922"/>
      <c r="AMR191" s="922"/>
      <c r="AMS191" s="922"/>
      <c r="AMT191" s="922"/>
      <c r="AMU191" s="922"/>
      <c r="AMV191" s="922"/>
      <c r="AMW191" s="922"/>
      <c r="AMX191" s="922"/>
      <c r="AMY191" s="922"/>
      <c r="AMZ191" s="922"/>
      <c r="ANA191" s="922"/>
      <c r="ANB191" s="922"/>
      <c r="ANC191" s="922"/>
      <c r="AND191" s="922"/>
      <c r="ANE191" s="922"/>
      <c r="ANF191" s="922"/>
      <c r="ANG191" s="922"/>
      <c r="ANH191" s="922"/>
      <c r="ANI191" s="922"/>
      <c r="ANJ191" s="922"/>
      <c r="ANK191" s="922"/>
      <c r="ANL191" s="922"/>
      <c r="ANM191" s="922"/>
      <c r="ANN191" s="922"/>
      <c r="ANO191" s="922"/>
      <c r="ANP191" s="922"/>
      <c r="ANQ191" s="922"/>
      <c r="ANR191" s="922"/>
      <c r="ANS191" s="922"/>
      <c r="ANT191" s="922"/>
      <c r="ANU191" s="922"/>
      <c r="ANV191" s="922"/>
      <c r="ANW191" s="922"/>
      <c r="ANX191" s="922"/>
      <c r="ANY191" s="922"/>
      <c r="ANZ191" s="922"/>
      <c r="AOA191" s="922"/>
      <c r="AOB191" s="922"/>
      <c r="AOC191" s="922"/>
      <c r="AOD191" s="922"/>
      <c r="AOE191" s="922"/>
      <c r="AOF191" s="922"/>
      <c r="AOG191" s="922"/>
      <c r="AOH191" s="922"/>
      <c r="AOI191" s="922"/>
      <c r="AOJ191" s="922"/>
      <c r="AOK191" s="922"/>
      <c r="AOL191" s="922"/>
      <c r="AOM191" s="922"/>
      <c r="AON191" s="922"/>
      <c r="AOO191" s="922"/>
      <c r="AOP191" s="922"/>
      <c r="AOQ191" s="922"/>
      <c r="AOR191" s="922"/>
      <c r="AOS191" s="922"/>
      <c r="AOT191" s="922"/>
      <c r="AOU191" s="922"/>
      <c r="AOV191" s="922"/>
      <c r="AOW191" s="922"/>
      <c r="AOX191" s="922"/>
      <c r="AOY191" s="922"/>
      <c r="AOZ191" s="922"/>
      <c r="APA191" s="922"/>
      <c r="APB191" s="922"/>
      <c r="APC191" s="922"/>
      <c r="APD191" s="922"/>
      <c r="APE191" s="922"/>
      <c r="APF191" s="922"/>
      <c r="APG191" s="922"/>
      <c r="APH191" s="922"/>
      <c r="API191" s="922"/>
      <c r="APJ191" s="922"/>
      <c r="APK191" s="922"/>
      <c r="APL191" s="922"/>
      <c r="APM191" s="922"/>
      <c r="APN191" s="922"/>
      <c r="APO191" s="922"/>
      <c r="APP191" s="922"/>
      <c r="APQ191" s="922"/>
      <c r="APR191" s="922"/>
      <c r="APS191" s="922"/>
      <c r="APT191" s="922"/>
      <c r="APU191" s="922"/>
      <c r="APV191" s="922"/>
      <c r="APW191" s="922"/>
      <c r="APX191" s="922"/>
      <c r="APY191" s="922"/>
      <c r="APZ191" s="922"/>
      <c r="AQA191" s="922"/>
      <c r="AQB191" s="922"/>
      <c r="AQC191" s="922"/>
      <c r="AQD191" s="922"/>
      <c r="AQE191" s="922"/>
      <c r="AQF191" s="922"/>
      <c r="AQG191" s="922"/>
      <c r="AQH191" s="922"/>
      <c r="AQI191" s="922"/>
      <c r="AQJ191" s="922"/>
      <c r="AQK191" s="922"/>
      <c r="AQL191" s="922"/>
      <c r="AQM191" s="922"/>
      <c r="AQN191" s="922"/>
      <c r="AQO191" s="922"/>
      <c r="AQP191" s="922"/>
      <c r="AQQ191" s="922"/>
      <c r="AQR191" s="922"/>
      <c r="AQS191" s="922"/>
      <c r="AQT191" s="922"/>
      <c r="AQU191" s="922"/>
      <c r="AQV191" s="922"/>
      <c r="AQW191" s="922"/>
      <c r="AQX191" s="922"/>
      <c r="AQY191" s="922"/>
      <c r="AQZ191" s="922"/>
      <c r="ARA191" s="922"/>
      <c r="ARB191" s="922"/>
      <c r="ARC191" s="922"/>
      <c r="ARD191" s="922"/>
      <c r="ARE191" s="922"/>
      <c r="ARF191" s="922"/>
      <c r="ARG191" s="922"/>
      <c r="ARH191" s="922"/>
      <c r="ARI191" s="922"/>
      <c r="ARJ191" s="922"/>
      <c r="ARK191" s="922"/>
      <c r="ARL191" s="922"/>
      <c r="ARM191" s="922"/>
      <c r="ARN191" s="922"/>
      <c r="ARO191" s="922"/>
      <c r="ARP191" s="922"/>
      <c r="ARQ191" s="922"/>
      <c r="ARR191" s="922"/>
      <c r="ARS191" s="922"/>
      <c r="ART191" s="922"/>
      <c r="ARU191" s="922"/>
      <c r="ARV191" s="922"/>
      <c r="ARW191" s="922"/>
      <c r="ARX191" s="922"/>
      <c r="ARY191" s="922"/>
      <c r="ARZ191" s="922"/>
      <c r="ASA191" s="922"/>
      <c r="ASB191" s="922"/>
      <c r="ASC191" s="922"/>
    </row>
    <row r="192" spans="1:1173" hidden="1">
      <c r="T192" s="922"/>
      <c r="AN192" s="922"/>
      <c r="AO192" s="922"/>
      <c r="AP192" s="922"/>
      <c r="AQ192" s="922"/>
      <c r="AR192" s="922"/>
      <c r="AS192" s="922"/>
      <c r="AT192" s="922"/>
      <c r="AU192" s="922"/>
      <c r="AV192" s="922"/>
      <c r="AW192" s="922"/>
      <c r="AX192" s="922"/>
      <c r="AY192" s="922"/>
      <c r="AZ192" s="922"/>
      <c r="BA192" s="922"/>
      <c r="BB192" s="922"/>
      <c r="BC192" s="922"/>
      <c r="BD192" s="922"/>
      <c r="BE192" s="922"/>
      <c r="BF192" s="922"/>
      <c r="BG192" s="922"/>
      <c r="BH192" s="922"/>
      <c r="BI192" s="922"/>
      <c r="BJ192" s="922"/>
      <c r="BK192" s="922"/>
      <c r="BL192" s="922"/>
      <c r="BM192" s="922"/>
      <c r="BN192" s="922"/>
      <c r="BO192" s="922"/>
      <c r="BP192" s="922"/>
      <c r="BQ192" s="922"/>
      <c r="BR192" s="922"/>
      <c r="BS192" s="922"/>
      <c r="BT192" s="922"/>
      <c r="BU192" s="922"/>
      <c r="BV192" s="922"/>
      <c r="BW192" s="922"/>
      <c r="BX192" s="922"/>
      <c r="BY192" s="922"/>
      <c r="BZ192" s="922"/>
      <c r="CA192" s="922"/>
      <c r="CB192" s="922"/>
      <c r="CC192" s="922"/>
      <c r="CD192" s="922"/>
      <c r="CE192" s="922"/>
      <c r="CF192" s="922"/>
      <c r="CG192" s="922"/>
      <c r="CH192" s="922"/>
      <c r="CI192" s="922"/>
      <c r="CJ192" s="922"/>
      <c r="CK192" s="922"/>
      <c r="CL192" s="922"/>
      <c r="CM192" s="922"/>
      <c r="CN192" s="922"/>
      <c r="CO192" s="922"/>
      <c r="CP192" s="922"/>
      <c r="CQ192" s="922"/>
      <c r="CR192" s="922"/>
      <c r="CS192" s="922"/>
      <c r="CT192" s="922"/>
      <c r="CU192" s="922"/>
      <c r="CV192" s="922"/>
      <c r="CW192" s="922"/>
      <c r="CX192" s="922"/>
      <c r="CY192" s="922"/>
      <c r="CZ192" s="922"/>
      <c r="DA192" s="922"/>
      <c r="DB192" s="922"/>
      <c r="DC192" s="922"/>
      <c r="DD192" s="922"/>
      <c r="DE192" s="922"/>
      <c r="DF192" s="922"/>
      <c r="DG192" s="922"/>
      <c r="DH192" s="922"/>
      <c r="DI192" s="922"/>
      <c r="DJ192" s="922"/>
      <c r="DK192" s="922"/>
      <c r="DL192" s="922"/>
      <c r="DM192" s="922"/>
      <c r="DN192" s="922"/>
      <c r="DO192" s="922"/>
      <c r="DP192" s="922"/>
      <c r="DQ192" s="922"/>
      <c r="DR192" s="922"/>
      <c r="DS192" s="922"/>
      <c r="DT192" s="922"/>
      <c r="DU192" s="922"/>
      <c r="DV192" s="922"/>
      <c r="DW192" s="922"/>
      <c r="DX192" s="922"/>
      <c r="DY192" s="922"/>
      <c r="DZ192" s="922"/>
      <c r="EA192" s="922"/>
      <c r="EB192" s="922"/>
      <c r="EC192" s="922"/>
      <c r="ED192" s="922"/>
      <c r="EE192" s="922"/>
      <c r="EF192" s="922"/>
      <c r="EG192" s="922"/>
      <c r="EH192" s="922"/>
      <c r="EI192" s="922"/>
      <c r="EJ192" s="922"/>
      <c r="EK192" s="922"/>
      <c r="EL192" s="922"/>
      <c r="EM192" s="922"/>
      <c r="EN192" s="922"/>
      <c r="EO192" s="922"/>
      <c r="EP192" s="922"/>
      <c r="EQ192" s="922"/>
      <c r="ER192" s="922"/>
      <c r="ES192" s="922"/>
      <c r="ET192" s="922"/>
      <c r="EU192" s="922"/>
      <c r="EV192" s="922"/>
      <c r="EW192" s="922"/>
      <c r="EX192" s="922"/>
      <c r="EY192" s="922"/>
      <c r="EZ192" s="922"/>
      <c r="FA192" s="922"/>
      <c r="FB192" s="922"/>
      <c r="FC192" s="922"/>
      <c r="FD192" s="922"/>
      <c r="FE192" s="922"/>
      <c r="FF192" s="922"/>
      <c r="FG192" s="922"/>
      <c r="FH192" s="922"/>
      <c r="FI192" s="922"/>
      <c r="FJ192" s="922"/>
      <c r="FK192" s="922"/>
      <c r="FL192" s="922"/>
      <c r="FM192" s="922"/>
      <c r="FN192" s="922"/>
      <c r="FO192" s="922"/>
      <c r="FP192" s="922"/>
      <c r="FQ192" s="922"/>
      <c r="FR192" s="922"/>
      <c r="FS192" s="922"/>
      <c r="FT192" s="922"/>
      <c r="FU192" s="922"/>
      <c r="FV192" s="922"/>
      <c r="FW192" s="922"/>
      <c r="FX192" s="922"/>
      <c r="FY192" s="922"/>
      <c r="FZ192" s="922"/>
      <c r="GA192" s="922"/>
      <c r="GB192" s="922"/>
      <c r="GC192" s="922"/>
      <c r="GD192" s="922"/>
      <c r="GE192" s="922"/>
      <c r="GF192" s="922"/>
      <c r="GG192" s="922"/>
      <c r="GH192" s="922"/>
      <c r="GI192" s="922"/>
      <c r="GJ192" s="922"/>
      <c r="GK192" s="922"/>
      <c r="GL192" s="922"/>
      <c r="GM192" s="922"/>
      <c r="GN192" s="922"/>
      <c r="GO192" s="922"/>
      <c r="GP192" s="922"/>
      <c r="GQ192" s="922"/>
      <c r="GR192" s="922"/>
      <c r="GS192" s="922"/>
      <c r="GT192" s="922"/>
      <c r="GU192" s="922"/>
      <c r="GV192" s="922"/>
      <c r="GW192" s="922"/>
      <c r="GX192" s="922"/>
      <c r="GY192" s="922"/>
      <c r="GZ192" s="922"/>
      <c r="HA192" s="922"/>
      <c r="HB192" s="922"/>
      <c r="HC192" s="922"/>
      <c r="HD192" s="922"/>
      <c r="HE192" s="922"/>
      <c r="HF192" s="922"/>
      <c r="HG192" s="922"/>
      <c r="HH192" s="922"/>
      <c r="HI192" s="922"/>
      <c r="HJ192" s="922"/>
      <c r="HK192" s="922"/>
      <c r="HL192" s="922"/>
      <c r="HM192" s="922"/>
      <c r="HN192" s="922"/>
      <c r="HO192" s="922"/>
      <c r="HP192" s="922"/>
      <c r="HQ192" s="922"/>
      <c r="HR192" s="922"/>
      <c r="HS192" s="922"/>
      <c r="HT192" s="922"/>
      <c r="HU192" s="922"/>
      <c r="HV192" s="922"/>
      <c r="HW192" s="922"/>
      <c r="HX192" s="922"/>
      <c r="HY192" s="922"/>
      <c r="HZ192" s="922"/>
      <c r="IA192" s="922"/>
      <c r="IB192" s="922"/>
      <c r="IC192" s="922"/>
      <c r="ID192" s="922"/>
      <c r="IE192" s="922"/>
      <c r="IF192" s="922"/>
      <c r="IG192" s="922"/>
      <c r="IH192" s="922"/>
      <c r="II192" s="922"/>
      <c r="IJ192" s="922"/>
      <c r="IK192" s="922"/>
      <c r="IL192" s="922"/>
      <c r="IM192" s="922"/>
      <c r="IN192" s="922"/>
      <c r="IO192" s="922"/>
      <c r="IP192" s="922"/>
      <c r="IQ192" s="922"/>
      <c r="IR192" s="922"/>
      <c r="IS192" s="922"/>
      <c r="IT192" s="922"/>
      <c r="IU192" s="922"/>
      <c r="IV192" s="922"/>
      <c r="IW192" s="922"/>
      <c r="IX192" s="922"/>
      <c r="IY192" s="922"/>
      <c r="IZ192" s="922"/>
      <c r="JA192" s="922"/>
      <c r="JB192" s="922"/>
      <c r="JC192" s="922"/>
      <c r="JD192" s="922"/>
      <c r="JE192" s="922"/>
      <c r="JF192" s="922"/>
      <c r="JG192" s="922"/>
      <c r="JH192" s="922"/>
      <c r="JI192" s="922"/>
      <c r="JJ192" s="922"/>
      <c r="JK192" s="922"/>
      <c r="JL192" s="922"/>
      <c r="JM192" s="922"/>
      <c r="JN192" s="922"/>
      <c r="JO192" s="922"/>
      <c r="JP192" s="922"/>
      <c r="JQ192" s="922"/>
      <c r="JR192" s="922"/>
      <c r="JS192" s="922"/>
      <c r="JT192" s="922"/>
      <c r="JU192" s="922"/>
      <c r="JV192" s="922"/>
      <c r="JW192" s="922"/>
      <c r="JX192" s="922"/>
      <c r="JY192" s="922"/>
      <c r="JZ192" s="922"/>
      <c r="KA192" s="922"/>
      <c r="KB192" s="922"/>
      <c r="KC192" s="922"/>
      <c r="KD192" s="922"/>
      <c r="KE192" s="922"/>
      <c r="KF192" s="922"/>
      <c r="KG192" s="922"/>
      <c r="KH192" s="922"/>
      <c r="KI192" s="922"/>
      <c r="KJ192" s="922"/>
      <c r="KK192" s="922"/>
      <c r="KL192" s="922"/>
      <c r="KM192" s="922"/>
      <c r="KN192" s="922"/>
      <c r="KO192" s="922"/>
      <c r="KP192" s="922"/>
      <c r="KQ192" s="922"/>
      <c r="KR192" s="922"/>
      <c r="KS192" s="922"/>
      <c r="KT192" s="922"/>
      <c r="KU192" s="922"/>
      <c r="KV192" s="922"/>
      <c r="KW192" s="922"/>
      <c r="KX192" s="922"/>
      <c r="KY192" s="922"/>
      <c r="KZ192" s="922"/>
      <c r="LA192" s="922"/>
      <c r="LB192" s="922"/>
      <c r="LC192" s="922"/>
      <c r="LD192" s="922"/>
      <c r="LE192" s="922"/>
      <c r="LF192" s="922"/>
      <c r="LG192" s="922"/>
      <c r="LH192" s="922"/>
      <c r="LI192" s="922"/>
      <c r="LJ192" s="922"/>
      <c r="LK192" s="922"/>
      <c r="LL192" s="922"/>
      <c r="LM192" s="922"/>
      <c r="LN192" s="922"/>
      <c r="LO192" s="922"/>
      <c r="LP192" s="922"/>
      <c r="LQ192" s="922"/>
      <c r="LR192" s="922"/>
      <c r="LS192" s="922"/>
      <c r="LT192" s="922"/>
      <c r="LU192" s="922"/>
      <c r="LV192" s="922"/>
      <c r="LW192" s="922"/>
      <c r="LX192" s="922"/>
      <c r="LY192" s="922"/>
      <c r="LZ192" s="922"/>
      <c r="MA192" s="922"/>
      <c r="MB192" s="922"/>
      <c r="MC192" s="922"/>
      <c r="MD192" s="922"/>
      <c r="ME192" s="922"/>
      <c r="MF192" s="922"/>
      <c r="MG192" s="922"/>
      <c r="MH192" s="922"/>
      <c r="MI192" s="922"/>
      <c r="MJ192" s="922"/>
      <c r="MK192" s="922"/>
      <c r="ML192" s="922"/>
      <c r="MM192" s="922"/>
      <c r="MN192" s="922"/>
      <c r="MO192" s="922"/>
      <c r="MP192" s="922"/>
      <c r="MQ192" s="922"/>
      <c r="MR192" s="922"/>
      <c r="MS192" s="922"/>
      <c r="MT192" s="922"/>
      <c r="MU192" s="922"/>
      <c r="MV192" s="922"/>
      <c r="MW192" s="922"/>
      <c r="MX192" s="922"/>
      <c r="MY192" s="922"/>
      <c r="MZ192" s="922"/>
      <c r="NA192" s="922"/>
      <c r="NB192" s="922"/>
      <c r="NC192" s="922"/>
      <c r="ND192" s="922"/>
      <c r="NE192" s="922"/>
      <c r="NF192" s="922"/>
      <c r="NG192" s="922"/>
      <c r="NH192" s="922"/>
      <c r="NI192" s="922"/>
      <c r="NJ192" s="922"/>
      <c r="NK192" s="922"/>
      <c r="NL192" s="922"/>
      <c r="NM192" s="922"/>
      <c r="NN192" s="922"/>
      <c r="NO192" s="922"/>
      <c r="NP192" s="922"/>
      <c r="NQ192" s="922"/>
      <c r="NR192" s="922"/>
      <c r="NS192" s="922"/>
      <c r="NT192" s="922"/>
      <c r="NU192" s="922"/>
      <c r="NV192" s="922"/>
      <c r="NW192" s="922"/>
      <c r="NX192" s="922"/>
      <c r="NY192" s="922"/>
      <c r="NZ192" s="922"/>
      <c r="OA192" s="922"/>
      <c r="OB192" s="922"/>
      <c r="OC192" s="922"/>
      <c r="OD192" s="922"/>
      <c r="OE192" s="922"/>
      <c r="OF192" s="922"/>
      <c r="OG192" s="922"/>
      <c r="OH192" s="922"/>
      <c r="OI192" s="922"/>
      <c r="OJ192" s="922"/>
      <c r="OK192" s="922"/>
      <c r="OL192" s="922"/>
      <c r="OM192" s="922"/>
      <c r="ON192" s="922"/>
      <c r="OO192" s="922"/>
      <c r="OP192" s="922"/>
      <c r="OQ192" s="922"/>
      <c r="OR192" s="922"/>
      <c r="OS192" s="922"/>
      <c r="OT192" s="922"/>
      <c r="OU192" s="922"/>
      <c r="OV192" s="922"/>
      <c r="OW192" s="922"/>
      <c r="OX192" s="922"/>
      <c r="OY192" s="922"/>
      <c r="OZ192" s="922"/>
      <c r="PA192" s="922"/>
      <c r="PB192" s="922"/>
      <c r="PC192" s="922"/>
      <c r="PD192" s="922"/>
      <c r="PE192" s="922"/>
      <c r="PF192" s="922"/>
      <c r="PG192" s="922"/>
      <c r="PH192" s="922"/>
      <c r="PI192" s="922"/>
      <c r="PJ192" s="922"/>
      <c r="PK192" s="922"/>
      <c r="PL192" s="922"/>
      <c r="PM192" s="922"/>
      <c r="PN192" s="922"/>
      <c r="PO192" s="922"/>
      <c r="PP192" s="922"/>
      <c r="PQ192" s="922"/>
      <c r="PR192" s="922"/>
      <c r="PS192" s="922"/>
      <c r="PT192" s="922"/>
      <c r="PU192" s="922"/>
      <c r="PV192" s="922"/>
      <c r="PW192" s="922"/>
      <c r="PX192" s="922"/>
      <c r="PY192" s="922"/>
      <c r="PZ192" s="922"/>
      <c r="QA192" s="922"/>
      <c r="QB192" s="922"/>
      <c r="QC192" s="922"/>
      <c r="QD192" s="922"/>
      <c r="QE192" s="922"/>
      <c r="QF192" s="922"/>
      <c r="QG192" s="922"/>
      <c r="QH192" s="922"/>
      <c r="QI192" s="922"/>
      <c r="QJ192" s="922"/>
      <c r="QK192" s="922"/>
      <c r="QL192" s="922"/>
      <c r="QM192" s="922"/>
      <c r="QN192" s="922"/>
      <c r="QO192" s="922"/>
      <c r="QP192" s="922"/>
      <c r="QQ192" s="922"/>
      <c r="QR192" s="922"/>
      <c r="QS192" s="922"/>
      <c r="QT192" s="922"/>
      <c r="QU192" s="922"/>
      <c r="QV192" s="922"/>
      <c r="QW192" s="922"/>
      <c r="QX192" s="922"/>
      <c r="QY192" s="922"/>
      <c r="QZ192" s="922"/>
      <c r="RA192" s="922"/>
      <c r="RB192" s="922"/>
      <c r="RC192" s="922"/>
      <c r="RD192" s="922"/>
      <c r="RE192" s="922"/>
      <c r="RF192" s="922"/>
      <c r="RG192" s="922"/>
      <c r="RH192" s="922"/>
      <c r="RI192" s="922"/>
      <c r="RJ192" s="922"/>
      <c r="RK192" s="922"/>
      <c r="RL192" s="922"/>
      <c r="RM192" s="922"/>
      <c r="RN192" s="922"/>
      <c r="RO192" s="922"/>
      <c r="RP192" s="922"/>
      <c r="RQ192" s="922"/>
      <c r="RR192" s="922"/>
      <c r="RS192" s="922"/>
      <c r="RT192" s="922"/>
      <c r="RU192" s="922"/>
      <c r="RV192" s="922"/>
      <c r="RW192" s="922"/>
      <c r="RX192" s="922"/>
      <c r="RY192" s="922"/>
      <c r="RZ192" s="922"/>
      <c r="SA192" s="922"/>
      <c r="SB192" s="922"/>
      <c r="SC192" s="922"/>
      <c r="SD192" s="922"/>
      <c r="SE192" s="922"/>
      <c r="SF192" s="922"/>
      <c r="SG192" s="922"/>
      <c r="SH192" s="922"/>
      <c r="SI192" s="922"/>
      <c r="SJ192" s="922"/>
      <c r="SK192" s="922"/>
      <c r="SL192" s="922"/>
      <c r="SM192" s="922"/>
      <c r="SN192" s="922"/>
      <c r="SO192" s="922"/>
      <c r="SP192" s="922"/>
      <c r="SQ192" s="922"/>
      <c r="SR192" s="922"/>
      <c r="SS192" s="922"/>
      <c r="ST192" s="922"/>
      <c r="SU192" s="922"/>
      <c r="SV192" s="922"/>
      <c r="SW192" s="922"/>
      <c r="SX192" s="922"/>
      <c r="SY192" s="922"/>
      <c r="SZ192" s="922"/>
      <c r="TA192" s="922"/>
      <c r="TB192" s="922"/>
      <c r="TC192" s="922"/>
      <c r="TD192" s="922"/>
      <c r="TE192" s="922"/>
      <c r="TF192" s="922"/>
      <c r="TG192" s="922"/>
      <c r="TH192" s="922"/>
      <c r="TI192" s="922"/>
      <c r="TJ192" s="922"/>
      <c r="TK192" s="922"/>
      <c r="TL192" s="922"/>
      <c r="TM192" s="922"/>
      <c r="TN192" s="922"/>
      <c r="TO192" s="922"/>
      <c r="TP192" s="922"/>
      <c r="TQ192" s="922"/>
      <c r="TR192" s="922"/>
      <c r="TS192" s="922"/>
      <c r="TT192" s="922"/>
      <c r="TU192" s="922"/>
      <c r="TV192" s="922"/>
      <c r="TW192" s="922"/>
      <c r="TX192" s="922"/>
      <c r="TY192" s="922"/>
      <c r="TZ192" s="922"/>
      <c r="UA192" s="922"/>
      <c r="UB192" s="922"/>
      <c r="UC192" s="922"/>
      <c r="UD192" s="922"/>
      <c r="UE192" s="922"/>
      <c r="UF192" s="922"/>
      <c r="UG192" s="922"/>
      <c r="UH192" s="922"/>
      <c r="UI192" s="922"/>
      <c r="UJ192" s="922"/>
      <c r="UK192" s="922"/>
      <c r="UL192" s="922"/>
      <c r="UM192" s="922"/>
      <c r="UN192" s="922"/>
      <c r="UO192" s="922"/>
      <c r="UP192" s="922"/>
      <c r="UQ192" s="922"/>
      <c r="UR192" s="922"/>
      <c r="US192" s="922"/>
      <c r="UT192" s="922"/>
      <c r="UU192" s="922"/>
      <c r="UV192" s="922"/>
      <c r="UW192" s="922"/>
      <c r="UX192" s="922"/>
      <c r="UY192" s="922"/>
      <c r="UZ192" s="922"/>
      <c r="VA192" s="922"/>
      <c r="VB192" s="922"/>
      <c r="VC192" s="922"/>
      <c r="VD192" s="922"/>
      <c r="VE192" s="922"/>
      <c r="VF192" s="922"/>
      <c r="VG192" s="922"/>
      <c r="VH192" s="922"/>
      <c r="VI192" s="922"/>
      <c r="VJ192" s="922"/>
      <c r="VK192" s="922"/>
      <c r="VL192" s="922"/>
      <c r="VM192" s="922"/>
      <c r="VN192" s="922"/>
      <c r="VO192" s="922"/>
      <c r="VP192" s="922"/>
      <c r="VQ192" s="922"/>
      <c r="VR192" s="922"/>
      <c r="VS192" s="922"/>
      <c r="VT192" s="922"/>
      <c r="VU192" s="922"/>
      <c r="VV192" s="922"/>
      <c r="VW192" s="922"/>
      <c r="VX192" s="922"/>
      <c r="VY192" s="922"/>
      <c r="VZ192" s="922"/>
      <c r="WA192" s="922"/>
      <c r="WB192" s="922"/>
      <c r="WC192" s="922"/>
      <c r="WD192" s="922"/>
      <c r="WE192" s="922"/>
      <c r="WF192" s="922"/>
      <c r="WG192" s="922"/>
      <c r="WH192" s="922"/>
      <c r="WI192" s="922"/>
      <c r="WJ192" s="922"/>
      <c r="WK192" s="922"/>
      <c r="WL192" s="922"/>
      <c r="WM192" s="922"/>
      <c r="WN192" s="922"/>
      <c r="WO192" s="922"/>
      <c r="WP192" s="922"/>
      <c r="WQ192" s="922"/>
      <c r="WR192" s="922"/>
      <c r="WS192" s="922"/>
      <c r="WT192" s="922"/>
      <c r="WU192" s="922"/>
      <c r="WV192" s="922"/>
      <c r="WW192" s="922"/>
      <c r="WX192" s="922"/>
      <c r="WY192" s="922"/>
      <c r="WZ192" s="922"/>
      <c r="XA192" s="922"/>
      <c r="XB192" s="922"/>
      <c r="XC192" s="922"/>
      <c r="XD192" s="922"/>
      <c r="XE192" s="922"/>
      <c r="XF192" s="922"/>
      <c r="XG192" s="922"/>
      <c r="XH192" s="922"/>
      <c r="XI192" s="922"/>
      <c r="XJ192" s="922"/>
      <c r="XK192" s="922"/>
      <c r="XL192" s="922"/>
      <c r="XM192" s="922"/>
      <c r="XN192" s="922"/>
      <c r="XO192" s="922"/>
      <c r="XP192" s="922"/>
      <c r="XQ192" s="922"/>
      <c r="XR192" s="922"/>
      <c r="XS192" s="922"/>
      <c r="XT192" s="922"/>
      <c r="XU192" s="922"/>
      <c r="XV192" s="922"/>
      <c r="XW192" s="922"/>
      <c r="XX192" s="922"/>
      <c r="XY192" s="922"/>
      <c r="XZ192" s="922"/>
      <c r="YA192" s="922"/>
      <c r="YB192" s="922"/>
      <c r="YC192" s="922"/>
      <c r="YD192" s="922"/>
      <c r="YE192" s="922"/>
      <c r="YF192" s="922"/>
      <c r="YG192" s="922"/>
      <c r="YH192" s="922"/>
      <c r="YI192" s="922"/>
      <c r="YJ192" s="922"/>
      <c r="YK192" s="922"/>
      <c r="YL192" s="922"/>
      <c r="YM192" s="922"/>
      <c r="YN192" s="922"/>
      <c r="YO192" s="922"/>
      <c r="YP192" s="922"/>
      <c r="YQ192" s="922"/>
      <c r="YR192" s="922"/>
      <c r="YS192" s="922"/>
      <c r="YT192" s="922"/>
      <c r="YU192" s="922"/>
      <c r="YV192" s="922"/>
      <c r="YW192" s="922"/>
      <c r="YX192" s="922"/>
      <c r="YY192" s="922"/>
      <c r="YZ192" s="922"/>
      <c r="ZA192" s="922"/>
      <c r="ZB192" s="922"/>
      <c r="ZC192" s="922"/>
      <c r="ZD192" s="922"/>
      <c r="ZE192" s="922"/>
      <c r="ZF192" s="922"/>
      <c r="ZG192" s="922"/>
      <c r="ZH192" s="922"/>
      <c r="ZI192" s="922"/>
      <c r="ZJ192" s="922"/>
      <c r="ZK192" s="922"/>
      <c r="ZL192" s="922"/>
      <c r="ZM192" s="922"/>
      <c r="ZN192" s="922"/>
      <c r="ZO192" s="922"/>
      <c r="ZP192" s="922"/>
      <c r="ZQ192" s="922"/>
      <c r="ZR192" s="922"/>
      <c r="ZS192" s="922"/>
      <c r="ZT192" s="922"/>
      <c r="ZU192" s="922"/>
      <c r="ZV192" s="922"/>
      <c r="ZW192" s="922"/>
      <c r="ZX192" s="922"/>
      <c r="ZY192" s="922"/>
      <c r="ZZ192" s="922"/>
      <c r="AAA192" s="922"/>
      <c r="AAB192" s="922"/>
      <c r="AAC192" s="922"/>
      <c r="AAD192" s="922"/>
      <c r="AAE192" s="922"/>
      <c r="AAF192" s="922"/>
      <c r="AAG192" s="922"/>
      <c r="AAH192" s="922"/>
      <c r="AAI192" s="922"/>
      <c r="AAJ192" s="922"/>
      <c r="AAK192" s="922"/>
      <c r="AAL192" s="922"/>
      <c r="AAM192" s="922"/>
      <c r="AAN192" s="922"/>
      <c r="AAO192" s="922"/>
      <c r="AAP192" s="922"/>
      <c r="AAQ192" s="922"/>
      <c r="AAR192" s="922"/>
      <c r="AAS192" s="922"/>
      <c r="AAT192" s="922"/>
      <c r="AAU192" s="922"/>
      <c r="AAV192" s="922"/>
      <c r="AAW192" s="922"/>
      <c r="AAX192" s="922"/>
      <c r="AAY192" s="922"/>
      <c r="AAZ192" s="922"/>
      <c r="ABA192" s="922"/>
      <c r="ABB192" s="922"/>
      <c r="ABC192" s="922"/>
      <c r="ABD192" s="922"/>
      <c r="ABE192" s="922"/>
      <c r="ABF192" s="922"/>
      <c r="ABG192" s="922"/>
      <c r="ABH192" s="922"/>
      <c r="ABI192" s="922"/>
      <c r="ABJ192" s="922"/>
      <c r="ABK192" s="922"/>
      <c r="ABL192" s="922"/>
      <c r="ABM192" s="922"/>
      <c r="ABN192" s="922"/>
      <c r="ABO192" s="922"/>
      <c r="ABP192" s="922"/>
      <c r="ABQ192" s="922"/>
      <c r="ABR192" s="922"/>
      <c r="ABS192" s="922"/>
      <c r="ABT192" s="922"/>
      <c r="ABU192" s="922"/>
      <c r="ABV192" s="922"/>
      <c r="ABW192" s="922"/>
      <c r="ABX192" s="922"/>
      <c r="ABY192" s="922"/>
      <c r="ABZ192" s="922"/>
      <c r="ACA192" s="922"/>
      <c r="ACB192" s="922"/>
      <c r="ACC192" s="922"/>
      <c r="ACD192" s="922"/>
      <c r="ACE192" s="922"/>
      <c r="ACF192" s="922"/>
      <c r="ACG192" s="922"/>
      <c r="ACH192" s="922"/>
      <c r="ACI192" s="922"/>
      <c r="ACJ192" s="922"/>
      <c r="ACK192" s="922"/>
      <c r="ACL192" s="922"/>
      <c r="ACM192" s="922"/>
      <c r="ACN192" s="922"/>
      <c r="ACO192" s="922"/>
      <c r="ACP192" s="922"/>
      <c r="ACQ192" s="922"/>
      <c r="ACR192" s="922"/>
      <c r="ACS192" s="922"/>
      <c r="ACT192" s="922"/>
      <c r="ACU192" s="922"/>
      <c r="ACV192" s="922"/>
      <c r="ACW192" s="922"/>
      <c r="ACX192" s="922"/>
      <c r="ACY192" s="922"/>
      <c r="ACZ192" s="922"/>
      <c r="ADA192" s="922"/>
      <c r="ADB192" s="922"/>
      <c r="ADC192" s="922"/>
      <c r="ADD192" s="922"/>
      <c r="ADE192" s="922"/>
      <c r="ADF192" s="922"/>
      <c r="ADG192" s="922"/>
      <c r="ADH192" s="922"/>
      <c r="ADI192" s="922"/>
      <c r="ADJ192" s="922"/>
      <c r="ADK192" s="922"/>
      <c r="ADL192" s="922"/>
      <c r="ADM192" s="922"/>
      <c r="ADN192" s="922"/>
      <c r="ADO192" s="922"/>
      <c r="ADP192" s="922"/>
      <c r="ADQ192" s="922"/>
      <c r="ADR192" s="922"/>
      <c r="ADS192" s="922"/>
      <c r="ADT192" s="922"/>
      <c r="ADU192" s="922"/>
      <c r="ADV192" s="922"/>
      <c r="ADW192" s="922"/>
      <c r="ADX192" s="922"/>
      <c r="ADY192" s="922"/>
      <c r="ADZ192" s="922"/>
      <c r="AEA192" s="922"/>
      <c r="AEB192" s="922"/>
      <c r="AEC192" s="922"/>
      <c r="AED192" s="922"/>
      <c r="AEE192" s="922"/>
      <c r="AEF192" s="922"/>
      <c r="AEG192" s="922"/>
      <c r="AEH192" s="922"/>
      <c r="AEI192" s="922"/>
      <c r="AEJ192" s="922"/>
      <c r="AEK192" s="922"/>
      <c r="AEL192" s="922"/>
      <c r="AEM192" s="922"/>
      <c r="AEN192" s="922"/>
      <c r="AEO192" s="922"/>
      <c r="AEP192" s="922"/>
      <c r="AEQ192" s="922"/>
      <c r="AER192" s="922"/>
      <c r="AES192" s="922"/>
      <c r="AET192" s="922"/>
      <c r="AEU192" s="922"/>
      <c r="AEV192" s="922"/>
      <c r="AEW192" s="922"/>
      <c r="AEX192" s="922"/>
      <c r="AEY192" s="922"/>
      <c r="AEZ192" s="922"/>
      <c r="AFA192" s="922"/>
      <c r="AFB192" s="922"/>
      <c r="AFC192" s="922"/>
      <c r="AFD192" s="922"/>
      <c r="AFE192" s="922"/>
      <c r="AFF192" s="922"/>
      <c r="AFG192" s="922"/>
      <c r="AFH192" s="922"/>
      <c r="AFI192" s="922"/>
      <c r="AFJ192" s="922"/>
      <c r="AFK192" s="922"/>
      <c r="AFL192" s="922"/>
      <c r="AFM192" s="922"/>
      <c r="AFN192" s="922"/>
      <c r="AFO192" s="922"/>
      <c r="AFP192" s="922"/>
      <c r="AFQ192" s="922"/>
      <c r="AFR192" s="922"/>
      <c r="AFS192" s="922"/>
      <c r="AFT192" s="922"/>
      <c r="AFU192" s="922"/>
      <c r="AFV192" s="922"/>
      <c r="AFW192" s="922"/>
      <c r="AFX192" s="922"/>
      <c r="AFY192" s="922"/>
      <c r="AFZ192" s="922"/>
      <c r="AGA192" s="922"/>
      <c r="AGB192" s="922"/>
      <c r="AGC192" s="922"/>
      <c r="AGD192" s="922"/>
      <c r="AGE192" s="922"/>
      <c r="AGF192" s="922"/>
      <c r="AGG192" s="922"/>
      <c r="AGH192" s="922"/>
      <c r="AGI192" s="922"/>
      <c r="AGJ192" s="922"/>
      <c r="AGK192" s="922"/>
      <c r="AGL192" s="922"/>
      <c r="AGM192" s="922"/>
      <c r="AGN192" s="922"/>
      <c r="AGO192" s="922"/>
      <c r="AGP192" s="922"/>
      <c r="AGQ192" s="922"/>
      <c r="AGR192" s="922"/>
      <c r="AGS192" s="922"/>
      <c r="AGT192" s="922"/>
      <c r="AGU192" s="922"/>
      <c r="AGV192" s="922"/>
      <c r="AGW192" s="922"/>
      <c r="AGX192" s="922"/>
      <c r="AGY192" s="922"/>
      <c r="AGZ192" s="922"/>
      <c r="AHA192" s="922"/>
      <c r="AHB192" s="922"/>
      <c r="AHC192" s="922"/>
      <c r="AHD192" s="922"/>
      <c r="AHE192" s="922"/>
      <c r="AHF192" s="922"/>
      <c r="AHG192" s="922"/>
      <c r="AHH192" s="922"/>
      <c r="AHI192" s="922"/>
      <c r="AHJ192" s="922"/>
      <c r="AHK192" s="922"/>
      <c r="AHL192" s="922"/>
      <c r="AHM192" s="922"/>
      <c r="AHN192" s="922"/>
      <c r="AHO192" s="922"/>
      <c r="AHP192" s="922"/>
      <c r="AHQ192" s="922"/>
      <c r="AHR192" s="922"/>
      <c r="AHS192" s="922"/>
      <c r="AHT192" s="922"/>
      <c r="AHU192" s="922"/>
      <c r="AHV192" s="922"/>
      <c r="AHW192" s="922"/>
      <c r="AHX192" s="922"/>
      <c r="AHY192" s="922"/>
      <c r="AHZ192" s="922"/>
      <c r="AIA192" s="922"/>
      <c r="AIB192" s="922"/>
      <c r="AIC192" s="922"/>
      <c r="AID192" s="922"/>
      <c r="AIE192" s="922"/>
      <c r="AIF192" s="922"/>
      <c r="AIG192" s="922"/>
      <c r="AIH192" s="922"/>
      <c r="AII192" s="922"/>
      <c r="AIJ192" s="922"/>
      <c r="AIK192" s="922"/>
      <c r="AIL192" s="922"/>
      <c r="AIM192" s="922"/>
      <c r="AIN192" s="922"/>
      <c r="AIO192" s="922"/>
      <c r="AIP192" s="922"/>
      <c r="AIQ192" s="922"/>
      <c r="AIR192" s="922"/>
      <c r="AIS192" s="922"/>
      <c r="AIT192" s="922"/>
      <c r="AIU192" s="922"/>
      <c r="AIV192" s="922"/>
      <c r="AIW192" s="922"/>
      <c r="AIX192" s="922"/>
      <c r="AIY192" s="922"/>
      <c r="AIZ192" s="922"/>
      <c r="AJA192" s="922"/>
      <c r="AJB192" s="922"/>
      <c r="AJC192" s="922"/>
      <c r="AJD192" s="922"/>
      <c r="AJE192" s="922"/>
      <c r="AJF192" s="922"/>
      <c r="AJG192" s="922"/>
      <c r="AJH192" s="922"/>
      <c r="AJI192" s="922"/>
      <c r="AJJ192" s="922"/>
      <c r="AJK192" s="922"/>
      <c r="AJL192" s="922"/>
      <c r="AJM192" s="922"/>
      <c r="AJN192" s="922"/>
      <c r="AJO192" s="922"/>
      <c r="AJP192" s="922"/>
      <c r="AJQ192" s="922"/>
      <c r="AJR192" s="922"/>
      <c r="AJS192" s="922"/>
      <c r="AJT192" s="922"/>
      <c r="AJU192" s="922"/>
      <c r="AJV192" s="922"/>
      <c r="AJW192" s="922"/>
      <c r="AJX192" s="922"/>
      <c r="AJY192" s="922"/>
      <c r="AJZ192" s="922"/>
      <c r="AKA192" s="922"/>
      <c r="AKB192" s="922"/>
      <c r="AKC192" s="922"/>
      <c r="AKD192" s="922"/>
      <c r="AKE192" s="922"/>
      <c r="AKF192" s="922"/>
      <c r="AKG192" s="922"/>
      <c r="AKH192" s="922"/>
      <c r="AKI192" s="922"/>
      <c r="AKJ192" s="922"/>
      <c r="AKK192" s="922"/>
      <c r="AKL192" s="922"/>
      <c r="AKM192" s="922"/>
      <c r="AKN192" s="922"/>
      <c r="AKO192" s="922"/>
      <c r="AKP192" s="922"/>
      <c r="AKQ192" s="922"/>
      <c r="AKR192" s="922"/>
      <c r="AKS192" s="922"/>
      <c r="AKT192" s="922"/>
      <c r="AKU192" s="922"/>
      <c r="AKV192" s="922"/>
      <c r="AKW192" s="922"/>
      <c r="AKX192" s="922"/>
      <c r="AKY192" s="922"/>
      <c r="AKZ192" s="922"/>
      <c r="ALA192" s="922"/>
      <c r="ALB192" s="922"/>
      <c r="ALC192" s="922"/>
      <c r="ALD192" s="922"/>
      <c r="ALE192" s="922"/>
      <c r="ALF192" s="922"/>
      <c r="ALG192" s="922"/>
      <c r="ALH192" s="922"/>
      <c r="ALI192" s="922"/>
      <c r="ALJ192" s="922"/>
      <c r="ALK192" s="922"/>
      <c r="ALL192" s="922"/>
      <c r="ALM192" s="922"/>
      <c r="ALN192" s="922"/>
      <c r="ALO192" s="922"/>
      <c r="ALP192" s="922"/>
      <c r="ALQ192" s="922"/>
      <c r="ALR192" s="922"/>
      <c r="ALS192" s="922"/>
      <c r="ALT192" s="922"/>
      <c r="ALU192" s="922"/>
      <c r="ALV192" s="922"/>
      <c r="ALW192" s="922"/>
      <c r="ALX192" s="922"/>
      <c r="ALY192" s="922"/>
      <c r="ALZ192" s="922"/>
      <c r="AMA192" s="922"/>
      <c r="AMB192" s="922"/>
      <c r="AMC192" s="922"/>
      <c r="AMD192" s="922"/>
      <c r="AME192" s="922"/>
      <c r="AMF192" s="922"/>
      <c r="AMG192" s="922"/>
      <c r="AMH192" s="922"/>
      <c r="AMI192" s="922"/>
      <c r="AMJ192" s="922"/>
      <c r="AMK192" s="922"/>
      <c r="AML192" s="922"/>
      <c r="AMM192" s="922"/>
      <c r="AMN192" s="922"/>
      <c r="AMO192" s="922"/>
      <c r="AMP192" s="922"/>
      <c r="AMQ192" s="922"/>
      <c r="AMR192" s="922"/>
      <c r="AMS192" s="922"/>
      <c r="AMT192" s="922"/>
      <c r="AMU192" s="922"/>
      <c r="AMV192" s="922"/>
      <c r="AMW192" s="922"/>
      <c r="AMX192" s="922"/>
      <c r="AMY192" s="922"/>
      <c r="AMZ192" s="922"/>
      <c r="ANA192" s="922"/>
      <c r="ANB192" s="922"/>
      <c r="ANC192" s="922"/>
      <c r="AND192" s="922"/>
      <c r="ANE192" s="922"/>
      <c r="ANF192" s="922"/>
      <c r="ANG192" s="922"/>
      <c r="ANH192" s="922"/>
      <c r="ANI192" s="922"/>
      <c r="ANJ192" s="922"/>
      <c r="ANK192" s="922"/>
      <c r="ANL192" s="922"/>
      <c r="ANM192" s="922"/>
      <c r="ANN192" s="922"/>
      <c r="ANO192" s="922"/>
      <c r="ANP192" s="922"/>
      <c r="ANQ192" s="922"/>
      <c r="ANR192" s="922"/>
      <c r="ANS192" s="922"/>
      <c r="ANT192" s="922"/>
      <c r="ANU192" s="922"/>
      <c r="ANV192" s="922"/>
      <c r="ANW192" s="922"/>
      <c r="ANX192" s="922"/>
      <c r="ANY192" s="922"/>
      <c r="ANZ192" s="922"/>
      <c r="AOA192" s="922"/>
      <c r="AOB192" s="922"/>
      <c r="AOC192" s="922"/>
      <c r="AOD192" s="922"/>
      <c r="AOE192" s="922"/>
      <c r="AOF192" s="922"/>
      <c r="AOG192" s="922"/>
      <c r="AOH192" s="922"/>
      <c r="AOI192" s="922"/>
      <c r="AOJ192" s="922"/>
      <c r="AOK192" s="922"/>
      <c r="AOL192" s="922"/>
      <c r="AOM192" s="922"/>
      <c r="AON192" s="922"/>
      <c r="AOO192" s="922"/>
      <c r="AOP192" s="922"/>
      <c r="AOQ192" s="922"/>
      <c r="AOR192" s="922"/>
      <c r="AOS192" s="922"/>
      <c r="AOT192" s="922"/>
      <c r="AOU192" s="922"/>
      <c r="AOV192" s="922"/>
      <c r="AOW192" s="922"/>
      <c r="AOX192" s="922"/>
      <c r="AOY192" s="922"/>
      <c r="AOZ192" s="922"/>
      <c r="APA192" s="922"/>
      <c r="APB192" s="922"/>
      <c r="APC192" s="922"/>
      <c r="APD192" s="922"/>
      <c r="APE192" s="922"/>
      <c r="APF192" s="922"/>
      <c r="APG192" s="922"/>
      <c r="APH192" s="922"/>
      <c r="API192" s="922"/>
      <c r="APJ192" s="922"/>
      <c r="APK192" s="922"/>
      <c r="APL192" s="922"/>
      <c r="APM192" s="922"/>
      <c r="APN192" s="922"/>
      <c r="APO192" s="922"/>
      <c r="APP192" s="922"/>
      <c r="APQ192" s="922"/>
      <c r="APR192" s="922"/>
      <c r="APS192" s="922"/>
      <c r="APT192" s="922"/>
      <c r="APU192" s="922"/>
      <c r="APV192" s="922"/>
      <c r="APW192" s="922"/>
      <c r="APX192" s="922"/>
      <c r="APY192" s="922"/>
      <c r="APZ192" s="922"/>
      <c r="AQA192" s="922"/>
      <c r="AQB192" s="922"/>
      <c r="AQC192" s="922"/>
      <c r="AQD192" s="922"/>
      <c r="AQE192" s="922"/>
      <c r="AQF192" s="922"/>
      <c r="AQG192" s="922"/>
      <c r="AQH192" s="922"/>
      <c r="AQI192" s="922"/>
      <c r="AQJ192" s="922"/>
      <c r="AQK192" s="922"/>
      <c r="AQL192" s="922"/>
      <c r="AQM192" s="922"/>
      <c r="AQN192" s="922"/>
      <c r="AQO192" s="922"/>
      <c r="AQP192" s="922"/>
      <c r="AQQ192" s="922"/>
      <c r="AQR192" s="922"/>
      <c r="AQS192" s="922"/>
      <c r="AQT192" s="922"/>
      <c r="AQU192" s="922"/>
      <c r="AQV192" s="922"/>
      <c r="AQW192" s="922"/>
      <c r="AQX192" s="922"/>
      <c r="AQY192" s="922"/>
      <c r="AQZ192" s="922"/>
      <c r="ARA192" s="922"/>
      <c r="ARB192" s="922"/>
      <c r="ARC192" s="922"/>
      <c r="ARD192" s="922"/>
      <c r="ARE192" s="922"/>
      <c r="ARF192" s="922"/>
      <c r="ARG192" s="922"/>
      <c r="ARH192" s="922"/>
      <c r="ARI192" s="922"/>
      <c r="ARJ192" s="922"/>
      <c r="ARK192" s="922"/>
      <c r="ARL192" s="922"/>
      <c r="ARM192" s="922"/>
      <c r="ARN192" s="922"/>
      <c r="ARO192" s="922"/>
      <c r="ARP192" s="922"/>
      <c r="ARQ192" s="922"/>
      <c r="ARR192" s="922"/>
      <c r="ARS192" s="922"/>
      <c r="ART192" s="922"/>
      <c r="ARU192" s="922"/>
      <c r="ARV192" s="922"/>
      <c r="ARW192" s="922"/>
      <c r="ARX192" s="922"/>
      <c r="ARY192" s="922"/>
      <c r="ARZ192" s="922"/>
      <c r="ASA192" s="922"/>
      <c r="ASB192" s="922"/>
      <c r="ASC192" s="922"/>
    </row>
    <row r="193" spans="20:1173" hidden="1">
      <c r="T193" s="922"/>
      <c r="AN193" s="922"/>
      <c r="AO193" s="922"/>
      <c r="AP193" s="922"/>
      <c r="AQ193" s="922"/>
      <c r="AR193" s="922"/>
      <c r="AS193" s="922"/>
      <c r="AT193" s="922"/>
      <c r="AU193" s="922"/>
      <c r="AV193" s="922"/>
      <c r="AW193" s="922"/>
      <c r="AX193" s="922"/>
      <c r="AY193" s="922"/>
      <c r="AZ193" s="922"/>
      <c r="BA193" s="922"/>
      <c r="BB193" s="922"/>
      <c r="BC193" s="922"/>
      <c r="BD193" s="922"/>
      <c r="BE193" s="922"/>
      <c r="BF193" s="922"/>
      <c r="BG193" s="922"/>
      <c r="BH193" s="922"/>
      <c r="BI193" s="922"/>
      <c r="BJ193" s="922"/>
      <c r="BK193" s="922"/>
      <c r="BL193" s="922"/>
      <c r="BM193" s="922"/>
      <c r="BN193" s="922"/>
      <c r="BO193" s="922"/>
      <c r="BP193" s="922"/>
      <c r="BQ193" s="922"/>
      <c r="BR193" s="922"/>
      <c r="BS193" s="922"/>
      <c r="BT193" s="922"/>
      <c r="BU193" s="922"/>
      <c r="BV193" s="922"/>
      <c r="BW193" s="922"/>
      <c r="BX193" s="922"/>
      <c r="BY193" s="922"/>
      <c r="BZ193" s="922"/>
      <c r="CA193" s="922"/>
      <c r="CB193" s="922"/>
      <c r="CC193" s="922"/>
      <c r="CD193" s="922"/>
      <c r="CE193" s="922"/>
      <c r="CF193" s="922"/>
      <c r="CG193" s="922"/>
      <c r="CH193" s="922"/>
      <c r="CI193" s="922"/>
      <c r="CJ193" s="922"/>
      <c r="CK193" s="922"/>
      <c r="CL193" s="922"/>
      <c r="CM193" s="922"/>
      <c r="CN193" s="922"/>
      <c r="CO193" s="922"/>
      <c r="CP193" s="922"/>
      <c r="CQ193" s="922"/>
      <c r="CR193" s="922"/>
      <c r="CS193" s="922"/>
      <c r="CT193" s="922"/>
      <c r="CU193" s="922"/>
      <c r="CV193" s="922"/>
      <c r="CW193" s="922"/>
      <c r="CX193" s="922"/>
      <c r="CY193" s="922"/>
      <c r="CZ193" s="922"/>
      <c r="DA193" s="922"/>
      <c r="DB193" s="922"/>
      <c r="DC193" s="922"/>
      <c r="DD193" s="922"/>
      <c r="DE193" s="922"/>
      <c r="DF193" s="922"/>
      <c r="DG193" s="922"/>
      <c r="DH193" s="922"/>
      <c r="DI193" s="922"/>
      <c r="DJ193" s="922"/>
      <c r="DK193" s="922"/>
      <c r="DL193" s="922"/>
      <c r="DM193" s="922"/>
      <c r="DN193" s="922"/>
      <c r="DO193" s="922"/>
      <c r="DP193" s="922"/>
      <c r="DQ193" s="922"/>
      <c r="DR193" s="922"/>
      <c r="DS193" s="922"/>
      <c r="DT193" s="922"/>
      <c r="DU193" s="922"/>
      <c r="DV193" s="922"/>
      <c r="DW193" s="922"/>
      <c r="DX193" s="922"/>
      <c r="DY193" s="922"/>
      <c r="DZ193" s="922"/>
      <c r="EA193" s="922"/>
      <c r="EB193" s="922"/>
      <c r="EC193" s="922"/>
      <c r="ED193" s="922"/>
      <c r="EE193" s="922"/>
      <c r="EF193" s="922"/>
      <c r="EG193" s="922"/>
      <c r="EH193" s="922"/>
      <c r="EI193" s="922"/>
      <c r="EJ193" s="922"/>
      <c r="EK193" s="922"/>
      <c r="EL193" s="922"/>
      <c r="EM193" s="922"/>
      <c r="EN193" s="922"/>
      <c r="EO193" s="922"/>
      <c r="EP193" s="922"/>
      <c r="EQ193" s="922"/>
      <c r="ER193" s="922"/>
      <c r="ES193" s="922"/>
      <c r="ET193" s="922"/>
      <c r="EU193" s="922"/>
      <c r="EV193" s="922"/>
      <c r="EW193" s="922"/>
      <c r="EX193" s="922"/>
      <c r="EY193" s="922"/>
      <c r="EZ193" s="922"/>
      <c r="FA193" s="922"/>
      <c r="FB193" s="922"/>
      <c r="FC193" s="922"/>
      <c r="FD193" s="922"/>
      <c r="FE193" s="922"/>
      <c r="FF193" s="922"/>
      <c r="FG193" s="922"/>
      <c r="FH193" s="922"/>
      <c r="FI193" s="922"/>
      <c r="FJ193" s="922"/>
      <c r="FK193" s="922"/>
      <c r="FL193" s="922"/>
      <c r="FM193" s="922"/>
      <c r="FN193" s="922"/>
      <c r="FO193" s="922"/>
      <c r="FP193" s="922"/>
      <c r="FQ193" s="922"/>
      <c r="FR193" s="922"/>
      <c r="FS193" s="922"/>
      <c r="FT193" s="922"/>
      <c r="FU193" s="922"/>
      <c r="FV193" s="922"/>
      <c r="FW193" s="922"/>
      <c r="FX193" s="922"/>
      <c r="FY193" s="922"/>
      <c r="FZ193" s="922"/>
      <c r="GA193" s="922"/>
      <c r="GB193" s="922"/>
      <c r="GC193" s="922"/>
      <c r="GD193" s="922"/>
      <c r="GE193" s="922"/>
      <c r="GF193" s="922"/>
      <c r="GG193" s="922"/>
      <c r="GH193" s="922"/>
      <c r="GI193" s="922"/>
      <c r="GJ193" s="922"/>
      <c r="GK193" s="922"/>
      <c r="GL193" s="922"/>
      <c r="GM193" s="922"/>
      <c r="GN193" s="922"/>
      <c r="GO193" s="922"/>
      <c r="GP193" s="922"/>
      <c r="GQ193" s="922"/>
      <c r="GR193" s="922"/>
      <c r="GS193" s="922"/>
      <c r="GT193" s="922"/>
      <c r="GU193" s="922"/>
      <c r="GV193" s="922"/>
      <c r="GW193" s="922"/>
      <c r="GX193" s="922"/>
      <c r="GY193" s="922"/>
      <c r="GZ193" s="922"/>
      <c r="HA193" s="922"/>
      <c r="HB193" s="922"/>
      <c r="HC193" s="922"/>
      <c r="HD193" s="922"/>
      <c r="HE193" s="922"/>
      <c r="HF193" s="922"/>
      <c r="HG193" s="922"/>
      <c r="HH193" s="922"/>
      <c r="HI193" s="922"/>
      <c r="HJ193" s="922"/>
      <c r="HK193" s="922"/>
      <c r="HL193" s="922"/>
      <c r="HM193" s="922"/>
      <c r="HN193" s="922"/>
      <c r="HO193" s="922"/>
      <c r="HP193" s="922"/>
      <c r="HQ193" s="922"/>
      <c r="HR193" s="922"/>
      <c r="HS193" s="922"/>
      <c r="HT193" s="922"/>
      <c r="HU193" s="922"/>
      <c r="HV193" s="922"/>
      <c r="HW193" s="922"/>
      <c r="HX193" s="922"/>
      <c r="HY193" s="922"/>
      <c r="HZ193" s="922"/>
      <c r="IA193" s="922"/>
      <c r="IB193" s="922"/>
      <c r="IC193" s="922"/>
      <c r="ID193" s="922"/>
      <c r="IE193" s="922"/>
      <c r="IF193" s="922"/>
      <c r="IG193" s="922"/>
      <c r="IH193" s="922"/>
      <c r="II193" s="922"/>
      <c r="IJ193" s="922"/>
      <c r="IK193" s="922"/>
      <c r="IL193" s="922"/>
      <c r="IM193" s="922"/>
      <c r="IN193" s="922"/>
      <c r="IO193" s="922"/>
      <c r="IP193" s="922"/>
      <c r="IQ193" s="922"/>
      <c r="IR193" s="922"/>
      <c r="IS193" s="922"/>
      <c r="IT193" s="922"/>
      <c r="IU193" s="922"/>
      <c r="IV193" s="922"/>
      <c r="IW193" s="922"/>
      <c r="IX193" s="922"/>
      <c r="IY193" s="922"/>
      <c r="IZ193" s="922"/>
      <c r="JA193" s="922"/>
      <c r="JB193" s="922"/>
      <c r="JC193" s="922"/>
      <c r="JD193" s="922"/>
      <c r="JE193" s="922"/>
      <c r="JF193" s="922"/>
      <c r="JG193" s="922"/>
      <c r="JH193" s="922"/>
      <c r="JI193" s="922"/>
      <c r="JJ193" s="922"/>
      <c r="JK193" s="922"/>
      <c r="JL193" s="922"/>
      <c r="JM193" s="922"/>
      <c r="JN193" s="922"/>
      <c r="JO193" s="922"/>
      <c r="JP193" s="922"/>
      <c r="JQ193" s="922"/>
      <c r="JR193" s="922"/>
      <c r="JS193" s="922"/>
      <c r="JT193" s="922"/>
      <c r="JU193" s="922"/>
      <c r="JV193" s="922"/>
      <c r="JW193" s="922"/>
      <c r="JX193" s="922"/>
      <c r="JY193" s="922"/>
      <c r="JZ193" s="922"/>
      <c r="KA193" s="922"/>
      <c r="KB193" s="922"/>
      <c r="KC193" s="922"/>
      <c r="KD193" s="922"/>
      <c r="KE193" s="922"/>
      <c r="KF193" s="922"/>
      <c r="KG193" s="922"/>
      <c r="KH193" s="922"/>
      <c r="KI193" s="922"/>
      <c r="KJ193" s="922"/>
      <c r="KK193" s="922"/>
      <c r="KL193" s="922"/>
      <c r="KM193" s="922"/>
      <c r="KN193" s="922"/>
      <c r="KO193" s="922"/>
      <c r="KP193" s="922"/>
      <c r="KQ193" s="922"/>
      <c r="KR193" s="922"/>
      <c r="KS193" s="922"/>
      <c r="KT193" s="922"/>
      <c r="KU193" s="922"/>
      <c r="KV193" s="922"/>
      <c r="KW193" s="922"/>
      <c r="KX193" s="922"/>
      <c r="KY193" s="922"/>
      <c r="KZ193" s="922"/>
      <c r="LA193" s="922"/>
      <c r="LB193" s="922"/>
      <c r="LC193" s="922"/>
      <c r="LD193" s="922"/>
      <c r="LE193" s="922"/>
      <c r="LF193" s="922"/>
      <c r="LG193" s="922"/>
      <c r="LH193" s="922"/>
      <c r="LI193" s="922"/>
      <c r="LJ193" s="922"/>
      <c r="LK193" s="922"/>
      <c r="LL193" s="922"/>
      <c r="LM193" s="922"/>
      <c r="LN193" s="922"/>
      <c r="LO193" s="922"/>
      <c r="LP193" s="922"/>
      <c r="LQ193" s="922"/>
      <c r="LR193" s="922"/>
      <c r="LS193" s="922"/>
      <c r="LT193" s="922"/>
      <c r="LU193" s="922"/>
      <c r="LV193" s="922"/>
      <c r="LW193" s="922"/>
      <c r="LX193" s="922"/>
      <c r="LY193" s="922"/>
      <c r="LZ193" s="922"/>
      <c r="MA193" s="922"/>
      <c r="MB193" s="922"/>
      <c r="MC193" s="922"/>
      <c r="MD193" s="922"/>
      <c r="ME193" s="922"/>
      <c r="MF193" s="922"/>
      <c r="MG193" s="922"/>
      <c r="MH193" s="922"/>
      <c r="MI193" s="922"/>
      <c r="MJ193" s="922"/>
      <c r="MK193" s="922"/>
      <c r="ML193" s="922"/>
      <c r="MM193" s="922"/>
      <c r="MN193" s="922"/>
      <c r="MO193" s="922"/>
      <c r="MP193" s="922"/>
      <c r="MQ193" s="922"/>
      <c r="MR193" s="922"/>
      <c r="MS193" s="922"/>
      <c r="MT193" s="922"/>
      <c r="MU193" s="922"/>
      <c r="MV193" s="922"/>
      <c r="MW193" s="922"/>
      <c r="MX193" s="922"/>
      <c r="MY193" s="922"/>
      <c r="MZ193" s="922"/>
      <c r="NA193" s="922"/>
      <c r="NB193" s="922"/>
      <c r="NC193" s="922"/>
      <c r="ND193" s="922"/>
      <c r="NE193" s="922"/>
      <c r="NF193" s="922"/>
      <c r="NG193" s="922"/>
      <c r="NH193" s="922"/>
      <c r="NI193" s="922"/>
      <c r="NJ193" s="922"/>
      <c r="NK193" s="922"/>
      <c r="NL193" s="922"/>
      <c r="NM193" s="922"/>
      <c r="NN193" s="922"/>
      <c r="NO193" s="922"/>
      <c r="NP193" s="922"/>
      <c r="NQ193" s="922"/>
      <c r="NR193" s="922"/>
      <c r="NS193" s="922"/>
      <c r="NT193" s="922"/>
      <c r="NU193" s="922"/>
      <c r="NV193" s="922"/>
      <c r="NW193" s="922"/>
      <c r="NX193" s="922"/>
      <c r="NY193" s="922"/>
      <c r="NZ193" s="922"/>
      <c r="OA193" s="922"/>
      <c r="OB193" s="922"/>
      <c r="OC193" s="922"/>
      <c r="OD193" s="922"/>
      <c r="OE193" s="922"/>
      <c r="OF193" s="922"/>
      <c r="OG193" s="922"/>
      <c r="OH193" s="922"/>
      <c r="OI193" s="922"/>
      <c r="OJ193" s="922"/>
      <c r="OK193" s="922"/>
      <c r="OL193" s="922"/>
      <c r="OM193" s="922"/>
      <c r="ON193" s="922"/>
      <c r="OO193" s="922"/>
      <c r="OP193" s="922"/>
      <c r="OQ193" s="922"/>
      <c r="OR193" s="922"/>
      <c r="OS193" s="922"/>
      <c r="OT193" s="922"/>
      <c r="OU193" s="922"/>
      <c r="OV193" s="922"/>
      <c r="OW193" s="922"/>
      <c r="OX193" s="922"/>
      <c r="OY193" s="922"/>
      <c r="OZ193" s="922"/>
      <c r="PA193" s="922"/>
      <c r="PB193" s="922"/>
      <c r="PC193" s="922"/>
      <c r="PD193" s="922"/>
      <c r="PE193" s="922"/>
      <c r="PF193" s="922"/>
      <c r="PG193" s="922"/>
      <c r="PH193" s="922"/>
      <c r="PI193" s="922"/>
      <c r="PJ193" s="922"/>
      <c r="PK193" s="922"/>
      <c r="PL193" s="922"/>
      <c r="PM193" s="922"/>
      <c r="PN193" s="922"/>
      <c r="PO193" s="922"/>
      <c r="PP193" s="922"/>
      <c r="PQ193" s="922"/>
      <c r="PR193" s="922"/>
      <c r="PS193" s="922"/>
      <c r="PT193" s="922"/>
      <c r="PU193" s="922"/>
      <c r="PV193" s="922"/>
      <c r="PW193" s="922"/>
      <c r="PX193" s="922"/>
      <c r="PY193" s="922"/>
      <c r="PZ193" s="922"/>
      <c r="QA193" s="922"/>
      <c r="QB193" s="922"/>
      <c r="QC193" s="922"/>
      <c r="QD193" s="922"/>
      <c r="QE193" s="922"/>
      <c r="QF193" s="922"/>
      <c r="QG193" s="922"/>
      <c r="QH193" s="922"/>
      <c r="QI193" s="922"/>
      <c r="QJ193" s="922"/>
      <c r="QK193" s="922"/>
      <c r="QL193" s="922"/>
      <c r="QM193" s="922"/>
      <c r="QN193" s="922"/>
      <c r="QO193" s="922"/>
      <c r="QP193" s="922"/>
      <c r="QQ193" s="922"/>
      <c r="QR193" s="922"/>
      <c r="QS193" s="922"/>
      <c r="QT193" s="922"/>
      <c r="QU193" s="922"/>
      <c r="QV193" s="922"/>
      <c r="QW193" s="922"/>
      <c r="QX193" s="922"/>
      <c r="QY193" s="922"/>
      <c r="QZ193" s="922"/>
      <c r="RA193" s="922"/>
      <c r="RB193" s="922"/>
      <c r="RC193" s="922"/>
      <c r="RD193" s="922"/>
      <c r="RE193" s="922"/>
      <c r="RF193" s="922"/>
      <c r="RG193" s="922"/>
      <c r="RH193" s="922"/>
      <c r="RI193" s="922"/>
      <c r="RJ193" s="922"/>
      <c r="RK193" s="922"/>
      <c r="RL193" s="922"/>
      <c r="RM193" s="922"/>
      <c r="RN193" s="922"/>
      <c r="RO193" s="922"/>
      <c r="RP193" s="922"/>
      <c r="RQ193" s="922"/>
      <c r="RR193" s="922"/>
      <c r="RS193" s="922"/>
      <c r="RT193" s="922"/>
      <c r="RU193" s="922"/>
      <c r="RV193" s="922"/>
      <c r="RW193" s="922"/>
      <c r="RX193" s="922"/>
      <c r="RY193" s="922"/>
      <c r="RZ193" s="922"/>
      <c r="SA193" s="922"/>
      <c r="SB193" s="922"/>
      <c r="SC193" s="922"/>
      <c r="SD193" s="922"/>
      <c r="SE193" s="922"/>
      <c r="SF193" s="922"/>
      <c r="SG193" s="922"/>
      <c r="SH193" s="922"/>
      <c r="SI193" s="922"/>
      <c r="SJ193" s="922"/>
      <c r="SK193" s="922"/>
      <c r="SL193" s="922"/>
      <c r="SM193" s="922"/>
      <c r="SN193" s="922"/>
      <c r="SO193" s="922"/>
      <c r="SP193" s="922"/>
      <c r="SQ193" s="922"/>
      <c r="SR193" s="922"/>
      <c r="SS193" s="922"/>
      <c r="ST193" s="922"/>
      <c r="SU193" s="922"/>
      <c r="SV193" s="922"/>
      <c r="SW193" s="922"/>
      <c r="SX193" s="922"/>
      <c r="SY193" s="922"/>
      <c r="SZ193" s="922"/>
      <c r="TA193" s="922"/>
      <c r="TB193" s="922"/>
      <c r="TC193" s="922"/>
      <c r="TD193" s="922"/>
      <c r="TE193" s="922"/>
      <c r="TF193" s="922"/>
      <c r="TG193" s="922"/>
      <c r="TH193" s="922"/>
      <c r="TI193" s="922"/>
      <c r="TJ193" s="922"/>
      <c r="TK193" s="922"/>
      <c r="TL193" s="922"/>
      <c r="TM193" s="922"/>
      <c r="TN193" s="922"/>
      <c r="TO193" s="922"/>
      <c r="TP193" s="922"/>
      <c r="TQ193" s="922"/>
      <c r="TR193" s="922"/>
      <c r="TS193" s="922"/>
      <c r="TT193" s="922"/>
      <c r="TU193" s="922"/>
      <c r="TV193" s="922"/>
      <c r="TW193" s="922"/>
      <c r="TX193" s="922"/>
      <c r="TY193" s="922"/>
      <c r="TZ193" s="922"/>
      <c r="UA193" s="922"/>
      <c r="UB193" s="922"/>
      <c r="UC193" s="922"/>
      <c r="UD193" s="922"/>
      <c r="UE193" s="922"/>
      <c r="UF193" s="922"/>
      <c r="UG193" s="922"/>
      <c r="UH193" s="922"/>
      <c r="UI193" s="922"/>
      <c r="UJ193" s="922"/>
      <c r="UK193" s="922"/>
      <c r="UL193" s="922"/>
      <c r="UM193" s="922"/>
      <c r="UN193" s="922"/>
      <c r="UO193" s="922"/>
      <c r="UP193" s="922"/>
      <c r="UQ193" s="922"/>
      <c r="UR193" s="922"/>
      <c r="US193" s="922"/>
      <c r="UT193" s="922"/>
      <c r="UU193" s="922"/>
      <c r="UV193" s="922"/>
      <c r="UW193" s="922"/>
      <c r="UX193" s="922"/>
      <c r="UY193" s="922"/>
      <c r="UZ193" s="922"/>
      <c r="VA193" s="922"/>
      <c r="VB193" s="922"/>
      <c r="VC193" s="922"/>
      <c r="VD193" s="922"/>
      <c r="VE193" s="922"/>
      <c r="VF193" s="922"/>
      <c r="VG193" s="922"/>
      <c r="VH193" s="922"/>
      <c r="VI193" s="922"/>
      <c r="VJ193" s="922"/>
      <c r="VK193" s="922"/>
      <c r="VL193" s="922"/>
      <c r="VM193" s="922"/>
      <c r="VN193" s="922"/>
      <c r="VO193" s="922"/>
      <c r="VP193" s="922"/>
      <c r="VQ193" s="922"/>
      <c r="VR193" s="922"/>
      <c r="VS193" s="922"/>
      <c r="VT193" s="922"/>
      <c r="VU193" s="922"/>
      <c r="VV193" s="922"/>
      <c r="VW193" s="922"/>
      <c r="VX193" s="922"/>
      <c r="VY193" s="922"/>
      <c r="VZ193" s="922"/>
      <c r="WA193" s="922"/>
      <c r="WB193" s="922"/>
      <c r="WC193" s="922"/>
      <c r="WD193" s="922"/>
      <c r="WE193" s="922"/>
      <c r="WF193" s="922"/>
      <c r="WG193" s="922"/>
      <c r="WH193" s="922"/>
      <c r="WI193" s="922"/>
      <c r="WJ193" s="922"/>
      <c r="WK193" s="922"/>
      <c r="WL193" s="922"/>
      <c r="WM193" s="922"/>
      <c r="WN193" s="922"/>
      <c r="WO193" s="922"/>
      <c r="WP193" s="922"/>
      <c r="WQ193" s="922"/>
      <c r="WR193" s="922"/>
      <c r="WS193" s="922"/>
      <c r="WT193" s="922"/>
      <c r="WU193" s="922"/>
      <c r="WV193" s="922"/>
      <c r="WW193" s="922"/>
      <c r="WX193" s="922"/>
      <c r="WY193" s="922"/>
      <c r="WZ193" s="922"/>
      <c r="XA193" s="922"/>
      <c r="XB193" s="922"/>
      <c r="XC193" s="922"/>
      <c r="XD193" s="922"/>
      <c r="XE193" s="922"/>
      <c r="XF193" s="922"/>
      <c r="XG193" s="922"/>
      <c r="XH193" s="922"/>
      <c r="XI193" s="922"/>
      <c r="XJ193" s="922"/>
      <c r="XK193" s="922"/>
      <c r="XL193" s="922"/>
      <c r="XM193" s="922"/>
      <c r="XN193" s="922"/>
      <c r="XO193" s="922"/>
      <c r="XP193" s="922"/>
      <c r="XQ193" s="922"/>
      <c r="XR193" s="922"/>
      <c r="XS193" s="922"/>
      <c r="XT193" s="922"/>
      <c r="XU193" s="922"/>
      <c r="XV193" s="922"/>
      <c r="XW193" s="922"/>
      <c r="XX193" s="922"/>
      <c r="XY193" s="922"/>
      <c r="XZ193" s="922"/>
      <c r="YA193" s="922"/>
      <c r="YB193" s="922"/>
      <c r="YC193" s="922"/>
      <c r="YD193" s="922"/>
      <c r="YE193" s="922"/>
      <c r="YF193" s="922"/>
      <c r="YG193" s="922"/>
      <c r="YH193" s="922"/>
      <c r="YI193" s="922"/>
      <c r="YJ193" s="922"/>
      <c r="YK193" s="922"/>
      <c r="YL193" s="922"/>
      <c r="YM193" s="922"/>
      <c r="YN193" s="922"/>
      <c r="YO193" s="922"/>
      <c r="YP193" s="922"/>
      <c r="YQ193" s="922"/>
      <c r="YR193" s="922"/>
      <c r="YS193" s="922"/>
      <c r="YT193" s="922"/>
      <c r="YU193" s="922"/>
      <c r="YV193" s="922"/>
      <c r="YW193" s="922"/>
      <c r="YX193" s="922"/>
      <c r="YY193" s="922"/>
      <c r="YZ193" s="922"/>
      <c r="ZA193" s="922"/>
      <c r="ZB193" s="922"/>
      <c r="ZC193" s="922"/>
      <c r="ZD193" s="922"/>
      <c r="ZE193" s="922"/>
      <c r="ZF193" s="922"/>
      <c r="ZG193" s="922"/>
      <c r="ZH193" s="922"/>
      <c r="ZI193" s="922"/>
      <c r="ZJ193" s="922"/>
      <c r="ZK193" s="922"/>
      <c r="ZL193" s="922"/>
      <c r="ZM193" s="922"/>
      <c r="ZN193" s="922"/>
      <c r="ZO193" s="922"/>
      <c r="ZP193" s="922"/>
      <c r="ZQ193" s="922"/>
      <c r="ZR193" s="922"/>
      <c r="ZS193" s="922"/>
      <c r="ZT193" s="922"/>
      <c r="ZU193" s="922"/>
      <c r="ZV193" s="922"/>
      <c r="ZW193" s="922"/>
      <c r="ZX193" s="922"/>
      <c r="ZY193" s="922"/>
      <c r="ZZ193" s="922"/>
      <c r="AAA193" s="922"/>
      <c r="AAB193" s="922"/>
      <c r="AAC193" s="922"/>
      <c r="AAD193" s="922"/>
      <c r="AAE193" s="922"/>
      <c r="AAF193" s="922"/>
      <c r="AAG193" s="922"/>
      <c r="AAH193" s="922"/>
      <c r="AAI193" s="922"/>
      <c r="AAJ193" s="922"/>
      <c r="AAK193" s="922"/>
      <c r="AAL193" s="922"/>
      <c r="AAM193" s="922"/>
      <c r="AAN193" s="922"/>
      <c r="AAO193" s="922"/>
      <c r="AAP193" s="922"/>
      <c r="AAQ193" s="922"/>
      <c r="AAR193" s="922"/>
      <c r="AAS193" s="922"/>
      <c r="AAT193" s="922"/>
      <c r="AAU193" s="922"/>
      <c r="AAV193" s="922"/>
      <c r="AAW193" s="922"/>
      <c r="AAX193" s="922"/>
      <c r="AAY193" s="922"/>
      <c r="AAZ193" s="922"/>
      <c r="ABA193" s="922"/>
      <c r="ABB193" s="922"/>
      <c r="ABC193" s="922"/>
      <c r="ABD193" s="922"/>
      <c r="ABE193" s="922"/>
      <c r="ABF193" s="922"/>
      <c r="ABG193" s="922"/>
      <c r="ABH193" s="922"/>
      <c r="ABI193" s="922"/>
      <c r="ABJ193" s="922"/>
      <c r="ABK193" s="922"/>
      <c r="ABL193" s="922"/>
      <c r="ABM193" s="922"/>
      <c r="ABN193" s="922"/>
      <c r="ABO193" s="922"/>
      <c r="ABP193" s="922"/>
      <c r="ABQ193" s="922"/>
      <c r="ABR193" s="922"/>
      <c r="ABS193" s="922"/>
      <c r="ABT193" s="922"/>
      <c r="ABU193" s="922"/>
      <c r="ABV193" s="922"/>
      <c r="ABW193" s="922"/>
      <c r="ABX193" s="922"/>
      <c r="ABY193" s="922"/>
      <c r="ABZ193" s="922"/>
      <c r="ACA193" s="922"/>
      <c r="ACB193" s="922"/>
      <c r="ACC193" s="922"/>
      <c r="ACD193" s="922"/>
      <c r="ACE193" s="922"/>
      <c r="ACF193" s="922"/>
      <c r="ACG193" s="922"/>
      <c r="ACH193" s="922"/>
      <c r="ACI193" s="922"/>
      <c r="ACJ193" s="922"/>
      <c r="ACK193" s="922"/>
      <c r="ACL193" s="922"/>
      <c r="ACM193" s="922"/>
      <c r="ACN193" s="922"/>
      <c r="ACO193" s="922"/>
      <c r="ACP193" s="922"/>
      <c r="ACQ193" s="922"/>
      <c r="ACR193" s="922"/>
      <c r="ACS193" s="922"/>
      <c r="ACT193" s="922"/>
      <c r="ACU193" s="922"/>
      <c r="ACV193" s="922"/>
      <c r="ACW193" s="922"/>
      <c r="ACX193" s="922"/>
      <c r="ACY193" s="922"/>
      <c r="ACZ193" s="922"/>
      <c r="ADA193" s="922"/>
      <c r="ADB193" s="922"/>
      <c r="ADC193" s="922"/>
      <c r="ADD193" s="922"/>
      <c r="ADE193" s="922"/>
      <c r="ADF193" s="922"/>
      <c r="ADG193" s="922"/>
      <c r="ADH193" s="922"/>
      <c r="ADI193" s="922"/>
      <c r="ADJ193" s="922"/>
      <c r="ADK193" s="922"/>
      <c r="ADL193" s="922"/>
      <c r="ADM193" s="922"/>
      <c r="ADN193" s="922"/>
      <c r="ADO193" s="922"/>
      <c r="ADP193" s="922"/>
      <c r="ADQ193" s="922"/>
      <c r="ADR193" s="922"/>
      <c r="ADS193" s="922"/>
      <c r="ADT193" s="922"/>
      <c r="ADU193" s="922"/>
      <c r="ADV193" s="922"/>
      <c r="ADW193" s="922"/>
      <c r="ADX193" s="922"/>
      <c r="ADY193" s="922"/>
      <c r="ADZ193" s="922"/>
      <c r="AEA193" s="922"/>
      <c r="AEB193" s="922"/>
      <c r="AEC193" s="922"/>
      <c r="AED193" s="922"/>
      <c r="AEE193" s="922"/>
      <c r="AEF193" s="922"/>
      <c r="AEG193" s="922"/>
      <c r="AEH193" s="922"/>
      <c r="AEI193" s="922"/>
      <c r="AEJ193" s="922"/>
      <c r="AEK193" s="922"/>
      <c r="AEL193" s="922"/>
      <c r="AEM193" s="922"/>
      <c r="AEN193" s="922"/>
      <c r="AEO193" s="922"/>
      <c r="AEP193" s="922"/>
      <c r="AEQ193" s="922"/>
      <c r="AER193" s="922"/>
      <c r="AES193" s="922"/>
      <c r="AET193" s="922"/>
      <c r="AEU193" s="922"/>
      <c r="AEV193" s="922"/>
      <c r="AEW193" s="922"/>
      <c r="AEX193" s="922"/>
      <c r="AEY193" s="922"/>
      <c r="AEZ193" s="922"/>
      <c r="AFA193" s="922"/>
      <c r="AFB193" s="922"/>
      <c r="AFC193" s="922"/>
      <c r="AFD193" s="922"/>
      <c r="AFE193" s="922"/>
      <c r="AFF193" s="922"/>
      <c r="AFG193" s="922"/>
      <c r="AFH193" s="922"/>
      <c r="AFI193" s="922"/>
      <c r="AFJ193" s="922"/>
      <c r="AFK193" s="922"/>
      <c r="AFL193" s="922"/>
      <c r="AFM193" s="922"/>
      <c r="AFN193" s="922"/>
      <c r="AFO193" s="922"/>
      <c r="AFP193" s="922"/>
      <c r="AFQ193" s="922"/>
      <c r="AFR193" s="922"/>
      <c r="AFS193" s="922"/>
      <c r="AFT193" s="922"/>
      <c r="AFU193" s="922"/>
      <c r="AFV193" s="922"/>
      <c r="AFW193" s="922"/>
      <c r="AFX193" s="922"/>
      <c r="AFY193" s="922"/>
      <c r="AFZ193" s="922"/>
      <c r="AGA193" s="922"/>
      <c r="AGB193" s="922"/>
      <c r="AGC193" s="922"/>
      <c r="AGD193" s="922"/>
      <c r="AGE193" s="922"/>
      <c r="AGF193" s="922"/>
      <c r="AGG193" s="922"/>
      <c r="AGH193" s="922"/>
      <c r="AGI193" s="922"/>
      <c r="AGJ193" s="922"/>
      <c r="AGK193" s="922"/>
      <c r="AGL193" s="922"/>
      <c r="AGM193" s="922"/>
      <c r="AGN193" s="922"/>
      <c r="AGO193" s="922"/>
      <c r="AGP193" s="922"/>
      <c r="AGQ193" s="922"/>
      <c r="AGR193" s="922"/>
      <c r="AGS193" s="922"/>
      <c r="AGT193" s="922"/>
      <c r="AGU193" s="922"/>
      <c r="AGV193" s="922"/>
      <c r="AGW193" s="922"/>
      <c r="AGX193" s="922"/>
      <c r="AGY193" s="922"/>
      <c r="AGZ193" s="922"/>
      <c r="AHA193" s="922"/>
      <c r="AHB193" s="922"/>
      <c r="AHC193" s="922"/>
      <c r="AHD193" s="922"/>
      <c r="AHE193" s="922"/>
      <c r="AHF193" s="922"/>
      <c r="AHG193" s="922"/>
      <c r="AHH193" s="922"/>
      <c r="AHI193" s="922"/>
      <c r="AHJ193" s="922"/>
      <c r="AHK193" s="922"/>
      <c r="AHL193" s="922"/>
      <c r="AHM193" s="922"/>
      <c r="AHN193" s="922"/>
      <c r="AHO193" s="922"/>
      <c r="AHP193" s="922"/>
      <c r="AHQ193" s="922"/>
      <c r="AHR193" s="922"/>
      <c r="AHS193" s="922"/>
      <c r="AHT193" s="922"/>
      <c r="AHU193" s="922"/>
      <c r="AHV193" s="922"/>
      <c r="AHW193" s="922"/>
      <c r="AHX193" s="922"/>
      <c r="AHY193" s="922"/>
      <c r="AHZ193" s="922"/>
      <c r="AIA193" s="922"/>
      <c r="AIB193" s="922"/>
      <c r="AIC193" s="922"/>
      <c r="AID193" s="922"/>
      <c r="AIE193" s="922"/>
      <c r="AIF193" s="922"/>
      <c r="AIG193" s="922"/>
      <c r="AIH193" s="922"/>
      <c r="AII193" s="922"/>
      <c r="AIJ193" s="922"/>
      <c r="AIK193" s="922"/>
      <c r="AIL193" s="922"/>
      <c r="AIM193" s="922"/>
      <c r="AIN193" s="922"/>
      <c r="AIO193" s="922"/>
      <c r="AIP193" s="922"/>
      <c r="AIQ193" s="922"/>
      <c r="AIR193" s="922"/>
      <c r="AIS193" s="922"/>
      <c r="AIT193" s="922"/>
      <c r="AIU193" s="922"/>
      <c r="AIV193" s="922"/>
      <c r="AIW193" s="922"/>
      <c r="AIX193" s="922"/>
      <c r="AIY193" s="922"/>
      <c r="AIZ193" s="922"/>
      <c r="AJA193" s="922"/>
      <c r="AJB193" s="922"/>
      <c r="AJC193" s="922"/>
      <c r="AJD193" s="922"/>
      <c r="AJE193" s="922"/>
      <c r="AJF193" s="922"/>
      <c r="AJG193" s="922"/>
      <c r="AJH193" s="922"/>
      <c r="AJI193" s="922"/>
      <c r="AJJ193" s="922"/>
      <c r="AJK193" s="922"/>
      <c r="AJL193" s="922"/>
      <c r="AJM193" s="922"/>
      <c r="AJN193" s="922"/>
      <c r="AJO193" s="922"/>
      <c r="AJP193" s="922"/>
      <c r="AJQ193" s="922"/>
      <c r="AJR193" s="922"/>
      <c r="AJS193" s="922"/>
      <c r="AJT193" s="922"/>
      <c r="AJU193" s="922"/>
      <c r="AJV193" s="922"/>
      <c r="AJW193" s="922"/>
      <c r="AJX193" s="922"/>
      <c r="AJY193" s="922"/>
      <c r="AJZ193" s="922"/>
      <c r="AKA193" s="922"/>
      <c r="AKB193" s="922"/>
      <c r="AKC193" s="922"/>
      <c r="AKD193" s="922"/>
      <c r="AKE193" s="922"/>
      <c r="AKF193" s="922"/>
      <c r="AKG193" s="922"/>
      <c r="AKH193" s="922"/>
      <c r="AKI193" s="922"/>
      <c r="AKJ193" s="922"/>
      <c r="AKK193" s="922"/>
      <c r="AKL193" s="922"/>
      <c r="AKM193" s="922"/>
      <c r="AKN193" s="922"/>
      <c r="AKO193" s="922"/>
      <c r="AKP193" s="922"/>
      <c r="AKQ193" s="922"/>
      <c r="AKR193" s="922"/>
      <c r="AKS193" s="922"/>
      <c r="AKT193" s="922"/>
      <c r="AKU193" s="922"/>
      <c r="AKV193" s="922"/>
      <c r="AKW193" s="922"/>
      <c r="AKX193" s="922"/>
      <c r="AKY193" s="922"/>
      <c r="AKZ193" s="922"/>
      <c r="ALA193" s="922"/>
      <c r="ALB193" s="922"/>
      <c r="ALC193" s="922"/>
      <c r="ALD193" s="922"/>
      <c r="ALE193" s="922"/>
      <c r="ALF193" s="922"/>
      <c r="ALG193" s="922"/>
      <c r="ALH193" s="922"/>
      <c r="ALI193" s="922"/>
      <c r="ALJ193" s="922"/>
      <c r="ALK193" s="922"/>
      <c r="ALL193" s="922"/>
      <c r="ALM193" s="922"/>
      <c r="ALN193" s="922"/>
      <c r="ALO193" s="922"/>
      <c r="ALP193" s="922"/>
      <c r="ALQ193" s="922"/>
      <c r="ALR193" s="922"/>
      <c r="ALS193" s="922"/>
      <c r="ALT193" s="922"/>
      <c r="ALU193" s="922"/>
      <c r="ALV193" s="922"/>
      <c r="ALW193" s="922"/>
      <c r="ALX193" s="922"/>
      <c r="ALY193" s="922"/>
      <c r="ALZ193" s="922"/>
      <c r="AMA193" s="922"/>
      <c r="AMB193" s="922"/>
      <c r="AMC193" s="922"/>
      <c r="AMD193" s="922"/>
      <c r="AME193" s="922"/>
      <c r="AMF193" s="922"/>
      <c r="AMG193" s="922"/>
      <c r="AMH193" s="922"/>
      <c r="AMI193" s="922"/>
      <c r="AMJ193" s="922"/>
      <c r="AMK193" s="922"/>
      <c r="AML193" s="922"/>
      <c r="AMM193" s="922"/>
      <c r="AMN193" s="922"/>
      <c r="AMO193" s="922"/>
      <c r="AMP193" s="922"/>
      <c r="AMQ193" s="922"/>
      <c r="AMR193" s="922"/>
      <c r="AMS193" s="922"/>
      <c r="AMT193" s="922"/>
      <c r="AMU193" s="922"/>
      <c r="AMV193" s="922"/>
      <c r="AMW193" s="922"/>
      <c r="AMX193" s="922"/>
      <c r="AMY193" s="922"/>
      <c r="AMZ193" s="922"/>
      <c r="ANA193" s="922"/>
      <c r="ANB193" s="922"/>
      <c r="ANC193" s="922"/>
      <c r="AND193" s="922"/>
      <c r="ANE193" s="922"/>
      <c r="ANF193" s="922"/>
      <c r="ANG193" s="922"/>
      <c r="ANH193" s="922"/>
      <c r="ANI193" s="922"/>
      <c r="ANJ193" s="922"/>
      <c r="ANK193" s="922"/>
      <c r="ANL193" s="922"/>
      <c r="ANM193" s="922"/>
      <c r="ANN193" s="922"/>
      <c r="ANO193" s="922"/>
      <c r="ANP193" s="922"/>
      <c r="ANQ193" s="922"/>
      <c r="ANR193" s="922"/>
      <c r="ANS193" s="922"/>
      <c r="ANT193" s="922"/>
      <c r="ANU193" s="922"/>
      <c r="ANV193" s="922"/>
      <c r="ANW193" s="922"/>
      <c r="ANX193" s="922"/>
      <c r="ANY193" s="922"/>
      <c r="ANZ193" s="922"/>
      <c r="AOA193" s="922"/>
      <c r="AOB193" s="922"/>
      <c r="AOC193" s="922"/>
      <c r="AOD193" s="922"/>
      <c r="AOE193" s="922"/>
      <c r="AOF193" s="922"/>
      <c r="AOG193" s="922"/>
      <c r="AOH193" s="922"/>
      <c r="AOI193" s="922"/>
      <c r="AOJ193" s="922"/>
      <c r="AOK193" s="922"/>
      <c r="AOL193" s="922"/>
      <c r="AOM193" s="922"/>
      <c r="AON193" s="922"/>
      <c r="AOO193" s="922"/>
      <c r="AOP193" s="922"/>
      <c r="AOQ193" s="922"/>
      <c r="AOR193" s="922"/>
      <c r="AOS193" s="922"/>
      <c r="AOT193" s="922"/>
      <c r="AOU193" s="922"/>
      <c r="AOV193" s="922"/>
      <c r="AOW193" s="922"/>
      <c r="AOX193" s="922"/>
      <c r="AOY193" s="922"/>
      <c r="AOZ193" s="922"/>
      <c r="APA193" s="922"/>
      <c r="APB193" s="922"/>
      <c r="APC193" s="922"/>
      <c r="APD193" s="922"/>
      <c r="APE193" s="922"/>
      <c r="APF193" s="922"/>
      <c r="APG193" s="922"/>
      <c r="APH193" s="922"/>
      <c r="API193" s="922"/>
      <c r="APJ193" s="922"/>
      <c r="APK193" s="922"/>
      <c r="APL193" s="922"/>
      <c r="APM193" s="922"/>
      <c r="APN193" s="922"/>
      <c r="APO193" s="922"/>
      <c r="APP193" s="922"/>
      <c r="APQ193" s="922"/>
      <c r="APR193" s="922"/>
      <c r="APS193" s="922"/>
      <c r="APT193" s="922"/>
      <c r="APU193" s="922"/>
      <c r="APV193" s="922"/>
      <c r="APW193" s="922"/>
      <c r="APX193" s="922"/>
      <c r="APY193" s="922"/>
      <c r="APZ193" s="922"/>
      <c r="AQA193" s="922"/>
      <c r="AQB193" s="922"/>
      <c r="AQC193" s="922"/>
      <c r="AQD193" s="922"/>
      <c r="AQE193" s="922"/>
      <c r="AQF193" s="922"/>
      <c r="AQG193" s="922"/>
      <c r="AQH193" s="922"/>
      <c r="AQI193" s="922"/>
      <c r="AQJ193" s="922"/>
      <c r="AQK193" s="922"/>
      <c r="AQL193" s="922"/>
      <c r="AQM193" s="922"/>
      <c r="AQN193" s="922"/>
      <c r="AQO193" s="922"/>
      <c r="AQP193" s="922"/>
      <c r="AQQ193" s="922"/>
      <c r="AQR193" s="922"/>
      <c r="AQS193" s="922"/>
      <c r="AQT193" s="922"/>
      <c r="AQU193" s="922"/>
      <c r="AQV193" s="922"/>
      <c r="AQW193" s="922"/>
      <c r="AQX193" s="922"/>
      <c r="AQY193" s="922"/>
      <c r="AQZ193" s="922"/>
      <c r="ARA193" s="922"/>
      <c r="ARB193" s="922"/>
      <c r="ARC193" s="922"/>
      <c r="ARD193" s="922"/>
      <c r="ARE193" s="922"/>
      <c r="ARF193" s="922"/>
      <c r="ARG193" s="922"/>
      <c r="ARH193" s="922"/>
      <c r="ARI193" s="922"/>
      <c r="ARJ193" s="922"/>
      <c r="ARK193" s="922"/>
      <c r="ARL193" s="922"/>
      <c r="ARM193" s="922"/>
      <c r="ARN193" s="922"/>
      <c r="ARO193" s="922"/>
      <c r="ARP193" s="922"/>
      <c r="ARQ193" s="922"/>
      <c r="ARR193" s="922"/>
      <c r="ARS193" s="922"/>
      <c r="ART193" s="922"/>
      <c r="ARU193" s="922"/>
      <c r="ARV193" s="922"/>
      <c r="ARW193" s="922"/>
      <c r="ARX193" s="922"/>
      <c r="ARY193" s="922"/>
      <c r="ARZ193" s="922"/>
      <c r="ASA193" s="922"/>
      <c r="ASB193" s="922"/>
      <c r="ASC193" s="922"/>
    </row>
    <row r="194" spans="20:1173" hidden="1">
      <c r="T194" s="922"/>
      <c r="AN194" s="922"/>
      <c r="AO194" s="922"/>
      <c r="AP194" s="922"/>
      <c r="AQ194" s="922"/>
      <c r="AR194" s="922"/>
      <c r="AS194" s="922"/>
      <c r="AT194" s="922"/>
      <c r="AU194" s="922"/>
      <c r="AV194" s="922"/>
      <c r="AW194" s="922"/>
      <c r="AX194" s="922"/>
      <c r="AY194" s="922"/>
      <c r="AZ194" s="922"/>
      <c r="BA194" s="922"/>
      <c r="BB194" s="922"/>
      <c r="BC194" s="922"/>
      <c r="BD194" s="922"/>
      <c r="BE194" s="922"/>
      <c r="BF194" s="922"/>
      <c r="BG194" s="922"/>
      <c r="BH194" s="922"/>
      <c r="BI194" s="922"/>
      <c r="BJ194" s="922"/>
      <c r="BK194" s="922"/>
      <c r="BL194" s="922"/>
      <c r="BM194" s="922"/>
      <c r="BN194" s="922"/>
      <c r="BO194" s="922"/>
      <c r="BP194" s="922"/>
      <c r="BQ194" s="922"/>
      <c r="BR194" s="922"/>
      <c r="BS194" s="922"/>
      <c r="BT194" s="922"/>
      <c r="BU194" s="922"/>
      <c r="BV194" s="922"/>
      <c r="BW194" s="922"/>
      <c r="BX194" s="922"/>
      <c r="BY194" s="922"/>
      <c r="BZ194" s="922"/>
      <c r="CA194" s="922"/>
      <c r="CB194" s="922"/>
      <c r="CC194" s="922"/>
      <c r="CD194" s="922"/>
      <c r="CE194" s="922"/>
      <c r="CF194" s="922"/>
      <c r="CG194" s="922"/>
      <c r="CH194" s="922"/>
      <c r="CI194" s="922"/>
      <c r="CJ194" s="922"/>
      <c r="CK194" s="922"/>
      <c r="CL194" s="922"/>
      <c r="CM194" s="922"/>
      <c r="CN194" s="922"/>
      <c r="CO194" s="922"/>
      <c r="CP194" s="922"/>
      <c r="CQ194" s="922"/>
      <c r="CR194" s="922"/>
      <c r="CS194" s="922"/>
      <c r="CT194" s="922"/>
      <c r="CU194" s="922"/>
      <c r="CV194" s="922"/>
      <c r="CW194" s="922"/>
      <c r="CX194" s="922"/>
      <c r="CY194" s="922"/>
      <c r="CZ194" s="922"/>
      <c r="DA194" s="922"/>
      <c r="DB194" s="922"/>
      <c r="DC194" s="922"/>
      <c r="DD194" s="922"/>
      <c r="DE194" s="922"/>
      <c r="DF194" s="922"/>
      <c r="DG194" s="922"/>
      <c r="DH194" s="922"/>
      <c r="DI194" s="922"/>
      <c r="DJ194" s="922"/>
      <c r="DK194" s="922"/>
      <c r="DL194" s="922"/>
      <c r="DM194" s="922"/>
      <c r="DN194" s="922"/>
      <c r="DO194" s="922"/>
      <c r="DP194" s="922"/>
      <c r="DQ194" s="922"/>
      <c r="DR194" s="922"/>
      <c r="DS194" s="922"/>
      <c r="DT194" s="922"/>
      <c r="DU194" s="922"/>
      <c r="DV194" s="922"/>
      <c r="DW194" s="922"/>
      <c r="DX194" s="922"/>
      <c r="DY194" s="922"/>
      <c r="DZ194" s="922"/>
      <c r="EA194" s="922"/>
      <c r="EB194" s="922"/>
      <c r="EC194" s="922"/>
      <c r="ED194" s="922"/>
      <c r="EE194" s="922"/>
      <c r="EF194" s="922"/>
      <c r="EG194" s="922"/>
      <c r="EH194" s="922"/>
      <c r="EI194" s="922"/>
      <c r="EJ194" s="922"/>
      <c r="EK194" s="922"/>
      <c r="EL194" s="922"/>
      <c r="EM194" s="922"/>
      <c r="EN194" s="922"/>
      <c r="EO194" s="922"/>
      <c r="EP194" s="922"/>
      <c r="EQ194" s="922"/>
      <c r="ER194" s="922"/>
      <c r="ES194" s="922"/>
      <c r="ET194" s="922"/>
      <c r="EU194" s="922"/>
      <c r="EV194" s="922"/>
      <c r="EW194" s="922"/>
      <c r="EX194" s="922"/>
      <c r="EY194" s="922"/>
      <c r="EZ194" s="922"/>
      <c r="FA194" s="922"/>
      <c r="FB194" s="922"/>
      <c r="FC194" s="922"/>
      <c r="FD194" s="922"/>
      <c r="FE194" s="922"/>
      <c r="FF194" s="922"/>
      <c r="FG194" s="922"/>
      <c r="FH194" s="922"/>
      <c r="FI194" s="922"/>
      <c r="FJ194" s="922"/>
      <c r="FK194" s="922"/>
      <c r="FL194" s="922"/>
      <c r="FM194" s="922"/>
      <c r="FN194" s="922"/>
      <c r="FO194" s="922"/>
      <c r="FP194" s="922"/>
      <c r="FQ194" s="922"/>
      <c r="FR194" s="922"/>
      <c r="FS194" s="922"/>
      <c r="FT194" s="922"/>
      <c r="FU194" s="922"/>
      <c r="FV194" s="922"/>
      <c r="FW194" s="922"/>
      <c r="FX194" s="922"/>
      <c r="FY194" s="922"/>
      <c r="FZ194" s="922"/>
      <c r="GA194" s="922"/>
      <c r="GB194" s="922"/>
      <c r="GC194" s="922"/>
      <c r="GD194" s="922"/>
      <c r="GE194" s="922"/>
      <c r="GF194" s="922"/>
      <c r="GG194" s="922"/>
      <c r="GH194" s="922"/>
      <c r="GI194" s="922"/>
      <c r="GJ194" s="922"/>
      <c r="GK194" s="922"/>
      <c r="GL194" s="922"/>
      <c r="GM194" s="922"/>
      <c r="GN194" s="922"/>
      <c r="GO194" s="922"/>
      <c r="GP194" s="922"/>
      <c r="GQ194" s="922"/>
      <c r="GR194" s="922"/>
      <c r="GS194" s="922"/>
      <c r="GT194" s="922"/>
      <c r="GU194" s="922"/>
      <c r="GV194" s="922"/>
      <c r="GW194" s="922"/>
      <c r="GX194" s="922"/>
      <c r="GY194" s="922"/>
      <c r="GZ194" s="922"/>
      <c r="HA194" s="922"/>
      <c r="HB194" s="922"/>
      <c r="HC194" s="922"/>
      <c r="HD194" s="922"/>
      <c r="HE194" s="922"/>
      <c r="HF194" s="922"/>
      <c r="HG194" s="922"/>
      <c r="HH194" s="922"/>
      <c r="HI194" s="922"/>
      <c r="HJ194" s="922"/>
      <c r="HK194" s="922"/>
      <c r="HL194" s="922"/>
      <c r="HM194" s="922"/>
      <c r="HN194" s="922"/>
      <c r="HO194" s="922"/>
      <c r="HP194" s="922"/>
      <c r="HQ194" s="922"/>
      <c r="HR194" s="922"/>
      <c r="HS194" s="922"/>
      <c r="HT194" s="922"/>
      <c r="HU194" s="922"/>
      <c r="HV194" s="922"/>
      <c r="HW194" s="922"/>
      <c r="HX194" s="922"/>
      <c r="HY194" s="922"/>
      <c r="HZ194" s="922"/>
      <c r="IA194" s="922"/>
      <c r="IB194" s="922"/>
      <c r="IC194" s="922"/>
      <c r="ID194" s="922"/>
      <c r="IE194" s="922"/>
      <c r="IF194" s="922"/>
      <c r="IG194" s="922"/>
      <c r="IH194" s="922"/>
      <c r="II194" s="922"/>
      <c r="IJ194" s="922"/>
      <c r="IK194" s="922"/>
      <c r="IL194" s="922"/>
      <c r="IM194" s="922"/>
      <c r="IN194" s="922"/>
      <c r="IO194" s="922"/>
      <c r="IP194" s="922"/>
      <c r="IQ194" s="922"/>
      <c r="IR194" s="922"/>
      <c r="IS194" s="922"/>
      <c r="IT194" s="922"/>
      <c r="IU194" s="922"/>
      <c r="IV194" s="922"/>
      <c r="IW194" s="922"/>
      <c r="IX194" s="922"/>
      <c r="IY194" s="922"/>
      <c r="IZ194" s="922"/>
      <c r="JA194" s="922"/>
      <c r="JB194" s="922"/>
      <c r="JC194" s="922"/>
      <c r="JD194" s="922"/>
      <c r="JE194" s="922"/>
      <c r="JF194" s="922"/>
      <c r="JG194" s="922"/>
      <c r="JH194" s="922"/>
      <c r="JI194" s="922"/>
      <c r="JJ194" s="922"/>
      <c r="JK194" s="922"/>
      <c r="JL194" s="922"/>
      <c r="JM194" s="922"/>
      <c r="JN194" s="922"/>
      <c r="JO194" s="922"/>
      <c r="JP194" s="922"/>
      <c r="JQ194" s="922"/>
      <c r="JR194" s="922"/>
      <c r="JS194" s="922"/>
      <c r="JT194" s="922"/>
      <c r="JU194" s="922"/>
      <c r="JV194" s="922"/>
      <c r="JW194" s="922"/>
      <c r="JX194" s="922"/>
      <c r="JY194" s="922"/>
      <c r="JZ194" s="922"/>
      <c r="KA194" s="922"/>
      <c r="KB194" s="922"/>
      <c r="KC194" s="922"/>
      <c r="KD194" s="922"/>
      <c r="KE194" s="922"/>
      <c r="KF194" s="922"/>
      <c r="KG194" s="922"/>
      <c r="KH194" s="922"/>
      <c r="KI194" s="922"/>
      <c r="KJ194" s="922"/>
      <c r="KK194" s="922"/>
      <c r="KL194" s="922"/>
      <c r="KM194" s="922"/>
      <c r="KN194" s="922"/>
      <c r="KO194" s="922"/>
      <c r="KP194" s="922"/>
      <c r="KQ194" s="922"/>
      <c r="KR194" s="922"/>
      <c r="KS194" s="922"/>
      <c r="KT194" s="922"/>
      <c r="KU194" s="922"/>
      <c r="KV194" s="922"/>
      <c r="KW194" s="922"/>
      <c r="KX194" s="922"/>
      <c r="KY194" s="922"/>
      <c r="KZ194" s="922"/>
      <c r="LA194" s="922"/>
      <c r="LB194" s="922"/>
      <c r="LC194" s="922"/>
      <c r="LD194" s="922"/>
      <c r="LE194" s="922"/>
      <c r="LF194" s="922"/>
      <c r="LG194" s="922"/>
      <c r="LH194" s="922"/>
      <c r="LI194" s="922"/>
      <c r="LJ194" s="922"/>
      <c r="LK194" s="922"/>
      <c r="LL194" s="922"/>
      <c r="LM194" s="922"/>
      <c r="LN194" s="922"/>
      <c r="LO194" s="922"/>
      <c r="LP194" s="922"/>
      <c r="LQ194" s="922"/>
      <c r="LR194" s="922"/>
      <c r="LS194" s="922"/>
      <c r="LT194" s="922"/>
      <c r="LU194" s="922"/>
      <c r="LV194" s="922"/>
      <c r="LW194" s="922"/>
      <c r="LX194" s="922"/>
      <c r="LY194" s="922"/>
      <c r="LZ194" s="922"/>
      <c r="MA194" s="922"/>
      <c r="MB194" s="922"/>
      <c r="MC194" s="922"/>
      <c r="MD194" s="922"/>
      <c r="ME194" s="922"/>
      <c r="MF194" s="922"/>
      <c r="MG194" s="922"/>
      <c r="MH194" s="922"/>
      <c r="MI194" s="922"/>
      <c r="MJ194" s="922"/>
      <c r="MK194" s="922"/>
      <c r="ML194" s="922"/>
      <c r="MM194" s="922"/>
      <c r="MN194" s="922"/>
      <c r="MO194" s="922"/>
      <c r="MP194" s="922"/>
      <c r="MQ194" s="922"/>
      <c r="MR194" s="922"/>
      <c r="MS194" s="922"/>
      <c r="MT194" s="922"/>
      <c r="MU194" s="922"/>
      <c r="MV194" s="922"/>
      <c r="MW194" s="922"/>
      <c r="MX194" s="922"/>
      <c r="MY194" s="922"/>
      <c r="MZ194" s="922"/>
      <c r="NA194" s="922"/>
      <c r="NB194" s="922"/>
      <c r="NC194" s="922"/>
      <c r="ND194" s="922"/>
      <c r="NE194" s="922"/>
      <c r="NF194" s="922"/>
      <c r="NG194" s="922"/>
      <c r="NH194" s="922"/>
      <c r="NI194" s="922"/>
      <c r="NJ194" s="922"/>
      <c r="NK194" s="922"/>
      <c r="NL194" s="922"/>
      <c r="NM194" s="922"/>
      <c r="NN194" s="922"/>
      <c r="NO194" s="922"/>
      <c r="NP194" s="922"/>
      <c r="NQ194" s="922"/>
      <c r="NR194" s="922"/>
      <c r="NS194" s="922"/>
      <c r="NT194" s="922"/>
      <c r="NU194" s="922"/>
      <c r="NV194" s="922"/>
      <c r="NW194" s="922"/>
      <c r="NX194" s="922"/>
      <c r="NY194" s="922"/>
      <c r="NZ194" s="922"/>
      <c r="OA194" s="922"/>
      <c r="OB194" s="922"/>
      <c r="OC194" s="922"/>
      <c r="OD194" s="922"/>
      <c r="OE194" s="922"/>
      <c r="OF194" s="922"/>
      <c r="OG194" s="922"/>
      <c r="OH194" s="922"/>
      <c r="OI194" s="922"/>
      <c r="OJ194" s="922"/>
      <c r="OK194" s="922"/>
      <c r="OL194" s="922"/>
      <c r="OM194" s="922"/>
      <c r="ON194" s="922"/>
      <c r="OO194" s="922"/>
      <c r="OP194" s="922"/>
      <c r="OQ194" s="922"/>
      <c r="OR194" s="922"/>
      <c r="OS194" s="922"/>
      <c r="OT194" s="922"/>
      <c r="OU194" s="922"/>
      <c r="OV194" s="922"/>
      <c r="OW194" s="922"/>
      <c r="OX194" s="922"/>
      <c r="OY194" s="922"/>
      <c r="OZ194" s="922"/>
      <c r="PA194" s="922"/>
      <c r="PB194" s="922"/>
      <c r="PC194" s="922"/>
      <c r="PD194" s="922"/>
      <c r="PE194" s="922"/>
      <c r="PF194" s="922"/>
      <c r="PG194" s="922"/>
      <c r="PH194" s="922"/>
      <c r="PI194" s="922"/>
      <c r="PJ194" s="922"/>
      <c r="PK194" s="922"/>
      <c r="PL194" s="922"/>
      <c r="PM194" s="922"/>
      <c r="PN194" s="922"/>
      <c r="PO194" s="922"/>
      <c r="PP194" s="922"/>
      <c r="PQ194" s="922"/>
      <c r="PR194" s="922"/>
      <c r="PS194" s="922"/>
      <c r="PT194" s="922"/>
      <c r="PU194" s="922"/>
      <c r="PV194" s="922"/>
      <c r="PW194" s="922"/>
      <c r="PX194" s="922"/>
      <c r="PY194" s="922"/>
      <c r="PZ194" s="922"/>
      <c r="QA194" s="922"/>
      <c r="QB194" s="922"/>
      <c r="QC194" s="922"/>
      <c r="QD194" s="922"/>
      <c r="QE194" s="922"/>
      <c r="QF194" s="922"/>
      <c r="QG194" s="922"/>
      <c r="QH194" s="922"/>
      <c r="QI194" s="922"/>
      <c r="QJ194" s="922"/>
      <c r="QK194" s="922"/>
      <c r="QL194" s="922"/>
      <c r="QM194" s="922"/>
      <c r="QN194" s="922"/>
      <c r="QO194" s="922"/>
      <c r="QP194" s="922"/>
      <c r="QQ194" s="922"/>
      <c r="QR194" s="922"/>
      <c r="QS194" s="922"/>
      <c r="QT194" s="922"/>
      <c r="QU194" s="922"/>
      <c r="QV194" s="922"/>
      <c r="QW194" s="922"/>
      <c r="QX194" s="922"/>
      <c r="QY194" s="922"/>
      <c r="QZ194" s="922"/>
      <c r="RA194" s="922"/>
      <c r="RB194" s="922"/>
      <c r="RC194" s="922"/>
      <c r="RD194" s="922"/>
      <c r="RE194" s="922"/>
      <c r="RF194" s="922"/>
      <c r="RG194" s="922"/>
      <c r="RH194" s="922"/>
      <c r="RI194" s="922"/>
      <c r="RJ194" s="922"/>
      <c r="RK194" s="922"/>
      <c r="RL194" s="922"/>
      <c r="RM194" s="922"/>
      <c r="RN194" s="922"/>
      <c r="RO194" s="922"/>
      <c r="RP194" s="922"/>
      <c r="RQ194" s="922"/>
      <c r="RR194" s="922"/>
      <c r="RS194" s="922"/>
      <c r="RT194" s="922"/>
      <c r="RU194" s="922"/>
      <c r="RV194" s="922"/>
      <c r="RW194" s="922"/>
      <c r="RX194" s="922"/>
      <c r="RY194" s="922"/>
      <c r="RZ194" s="922"/>
      <c r="SA194" s="922"/>
      <c r="SB194" s="922"/>
      <c r="SC194" s="922"/>
      <c r="SD194" s="922"/>
      <c r="SE194" s="922"/>
      <c r="SF194" s="922"/>
      <c r="SG194" s="922"/>
      <c r="SH194" s="922"/>
      <c r="SI194" s="922"/>
      <c r="SJ194" s="922"/>
      <c r="SK194" s="922"/>
      <c r="SL194" s="922"/>
      <c r="SM194" s="922"/>
      <c r="SN194" s="922"/>
      <c r="SO194" s="922"/>
      <c r="SP194" s="922"/>
      <c r="SQ194" s="922"/>
      <c r="SR194" s="922"/>
      <c r="SS194" s="922"/>
      <c r="ST194" s="922"/>
      <c r="SU194" s="922"/>
      <c r="SV194" s="922"/>
      <c r="SW194" s="922"/>
      <c r="SX194" s="922"/>
      <c r="SY194" s="922"/>
      <c r="SZ194" s="922"/>
      <c r="TA194" s="922"/>
      <c r="TB194" s="922"/>
      <c r="TC194" s="922"/>
      <c r="TD194" s="922"/>
      <c r="TE194" s="922"/>
      <c r="TF194" s="922"/>
      <c r="TG194" s="922"/>
      <c r="TH194" s="922"/>
      <c r="TI194" s="922"/>
      <c r="TJ194" s="922"/>
      <c r="TK194" s="922"/>
      <c r="TL194" s="922"/>
      <c r="TM194" s="922"/>
      <c r="TN194" s="922"/>
      <c r="TO194" s="922"/>
      <c r="TP194" s="922"/>
      <c r="TQ194" s="922"/>
      <c r="TR194" s="922"/>
      <c r="TS194" s="922"/>
      <c r="TT194" s="922"/>
      <c r="TU194" s="922"/>
      <c r="TV194" s="922"/>
      <c r="TW194" s="922"/>
      <c r="TX194" s="922"/>
      <c r="TY194" s="922"/>
      <c r="TZ194" s="922"/>
      <c r="UA194" s="922"/>
      <c r="UB194" s="922"/>
      <c r="UC194" s="922"/>
      <c r="UD194" s="922"/>
      <c r="UE194" s="922"/>
      <c r="UF194" s="922"/>
      <c r="UG194" s="922"/>
      <c r="UH194" s="922"/>
      <c r="UI194" s="922"/>
      <c r="UJ194" s="922"/>
      <c r="UK194" s="922"/>
      <c r="UL194" s="922"/>
      <c r="UM194" s="922"/>
      <c r="UN194" s="922"/>
      <c r="UO194" s="922"/>
      <c r="UP194" s="922"/>
      <c r="UQ194" s="922"/>
      <c r="UR194" s="922"/>
      <c r="US194" s="922"/>
      <c r="UT194" s="922"/>
      <c r="UU194" s="922"/>
      <c r="UV194" s="922"/>
      <c r="UW194" s="922"/>
      <c r="UX194" s="922"/>
      <c r="UY194" s="922"/>
      <c r="UZ194" s="922"/>
      <c r="VA194" s="922"/>
      <c r="VB194" s="922"/>
      <c r="VC194" s="922"/>
      <c r="VD194" s="922"/>
      <c r="VE194" s="922"/>
      <c r="VF194" s="922"/>
      <c r="VG194" s="922"/>
      <c r="VH194" s="922"/>
      <c r="VI194" s="922"/>
      <c r="VJ194" s="922"/>
      <c r="VK194" s="922"/>
      <c r="VL194" s="922"/>
      <c r="VM194" s="922"/>
      <c r="VN194" s="922"/>
      <c r="VO194" s="922"/>
      <c r="VP194" s="922"/>
      <c r="VQ194" s="922"/>
      <c r="VR194" s="922"/>
      <c r="VS194" s="922"/>
      <c r="VT194" s="922"/>
      <c r="VU194" s="922"/>
      <c r="VV194" s="922"/>
      <c r="VW194" s="922"/>
      <c r="VX194" s="922"/>
      <c r="VY194" s="922"/>
      <c r="VZ194" s="922"/>
      <c r="WA194" s="922"/>
      <c r="WB194" s="922"/>
      <c r="WC194" s="922"/>
      <c r="WD194" s="922"/>
      <c r="WE194" s="922"/>
      <c r="WF194" s="922"/>
      <c r="WG194" s="922"/>
      <c r="WH194" s="922"/>
      <c r="WI194" s="922"/>
      <c r="WJ194" s="922"/>
      <c r="WK194" s="922"/>
      <c r="WL194" s="922"/>
      <c r="WM194" s="922"/>
      <c r="WN194" s="922"/>
      <c r="WO194" s="922"/>
      <c r="WP194" s="922"/>
      <c r="WQ194" s="922"/>
      <c r="WR194" s="922"/>
      <c r="WS194" s="922"/>
      <c r="WT194" s="922"/>
      <c r="WU194" s="922"/>
      <c r="WV194" s="922"/>
      <c r="WW194" s="922"/>
      <c r="WX194" s="922"/>
      <c r="WY194" s="922"/>
      <c r="WZ194" s="922"/>
      <c r="XA194" s="922"/>
      <c r="XB194" s="922"/>
      <c r="XC194" s="922"/>
      <c r="XD194" s="922"/>
      <c r="XE194" s="922"/>
      <c r="XF194" s="922"/>
      <c r="XG194" s="922"/>
      <c r="XH194" s="922"/>
      <c r="XI194" s="922"/>
      <c r="XJ194" s="922"/>
      <c r="XK194" s="922"/>
      <c r="XL194" s="922"/>
      <c r="XM194" s="922"/>
      <c r="XN194" s="922"/>
      <c r="XO194" s="922"/>
      <c r="XP194" s="922"/>
      <c r="XQ194" s="922"/>
      <c r="XR194" s="922"/>
      <c r="XS194" s="922"/>
      <c r="XT194" s="922"/>
      <c r="XU194" s="922"/>
      <c r="XV194" s="922"/>
      <c r="XW194" s="922"/>
      <c r="XX194" s="922"/>
      <c r="XY194" s="922"/>
      <c r="XZ194" s="922"/>
      <c r="YA194" s="922"/>
      <c r="YB194" s="922"/>
      <c r="YC194" s="922"/>
      <c r="YD194" s="922"/>
      <c r="YE194" s="922"/>
      <c r="YF194" s="922"/>
      <c r="YG194" s="922"/>
      <c r="YH194" s="922"/>
      <c r="YI194" s="922"/>
      <c r="YJ194" s="922"/>
      <c r="YK194" s="922"/>
      <c r="YL194" s="922"/>
      <c r="YM194" s="922"/>
      <c r="YN194" s="922"/>
      <c r="YO194" s="922"/>
      <c r="YP194" s="922"/>
      <c r="YQ194" s="922"/>
      <c r="YR194" s="922"/>
      <c r="YS194" s="922"/>
      <c r="YT194" s="922"/>
      <c r="YU194" s="922"/>
      <c r="YV194" s="922"/>
      <c r="YW194" s="922"/>
      <c r="YX194" s="922"/>
      <c r="YY194" s="922"/>
      <c r="YZ194" s="922"/>
      <c r="ZA194" s="922"/>
      <c r="ZB194" s="922"/>
      <c r="ZC194" s="922"/>
      <c r="ZD194" s="922"/>
      <c r="ZE194" s="922"/>
      <c r="ZF194" s="922"/>
      <c r="ZG194" s="922"/>
      <c r="ZH194" s="922"/>
      <c r="ZI194" s="922"/>
      <c r="ZJ194" s="922"/>
      <c r="ZK194" s="922"/>
      <c r="ZL194" s="922"/>
      <c r="ZM194" s="922"/>
      <c r="ZN194" s="922"/>
      <c r="ZO194" s="922"/>
      <c r="ZP194" s="922"/>
      <c r="ZQ194" s="922"/>
      <c r="ZR194" s="922"/>
      <c r="ZS194" s="922"/>
      <c r="ZT194" s="922"/>
      <c r="ZU194" s="922"/>
      <c r="ZV194" s="922"/>
      <c r="ZW194" s="922"/>
      <c r="ZX194" s="922"/>
      <c r="ZY194" s="922"/>
      <c r="ZZ194" s="922"/>
      <c r="AAA194" s="922"/>
      <c r="AAB194" s="922"/>
      <c r="AAC194" s="922"/>
      <c r="AAD194" s="922"/>
      <c r="AAE194" s="922"/>
      <c r="AAF194" s="922"/>
      <c r="AAG194" s="922"/>
      <c r="AAH194" s="922"/>
      <c r="AAI194" s="922"/>
      <c r="AAJ194" s="922"/>
      <c r="AAK194" s="922"/>
      <c r="AAL194" s="922"/>
      <c r="AAM194" s="922"/>
      <c r="AAN194" s="922"/>
      <c r="AAO194" s="922"/>
      <c r="AAP194" s="922"/>
      <c r="AAQ194" s="922"/>
      <c r="AAR194" s="922"/>
      <c r="AAS194" s="922"/>
      <c r="AAT194" s="922"/>
      <c r="AAU194" s="922"/>
      <c r="AAV194" s="922"/>
      <c r="AAW194" s="922"/>
      <c r="AAX194" s="922"/>
      <c r="AAY194" s="922"/>
      <c r="AAZ194" s="922"/>
      <c r="ABA194" s="922"/>
      <c r="ABB194" s="922"/>
      <c r="ABC194" s="922"/>
      <c r="ABD194" s="922"/>
      <c r="ABE194" s="922"/>
      <c r="ABF194" s="922"/>
      <c r="ABG194" s="922"/>
      <c r="ABH194" s="922"/>
      <c r="ABI194" s="922"/>
      <c r="ABJ194" s="922"/>
      <c r="ABK194" s="922"/>
      <c r="ABL194" s="922"/>
      <c r="ABM194" s="922"/>
      <c r="ABN194" s="922"/>
      <c r="ABO194" s="922"/>
      <c r="ABP194" s="922"/>
      <c r="ABQ194" s="922"/>
      <c r="ABR194" s="922"/>
      <c r="ABS194" s="922"/>
      <c r="ABT194" s="922"/>
      <c r="ABU194" s="922"/>
      <c r="ABV194" s="922"/>
      <c r="ABW194" s="922"/>
      <c r="ABX194" s="922"/>
      <c r="ABY194" s="922"/>
      <c r="ABZ194" s="922"/>
      <c r="ACA194" s="922"/>
      <c r="ACB194" s="922"/>
      <c r="ACC194" s="922"/>
      <c r="ACD194" s="922"/>
      <c r="ACE194" s="922"/>
      <c r="ACF194" s="922"/>
      <c r="ACG194" s="922"/>
      <c r="ACH194" s="922"/>
      <c r="ACI194" s="922"/>
      <c r="ACJ194" s="922"/>
      <c r="ACK194" s="922"/>
      <c r="ACL194" s="922"/>
      <c r="ACM194" s="922"/>
      <c r="ACN194" s="922"/>
      <c r="ACO194" s="922"/>
      <c r="ACP194" s="922"/>
      <c r="ACQ194" s="922"/>
      <c r="ACR194" s="922"/>
      <c r="ACS194" s="922"/>
      <c r="ACT194" s="922"/>
      <c r="ACU194" s="922"/>
      <c r="ACV194" s="922"/>
      <c r="ACW194" s="922"/>
      <c r="ACX194" s="922"/>
      <c r="ACY194" s="922"/>
      <c r="ACZ194" s="922"/>
      <c r="ADA194" s="922"/>
      <c r="ADB194" s="922"/>
      <c r="ADC194" s="922"/>
      <c r="ADD194" s="922"/>
      <c r="ADE194" s="922"/>
      <c r="ADF194" s="922"/>
      <c r="ADG194" s="922"/>
      <c r="ADH194" s="922"/>
      <c r="ADI194" s="922"/>
      <c r="ADJ194" s="922"/>
      <c r="ADK194" s="922"/>
      <c r="ADL194" s="922"/>
      <c r="ADM194" s="922"/>
      <c r="ADN194" s="922"/>
      <c r="ADO194" s="922"/>
      <c r="ADP194" s="922"/>
      <c r="ADQ194" s="922"/>
      <c r="ADR194" s="922"/>
      <c r="ADS194" s="922"/>
      <c r="ADT194" s="922"/>
      <c r="ADU194" s="922"/>
      <c r="ADV194" s="922"/>
      <c r="ADW194" s="922"/>
      <c r="ADX194" s="922"/>
      <c r="ADY194" s="922"/>
      <c r="ADZ194" s="922"/>
      <c r="AEA194" s="922"/>
      <c r="AEB194" s="922"/>
      <c r="AEC194" s="922"/>
      <c r="AED194" s="922"/>
      <c r="AEE194" s="922"/>
      <c r="AEF194" s="922"/>
      <c r="AEG194" s="922"/>
      <c r="AEH194" s="922"/>
      <c r="AEI194" s="922"/>
      <c r="AEJ194" s="922"/>
      <c r="AEK194" s="922"/>
      <c r="AEL194" s="922"/>
      <c r="AEM194" s="922"/>
      <c r="AEN194" s="922"/>
      <c r="AEO194" s="922"/>
      <c r="AEP194" s="922"/>
      <c r="AEQ194" s="922"/>
      <c r="AER194" s="922"/>
      <c r="AES194" s="922"/>
      <c r="AET194" s="922"/>
      <c r="AEU194" s="922"/>
      <c r="AEV194" s="922"/>
      <c r="AEW194" s="922"/>
      <c r="AEX194" s="922"/>
      <c r="AEY194" s="922"/>
      <c r="AEZ194" s="922"/>
      <c r="AFA194" s="922"/>
      <c r="AFB194" s="922"/>
      <c r="AFC194" s="922"/>
      <c r="AFD194" s="922"/>
      <c r="AFE194" s="922"/>
      <c r="AFF194" s="922"/>
      <c r="AFG194" s="922"/>
      <c r="AFH194" s="922"/>
      <c r="AFI194" s="922"/>
      <c r="AFJ194" s="922"/>
      <c r="AFK194" s="922"/>
      <c r="AFL194" s="922"/>
      <c r="AFM194" s="922"/>
      <c r="AFN194" s="922"/>
      <c r="AFO194" s="922"/>
      <c r="AFP194" s="922"/>
      <c r="AFQ194" s="922"/>
      <c r="AFR194" s="922"/>
      <c r="AFS194" s="922"/>
      <c r="AFT194" s="922"/>
      <c r="AFU194" s="922"/>
      <c r="AFV194" s="922"/>
      <c r="AFW194" s="922"/>
      <c r="AFX194" s="922"/>
      <c r="AFY194" s="922"/>
      <c r="AFZ194" s="922"/>
      <c r="AGA194" s="922"/>
      <c r="AGB194" s="922"/>
      <c r="AGC194" s="922"/>
      <c r="AGD194" s="922"/>
      <c r="AGE194" s="922"/>
      <c r="AGF194" s="922"/>
      <c r="AGG194" s="922"/>
      <c r="AGH194" s="922"/>
      <c r="AGI194" s="922"/>
      <c r="AGJ194" s="922"/>
      <c r="AGK194" s="922"/>
      <c r="AGL194" s="922"/>
      <c r="AGM194" s="922"/>
      <c r="AGN194" s="922"/>
      <c r="AGO194" s="922"/>
      <c r="AGP194" s="922"/>
      <c r="AGQ194" s="922"/>
      <c r="AGR194" s="922"/>
      <c r="AGS194" s="922"/>
      <c r="AGT194" s="922"/>
      <c r="AGU194" s="922"/>
      <c r="AGV194" s="922"/>
      <c r="AGW194" s="922"/>
      <c r="AGX194" s="922"/>
      <c r="AGY194" s="922"/>
      <c r="AGZ194" s="922"/>
      <c r="AHA194" s="922"/>
      <c r="AHB194" s="922"/>
      <c r="AHC194" s="922"/>
      <c r="AHD194" s="922"/>
      <c r="AHE194" s="922"/>
      <c r="AHF194" s="922"/>
      <c r="AHG194" s="922"/>
      <c r="AHH194" s="922"/>
      <c r="AHI194" s="922"/>
      <c r="AHJ194" s="922"/>
      <c r="AHK194" s="922"/>
      <c r="AHL194" s="922"/>
      <c r="AHM194" s="922"/>
      <c r="AHN194" s="922"/>
      <c r="AHO194" s="922"/>
      <c r="AHP194" s="922"/>
      <c r="AHQ194" s="922"/>
      <c r="AHR194" s="922"/>
      <c r="AHS194" s="922"/>
      <c r="AHT194" s="922"/>
      <c r="AHU194" s="922"/>
      <c r="AHV194" s="922"/>
      <c r="AHW194" s="922"/>
      <c r="AHX194" s="922"/>
      <c r="AHY194" s="922"/>
      <c r="AHZ194" s="922"/>
      <c r="AIA194" s="922"/>
      <c r="AIB194" s="922"/>
      <c r="AIC194" s="922"/>
      <c r="AID194" s="922"/>
      <c r="AIE194" s="922"/>
      <c r="AIF194" s="922"/>
      <c r="AIG194" s="922"/>
      <c r="AIH194" s="922"/>
      <c r="AII194" s="922"/>
      <c r="AIJ194" s="922"/>
      <c r="AIK194" s="922"/>
      <c r="AIL194" s="922"/>
      <c r="AIM194" s="922"/>
      <c r="AIN194" s="922"/>
      <c r="AIO194" s="922"/>
      <c r="AIP194" s="922"/>
      <c r="AIQ194" s="922"/>
      <c r="AIR194" s="922"/>
      <c r="AIS194" s="922"/>
      <c r="AIT194" s="922"/>
      <c r="AIU194" s="922"/>
      <c r="AIV194" s="922"/>
      <c r="AIW194" s="922"/>
      <c r="AIX194" s="922"/>
      <c r="AIY194" s="922"/>
      <c r="AIZ194" s="922"/>
      <c r="AJA194" s="922"/>
      <c r="AJB194" s="922"/>
      <c r="AJC194" s="922"/>
      <c r="AJD194" s="922"/>
      <c r="AJE194" s="922"/>
      <c r="AJF194" s="922"/>
      <c r="AJG194" s="922"/>
      <c r="AJH194" s="922"/>
      <c r="AJI194" s="922"/>
      <c r="AJJ194" s="922"/>
      <c r="AJK194" s="922"/>
      <c r="AJL194" s="922"/>
      <c r="AJM194" s="922"/>
      <c r="AJN194" s="922"/>
      <c r="AJO194" s="922"/>
      <c r="AJP194" s="922"/>
      <c r="AJQ194" s="922"/>
      <c r="AJR194" s="922"/>
      <c r="AJS194" s="922"/>
      <c r="AJT194" s="922"/>
      <c r="AJU194" s="922"/>
      <c r="AJV194" s="922"/>
      <c r="AJW194" s="922"/>
      <c r="AJX194" s="922"/>
      <c r="AJY194" s="922"/>
      <c r="AJZ194" s="922"/>
      <c r="AKA194" s="922"/>
      <c r="AKB194" s="922"/>
      <c r="AKC194" s="922"/>
      <c r="AKD194" s="922"/>
      <c r="AKE194" s="922"/>
      <c r="AKF194" s="922"/>
      <c r="AKG194" s="922"/>
      <c r="AKH194" s="922"/>
      <c r="AKI194" s="922"/>
      <c r="AKJ194" s="922"/>
      <c r="AKK194" s="922"/>
      <c r="AKL194" s="922"/>
      <c r="AKM194" s="922"/>
      <c r="AKN194" s="922"/>
      <c r="AKO194" s="922"/>
      <c r="AKP194" s="922"/>
      <c r="AKQ194" s="922"/>
      <c r="AKR194" s="922"/>
      <c r="AKS194" s="922"/>
      <c r="AKT194" s="922"/>
      <c r="AKU194" s="922"/>
      <c r="AKV194" s="922"/>
      <c r="AKW194" s="922"/>
      <c r="AKX194" s="922"/>
      <c r="AKY194" s="922"/>
      <c r="AKZ194" s="922"/>
      <c r="ALA194" s="922"/>
      <c r="ALB194" s="922"/>
      <c r="ALC194" s="922"/>
      <c r="ALD194" s="922"/>
      <c r="ALE194" s="922"/>
      <c r="ALF194" s="922"/>
      <c r="ALG194" s="922"/>
      <c r="ALH194" s="922"/>
      <c r="ALI194" s="922"/>
      <c r="ALJ194" s="922"/>
      <c r="ALK194" s="922"/>
      <c r="ALL194" s="922"/>
      <c r="ALM194" s="922"/>
      <c r="ALN194" s="922"/>
      <c r="ALO194" s="922"/>
      <c r="ALP194" s="922"/>
      <c r="ALQ194" s="922"/>
      <c r="ALR194" s="922"/>
      <c r="ALS194" s="922"/>
      <c r="ALT194" s="922"/>
      <c r="ALU194" s="922"/>
      <c r="ALV194" s="922"/>
      <c r="ALW194" s="922"/>
      <c r="ALX194" s="922"/>
      <c r="ALY194" s="922"/>
      <c r="ALZ194" s="922"/>
      <c r="AMA194" s="922"/>
      <c r="AMB194" s="922"/>
      <c r="AMC194" s="922"/>
      <c r="AMD194" s="922"/>
      <c r="AME194" s="922"/>
      <c r="AMF194" s="922"/>
      <c r="AMG194" s="922"/>
      <c r="AMH194" s="922"/>
      <c r="AMI194" s="922"/>
      <c r="AMJ194" s="922"/>
      <c r="AMK194" s="922"/>
      <c r="AML194" s="922"/>
      <c r="AMM194" s="922"/>
      <c r="AMN194" s="922"/>
      <c r="AMO194" s="922"/>
      <c r="AMP194" s="922"/>
      <c r="AMQ194" s="922"/>
      <c r="AMR194" s="922"/>
      <c r="AMS194" s="922"/>
      <c r="AMT194" s="922"/>
      <c r="AMU194" s="922"/>
      <c r="AMV194" s="922"/>
      <c r="AMW194" s="922"/>
      <c r="AMX194" s="922"/>
      <c r="AMY194" s="922"/>
      <c r="AMZ194" s="922"/>
      <c r="ANA194" s="922"/>
      <c r="ANB194" s="922"/>
      <c r="ANC194" s="922"/>
      <c r="AND194" s="922"/>
      <c r="ANE194" s="922"/>
      <c r="ANF194" s="922"/>
      <c r="ANG194" s="922"/>
      <c r="ANH194" s="922"/>
      <c r="ANI194" s="922"/>
      <c r="ANJ194" s="922"/>
      <c r="ANK194" s="922"/>
      <c r="ANL194" s="922"/>
      <c r="ANM194" s="922"/>
      <c r="ANN194" s="922"/>
      <c r="ANO194" s="922"/>
      <c r="ANP194" s="922"/>
      <c r="ANQ194" s="922"/>
      <c r="ANR194" s="922"/>
      <c r="ANS194" s="922"/>
      <c r="ANT194" s="922"/>
      <c r="ANU194" s="922"/>
      <c r="ANV194" s="922"/>
      <c r="ANW194" s="922"/>
      <c r="ANX194" s="922"/>
      <c r="ANY194" s="922"/>
      <c r="ANZ194" s="922"/>
      <c r="AOA194" s="922"/>
      <c r="AOB194" s="922"/>
      <c r="AOC194" s="922"/>
      <c r="AOD194" s="922"/>
      <c r="AOE194" s="922"/>
      <c r="AOF194" s="922"/>
      <c r="AOG194" s="922"/>
      <c r="AOH194" s="922"/>
      <c r="AOI194" s="922"/>
      <c r="AOJ194" s="922"/>
      <c r="AOK194" s="922"/>
      <c r="AOL194" s="922"/>
      <c r="AOM194" s="922"/>
      <c r="AON194" s="922"/>
      <c r="AOO194" s="922"/>
      <c r="AOP194" s="922"/>
      <c r="AOQ194" s="922"/>
      <c r="AOR194" s="922"/>
      <c r="AOS194" s="922"/>
      <c r="AOT194" s="922"/>
      <c r="AOU194" s="922"/>
      <c r="AOV194" s="922"/>
      <c r="AOW194" s="922"/>
      <c r="AOX194" s="922"/>
      <c r="AOY194" s="922"/>
      <c r="AOZ194" s="922"/>
      <c r="APA194" s="922"/>
      <c r="APB194" s="922"/>
      <c r="APC194" s="922"/>
      <c r="APD194" s="922"/>
      <c r="APE194" s="922"/>
      <c r="APF194" s="922"/>
      <c r="APG194" s="922"/>
      <c r="APH194" s="922"/>
      <c r="API194" s="922"/>
      <c r="APJ194" s="922"/>
      <c r="APK194" s="922"/>
      <c r="APL194" s="922"/>
      <c r="APM194" s="922"/>
      <c r="APN194" s="922"/>
      <c r="APO194" s="922"/>
      <c r="APP194" s="922"/>
      <c r="APQ194" s="922"/>
      <c r="APR194" s="922"/>
      <c r="APS194" s="922"/>
      <c r="APT194" s="922"/>
      <c r="APU194" s="922"/>
      <c r="APV194" s="922"/>
      <c r="APW194" s="922"/>
      <c r="APX194" s="922"/>
      <c r="APY194" s="922"/>
      <c r="APZ194" s="922"/>
      <c r="AQA194" s="922"/>
      <c r="AQB194" s="922"/>
      <c r="AQC194" s="922"/>
      <c r="AQD194" s="922"/>
      <c r="AQE194" s="922"/>
      <c r="AQF194" s="922"/>
      <c r="AQG194" s="922"/>
      <c r="AQH194" s="922"/>
      <c r="AQI194" s="922"/>
      <c r="AQJ194" s="922"/>
      <c r="AQK194" s="922"/>
      <c r="AQL194" s="922"/>
      <c r="AQM194" s="922"/>
      <c r="AQN194" s="922"/>
      <c r="AQO194" s="922"/>
      <c r="AQP194" s="922"/>
      <c r="AQQ194" s="922"/>
      <c r="AQR194" s="922"/>
      <c r="AQS194" s="922"/>
      <c r="AQT194" s="922"/>
      <c r="AQU194" s="922"/>
      <c r="AQV194" s="922"/>
      <c r="AQW194" s="922"/>
      <c r="AQX194" s="922"/>
      <c r="AQY194" s="922"/>
      <c r="AQZ194" s="922"/>
      <c r="ARA194" s="922"/>
      <c r="ARB194" s="922"/>
      <c r="ARC194" s="922"/>
      <c r="ARD194" s="922"/>
      <c r="ARE194" s="922"/>
      <c r="ARF194" s="922"/>
      <c r="ARG194" s="922"/>
      <c r="ARH194" s="922"/>
      <c r="ARI194" s="922"/>
      <c r="ARJ194" s="922"/>
      <c r="ARK194" s="922"/>
      <c r="ARL194" s="922"/>
      <c r="ARM194" s="922"/>
      <c r="ARN194" s="922"/>
      <c r="ARO194" s="922"/>
      <c r="ARP194" s="922"/>
      <c r="ARQ194" s="922"/>
      <c r="ARR194" s="922"/>
      <c r="ARS194" s="922"/>
      <c r="ART194" s="922"/>
      <c r="ARU194" s="922"/>
      <c r="ARV194" s="922"/>
      <c r="ARW194" s="922"/>
      <c r="ARX194" s="922"/>
      <c r="ARY194" s="922"/>
      <c r="ARZ194" s="922"/>
      <c r="ASA194" s="922"/>
      <c r="ASB194" s="922"/>
      <c r="ASC194" s="922"/>
    </row>
    <row r="195" spans="20:1173" hidden="1">
      <c r="T195" s="922"/>
      <c r="AN195" s="922"/>
      <c r="AO195" s="922"/>
      <c r="AP195" s="922"/>
      <c r="AQ195" s="922"/>
      <c r="AR195" s="922"/>
      <c r="AS195" s="922"/>
      <c r="AT195" s="922"/>
      <c r="AU195" s="922"/>
      <c r="AV195" s="922"/>
      <c r="AW195" s="922"/>
      <c r="AX195" s="922"/>
      <c r="AY195" s="922"/>
      <c r="AZ195" s="922"/>
      <c r="BA195" s="922"/>
      <c r="BB195" s="922"/>
      <c r="BC195" s="922"/>
      <c r="BD195" s="922"/>
      <c r="BE195" s="922"/>
      <c r="BF195" s="922"/>
      <c r="BG195" s="922"/>
      <c r="BH195" s="922"/>
      <c r="BI195" s="922"/>
      <c r="BJ195" s="922"/>
      <c r="BK195" s="922"/>
      <c r="BL195" s="922"/>
      <c r="BM195" s="922"/>
      <c r="BN195" s="922"/>
      <c r="BO195" s="922"/>
      <c r="BP195" s="922"/>
      <c r="BQ195" s="922"/>
      <c r="BR195" s="922"/>
      <c r="BS195" s="922"/>
      <c r="BT195" s="922"/>
      <c r="BU195" s="922"/>
      <c r="BV195" s="922"/>
      <c r="BW195" s="922"/>
      <c r="BX195" s="922"/>
      <c r="BY195" s="922"/>
      <c r="BZ195" s="922"/>
      <c r="CA195" s="922"/>
      <c r="CB195" s="922"/>
      <c r="CC195" s="922"/>
      <c r="CD195" s="922"/>
      <c r="CE195" s="922"/>
      <c r="CF195" s="922"/>
      <c r="CG195" s="922"/>
      <c r="CH195" s="922"/>
      <c r="CI195" s="922"/>
      <c r="CJ195" s="922"/>
      <c r="CK195" s="922"/>
      <c r="CL195" s="922"/>
      <c r="CM195" s="922"/>
      <c r="CN195" s="922"/>
      <c r="CO195" s="922"/>
      <c r="CP195" s="922"/>
      <c r="CQ195" s="922"/>
      <c r="CR195" s="922"/>
      <c r="CS195" s="922"/>
      <c r="CT195" s="922"/>
      <c r="CU195" s="922"/>
      <c r="CV195" s="922"/>
      <c r="CW195" s="922"/>
      <c r="CX195" s="922"/>
      <c r="CY195" s="922"/>
      <c r="CZ195" s="922"/>
      <c r="DA195" s="922"/>
      <c r="DB195" s="922"/>
      <c r="DC195" s="922"/>
      <c r="DD195" s="922"/>
      <c r="DE195" s="922"/>
      <c r="DF195" s="922"/>
      <c r="DG195" s="922"/>
      <c r="DH195" s="922"/>
      <c r="DI195" s="922"/>
      <c r="DJ195" s="922"/>
      <c r="DK195" s="922"/>
      <c r="DL195" s="922"/>
      <c r="DM195" s="922"/>
      <c r="DN195" s="922"/>
      <c r="DO195" s="922"/>
      <c r="DP195" s="922"/>
      <c r="DQ195" s="922"/>
      <c r="DR195" s="922"/>
      <c r="DS195" s="922"/>
      <c r="DT195" s="922"/>
      <c r="DU195" s="922"/>
      <c r="DV195" s="922"/>
      <c r="DW195" s="922"/>
      <c r="DX195" s="922"/>
      <c r="DY195" s="922"/>
      <c r="DZ195" s="922"/>
      <c r="EA195" s="922"/>
      <c r="EB195" s="922"/>
      <c r="EC195" s="922"/>
      <c r="ED195" s="922"/>
      <c r="EE195" s="922"/>
      <c r="EF195" s="922"/>
      <c r="EG195" s="922"/>
      <c r="EH195" s="922"/>
      <c r="EI195" s="922"/>
      <c r="EJ195" s="922"/>
      <c r="EK195" s="922"/>
      <c r="EL195" s="922"/>
      <c r="EM195" s="922"/>
      <c r="EN195" s="922"/>
      <c r="EO195" s="922"/>
      <c r="EP195" s="922"/>
      <c r="EQ195" s="922"/>
      <c r="ER195" s="922"/>
      <c r="ES195" s="922"/>
      <c r="ET195" s="922"/>
      <c r="EU195" s="922"/>
      <c r="EV195" s="922"/>
      <c r="EW195" s="922"/>
      <c r="EX195" s="922"/>
      <c r="EY195" s="922"/>
      <c r="EZ195" s="922"/>
      <c r="FA195" s="922"/>
      <c r="FB195" s="922"/>
      <c r="FC195" s="922"/>
      <c r="FD195" s="922"/>
      <c r="FE195" s="922"/>
      <c r="FF195" s="922"/>
      <c r="FG195" s="922"/>
      <c r="FH195" s="922"/>
      <c r="FI195" s="922"/>
      <c r="FJ195" s="922"/>
      <c r="FK195" s="922"/>
      <c r="FL195" s="922"/>
      <c r="FM195" s="922"/>
      <c r="FN195" s="922"/>
      <c r="FO195" s="922"/>
      <c r="FP195" s="922"/>
      <c r="FQ195" s="922"/>
      <c r="FR195" s="922"/>
      <c r="FS195" s="922"/>
      <c r="FT195" s="922"/>
      <c r="FU195" s="922"/>
      <c r="FV195" s="922"/>
      <c r="FW195" s="922"/>
      <c r="FX195" s="922"/>
      <c r="FY195" s="922"/>
      <c r="FZ195" s="922"/>
      <c r="GA195" s="922"/>
      <c r="GB195" s="922"/>
      <c r="GC195" s="922"/>
      <c r="GD195" s="922"/>
      <c r="GE195" s="922"/>
      <c r="GF195" s="922"/>
      <c r="GG195" s="922"/>
      <c r="GH195" s="922"/>
      <c r="GI195" s="922"/>
      <c r="GJ195" s="922"/>
      <c r="GK195" s="922"/>
      <c r="GL195" s="922"/>
      <c r="GM195" s="922"/>
      <c r="GN195" s="922"/>
      <c r="GO195" s="922"/>
      <c r="GP195" s="922"/>
      <c r="GQ195" s="922"/>
      <c r="GR195" s="922"/>
      <c r="GS195" s="922"/>
      <c r="GT195" s="922"/>
      <c r="GU195" s="922"/>
      <c r="GV195" s="922"/>
      <c r="GW195" s="922"/>
      <c r="GX195" s="922"/>
      <c r="GY195" s="922"/>
      <c r="GZ195" s="922"/>
      <c r="HA195" s="922"/>
      <c r="HB195" s="922"/>
      <c r="HC195" s="922"/>
      <c r="HD195" s="922"/>
      <c r="HE195" s="922"/>
      <c r="HF195" s="922"/>
      <c r="HG195" s="922"/>
      <c r="HH195" s="922"/>
      <c r="HI195" s="922"/>
      <c r="HJ195" s="922"/>
      <c r="HK195" s="922"/>
      <c r="HL195" s="922"/>
      <c r="HM195" s="922"/>
      <c r="HN195" s="922"/>
      <c r="HO195" s="922"/>
      <c r="HP195" s="922"/>
      <c r="HQ195" s="922"/>
      <c r="HR195" s="922"/>
      <c r="HS195" s="922"/>
      <c r="HT195" s="922"/>
      <c r="HU195" s="922"/>
      <c r="HV195" s="922"/>
      <c r="HW195" s="922"/>
      <c r="HX195" s="922"/>
      <c r="HY195" s="922"/>
      <c r="HZ195" s="922"/>
      <c r="IA195" s="922"/>
      <c r="IB195" s="922"/>
      <c r="IC195" s="922"/>
      <c r="ID195" s="922"/>
      <c r="IE195" s="922"/>
      <c r="IF195" s="922"/>
      <c r="IG195" s="922"/>
      <c r="IH195" s="922"/>
      <c r="II195" s="922"/>
      <c r="IJ195" s="922"/>
      <c r="IK195" s="922"/>
      <c r="IL195" s="922"/>
      <c r="IM195" s="922"/>
      <c r="IN195" s="922"/>
      <c r="IO195" s="922"/>
      <c r="IP195" s="922"/>
      <c r="IQ195" s="922"/>
      <c r="IR195" s="922"/>
      <c r="IS195" s="922"/>
      <c r="IT195" s="922"/>
      <c r="IU195" s="922"/>
      <c r="IV195" s="922"/>
      <c r="IW195" s="922"/>
      <c r="IX195" s="922"/>
      <c r="IY195" s="922"/>
      <c r="IZ195" s="922"/>
      <c r="JA195" s="922"/>
      <c r="JB195" s="922"/>
      <c r="JC195" s="922"/>
      <c r="JD195" s="922"/>
      <c r="JE195" s="922"/>
      <c r="JF195" s="922"/>
      <c r="JG195" s="922"/>
      <c r="JH195" s="922"/>
      <c r="JI195" s="922"/>
      <c r="JJ195" s="922"/>
      <c r="JK195" s="922"/>
      <c r="JL195" s="922"/>
      <c r="JM195" s="922"/>
      <c r="JN195" s="922"/>
      <c r="JO195" s="922"/>
      <c r="JP195" s="922"/>
      <c r="JQ195" s="922"/>
      <c r="JR195" s="922"/>
      <c r="JS195" s="922"/>
      <c r="JT195" s="922"/>
      <c r="JU195" s="922"/>
      <c r="JV195" s="922"/>
      <c r="JW195" s="922"/>
      <c r="JX195" s="922"/>
      <c r="JY195" s="922"/>
      <c r="JZ195" s="922"/>
      <c r="KA195" s="922"/>
      <c r="KB195" s="922"/>
      <c r="KC195" s="922"/>
      <c r="KD195" s="922"/>
      <c r="KE195" s="922"/>
      <c r="KF195" s="922"/>
      <c r="KG195" s="922"/>
      <c r="KH195" s="922"/>
      <c r="KI195" s="922"/>
      <c r="KJ195" s="922"/>
      <c r="KK195" s="922"/>
      <c r="KL195" s="922"/>
      <c r="KM195" s="922"/>
      <c r="KN195" s="922"/>
      <c r="KO195" s="922"/>
      <c r="KP195" s="922"/>
      <c r="KQ195" s="922"/>
      <c r="KR195" s="922"/>
      <c r="KS195" s="922"/>
      <c r="KT195" s="922"/>
      <c r="KU195" s="922"/>
      <c r="KV195" s="922"/>
      <c r="KW195" s="922"/>
      <c r="KX195" s="922"/>
      <c r="KY195" s="922"/>
      <c r="KZ195" s="922"/>
      <c r="LA195" s="922"/>
      <c r="LB195" s="922"/>
      <c r="LC195" s="922"/>
      <c r="LD195" s="922"/>
      <c r="LE195" s="922"/>
      <c r="LF195" s="922"/>
      <c r="LG195" s="922"/>
      <c r="LH195" s="922"/>
      <c r="LI195" s="922"/>
      <c r="LJ195" s="922"/>
      <c r="LK195" s="922"/>
      <c r="LL195" s="922"/>
      <c r="LM195" s="922"/>
      <c r="LN195" s="922"/>
      <c r="LO195" s="922"/>
      <c r="LP195" s="922"/>
      <c r="LQ195" s="922"/>
      <c r="LR195" s="922"/>
      <c r="LS195" s="922"/>
      <c r="LT195" s="922"/>
      <c r="LU195" s="922"/>
      <c r="LV195" s="922"/>
      <c r="LW195" s="922"/>
      <c r="LX195" s="922"/>
      <c r="LY195" s="922"/>
      <c r="LZ195" s="922"/>
      <c r="MA195" s="922"/>
      <c r="MB195" s="922"/>
      <c r="MC195" s="922"/>
      <c r="MD195" s="922"/>
      <c r="ME195" s="922"/>
      <c r="MF195" s="922"/>
      <c r="MG195" s="922"/>
      <c r="MH195" s="922"/>
      <c r="MI195" s="922"/>
      <c r="MJ195" s="922"/>
      <c r="MK195" s="922"/>
      <c r="ML195" s="922"/>
      <c r="MM195" s="922"/>
      <c r="MN195" s="922"/>
      <c r="MO195" s="922"/>
      <c r="MP195" s="922"/>
      <c r="MQ195" s="922"/>
      <c r="MR195" s="922"/>
      <c r="MS195" s="922"/>
      <c r="MT195" s="922"/>
      <c r="MU195" s="922"/>
      <c r="MV195" s="922"/>
      <c r="MW195" s="922"/>
      <c r="MX195" s="922"/>
      <c r="MY195" s="922"/>
      <c r="MZ195" s="922"/>
      <c r="NA195" s="922"/>
      <c r="NB195" s="922"/>
      <c r="NC195" s="922"/>
      <c r="ND195" s="922"/>
      <c r="NE195" s="922"/>
      <c r="NF195" s="922"/>
      <c r="NG195" s="922"/>
      <c r="NH195" s="922"/>
      <c r="NI195" s="922"/>
      <c r="NJ195" s="922"/>
      <c r="NK195" s="922"/>
      <c r="NL195" s="922"/>
      <c r="NM195" s="922"/>
      <c r="NN195" s="922"/>
      <c r="NO195" s="922"/>
      <c r="NP195" s="922"/>
      <c r="NQ195" s="922"/>
      <c r="NR195" s="922"/>
      <c r="NS195" s="922"/>
      <c r="NT195" s="922"/>
      <c r="NU195" s="922"/>
      <c r="NV195" s="922"/>
      <c r="NW195" s="922"/>
      <c r="NX195" s="922"/>
      <c r="NY195" s="922"/>
      <c r="NZ195" s="922"/>
      <c r="OA195" s="922"/>
      <c r="OB195" s="922"/>
      <c r="OC195" s="922"/>
      <c r="OD195" s="922"/>
      <c r="OE195" s="922"/>
      <c r="OF195" s="922"/>
      <c r="OG195" s="922"/>
      <c r="OH195" s="922"/>
      <c r="OI195" s="922"/>
      <c r="OJ195" s="922"/>
      <c r="OK195" s="922"/>
      <c r="OL195" s="922"/>
      <c r="OM195" s="922"/>
      <c r="ON195" s="922"/>
      <c r="OO195" s="922"/>
      <c r="OP195" s="922"/>
      <c r="OQ195" s="922"/>
      <c r="OR195" s="922"/>
      <c r="OS195" s="922"/>
      <c r="OT195" s="922"/>
      <c r="OU195" s="922"/>
      <c r="OV195" s="922"/>
      <c r="OW195" s="922"/>
      <c r="OX195" s="922"/>
      <c r="OY195" s="922"/>
      <c r="OZ195" s="922"/>
      <c r="PA195" s="922"/>
      <c r="PB195" s="922"/>
      <c r="PC195" s="922"/>
      <c r="PD195" s="922"/>
      <c r="PE195" s="922"/>
      <c r="PF195" s="922"/>
      <c r="PG195" s="922"/>
      <c r="PH195" s="922"/>
      <c r="PI195" s="922"/>
      <c r="PJ195" s="922"/>
      <c r="PK195" s="922"/>
      <c r="PL195" s="922"/>
      <c r="PM195" s="922"/>
      <c r="PN195" s="922"/>
      <c r="PO195" s="922"/>
      <c r="PP195" s="922"/>
      <c r="PQ195" s="922"/>
      <c r="PR195" s="922"/>
      <c r="PS195" s="922"/>
      <c r="PT195" s="922"/>
      <c r="PU195" s="922"/>
      <c r="PV195" s="922"/>
      <c r="PW195" s="922"/>
      <c r="PX195" s="922"/>
      <c r="PY195" s="922"/>
      <c r="PZ195" s="922"/>
      <c r="QA195" s="922"/>
      <c r="QB195" s="922"/>
      <c r="QC195" s="922"/>
      <c r="QD195" s="922"/>
      <c r="QE195" s="922"/>
      <c r="QF195" s="922"/>
      <c r="QG195" s="922"/>
      <c r="QH195" s="922"/>
      <c r="QI195" s="922"/>
      <c r="QJ195" s="922"/>
      <c r="QK195" s="922"/>
      <c r="QL195" s="922"/>
      <c r="QM195" s="922"/>
      <c r="QN195" s="922"/>
      <c r="QO195" s="922"/>
      <c r="QP195" s="922"/>
      <c r="QQ195" s="922"/>
      <c r="QR195" s="922"/>
      <c r="QS195" s="922"/>
      <c r="QT195" s="922"/>
      <c r="QU195" s="922"/>
      <c r="QV195" s="922"/>
      <c r="QW195" s="922"/>
      <c r="QX195" s="922"/>
      <c r="QY195" s="922"/>
      <c r="QZ195" s="922"/>
      <c r="RA195" s="922"/>
      <c r="RB195" s="922"/>
      <c r="RC195" s="922"/>
      <c r="RD195" s="922"/>
      <c r="RE195" s="922"/>
      <c r="RF195" s="922"/>
      <c r="RG195" s="922"/>
      <c r="RH195" s="922"/>
      <c r="RI195" s="922"/>
      <c r="RJ195" s="922"/>
      <c r="RK195" s="922"/>
      <c r="RL195" s="922"/>
      <c r="RM195" s="922"/>
      <c r="RN195" s="922"/>
      <c r="RO195" s="922"/>
      <c r="RP195" s="922"/>
      <c r="RQ195" s="922"/>
      <c r="RR195" s="922"/>
      <c r="RS195" s="922"/>
      <c r="RT195" s="922"/>
      <c r="RU195" s="922"/>
      <c r="RV195" s="922"/>
      <c r="RW195" s="922"/>
      <c r="RX195" s="922"/>
      <c r="RY195" s="922"/>
      <c r="RZ195" s="922"/>
      <c r="SA195" s="922"/>
      <c r="SB195" s="922"/>
      <c r="SC195" s="922"/>
      <c r="SD195" s="922"/>
      <c r="SE195" s="922"/>
      <c r="SF195" s="922"/>
      <c r="SG195" s="922"/>
      <c r="SH195" s="922"/>
      <c r="SI195" s="922"/>
      <c r="SJ195" s="922"/>
      <c r="SK195" s="922"/>
      <c r="SL195" s="922"/>
      <c r="SM195" s="922"/>
      <c r="SN195" s="922"/>
      <c r="SO195" s="922"/>
      <c r="SP195" s="922"/>
      <c r="SQ195" s="922"/>
      <c r="SR195" s="922"/>
      <c r="SS195" s="922"/>
      <c r="ST195" s="922"/>
      <c r="SU195" s="922"/>
      <c r="SV195" s="922"/>
      <c r="SW195" s="922"/>
      <c r="SX195" s="922"/>
      <c r="SY195" s="922"/>
      <c r="SZ195" s="922"/>
      <c r="TA195" s="922"/>
      <c r="TB195" s="922"/>
      <c r="TC195" s="922"/>
      <c r="TD195" s="922"/>
      <c r="TE195" s="922"/>
      <c r="TF195" s="922"/>
      <c r="TG195" s="922"/>
      <c r="TH195" s="922"/>
      <c r="TI195" s="922"/>
      <c r="TJ195" s="922"/>
      <c r="TK195" s="922"/>
      <c r="TL195" s="922"/>
      <c r="TM195" s="922"/>
      <c r="TN195" s="922"/>
      <c r="TO195" s="922"/>
      <c r="TP195" s="922"/>
      <c r="TQ195" s="922"/>
      <c r="TR195" s="922"/>
      <c r="TS195" s="922"/>
      <c r="TT195" s="922"/>
      <c r="TU195" s="922"/>
      <c r="TV195" s="922"/>
      <c r="TW195" s="922"/>
      <c r="TX195" s="922"/>
      <c r="TY195" s="922"/>
      <c r="TZ195" s="922"/>
      <c r="UA195" s="922"/>
      <c r="UB195" s="922"/>
      <c r="UC195" s="922"/>
      <c r="UD195" s="922"/>
      <c r="UE195" s="922"/>
      <c r="UF195" s="922"/>
      <c r="UG195" s="922"/>
      <c r="UH195" s="922"/>
      <c r="UI195" s="922"/>
      <c r="UJ195" s="922"/>
      <c r="UK195" s="922"/>
      <c r="UL195" s="922"/>
      <c r="UM195" s="922"/>
      <c r="UN195" s="922"/>
      <c r="UO195" s="922"/>
      <c r="UP195" s="922"/>
      <c r="UQ195" s="922"/>
      <c r="UR195" s="922"/>
      <c r="US195" s="922"/>
      <c r="UT195" s="922"/>
      <c r="UU195" s="922"/>
      <c r="UV195" s="922"/>
      <c r="UW195" s="922"/>
      <c r="UX195" s="922"/>
      <c r="UY195" s="922"/>
      <c r="UZ195" s="922"/>
      <c r="VA195" s="922"/>
      <c r="VB195" s="922"/>
      <c r="VC195" s="922"/>
      <c r="VD195" s="922"/>
      <c r="VE195" s="922"/>
      <c r="VF195" s="922"/>
      <c r="VG195" s="922"/>
      <c r="VH195" s="922"/>
      <c r="VI195" s="922"/>
      <c r="VJ195" s="922"/>
      <c r="VK195" s="922"/>
      <c r="VL195" s="922"/>
      <c r="VM195" s="922"/>
      <c r="VN195" s="922"/>
      <c r="VO195" s="922"/>
      <c r="VP195" s="922"/>
      <c r="VQ195" s="922"/>
      <c r="VR195" s="922"/>
      <c r="VS195" s="922"/>
      <c r="VT195" s="922"/>
      <c r="VU195" s="922"/>
      <c r="VV195" s="922"/>
      <c r="VW195" s="922"/>
      <c r="VX195" s="922"/>
      <c r="VY195" s="922"/>
      <c r="VZ195" s="922"/>
      <c r="WA195" s="922"/>
      <c r="WB195" s="922"/>
      <c r="WC195" s="922"/>
      <c r="WD195" s="922"/>
      <c r="WE195" s="922"/>
      <c r="WF195" s="922"/>
      <c r="WG195" s="922"/>
      <c r="WH195" s="922"/>
      <c r="WI195" s="922"/>
      <c r="WJ195" s="922"/>
      <c r="WK195" s="922"/>
      <c r="WL195" s="922"/>
      <c r="WM195" s="922"/>
      <c r="WN195" s="922"/>
      <c r="WO195" s="922"/>
      <c r="WP195" s="922"/>
      <c r="WQ195" s="922"/>
      <c r="WR195" s="922"/>
      <c r="WS195" s="922"/>
      <c r="WT195" s="922"/>
      <c r="WU195" s="922"/>
      <c r="WV195" s="922"/>
      <c r="WW195" s="922"/>
      <c r="WX195" s="922"/>
      <c r="WY195" s="922"/>
      <c r="WZ195" s="922"/>
      <c r="XA195" s="922"/>
      <c r="XB195" s="922"/>
      <c r="XC195" s="922"/>
      <c r="XD195" s="922"/>
      <c r="XE195" s="922"/>
      <c r="XF195" s="922"/>
      <c r="XG195" s="922"/>
      <c r="XH195" s="922"/>
      <c r="XI195" s="922"/>
      <c r="XJ195" s="922"/>
      <c r="XK195" s="922"/>
      <c r="XL195" s="922"/>
      <c r="XM195" s="922"/>
      <c r="XN195" s="922"/>
      <c r="XO195" s="922"/>
      <c r="XP195" s="922"/>
      <c r="XQ195" s="922"/>
      <c r="XR195" s="922"/>
      <c r="XS195" s="922"/>
      <c r="XT195" s="922"/>
      <c r="XU195" s="922"/>
      <c r="XV195" s="922"/>
      <c r="XW195" s="922"/>
      <c r="XX195" s="922"/>
      <c r="XY195" s="922"/>
      <c r="XZ195" s="922"/>
      <c r="YA195" s="922"/>
      <c r="YB195" s="922"/>
      <c r="YC195" s="922"/>
      <c r="YD195" s="922"/>
      <c r="YE195" s="922"/>
      <c r="YF195" s="922"/>
      <c r="YG195" s="922"/>
      <c r="YH195" s="922"/>
      <c r="YI195" s="922"/>
      <c r="YJ195" s="922"/>
      <c r="YK195" s="922"/>
      <c r="YL195" s="922"/>
      <c r="YM195" s="922"/>
      <c r="YN195" s="922"/>
      <c r="YO195" s="922"/>
      <c r="YP195" s="922"/>
      <c r="YQ195" s="922"/>
      <c r="YR195" s="922"/>
      <c r="YS195" s="922"/>
      <c r="YT195" s="922"/>
      <c r="YU195" s="922"/>
      <c r="YV195" s="922"/>
      <c r="YW195" s="922"/>
      <c r="YX195" s="922"/>
      <c r="YY195" s="922"/>
      <c r="YZ195" s="922"/>
      <c r="ZA195" s="922"/>
      <c r="ZB195" s="922"/>
      <c r="ZC195" s="922"/>
      <c r="ZD195" s="922"/>
      <c r="ZE195" s="922"/>
      <c r="ZF195" s="922"/>
      <c r="ZG195" s="922"/>
      <c r="ZH195" s="922"/>
      <c r="ZI195" s="922"/>
      <c r="ZJ195" s="922"/>
      <c r="ZK195" s="922"/>
      <c r="ZL195" s="922"/>
      <c r="ZM195" s="922"/>
      <c r="ZN195" s="922"/>
      <c r="ZO195" s="922"/>
      <c r="ZP195" s="922"/>
      <c r="ZQ195" s="922"/>
      <c r="ZR195" s="922"/>
      <c r="ZS195" s="922"/>
      <c r="ZT195" s="922"/>
      <c r="ZU195" s="922"/>
      <c r="ZV195" s="922"/>
      <c r="ZW195" s="922"/>
      <c r="ZX195" s="922"/>
      <c r="ZY195" s="922"/>
      <c r="ZZ195" s="922"/>
      <c r="AAA195" s="922"/>
      <c r="AAB195" s="922"/>
      <c r="AAC195" s="922"/>
      <c r="AAD195" s="922"/>
      <c r="AAE195" s="922"/>
      <c r="AAF195" s="922"/>
      <c r="AAG195" s="922"/>
      <c r="AAH195" s="922"/>
      <c r="AAI195" s="922"/>
      <c r="AAJ195" s="922"/>
      <c r="AAK195" s="922"/>
      <c r="AAL195" s="922"/>
      <c r="AAM195" s="922"/>
      <c r="AAN195" s="922"/>
      <c r="AAO195" s="922"/>
      <c r="AAP195" s="922"/>
      <c r="AAQ195" s="922"/>
      <c r="AAR195" s="922"/>
      <c r="AAS195" s="922"/>
      <c r="AAT195" s="922"/>
      <c r="AAU195" s="922"/>
      <c r="AAV195" s="922"/>
      <c r="AAW195" s="922"/>
      <c r="AAX195" s="922"/>
      <c r="AAY195" s="922"/>
      <c r="AAZ195" s="922"/>
      <c r="ABA195" s="922"/>
      <c r="ABB195" s="922"/>
      <c r="ABC195" s="922"/>
      <c r="ABD195" s="922"/>
      <c r="ABE195" s="922"/>
      <c r="ABF195" s="922"/>
      <c r="ABG195" s="922"/>
      <c r="ABH195" s="922"/>
      <c r="ABI195" s="922"/>
      <c r="ABJ195" s="922"/>
      <c r="ABK195" s="922"/>
      <c r="ABL195" s="922"/>
      <c r="ABM195" s="922"/>
      <c r="ABN195" s="922"/>
      <c r="ABO195" s="922"/>
      <c r="ABP195" s="922"/>
      <c r="ABQ195" s="922"/>
      <c r="ABR195" s="922"/>
      <c r="ABS195" s="922"/>
      <c r="ABT195" s="922"/>
      <c r="ABU195" s="922"/>
      <c r="ABV195" s="922"/>
      <c r="ABW195" s="922"/>
      <c r="ABX195" s="922"/>
      <c r="ABY195" s="922"/>
      <c r="ABZ195" s="922"/>
      <c r="ACA195" s="922"/>
      <c r="ACB195" s="922"/>
      <c r="ACC195" s="922"/>
      <c r="ACD195" s="922"/>
      <c r="ACE195" s="922"/>
      <c r="ACF195" s="922"/>
      <c r="ACG195" s="922"/>
      <c r="ACH195" s="922"/>
      <c r="ACI195" s="922"/>
      <c r="ACJ195" s="922"/>
      <c r="ACK195" s="922"/>
      <c r="ACL195" s="922"/>
      <c r="ACM195" s="922"/>
      <c r="ACN195" s="922"/>
      <c r="ACO195" s="922"/>
      <c r="ACP195" s="922"/>
      <c r="ACQ195" s="922"/>
      <c r="ACR195" s="922"/>
      <c r="ACS195" s="922"/>
      <c r="ACT195" s="922"/>
      <c r="ACU195" s="922"/>
      <c r="ACV195" s="922"/>
      <c r="ACW195" s="922"/>
      <c r="ACX195" s="922"/>
      <c r="ACY195" s="922"/>
      <c r="ACZ195" s="922"/>
      <c r="ADA195" s="922"/>
      <c r="ADB195" s="922"/>
      <c r="ADC195" s="922"/>
      <c r="ADD195" s="922"/>
      <c r="ADE195" s="922"/>
      <c r="ADF195" s="922"/>
      <c r="ADG195" s="922"/>
      <c r="ADH195" s="922"/>
      <c r="ADI195" s="922"/>
      <c r="ADJ195" s="922"/>
      <c r="ADK195" s="922"/>
      <c r="ADL195" s="922"/>
      <c r="ADM195" s="922"/>
      <c r="ADN195" s="922"/>
      <c r="ADO195" s="922"/>
      <c r="ADP195" s="922"/>
      <c r="ADQ195" s="922"/>
      <c r="ADR195" s="922"/>
      <c r="ADS195" s="922"/>
      <c r="ADT195" s="922"/>
      <c r="ADU195" s="922"/>
      <c r="ADV195" s="922"/>
      <c r="ADW195" s="922"/>
      <c r="ADX195" s="922"/>
      <c r="ADY195" s="922"/>
      <c r="ADZ195" s="922"/>
      <c r="AEA195" s="922"/>
      <c r="AEB195" s="922"/>
      <c r="AEC195" s="922"/>
      <c r="AED195" s="922"/>
      <c r="AEE195" s="922"/>
      <c r="AEF195" s="922"/>
      <c r="AEG195" s="922"/>
      <c r="AEH195" s="922"/>
      <c r="AEI195" s="922"/>
      <c r="AEJ195" s="922"/>
      <c r="AEK195" s="922"/>
      <c r="AEL195" s="922"/>
      <c r="AEM195" s="922"/>
      <c r="AEN195" s="922"/>
      <c r="AEO195" s="922"/>
      <c r="AEP195" s="922"/>
      <c r="AEQ195" s="922"/>
      <c r="AER195" s="922"/>
      <c r="AES195" s="922"/>
      <c r="AET195" s="922"/>
      <c r="AEU195" s="922"/>
      <c r="AEV195" s="922"/>
      <c r="AEW195" s="922"/>
      <c r="AEX195" s="922"/>
      <c r="AEY195" s="922"/>
      <c r="AEZ195" s="922"/>
      <c r="AFA195" s="922"/>
      <c r="AFB195" s="922"/>
      <c r="AFC195" s="922"/>
      <c r="AFD195" s="922"/>
      <c r="AFE195" s="922"/>
      <c r="AFF195" s="922"/>
      <c r="AFG195" s="922"/>
      <c r="AFH195" s="922"/>
      <c r="AFI195" s="922"/>
      <c r="AFJ195" s="922"/>
      <c r="AFK195" s="922"/>
      <c r="AFL195" s="922"/>
      <c r="AFM195" s="922"/>
      <c r="AFN195" s="922"/>
      <c r="AFO195" s="922"/>
      <c r="AFP195" s="922"/>
      <c r="AFQ195" s="922"/>
      <c r="AFR195" s="922"/>
      <c r="AFS195" s="922"/>
      <c r="AFT195" s="922"/>
      <c r="AFU195" s="922"/>
      <c r="AFV195" s="922"/>
      <c r="AFW195" s="922"/>
      <c r="AFX195" s="922"/>
      <c r="AFY195" s="922"/>
      <c r="AFZ195" s="922"/>
      <c r="AGA195" s="922"/>
      <c r="AGB195" s="922"/>
      <c r="AGC195" s="922"/>
      <c r="AGD195" s="922"/>
      <c r="AGE195" s="922"/>
      <c r="AGF195" s="922"/>
      <c r="AGG195" s="922"/>
      <c r="AGH195" s="922"/>
      <c r="AGI195" s="922"/>
      <c r="AGJ195" s="922"/>
      <c r="AGK195" s="922"/>
      <c r="AGL195" s="922"/>
      <c r="AGM195" s="922"/>
      <c r="AGN195" s="922"/>
      <c r="AGO195" s="922"/>
      <c r="AGP195" s="922"/>
      <c r="AGQ195" s="922"/>
      <c r="AGR195" s="922"/>
      <c r="AGS195" s="922"/>
      <c r="AGT195" s="922"/>
      <c r="AGU195" s="922"/>
      <c r="AGV195" s="922"/>
      <c r="AGW195" s="922"/>
      <c r="AGX195" s="922"/>
      <c r="AGY195" s="922"/>
      <c r="AGZ195" s="922"/>
      <c r="AHA195" s="922"/>
      <c r="AHB195" s="922"/>
      <c r="AHC195" s="922"/>
      <c r="AHD195" s="922"/>
      <c r="AHE195" s="922"/>
      <c r="AHF195" s="922"/>
      <c r="AHG195" s="922"/>
      <c r="AHH195" s="922"/>
      <c r="AHI195" s="922"/>
      <c r="AHJ195" s="922"/>
      <c r="AHK195" s="922"/>
      <c r="AHL195" s="922"/>
      <c r="AHM195" s="922"/>
      <c r="AHN195" s="922"/>
      <c r="AHO195" s="922"/>
      <c r="AHP195" s="922"/>
      <c r="AHQ195" s="922"/>
      <c r="AHR195" s="922"/>
      <c r="AHS195" s="922"/>
      <c r="AHT195" s="922"/>
      <c r="AHU195" s="922"/>
      <c r="AHV195" s="922"/>
      <c r="AHW195" s="922"/>
      <c r="AHX195" s="922"/>
      <c r="AHY195" s="922"/>
      <c r="AHZ195" s="922"/>
      <c r="AIA195" s="922"/>
      <c r="AIB195" s="922"/>
      <c r="AIC195" s="922"/>
      <c r="AID195" s="922"/>
      <c r="AIE195" s="922"/>
      <c r="AIF195" s="922"/>
      <c r="AIG195" s="922"/>
      <c r="AIH195" s="922"/>
      <c r="AII195" s="922"/>
      <c r="AIJ195" s="922"/>
      <c r="AIK195" s="922"/>
      <c r="AIL195" s="922"/>
      <c r="AIM195" s="922"/>
      <c r="AIN195" s="922"/>
      <c r="AIO195" s="922"/>
      <c r="AIP195" s="922"/>
      <c r="AIQ195" s="922"/>
      <c r="AIR195" s="922"/>
      <c r="AIS195" s="922"/>
      <c r="AIT195" s="922"/>
      <c r="AIU195" s="922"/>
      <c r="AIV195" s="922"/>
      <c r="AIW195" s="922"/>
      <c r="AIX195" s="922"/>
      <c r="AIY195" s="922"/>
      <c r="AIZ195" s="922"/>
      <c r="AJA195" s="922"/>
      <c r="AJB195" s="922"/>
      <c r="AJC195" s="922"/>
      <c r="AJD195" s="922"/>
      <c r="AJE195" s="922"/>
      <c r="AJF195" s="922"/>
      <c r="AJG195" s="922"/>
      <c r="AJH195" s="922"/>
      <c r="AJI195" s="922"/>
      <c r="AJJ195" s="922"/>
      <c r="AJK195" s="922"/>
      <c r="AJL195" s="922"/>
      <c r="AJM195" s="922"/>
      <c r="AJN195" s="922"/>
      <c r="AJO195" s="922"/>
      <c r="AJP195" s="922"/>
      <c r="AJQ195" s="922"/>
      <c r="AJR195" s="922"/>
      <c r="AJS195" s="922"/>
      <c r="AJT195" s="922"/>
      <c r="AJU195" s="922"/>
      <c r="AJV195" s="922"/>
      <c r="AJW195" s="922"/>
      <c r="AJX195" s="922"/>
      <c r="AJY195" s="922"/>
      <c r="AJZ195" s="922"/>
      <c r="AKA195" s="922"/>
      <c r="AKB195" s="922"/>
      <c r="AKC195" s="922"/>
      <c r="AKD195" s="922"/>
      <c r="AKE195" s="922"/>
      <c r="AKF195" s="922"/>
      <c r="AKG195" s="922"/>
      <c r="AKH195" s="922"/>
      <c r="AKI195" s="922"/>
      <c r="AKJ195" s="922"/>
      <c r="AKK195" s="922"/>
      <c r="AKL195" s="922"/>
      <c r="AKM195" s="922"/>
      <c r="AKN195" s="922"/>
      <c r="AKO195" s="922"/>
      <c r="AKP195" s="922"/>
      <c r="AKQ195" s="922"/>
      <c r="AKR195" s="922"/>
      <c r="AKS195" s="922"/>
      <c r="AKT195" s="922"/>
      <c r="AKU195" s="922"/>
      <c r="AKV195" s="922"/>
      <c r="AKW195" s="922"/>
      <c r="AKX195" s="922"/>
      <c r="AKY195" s="922"/>
      <c r="AKZ195" s="922"/>
      <c r="ALA195" s="922"/>
      <c r="ALB195" s="922"/>
      <c r="ALC195" s="922"/>
      <c r="ALD195" s="922"/>
      <c r="ALE195" s="922"/>
      <c r="ALF195" s="922"/>
      <c r="ALG195" s="922"/>
      <c r="ALH195" s="922"/>
      <c r="ALI195" s="922"/>
      <c r="ALJ195" s="922"/>
      <c r="ALK195" s="922"/>
      <c r="ALL195" s="922"/>
      <c r="ALM195" s="922"/>
      <c r="ALN195" s="922"/>
      <c r="ALO195" s="922"/>
      <c r="ALP195" s="922"/>
      <c r="ALQ195" s="922"/>
      <c r="ALR195" s="922"/>
      <c r="ALS195" s="922"/>
      <c r="ALT195" s="922"/>
      <c r="ALU195" s="922"/>
      <c r="ALV195" s="922"/>
      <c r="ALW195" s="922"/>
      <c r="ALX195" s="922"/>
      <c r="ALY195" s="922"/>
      <c r="ALZ195" s="922"/>
      <c r="AMA195" s="922"/>
      <c r="AMB195" s="922"/>
      <c r="AMC195" s="922"/>
      <c r="AMD195" s="922"/>
      <c r="AME195" s="922"/>
      <c r="AMF195" s="922"/>
      <c r="AMG195" s="922"/>
      <c r="AMH195" s="922"/>
      <c r="AMI195" s="922"/>
      <c r="AMJ195" s="922"/>
      <c r="AMK195" s="922"/>
      <c r="AML195" s="922"/>
      <c r="AMM195" s="922"/>
      <c r="AMN195" s="922"/>
      <c r="AMO195" s="922"/>
      <c r="AMP195" s="922"/>
      <c r="AMQ195" s="922"/>
      <c r="AMR195" s="922"/>
      <c r="AMS195" s="922"/>
      <c r="AMT195" s="922"/>
      <c r="AMU195" s="922"/>
      <c r="AMV195" s="922"/>
      <c r="AMW195" s="922"/>
      <c r="AMX195" s="922"/>
      <c r="AMY195" s="922"/>
      <c r="AMZ195" s="922"/>
      <c r="ANA195" s="922"/>
      <c r="ANB195" s="922"/>
      <c r="ANC195" s="922"/>
      <c r="AND195" s="922"/>
      <c r="ANE195" s="922"/>
      <c r="ANF195" s="922"/>
      <c r="ANG195" s="922"/>
      <c r="ANH195" s="922"/>
      <c r="ANI195" s="922"/>
      <c r="ANJ195" s="922"/>
      <c r="ANK195" s="922"/>
      <c r="ANL195" s="922"/>
      <c r="ANM195" s="922"/>
      <c r="ANN195" s="922"/>
      <c r="ANO195" s="922"/>
      <c r="ANP195" s="922"/>
      <c r="ANQ195" s="922"/>
      <c r="ANR195" s="922"/>
      <c r="ANS195" s="922"/>
      <c r="ANT195" s="922"/>
      <c r="ANU195" s="922"/>
      <c r="ANV195" s="922"/>
      <c r="ANW195" s="922"/>
      <c r="ANX195" s="922"/>
      <c r="ANY195" s="922"/>
      <c r="ANZ195" s="922"/>
      <c r="AOA195" s="922"/>
      <c r="AOB195" s="922"/>
      <c r="AOC195" s="922"/>
      <c r="AOD195" s="922"/>
      <c r="AOE195" s="922"/>
      <c r="AOF195" s="922"/>
      <c r="AOG195" s="922"/>
      <c r="AOH195" s="922"/>
      <c r="AOI195" s="922"/>
      <c r="AOJ195" s="922"/>
      <c r="AOK195" s="922"/>
      <c r="AOL195" s="922"/>
      <c r="AOM195" s="922"/>
      <c r="AON195" s="922"/>
      <c r="AOO195" s="922"/>
      <c r="AOP195" s="922"/>
      <c r="AOQ195" s="922"/>
      <c r="AOR195" s="922"/>
      <c r="AOS195" s="922"/>
      <c r="AOT195" s="922"/>
      <c r="AOU195" s="922"/>
      <c r="AOV195" s="922"/>
      <c r="AOW195" s="922"/>
      <c r="AOX195" s="922"/>
      <c r="AOY195" s="922"/>
      <c r="AOZ195" s="922"/>
      <c r="APA195" s="922"/>
      <c r="APB195" s="922"/>
      <c r="APC195" s="922"/>
      <c r="APD195" s="922"/>
      <c r="APE195" s="922"/>
      <c r="APF195" s="922"/>
      <c r="APG195" s="922"/>
      <c r="APH195" s="922"/>
      <c r="API195" s="922"/>
      <c r="APJ195" s="922"/>
      <c r="APK195" s="922"/>
      <c r="APL195" s="922"/>
      <c r="APM195" s="922"/>
      <c r="APN195" s="922"/>
      <c r="APO195" s="922"/>
      <c r="APP195" s="922"/>
      <c r="APQ195" s="922"/>
      <c r="APR195" s="922"/>
      <c r="APS195" s="922"/>
      <c r="APT195" s="922"/>
      <c r="APU195" s="922"/>
      <c r="APV195" s="922"/>
      <c r="APW195" s="922"/>
      <c r="APX195" s="922"/>
      <c r="APY195" s="922"/>
      <c r="APZ195" s="922"/>
      <c r="AQA195" s="922"/>
      <c r="AQB195" s="922"/>
      <c r="AQC195" s="922"/>
      <c r="AQD195" s="922"/>
      <c r="AQE195" s="922"/>
      <c r="AQF195" s="922"/>
      <c r="AQG195" s="922"/>
      <c r="AQH195" s="922"/>
      <c r="AQI195" s="922"/>
      <c r="AQJ195" s="922"/>
      <c r="AQK195" s="922"/>
      <c r="AQL195" s="922"/>
      <c r="AQM195" s="922"/>
      <c r="AQN195" s="922"/>
      <c r="AQO195" s="922"/>
      <c r="AQP195" s="922"/>
      <c r="AQQ195" s="922"/>
      <c r="AQR195" s="922"/>
      <c r="AQS195" s="922"/>
      <c r="AQT195" s="922"/>
      <c r="AQU195" s="922"/>
      <c r="AQV195" s="922"/>
      <c r="AQW195" s="922"/>
      <c r="AQX195" s="922"/>
      <c r="AQY195" s="922"/>
      <c r="AQZ195" s="922"/>
      <c r="ARA195" s="922"/>
      <c r="ARB195" s="922"/>
      <c r="ARC195" s="922"/>
      <c r="ARD195" s="922"/>
      <c r="ARE195" s="922"/>
      <c r="ARF195" s="922"/>
      <c r="ARG195" s="922"/>
      <c r="ARH195" s="922"/>
      <c r="ARI195" s="922"/>
      <c r="ARJ195" s="922"/>
      <c r="ARK195" s="922"/>
      <c r="ARL195" s="922"/>
      <c r="ARM195" s="922"/>
      <c r="ARN195" s="922"/>
      <c r="ARO195" s="922"/>
      <c r="ARP195" s="922"/>
      <c r="ARQ195" s="922"/>
      <c r="ARR195" s="922"/>
      <c r="ARS195" s="922"/>
      <c r="ART195" s="922"/>
      <c r="ARU195" s="922"/>
      <c r="ARV195" s="922"/>
      <c r="ARW195" s="922"/>
      <c r="ARX195" s="922"/>
      <c r="ARY195" s="922"/>
      <c r="ARZ195" s="922"/>
      <c r="ASA195" s="922"/>
      <c r="ASB195" s="922"/>
      <c r="ASC195" s="922"/>
    </row>
    <row r="196" spans="20:1173" hidden="1">
      <c r="T196" s="922"/>
      <c r="AN196" s="922"/>
      <c r="AO196" s="922"/>
      <c r="AP196" s="922"/>
      <c r="AQ196" s="922"/>
      <c r="AR196" s="922"/>
      <c r="AS196" s="922"/>
      <c r="AT196" s="922"/>
      <c r="AU196" s="922"/>
      <c r="AV196" s="922"/>
      <c r="AW196" s="922"/>
      <c r="AX196" s="922"/>
      <c r="AY196" s="922"/>
      <c r="AZ196" s="922"/>
      <c r="BA196" s="922"/>
      <c r="BB196" s="922"/>
      <c r="BC196" s="922"/>
      <c r="BD196" s="922"/>
      <c r="BE196" s="922"/>
      <c r="BF196" s="922"/>
      <c r="BG196" s="922"/>
      <c r="BH196" s="922"/>
      <c r="BI196" s="922"/>
      <c r="BJ196" s="922"/>
      <c r="BK196" s="922"/>
      <c r="BL196" s="922"/>
      <c r="BM196" s="922"/>
      <c r="BN196" s="922"/>
      <c r="BO196" s="922"/>
      <c r="BP196" s="922"/>
      <c r="BQ196" s="922"/>
      <c r="BR196" s="922"/>
      <c r="BS196" s="922"/>
      <c r="BT196" s="922"/>
      <c r="BU196" s="922"/>
      <c r="BV196" s="922"/>
      <c r="BW196" s="922"/>
      <c r="BX196" s="922"/>
      <c r="BY196" s="922"/>
      <c r="BZ196" s="922"/>
      <c r="CA196" s="922"/>
      <c r="CB196" s="922"/>
      <c r="CC196" s="922"/>
      <c r="CD196" s="922"/>
      <c r="CE196" s="922"/>
      <c r="CF196" s="922"/>
      <c r="CG196" s="922"/>
      <c r="CH196" s="922"/>
      <c r="CI196" s="922"/>
      <c r="CJ196" s="922"/>
      <c r="CK196" s="922"/>
      <c r="CL196" s="922"/>
      <c r="CM196" s="922"/>
      <c r="CN196" s="922"/>
      <c r="CO196" s="922"/>
      <c r="CP196" s="922"/>
      <c r="CQ196" s="922"/>
      <c r="CR196" s="922"/>
      <c r="CS196" s="922"/>
      <c r="CT196" s="922"/>
      <c r="CU196" s="922"/>
      <c r="CV196" s="922"/>
      <c r="CW196" s="922"/>
      <c r="CX196" s="922"/>
      <c r="CY196" s="922"/>
      <c r="CZ196" s="922"/>
      <c r="DA196" s="922"/>
      <c r="DB196" s="922"/>
      <c r="DC196" s="922"/>
      <c r="DD196" s="922"/>
      <c r="DE196" s="922"/>
      <c r="DF196" s="922"/>
      <c r="DG196" s="922"/>
      <c r="DH196" s="922"/>
      <c r="DI196" s="922"/>
      <c r="DJ196" s="922"/>
      <c r="DK196" s="922"/>
      <c r="DL196" s="922"/>
      <c r="DM196" s="922"/>
      <c r="DN196" s="922"/>
      <c r="DO196" s="922"/>
      <c r="DP196" s="922"/>
      <c r="DQ196" s="922"/>
      <c r="DR196" s="922"/>
      <c r="DS196" s="922"/>
      <c r="DT196" s="922"/>
      <c r="DU196" s="922"/>
      <c r="DV196" s="922"/>
      <c r="DW196" s="922"/>
      <c r="DX196" s="922"/>
      <c r="DY196" s="922"/>
      <c r="DZ196" s="922"/>
      <c r="EA196" s="922"/>
      <c r="EB196" s="922"/>
      <c r="EC196" s="922"/>
      <c r="ED196" s="922"/>
      <c r="EE196" s="922"/>
      <c r="EF196" s="922"/>
      <c r="EG196" s="922"/>
      <c r="EH196" s="922"/>
      <c r="EI196" s="922"/>
      <c r="EJ196" s="922"/>
      <c r="EK196" s="922"/>
      <c r="EL196" s="922"/>
      <c r="EM196" s="922"/>
      <c r="EN196" s="922"/>
      <c r="EO196" s="922"/>
      <c r="EP196" s="922"/>
      <c r="EQ196" s="922"/>
      <c r="ER196" s="922"/>
      <c r="ES196" s="922"/>
      <c r="ET196" s="922"/>
      <c r="EU196" s="922"/>
      <c r="EV196" s="922"/>
      <c r="EW196" s="922"/>
      <c r="EX196" s="922"/>
      <c r="EY196" s="922"/>
      <c r="EZ196" s="922"/>
      <c r="FA196" s="922"/>
      <c r="FB196" s="922"/>
      <c r="FC196" s="922"/>
      <c r="FD196" s="922"/>
      <c r="FE196" s="922"/>
      <c r="FF196" s="922"/>
      <c r="FG196" s="922"/>
      <c r="FH196" s="922"/>
      <c r="FI196" s="922"/>
      <c r="FJ196" s="922"/>
      <c r="FK196" s="922"/>
      <c r="FL196" s="922"/>
      <c r="FM196" s="922"/>
      <c r="FN196" s="922"/>
      <c r="FO196" s="922"/>
      <c r="FP196" s="922"/>
      <c r="FQ196" s="922"/>
      <c r="FR196" s="922"/>
      <c r="FS196" s="922"/>
      <c r="FT196" s="922"/>
      <c r="FU196" s="922"/>
      <c r="FV196" s="922"/>
      <c r="FW196" s="922"/>
      <c r="FX196" s="922"/>
      <c r="FY196" s="922"/>
      <c r="FZ196" s="922"/>
      <c r="GA196" s="922"/>
      <c r="GB196" s="922"/>
      <c r="GC196" s="922"/>
      <c r="GD196" s="922"/>
      <c r="GE196" s="922"/>
      <c r="GF196" s="922"/>
      <c r="GG196" s="922"/>
      <c r="GH196" s="922"/>
      <c r="GI196" s="922"/>
      <c r="GJ196" s="922"/>
      <c r="GK196" s="922"/>
      <c r="GL196" s="922"/>
      <c r="GM196" s="922"/>
      <c r="GN196" s="922"/>
      <c r="GO196" s="922"/>
      <c r="GP196" s="922"/>
      <c r="GQ196" s="922"/>
      <c r="GR196" s="922"/>
      <c r="GS196" s="922"/>
      <c r="GT196" s="922"/>
      <c r="GU196" s="922"/>
      <c r="GV196" s="922"/>
      <c r="GW196" s="922"/>
      <c r="GX196" s="922"/>
      <c r="GY196" s="922"/>
      <c r="GZ196" s="922"/>
      <c r="HA196" s="922"/>
      <c r="HB196" s="922"/>
      <c r="HC196" s="922"/>
      <c r="HD196" s="922"/>
      <c r="HE196" s="922"/>
      <c r="HF196" s="922"/>
      <c r="HG196" s="922"/>
      <c r="HH196" s="922"/>
      <c r="HI196" s="922"/>
      <c r="HJ196" s="922"/>
      <c r="HK196" s="922"/>
      <c r="HL196" s="922"/>
      <c r="HM196" s="922"/>
      <c r="HN196" s="922"/>
      <c r="HO196" s="922"/>
      <c r="HP196" s="922"/>
      <c r="HQ196" s="922"/>
      <c r="HR196" s="922"/>
      <c r="HS196" s="922"/>
      <c r="HT196" s="922"/>
      <c r="HU196" s="922"/>
      <c r="HV196" s="922"/>
      <c r="HW196" s="922"/>
      <c r="HX196" s="922"/>
      <c r="HY196" s="922"/>
      <c r="HZ196" s="922"/>
      <c r="IA196" s="922"/>
      <c r="IB196" s="922"/>
      <c r="IC196" s="922"/>
      <c r="ID196" s="922"/>
      <c r="IE196" s="922"/>
      <c r="IF196" s="922"/>
      <c r="IG196" s="922"/>
      <c r="IH196" s="922"/>
      <c r="II196" s="922"/>
      <c r="IJ196" s="922"/>
      <c r="IK196" s="922"/>
      <c r="IL196" s="922"/>
      <c r="IM196" s="922"/>
      <c r="IN196" s="922"/>
      <c r="IO196" s="922"/>
      <c r="IP196" s="922"/>
      <c r="IQ196" s="922"/>
      <c r="IR196" s="922"/>
      <c r="IS196" s="922"/>
      <c r="IT196" s="922"/>
      <c r="IU196" s="922"/>
      <c r="IV196" s="922"/>
      <c r="IW196" s="922"/>
      <c r="IX196" s="922"/>
      <c r="IY196" s="922"/>
      <c r="IZ196" s="922"/>
      <c r="JA196" s="922"/>
      <c r="JB196" s="922"/>
      <c r="JC196" s="922"/>
      <c r="JD196" s="922"/>
      <c r="JE196" s="922"/>
      <c r="JF196" s="922"/>
      <c r="JG196" s="922"/>
      <c r="JH196" s="922"/>
      <c r="JI196" s="922"/>
      <c r="JJ196" s="922"/>
      <c r="JK196" s="922"/>
      <c r="JL196" s="922"/>
      <c r="JM196" s="922"/>
      <c r="JN196" s="922"/>
      <c r="JO196" s="922"/>
      <c r="JP196" s="922"/>
      <c r="JQ196" s="922"/>
      <c r="JR196" s="922"/>
      <c r="JS196" s="922"/>
      <c r="JT196" s="922"/>
      <c r="JU196" s="922"/>
      <c r="JV196" s="922"/>
      <c r="JW196" s="922"/>
      <c r="JX196" s="922"/>
      <c r="JY196" s="922"/>
      <c r="JZ196" s="922"/>
      <c r="KA196" s="922"/>
      <c r="KB196" s="922"/>
      <c r="KC196" s="922"/>
      <c r="KD196" s="922"/>
      <c r="KE196" s="922"/>
      <c r="KF196" s="922"/>
      <c r="KG196" s="922"/>
      <c r="KH196" s="922"/>
      <c r="KI196" s="922"/>
      <c r="KJ196" s="922"/>
      <c r="KK196" s="922"/>
      <c r="KL196" s="922"/>
      <c r="KM196" s="922"/>
      <c r="KN196" s="922"/>
      <c r="KO196" s="922"/>
      <c r="KP196" s="922"/>
      <c r="KQ196" s="922"/>
      <c r="KR196" s="922"/>
      <c r="KS196" s="922"/>
      <c r="KT196" s="922"/>
      <c r="KU196" s="922"/>
      <c r="KV196" s="922"/>
      <c r="KW196" s="922"/>
      <c r="KX196" s="922"/>
      <c r="KY196" s="922"/>
      <c r="KZ196" s="922"/>
      <c r="LA196" s="922"/>
      <c r="LB196" s="922"/>
      <c r="LC196" s="922"/>
      <c r="LD196" s="922"/>
      <c r="LE196" s="922"/>
      <c r="LF196" s="922"/>
      <c r="LG196" s="922"/>
      <c r="LH196" s="922"/>
      <c r="LI196" s="922"/>
      <c r="LJ196" s="922"/>
      <c r="LK196" s="922"/>
      <c r="LL196" s="922"/>
      <c r="LM196" s="922"/>
      <c r="LN196" s="922"/>
      <c r="LO196" s="922"/>
      <c r="LP196" s="922"/>
      <c r="LQ196" s="922"/>
      <c r="LR196" s="922"/>
      <c r="LS196" s="922"/>
      <c r="LT196" s="922"/>
      <c r="LU196" s="922"/>
      <c r="LV196" s="922"/>
      <c r="LW196" s="922"/>
      <c r="LX196" s="922"/>
      <c r="LY196" s="922"/>
      <c r="LZ196" s="922"/>
      <c r="MA196" s="922"/>
      <c r="MB196" s="922"/>
      <c r="MC196" s="922"/>
      <c r="MD196" s="922"/>
      <c r="ME196" s="922"/>
      <c r="MF196" s="922"/>
      <c r="MG196" s="922"/>
      <c r="MH196" s="922"/>
      <c r="MI196" s="922"/>
      <c r="MJ196" s="922"/>
      <c r="MK196" s="922"/>
      <c r="ML196" s="922"/>
      <c r="MM196" s="922"/>
      <c r="MN196" s="922"/>
      <c r="MO196" s="922"/>
      <c r="MP196" s="922"/>
      <c r="MQ196" s="922"/>
      <c r="MR196" s="922"/>
      <c r="MS196" s="922"/>
      <c r="MT196" s="922"/>
      <c r="MU196" s="922"/>
      <c r="MV196" s="922"/>
      <c r="MW196" s="922"/>
      <c r="MX196" s="922"/>
      <c r="MY196" s="922"/>
      <c r="MZ196" s="922"/>
      <c r="NA196" s="922"/>
      <c r="NB196" s="922"/>
      <c r="NC196" s="922"/>
      <c r="ND196" s="922"/>
      <c r="NE196" s="922"/>
      <c r="NF196" s="922"/>
      <c r="NG196" s="922"/>
      <c r="NH196" s="922"/>
      <c r="NI196" s="922"/>
      <c r="NJ196" s="922"/>
      <c r="NK196" s="922"/>
      <c r="NL196" s="922"/>
      <c r="NM196" s="922"/>
      <c r="NN196" s="922"/>
      <c r="NO196" s="922"/>
      <c r="NP196" s="922"/>
      <c r="NQ196" s="922"/>
      <c r="NR196" s="922"/>
      <c r="NS196" s="922"/>
      <c r="NT196" s="922"/>
      <c r="NU196" s="922"/>
      <c r="NV196" s="922"/>
      <c r="NW196" s="922"/>
      <c r="NX196" s="922"/>
      <c r="NY196" s="922"/>
      <c r="NZ196" s="922"/>
      <c r="OA196" s="922"/>
      <c r="OB196" s="922"/>
      <c r="OC196" s="922"/>
      <c r="OD196" s="922"/>
      <c r="OE196" s="922"/>
      <c r="OF196" s="922"/>
      <c r="OG196" s="922"/>
      <c r="OH196" s="922"/>
      <c r="OI196" s="922"/>
      <c r="OJ196" s="922"/>
      <c r="OK196" s="922"/>
      <c r="OL196" s="922"/>
      <c r="OM196" s="922"/>
      <c r="ON196" s="922"/>
      <c r="OO196" s="922"/>
      <c r="OP196" s="922"/>
      <c r="OQ196" s="922"/>
      <c r="OR196" s="922"/>
      <c r="OS196" s="922"/>
      <c r="OT196" s="922"/>
      <c r="OU196" s="922"/>
      <c r="OV196" s="922"/>
      <c r="OW196" s="922"/>
      <c r="OX196" s="922"/>
      <c r="OY196" s="922"/>
      <c r="OZ196" s="922"/>
      <c r="PA196" s="922"/>
      <c r="PB196" s="922"/>
      <c r="PC196" s="922"/>
      <c r="PD196" s="922"/>
      <c r="PE196" s="922"/>
      <c r="PF196" s="922"/>
      <c r="PG196" s="922"/>
      <c r="PH196" s="922"/>
      <c r="PI196" s="922"/>
      <c r="PJ196" s="922"/>
      <c r="PK196" s="922"/>
      <c r="PL196" s="922"/>
      <c r="PM196" s="922"/>
      <c r="PN196" s="922"/>
      <c r="PO196" s="922"/>
      <c r="PP196" s="922"/>
      <c r="PQ196" s="922"/>
      <c r="PR196" s="922"/>
      <c r="PS196" s="922"/>
      <c r="PT196" s="922"/>
      <c r="PU196" s="922"/>
      <c r="PV196" s="922"/>
      <c r="PW196" s="922"/>
      <c r="PX196" s="922"/>
      <c r="PY196" s="922"/>
      <c r="PZ196" s="922"/>
      <c r="QA196" s="922"/>
      <c r="QB196" s="922"/>
      <c r="QC196" s="922"/>
      <c r="QD196" s="922"/>
      <c r="QE196" s="922"/>
      <c r="QF196" s="922"/>
      <c r="QG196" s="922"/>
      <c r="QH196" s="922"/>
      <c r="QI196" s="922"/>
      <c r="QJ196" s="922"/>
      <c r="QK196" s="922"/>
      <c r="QL196" s="922"/>
      <c r="QM196" s="922"/>
      <c r="QN196" s="922"/>
      <c r="QO196" s="922"/>
      <c r="QP196" s="922"/>
      <c r="QQ196" s="922"/>
      <c r="QR196" s="922"/>
      <c r="QS196" s="922"/>
      <c r="QT196" s="922"/>
      <c r="QU196" s="922"/>
      <c r="QV196" s="922"/>
      <c r="QW196" s="922"/>
      <c r="QX196" s="922"/>
      <c r="QY196" s="922"/>
      <c r="QZ196" s="922"/>
      <c r="RA196" s="922"/>
      <c r="RB196" s="922"/>
      <c r="RC196" s="922"/>
      <c r="RD196" s="922"/>
      <c r="RE196" s="922"/>
      <c r="RF196" s="922"/>
      <c r="RG196" s="922"/>
      <c r="RH196" s="922"/>
      <c r="RI196" s="922"/>
      <c r="RJ196" s="922"/>
      <c r="RK196" s="922"/>
      <c r="RL196" s="922"/>
      <c r="RM196" s="922"/>
      <c r="RN196" s="922"/>
      <c r="RO196" s="922"/>
      <c r="RP196" s="922"/>
      <c r="RQ196" s="922"/>
      <c r="RR196" s="922"/>
      <c r="RS196" s="922"/>
      <c r="RT196" s="922"/>
      <c r="RU196" s="922"/>
      <c r="RV196" s="922"/>
      <c r="RW196" s="922"/>
      <c r="RX196" s="922"/>
      <c r="RY196" s="922"/>
      <c r="RZ196" s="922"/>
      <c r="SA196" s="922"/>
      <c r="SB196" s="922"/>
      <c r="SC196" s="922"/>
      <c r="SD196" s="922"/>
      <c r="SE196" s="922"/>
      <c r="SF196" s="922"/>
      <c r="SG196" s="922"/>
      <c r="SH196" s="922"/>
      <c r="SI196" s="922"/>
      <c r="SJ196" s="922"/>
      <c r="SK196" s="922"/>
      <c r="SL196" s="922"/>
      <c r="SM196" s="922"/>
      <c r="SN196" s="922"/>
      <c r="SO196" s="922"/>
      <c r="SP196" s="922"/>
      <c r="SQ196" s="922"/>
      <c r="SR196" s="922"/>
      <c r="SS196" s="922"/>
      <c r="ST196" s="922"/>
      <c r="SU196" s="922"/>
      <c r="SV196" s="922"/>
      <c r="SW196" s="922"/>
      <c r="SX196" s="922"/>
      <c r="SY196" s="922"/>
      <c r="SZ196" s="922"/>
      <c r="TA196" s="922"/>
      <c r="TB196" s="922"/>
      <c r="TC196" s="922"/>
      <c r="TD196" s="922"/>
      <c r="TE196" s="922"/>
      <c r="TF196" s="922"/>
      <c r="TG196" s="922"/>
      <c r="TH196" s="922"/>
      <c r="TI196" s="922"/>
      <c r="TJ196" s="922"/>
      <c r="TK196" s="922"/>
      <c r="TL196" s="922"/>
      <c r="TM196" s="922"/>
      <c r="TN196" s="922"/>
      <c r="TO196" s="922"/>
      <c r="TP196" s="922"/>
      <c r="TQ196" s="922"/>
      <c r="TR196" s="922"/>
      <c r="TS196" s="922"/>
      <c r="TT196" s="922"/>
      <c r="TU196" s="922"/>
      <c r="TV196" s="922"/>
      <c r="TW196" s="922"/>
      <c r="TX196" s="922"/>
      <c r="TY196" s="922"/>
      <c r="TZ196" s="922"/>
      <c r="UA196" s="922"/>
      <c r="UB196" s="922"/>
      <c r="UC196" s="922"/>
      <c r="UD196" s="922"/>
      <c r="UE196" s="922"/>
      <c r="UF196" s="922"/>
      <c r="UG196" s="922"/>
      <c r="UH196" s="922"/>
      <c r="UI196" s="922"/>
      <c r="UJ196" s="922"/>
      <c r="UK196" s="922"/>
      <c r="UL196" s="922"/>
      <c r="UM196" s="922"/>
      <c r="UN196" s="922"/>
      <c r="UO196" s="922"/>
      <c r="UP196" s="922"/>
      <c r="UQ196" s="922"/>
      <c r="UR196" s="922"/>
      <c r="US196" s="922"/>
      <c r="UT196" s="922"/>
      <c r="UU196" s="922"/>
      <c r="UV196" s="922"/>
      <c r="UW196" s="922"/>
      <c r="UX196" s="922"/>
      <c r="UY196" s="922"/>
      <c r="UZ196" s="922"/>
      <c r="VA196" s="922"/>
      <c r="VB196" s="922"/>
      <c r="VC196" s="922"/>
      <c r="VD196" s="922"/>
      <c r="VE196" s="922"/>
      <c r="VF196" s="922"/>
      <c r="VG196" s="922"/>
      <c r="VH196" s="922"/>
      <c r="VI196" s="922"/>
      <c r="VJ196" s="922"/>
      <c r="VK196" s="922"/>
      <c r="VL196" s="922"/>
      <c r="VM196" s="922"/>
      <c r="VN196" s="922"/>
      <c r="VO196" s="922"/>
      <c r="VP196" s="922"/>
      <c r="VQ196" s="922"/>
      <c r="VR196" s="922"/>
      <c r="VS196" s="922"/>
      <c r="VT196" s="922"/>
      <c r="VU196" s="922"/>
      <c r="VV196" s="922"/>
      <c r="VW196" s="922"/>
      <c r="VX196" s="922"/>
      <c r="VY196" s="922"/>
      <c r="VZ196" s="922"/>
      <c r="WA196" s="922"/>
      <c r="WB196" s="922"/>
      <c r="WC196" s="922"/>
      <c r="WD196" s="922"/>
      <c r="WE196" s="922"/>
      <c r="WF196" s="922"/>
      <c r="WG196" s="922"/>
      <c r="WH196" s="922"/>
      <c r="WI196" s="922"/>
      <c r="WJ196" s="922"/>
      <c r="WK196" s="922"/>
      <c r="WL196" s="922"/>
      <c r="WM196" s="922"/>
      <c r="WN196" s="922"/>
      <c r="WO196" s="922"/>
      <c r="WP196" s="922"/>
      <c r="WQ196" s="922"/>
      <c r="WR196" s="922"/>
      <c r="WS196" s="922"/>
      <c r="WT196" s="922"/>
      <c r="WU196" s="922"/>
      <c r="WV196" s="922"/>
      <c r="WW196" s="922"/>
      <c r="WX196" s="922"/>
      <c r="WY196" s="922"/>
      <c r="WZ196" s="922"/>
      <c r="XA196" s="922"/>
      <c r="XB196" s="922"/>
      <c r="XC196" s="922"/>
      <c r="XD196" s="922"/>
      <c r="XE196" s="922"/>
      <c r="XF196" s="922"/>
      <c r="XG196" s="922"/>
      <c r="XH196" s="922"/>
      <c r="XI196" s="922"/>
      <c r="XJ196" s="922"/>
      <c r="XK196" s="922"/>
      <c r="XL196" s="922"/>
      <c r="XM196" s="922"/>
      <c r="XN196" s="922"/>
      <c r="XO196" s="922"/>
      <c r="XP196" s="922"/>
      <c r="XQ196" s="922"/>
      <c r="XR196" s="922"/>
      <c r="XS196" s="922"/>
      <c r="XT196" s="922"/>
      <c r="XU196" s="922"/>
      <c r="XV196" s="922"/>
      <c r="XW196" s="922"/>
      <c r="XX196" s="922"/>
      <c r="XY196" s="922"/>
      <c r="XZ196" s="922"/>
      <c r="YA196" s="922"/>
      <c r="YB196" s="922"/>
      <c r="YC196" s="922"/>
      <c r="YD196" s="922"/>
      <c r="YE196" s="922"/>
      <c r="YF196" s="922"/>
      <c r="YG196" s="922"/>
      <c r="YH196" s="922"/>
      <c r="YI196" s="922"/>
      <c r="YJ196" s="922"/>
      <c r="YK196" s="922"/>
      <c r="YL196" s="922"/>
      <c r="YM196" s="922"/>
      <c r="YN196" s="922"/>
      <c r="YO196" s="922"/>
      <c r="YP196" s="922"/>
      <c r="YQ196" s="922"/>
      <c r="YR196" s="922"/>
      <c r="YS196" s="922"/>
      <c r="YT196" s="922"/>
      <c r="YU196" s="922"/>
      <c r="YV196" s="922"/>
      <c r="YW196" s="922"/>
      <c r="YX196" s="922"/>
      <c r="YY196" s="922"/>
      <c r="YZ196" s="922"/>
      <c r="ZA196" s="922"/>
      <c r="ZB196" s="922"/>
      <c r="ZC196" s="922"/>
      <c r="ZD196" s="922"/>
      <c r="ZE196" s="922"/>
      <c r="ZF196" s="922"/>
      <c r="ZG196" s="922"/>
      <c r="ZH196" s="922"/>
      <c r="ZI196" s="922"/>
      <c r="ZJ196" s="922"/>
      <c r="ZK196" s="922"/>
      <c r="ZL196" s="922"/>
      <c r="ZM196" s="922"/>
      <c r="ZN196" s="922"/>
      <c r="ZO196" s="922"/>
      <c r="ZP196" s="922"/>
      <c r="ZQ196" s="922"/>
      <c r="ZR196" s="922"/>
      <c r="ZS196" s="922"/>
      <c r="ZT196" s="922"/>
      <c r="ZU196" s="922"/>
      <c r="ZV196" s="922"/>
      <c r="ZW196" s="922"/>
      <c r="ZX196" s="922"/>
      <c r="ZY196" s="922"/>
      <c r="ZZ196" s="922"/>
      <c r="AAA196" s="922"/>
      <c r="AAB196" s="922"/>
      <c r="AAC196" s="922"/>
      <c r="AAD196" s="922"/>
      <c r="AAE196" s="922"/>
      <c r="AAF196" s="922"/>
      <c r="AAG196" s="922"/>
      <c r="AAH196" s="922"/>
      <c r="AAI196" s="922"/>
      <c r="AAJ196" s="922"/>
      <c r="AAK196" s="922"/>
      <c r="AAL196" s="922"/>
      <c r="AAM196" s="922"/>
      <c r="AAN196" s="922"/>
      <c r="AAO196" s="922"/>
      <c r="AAP196" s="922"/>
      <c r="AAQ196" s="922"/>
      <c r="AAR196" s="922"/>
      <c r="AAS196" s="922"/>
      <c r="AAT196" s="922"/>
      <c r="AAU196" s="922"/>
      <c r="AAV196" s="922"/>
      <c r="AAW196" s="922"/>
      <c r="AAX196" s="922"/>
      <c r="AAY196" s="922"/>
      <c r="AAZ196" s="922"/>
      <c r="ABA196" s="922"/>
      <c r="ABB196" s="922"/>
      <c r="ABC196" s="922"/>
      <c r="ABD196" s="922"/>
      <c r="ABE196" s="922"/>
      <c r="ABF196" s="922"/>
      <c r="ABG196" s="922"/>
      <c r="ABH196" s="922"/>
      <c r="ABI196" s="922"/>
      <c r="ABJ196" s="922"/>
      <c r="ABK196" s="922"/>
      <c r="ABL196" s="922"/>
      <c r="ABM196" s="922"/>
      <c r="ABN196" s="922"/>
      <c r="ABO196" s="922"/>
      <c r="ABP196" s="922"/>
      <c r="ABQ196" s="922"/>
      <c r="ABR196" s="922"/>
      <c r="ABS196" s="922"/>
      <c r="ABT196" s="922"/>
      <c r="ABU196" s="922"/>
      <c r="ABV196" s="922"/>
      <c r="ABW196" s="922"/>
      <c r="ABX196" s="922"/>
      <c r="ABY196" s="922"/>
      <c r="ABZ196" s="922"/>
      <c r="ACA196" s="922"/>
      <c r="ACB196" s="922"/>
      <c r="ACC196" s="922"/>
      <c r="ACD196" s="922"/>
      <c r="ACE196" s="922"/>
      <c r="ACF196" s="922"/>
      <c r="ACG196" s="922"/>
      <c r="ACH196" s="922"/>
      <c r="ACI196" s="922"/>
      <c r="ACJ196" s="922"/>
      <c r="ACK196" s="922"/>
      <c r="ACL196" s="922"/>
      <c r="ACM196" s="922"/>
      <c r="ACN196" s="922"/>
      <c r="ACO196" s="922"/>
      <c r="ACP196" s="922"/>
      <c r="ACQ196" s="922"/>
      <c r="ACR196" s="922"/>
      <c r="ACS196" s="922"/>
      <c r="ACT196" s="922"/>
      <c r="ACU196" s="922"/>
      <c r="ACV196" s="922"/>
      <c r="ACW196" s="922"/>
      <c r="ACX196" s="922"/>
      <c r="ACY196" s="922"/>
      <c r="ACZ196" s="922"/>
      <c r="ADA196" s="922"/>
      <c r="ADB196" s="922"/>
      <c r="ADC196" s="922"/>
      <c r="ADD196" s="922"/>
      <c r="ADE196" s="922"/>
      <c r="ADF196" s="922"/>
      <c r="ADG196" s="922"/>
      <c r="ADH196" s="922"/>
      <c r="ADI196" s="922"/>
      <c r="ADJ196" s="922"/>
      <c r="ADK196" s="922"/>
      <c r="ADL196" s="922"/>
      <c r="ADM196" s="922"/>
      <c r="ADN196" s="922"/>
      <c r="ADO196" s="922"/>
      <c r="ADP196" s="922"/>
      <c r="ADQ196" s="922"/>
      <c r="ADR196" s="922"/>
      <c r="ADS196" s="922"/>
      <c r="ADT196" s="922"/>
      <c r="ADU196" s="922"/>
      <c r="ADV196" s="922"/>
      <c r="ADW196" s="922"/>
      <c r="ADX196" s="922"/>
      <c r="ADY196" s="922"/>
      <c r="ADZ196" s="922"/>
      <c r="AEA196" s="922"/>
      <c r="AEB196" s="922"/>
      <c r="AEC196" s="922"/>
      <c r="AED196" s="922"/>
      <c r="AEE196" s="922"/>
      <c r="AEF196" s="922"/>
      <c r="AEG196" s="922"/>
      <c r="AEH196" s="922"/>
      <c r="AEI196" s="922"/>
      <c r="AEJ196" s="922"/>
      <c r="AEK196" s="922"/>
      <c r="AEL196" s="922"/>
      <c r="AEM196" s="922"/>
      <c r="AEN196" s="922"/>
      <c r="AEO196" s="922"/>
      <c r="AEP196" s="922"/>
      <c r="AEQ196" s="922"/>
      <c r="AER196" s="922"/>
      <c r="AES196" s="922"/>
      <c r="AET196" s="922"/>
      <c r="AEU196" s="922"/>
      <c r="AEV196" s="922"/>
      <c r="AEW196" s="922"/>
      <c r="AEX196" s="922"/>
      <c r="AEY196" s="922"/>
      <c r="AEZ196" s="922"/>
      <c r="AFA196" s="922"/>
      <c r="AFB196" s="922"/>
      <c r="AFC196" s="922"/>
      <c r="AFD196" s="922"/>
      <c r="AFE196" s="922"/>
      <c r="AFF196" s="922"/>
      <c r="AFG196" s="922"/>
      <c r="AFH196" s="922"/>
      <c r="AFI196" s="922"/>
      <c r="AFJ196" s="922"/>
      <c r="AFK196" s="922"/>
      <c r="AFL196" s="922"/>
      <c r="AFM196" s="922"/>
      <c r="AFN196" s="922"/>
      <c r="AFO196" s="922"/>
      <c r="AFP196" s="922"/>
      <c r="AFQ196" s="922"/>
      <c r="AFR196" s="922"/>
      <c r="AFS196" s="922"/>
      <c r="AFT196" s="922"/>
      <c r="AFU196" s="922"/>
      <c r="AFV196" s="922"/>
      <c r="AFW196" s="922"/>
      <c r="AFX196" s="922"/>
      <c r="AFY196" s="922"/>
      <c r="AFZ196" s="922"/>
      <c r="AGA196" s="922"/>
      <c r="AGB196" s="922"/>
      <c r="AGC196" s="922"/>
      <c r="AGD196" s="922"/>
      <c r="AGE196" s="922"/>
      <c r="AGF196" s="922"/>
      <c r="AGG196" s="922"/>
      <c r="AGH196" s="922"/>
      <c r="AGI196" s="922"/>
      <c r="AGJ196" s="922"/>
      <c r="AGK196" s="922"/>
      <c r="AGL196" s="922"/>
      <c r="AGM196" s="922"/>
      <c r="AGN196" s="922"/>
      <c r="AGO196" s="922"/>
      <c r="AGP196" s="922"/>
      <c r="AGQ196" s="922"/>
      <c r="AGR196" s="922"/>
      <c r="AGS196" s="922"/>
      <c r="AGT196" s="922"/>
      <c r="AGU196" s="922"/>
      <c r="AGV196" s="922"/>
      <c r="AGW196" s="922"/>
      <c r="AGX196" s="922"/>
      <c r="AGY196" s="922"/>
      <c r="AGZ196" s="922"/>
      <c r="AHA196" s="922"/>
      <c r="AHB196" s="922"/>
      <c r="AHC196" s="922"/>
      <c r="AHD196" s="922"/>
      <c r="AHE196" s="922"/>
      <c r="AHF196" s="922"/>
      <c r="AHG196" s="922"/>
      <c r="AHH196" s="922"/>
      <c r="AHI196" s="922"/>
      <c r="AHJ196" s="922"/>
      <c r="AHK196" s="922"/>
      <c r="AHL196" s="922"/>
      <c r="AHM196" s="922"/>
      <c r="AHN196" s="922"/>
      <c r="AHO196" s="922"/>
      <c r="AHP196" s="922"/>
      <c r="AHQ196" s="922"/>
      <c r="AHR196" s="922"/>
      <c r="AHS196" s="922"/>
      <c r="AHT196" s="922"/>
      <c r="AHU196" s="922"/>
      <c r="AHV196" s="922"/>
      <c r="AHW196" s="922"/>
      <c r="AHX196" s="922"/>
      <c r="AHY196" s="922"/>
      <c r="AHZ196" s="922"/>
      <c r="AIA196" s="922"/>
      <c r="AIB196" s="922"/>
      <c r="AIC196" s="922"/>
      <c r="AID196" s="922"/>
      <c r="AIE196" s="922"/>
      <c r="AIF196" s="922"/>
      <c r="AIG196" s="922"/>
      <c r="AIH196" s="922"/>
      <c r="AII196" s="922"/>
      <c r="AIJ196" s="922"/>
      <c r="AIK196" s="922"/>
      <c r="AIL196" s="922"/>
      <c r="AIM196" s="922"/>
      <c r="AIN196" s="922"/>
      <c r="AIO196" s="922"/>
      <c r="AIP196" s="922"/>
      <c r="AIQ196" s="922"/>
      <c r="AIR196" s="922"/>
      <c r="AIS196" s="922"/>
      <c r="AIT196" s="922"/>
      <c r="AIU196" s="922"/>
      <c r="AIV196" s="922"/>
      <c r="AIW196" s="922"/>
      <c r="AIX196" s="922"/>
      <c r="AIY196" s="922"/>
      <c r="AIZ196" s="922"/>
      <c r="AJA196" s="922"/>
      <c r="AJB196" s="922"/>
      <c r="AJC196" s="922"/>
      <c r="AJD196" s="922"/>
      <c r="AJE196" s="922"/>
      <c r="AJF196" s="922"/>
      <c r="AJG196" s="922"/>
      <c r="AJH196" s="922"/>
      <c r="AJI196" s="922"/>
      <c r="AJJ196" s="922"/>
      <c r="AJK196" s="922"/>
      <c r="AJL196" s="922"/>
      <c r="AJM196" s="922"/>
      <c r="AJN196" s="922"/>
      <c r="AJO196" s="922"/>
      <c r="AJP196" s="922"/>
      <c r="AJQ196" s="922"/>
      <c r="AJR196" s="922"/>
      <c r="AJS196" s="922"/>
      <c r="AJT196" s="922"/>
      <c r="AJU196" s="922"/>
      <c r="AJV196" s="922"/>
      <c r="AJW196" s="922"/>
      <c r="AJX196" s="922"/>
      <c r="AJY196" s="922"/>
      <c r="AJZ196" s="922"/>
      <c r="AKA196" s="922"/>
      <c r="AKB196" s="922"/>
      <c r="AKC196" s="922"/>
      <c r="AKD196" s="922"/>
      <c r="AKE196" s="922"/>
      <c r="AKF196" s="922"/>
      <c r="AKG196" s="922"/>
      <c r="AKH196" s="922"/>
      <c r="AKI196" s="922"/>
      <c r="AKJ196" s="922"/>
      <c r="AKK196" s="922"/>
      <c r="AKL196" s="922"/>
      <c r="AKM196" s="922"/>
      <c r="AKN196" s="922"/>
      <c r="AKO196" s="922"/>
      <c r="AKP196" s="922"/>
      <c r="AKQ196" s="922"/>
      <c r="AKR196" s="922"/>
      <c r="AKS196" s="922"/>
      <c r="AKT196" s="922"/>
      <c r="AKU196" s="922"/>
      <c r="AKV196" s="922"/>
      <c r="AKW196" s="922"/>
      <c r="AKX196" s="922"/>
      <c r="AKY196" s="922"/>
      <c r="AKZ196" s="922"/>
      <c r="ALA196" s="922"/>
      <c r="ALB196" s="922"/>
      <c r="ALC196" s="922"/>
      <c r="ALD196" s="922"/>
      <c r="ALE196" s="922"/>
      <c r="ALF196" s="922"/>
      <c r="ALG196" s="922"/>
      <c r="ALH196" s="922"/>
      <c r="ALI196" s="922"/>
      <c r="ALJ196" s="922"/>
      <c r="ALK196" s="922"/>
      <c r="ALL196" s="922"/>
      <c r="ALM196" s="922"/>
      <c r="ALN196" s="922"/>
      <c r="ALO196" s="922"/>
      <c r="ALP196" s="922"/>
      <c r="ALQ196" s="922"/>
      <c r="ALR196" s="922"/>
      <c r="ALS196" s="922"/>
      <c r="ALT196" s="922"/>
      <c r="ALU196" s="922"/>
      <c r="ALV196" s="922"/>
      <c r="ALW196" s="922"/>
      <c r="ALX196" s="922"/>
      <c r="ALY196" s="922"/>
      <c r="ALZ196" s="922"/>
      <c r="AMA196" s="922"/>
      <c r="AMB196" s="922"/>
      <c r="AMC196" s="922"/>
      <c r="AMD196" s="922"/>
      <c r="AME196" s="922"/>
      <c r="AMF196" s="922"/>
      <c r="AMG196" s="922"/>
      <c r="AMH196" s="922"/>
      <c r="AMI196" s="922"/>
      <c r="AMJ196" s="922"/>
      <c r="AMK196" s="922"/>
      <c r="AML196" s="922"/>
      <c r="AMM196" s="922"/>
      <c r="AMN196" s="922"/>
      <c r="AMO196" s="922"/>
      <c r="AMP196" s="922"/>
      <c r="AMQ196" s="922"/>
      <c r="AMR196" s="922"/>
      <c r="AMS196" s="922"/>
      <c r="AMT196" s="922"/>
      <c r="AMU196" s="922"/>
      <c r="AMV196" s="922"/>
      <c r="AMW196" s="922"/>
      <c r="AMX196" s="922"/>
      <c r="AMY196" s="922"/>
      <c r="AMZ196" s="922"/>
      <c r="ANA196" s="922"/>
      <c r="ANB196" s="922"/>
      <c r="ANC196" s="922"/>
      <c r="AND196" s="922"/>
      <c r="ANE196" s="922"/>
      <c r="ANF196" s="922"/>
      <c r="ANG196" s="922"/>
      <c r="ANH196" s="922"/>
      <c r="ANI196" s="922"/>
      <c r="ANJ196" s="922"/>
      <c r="ANK196" s="922"/>
      <c r="ANL196" s="922"/>
      <c r="ANM196" s="922"/>
      <c r="ANN196" s="922"/>
      <c r="ANO196" s="922"/>
      <c r="ANP196" s="922"/>
      <c r="ANQ196" s="922"/>
      <c r="ANR196" s="922"/>
      <c r="ANS196" s="922"/>
      <c r="ANT196" s="922"/>
      <c r="ANU196" s="922"/>
      <c r="ANV196" s="922"/>
      <c r="ANW196" s="922"/>
      <c r="ANX196" s="922"/>
      <c r="ANY196" s="922"/>
      <c r="ANZ196" s="922"/>
      <c r="AOA196" s="922"/>
      <c r="AOB196" s="922"/>
      <c r="AOC196" s="922"/>
      <c r="AOD196" s="922"/>
      <c r="AOE196" s="922"/>
      <c r="AOF196" s="922"/>
      <c r="AOG196" s="922"/>
      <c r="AOH196" s="922"/>
      <c r="AOI196" s="922"/>
      <c r="AOJ196" s="922"/>
      <c r="AOK196" s="922"/>
      <c r="AOL196" s="922"/>
      <c r="AOM196" s="922"/>
      <c r="AON196" s="922"/>
      <c r="AOO196" s="922"/>
      <c r="AOP196" s="922"/>
      <c r="AOQ196" s="922"/>
      <c r="AOR196" s="922"/>
      <c r="AOS196" s="922"/>
      <c r="AOT196" s="922"/>
      <c r="AOU196" s="922"/>
      <c r="AOV196" s="922"/>
      <c r="AOW196" s="922"/>
      <c r="AOX196" s="922"/>
      <c r="AOY196" s="922"/>
      <c r="AOZ196" s="922"/>
      <c r="APA196" s="922"/>
      <c r="APB196" s="922"/>
      <c r="APC196" s="922"/>
      <c r="APD196" s="922"/>
      <c r="APE196" s="922"/>
      <c r="APF196" s="922"/>
      <c r="APG196" s="922"/>
      <c r="APH196" s="922"/>
      <c r="API196" s="922"/>
      <c r="APJ196" s="922"/>
      <c r="APK196" s="922"/>
      <c r="APL196" s="922"/>
      <c r="APM196" s="922"/>
      <c r="APN196" s="922"/>
      <c r="APO196" s="922"/>
      <c r="APP196" s="922"/>
      <c r="APQ196" s="922"/>
      <c r="APR196" s="922"/>
      <c r="APS196" s="922"/>
      <c r="APT196" s="922"/>
      <c r="APU196" s="922"/>
      <c r="APV196" s="922"/>
      <c r="APW196" s="922"/>
      <c r="APX196" s="922"/>
      <c r="APY196" s="922"/>
      <c r="APZ196" s="922"/>
      <c r="AQA196" s="922"/>
      <c r="AQB196" s="922"/>
      <c r="AQC196" s="922"/>
      <c r="AQD196" s="922"/>
      <c r="AQE196" s="922"/>
      <c r="AQF196" s="922"/>
      <c r="AQG196" s="922"/>
      <c r="AQH196" s="922"/>
      <c r="AQI196" s="922"/>
      <c r="AQJ196" s="922"/>
      <c r="AQK196" s="922"/>
      <c r="AQL196" s="922"/>
      <c r="AQM196" s="922"/>
      <c r="AQN196" s="922"/>
      <c r="AQO196" s="922"/>
      <c r="AQP196" s="922"/>
      <c r="AQQ196" s="922"/>
      <c r="AQR196" s="922"/>
      <c r="AQS196" s="922"/>
      <c r="AQT196" s="922"/>
      <c r="AQU196" s="922"/>
      <c r="AQV196" s="922"/>
      <c r="AQW196" s="922"/>
      <c r="AQX196" s="922"/>
      <c r="AQY196" s="922"/>
      <c r="AQZ196" s="922"/>
      <c r="ARA196" s="922"/>
      <c r="ARB196" s="922"/>
      <c r="ARC196" s="922"/>
      <c r="ARD196" s="922"/>
      <c r="ARE196" s="922"/>
      <c r="ARF196" s="922"/>
      <c r="ARG196" s="922"/>
      <c r="ARH196" s="922"/>
      <c r="ARI196" s="922"/>
      <c r="ARJ196" s="922"/>
      <c r="ARK196" s="922"/>
      <c r="ARL196" s="922"/>
      <c r="ARM196" s="922"/>
      <c r="ARN196" s="922"/>
      <c r="ARO196" s="922"/>
      <c r="ARP196" s="922"/>
      <c r="ARQ196" s="922"/>
      <c r="ARR196" s="922"/>
      <c r="ARS196" s="922"/>
      <c r="ART196" s="922"/>
      <c r="ARU196" s="922"/>
      <c r="ARV196" s="922"/>
      <c r="ARW196" s="922"/>
      <c r="ARX196" s="922"/>
      <c r="ARY196" s="922"/>
      <c r="ARZ196" s="922"/>
      <c r="ASA196" s="922"/>
      <c r="ASB196" s="922"/>
      <c r="ASC196" s="922"/>
    </row>
    <row r="197" spans="20:1173" hidden="1">
      <c r="T197" s="922"/>
      <c r="AN197" s="922"/>
      <c r="AO197" s="922"/>
      <c r="AP197" s="922"/>
      <c r="AQ197" s="922"/>
      <c r="AR197" s="922"/>
      <c r="AS197" s="922"/>
      <c r="AT197" s="922"/>
      <c r="AU197" s="922"/>
      <c r="AV197" s="922"/>
      <c r="AW197" s="922"/>
      <c r="AX197" s="922"/>
      <c r="AY197" s="922"/>
      <c r="AZ197" s="922"/>
      <c r="BA197" s="922"/>
      <c r="BB197" s="922"/>
      <c r="BC197" s="922"/>
      <c r="BD197" s="922"/>
      <c r="BE197" s="922"/>
      <c r="BF197" s="922"/>
      <c r="BG197" s="922"/>
      <c r="BH197" s="922"/>
      <c r="BI197" s="922"/>
      <c r="BJ197" s="922"/>
      <c r="BK197" s="922"/>
      <c r="BL197" s="922"/>
      <c r="BM197" s="922"/>
      <c r="BN197" s="922"/>
      <c r="BO197" s="922"/>
      <c r="BP197" s="922"/>
      <c r="BQ197" s="922"/>
      <c r="BR197" s="922"/>
      <c r="BS197" s="922"/>
      <c r="BT197" s="922"/>
      <c r="BU197" s="922"/>
      <c r="BV197" s="922"/>
      <c r="BW197" s="922"/>
      <c r="BX197" s="922"/>
      <c r="BY197" s="922"/>
      <c r="BZ197" s="922"/>
      <c r="CA197" s="922"/>
      <c r="CB197" s="922"/>
      <c r="CC197" s="922"/>
      <c r="CD197" s="922"/>
      <c r="CE197" s="922"/>
      <c r="CF197" s="922"/>
      <c r="CG197" s="922"/>
      <c r="CH197" s="922"/>
      <c r="CI197" s="922"/>
      <c r="CJ197" s="922"/>
      <c r="CK197" s="922"/>
      <c r="CL197" s="922"/>
      <c r="CM197" s="922"/>
      <c r="CN197" s="922"/>
      <c r="CO197" s="922"/>
      <c r="CP197" s="922"/>
      <c r="CQ197" s="922"/>
      <c r="CR197" s="922"/>
      <c r="CS197" s="922"/>
      <c r="CT197" s="922"/>
      <c r="CU197" s="922"/>
      <c r="CV197" s="922"/>
      <c r="CW197" s="922"/>
      <c r="CX197" s="922"/>
      <c r="CY197" s="922"/>
      <c r="CZ197" s="922"/>
      <c r="DA197" s="922"/>
      <c r="DB197" s="922"/>
      <c r="DC197" s="922"/>
      <c r="DD197" s="922"/>
      <c r="DE197" s="922"/>
      <c r="DF197" s="922"/>
      <c r="DG197" s="922"/>
      <c r="DH197" s="922"/>
      <c r="DI197" s="922"/>
      <c r="DJ197" s="922"/>
      <c r="DK197" s="922"/>
      <c r="DL197" s="922"/>
      <c r="DM197" s="922"/>
      <c r="DN197" s="922"/>
      <c r="DO197" s="922"/>
      <c r="DP197" s="922"/>
      <c r="DQ197" s="922"/>
      <c r="DR197" s="922"/>
      <c r="DS197" s="922"/>
      <c r="DT197" s="922"/>
      <c r="DU197" s="922"/>
      <c r="DV197" s="922"/>
      <c r="DW197" s="922"/>
      <c r="DX197" s="922"/>
      <c r="DY197" s="922"/>
      <c r="DZ197" s="922"/>
      <c r="EA197" s="922"/>
      <c r="EB197" s="922"/>
      <c r="EC197" s="922"/>
      <c r="ED197" s="922"/>
      <c r="EE197" s="922"/>
      <c r="EF197" s="922"/>
      <c r="EG197" s="922"/>
      <c r="EH197" s="922"/>
      <c r="EI197" s="922"/>
      <c r="EJ197" s="922"/>
      <c r="EK197" s="922"/>
      <c r="EL197" s="922"/>
      <c r="EM197" s="922"/>
      <c r="EN197" s="922"/>
      <c r="EO197" s="922"/>
      <c r="EP197" s="922"/>
      <c r="EQ197" s="922"/>
      <c r="ER197" s="922"/>
      <c r="ES197" s="922"/>
      <c r="ET197" s="922"/>
      <c r="EU197" s="922"/>
      <c r="EV197" s="922"/>
      <c r="EW197" s="922"/>
      <c r="EX197" s="922"/>
      <c r="EY197" s="922"/>
      <c r="EZ197" s="922"/>
      <c r="FA197" s="922"/>
      <c r="FB197" s="922"/>
      <c r="FC197" s="922"/>
      <c r="FD197" s="922"/>
      <c r="FE197" s="922"/>
      <c r="FF197" s="922"/>
      <c r="FG197" s="922"/>
      <c r="FH197" s="922"/>
      <c r="FI197" s="922"/>
      <c r="FJ197" s="922"/>
      <c r="FK197" s="922"/>
      <c r="FL197" s="922"/>
      <c r="FM197" s="922"/>
      <c r="FN197" s="922"/>
      <c r="FO197" s="922"/>
      <c r="FP197" s="922"/>
      <c r="FQ197" s="922"/>
      <c r="FR197" s="922"/>
      <c r="FS197" s="922"/>
      <c r="FT197" s="922"/>
      <c r="FU197" s="922"/>
      <c r="FV197" s="922"/>
      <c r="FW197" s="922"/>
      <c r="FX197" s="922"/>
      <c r="FY197" s="922"/>
      <c r="FZ197" s="922"/>
      <c r="GA197" s="922"/>
      <c r="GB197" s="922"/>
      <c r="GC197" s="922"/>
      <c r="GD197" s="922"/>
      <c r="GE197" s="922"/>
      <c r="GF197" s="922"/>
      <c r="GG197" s="922"/>
      <c r="GH197" s="922"/>
      <c r="GI197" s="922"/>
      <c r="GJ197" s="922"/>
      <c r="GK197" s="922"/>
      <c r="GL197" s="922"/>
      <c r="GM197" s="922"/>
      <c r="GN197" s="922"/>
      <c r="GO197" s="922"/>
      <c r="GP197" s="922"/>
      <c r="GQ197" s="922"/>
      <c r="GR197" s="922"/>
      <c r="GS197" s="922"/>
      <c r="GT197" s="922"/>
      <c r="GU197" s="922"/>
      <c r="GV197" s="922"/>
      <c r="GW197" s="922"/>
      <c r="GX197" s="922"/>
      <c r="GY197" s="922"/>
      <c r="GZ197" s="922"/>
      <c r="HA197" s="922"/>
      <c r="HB197" s="922"/>
      <c r="HC197" s="922"/>
      <c r="HD197" s="922"/>
      <c r="HE197" s="922"/>
      <c r="HF197" s="922"/>
      <c r="HG197" s="922"/>
      <c r="HH197" s="922"/>
      <c r="HI197" s="922"/>
      <c r="HJ197" s="922"/>
      <c r="HK197" s="922"/>
      <c r="HL197" s="922"/>
      <c r="HM197" s="922"/>
      <c r="HN197" s="922"/>
      <c r="HO197" s="922"/>
      <c r="HP197" s="922"/>
      <c r="HQ197" s="922"/>
      <c r="HR197" s="922"/>
      <c r="HS197" s="922"/>
      <c r="HT197" s="922"/>
      <c r="HU197" s="922"/>
      <c r="HV197" s="922"/>
      <c r="HW197" s="922"/>
      <c r="HX197" s="922"/>
      <c r="HY197" s="922"/>
      <c r="HZ197" s="922"/>
      <c r="IA197" s="922"/>
      <c r="IB197" s="922"/>
      <c r="IC197" s="922"/>
      <c r="ID197" s="922"/>
      <c r="IE197" s="922"/>
      <c r="IF197" s="922"/>
      <c r="IG197" s="922"/>
      <c r="IH197" s="922"/>
      <c r="II197" s="922"/>
      <c r="IJ197" s="922"/>
      <c r="IK197" s="922"/>
      <c r="IL197" s="922"/>
      <c r="IM197" s="922"/>
      <c r="IN197" s="922"/>
      <c r="IO197" s="922"/>
      <c r="IP197" s="922"/>
      <c r="IQ197" s="922"/>
      <c r="IR197" s="922"/>
      <c r="IS197" s="922"/>
      <c r="IT197" s="922"/>
      <c r="IU197" s="922"/>
      <c r="IV197" s="922"/>
      <c r="IW197" s="922"/>
      <c r="IX197" s="922"/>
      <c r="IY197" s="922"/>
      <c r="IZ197" s="922"/>
      <c r="JA197" s="922"/>
      <c r="JB197" s="922"/>
      <c r="JC197" s="922"/>
      <c r="JD197" s="922"/>
      <c r="JE197" s="922"/>
      <c r="JF197" s="922"/>
      <c r="JG197" s="922"/>
      <c r="JH197" s="922"/>
      <c r="JI197" s="922"/>
      <c r="JJ197" s="922"/>
      <c r="JK197" s="922"/>
      <c r="JL197" s="922"/>
      <c r="JM197" s="922"/>
      <c r="JN197" s="922"/>
      <c r="JO197" s="922"/>
      <c r="JP197" s="922"/>
      <c r="JQ197" s="922"/>
      <c r="JR197" s="922"/>
      <c r="JS197" s="922"/>
      <c r="JT197" s="922"/>
      <c r="JU197" s="922"/>
      <c r="JV197" s="922"/>
      <c r="JW197" s="922"/>
      <c r="JX197" s="922"/>
      <c r="JY197" s="922"/>
      <c r="JZ197" s="922"/>
      <c r="KA197" s="922"/>
      <c r="KB197" s="922"/>
      <c r="KC197" s="922"/>
      <c r="KD197" s="922"/>
      <c r="KE197" s="922"/>
      <c r="KF197" s="922"/>
      <c r="KG197" s="922"/>
      <c r="KH197" s="922"/>
      <c r="KI197" s="922"/>
      <c r="KJ197" s="922"/>
      <c r="KK197" s="922"/>
      <c r="KL197" s="922"/>
      <c r="KM197" s="922"/>
      <c r="KN197" s="922"/>
      <c r="KO197" s="922"/>
      <c r="KP197" s="922"/>
      <c r="KQ197" s="922"/>
      <c r="KR197" s="922"/>
      <c r="KS197" s="922"/>
      <c r="KT197" s="922"/>
      <c r="KU197" s="922"/>
      <c r="KV197" s="922"/>
      <c r="KW197" s="922"/>
      <c r="KX197" s="922"/>
      <c r="KY197" s="922"/>
      <c r="KZ197" s="922"/>
      <c r="LA197" s="922"/>
      <c r="LB197" s="922"/>
      <c r="LC197" s="922"/>
      <c r="LD197" s="922"/>
      <c r="LE197" s="922"/>
      <c r="LF197" s="922"/>
      <c r="LG197" s="922"/>
      <c r="LH197" s="922"/>
      <c r="LI197" s="922"/>
      <c r="LJ197" s="922"/>
      <c r="LK197" s="922"/>
      <c r="LL197" s="922"/>
      <c r="LM197" s="922"/>
      <c r="LN197" s="922"/>
      <c r="LO197" s="922"/>
      <c r="LP197" s="922"/>
      <c r="LQ197" s="922"/>
      <c r="LR197" s="922"/>
      <c r="LS197" s="922"/>
      <c r="LT197" s="922"/>
      <c r="LU197" s="922"/>
      <c r="LV197" s="922"/>
      <c r="LW197" s="922"/>
      <c r="LX197" s="922"/>
      <c r="LY197" s="922"/>
      <c r="LZ197" s="922"/>
      <c r="MA197" s="922"/>
      <c r="MB197" s="922"/>
      <c r="MC197" s="922"/>
      <c r="MD197" s="922"/>
      <c r="ME197" s="922"/>
      <c r="MF197" s="922"/>
      <c r="MG197" s="922"/>
      <c r="MH197" s="922"/>
      <c r="MI197" s="922"/>
      <c r="MJ197" s="922"/>
      <c r="MK197" s="922"/>
      <c r="ML197" s="922"/>
      <c r="MM197" s="922"/>
      <c r="MN197" s="922"/>
      <c r="MO197" s="922"/>
      <c r="MP197" s="922"/>
      <c r="MQ197" s="922"/>
      <c r="MR197" s="922"/>
      <c r="MS197" s="922"/>
      <c r="MT197" s="922"/>
      <c r="MU197" s="922"/>
      <c r="MV197" s="922"/>
      <c r="MW197" s="922"/>
      <c r="MX197" s="922"/>
      <c r="MY197" s="922"/>
      <c r="MZ197" s="922"/>
      <c r="NA197" s="922"/>
      <c r="NB197" s="922"/>
      <c r="NC197" s="922"/>
      <c r="ND197" s="922"/>
      <c r="NE197" s="922"/>
      <c r="NF197" s="922"/>
      <c r="NG197" s="922"/>
      <c r="NH197" s="922"/>
      <c r="NI197" s="922"/>
      <c r="NJ197" s="922"/>
      <c r="NK197" s="922"/>
      <c r="NL197" s="922"/>
      <c r="NM197" s="922"/>
      <c r="NN197" s="922"/>
      <c r="NO197" s="922"/>
      <c r="NP197" s="922"/>
      <c r="NQ197" s="922"/>
      <c r="NR197" s="922"/>
      <c r="NS197" s="922"/>
      <c r="NT197" s="922"/>
      <c r="NU197" s="922"/>
      <c r="NV197" s="922"/>
      <c r="NW197" s="922"/>
      <c r="NX197" s="922"/>
      <c r="NY197" s="922"/>
      <c r="NZ197" s="922"/>
      <c r="OA197" s="922"/>
      <c r="OB197" s="922"/>
      <c r="OC197" s="922"/>
      <c r="OD197" s="922"/>
      <c r="OE197" s="922"/>
      <c r="OF197" s="922"/>
      <c r="OG197" s="922"/>
      <c r="OH197" s="922"/>
      <c r="OI197" s="922"/>
      <c r="OJ197" s="922"/>
      <c r="OK197" s="922"/>
      <c r="OL197" s="922"/>
      <c r="OM197" s="922"/>
      <c r="ON197" s="922"/>
      <c r="OO197" s="922"/>
      <c r="OP197" s="922"/>
      <c r="OQ197" s="922"/>
      <c r="OR197" s="922"/>
      <c r="OS197" s="922"/>
      <c r="OT197" s="922"/>
      <c r="OU197" s="922"/>
      <c r="OV197" s="922"/>
      <c r="OW197" s="922"/>
      <c r="OX197" s="922"/>
      <c r="OY197" s="922"/>
      <c r="OZ197" s="922"/>
      <c r="PA197" s="922"/>
      <c r="PB197" s="922"/>
      <c r="PC197" s="922"/>
      <c r="PD197" s="922"/>
      <c r="PE197" s="922"/>
      <c r="PF197" s="922"/>
      <c r="PG197" s="922"/>
      <c r="PH197" s="922"/>
      <c r="PI197" s="922"/>
      <c r="PJ197" s="922"/>
      <c r="PK197" s="922"/>
      <c r="PL197" s="922"/>
      <c r="PM197" s="922"/>
      <c r="PN197" s="922"/>
      <c r="PO197" s="922"/>
      <c r="PP197" s="922"/>
      <c r="PQ197" s="922"/>
      <c r="PR197" s="922"/>
      <c r="PS197" s="922"/>
      <c r="PT197" s="922"/>
      <c r="PU197" s="922"/>
      <c r="PV197" s="922"/>
      <c r="PW197" s="922"/>
      <c r="PX197" s="922"/>
      <c r="PY197" s="922"/>
      <c r="PZ197" s="922"/>
      <c r="QA197" s="922"/>
      <c r="QB197" s="922"/>
      <c r="QC197" s="922"/>
      <c r="QD197" s="922"/>
      <c r="QE197" s="922"/>
      <c r="QF197" s="922"/>
      <c r="QG197" s="922"/>
      <c r="QH197" s="922"/>
      <c r="QI197" s="922"/>
      <c r="QJ197" s="922"/>
      <c r="QK197" s="922"/>
      <c r="QL197" s="922"/>
      <c r="QM197" s="922"/>
      <c r="QN197" s="922"/>
      <c r="QO197" s="922"/>
      <c r="QP197" s="922"/>
      <c r="QQ197" s="922"/>
      <c r="QR197" s="922"/>
      <c r="QS197" s="922"/>
      <c r="QT197" s="922"/>
      <c r="QU197" s="922"/>
      <c r="QV197" s="922"/>
      <c r="QW197" s="922"/>
      <c r="QX197" s="922"/>
      <c r="QY197" s="922"/>
      <c r="QZ197" s="922"/>
      <c r="RA197" s="922"/>
      <c r="RB197" s="922"/>
      <c r="RC197" s="922"/>
      <c r="RD197" s="922"/>
      <c r="RE197" s="922"/>
      <c r="RF197" s="922"/>
      <c r="RG197" s="922"/>
      <c r="RH197" s="922"/>
      <c r="RI197" s="922"/>
      <c r="RJ197" s="922"/>
      <c r="RK197" s="922"/>
      <c r="RL197" s="922"/>
      <c r="RM197" s="922"/>
      <c r="RN197" s="922"/>
      <c r="RO197" s="922"/>
      <c r="RP197" s="922"/>
      <c r="RQ197" s="922"/>
      <c r="RR197" s="922"/>
      <c r="RS197" s="922"/>
      <c r="RT197" s="922"/>
      <c r="RU197" s="922"/>
      <c r="RV197" s="922"/>
      <c r="RW197" s="922"/>
      <c r="RX197" s="922"/>
      <c r="RY197" s="922"/>
      <c r="RZ197" s="922"/>
      <c r="SA197" s="922"/>
      <c r="SB197" s="922"/>
      <c r="SC197" s="922"/>
      <c r="SD197" s="922"/>
      <c r="SE197" s="922"/>
      <c r="SF197" s="922"/>
      <c r="SG197" s="922"/>
      <c r="SH197" s="922"/>
      <c r="SI197" s="922"/>
      <c r="SJ197" s="922"/>
      <c r="SK197" s="922"/>
      <c r="SL197" s="922"/>
      <c r="SM197" s="922"/>
      <c r="SN197" s="922"/>
      <c r="SO197" s="922"/>
      <c r="SP197" s="922"/>
      <c r="SQ197" s="922"/>
      <c r="SR197" s="922"/>
      <c r="SS197" s="922"/>
      <c r="ST197" s="922"/>
      <c r="SU197" s="922"/>
      <c r="SV197" s="922"/>
      <c r="SW197" s="922"/>
      <c r="SX197" s="922"/>
      <c r="SY197" s="922"/>
      <c r="SZ197" s="922"/>
      <c r="TA197" s="922"/>
      <c r="TB197" s="922"/>
      <c r="TC197" s="922"/>
      <c r="TD197" s="922"/>
      <c r="TE197" s="922"/>
      <c r="TF197" s="922"/>
      <c r="TG197" s="922"/>
      <c r="TH197" s="922"/>
      <c r="TI197" s="922"/>
      <c r="TJ197" s="922"/>
      <c r="TK197" s="922"/>
      <c r="TL197" s="922"/>
      <c r="TM197" s="922"/>
      <c r="TN197" s="922"/>
      <c r="TO197" s="922"/>
      <c r="TP197" s="922"/>
      <c r="TQ197" s="922"/>
      <c r="TR197" s="922"/>
      <c r="TS197" s="922"/>
      <c r="TT197" s="922"/>
      <c r="TU197" s="922"/>
      <c r="TV197" s="922"/>
      <c r="TW197" s="922"/>
      <c r="TX197" s="922"/>
      <c r="TY197" s="922"/>
      <c r="TZ197" s="922"/>
      <c r="UA197" s="922"/>
      <c r="UB197" s="922"/>
      <c r="UC197" s="922"/>
      <c r="UD197" s="922"/>
      <c r="UE197" s="922"/>
      <c r="UF197" s="922"/>
      <c r="UG197" s="922"/>
      <c r="UH197" s="922"/>
      <c r="UI197" s="922"/>
      <c r="UJ197" s="922"/>
      <c r="UK197" s="922"/>
      <c r="UL197" s="922"/>
      <c r="UM197" s="922"/>
      <c r="UN197" s="922"/>
      <c r="UO197" s="922"/>
      <c r="UP197" s="922"/>
      <c r="UQ197" s="922"/>
      <c r="UR197" s="922"/>
      <c r="US197" s="922"/>
      <c r="UT197" s="922"/>
      <c r="UU197" s="922"/>
      <c r="UV197" s="922"/>
      <c r="UW197" s="922"/>
      <c r="UX197" s="922"/>
      <c r="UY197" s="922"/>
      <c r="UZ197" s="922"/>
      <c r="VA197" s="922"/>
      <c r="VB197" s="922"/>
      <c r="VC197" s="922"/>
      <c r="VD197" s="922"/>
      <c r="VE197" s="922"/>
      <c r="VF197" s="922"/>
      <c r="VG197" s="922"/>
      <c r="VH197" s="922"/>
      <c r="VI197" s="922"/>
      <c r="VJ197" s="922"/>
      <c r="VK197" s="922"/>
      <c r="VL197" s="922"/>
      <c r="VM197" s="922"/>
      <c r="VN197" s="922"/>
      <c r="VO197" s="922"/>
      <c r="VP197" s="922"/>
      <c r="VQ197" s="922"/>
      <c r="VR197" s="922"/>
      <c r="VS197" s="922"/>
      <c r="VT197" s="922"/>
      <c r="VU197" s="922"/>
      <c r="VV197" s="922"/>
      <c r="VW197" s="922"/>
      <c r="VX197" s="922"/>
      <c r="VY197" s="922"/>
      <c r="VZ197" s="922"/>
      <c r="WA197" s="922"/>
      <c r="WB197" s="922"/>
      <c r="WC197" s="922"/>
      <c r="WD197" s="922"/>
      <c r="WE197" s="922"/>
      <c r="WF197" s="922"/>
      <c r="WG197" s="922"/>
      <c r="WH197" s="922"/>
      <c r="WI197" s="922"/>
      <c r="WJ197" s="922"/>
      <c r="WK197" s="922"/>
      <c r="WL197" s="922"/>
      <c r="WM197" s="922"/>
      <c r="WN197" s="922"/>
      <c r="WO197" s="922"/>
      <c r="WP197" s="922"/>
      <c r="WQ197" s="922"/>
      <c r="WR197" s="922"/>
      <c r="WS197" s="922"/>
      <c r="WT197" s="922"/>
      <c r="WU197" s="922"/>
      <c r="WV197" s="922"/>
      <c r="WW197" s="922"/>
      <c r="WX197" s="922"/>
      <c r="WY197" s="922"/>
      <c r="WZ197" s="922"/>
      <c r="XA197" s="922"/>
      <c r="XB197" s="922"/>
      <c r="XC197" s="922"/>
      <c r="XD197" s="922"/>
      <c r="XE197" s="922"/>
      <c r="XF197" s="922"/>
      <c r="XG197" s="922"/>
      <c r="XH197" s="922"/>
      <c r="XI197" s="922"/>
      <c r="XJ197" s="922"/>
      <c r="XK197" s="922"/>
      <c r="XL197" s="922"/>
      <c r="XM197" s="922"/>
      <c r="XN197" s="922"/>
      <c r="XO197" s="922"/>
      <c r="XP197" s="922"/>
      <c r="XQ197" s="922"/>
      <c r="XR197" s="922"/>
      <c r="XS197" s="922"/>
      <c r="XT197" s="922"/>
      <c r="XU197" s="922"/>
      <c r="XV197" s="922"/>
      <c r="XW197" s="922"/>
      <c r="XX197" s="922"/>
      <c r="XY197" s="922"/>
      <c r="XZ197" s="922"/>
      <c r="YA197" s="922"/>
      <c r="YB197" s="922"/>
      <c r="YC197" s="922"/>
      <c r="YD197" s="922"/>
      <c r="YE197" s="922"/>
      <c r="YF197" s="922"/>
      <c r="YG197" s="922"/>
      <c r="YH197" s="922"/>
      <c r="YI197" s="922"/>
      <c r="YJ197" s="922"/>
      <c r="YK197" s="922"/>
      <c r="YL197" s="922"/>
      <c r="YM197" s="922"/>
      <c r="YN197" s="922"/>
      <c r="YO197" s="922"/>
      <c r="YP197" s="922"/>
      <c r="YQ197" s="922"/>
      <c r="YR197" s="922"/>
      <c r="YS197" s="922"/>
      <c r="YT197" s="922"/>
      <c r="YU197" s="922"/>
      <c r="YV197" s="922"/>
      <c r="YW197" s="922"/>
      <c r="YX197" s="922"/>
      <c r="YY197" s="922"/>
      <c r="YZ197" s="922"/>
      <c r="ZA197" s="922"/>
      <c r="ZB197" s="922"/>
      <c r="ZC197" s="922"/>
      <c r="ZD197" s="922"/>
      <c r="ZE197" s="922"/>
      <c r="ZF197" s="922"/>
      <c r="ZG197" s="922"/>
      <c r="ZH197" s="922"/>
      <c r="ZI197" s="922"/>
      <c r="ZJ197" s="922"/>
      <c r="ZK197" s="922"/>
      <c r="ZL197" s="922"/>
      <c r="ZM197" s="922"/>
      <c r="ZN197" s="922"/>
      <c r="ZO197" s="922"/>
      <c r="ZP197" s="922"/>
      <c r="ZQ197" s="922"/>
      <c r="ZR197" s="922"/>
      <c r="ZS197" s="922"/>
      <c r="ZT197" s="922"/>
      <c r="ZU197" s="922"/>
      <c r="ZV197" s="922"/>
      <c r="ZW197" s="922"/>
      <c r="ZX197" s="922"/>
      <c r="ZY197" s="922"/>
      <c r="ZZ197" s="922"/>
      <c r="AAA197" s="922"/>
      <c r="AAB197" s="922"/>
      <c r="AAC197" s="922"/>
      <c r="AAD197" s="922"/>
      <c r="AAE197" s="922"/>
      <c r="AAF197" s="922"/>
      <c r="AAG197" s="922"/>
      <c r="AAH197" s="922"/>
      <c r="AAI197" s="922"/>
      <c r="AAJ197" s="922"/>
      <c r="AAK197" s="922"/>
      <c r="AAL197" s="922"/>
      <c r="AAM197" s="922"/>
      <c r="AAN197" s="922"/>
      <c r="AAO197" s="922"/>
      <c r="AAP197" s="922"/>
      <c r="AAQ197" s="922"/>
      <c r="AAR197" s="922"/>
      <c r="AAS197" s="922"/>
      <c r="AAT197" s="922"/>
      <c r="AAU197" s="922"/>
      <c r="AAV197" s="922"/>
      <c r="AAW197" s="922"/>
      <c r="AAX197" s="922"/>
      <c r="AAY197" s="922"/>
      <c r="AAZ197" s="922"/>
      <c r="ABA197" s="922"/>
      <c r="ABB197" s="922"/>
      <c r="ABC197" s="922"/>
      <c r="ABD197" s="922"/>
      <c r="ABE197" s="922"/>
      <c r="ABF197" s="922"/>
      <c r="ABG197" s="922"/>
      <c r="ABH197" s="922"/>
      <c r="ABI197" s="922"/>
      <c r="ABJ197" s="922"/>
      <c r="ABK197" s="922"/>
      <c r="ABL197" s="922"/>
      <c r="ABM197" s="922"/>
      <c r="ABN197" s="922"/>
      <c r="ABO197" s="922"/>
      <c r="ABP197" s="922"/>
      <c r="ABQ197" s="922"/>
      <c r="ABR197" s="922"/>
      <c r="ABS197" s="922"/>
      <c r="ABT197" s="922"/>
      <c r="ABU197" s="922"/>
      <c r="ABV197" s="922"/>
      <c r="ABW197" s="922"/>
      <c r="ABX197" s="922"/>
      <c r="ABY197" s="922"/>
      <c r="ABZ197" s="922"/>
      <c r="ACA197" s="922"/>
      <c r="ACB197" s="922"/>
      <c r="ACC197" s="922"/>
      <c r="ACD197" s="922"/>
      <c r="ACE197" s="922"/>
      <c r="ACF197" s="922"/>
      <c r="ACG197" s="922"/>
      <c r="ACH197" s="922"/>
      <c r="ACI197" s="922"/>
      <c r="ACJ197" s="922"/>
      <c r="ACK197" s="922"/>
      <c r="ACL197" s="922"/>
      <c r="ACM197" s="922"/>
      <c r="ACN197" s="922"/>
      <c r="ACO197" s="922"/>
      <c r="ACP197" s="922"/>
      <c r="ACQ197" s="922"/>
      <c r="ACR197" s="922"/>
      <c r="ACS197" s="922"/>
      <c r="ACT197" s="922"/>
      <c r="ACU197" s="922"/>
      <c r="ACV197" s="922"/>
      <c r="ACW197" s="922"/>
      <c r="ACX197" s="922"/>
      <c r="ACY197" s="922"/>
      <c r="ACZ197" s="922"/>
      <c r="ADA197" s="922"/>
      <c r="ADB197" s="922"/>
      <c r="ADC197" s="922"/>
      <c r="ADD197" s="922"/>
      <c r="ADE197" s="922"/>
      <c r="ADF197" s="922"/>
      <c r="ADG197" s="922"/>
      <c r="ADH197" s="922"/>
      <c r="ADI197" s="922"/>
      <c r="ADJ197" s="922"/>
      <c r="ADK197" s="922"/>
      <c r="ADL197" s="922"/>
      <c r="ADM197" s="922"/>
      <c r="ADN197" s="922"/>
      <c r="ADO197" s="922"/>
      <c r="ADP197" s="922"/>
      <c r="ADQ197" s="922"/>
      <c r="ADR197" s="922"/>
      <c r="ADS197" s="922"/>
      <c r="ADT197" s="922"/>
      <c r="ADU197" s="922"/>
      <c r="ADV197" s="922"/>
      <c r="ADW197" s="922"/>
      <c r="ADX197" s="922"/>
      <c r="ADY197" s="922"/>
      <c r="ADZ197" s="922"/>
      <c r="AEA197" s="922"/>
      <c r="AEB197" s="922"/>
      <c r="AEC197" s="922"/>
      <c r="AED197" s="922"/>
      <c r="AEE197" s="922"/>
      <c r="AEF197" s="922"/>
      <c r="AEG197" s="922"/>
      <c r="AEH197" s="922"/>
      <c r="AEI197" s="922"/>
      <c r="AEJ197" s="922"/>
      <c r="AEK197" s="922"/>
      <c r="AEL197" s="922"/>
      <c r="AEM197" s="922"/>
      <c r="AEN197" s="922"/>
      <c r="AEO197" s="922"/>
      <c r="AEP197" s="922"/>
      <c r="AEQ197" s="922"/>
      <c r="AER197" s="922"/>
      <c r="AES197" s="922"/>
      <c r="AET197" s="922"/>
      <c r="AEU197" s="922"/>
      <c r="AEV197" s="922"/>
      <c r="AEW197" s="922"/>
      <c r="AEX197" s="922"/>
      <c r="AEY197" s="922"/>
      <c r="AEZ197" s="922"/>
      <c r="AFA197" s="922"/>
      <c r="AFB197" s="922"/>
      <c r="AFC197" s="922"/>
      <c r="AFD197" s="922"/>
      <c r="AFE197" s="922"/>
      <c r="AFF197" s="922"/>
      <c r="AFG197" s="922"/>
      <c r="AFH197" s="922"/>
      <c r="AFI197" s="922"/>
      <c r="AFJ197" s="922"/>
      <c r="AFK197" s="922"/>
      <c r="AFL197" s="922"/>
      <c r="AFM197" s="922"/>
      <c r="AFN197" s="922"/>
      <c r="AFO197" s="922"/>
      <c r="AFP197" s="922"/>
      <c r="AFQ197" s="922"/>
      <c r="AFR197" s="922"/>
      <c r="AFS197" s="922"/>
      <c r="AFT197" s="922"/>
      <c r="AFU197" s="922"/>
      <c r="AFV197" s="922"/>
      <c r="AFW197" s="922"/>
      <c r="AFX197" s="922"/>
      <c r="AFY197" s="922"/>
      <c r="AFZ197" s="922"/>
      <c r="AGA197" s="922"/>
      <c r="AGB197" s="922"/>
      <c r="AGC197" s="922"/>
      <c r="AGD197" s="922"/>
      <c r="AGE197" s="922"/>
      <c r="AGF197" s="922"/>
      <c r="AGG197" s="922"/>
      <c r="AGH197" s="922"/>
      <c r="AGI197" s="922"/>
      <c r="AGJ197" s="922"/>
      <c r="AGK197" s="922"/>
      <c r="AGL197" s="922"/>
      <c r="AGM197" s="922"/>
      <c r="AGN197" s="922"/>
      <c r="AGO197" s="922"/>
      <c r="AGP197" s="922"/>
      <c r="AGQ197" s="922"/>
      <c r="AGR197" s="922"/>
      <c r="AGS197" s="922"/>
      <c r="AGT197" s="922"/>
      <c r="AGU197" s="922"/>
      <c r="AGV197" s="922"/>
      <c r="AGW197" s="922"/>
      <c r="AGX197" s="922"/>
      <c r="AGY197" s="922"/>
      <c r="AGZ197" s="922"/>
      <c r="AHA197" s="922"/>
      <c r="AHB197" s="922"/>
      <c r="AHC197" s="922"/>
      <c r="AHD197" s="922"/>
      <c r="AHE197" s="922"/>
      <c r="AHF197" s="922"/>
      <c r="AHG197" s="922"/>
      <c r="AHH197" s="922"/>
      <c r="AHI197" s="922"/>
      <c r="AHJ197" s="922"/>
      <c r="AHK197" s="922"/>
      <c r="AHL197" s="922"/>
      <c r="AHM197" s="922"/>
      <c r="AHN197" s="922"/>
      <c r="AHO197" s="922"/>
      <c r="AHP197" s="922"/>
      <c r="AHQ197" s="922"/>
      <c r="AHR197" s="922"/>
      <c r="AHS197" s="922"/>
      <c r="AHT197" s="922"/>
      <c r="AHU197" s="922"/>
      <c r="AHV197" s="922"/>
      <c r="AHW197" s="922"/>
      <c r="AHX197" s="922"/>
      <c r="AHY197" s="922"/>
      <c r="AHZ197" s="922"/>
      <c r="AIA197" s="922"/>
      <c r="AIB197" s="922"/>
      <c r="AIC197" s="922"/>
      <c r="AID197" s="922"/>
      <c r="AIE197" s="922"/>
      <c r="AIF197" s="922"/>
      <c r="AIG197" s="922"/>
      <c r="AIH197" s="922"/>
      <c r="AII197" s="922"/>
      <c r="AIJ197" s="922"/>
      <c r="AIK197" s="922"/>
      <c r="AIL197" s="922"/>
      <c r="AIM197" s="922"/>
      <c r="AIN197" s="922"/>
      <c r="AIO197" s="922"/>
      <c r="AIP197" s="922"/>
      <c r="AIQ197" s="922"/>
      <c r="AIR197" s="922"/>
      <c r="AIS197" s="922"/>
      <c r="AIT197" s="922"/>
      <c r="AIU197" s="922"/>
      <c r="AIV197" s="922"/>
      <c r="AIW197" s="922"/>
      <c r="AIX197" s="922"/>
      <c r="AIY197" s="922"/>
      <c r="AIZ197" s="922"/>
      <c r="AJA197" s="922"/>
      <c r="AJB197" s="922"/>
      <c r="AJC197" s="922"/>
      <c r="AJD197" s="922"/>
      <c r="AJE197" s="922"/>
      <c r="AJF197" s="922"/>
      <c r="AJG197" s="922"/>
      <c r="AJH197" s="922"/>
      <c r="AJI197" s="922"/>
      <c r="AJJ197" s="922"/>
      <c r="AJK197" s="922"/>
      <c r="AJL197" s="922"/>
      <c r="AJM197" s="922"/>
      <c r="AJN197" s="922"/>
      <c r="AJO197" s="922"/>
      <c r="AJP197" s="922"/>
      <c r="AJQ197" s="922"/>
      <c r="AJR197" s="922"/>
      <c r="AJS197" s="922"/>
      <c r="AJT197" s="922"/>
      <c r="AJU197" s="922"/>
      <c r="AJV197" s="922"/>
      <c r="AJW197" s="922"/>
      <c r="AJX197" s="922"/>
      <c r="AJY197" s="922"/>
      <c r="AJZ197" s="922"/>
      <c r="AKA197" s="922"/>
      <c r="AKB197" s="922"/>
      <c r="AKC197" s="922"/>
      <c r="AKD197" s="922"/>
      <c r="AKE197" s="922"/>
      <c r="AKF197" s="922"/>
      <c r="AKG197" s="922"/>
      <c r="AKH197" s="922"/>
      <c r="AKI197" s="922"/>
      <c r="AKJ197" s="922"/>
      <c r="AKK197" s="922"/>
      <c r="AKL197" s="922"/>
      <c r="AKM197" s="922"/>
      <c r="AKN197" s="922"/>
      <c r="AKO197" s="922"/>
      <c r="AKP197" s="922"/>
      <c r="AKQ197" s="922"/>
      <c r="AKR197" s="922"/>
      <c r="AKS197" s="922"/>
      <c r="AKT197" s="922"/>
      <c r="AKU197" s="922"/>
      <c r="AKV197" s="922"/>
      <c r="AKW197" s="922"/>
      <c r="AKX197" s="922"/>
      <c r="AKY197" s="922"/>
      <c r="AKZ197" s="922"/>
      <c r="ALA197" s="922"/>
      <c r="ALB197" s="922"/>
      <c r="ALC197" s="922"/>
      <c r="ALD197" s="922"/>
      <c r="ALE197" s="922"/>
      <c r="ALF197" s="922"/>
      <c r="ALG197" s="922"/>
      <c r="ALH197" s="922"/>
      <c r="ALI197" s="922"/>
      <c r="ALJ197" s="922"/>
      <c r="ALK197" s="922"/>
      <c r="ALL197" s="922"/>
      <c r="ALM197" s="922"/>
      <c r="ALN197" s="922"/>
      <c r="ALO197" s="922"/>
      <c r="ALP197" s="922"/>
      <c r="ALQ197" s="922"/>
      <c r="ALR197" s="922"/>
      <c r="ALS197" s="922"/>
      <c r="ALT197" s="922"/>
      <c r="ALU197" s="922"/>
      <c r="ALV197" s="922"/>
      <c r="ALW197" s="922"/>
      <c r="ALX197" s="922"/>
      <c r="ALY197" s="922"/>
      <c r="ALZ197" s="922"/>
      <c r="AMA197" s="922"/>
      <c r="AMB197" s="922"/>
      <c r="AMC197" s="922"/>
      <c r="AMD197" s="922"/>
      <c r="AME197" s="922"/>
      <c r="AMF197" s="922"/>
      <c r="AMG197" s="922"/>
      <c r="AMH197" s="922"/>
      <c r="AMI197" s="922"/>
      <c r="AMJ197" s="922"/>
      <c r="AMK197" s="922"/>
      <c r="AML197" s="922"/>
      <c r="AMM197" s="922"/>
      <c r="AMN197" s="922"/>
      <c r="AMO197" s="922"/>
      <c r="AMP197" s="922"/>
      <c r="AMQ197" s="922"/>
      <c r="AMR197" s="922"/>
      <c r="AMS197" s="922"/>
      <c r="AMT197" s="922"/>
      <c r="AMU197" s="922"/>
      <c r="AMV197" s="922"/>
      <c r="AMW197" s="922"/>
      <c r="AMX197" s="922"/>
      <c r="AMY197" s="922"/>
      <c r="AMZ197" s="922"/>
      <c r="ANA197" s="922"/>
      <c r="ANB197" s="922"/>
      <c r="ANC197" s="922"/>
      <c r="AND197" s="922"/>
      <c r="ANE197" s="922"/>
      <c r="ANF197" s="922"/>
      <c r="ANG197" s="922"/>
      <c r="ANH197" s="922"/>
      <c r="ANI197" s="922"/>
      <c r="ANJ197" s="922"/>
      <c r="ANK197" s="922"/>
      <c r="ANL197" s="922"/>
      <c r="ANM197" s="922"/>
      <c r="ANN197" s="922"/>
      <c r="ANO197" s="922"/>
      <c r="ANP197" s="922"/>
      <c r="ANQ197" s="922"/>
      <c r="ANR197" s="922"/>
      <c r="ANS197" s="922"/>
      <c r="ANT197" s="922"/>
      <c r="ANU197" s="922"/>
      <c r="ANV197" s="922"/>
      <c r="ANW197" s="922"/>
      <c r="ANX197" s="922"/>
      <c r="ANY197" s="922"/>
      <c r="ANZ197" s="922"/>
      <c r="AOA197" s="922"/>
      <c r="AOB197" s="922"/>
      <c r="AOC197" s="922"/>
      <c r="AOD197" s="922"/>
      <c r="AOE197" s="922"/>
      <c r="AOF197" s="922"/>
      <c r="AOG197" s="922"/>
      <c r="AOH197" s="922"/>
      <c r="AOI197" s="922"/>
      <c r="AOJ197" s="922"/>
      <c r="AOK197" s="922"/>
      <c r="AOL197" s="922"/>
      <c r="AOM197" s="922"/>
      <c r="AON197" s="922"/>
      <c r="AOO197" s="922"/>
      <c r="AOP197" s="922"/>
      <c r="AOQ197" s="922"/>
      <c r="AOR197" s="922"/>
      <c r="AOS197" s="922"/>
      <c r="AOT197" s="922"/>
      <c r="AOU197" s="922"/>
      <c r="AOV197" s="922"/>
      <c r="AOW197" s="922"/>
      <c r="AOX197" s="922"/>
      <c r="AOY197" s="922"/>
      <c r="AOZ197" s="922"/>
      <c r="APA197" s="922"/>
      <c r="APB197" s="922"/>
      <c r="APC197" s="922"/>
      <c r="APD197" s="922"/>
      <c r="APE197" s="922"/>
      <c r="APF197" s="922"/>
      <c r="APG197" s="922"/>
      <c r="APH197" s="922"/>
      <c r="API197" s="922"/>
      <c r="APJ197" s="922"/>
      <c r="APK197" s="922"/>
      <c r="APL197" s="922"/>
      <c r="APM197" s="922"/>
      <c r="APN197" s="922"/>
      <c r="APO197" s="922"/>
      <c r="APP197" s="922"/>
      <c r="APQ197" s="922"/>
      <c r="APR197" s="922"/>
      <c r="APS197" s="922"/>
      <c r="APT197" s="922"/>
      <c r="APU197" s="922"/>
      <c r="APV197" s="922"/>
      <c r="APW197" s="922"/>
      <c r="APX197" s="922"/>
      <c r="APY197" s="922"/>
      <c r="APZ197" s="922"/>
      <c r="AQA197" s="922"/>
      <c r="AQB197" s="922"/>
      <c r="AQC197" s="922"/>
      <c r="AQD197" s="922"/>
      <c r="AQE197" s="922"/>
      <c r="AQF197" s="922"/>
      <c r="AQG197" s="922"/>
      <c r="AQH197" s="922"/>
      <c r="AQI197" s="922"/>
      <c r="AQJ197" s="922"/>
      <c r="AQK197" s="922"/>
      <c r="AQL197" s="922"/>
      <c r="AQM197" s="922"/>
      <c r="AQN197" s="922"/>
      <c r="AQO197" s="922"/>
      <c r="AQP197" s="922"/>
      <c r="AQQ197" s="922"/>
      <c r="AQR197" s="922"/>
      <c r="AQS197" s="922"/>
      <c r="AQT197" s="922"/>
      <c r="AQU197" s="922"/>
      <c r="AQV197" s="922"/>
      <c r="AQW197" s="922"/>
      <c r="AQX197" s="922"/>
      <c r="AQY197" s="922"/>
      <c r="AQZ197" s="922"/>
      <c r="ARA197" s="922"/>
      <c r="ARB197" s="922"/>
      <c r="ARC197" s="922"/>
      <c r="ARD197" s="922"/>
      <c r="ARE197" s="922"/>
      <c r="ARF197" s="922"/>
      <c r="ARG197" s="922"/>
      <c r="ARH197" s="922"/>
      <c r="ARI197" s="922"/>
      <c r="ARJ197" s="922"/>
      <c r="ARK197" s="922"/>
      <c r="ARL197" s="922"/>
      <c r="ARM197" s="922"/>
      <c r="ARN197" s="922"/>
      <c r="ARO197" s="922"/>
      <c r="ARP197" s="922"/>
      <c r="ARQ197" s="922"/>
      <c r="ARR197" s="922"/>
      <c r="ARS197" s="922"/>
      <c r="ART197" s="922"/>
      <c r="ARU197" s="922"/>
      <c r="ARV197" s="922"/>
      <c r="ARW197" s="922"/>
      <c r="ARX197" s="922"/>
      <c r="ARY197" s="922"/>
      <c r="ARZ197" s="922"/>
      <c r="ASA197" s="922"/>
      <c r="ASB197" s="922"/>
      <c r="ASC197" s="922"/>
    </row>
    <row r="198" spans="20:1173" hidden="1">
      <c r="T198" s="922"/>
      <c r="AN198" s="922"/>
      <c r="AO198" s="922"/>
      <c r="AP198" s="922"/>
      <c r="AQ198" s="922"/>
      <c r="AR198" s="922"/>
      <c r="AS198" s="922"/>
      <c r="AT198" s="922"/>
      <c r="AU198" s="922"/>
      <c r="AV198" s="922"/>
      <c r="AW198" s="922"/>
      <c r="AX198" s="922"/>
      <c r="AY198" s="922"/>
      <c r="AZ198" s="922"/>
      <c r="BA198" s="922"/>
      <c r="BB198" s="922"/>
      <c r="BC198" s="922"/>
      <c r="BD198" s="922"/>
      <c r="BE198" s="922"/>
      <c r="BF198" s="922"/>
      <c r="BG198" s="922"/>
      <c r="BH198" s="922"/>
      <c r="BI198" s="922"/>
      <c r="BJ198" s="922"/>
      <c r="BK198" s="922"/>
      <c r="BL198" s="922"/>
      <c r="BM198" s="922"/>
      <c r="BN198" s="922"/>
      <c r="BO198" s="922"/>
      <c r="BP198" s="922"/>
      <c r="BQ198" s="922"/>
      <c r="BR198" s="922"/>
      <c r="BS198" s="922"/>
      <c r="BT198" s="922"/>
      <c r="BU198" s="922"/>
      <c r="BV198" s="922"/>
      <c r="BW198" s="922"/>
      <c r="BX198" s="922"/>
      <c r="BY198" s="922"/>
      <c r="BZ198" s="922"/>
      <c r="CA198" s="922"/>
      <c r="CB198" s="922"/>
      <c r="CC198" s="922"/>
      <c r="CD198" s="922"/>
      <c r="CE198" s="922"/>
      <c r="CF198" s="922"/>
      <c r="CG198" s="922"/>
      <c r="CH198" s="922"/>
      <c r="CI198" s="922"/>
      <c r="CJ198" s="922"/>
      <c r="CK198" s="922"/>
      <c r="CL198" s="922"/>
      <c r="CM198" s="922"/>
      <c r="CN198" s="922"/>
      <c r="CO198" s="922"/>
      <c r="CP198" s="922"/>
      <c r="CQ198" s="922"/>
      <c r="CR198" s="922"/>
      <c r="CS198" s="922"/>
      <c r="CT198" s="922"/>
      <c r="CU198" s="922"/>
      <c r="CV198" s="922"/>
      <c r="CW198" s="922"/>
      <c r="CX198" s="922"/>
      <c r="CY198" s="922"/>
      <c r="CZ198" s="922"/>
      <c r="DA198" s="922"/>
      <c r="DB198" s="922"/>
      <c r="DC198" s="922"/>
      <c r="DD198" s="922"/>
      <c r="DE198" s="922"/>
      <c r="DF198" s="922"/>
      <c r="DG198" s="922"/>
      <c r="DH198" s="922"/>
      <c r="DI198" s="922"/>
      <c r="DJ198" s="922"/>
      <c r="DK198" s="922"/>
      <c r="DL198" s="922"/>
      <c r="DM198" s="922"/>
      <c r="DN198" s="922"/>
      <c r="DO198" s="922"/>
      <c r="DP198" s="922"/>
      <c r="DQ198" s="922"/>
      <c r="DR198" s="922"/>
      <c r="DS198" s="922"/>
      <c r="DT198" s="922"/>
      <c r="DU198" s="922"/>
      <c r="DV198" s="922"/>
      <c r="DW198" s="922"/>
      <c r="DX198" s="922"/>
      <c r="DY198" s="922"/>
      <c r="DZ198" s="922"/>
      <c r="EA198" s="922"/>
      <c r="EB198" s="922"/>
      <c r="EC198" s="922"/>
      <c r="ED198" s="922"/>
      <c r="EE198" s="922"/>
      <c r="EF198" s="922"/>
      <c r="EG198" s="922"/>
      <c r="EH198" s="922"/>
      <c r="EI198" s="922"/>
      <c r="EJ198" s="922"/>
      <c r="EK198" s="922"/>
      <c r="EL198" s="922"/>
      <c r="EM198" s="922"/>
      <c r="EN198" s="922"/>
      <c r="EO198" s="922"/>
      <c r="EP198" s="922"/>
      <c r="EQ198" s="922"/>
      <c r="ER198" s="922"/>
      <c r="ES198" s="922"/>
      <c r="ET198" s="922"/>
      <c r="EU198" s="922"/>
      <c r="EV198" s="922"/>
      <c r="EW198" s="922"/>
      <c r="EX198" s="922"/>
      <c r="EY198" s="922"/>
      <c r="EZ198" s="922"/>
      <c r="FA198" s="922"/>
      <c r="FB198" s="922"/>
      <c r="FC198" s="922"/>
      <c r="FD198" s="922"/>
      <c r="FE198" s="922"/>
      <c r="FF198" s="922"/>
      <c r="FG198" s="922"/>
      <c r="FH198" s="922"/>
      <c r="FI198" s="922"/>
      <c r="FJ198" s="922"/>
      <c r="FK198" s="922"/>
      <c r="FL198" s="922"/>
      <c r="FM198" s="922"/>
      <c r="FN198" s="922"/>
      <c r="FO198" s="922"/>
      <c r="FP198" s="922"/>
      <c r="FQ198" s="922"/>
      <c r="FR198" s="922"/>
      <c r="FS198" s="922"/>
      <c r="FT198" s="922"/>
      <c r="FU198" s="922"/>
      <c r="FV198" s="922"/>
      <c r="FW198" s="922"/>
      <c r="FX198" s="922"/>
      <c r="FY198" s="922"/>
      <c r="FZ198" s="922"/>
      <c r="GA198" s="922"/>
      <c r="GB198" s="922"/>
      <c r="GC198" s="922"/>
      <c r="GD198" s="922"/>
      <c r="GE198" s="922"/>
      <c r="GF198" s="922"/>
      <c r="GG198" s="922"/>
      <c r="GH198" s="922"/>
      <c r="GI198" s="922"/>
      <c r="GJ198" s="922"/>
      <c r="GK198" s="922"/>
      <c r="GL198" s="922"/>
      <c r="GM198" s="922"/>
      <c r="GN198" s="922"/>
      <c r="GO198" s="922"/>
      <c r="GP198" s="922"/>
      <c r="GQ198" s="922"/>
      <c r="GR198" s="922"/>
      <c r="GS198" s="922"/>
      <c r="GT198" s="922"/>
      <c r="GU198" s="922"/>
      <c r="GV198" s="922"/>
      <c r="GW198" s="922"/>
      <c r="GX198" s="922"/>
      <c r="GY198" s="922"/>
      <c r="GZ198" s="922"/>
      <c r="HA198" s="922"/>
      <c r="HB198" s="922"/>
      <c r="HC198" s="922"/>
      <c r="HD198" s="922"/>
      <c r="HE198" s="922"/>
      <c r="HF198" s="922"/>
      <c r="HG198" s="922"/>
      <c r="HH198" s="922"/>
      <c r="HI198" s="922"/>
      <c r="HJ198" s="922"/>
      <c r="HK198" s="922"/>
      <c r="HL198" s="922"/>
      <c r="HM198" s="922"/>
      <c r="HN198" s="922"/>
      <c r="HO198" s="922"/>
      <c r="HP198" s="922"/>
      <c r="HQ198" s="922"/>
      <c r="HR198" s="922"/>
      <c r="HS198" s="922"/>
      <c r="HT198" s="922"/>
      <c r="HU198" s="922"/>
      <c r="HV198" s="922"/>
      <c r="HW198" s="922"/>
      <c r="HX198" s="922"/>
      <c r="HY198" s="922"/>
      <c r="HZ198" s="922"/>
      <c r="IA198" s="922"/>
      <c r="IB198" s="922"/>
      <c r="IC198" s="922"/>
      <c r="ID198" s="922"/>
      <c r="IE198" s="922"/>
      <c r="IF198" s="922"/>
      <c r="IG198" s="922"/>
      <c r="IH198" s="922"/>
      <c r="II198" s="922"/>
      <c r="IJ198" s="922"/>
      <c r="IK198" s="922"/>
      <c r="IL198" s="922"/>
      <c r="IM198" s="922"/>
      <c r="IN198" s="922"/>
      <c r="IO198" s="922"/>
      <c r="IP198" s="922"/>
      <c r="IQ198" s="922"/>
      <c r="IR198" s="922"/>
      <c r="IS198" s="922"/>
      <c r="IT198" s="922"/>
      <c r="IU198" s="922"/>
      <c r="IV198" s="922"/>
      <c r="IW198" s="922"/>
      <c r="IX198" s="922"/>
      <c r="IY198" s="922"/>
      <c r="IZ198" s="922"/>
      <c r="JA198" s="922"/>
      <c r="JB198" s="922"/>
      <c r="JC198" s="922"/>
      <c r="JD198" s="922"/>
      <c r="JE198" s="922"/>
      <c r="JF198" s="922"/>
      <c r="JG198" s="922"/>
      <c r="JH198" s="922"/>
      <c r="JI198" s="922"/>
      <c r="JJ198" s="922"/>
      <c r="JK198" s="922"/>
      <c r="JL198" s="922"/>
      <c r="JM198" s="922"/>
      <c r="JN198" s="922"/>
      <c r="JO198" s="922"/>
      <c r="JP198" s="922"/>
      <c r="JQ198" s="922"/>
      <c r="JR198" s="922"/>
      <c r="JS198" s="922"/>
      <c r="JT198" s="922"/>
      <c r="JU198" s="922"/>
      <c r="JV198" s="922"/>
      <c r="JW198" s="922"/>
      <c r="JX198" s="922"/>
      <c r="JY198" s="922"/>
      <c r="JZ198" s="922"/>
      <c r="KA198" s="922"/>
      <c r="KB198" s="922"/>
      <c r="KC198" s="922"/>
      <c r="KD198" s="922"/>
      <c r="KE198" s="922"/>
      <c r="KF198" s="922"/>
      <c r="KG198" s="922"/>
      <c r="KH198" s="922"/>
      <c r="KI198" s="922"/>
      <c r="KJ198" s="922"/>
      <c r="KK198" s="922"/>
      <c r="KL198" s="922"/>
      <c r="KM198" s="922"/>
      <c r="KN198" s="922"/>
      <c r="KO198" s="922"/>
      <c r="KP198" s="922"/>
      <c r="KQ198" s="922"/>
      <c r="KR198" s="922"/>
      <c r="KS198" s="922"/>
      <c r="KT198" s="922"/>
      <c r="KU198" s="922"/>
      <c r="KV198" s="922"/>
      <c r="KW198" s="922"/>
      <c r="KX198" s="922"/>
      <c r="KY198" s="922"/>
      <c r="KZ198" s="922"/>
      <c r="LA198" s="922"/>
      <c r="LB198" s="922"/>
      <c r="LC198" s="922"/>
      <c r="LD198" s="922"/>
      <c r="LE198" s="922"/>
      <c r="LF198" s="922"/>
      <c r="LG198" s="922"/>
      <c r="LH198" s="922"/>
      <c r="LI198" s="922"/>
      <c r="LJ198" s="922"/>
      <c r="LK198" s="922"/>
      <c r="LL198" s="922"/>
      <c r="LM198" s="922"/>
      <c r="LN198" s="922"/>
      <c r="LO198" s="922"/>
      <c r="LP198" s="922"/>
      <c r="LQ198" s="922"/>
      <c r="LR198" s="922"/>
      <c r="LS198" s="922"/>
      <c r="LT198" s="922"/>
      <c r="LU198" s="922"/>
      <c r="LV198" s="922"/>
      <c r="LW198" s="922"/>
      <c r="LX198" s="922"/>
      <c r="LY198" s="922"/>
      <c r="LZ198" s="922"/>
      <c r="MA198" s="922"/>
      <c r="MB198" s="922"/>
      <c r="MC198" s="922"/>
      <c r="MD198" s="922"/>
      <c r="ME198" s="922"/>
      <c r="MF198" s="922"/>
      <c r="MG198" s="922"/>
      <c r="MH198" s="922"/>
      <c r="MI198" s="922"/>
      <c r="MJ198" s="922"/>
      <c r="MK198" s="922"/>
      <c r="ML198" s="922"/>
      <c r="MM198" s="922"/>
      <c r="MN198" s="922"/>
      <c r="MO198" s="922"/>
      <c r="MP198" s="922"/>
      <c r="MQ198" s="922"/>
      <c r="MR198" s="922"/>
      <c r="MS198" s="922"/>
      <c r="MT198" s="922"/>
      <c r="MU198" s="922"/>
      <c r="MV198" s="922"/>
      <c r="MW198" s="922"/>
      <c r="MX198" s="922"/>
      <c r="MY198" s="922"/>
      <c r="MZ198" s="922"/>
      <c r="NA198" s="922"/>
      <c r="NB198" s="922"/>
      <c r="NC198" s="922"/>
      <c r="ND198" s="922"/>
      <c r="NE198" s="922"/>
      <c r="NF198" s="922"/>
      <c r="NG198" s="922"/>
      <c r="NH198" s="922"/>
      <c r="NI198" s="922"/>
      <c r="NJ198" s="922"/>
      <c r="NK198" s="922"/>
      <c r="NL198" s="922"/>
      <c r="NM198" s="922"/>
      <c r="NN198" s="922"/>
      <c r="NO198" s="922"/>
      <c r="NP198" s="922"/>
      <c r="NQ198" s="922"/>
      <c r="NR198" s="922"/>
      <c r="NS198" s="922"/>
      <c r="NT198" s="922"/>
      <c r="NU198" s="922"/>
      <c r="NV198" s="922"/>
      <c r="NW198" s="922"/>
      <c r="NX198" s="922"/>
      <c r="NY198" s="922"/>
      <c r="NZ198" s="922"/>
      <c r="OA198" s="922"/>
      <c r="OB198" s="922"/>
      <c r="OC198" s="922"/>
      <c r="OD198" s="922"/>
      <c r="OE198" s="922"/>
      <c r="OF198" s="922"/>
      <c r="OG198" s="922"/>
      <c r="OH198" s="922"/>
      <c r="OI198" s="922"/>
      <c r="OJ198" s="922"/>
      <c r="OK198" s="922"/>
      <c r="OL198" s="922"/>
      <c r="OM198" s="922"/>
      <c r="ON198" s="922"/>
      <c r="OO198" s="922"/>
      <c r="OP198" s="922"/>
      <c r="OQ198" s="922"/>
      <c r="OR198" s="922"/>
      <c r="OS198" s="922"/>
      <c r="OT198" s="922"/>
      <c r="OU198" s="922"/>
      <c r="OV198" s="922"/>
      <c r="OW198" s="922"/>
      <c r="OX198" s="922"/>
      <c r="OY198" s="922"/>
      <c r="OZ198" s="922"/>
      <c r="PA198" s="922"/>
      <c r="PB198" s="922"/>
      <c r="PC198" s="922"/>
      <c r="PD198" s="922"/>
      <c r="PE198" s="922"/>
      <c r="PF198" s="922"/>
      <c r="PG198" s="922"/>
      <c r="PH198" s="922"/>
      <c r="PI198" s="922"/>
      <c r="PJ198" s="922"/>
      <c r="PK198" s="922"/>
      <c r="PL198" s="922"/>
      <c r="PM198" s="922"/>
      <c r="PN198" s="922"/>
      <c r="PO198" s="922"/>
      <c r="PP198" s="922"/>
      <c r="PQ198" s="922"/>
      <c r="PR198" s="922"/>
      <c r="PS198" s="922"/>
      <c r="PT198" s="922"/>
      <c r="PU198" s="922"/>
      <c r="PV198" s="922"/>
      <c r="PW198" s="922"/>
      <c r="PX198" s="922"/>
      <c r="PY198" s="922"/>
      <c r="PZ198" s="922"/>
      <c r="QA198" s="922"/>
      <c r="QB198" s="922"/>
      <c r="QC198" s="922"/>
      <c r="QD198" s="922"/>
      <c r="QE198" s="922"/>
      <c r="QF198" s="922"/>
      <c r="QG198" s="922"/>
      <c r="QH198" s="922"/>
      <c r="QI198" s="922"/>
      <c r="QJ198" s="922"/>
      <c r="QK198" s="922"/>
      <c r="QL198" s="922"/>
      <c r="QM198" s="922"/>
      <c r="QN198" s="922"/>
      <c r="QO198" s="922"/>
      <c r="QP198" s="922"/>
      <c r="QQ198" s="922"/>
      <c r="QR198" s="922"/>
      <c r="QS198" s="922"/>
      <c r="QT198" s="922"/>
      <c r="QU198" s="922"/>
      <c r="QV198" s="922"/>
      <c r="QW198" s="922"/>
      <c r="QX198" s="922"/>
      <c r="QY198" s="922"/>
      <c r="QZ198" s="922"/>
      <c r="RA198" s="922"/>
      <c r="RB198" s="922"/>
      <c r="RC198" s="922"/>
      <c r="RD198" s="922"/>
      <c r="RE198" s="922"/>
      <c r="RF198" s="922"/>
      <c r="RG198" s="922"/>
      <c r="RH198" s="922"/>
      <c r="RI198" s="922"/>
      <c r="RJ198" s="922"/>
      <c r="RK198" s="922"/>
      <c r="RL198" s="922"/>
      <c r="RM198" s="922"/>
      <c r="RN198" s="922"/>
      <c r="RO198" s="922"/>
      <c r="RP198" s="922"/>
      <c r="RQ198" s="922"/>
      <c r="RR198" s="922"/>
      <c r="RS198" s="922"/>
      <c r="RT198" s="922"/>
      <c r="RU198" s="922"/>
      <c r="RV198" s="922"/>
      <c r="RW198" s="922"/>
      <c r="RX198" s="922"/>
      <c r="RY198" s="922"/>
      <c r="RZ198" s="922"/>
      <c r="SA198" s="922"/>
      <c r="SB198" s="922"/>
      <c r="SC198" s="922"/>
      <c r="SD198" s="922"/>
      <c r="SE198" s="922"/>
      <c r="SF198" s="922"/>
      <c r="SG198" s="922"/>
      <c r="SH198" s="922"/>
      <c r="SI198" s="922"/>
      <c r="SJ198" s="922"/>
      <c r="SK198" s="922"/>
      <c r="SL198" s="922"/>
      <c r="SM198" s="922"/>
      <c r="SN198" s="922"/>
      <c r="SO198" s="922"/>
      <c r="SP198" s="922"/>
      <c r="SQ198" s="922"/>
      <c r="SR198" s="922"/>
      <c r="SS198" s="922"/>
      <c r="ST198" s="922"/>
      <c r="SU198" s="922"/>
      <c r="SV198" s="922"/>
      <c r="SW198" s="922"/>
      <c r="SX198" s="922"/>
      <c r="SY198" s="922"/>
      <c r="SZ198" s="922"/>
      <c r="TA198" s="922"/>
      <c r="TB198" s="922"/>
      <c r="TC198" s="922"/>
      <c r="TD198" s="922"/>
      <c r="TE198" s="922"/>
      <c r="TF198" s="922"/>
      <c r="TG198" s="922"/>
      <c r="TH198" s="922"/>
      <c r="TI198" s="922"/>
      <c r="TJ198" s="922"/>
      <c r="TK198" s="922"/>
      <c r="TL198" s="922"/>
      <c r="TM198" s="922"/>
      <c r="TN198" s="922"/>
      <c r="TO198" s="922"/>
      <c r="TP198" s="922"/>
      <c r="TQ198" s="922"/>
      <c r="TR198" s="922"/>
      <c r="TS198" s="922"/>
      <c r="TT198" s="922"/>
      <c r="TU198" s="922"/>
      <c r="TV198" s="922"/>
      <c r="TW198" s="922"/>
      <c r="TX198" s="922"/>
      <c r="TY198" s="922"/>
      <c r="TZ198" s="922"/>
      <c r="UA198" s="922"/>
      <c r="UB198" s="922"/>
      <c r="UC198" s="922"/>
      <c r="UD198" s="922"/>
      <c r="UE198" s="922"/>
      <c r="UF198" s="922"/>
      <c r="UG198" s="922"/>
      <c r="UH198" s="922"/>
      <c r="UI198" s="922"/>
      <c r="UJ198" s="922"/>
      <c r="UK198" s="922"/>
      <c r="UL198" s="922"/>
      <c r="UM198" s="922"/>
      <c r="UN198" s="922"/>
      <c r="UO198" s="922"/>
      <c r="UP198" s="922"/>
      <c r="UQ198" s="922"/>
      <c r="UR198" s="922"/>
      <c r="US198" s="922"/>
      <c r="UT198" s="922"/>
      <c r="UU198" s="922"/>
      <c r="UV198" s="922"/>
      <c r="UW198" s="922"/>
      <c r="UX198" s="922"/>
      <c r="UY198" s="922"/>
      <c r="UZ198" s="922"/>
      <c r="VA198" s="922"/>
      <c r="VB198" s="922"/>
      <c r="VC198" s="922"/>
      <c r="VD198" s="922"/>
      <c r="VE198" s="922"/>
      <c r="VF198" s="922"/>
      <c r="VG198" s="922"/>
      <c r="VH198" s="922"/>
      <c r="VI198" s="922"/>
      <c r="VJ198" s="922"/>
      <c r="VK198" s="922"/>
      <c r="VL198" s="922"/>
      <c r="VM198" s="922"/>
      <c r="VN198" s="922"/>
      <c r="VO198" s="922"/>
      <c r="VP198" s="922"/>
      <c r="VQ198" s="922"/>
      <c r="VR198" s="922"/>
      <c r="VS198" s="922"/>
      <c r="VT198" s="922"/>
      <c r="VU198" s="922"/>
      <c r="VV198" s="922"/>
      <c r="VW198" s="922"/>
      <c r="VX198" s="922"/>
      <c r="VY198" s="922"/>
      <c r="VZ198" s="922"/>
      <c r="WA198" s="922"/>
      <c r="WB198" s="922"/>
      <c r="WC198" s="922"/>
      <c r="WD198" s="922"/>
      <c r="WE198" s="922"/>
      <c r="WF198" s="922"/>
      <c r="WG198" s="922"/>
      <c r="WH198" s="922"/>
      <c r="WI198" s="922"/>
      <c r="WJ198" s="922"/>
      <c r="WK198" s="922"/>
      <c r="WL198" s="922"/>
      <c r="WM198" s="922"/>
      <c r="WN198" s="922"/>
      <c r="WO198" s="922"/>
      <c r="WP198" s="922"/>
      <c r="WQ198" s="922"/>
      <c r="WR198" s="922"/>
      <c r="WS198" s="922"/>
      <c r="WT198" s="922"/>
      <c r="WU198" s="922"/>
      <c r="WV198" s="922"/>
      <c r="WW198" s="922"/>
      <c r="WX198" s="922"/>
      <c r="WY198" s="922"/>
      <c r="WZ198" s="922"/>
      <c r="XA198" s="922"/>
      <c r="XB198" s="922"/>
      <c r="XC198" s="922"/>
      <c r="XD198" s="922"/>
      <c r="XE198" s="922"/>
      <c r="XF198" s="922"/>
      <c r="XG198" s="922"/>
      <c r="XH198" s="922"/>
      <c r="XI198" s="922"/>
      <c r="XJ198" s="922"/>
      <c r="XK198" s="922"/>
      <c r="XL198" s="922"/>
      <c r="XM198" s="922"/>
      <c r="XN198" s="922"/>
      <c r="XO198" s="922"/>
      <c r="XP198" s="922"/>
      <c r="XQ198" s="922"/>
      <c r="XR198" s="922"/>
      <c r="XS198" s="922"/>
      <c r="XT198" s="922"/>
      <c r="XU198" s="922"/>
      <c r="XV198" s="922"/>
      <c r="XW198" s="922"/>
      <c r="XX198" s="922"/>
      <c r="XY198" s="922"/>
      <c r="XZ198" s="922"/>
      <c r="YA198" s="922"/>
      <c r="YB198" s="922"/>
      <c r="YC198" s="922"/>
      <c r="YD198" s="922"/>
      <c r="YE198" s="922"/>
      <c r="YF198" s="922"/>
      <c r="YG198" s="922"/>
      <c r="YH198" s="922"/>
      <c r="YI198" s="922"/>
      <c r="YJ198" s="922"/>
      <c r="YK198" s="922"/>
      <c r="YL198" s="922"/>
      <c r="YM198" s="922"/>
      <c r="YN198" s="922"/>
      <c r="YO198" s="922"/>
      <c r="YP198" s="922"/>
      <c r="YQ198" s="922"/>
      <c r="YR198" s="922"/>
      <c r="YS198" s="922"/>
      <c r="YT198" s="922"/>
      <c r="YU198" s="922"/>
      <c r="YV198" s="922"/>
      <c r="YW198" s="922"/>
      <c r="YX198" s="922"/>
      <c r="YY198" s="922"/>
      <c r="YZ198" s="922"/>
      <c r="ZA198" s="922"/>
      <c r="ZB198" s="922"/>
      <c r="ZC198" s="922"/>
      <c r="ZD198" s="922"/>
      <c r="ZE198" s="922"/>
      <c r="ZF198" s="922"/>
      <c r="ZG198" s="922"/>
      <c r="ZH198" s="922"/>
      <c r="ZI198" s="922"/>
      <c r="ZJ198" s="922"/>
      <c r="ZK198" s="922"/>
      <c r="ZL198" s="922"/>
      <c r="ZM198" s="922"/>
      <c r="ZN198" s="922"/>
      <c r="ZO198" s="922"/>
      <c r="ZP198" s="922"/>
      <c r="ZQ198" s="922"/>
      <c r="ZR198" s="922"/>
      <c r="ZS198" s="922"/>
      <c r="ZT198" s="922"/>
      <c r="ZU198" s="922"/>
      <c r="ZV198" s="922"/>
      <c r="ZW198" s="922"/>
      <c r="ZX198" s="922"/>
      <c r="ZY198" s="922"/>
      <c r="ZZ198" s="922"/>
      <c r="AAA198" s="922"/>
      <c r="AAB198" s="922"/>
      <c r="AAC198" s="922"/>
      <c r="AAD198" s="922"/>
      <c r="AAE198" s="922"/>
      <c r="AAF198" s="922"/>
      <c r="AAG198" s="922"/>
      <c r="AAH198" s="922"/>
      <c r="AAI198" s="922"/>
      <c r="AAJ198" s="922"/>
      <c r="AAK198" s="922"/>
      <c r="AAL198" s="922"/>
      <c r="AAM198" s="922"/>
      <c r="AAN198" s="922"/>
      <c r="AAO198" s="922"/>
      <c r="AAP198" s="922"/>
      <c r="AAQ198" s="922"/>
      <c r="AAR198" s="922"/>
      <c r="AAS198" s="922"/>
      <c r="AAT198" s="922"/>
      <c r="AAU198" s="922"/>
      <c r="AAV198" s="922"/>
      <c r="AAW198" s="922"/>
      <c r="AAX198" s="922"/>
      <c r="AAY198" s="922"/>
      <c r="AAZ198" s="922"/>
      <c r="ABA198" s="922"/>
      <c r="ABB198" s="922"/>
      <c r="ABC198" s="922"/>
      <c r="ABD198" s="922"/>
      <c r="ABE198" s="922"/>
      <c r="ABF198" s="922"/>
      <c r="ABG198" s="922"/>
      <c r="ABH198" s="922"/>
      <c r="ABI198" s="922"/>
      <c r="ABJ198" s="922"/>
      <c r="ABK198" s="922"/>
      <c r="ABL198" s="922"/>
      <c r="ABM198" s="922"/>
      <c r="ABN198" s="922"/>
      <c r="ABO198" s="922"/>
      <c r="ABP198" s="922"/>
      <c r="ABQ198" s="922"/>
      <c r="ABR198" s="922"/>
      <c r="ABS198" s="922"/>
      <c r="ABT198" s="922"/>
      <c r="ABU198" s="922"/>
      <c r="ABV198" s="922"/>
      <c r="ABW198" s="922"/>
      <c r="ABX198" s="922"/>
      <c r="ABY198" s="922"/>
      <c r="ABZ198" s="922"/>
      <c r="ACA198" s="922"/>
      <c r="ACB198" s="922"/>
      <c r="ACC198" s="922"/>
      <c r="ACD198" s="922"/>
      <c r="ACE198" s="922"/>
      <c r="ACF198" s="922"/>
      <c r="ACG198" s="922"/>
      <c r="ACH198" s="922"/>
      <c r="ACI198" s="922"/>
      <c r="ACJ198" s="922"/>
      <c r="ACK198" s="922"/>
      <c r="ACL198" s="922"/>
      <c r="ACM198" s="922"/>
      <c r="ACN198" s="922"/>
      <c r="ACO198" s="922"/>
      <c r="ACP198" s="922"/>
      <c r="ACQ198" s="922"/>
      <c r="ACR198" s="922"/>
      <c r="ACS198" s="922"/>
      <c r="ACT198" s="922"/>
      <c r="ACU198" s="922"/>
      <c r="ACV198" s="922"/>
      <c r="ACW198" s="922"/>
      <c r="ACX198" s="922"/>
      <c r="ACY198" s="922"/>
      <c r="ACZ198" s="922"/>
      <c r="ADA198" s="922"/>
      <c r="ADB198" s="922"/>
      <c r="ADC198" s="922"/>
      <c r="ADD198" s="922"/>
      <c r="ADE198" s="922"/>
      <c r="ADF198" s="922"/>
      <c r="ADG198" s="922"/>
      <c r="ADH198" s="922"/>
      <c r="ADI198" s="922"/>
      <c r="ADJ198" s="922"/>
      <c r="ADK198" s="922"/>
      <c r="ADL198" s="922"/>
      <c r="ADM198" s="922"/>
      <c r="ADN198" s="922"/>
      <c r="ADO198" s="922"/>
      <c r="ADP198" s="922"/>
      <c r="ADQ198" s="922"/>
      <c r="ADR198" s="922"/>
      <c r="ADS198" s="922"/>
      <c r="ADT198" s="922"/>
      <c r="ADU198" s="922"/>
      <c r="ADV198" s="922"/>
      <c r="ADW198" s="922"/>
      <c r="ADX198" s="922"/>
      <c r="ADY198" s="922"/>
      <c r="ADZ198" s="922"/>
      <c r="AEA198" s="922"/>
      <c r="AEB198" s="922"/>
      <c r="AEC198" s="922"/>
      <c r="AED198" s="922"/>
      <c r="AEE198" s="922"/>
      <c r="AEF198" s="922"/>
      <c r="AEG198" s="922"/>
      <c r="AEH198" s="922"/>
      <c r="AEI198" s="922"/>
      <c r="AEJ198" s="922"/>
      <c r="AEK198" s="922"/>
      <c r="AEL198" s="922"/>
      <c r="AEM198" s="922"/>
      <c r="AEN198" s="922"/>
      <c r="AEO198" s="922"/>
      <c r="AEP198" s="922"/>
      <c r="AEQ198" s="922"/>
      <c r="AER198" s="922"/>
      <c r="AES198" s="922"/>
      <c r="AET198" s="922"/>
      <c r="AEU198" s="922"/>
      <c r="AEV198" s="922"/>
      <c r="AEW198" s="922"/>
      <c r="AEX198" s="922"/>
      <c r="AEY198" s="922"/>
      <c r="AEZ198" s="922"/>
      <c r="AFA198" s="922"/>
      <c r="AFB198" s="922"/>
      <c r="AFC198" s="922"/>
      <c r="AFD198" s="922"/>
      <c r="AFE198" s="922"/>
      <c r="AFF198" s="922"/>
      <c r="AFG198" s="922"/>
      <c r="AFH198" s="922"/>
      <c r="AFI198" s="922"/>
      <c r="AFJ198" s="922"/>
      <c r="AFK198" s="922"/>
      <c r="AFL198" s="922"/>
      <c r="AFM198" s="922"/>
      <c r="AFN198" s="922"/>
      <c r="AFO198" s="922"/>
      <c r="AFP198" s="922"/>
      <c r="AFQ198" s="922"/>
      <c r="AFR198" s="922"/>
      <c r="AFS198" s="922"/>
      <c r="AFT198" s="922"/>
      <c r="AFU198" s="922"/>
      <c r="AFV198" s="922"/>
      <c r="AFW198" s="922"/>
      <c r="AFX198" s="922"/>
      <c r="AFY198" s="922"/>
      <c r="AFZ198" s="922"/>
      <c r="AGA198" s="922"/>
      <c r="AGB198" s="922"/>
      <c r="AGC198" s="922"/>
      <c r="AGD198" s="922"/>
      <c r="AGE198" s="922"/>
      <c r="AGF198" s="922"/>
      <c r="AGG198" s="922"/>
      <c r="AGH198" s="922"/>
      <c r="AGI198" s="922"/>
      <c r="AGJ198" s="922"/>
      <c r="AGK198" s="922"/>
      <c r="AGL198" s="922"/>
      <c r="AGM198" s="922"/>
      <c r="AGN198" s="922"/>
      <c r="AGO198" s="922"/>
      <c r="AGP198" s="922"/>
      <c r="AGQ198" s="922"/>
      <c r="AGR198" s="922"/>
      <c r="AGS198" s="922"/>
      <c r="AGT198" s="922"/>
      <c r="AGU198" s="922"/>
      <c r="AGV198" s="922"/>
      <c r="AGW198" s="922"/>
      <c r="AGX198" s="922"/>
      <c r="AGY198" s="922"/>
      <c r="AGZ198" s="922"/>
      <c r="AHA198" s="922"/>
      <c r="AHB198" s="922"/>
      <c r="AHC198" s="922"/>
      <c r="AHD198" s="922"/>
      <c r="AHE198" s="922"/>
      <c r="AHF198" s="922"/>
      <c r="AHG198" s="922"/>
      <c r="AHH198" s="922"/>
      <c r="AHI198" s="922"/>
      <c r="AHJ198" s="922"/>
      <c r="AHK198" s="922"/>
      <c r="AHL198" s="922"/>
      <c r="AHM198" s="922"/>
      <c r="AHN198" s="922"/>
      <c r="AHO198" s="922"/>
      <c r="AHP198" s="922"/>
      <c r="AHQ198" s="922"/>
      <c r="AHR198" s="922"/>
      <c r="AHS198" s="922"/>
      <c r="AHT198" s="922"/>
      <c r="AHU198" s="922"/>
      <c r="AHV198" s="922"/>
      <c r="AHW198" s="922"/>
      <c r="AHX198" s="922"/>
      <c r="AHY198" s="922"/>
      <c r="AHZ198" s="922"/>
      <c r="AIA198" s="922"/>
      <c r="AIB198" s="922"/>
      <c r="AIC198" s="922"/>
      <c r="AID198" s="922"/>
      <c r="AIE198" s="922"/>
      <c r="AIF198" s="922"/>
      <c r="AIG198" s="922"/>
      <c r="AIH198" s="922"/>
      <c r="AII198" s="922"/>
      <c r="AIJ198" s="922"/>
      <c r="AIK198" s="922"/>
      <c r="AIL198" s="922"/>
      <c r="AIM198" s="922"/>
      <c r="AIN198" s="922"/>
      <c r="AIO198" s="922"/>
      <c r="AIP198" s="922"/>
      <c r="AIQ198" s="922"/>
      <c r="AIR198" s="922"/>
      <c r="AIS198" s="922"/>
      <c r="AIT198" s="922"/>
      <c r="AIU198" s="922"/>
      <c r="AIV198" s="922"/>
      <c r="AIW198" s="922"/>
      <c r="AIX198" s="922"/>
      <c r="AIY198" s="922"/>
      <c r="AIZ198" s="922"/>
      <c r="AJA198" s="922"/>
      <c r="AJB198" s="922"/>
      <c r="AJC198" s="922"/>
      <c r="AJD198" s="922"/>
      <c r="AJE198" s="922"/>
      <c r="AJF198" s="922"/>
      <c r="AJG198" s="922"/>
      <c r="AJH198" s="922"/>
      <c r="AJI198" s="922"/>
      <c r="AJJ198" s="922"/>
      <c r="AJK198" s="922"/>
      <c r="AJL198" s="922"/>
      <c r="AJM198" s="922"/>
      <c r="AJN198" s="922"/>
      <c r="AJO198" s="922"/>
      <c r="AJP198" s="922"/>
      <c r="AJQ198" s="922"/>
      <c r="AJR198" s="922"/>
      <c r="AJS198" s="922"/>
      <c r="AJT198" s="922"/>
      <c r="AJU198" s="922"/>
      <c r="AJV198" s="922"/>
      <c r="AJW198" s="922"/>
      <c r="AJX198" s="922"/>
      <c r="AJY198" s="922"/>
      <c r="AJZ198" s="922"/>
      <c r="AKA198" s="922"/>
      <c r="AKB198" s="922"/>
      <c r="AKC198" s="922"/>
      <c r="AKD198" s="922"/>
      <c r="AKE198" s="922"/>
      <c r="AKF198" s="922"/>
      <c r="AKG198" s="922"/>
      <c r="AKH198" s="922"/>
      <c r="AKI198" s="922"/>
      <c r="AKJ198" s="922"/>
      <c r="AKK198" s="922"/>
      <c r="AKL198" s="922"/>
      <c r="AKM198" s="922"/>
      <c r="AKN198" s="922"/>
      <c r="AKO198" s="922"/>
      <c r="AKP198" s="922"/>
      <c r="AKQ198" s="922"/>
      <c r="AKR198" s="922"/>
      <c r="AKS198" s="922"/>
      <c r="AKT198" s="922"/>
      <c r="AKU198" s="922"/>
      <c r="AKV198" s="922"/>
      <c r="AKW198" s="922"/>
      <c r="AKX198" s="922"/>
      <c r="AKY198" s="922"/>
      <c r="AKZ198" s="922"/>
      <c r="ALA198" s="922"/>
      <c r="ALB198" s="922"/>
      <c r="ALC198" s="922"/>
      <c r="ALD198" s="922"/>
      <c r="ALE198" s="922"/>
      <c r="ALF198" s="922"/>
      <c r="ALG198" s="922"/>
      <c r="ALH198" s="922"/>
      <c r="ALI198" s="922"/>
      <c r="ALJ198" s="922"/>
      <c r="ALK198" s="922"/>
      <c r="ALL198" s="922"/>
      <c r="ALM198" s="922"/>
      <c r="ALN198" s="922"/>
      <c r="ALO198" s="922"/>
      <c r="ALP198" s="922"/>
      <c r="ALQ198" s="922"/>
      <c r="ALR198" s="922"/>
      <c r="ALS198" s="922"/>
      <c r="ALT198" s="922"/>
      <c r="ALU198" s="922"/>
      <c r="ALV198" s="922"/>
      <c r="ALW198" s="922"/>
      <c r="ALX198" s="922"/>
      <c r="ALY198" s="922"/>
      <c r="ALZ198" s="922"/>
      <c r="AMA198" s="922"/>
      <c r="AMB198" s="922"/>
      <c r="AMC198" s="922"/>
      <c r="AMD198" s="922"/>
      <c r="AME198" s="922"/>
      <c r="AMF198" s="922"/>
      <c r="AMG198" s="922"/>
      <c r="AMH198" s="922"/>
      <c r="AMI198" s="922"/>
      <c r="AMJ198" s="922"/>
      <c r="AMK198" s="922"/>
      <c r="AML198" s="922"/>
      <c r="AMM198" s="922"/>
      <c r="AMN198" s="922"/>
      <c r="AMO198" s="922"/>
      <c r="AMP198" s="922"/>
      <c r="AMQ198" s="922"/>
      <c r="AMR198" s="922"/>
      <c r="AMS198" s="922"/>
      <c r="AMT198" s="922"/>
      <c r="AMU198" s="922"/>
      <c r="AMV198" s="922"/>
      <c r="AMW198" s="922"/>
      <c r="AMX198" s="922"/>
      <c r="AMY198" s="922"/>
      <c r="AMZ198" s="922"/>
      <c r="ANA198" s="922"/>
      <c r="ANB198" s="922"/>
      <c r="ANC198" s="922"/>
      <c r="AND198" s="922"/>
      <c r="ANE198" s="922"/>
      <c r="ANF198" s="922"/>
      <c r="ANG198" s="922"/>
      <c r="ANH198" s="922"/>
      <c r="ANI198" s="922"/>
      <c r="ANJ198" s="922"/>
      <c r="ANK198" s="922"/>
      <c r="ANL198" s="922"/>
      <c r="ANM198" s="922"/>
      <c r="ANN198" s="922"/>
      <c r="ANO198" s="922"/>
      <c r="ANP198" s="922"/>
      <c r="ANQ198" s="922"/>
      <c r="ANR198" s="922"/>
      <c r="ANS198" s="922"/>
      <c r="ANT198" s="922"/>
      <c r="ANU198" s="922"/>
      <c r="ANV198" s="922"/>
      <c r="ANW198" s="922"/>
      <c r="ANX198" s="922"/>
      <c r="ANY198" s="922"/>
      <c r="ANZ198" s="922"/>
      <c r="AOA198" s="922"/>
      <c r="AOB198" s="922"/>
      <c r="AOC198" s="922"/>
      <c r="AOD198" s="922"/>
      <c r="AOE198" s="922"/>
      <c r="AOF198" s="922"/>
      <c r="AOG198" s="922"/>
      <c r="AOH198" s="922"/>
      <c r="AOI198" s="922"/>
      <c r="AOJ198" s="922"/>
      <c r="AOK198" s="922"/>
      <c r="AOL198" s="922"/>
      <c r="AOM198" s="922"/>
      <c r="AON198" s="922"/>
      <c r="AOO198" s="922"/>
      <c r="AOP198" s="922"/>
      <c r="AOQ198" s="922"/>
      <c r="AOR198" s="922"/>
      <c r="AOS198" s="922"/>
      <c r="AOT198" s="922"/>
      <c r="AOU198" s="922"/>
      <c r="AOV198" s="922"/>
      <c r="AOW198" s="922"/>
      <c r="AOX198" s="922"/>
      <c r="AOY198" s="922"/>
      <c r="AOZ198" s="922"/>
      <c r="APA198" s="922"/>
      <c r="APB198" s="922"/>
      <c r="APC198" s="922"/>
      <c r="APD198" s="922"/>
      <c r="APE198" s="922"/>
      <c r="APF198" s="922"/>
      <c r="APG198" s="922"/>
      <c r="APH198" s="922"/>
      <c r="API198" s="922"/>
      <c r="APJ198" s="922"/>
      <c r="APK198" s="922"/>
      <c r="APL198" s="922"/>
      <c r="APM198" s="922"/>
      <c r="APN198" s="922"/>
      <c r="APO198" s="922"/>
      <c r="APP198" s="922"/>
      <c r="APQ198" s="922"/>
      <c r="APR198" s="922"/>
      <c r="APS198" s="922"/>
      <c r="APT198" s="922"/>
      <c r="APU198" s="922"/>
      <c r="APV198" s="922"/>
      <c r="APW198" s="922"/>
      <c r="APX198" s="922"/>
      <c r="APY198" s="922"/>
      <c r="APZ198" s="922"/>
      <c r="AQA198" s="922"/>
      <c r="AQB198" s="922"/>
      <c r="AQC198" s="922"/>
      <c r="AQD198" s="922"/>
      <c r="AQE198" s="922"/>
      <c r="AQF198" s="922"/>
      <c r="AQG198" s="922"/>
      <c r="AQH198" s="922"/>
      <c r="AQI198" s="922"/>
      <c r="AQJ198" s="922"/>
      <c r="AQK198" s="922"/>
      <c r="AQL198" s="922"/>
      <c r="AQM198" s="922"/>
      <c r="AQN198" s="922"/>
      <c r="AQO198" s="922"/>
      <c r="AQP198" s="922"/>
      <c r="AQQ198" s="922"/>
      <c r="AQR198" s="922"/>
      <c r="AQS198" s="922"/>
      <c r="AQT198" s="922"/>
      <c r="AQU198" s="922"/>
      <c r="AQV198" s="922"/>
      <c r="AQW198" s="922"/>
      <c r="AQX198" s="922"/>
      <c r="AQY198" s="922"/>
      <c r="AQZ198" s="922"/>
      <c r="ARA198" s="922"/>
      <c r="ARB198" s="922"/>
      <c r="ARC198" s="922"/>
      <c r="ARD198" s="922"/>
      <c r="ARE198" s="922"/>
      <c r="ARF198" s="922"/>
      <c r="ARG198" s="922"/>
      <c r="ARH198" s="922"/>
      <c r="ARI198" s="922"/>
      <c r="ARJ198" s="922"/>
      <c r="ARK198" s="922"/>
      <c r="ARL198" s="922"/>
      <c r="ARM198" s="922"/>
      <c r="ARN198" s="922"/>
      <c r="ARO198" s="922"/>
      <c r="ARP198" s="922"/>
      <c r="ARQ198" s="922"/>
      <c r="ARR198" s="922"/>
      <c r="ARS198" s="922"/>
      <c r="ART198" s="922"/>
      <c r="ARU198" s="922"/>
      <c r="ARV198" s="922"/>
      <c r="ARW198" s="922"/>
      <c r="ARX198" s="922"/>
      <c r="ARY198" s="922"/>
      <c r="ARZ198" s="922"/>
      <c r="ASA198" s="922"/>
      <c r="ASB198" s="922"/>
      <c r="ASC198" s="922"/>
    </row>
    <row r="199" spans="20:1173" hidden="1">
      <c r="T199" s="922"/>
      <c r="AN199" s="922"/>
      <c r="AO199" s="922"/>
      <c r="AP199" s="922"/>
      <c r="AQ199" s="922"/>
      <c r="AR199" s="922"/>
      <c r="AS199" s="922"/>
      <c r="AT199" s="922"/>
      <c r="AU199" s="922"/>
      <c r="AV199" s="922"/>
      <c r="AW199" s="922"/>
      <c r="AX199" s="922"/>
      <c r="AY199" s="922"/>
      <c r="AZ199" s="922"/>
      <c r="BA199" s="922"/>
      <c r="BB199" s="922"/>
      <c r="BC199" s="922"/>
      <c r="BD199" s="922"/>
      <c r="BE199" s="922"/>
      <c r="BF199" s="922"/>
      <c r="BG199" s="922"/>
      <c r="BH199" s="922"/>
      <c r="BI199" s="922"/>
      <c r="BJ199" s="922"/>
      <c r="BK199" s="922"/>
      <c r="BL199" s="922"/>
      <c r="BM199" s="922"/>
      <c r="BN199" s="922"/>
      <c r="BO199" s="922"/>
      <c r="BP199" s="922"/>
      <c r="BQ199" s="922"/>
      <c r="BR199" s="922"/>
      <c r="BS199" s="922"/>
      <c r="BT199" s="922"/>
      <c r="BU199" s="922"/>
      <c r="BV199" s="922"/>
      <c r="BW199" s="922"/>
      <c r="BX199" s="922"/>
      <c r="BY199" s="922"/>
      <c r="BZ199" s="922"/>
      <c r="CA199" s="922"/>
      <c r="CB199" s="922"/>
      <c r="CC199" s="922"/>
      <c r="CD199" s="922"/>
      <c r="CE199" s="922"/>
      <c r="CF199" s="922"/>
      <c r="CG199" s="922"/>
      <c r="CH199" s="922"/>
      <c r="CI199" s="922"/>
      <c r="CJ199" s="922"/>
      <c r="CK199" s="922"/>
      <c r="CL199" s="922"/>
      <c r="CM199" s="922"/>
      <c r="CN199" s="922"/>
      <c r="CO199" s="922"/>
      <c r="CP199" s="922"/>
      <c r="CQ199" s="922"/>
      <c r="CR199" s="922"/>
      <c r="CS199" s="922"/>
      <c r="CT199" s="922"/>
      <c r="CU199" s="922"/>
      <c r="CV199" s="922"/>
      <c r="CW199" s="922"/>
      <c r="CX199" s="922"/>
      <c r="CY199" s="922"/>
      <c r="CZ199" s="922"/>
      <c r="DA199" s="922"/>
      <c r="DB199" s="922"/>
      <c r="DC199" s="922"/>
      <c r="DD199" s="922"/>
      <c r="DE199" s="922"/>
      <c r="DF199" s="922"/>
      <c r="DG199" s="922"/>
      <c r="DH199" s="922"/>
      <c r="DI199" s="922"/>
      <c r="DJ199" s="922"/>
      <c r="DK199" s="922"/>
      <c r="DL199" s="922"/>
      <c r="DM199" s="922"/>
      <c r="DN199" s="922"/>
      <c r="DO199" s="922"/>
      <c r="DP199" s="922"/>
      <c r="DQ199" s="922"/>
      <c r="DR199" s="922"/>
      <c r="DS199" s="922"/>
      <c r="DT199" s="922"/>
      <c r="DU199" s="922"/>
      <c r="DV199" s="922"/>
      <c r="DW199" s="922"/>
      <c r="DX199" s="922"/>
      <c r="DY199" s="922"/>
      <c r="DZ199" s="922"/>
      <c r="EA199" s="922"/>
      <c r="EB199" s="922"/>
      <c r="EC199" s="922"/>
      <c r="ED199" s="922"/>
      <c r="EE199" s="922"/>
      <c r="EF199" s="922"/>
      <c r="EG199" s="922"/>
      <c r="EH199" s="922"/>
      <c r="EI199" s="922"/>
      <c r="EJ199" s="922"/>
      <c r="EK199" s="922"/>
      <c r="EL199" s="922"/>
      <c r="EM199" s="922"/>
      <c r="EN199" s="922"/>
      <c r="EO199" s="922"/>
      <c r="EP199" s="922"/>
      <c r="EQ199" s="922"/>
      <c r="ER199" s="922"/>
      <c r="ES199" s="922"/>
      <c r="ET199" s="922"/>
      <c r="EU199" s="922"/>
      <c r="EV199" s="922"/>
      <c r="EW199" s="922"/>
      <c r="EX199" s="922"/>
      <c r="EY199" s="922"/>
      <c r="EZ199" s="922"/>
      <c r="FA199" s="922"/>
      <c r="FB199" s="922"/>
      <c r="FC199" s="922"/>
      <c r="FD199" s="922"/>
      <c r="FE199" s="922"/>
      <c r="FF199" s="922"/>
      <c r="FG199" s="922"/>
      <c r="FH199" s="922"/>
      <c r="FI199" s="922"/>
      <c r="FJ199" s="922"/>
      <c r="FK199" s="922"/>
      <c r="FL199" s="922"/>
      <c r="FM199" s="922"/>
      <c r="FN199" s="922"/>
      <c r="FO199" s="922"/>
      <c r="FP199" s="922"/>
      <c r="FQ199" s="922"/>
      <c r="FR199" s="922"/>
      <c r="FS199" s="922"/>
      <c r="FT199" s="922"/>
      <c r="FU199" s="922"/>
      <c r="FV199" s="922"/>
      <c r="FW199" s="922"/>
      <c r="FX199" s="922"/>
      <c r="FY199" s="922"/>
      <c r="FZ199" s="922"/>
      <c r="GA199" s="922"/>
      <c r="GB199" s="922"/>
      <c r="GC199" s="922"/>
      <c r="GD199" s="922"/>
      <c r="GE199" s="922"/>
      <c r="GF199" s="922"/>
      <c r="GG199" s="922"/>
      <c r="GH199" s="922"/>
      <c r="GI199" s="922"/>
      <c r="GJ199" s="922"/>
      <c r="GK199" s="922"/>
      <c r="GL199" s="922"/>
      <c r="GM199" s="922"/>
      <c r="GN199" s="922"/>
      <c r="GO199" s="922"/>
      <c r="GP199" s="922"/>
      <c r="GQ199" s="922"/>
      <c r="GR199" s="922"/>
      <c r="GS199" s="922"/>
      <c r="GT199" s="922"/>
      <c r="GU199" s="922"/>
      <c r="GV199" s="922"/>
      <c r="GW199" s="922"/>
      <c r="GX199" s="922"/>
      <c r="GY199" s="922"/>
      <c r="GZ199" s="922"/>
      <c r="HA199" s="922"/>
      <c r="HB199" s="922"/>
      <c r="HC199" s="922"/>
      <c r="HD199" s="922"/>
      <c r="HE199" s="922"/>
      <c r="HF199" s="922"/>
      <c r="HG199" s="922"/>
      <c r="HH199" s="922"/>
      <c r="HI199" s="922"/>
      <c r="HJ199" s="922"/>
      <c r="HK199" s="922"/>
      <c r="HL199" s="922"/>
      <c r="HM199" s="922"/>
      <c r="HN199" s="922"/>
      <c r="HO199" s="922"/>
      <c r="HP199" s="922"/>
      <c r="HQ199" s="922"/>
      <c r="HR199" s="922"/>
      <c r="HS199" s="922"/>
      <c r="HT199" s="922"/>
      <c r="HU199" s="922"/>
      <c r="HV199" s="922"/>
      <c r="HW199" s="922"/>
      <c r="HX199" s="922"/>
      <c r="HY199" s="922"/>
      <c r="HZ199" s="922"/>
      <c r="IA199" s="922"/>
      <c r="IB199" s="922"/>
      <c r="IC199" s="922"/>
      <c r="ID199" s="922"/>
      <c r="IE199" s="922"/>
      <c r="IF199" s="922"/>
      <c r="IG199" s="922"/>
      <c r="IH199" s="922"/>
      <c r="II199" s="922"/>
      <c r="IJ199" s="922"/>
      <c r="IK199" s="922"/>
      <c r="IL199" s="922"/>
      <c r="IM199" s="922"/>
      <c r="IN199" s="922"/>
      <c r="IO199" s="922"/>
      <c r="IP199" s="922"/>
      <c r="IQ199" s="922"/>
      <c r="IR199" s="922"/>
      <c r="IS199" s="922"/>
      <c r="IT199" s="922"/>
      <c r="IU199" s="922"/>
      <c r="IV199" s="922"/>
      <c r="IW199" s="922"/>
      <c r="IX199" s="922"/>
      <c r="IY199" s="922"/>
      <c r="IZ199" s="922"/>
      <c r="JA199" s="922"/>
      <c r="JB199" s="922"/>
      <c r="JC199" s="922"/>
      <c r="JD199" s="922"/>
      <c r="JE199" s="922"/>
      <c r="JF199" s="922"/>
      <c r="JG199" s="922"/>
      <c r="JH199" s="922"/>
      <c r="JI199" s="922"/>
      <c r="JJ199" s="922"/>
      <c r="JK199" s="922"/>
      <c r="JL199" s="922"/>
      <c r="JM199" s="922"/>
      <c r="JN199" s="922"/>
      <c r="JO199" s="922"/>
      <c r="JP199" s="922"/>
      <c r="JQ199" s="922"/>
      <c r="JR199" s="922"/>
      <c r="JS199" s="922"/>
      <c r="JT199" s="922"/>
      <c r="JU199" s="922"/>
      <c r="JV199" s="922"/>
      <c r="JW199" s="922"/>
      <c r="JX199" s="922"/>
      <c r="JY199" s="922"/>
      <c r="JZ199" s="922"/>
      <c r="KA199" s="922"/>
      <c r="KB199" s="922"/>
      <c r="KC199" s="922"/>
      <c r="KD199" s="922"/>
      <c r="KE199" s="922"/>
      <c r="KF199" s="922"/>
      <c r="KG199" s="922"/>
      <c r="KH199" s="922"/>
      <c r="KI199" s="922"/>
      <c r="KJ199" s="922"/>
      <c r="KK199" s="922"/>
      <c r="KL199" s="922"/>
      <c r="KM199" s="922"/>
      <c r="KN199" s="922"/>
      <c r="KO199" s="922"/>
      <c r="KP199" s="922"/>
      <c r="KQ199" s="922"/>
      <c r="KR199" s="922"/>
      <c r="KS199" s="922"/>
      <c r="KT199" s="922"/>
      <c r="KU199" s="922"/>
      <c r="KV199" s="922"/>
      <c r="KW199" s="922"/>
      <c r="KX199" s="922"/>
      <c r="KY199" s="922"/>
      <c r="KZ199" s="922"/>
      <c r="LA199" s="922"/>
      <c r="LB199" s="922"/>
      <c r="LC199" s="922"/>
      <c r="LD199" s="922"/>
      <c r="LE199" s="922"/>
      <c r="LF199" s="922"/>
      <c r="LG199" s="922"/>
      <c r="LH199" s="922"/>
      <c r="LI199" s="922"/>
      <c r="LJ199" s="922"/>
      <c r="LK199" s="922"/>
      <c r="LL199" s="922"/>
      <c r="LM199" s="922"/>
      <c r="LN199" s="922"/>
      <c r="LO199" s="922"/>
      <c r="LP199" s="922"/>
      <c r="LQ199" s="922"/>
      <c r="LR199" s="922"/>
      <c r="LS199" s="922"/>
      <c r="LT199" s="922"/>
      <c r="LU199" s="922"/>
      <c r="LV199" s="922"/>
      <c r="LW199" s="922"/>
      <c r="LX199" s="922"/>
      <c r="LY199" s="922"/>
      <c r="LZ199" s="922"/>
      <c r="MA199" s="922"/>
      <c r="MB199" s="922"/>
      <c r="MC199" s="922"/>
      <c r="MD199" s="922"/>
      <c r="ME199" s="922"/>
      <c r="MF199" s="922"/>
      <c r="MG199" s="922"/>
      <c r="MH199" s="922"/>
      <c r="MI199" s="922"/>
      <c r="MJ199" s="922"/>
      <c r="MK199" s="922"/>
      <c r="ML199" s="922"/>
      <c r="MM199" s="922"/>
      <c r="MN199" s="922"/>
      <c r="MO199" s="922"/>
      <c r="MP199" s="922"/>
      <c r="MQ199" s="922"/>
      <c r="MR199" s="922"/>
      <c r="MS199" s="922"/>
      <c r="MT199" s="922"/>
      <c r="MU199" s="922"/>
      <c r="MV199" s="922"/>
      <c r="MW199" s="922"/>
      <c r="MX199" s="922"/>
      <c r="MY199" s="922"/>
      <c r="MZ199" s="922"/>
      <c r="NA199" s="922"/>
      <c r="NB199" s="922"/>
      <c r="NC199" s="922"/>
      <c r="ND199" s="922"/>
      <c r="NE199" s="922"/>
      <c r="NF199" s="922"/>
      <c r="NG199" s="922"/>
      <c r="NH199" s="922"/>
      <c r="NI199" s="922"/>
      <c r="NJ199" s="922"/>
      <c r="NK199" s="922"/>
      <c r="NL199" s="922"/>
      <c r="NM199" s="922"/>
      <c r="NN199" s="922"/>
      <c r="NO199" s="922"/>
      <c r="NP199" s="922"/>
      <c r="NQ199" s="922"/>
      <c r="NR199" s="922"/>
      <c r="NS199" s="922"/>
      <c r="NT199" s="922"/>
      <c r="NU199" s="922"/>
      <c r="NV199" s="922"/>
      <c r="NW199" s="922"/>
      <c r="NX199" s="922"/>
      <c r="NY199" s="922"/>
      <c r="NZ199" s="922"/>
      <c r="OA199" s="922"/>
      <c r="OB199" s="922"/>
      <c r="OC199" s="922"/>
      <c r="OD199" s="922"/>
      <c r="OE199" s="922"/>
      <c r="OF199" s="922"/>
      <c r="OG199" s="922"/>
      <c r="OH199" s="922"/>
      <c r="OI199" s="922"/>
      <c r="OJ199" s="922"/>
      <c r="OK199" s="922"/>
      <c r="OL199" s="922"/>
      <c r="OM199" s="922"/>
      <c r="ON199" s="922"/>
      <c r="OO199" s="922"/>
      <c r="OP199" s="922"/>
      <c r="OQ199" s="922"/>
      <c r="OR199" s="922"/>
      <c r="OS199" s="922"/>
      <c r="OT199" s="922"/>
      <c r="OU199" s="922"/>
      <c r="OV199" s="922"/>
      <c r="OW199" s="922"/>
      <c r="OX199" s="922"/>
      <c r="OY199" s="922"/>
      <c r="OZ199" s="922"/>
      <c r="PA199" s="922"/>
      <c r="PB199" s="922"/>
      <c r="PC199" s="922"/>
      <c r="PD199" s="922"/>
      <c r="PE199" s="922"/>
      <c r="PF199" s="922"/>
      <c r="PG199" s="922"/>
      <c r="PH199" s="922"/>
      <c r="PI199" s="922"/>
      <c r="PJ199" s="922"/>
      <c r="PK199" s="922"/>
      <c r="PL199" s="922"/>
      <c r="PM199" s="922"/>
      <c r="PN199" s="922"/>
      <c r="PO199" s="922"/>
      <c r="PP199" s="922"/>
      <c r="PQ199" s="922"/>
      <c r="PR199" s="922"/>
      <c r="PS199" s="922"/>
      <c r="PT199" s="922"/>
      <c r="PU199" s="922"/>
      <c r="PV199" s="922"/>
      <c r="PW199" s="922"/>
      <c r="PX199" s="922"/>
      <c r="PY199" s="922"/>
      <c r="PZ199" s="922"/>
      <c r="QA199" s="922"/>
      <c r="QB199" s="922"/>
      <c r="QC199" s="922"/>
      <c r="QD199" s="922"/>
      <c r="QE199" s="922"/>
      <c r="QF199" s="922"/>
      <c r="QG199" s="922"/>
      <c r="QH199" s="922"/>
      <c r="QI199" s="922"/>
      <c r="QJ199" s="922"/>
      <c r="QK199" s="922"/>
      <c r="QL199" s="922"/>
      <c r="QM199" s="922"/>
      <c r="QN199" s="922"/>
      <c r="QO199" s="922"/>
      <c r="QP199" s="922"/>
      <c r="QQ199" s="922"/>
      <c r="QR199" s="922"/>
      <c r="QS199" s="922"/>
      <c r="QT199" s="922"/>
      <c r="QU199" s="922"/>
      <c r="QV199" s="922"/>
      <c r="QW199" s="922"/>
      <c r="QX199" s="922"/>
      <c r="QY199" s="922"/>
      <c r="QZ199" s="922"/>
      <c r="RA199" s="922"/>
      <c r="RB199" s="922"/>
      <c r="RC199" s="922"/>
      <c r="RD199" s="922"/>
      <c r="RE199" s="922"/>
      <c r="RF199" s="922"/>
      <c r="RG199" s="922"/>
      <c r="RH199" s="922"/>
      <c r="RI199" s="922"/>
      <c r="RJ199" s="922"/>
      <c r="RK199" s="922"/>
      <c r="RL199" s="922"/>
      <c r="RM199" s="922"/>
      <c r="RN199" s="922"/>
      <c r="RO199" s="922"/>
      <c r="RP199" s="922"/>
      <c r="RQ199" s="922"/>
      <c r="RR199" s="922"/>
      <c r="RS199" s="922"/>
      <c r="RT199" s="922"/>
      <c r="RU199" s="922"/>
      <c r="RV199" s="922"/>
      <c r="RW199" s="922"/>
      <c r="RX199" s="922"/>
      <c r="RY199" s="922"/>
      <c r="RZ199" s="922"/>
      <c r="SA199" s="922"/>
      <c r="SB199" s="922"/>
      <c r="SC199" s="922"/>
      <c r="SD199" s="922"/>
      <c r="SE199" s="922"/>
      <c r="SF199" s="922"/>
      <c r="SG199" s="922"/>
      <c r="SH199" s="922"/>
      <c r="SI199" s="922"/>
      <c r="SJ199" s="922"/>
      <c r="SK199" s="922"/>
      <c r="SL199" s="922"/>
      <c r="SM199" s="922"/>
      <c r="SN199" s="922"/>
      <c r="SO199" s="922"/>
      <c r="SP199" s="922"/>
      <c r="SQ199" s="922"/>
      <c r="SR199" s="922"/>
      <c r="SS199" s="922"/>
      <c r="ST199" s="922"/>
      <c r="SU199" s="922"/>
      <c r="SV199" s="922"/>
      <c r="SW199" s="922"/>
      <c r="SX199" s="922"/>
      <c r="SY199" s="922"/>
      <c r="SZ199" s="922"/>
      <c r="TA199" s="922"/>
      <c r="TB199" s="922"/>
      <c r="TC199" s="922"/>
      <c r="TD199" s="922"/>
      <c r="TE199" s="922"/>
      <c r="TF199" s="922"/>
      <c r="TG199" s="922"/>
      <c r="TH199" s="922"/>
      <c r="TI199" s="922"/>
      <c r="TJ199" s="922"/>
      <c r="TK199" s="922"/>
      <c r="TL199" s="922"/>
      <c r="TM199" s="922"/>
      <c r="TN199" s="922"/>
      <c r="TO199" s="922"/>
      <c r="TP199" s="922"/>
      <c r="TQ199" s="922"/>
      <c r="TR199" s="922"/>
      <c r="TS199" s="922"/>
      <c r="TT199" s="922"/>
      <c r="TU199" s="922"/>
      <c r="TV199" s="922"/>
      <c r="TW199" s="922"/>
      <c r="TX199" s="922"/>
      <c r="TY199" s="922"/>
      <c r="TZ199" s="922"/>
      <c r="UA199" s="922"/>
      <c r="UB199" s="922"/>
      <c r="UC199" s="922"/>
      <c r="UD199" s="922"/>
      <c r="UE199" s="922"/>
      <c r="UF199" s="922"/>
      <c r="UG199" s="922"/>
      <c r="UH199" s="922"/>
      <c r="UI199" s="922"/>
      <c r="UJ199" s="922"/>
      <c r="UK199" s="922"/>
      <c r="UL199" s="922"/>
      <c r="UM199" s="922"/>
      <c r="UN199" s="922"/>
      <c r="UO199" s="922"/>
      <c r="UP199" s="922"/>
      <c r="UQ199" s="922"/>
      <c r="UR199" s="922"/>
      <c r="US199" s="922"/>
      <c r="UT199" s="922"/>
      <c r="UU199" s="922"/>
      <c r="UV199" s="922"/>
      <c r="UW199" s="922"/>
      <c r="UX199" s="922"/>
      <c r="UY199" s="922"/>
      <c r="UZ199" s="922"/>
      <c r="VA199" s="922"/>
      <c r="VB199" s="922"/>
      <c r="VC199" s="922"/>
      <c r="VD199" s="922"/>
      <c r="VE199" s="922"/>
      <c r="VF199" s="922"/>
      <c r="VG199" s="922"/>
      <c r="VH199" s="922"/>
      <c r="VI199" s="922"/>
      <c r="VJ199" s="922"/>
      <c r="VK199" s="922"/>
      <c r="VL199" s="922"/>
      <c r="VM199" s="922"/>
      <c r="VN199" s="922"/>
      <c r="VO199" s="922"/>
      <c r="VP199" s="922"/>
      <c r="VQ199" s="922"/>
      <c r="VR199" s="922"/>
      <c r="VS199" s="922"/>
      <c r="VT199" s="922"/>
      <c r="VU199" s="922"/>
      <c r="VV199" s="922"/>
      <c r="VW199" s="922"/>
      <c r="VX199" s="922"/>
      <c r="VY199" s="922"/>
      <c r="VZ199" s="922"/>
      <c r="WA199" s="922"/>
      <c r="WB199" s="922"/>
      <c r="WC199" s="922"/>
      <c r="WD199" s="922"/>
      <c r="WE199" s="922"/>
      <c r="WF199" s="922"/>
      <c r="WG199" s="922"/>
      <c r="WH199" s="922"/>
      <c r="WI199" s="922"/>
      <c r="WJ199" s="922"/>
      <c r="WK199" s="922"/>
      <c r="WL199" s="922"/>
      <c r="WM199" s="922"/>
      <c r="WN199" s="922"/>
      <c r="WO199" s="922"/>
      <c r="WP199" s="922"/>
      <c r="WQ199" s="922"/>
      <c r="WR199" s="922"/>
      <c r="WS199" s="922"/>
      <c r="WT199" s="922"/>
      <c r="WU199" s="922"/>
      <c r="WV199" s="922"/>
      <c r="WW199" s="922"/>
      <c r="WX199" s="922"/>
      <c r="WY199" s="922"/>
      <c r="WZ199" s="922"/>
      <c r="XA199" s="922"/>
      <c r="XB199" s="922"/>
      <c r="XC199" s="922"/>
      <c r="XD199" s="922"/>
      <c r="XE199" s="922"/>
      <c r="XF199" s="922"/>
      <c r="XG199" s="922"/>
      <c r="XH199" s="922"/>
      <c r="XI199" s="922"/>
      <c r="XJ199" s="922"/>
      <c r="XK199" s="922"/>
      <c r="XL199" s="922"/>
      <c r="XM199" s="922"/>
      <c r="XN199" s="922"/>
      <c r="XO199" s="922"/>
      <c r="XP199" s="922"/>
      <c r="XQ199" s="922"/>
      <c r="XR199" s="922"/>
      <c r="XS199" s="922"/>
      <c r="XT199" s="922"/>
      <c r="XU199" s="922"/>
      <c r="XV199" s="922"/>
      <c r="XW199" s="922"/>
      <c r="XX199" s="922"/>
      <c r="XY199" s="922"/>
      <c r="XZ199" s="922"/>
      <c r="YA199" s="922"/>
      <c r="YB199" s="922"/>
      <c r="YC199" s="922"/>
      <c r="YD199" s="922"/>
      <c r="YE199" s="922"/>
      <c r="YF199" s="922"/>
      <c r="YG199" s="922"/>
      <c r="YH199" s="922"/>
      <c r="YI199" s="922"/>
      <c r="YJ199" s="922"/>
      <c r="YK199" s="922"/>
      <c r="YL199" s="922"/>
      <c r="YM199" s="922"/>
      <c r="YN199" s="922"/>
      <c r="YO199" s="922"/>
      <c r="YP199" s="922"/>
      <c r="YQ199" s="922"/>
      <c r="YR199" s="922"/>
      <c r="YS199" s="922"/>
      <c r="YT199" s="922"/>
      <c r="YU199" s="922"/>
      <c r="YV199" s="922"/>
      <c r="YW199" s="922"/>
      <c r="YX199" s="922"/>
      <c r="YY199" s="922"/>
      <c r="YZ199" s="922"/>
      <c r="ZA199" s="922"/>
      <c r="ZB199" s="922"/>
      <c r="ZC199" s="922"/>
      <c r="ZD199" s="922"/>
      <c r="ZE199" s="922"/>
      <c r="ZF199" s="922"/>
      <c r="ZG199" s="922"/>
      <c r="ZH199" s="922"/>
      <c r="ZI199" s="922"/>
      <c r="ZJ199" s="922"/>
      <c r="ZK199" s="922"/>
      <c r="ZL199" s="922"/>
      <c r="ZM199" s="922"/>
      <c r="ZN199" s="922"/>
      <c r="ZO199" s="922"/>
      <c r="ZP199" s="922"/>
      <c r="ZQ199" s="922"/>
      <c r="ZR199" s="922"/>
      <c r="ZS199" s="922"/>
      <c r="ZT199" s="922"/>
      <c r="ZU199" s="922"/>
      <c r="ZV199" s="922"/>
      <c r="ZW199" s="922"/>
      <c r="ZX199" s="922"/>
      <c r="ZY199" s="922"/>
      <c r="ZZ199" s="922"/>
      <c r="AAA199" s="922"/>
      <c r="AAB199" s="922"/>
      <c r="AAC199" s="922"/>
      <c r="AAD199" s="922"/>
      <c r="AAE199" s="922"/>
      <c r="AAF199" s="922"/>
      <c r="AAG199" s="922"/>
      <c r="AAH199" s="922"/>
      <c r="AAI199" s="922"/>
      <c r="AAJ199" s="922"/>
      <c r="AAK199" s="922"/>
      <c r="AAL199" s="922"/>
      <c r="AAM199" s="922"/>
      <c r="AAN199" s="922"/>
      <c r="AAO199" s="922"/>
      <c r="AAP199" s="922"/>
      <c r="AAQ199" s="922"/>
      <c r="AAR199" s="922"/>
      <c r="AAS199" s="922"/>
      <c r="AAT199" s="922"/>
      <c r="AAU199" s="922"/>
      <c r="AAV199" s="922"/>
      <c r="AAW199" s="922"/>
      <c r="AAX199" s="922"/>
      <c r="AAY199" s="922"/>
      <c r="AAZ199" s="922"/>
      <c r="ABA199" s="922"/>
      <c r="ABB199" s="922"/>
      <c r="ABC199" s="922"/>
      <c r="ABD199" s="922"/>
      <c r="ABE199" s="922"/>
      <c r="ABF199" s="922"/>
      <c r="ABG199" s="922"/>
      <c r="ABH199" s="922"/>
      <c r="ABI199" s="922"/>
      <c r="ABJ199" s="922"/>
      <c r="ABK199" s="922"/>
      <c r="ABL199" s="922"/>
      <c r="ABM199" s="922"/>
      <c r="ABN199" s="922"/>
      <c r="ABO199" s="922"/>
      <c r="ABP199" s="922"/>
      <c r="ABQ199" s="922"/>
      <c r="ABR199" s="922"/>
      <c r="ABS199" s="922"/>
      <c r="ABT199" s="922"/>
      <c r="ABU199" s="922"/>
      <c r="ABV199" s="922"/>
      <c r="ABW199" s="922"/>
      <c r="ABX199" s="922"/>
      <c r="ABY199" s="922"/>
      <c r="ABZ199" s="922"/>
      <c r="ACA199" s="922"/>
      <c r="ACB199" s="922"/>
      <c r="ACC199" s="922"/>
      <c r="ACD199" s="922"/>
      <c r="ACE199" s="922"/>
      <c r="ACF199" s="922"/>
      <c r="ACG199" s="922"/>
      <c r="ACH199" s="922"/>
      <c r="ACI199" s="922"/>
      <c r="ACJ199" s="922"/>
      <c r="ACK199" s="922"/>
      <c r="ACL199" s="922"/>
      <c r="ACM199" s="922"/>
      <c r="ACN199" s="922"/>
      <c r="ACO199" s="922"/>
      <c r="ACP199" s="922"/>
      <c r="ACQ199" s="922"/>
      <c r="ACR199" s="922"/>
      <c r="ACS199" s="922"/>
      <c r="ACT199" s="922"/>
      <c r="ACU199" s="922"/>
      <c r="ACV199" s="922"/>
      <c r="ACW199" s="922"/>
      <c r="ACX199" s="922"/>
      <c r="ACY199" s="922"/>
      <c r="ACZ199" s="922"/>
      <c r="ADA199" s="922"/>
      <c r="ADB199" s="922"/>
      <c r="ADC199" s="922"/>
      <c r="ADD199" s="922"/>
      <c r="ADE199" s="922"/>
      <c r="ADF199" s="922"/>
      <c r="ADG199" s="922"/>
      <c r="ADH199" s="922"/>
      <c r="ADI199" s="922"/>
      <c r="ADJ199" s="922"/>
      <c r="ADK199" s="922"/>
      <c r="ADL199" s="922"/>
      <c r="ADM199" s="922"/>
      <c r="ADN199" s="922"/>
      <c r="ADO199" s="922"/>
      <c r="ADP199" s="922"/>
      <c r="ADQ199" s="922"/>
      <c r="ADR199" s="922"/>
      <c r="ADS199" s="922"/>
      <c r="ADT199" s="922"/>
      <c r="ADU199" s="922"/>
      <c r="ADV199" s="922"/>
      <c r="ADW199" s="922"/>
      <c r="ADX199" s="922"/>
      <c r="ADY199" s="922"/>
      <c r="ADZ199" s="922"/>
      <c r="AEA199" s="922"/>
      <c r="AEB199" s="922"/>
      <c r="AEC199" s="922"/>
      <c r="AED199" s="922"/>
      <c r="AEE199" s="922"/>
      <c r="AEF199" s="922"/>
      <c r="AEG199" s="922"/>
      <c r="AEH199" s="922"/>
      <c r="AEI199" s="922"/>
      <c r="AEJ199" s="922"/>
      <c r="AEK199" s="922"/>
      <c r="AEL199" s="922"/>
      <c r="AEM199" s="922"/>
      <c r="AEN199" s="922"/>
      <c r="AEO199" s="922"/>
      <c r="AEP199" s="922"/>
      <c r="AEQ199" s="922"/>
      <c r="AER199" s="922"/>
      <c r="AES199" s="922"/>
      <c r="AET199" s="922"/>
      <c r="AEU199" s="922"/>
      <c r="AEV199" s="922"/>
      <c r="AEW199" s="922"/>
      <c r="AEX199" s="922"/>
      <c r="AEY199" s="922"/>
      <c r="AEZ199" s="922"/>
      <c r="AFA199" s="922"/>
      <c r="AFB199" s="922"/>
      <c r="AFC199" s="922"/>
      <c r="AFD199" s="922"/>
      <c r="AFE199" s="922"/>
      <c r="AFF199" s="922"/>
      <c r="AFG199" s="922"/>
      <c r="AFH199" s="922"/>
      <c r="AFI199" s="922"/>
      <c r="AFJ199" s="922"/>
      <c r="AFK199" s="922"/>
      <c r="AFL199" s="922"/>
      <c r="AFM199" s="922"/>
      <c r="AFN199" s="922"/>
      <c r="AFO199" s="922"/>
      <c r="AFP199" s="922"/>
      <c r="AFQ199" s="922"/>
      <c r="AFR199" s="922"/>
      <c r="AFS199" s="922"/>
      <c r="AFT199" s="922"/>
      <c r="AFU199" s="922"/>
      <c r="AFV199" s="922"/>
      <c r="AFW199" s="922"/>
      <c r="AFX199" s="922"/>
      <c r="AFY199" s="922"/>
      <c r="AFZ199" s="922"/>
      <c r="AGA199" s="922"/>
      <c r="AGB199" s="922"/>
      <c r="AGC199" s="922"/>
      <c r="AGD199" s="922"/>
      <c r="AGE199" s="922"/>
      <c r="AGF199" s="922"/>
      <c r="AGG199" s="922"/>
      <c r="AGH199" s="922"/>
      <c r="AGI199" s="922"/>
      <c r="AGJ199" s="922"/>
      <c r="AGK199" s="922"/>
      <c r="AGL199" s="922"/>
      <c r="AGM199" s="922"/>
      <c r="AGN199" s="922"/>
      <c r="AGO199" s="922"/>
      <c r="AGP199" s="922"/>
      <c r="AGQ199" s="922"/>
      <c r="AGR199" s="922"/>
      <c r="AGS199" s="922"/>
      <c r="AGT199" s="922"/>
      <c r="AGU199" s="922"/>
      <c r="AGV199" s="922"/>
      <c r="AGW199" s="922"/>
      <c r="AGX199" s="922"/>
      <c r="AGY199" s="922"/>
      <c r="AGZ199" s="922"/>
      <c r="AHA199" s="922"/>
      <c r="AHB199" s="922"/>
      <c r="AHC199" s="922"/>
      <c r="AHD199" s="922"/>
      <c r="AHE199" s="922"/>
      <c r="AHF199" s="922"/>
      <c r="AHG199" s="922"/>
      <c r="AHH199" s="922"/>
      <c r="AHI199" s="922"/>
      <c r="AHJ199" s="922"/>
      <c r="AHK199" s="922"/>
      <c r="AHL199" s="922"/>
      <c r="AHM199" s="922"/>
      <c r="AHN199" s="922"/>
      <c r="AHO199" s="922"/>
      <c r="AHP199" s="922"/>
      <c r="AHQ199" s="922"/>
      <c r="AHR199" s="922"/>
      <c r="AHS199" s="922"/>
      <c r="AHT199" s="922"/>
      <c r="AHU199" s="922"/>
      <c r="AHV199" s="922"/>
      <c r="AHW199" s="922"/>
      <c r="AHX199" s="922"/>
      <c r="AHY199" s="922"/>
      <c r="AHZ199" s="922"/>
      <c r="AIA199" s="922"/>
      <c r="AIB199" s="922"/>
      <c r="AIC199" s="922"/>
      <c r="AID199" s="922"/>
      <c r="AIE199" s="922"/>
      <c r="AIF199" s="922"/>
      <c r="AIG199" s="922"/>
      <c r="AIH199" s="922"/>
      <c r="AII199" s="922"/>
      <c r="AIJ199" s="922"/>
      <c r="AIK199" s="922"/>
      <c r="AIL199" s="922"/>
      <c r="AIM199" s="922"/>
      <c r="AIN199" s="922"/>
      <c r="AIO199" s="922"/>
      <c r="AIP199" s="922"/>
      <c r="AIQ199" s="922"/>
      <c r="AIR199" s="922"/>
      <c r="AIS199" s="922"/>
      <c r="AIT199" s="922"/>
      <c r="AIU199" s="922"/>
      <c r="AIV199" s="922"/>
      <c r="AIW199" s="922"/>
      <c r="AIX199" s="922"/>
      <c r="AIY199" s="922"/>
      <c r="AIZ199" s="922"/>
      <c r="AJA199" s="922"/>
      <c r="AJB199" s="922"/>
      <c r="AJC199" s="922"/>
      <c r="AJD199" s="922"/>
      <c r="AJE199" s="922"/>
      <c r="AJF199" s="922"/>
      <c r="AJG199" s="922"/>
      <c r="AJH199" s="922"/>
      <c r="AJI199" s="922"/>
      <c r="AJJ199" s="922"/>
      <c r="AJK199" s="922"/>
      <c r="AJL199" s="922"/>
      <c r="AJM199" s="922"/>
      <c r="AJN199" s="922"/>
      <c r="AJO199" s="922"/>
      <c r="AJP199" s="922"/>
      <c r="AJQ199" s="922"/>
      <c r="AJR199" s="922"/>
      <c r="AJS199" s="922"/>
      <c r="AJT199" s="922"/>
      <c r="AJU199" s="922"/>
      <c r="AJV199" s="922"/>
      <c r="AJW199" s="922"/>
      <c r="AJX199" s="922"/>
      <c r="AJY199" s="922"/>
      <c r="AJZ199" s="922"/>
      <c r="AKA199" s="922"/>
      <c r="AKB199" s="922"/>
      <c r="AKC199" s="922"/>
      <c r="AKD199" s="922"/>
      <c r="AKE199" s="922"/>
      <c r="AKF199" s="922"/>
      <c r="AKG199" s="922"/>
      <c r="AKH199" s="922"/>
      <c r="AKI199" s="922"/>
      <c r="AKJ199" s="922"/>
      <c r="AKK199" s="922"/>
      <c r="AKL199" s="922"/>
      <c r="AKM199" s="922"/>
      <c r="AKN199" s="922"/>
      <c r="AKO199" s="922"/>
      <c r="AKP199" s="922"/>
      <c r="AKQ199" s="922"/>
      <c r="AKR199" s="922"/>
      <c r="AKS199" s="922"/>
      <c r="AKT199" s="922"/>
      <c r="AKU199" s="922"/>
      <c r="AKV199" s="922"/>
      <c r="AKW199" s="922"/>
      <c r="AKX199" s="922"/>
      <c r="AKY199" s="922"/>
      <c r="AKZ199" s="922"/>
      <c r="ALA199" s="922"/>
      <c r="ALB199" s="922"/>
      <c r="ALC199" s="922"/>
      <c r="ALD199" s="922"/>
      <c r="ALE199" s="922"/>
      <c r="ALF199" s="922"/>
      <c r="ALG199" s="922"/>
      <c r="ALH199" s="922"/>
      <c r="ALI199" s="922"/>
      <c r="ALJ199" s="922"/>
      <c r="ALK199" s="922"/>
      <c r="ALL199" s="922"/>
      <c r="ALM199" s="922"/>
      <c r="ALN199" s="922"/>
      <c r="ALO199" s="922"/>
      <c r="ALP199" s="922"/>
      <c r="ALQ199" s="922"/>
      <c r="ALR199" s="922"/>
      <c r="ALS199" s="922"/>
      <c r="ALT199" s="922"/>
      <c r="ALU199" s="922"/>
      <c r="ALV199" s="922"/>
      <c r="ALW199" s="922"/>
      <c r="ALX199" s="922"/>
      <c r="ALY199" s="922"/>
      <c r="ALZ199" s="922"/>
      <c r="AMA199" s="922"/>
      <c r="AMB199" s="922"/>
      <c r="AMC199" s="922"/>
      <c r="AMD199" s="922"/>
      <c r="AME199" s="922"/>
      <c r="AMF199" s="922"/>
      <c r="AMG199" s="922"/>
      <c r="AMH199" s="922"/>
      <c r="AMI199" s="922"/>
      <c r="AMJ199" s="922"/>
      <c r="AMK199" s="922"/>
      <c r="AML199" s="922"/>
      <c r="AMM199" s="922"/>
      <c r="AMN199" s="922"/>
      <c r="AMO199" s="922"/>
      <c r="AMP199" s="922"/>
      <c r="AMQ199" s="922"/>
      <c r="AMR199" s="922"/>
      <c r="AMS199" s="922"/>
      <c r="AMT199" s="922"/>
      <c r="AMU199" s="922"/>
      <c r="AMV199" s="922"/>
      <c r="AMW199" s="922"/>
      <c r="AMX199" s="922"/>
      <c r="AMY199" s="922"/>
      <c r="AMZ199" s="922"/>
      <c r="ANA199" s="922"/>
      <c r="ANB199" s="922"/>
      <c r="ANC199" s="922"/>
      <c r="AND199" s="922"/>
      <c r="ANE199" s="922"/>
      <c r="ANF199" s="922"/>
      <c r="ANG199" s="922"/>
      <c r="ANH199" s="922"/>
      <c r="ANI199" s="922"/>
      <c r="ANJ199" s="922"/>
      <c r="ANK199" s="922"/>
      <c r="ANL199" s="922"/>
      <c r="ANM199" s="922"/>
      <c r="ANN199" s="922"/>
      <c r="ANO199" s="922"/>
      <c r="ANP199" s="922"/>
      <c r="ANQ199" s="922"/>
      <c r="ANR199" s="922"/>
      <c r="ANS199" s="922"/>
      <c r="ANT199" s="922"/>
      <c r="ANU199" s="922"/>
      <c r="ANV199" s="922"/>
      <c r="ANW199" s="922"/>
      <c r="ANX199" s="922"/>
      <c r="ANY199" s="922"/>
      <c r="ANZ199" s="922"/>
      <c r="AOA199" s="922"/>
      <c r="AOB199" s="922"/>
      <c r="AOC199" s="922"/>
      <c r="AOD199" s="922"/>
      <c r="AOE199" s="922"/>
      <c r="AOF199" s="922"/>
      <c r="AOG199" s="922"/>
      <c r="AOH199" s="922"/>
      <c r="AOI199" s="922"/>
      <c r="AOJ199" s="922"/>
      <c r="AOK199" s="922"/>
      <c r="AOL199" s="922"/>
      <c r="AOM199" s="922"/>
      <c r="AON199" s="922"/>
      <c r="AOO199" s="922"/>
      <c r="AOP199" s="922"/>
      <c r="AOQ199" s="922"/>
      <c r="AOR199" s="922"/>
      <c r="AOS199" s="922"/>
      <c r="AOT199" s="922"/>
      <c r="AOU199" s="922"/>
      <c r="AOV199" s="922"/>
      <c r="AOW199" s="922"/>
      <c r="AOX199" s="922"/>
      <c r="AOY199" s="922"/>
      <c r="AOZ199" s="922"/>
      <c r="APA199" s="922"/>
      <c r="APB199" s="922"/>
      <c r="APC199" s="922"/>
      <c r="APD199" s="922"/>
      <c r="APE199" s="922"/>
      <c r="APF199" s="922"/>
      <c r="APG199" s="922"/>
      <c r="APH199" s="922"/>
      <c r="API199" s="922"/>
      <c r="APJ199" s="922"/>
      <c r="APK199" s="922"/>
      <c r="APL199" s="922"/>
      <c r="APM199" s="922"/>
      <c r="APN199" s="922"/>
      <c r="APO199" s="922"/>
      <c r="APP199" s="922"/>
      <c r="APQ199" s="922"/>
      <c r="APR199" s="922"/>
      <c r="APS199" s="922"/>
      <c r="APT199" s="922"/>
      <c r="APU199" s="922"/>
      <c r="APV199" s="922"/>
      <c r="APW199" s="922"/>
      <c r="APX199" s="922"/>
      <c r="APY199" s="922"/>
      <c r="APZ199" s="922"/>
      <c r="AQA199" s="922"/>
      <c r="AQB199" s="922"/>
      <c r="AQC199" s="922"/>
      <c r="AQD199" s="922"/>
      <c r="AQE199" s="922"/>
      <c r="AQF199" s="922"/>
      <c r="AQG199" s="922"/>
      <c r="AQH199" s="922"/>
      <c r="AQI199" s="922"/>
      <c r="AQJ199" s="922"/>
      <c r="AQK199" s="922"/>
      <c r="AQL199" s="922"/>
      <c r="AQM199" s="922"/>
      <c r="AQN199" s="922"/>
      <c r="AQO199" s="922"/>
      <c r="AQP199" s="922"/>
      <c r="AQQ199" s="922"/>
      <c r="AQR199" s="922"/>
      <c r="AQS199" s="922"/>
      <c r="AQT199" s="922"/>
      <c r="AQU199" s="922"/>
      <c r="AQV199" s="922"/>
      <c r="AQW199" s="922"/>
      <c r="AQX199" s="922"/>
      <c r="AQY199" s="922"/>
      <c r="AQZ199" s="922"/>
      <c r="ARA199" s="922"/>
      <c r="ARB199" s="922"/>
      <c r="ARC199" s="922"/>
      <c r="ARD199" s="922"/>
      <c r="ARE199" s="922"/>
      <c r="ARF199" s="922"/>
      <c r="ARG199" s="922"/>
      <c r="ARH199" s="922"/>
      <c r="ARI199" s="922"/>
      <c r="ARJ199" s="922"/>
      <c r="ARK199" s="922"/>
      <c r="ARL199" s="922"/>
      <c r="ARM199" s="922"/>
      <c r="ARN199" s="922"/>
      <c r="ARO199" s="922"/>
      <c r="ARP199" s="922"/>
      <c r="ARQ199" s="922"/>
      <c r="ARR199" s="922"/>
      <c r="ARS199" s="922"/>
      <c r="ART199" s="922"/>
      <c r="ARU199" s="922"/>
      <c r="ARV199" s="922"/>
      <c r="ARW199" s="922"/>
      <c r="ARX199" s="922"/>
      <c r="ARY199" s="922"/>
      <c r="ARZ199" s="922"/>
      <c r="ASA199" s="922"/>
      <c r="ASB199" s="922"/>
      <c r="ASC199" s="922"/>
    </row>
    <row r="200" spans="20:1173" hidden="1">
      <c r="T200" s="922"/>
      <c r="AN200" s="922"/>
      <c r="AO200" s="922"/>
      <c r="AP200" s="922"/>
      <c r="AQ200" s="922"/>
      <c r="AR200" s="922"/>
      <c r="AS200" s="922"/>
      <c r="AT200" s="922"/>
      <c r="AU200" s="922"/>
      <c r="AV200" s="922"/>
      <c r="AW200" s="922"/>
      <c r="AX200" s="922"/>
      <c r="AY200" s="922"/>
      <c r="AZ200" s="922"/>
      <c r="BA200" s="922"/>
      <c r="BB200" s="922"/>
      <c r="BC200" s="922"/>
      <c r="BD200" s="922"/>
      <c r="BE200" s="922"/>
      <c r="BF200" s="922"/>
      <c r="BG200" s="922"/>
      <c r="BH200" s="922"/>
      <c r="BI200" s="922"/>
      <c r="BJ200" s="922"/>
      <c r="BK200" s="922"/>
      <c r="BL200" s="922"/>
      <c r="BM200" s="922"/>
      <c r="BN200" s="922"/>
      <c r="BO200" s="922"/>
      <c r="BP200" s="922"/>
      <c r="BQ200" s="922"/>
      <c r="BR200" s="922"/>
      <c r="BS200" s="922"/>
      <c r="BT200" s="922"/>
      <c r="BU200" s="922"/>
      <c r="BV200" s="922"/>
      <c r="BW200" s="922"/>
      <c r="BX200" s="922"/>
      <c r="BY200" s="922"/>
      <c r="BZ200" s="922"/>
      <c r="CA200" s="922"/>
      <c r="CB200" s="922"/>
      <c r="CC200" s="922"/>
      <c r="CD200" s="922"/>
      <c r="CE200" s="922"/>
      <c r="CF200" s="922"/>
      <c r="CG200" s="922"/>
      <c r="CH200" s="922"/>
      <c r="CI200" s="922"/>
      <c r="CJ200" s="922"/>
      <c r="CK200" s="922"/>
      <c r="CL200" s="922"/>
      <c r="CM200" s="922"/>
      <c r="CN200" s="922"/>
      <c r="CO200" s="922"/>
      <c r="CP200" s="922"/>
      <c r="CQ200" s="922"/>
      <c r="CR200" s="922"/>
      <c r="CS200" s="922"/>
      <c r="CT200" s="922"/>
      <c r="CU200" s="922"/>
      <c r="CV200" s="922"/>
      <c r="CW200" s="922"/>
      <c r="CX200" s="922"/>
      <c r="CY200" s="922"/>
      <c r="CZ200" s="922"/>
      <c r="DA200" s="922"/>
      <c r="DB200" s="922"/>
      <c r="DC200" s="922"/>
      <c r="DD200" s="922"/>
      <c r="DE200" s="922"/>
      <c r="DF200" s="922"/>
      <c r="DG200" s="922"/>
      <c r="DH200" s="922"/>
      <c r="DI200" s="922"/>
      <c r="DJ200" s="922"/>
      <c r="DK200" s="922"/>
      <c r="DL200" s="922"/>
      <c r="DM200" s="922"/>
      <c r="DN200" s="922"/>
      <c r="DO200" s="922"/>
      <c r="DP200" s="922"/>
      <c r="DQ200" s="922"/>
      <c r="DR200" s="922"/>
      <c r="DS200" s="922"/>
      <c r="DT200" s="922"/>
      <c r="DU200" s="922"/>
      <c r="DV200" s="922"/>
      <c r="DW200" s="922"/>
      <c r="DX200" s="922"/>
      <c r="DY200" s="922"/>
      <c r="DZ200" s="922"/>
      <c r="EA200" s="922"/>
      <c r="EB200" s="922"/>
      <c r="EC200" s="922"/>
      <c r="ED200" s="922"/>
      <c r="EE200" s="922"/>
      <c r="EF200" s="922"/>
      <c r="EG200" s="922"/>
      <c r="EH200" s="922"/>
      <c r="EI200" s="922"/>
      <c r="EJ200" s="922"/>
      <c r="EK200" s="922"/>
      <c r="EL200" s="922"/>
      <c r="EM200" s="922"/>
      <c r="EN200" s="922"/>
      <c r="EO200" s="922"/>
      <c r="EP200" s="922"/>
      <c r="EQ200" s="922"/>
      <c r="ER200" s="922"/>
      <c r="ES200" s="922"/>
      <c r="ET200" s="922"/>
      <c r="EU200" s="922"/>
      <c r="EV200" s="922"/>
      <c r="EW200" s="922"/>
      <c r="EX200" s="922"/>
      <c r="EY200" s="922"/>
      <c r="EZ200" s="922"/>
      <c r="FA200" s="922"/>
      <c r="FB200" s="922"/>
      <c r="FC200" s="922"/>
      <c r="FD200" s="922"/>
      <c r="FE200" s="922"/>
      <c r="FF200" s="922"/>
      <c r="FG200" s="922"/>
      <c r="FH200" s="922"/>
      <c r="FI200" s="922"/>
      <c r="FJ200" s="922"/>
      <c r="FK200" s="922"/>
      <c r="FL200" s="922"/>
      <c r="FM200" s="922"/>
      <c r="FN200" s="922"/>
      <c r="FO200" s="922"/>
      <c r="FP200" s="922"/>
      <c r="FQ200" s="922"/>
      <c r="FR200" s="922"/>
      <c r="FS200" s="922"/>
      <c r="FT200" s="922"/>
      <c r="FU200" s="922"/>
      <c r="FV200" s="922"/>
      <c r="FW200" s="922"/>
      <c r="FX200" s="922"/>
      <c r="FY200" s="922"/>
      <c r="FZ200" s="922"/>
      <c r="GA200" s="922"/>
      <c r="GB200" s="922"/>
      <c r="GC200" s="922"/>
      <c r="GD200" s="922"/>
      <c r="GE200" s="922"/>
      <c r="GF200" s="922"/>
      <c r="GG200" s="922"/>
      <c r="GH200" s="922"/>
      <c r="GI200" s="922"/>
      <c r="GJ200" s="922"/>
      <c r="GK200" s="922"/>
      <c r="GL200" s="922"/>
      <c r="GM200" s="922"/>
      <c r="GN200" s="922"/>
      <c r="GO200" s="922"/>
      <c r="GP200" s="922"/>
      <c r="GQ200" s="922"/>
      <c r="GR200" s="922"/>
      <c r="GS200" s="922"/>
      <c r="GT200" s="922"/>
      <c r="GU200" s="922"/>
      <c r="GV200" s="922"/>
      <c r="GW200" s="922"/>
      <c r="GX200" s="922"/>
      <c r="GY200" s="922"/>
      <c r="GZ200" s="922"/>
      <c r="HA200" s="922"/>
      <c r="HB200" s="922"/>
      <c r="HC200" s="922"/>
      <c r="HD200" s="922"/>
      <c r="HE200" s="922"/>
      <c r="HF200" s="922"/>
      <c r="HG200" s="922"/>
      <c r="HH200" s="922"/>
      <c r="HI200" s="922"/>
      <c r="HJ200" s="922"/>
      <c r="HK200" s="922"/>
      <c r="HL200" s="922"/>
      <c r="HM200" s="922"/>
      <c r="HN200" s="922"/>
      <c r="HO200" s="922"/>
      <c r="HP200" s="922"/>
      <c r="HQ200" s="922"/>
      <c r="HR200" s="922"/>
      <c r="HS200" s="922"/>
      <c r="HT200" s="922"/>
      <c r="HU200" s="922"/>
      <c r="HV200" s="922"/>
      <c r="HW200" s="922"/>
      <c r="HX200" s="922"/>
      <c r="HY200" s="922"/>
      <c r="HZ200" s="922"/>
      <c r="IA200" s="922"/>
      <c r="IB200" s="922"/>
      <c r="IC200" s="922"/>
      <c r="ID200" s="922"/>
      <c r="IE200" s="922"/>
      <c r="IF200" s="922"/>
      <c r="IG200" s="922"/>
      <c r="IH200" s="922"/>
      <c r="II200" s="922"/>
      <c r="IJ200" s="922"/>
      <c r="IK200" s="922"/>
      <c r="IL200" s="922"/>
      <c r="IM200" s="922"/>
      <c r="IN200" s="922"/>
      <c r="IO200" s="922"/>
      <c r="IP200" s="922"/>
      <c r="IQ200" s="922"/>
      <c r="IR200" s="922"/>
      <c r="IS200" s="922"/>
      <c r="IT200" s="922"/>
      <c r="IU200" s="922"/>
      <c r="IV200" s="922"/>
      <c r="IW200" s="922"/>
      <c r="IX200" s="922"/>
      <c r="IY200" s="922"/>
      <c r="IZ200" s="922"/>
      <c r="JA200" s="922"/>
      <c r="JB200" s="922"/>
      <c r="JC200" s="922"/>
      <c r="JD200" s="922"/>
      <c r="JE200" s="922"/>
      <c r="JF200" s="922"/>
      <c r="JG200" s="922"/>
      <c r="JH200" s="922"/>
      <c r="JI200" s="922"/>
      <c r="JJ200" s="922"/>
      <c r="JK200" s="922"/>
      <c r="JL200" s="922"/>
      <c r="JM200" s="922"/>
      <c r="JN200" s="922"/>
      <c r="JO200" s="922"/>
      <c r="JP200" s="922"/>
      <c r="JQ200" s="922"/>
      <c r="JR200" s="922"/>
      <c r="JS200" s="922"/>
      <c r="JT200" s="922"/>
      <c r="JU200" s="922"/>
      <c r="JV200" s="922"/>
      <c r="JW200" s="922"/>
      <c r="JX200" s="922"/>
      <c r="JY200" s="922"/>
      <c r="JZ200" s="922"/>
      <c r="KA200" s="922"/>
      <c r="KB200" s="922"/>
      <c r="KC200" s="922"/>
      <c r="KD200" s="922"/>
      <c r="KE200" s="922"/>
      <c r="KF200" s="922"/>
      <c r="KG200" s="922"/>
      <c r="KH200" s="922"/>
      <c r="KI200" s="922"/>
      <c r="KJ200" s="922"/>
      <c r="KK200" s="922"/>
      <c r="KL200" s="922"/>
      <c r="KM200" s="922"/>
      <c r="KN200" s="922"/>
      <c r="KO200" s="922"/>
      <c r="KP200" s="922"/>
      <c r="KQ200" s="922"/>
      <c r="KR200" s="922"/>
      <c r="KS200" s="922"/>
      <c r="KT200" s="922"/>
      <c r="KU200" s="922"/>
      <c r="KV200" s="922"/>
      <c r="KW200" s="922"/>
      <c r="KX200" s="922"/>
      <c r="KY200" s="922"/>
      <c r="KZ200" s="922"/>
      <c r="LA200" s="922"/>
      <c r="LB200" s="922"/>
      <c r="LC200" s="922"/>
      <c r="LD200" s="922"/>
      <c r="LE200" s="922"/>
      <c r="LF200" s="922"/>
      <c r="LG200" s="922"/>
      <c r="LH200" s="922"/>
      <c r="LI200" s="922"/>
      <c r="LJ200" s="922"/>
      <c r="LK200" s="922"/>
      <c r="LL200" s="922"/>
      <c r="LM200" s="922"/>
      <c r="LN200" s="922"/>
      <c r="LO200" s="922"/>
      <c r="LP200" s="922"/>
      <c r="LQ200" s="922"/>
      <c r="LR200" s="922"/>
      <c r="LS200" s="922"/>
      <c r="LT200" s="922"/>
      <c r="LU200" s="922"/>
      <c r="LV200" s="922"/>
      <c r="LW200" s="922"/>
      <c r="LX200" s="922"/>
      <c r="LY200" s="922"/>
      <c r="LZ200" s="922"/>
      <c r="MA200" s="922"/>
      <c r="MB200" s="922"/>
      <c r="MC200" s="922"/>
      <c r="MD200" s="922"/>
      <c r="ME200" s="922"/>
      <c r="MF200" s="922"/>
      <c r="MG200" s="922"/>
      <c r="MH200" s="922"/>
      <c r="MI200" s="922"/>
      <c r="MJ200" s="922"/>
      <c r="MK200" s="922"/>
      <c r="ML200" s="922"/>
      <c r="MM200" s="922"/>
      <c r="MN200" s="922"/>
      <c r="MO200" s="922"/>
      <c r="MP200" s="922"/>
      <c r="MQ200" s="922"/>
      <c r="MR200" s="922"/>
      <c r="MS200" s="922"/>
      <c r="MT200" s="922"/>
      <c r="MU200" s="922"/>
      <c r="MV200" s="922"/>
      <c r="MW200" s="922"/>
      <c r="MX200" s="922"/>
      <c r="MY200" s="922"/>
      <c r="MZ200" s="922"/>
      <c r="NA200" s="922"/>
      <c r="NB200" s="922"/>
      <c r="NC200" s="922"/>
      <c r="ND200" s="922"/>
      <c r="NE200" s="922"/>
      <c r="NF200" s="922"/>
      <c r="NG200" s="922"/>
      <c r="NH200" s="922"/>
      <c r="NI200" s="922"/>
      <c r="NJ200" s="922"/>
      <c r="NK200" s="922"/>
      <c r="NL200" s="922"/>
      <c r="NM200" s="922"/>
      <c r="NN200" s="922"/>
      <c r="NO200" s="922"/>
      <c r="NP200" s="922"/>
      <c r="NQ200" s="922"/>
      <c r="NR200" s="922"/>
      <c r="NS200" s="922"/>
      <c r="NT200" s="922"/>
      <c r="NU200" s="922"/>
      <c r="NV200" s="922"/>
      <c r="NW200" s="922"/>
      <c r="NX200" s="922"/>
      <c r="NY200" s="922"/>
      <c r="NZ200" s="922"/>
      <c r="OA200" s="922"/>
      <c r="OB200" s="922"/>
      <c r="OC200" s="922"/>
      <c r="OD200" s="922"/>
      <c r="OE200" s="922"/>
      <c r="OF200" s="922"/>
      <c r="OG200" s="922"/>
      <c r="OH200" s="922"/>
      <c r="OI200" s="922"/>
      <c r="OJ200" s="922"/>
      <c r="OK200" s="922"/>
      <c r="OL200" s="922"/>
      <c r="OM200" s="922"/>
      <c r="ON200" s="922"/>
      <c r="OO200" s="922"/>
      <c r="OP200" s="922"/>
      <c r="OQ200" s="922"/>
      <c r="OR200" s="922"/>
      <c r="OS200" s="922"/>
      <c r="OT200" s="922"/>
      <c r="OU200" s="922"/>
      <c r="OV200" s="922"/>
      <c r="OW200" s="922"/>
      <c r="OX200" s="922"/>
      <c r="OY200" s="922"/>
      <c r="OZ200" s="922"/>
      <c r="PA200" s="922"/>
      <c r="PB200" s="922"/>
      <c r="PC200" s="922"/>
      <c r="PD200" s="922"/>
      <c r="PE200" s="922"/>
      <c r="PF200" s="922"/>
      <c r="PG200" s="922"/>
      <c r="PH200" s="922"/>
      <c r="PI200" s="922"/>
      <c r="PJ200" s="922"/>
      <c r="PK200" s="922"/>
      <c r="PL200" s="922"/>
      <c r="PM200" s="922"/>
      <c r="PN200" s="922"/>
      <c r="PO200" s="922"/>
      <c r="PP200" s="922"/>
      <c r="PQ200" s="922"/>
      <c r="PR200" s="922"/>
      <c r="PS200" s="922"/>
      <c r="PT200" s="922"/>
      <c r="PU200" s="922"/>
      <c r="PV200" s="922"/>
      <c r="PW200" s="922"/>
      <c r="PX200" s="922"/>
      <c r="PY200" s="922"/>
      <c r="PZ200" s="922"/>
      <c r="QA200" s="922"/>
      <c r="QB200" s="922"/>
      <c r="QC200" s="922"/>
      <c r="QD200" s="922"/>
      <c r="QE200" s="922"/>
      <c r="QF200" s="922"/>
      <c r="QG200" s="922"/>
      <c r="QH200" s="922"/>
      <c r="QI200" s="922"/>
      <c r="QJ200" s="922"/>
      <c r="QK200" s="922"/>
      <c r="QL200" s="922"/>
      <c r="QM200" s="922"/>
      <c r="QN200" s="922"/>
      <c r="QO200" s="922"/>
      <c r="QP200" s="922"/>
      <c r="QQ200" s="922"/>
      <c r="QR200" s="922"/>
      <c r="QS200" s="922"/>
      <c r="QT200" s="922"/>
      <c r="QU200" s="922"/>
      <c r="QV200" s="922"/>
      <c r="QW200" s="922"/>
      <c r="QX200" s="922"/>
      <c r="QY200" s="922"/>
      <c r="QZ200" s="922"/>
      <c r="RA200" s="922"/>
      <c r="RB200" s="922"/>
      <c r="RC200" s="922"/>
      <c r="RD200" s="922"/>
      <c r="RE200" s="922"/>
      <c r="RF200" s="922"/>
      <c r="RG200" s="922"/>
      <c r="RH200" s="922"/>
      <c r="RI200" s="922"/>
      <c r="RJ200" s="922"/>
      <c r="RK200" s="922"/>
      <c r="RL200" s="922"/>
      <c r="RM200" s="922"/>
      <c r="RN200" s="922"/>
      <c r="RO200" s="922"/>
      <c r="RP200" s="922"/>
      <c r="RQ200" s="922"/>
      <c r="RR200" s="922"/>
      <c r="RS200" s="922"/>
      <c r="RT200" s="922"/>
      <c r="RU200" s="922"/>
      <c r="RV200" s="922"/>
      <c r="RW200" s="922"/>
      <c r="RX200" s="922"/>
      <c r="RY200" s="922"/>
      <c r="RZ200" s="922"/>
      <c r="SA200" s="922"/>
      <c r="SB200" s="922"/>
      <c r="SC200" s="922"/>
      <c r="SD200" s="922"/>
      <c r="SE200" s="922"/>
      <c r="SF200" s="922"/>
      <c r="SG200" s="922"/>
      <c r="SH200" s="922"/>
      <c r="SI200" s="922"/>
      <c r="SJ200" s="922"/>
      <c r="SK200" s="922"/>
      <c r="SL200" s="922"/>
      <c r="SM200" s="922"/>
      <c r="SN200" s="922"/>
      <c r="SO200" s="922"/>
      <c r="SP200" s="922"/>
      <c r="SQ200" s="922"/>
      <c r="SR200" s="922"/>
      <c r="SS200" s="922"/>
      <c r="ST200" s="922"/>
      <c r="SU200" s="922"/>
      <c r="SV200" s="922"/>
      <c r="SW200" s="922"/>
      <c r="SX200" s="922"/>
      <c r="SY200" s="922"/>
      <c r="SZ200" s="922"/>
      <c r="TA200" s="922"/>
      <c r="TB200" s="922"/>
      <c r="TC200" s="922"/>
      <c r="TD200" s="922"/>
      <c r="TE200" s="922"/>
      <c r="TF200" s="922"/>
      <c r="TG200" s="922"/>
      <c r="TH200" s="922"/>
      <c r="TI200" s="922"/>
      <c r="TJ200" s="922"/>
      <c r="TK200" s="922"/>
      <c r="TL200" s="922"/>
      <c r="TM200" s="922"/>
      <c r="TN200" s="922"/>
      <c r="TO200" s="922"/>
      <c r="TP200" s="922"/>
      <c r="TQ200" s="922"/>
      <c r="TR200" s="922"/>
      <c r="TS200" s="922"/>
      <c r="TT200" s="922"/>
      <c r="TU200" s="922"/>
      <c r="TV200" s="922"/>
      <c r="TW200" s="922"/>
      <c r="TX200" s="922"/>
      <c r="TY200" s="922"/>
      <c r="TZ200" s="922"/>
      <c r="UA200" s="922"/>
      <c r="UB200" s="922"/>
      <c r="UC200" s="922"/>
      <c r="UD200" s="922"/>
      <c r="UE200" s="922"/>
      <c r="UF200" s="922"/>
      <c r="UG200" s="922"/>
      <c r="UH200" s="922"/>
      <c r="UI200" s="922"/>
      <c r="UJ200" s="922"/>
      <c r="UK200" s="922"/>
      <c r="UL200" s="922"/>
      <c r="UM200" s="922"/>
      <c r="UN200" s="922"/>
      <c r="UO200" s="922"/>
      <c r="UP200" s="922"/>
      <c r="UQ200" s="922"/>
      <c r="UR200" s="922"/>
      <c r="US200" s="922"/>
      <c r="UT200" s="922"/>
      <c r="UU200" s="922"/>
      <c r="UV200" s="922"/>
      <c r="UW200" s="922"/>
      <c r="UX200" s="922"/>
      <c r="UY200" s="922"/>
      <c r="UZ200" s="922"/>
      <c r="VA200" s="922"/>
      <c r="VB200" s="922"/>
      <c r="VC200" s="922"/>
      <c r="VD200" s="922"/>
      <c r="VE200" s="922"/>
      <c r="VF200" s="922"/>
      <c r="VG200" s="922"/>
      <c r="VH200" s="922"/>
      <c r="VI200" s="922"/>
      <c r="VJ200" s="922"/>
      <c r="VK200" s="922"/>
      <c r="VL200" s="922"/>
      <c r="VM200" s="922"/>
      <c r="VN200" s="922"/>
      <c r="VO200" s="922"/>
      <c r="VP200" s="922"/>
      <c r="VQ200" s="922"/>
      <c r="VR200" s="922"/>
      <c r="VS200" s="922"/>
      <c r="VT200" s="922"/>
      <c r="VU200" s="922"/>
      <c r="VV200" s="922"/>
      <c r="VW200" s="922"/>
      <c r="VX200" s="922"/>
      <c r="VY200" s="922"/>
      <c r="VZ200" s="922"/>
      <c r="WA200" s="922"/>
      <c r="WB200" s="922"/>
      <c r="WC200" s="922"/>
      <c r="WD200" s="922"/>
      <c r="WE200" s="922"/>
      <c r="WF200" s="922"/>
      <c r="WG200" s="922"/>
      <c r="WH200" s="922"/>
      <c r="WI200" s="922"/>
      <c r="WJ200" s="922"/>
      <c r="WK200" s="922"/>
      <c r="WL200" s="922"/>
      <c r="WM200" s="922"/>
      <c r="WN200" s="922"/>
      <c r="WO200" s="922"/>
      <c r="WP200" s="922"/>
      <c r="WQ200" s="922"/>
      <c r="WR200" s="922"/>
      <c r="WS200" s="922"/>
      <c r="WT200" s="922"/>
      <c r="WU200" s="922"/>
      <c r="WV200" s="922"/>
      <c r="WW200" s="922"/>
      <c r="WX200" s="922"/>
      <c r="WY200" s="922"/>
      <c r="WZ200" s="922"/>
      <c r="XA200" s="922"/>
      <c r="XB200" s="922"/>
      <c r="XC200" s="922"/>
      <c r="XD200" s="922"/>
      <c r="XE200" s="922"/>
      <c r="XF200" s="922"/>
      <c r="XG200" s="922"/>
      <c r="XH200" s="922"/>
      <c r="XI200" s="922"/>
      <c r="XJ200" s="922"/>
      <c r="XK200" s="922"/>
      <c r="XL200" s="922"/>
      <c r="XM200" s="922"/>
      <c r="XN200" s="922"/>
      <c r="XO200" s="922"/>
      <c r="XP200" s="922"/>
      <c r="XQ200" s="922"/>
      <c r="XR200" s="922"/>
      <c r="XS200" s="922"/>
      <c r="XT200" s="922"/>
      <c r="XU200" s="922"/>
      <c r="XV200" s="922"/>
      <c r="XW200" s="922"/>
      <c r="XX200" s="922"/>
      <c r="XY200" s="922"/>
      <c r="XZ200" s="922"/>
      <c r="YA200" s="922"/>
      <c r="YB200" s="922"/>
      <c r="YC200" s="922"/>
      <c r="YD200" s="922"/>
      <c r="YE200" s="922"/>
      <c r="YF200" s="922"/>
      <c r="YG200" s="922"/>
      <c r="YH200" s="922"/>
      <c r="YI200" s="922"/>
      <c r="YJ200" s="922"/>
      <c r="YK200" s="922"/>
      <c r="YL200" s="922"/>
      <c r="YM200" s="922"/>
      <c r="YN200" s="922"/>
      <c r="YO200" s="922"/>
      <c r="YP200" s="922"/>
      <c r="YQ200" s="922"/>
      <c r="YR200" s="922"/>
      <c r="YS200" s="922"/>
      <c r="YT200" s="922"/>
      <c r="YU200" s="922"/>
      <c r="YV200" s="922"/>
      <c r="YW200" s="922"/>
      <c r="YX200" s="922"/>
      <c r="YY200" s="922"/>
      <c r="YZ200" s="922"/>
      <c r="ZA200" s="922"/>
      <c r="ZB200" s="922"/>
      <c r="ZC200" s="922"/>
      <c r="ZD200" s="922"/>
      <c r="ZE200" s="922"/>
      <c r="ZF200" s="922"/>
      <c r="ZG200" s="922"/>
      <c r="ZH200" s="922"/>
      <c r="ZI200" s="922"/>
      <c r="ZJ200" s="922"/>
      <c r="ZK200" s="922"/>
      <c r="ZL200" s="922"/>
      <c r="ZM200" s="922"/>
      <c r="ZN200" s="922"/>
      <c r="ZO200" s="922"/>
      <c r="ZP200" s="922"/>
      <c r="ZQ200" s="922"/>
      <c r="ZR200" s="922"/>
      <c r="ZS200" s="922"/>
      <c r="ZT200" s="922"/>
      <c r="ZU200" s="922"/>
      <c r="ZV200" s="922"/>
      <c r="ZW200" s="922"/>
      <c r="ZX200" s="922"/>
      <c r="ZY200" s="922"/>
      <c r="ZZ200" s="922"/>
      <c r="AAA200" s="922"/>
      <c r="AAB200" s="922"/>
      <c r="AAC200" s="922"/>
      <c r="AAD200" s="922"/>
      <c r="AAE200" s="922"/>
      <c r="AAF200" s="922"/>
      <c r="AAG200" s="922"/>
      <c r="AAH200" s="922"/>
      <c r="AAI200" s="922"/>
      <c r="AAJ200" s="922"/>
      <c r="AAK200" s="922"/>
      <c r="AAL200" s="922"/>
      <c r="AAM200" s="922"/>
      <c r="AAN200" s="922"/>
      <c r="AAO200" s="922"/>
      <c r="AAP200" s="922"/>
      <c r="AAQ200" s="922"/>
      <c r="AAR200" s="922"/>
      <c r="AAS200" s="922"/>
      <c r="AAT200" s="922"/>
      <c r="AAU200" s="922"/>
      <c r="AAV200" s="922"/>
      <c r="AAW200" s="922"/>
      <c r="AAX200" s="922"/>
      <c r="AAY200" s="922"/>
      <c r="AAZ200" s="922"/>
      <c r="ABA200" s="922"/>
      <c r="ABB200" s="922"/>
      <c r="ABC200" s="922"/>
      <c r="ABD200" s="922"/>
      <c r="ABE200" s="922"/>
      <c r="ABF200" s="922"/>
      <c r="ABG200" s="922"/>
      <c r="ABH200" s="922"/>
      <c r="ABI200" s="922"/>
      <c r="ABJ200" s="922"/>
      <c r="ABK200" s="922"/>
      <c r="ABL200" s="922"/>
      <c r="ABM200" s="922"/>
      <c r="ABN200" s="922"/>
      <c r="ABO200" s="922"/>
      <c r="ABP200" s="922"/>
      <c r="ABQ200" s="922"/>
      <c r="ABR200" s="922"/>
      <c r="ABS200" s="922"/>
      <c r="ABT200" s="922"/>
      <c r="ABU200" s="922"/>
      <c r="ABV200" s="922"/>
      <c r="ABW200" s="922"/>
      <c r="ABX200" s="922"/>
      <c r="ABY200" s="922"/>
      <c r="ABZ200" s="922"/>
      <c r="ACA200" s="922"/>
      <c r="ACB200" s="922"/>
      <c r="ACC200" s="922"/>
      <c r="ACD200" s="922"/>
      <c r="ACE200" s="922"/>
      <c r="ACF200" s="922"/>
      <c r="ACG200" s="922"/>
      <c r="ACH200" s="922"/>
      <c r="ACI200" s="922"/>
      <c r="ACJ200" s="922"/>
      <c r="ACK200" s="922"/>
      <c r="ACL200" s="922"/>
      <c r="ACM200" s="922"/>
      <c r="ACN200" s="922"/>
      <c r="ACO200" s="922"/>
      <c r="ACP200" s="922"/>
      <c r="ACQ200" s="922"/>
      <c r="ACR200" s="922"/>
      <c r="ACS200" s="922"/>
      <c r="ACT200" s="922"/>
      <c r="ACU200" s="922"/>
      <c r="ACV200" s="922"/>
      <c r="ACW200" s="922"/>
      <c r="ACX200" s="922"/>
      <c r="ACY200" s="922"/>
      <c r="ACZ200" s="922"/>
      <c r="ADA200" s="922"/>
      <c r="ADB200" s="922"/>
      <c r="ADC200" s="922"/>
      <c r="ADD200" s="922"/>
      <c r="ADE200" s="922"/>
      <c r="ADF200" s="922"/>
      <c r="ADG200" s="922"/>
      <c r="ADH200" s="922"/>
      <c r="ADI200" s="922"/>
      <c r="ADJ200" s="922"/>
      <c r="ADK200" s="922"/>
      <c r="ADL200" s="922"/>
      <c r="ADM200" s="922"/>
      <c r="ADN200" s="922"/>
      <c r="ADO200" s="922"/>
      <c r="ADP200" s="922"/>
      <c r="ADQ200" s="922"/>
      <c r="ADR200" s="922"/>
      <c r="ADS200" s="922"/>
      <c r="ADT200" s="922"/>
      <c r="ADU200" s="922"/>
      <c r="ADV200" s="922"/>
      <c r="ADW200" s="922"/>
      <c r="ADX200" s="922"/>
      <c r="ADY200" s="922"/>
      <c r="ADZ200" s="922"/>
      <c r="AEA200" s="922"/>
      <c r="AEB200" s="922"/>
      <c r="AEC200" s="922"/>
      <c r="AED200" s="922"/>
      <c r="AEE200" s="922"/>
      <c r="AEF200" s="922"/>
      <c r="AEG200" s="922"/>
      <c r="AEH200" s="922"/>
      <c r="AEI200" s="922"/>
      <c r="AEJ200" s="922"/>
      <c r="AEK200" s="922"/>
      <c r="AEL200" s="922"/>
      <c r="AEM200" s="922"/>
      <c r="AEN200" s="922"/>
      <c r="AEO200" s="922"/>
      <c r="AEP200" s="922"/>
      <c r="AEQ200" s="922"/>
      <c r="AER200" s="922"/>
      <c r="AES200" s="922"/>
      <c r="AET200" s="922"/>
      <c r="AEU200" s="922"/>
      <c r="AEV200" s="922"/>
      <c r="AEW200" s="922"/>
      <c r="AEX200" s="922"/>
      <c r="AEY200" s="922"/>
      <c r="AEZ200" s="922"/>
      <c r="AFA200" s="922"/>
      <c r="AFB200" s="922"/>
      <c r="AFC200" s="922"/>
      <c r="AFD200" s="922"/>
      <c r="AFE200" s="922"/>
      <c r="AFF200" s="922"/>
      <c r="AFG200" s="922"/>
      <c r="AFH200" s="922"/>
      <c r="AFI200" s="922"/>
      <c r="AFJ200" s="922"/>
      <c r="AFK200" s="922"/>
      <c r="AFL200" s="922"/>
      <c r="AFM200" s="922"/>
      <c r="AFN200" s="922"/>
      <c r="AFO200" s="922"/>
      <c r="AFP200" s="922"/>
      <c r="AFQ200" s="922"/>
      <c r="AFR200" s="922"/>
      <c r="AFS200" s="922"/>
      <c r="AFT200" s="922"/>
      <c r="AFU200" s="922"/>
      <c r="AFV200" s="922"/>
      <c r="AFW200" s="922"/>
      <c r="AFX200" s="922"/>
      <c r="AFY200" s="922"/>
      <c r="AFZ200" s="922"/>
      <c r="AGA200" s="922"/>
      <c r="AGB200" s="922"/>
      <c r="AGC200" s="922"/>
      <c r="AGD200" s="922"/>
      <c r="AGE200" s="922"/>
      <c r="AGF200" s="922"/>
      <c r="AGG200" s="922"/>
      <c r="AGH200" s="922"/>
      <c r="AGI200" s="922"/>
      <c r="AGJ200" s="922"/>
      <c r="AGK200" s="922"/>
      <c r="AGL200" s="922"/>
      <c r="AGM200" s="922"/>
      <c r="AGN200" s="922"/>
      <c r="AGO200" s="922"/>
      <c r="AGP200" s="922"/>
      <c r="AGQ200" s="922"/>
      <c r="AGR200" s="922"/>
      <c r="AGS200" s="922"/>
      <c r="AGT200" s="922"/>
      <c r="AGU200" s="922"/>
      <c r="AGV200" s="922"/>
      <c r="AGW200" s="922"/>
      <c r="AGX200" s="922"/>
      <c r="AGY200" s="922"/>
      <c r="AGZ200" s="922"/>
      <c r="AHA200" s="922"/>
      <c r="AHB200" s="922"/>
      <c r="AHC200" s="922"/>
      <c r="AHD200" s="922"/>
      <c r="AHE200" s="922"/>
      <c r="AHF200" s="922"/>
      <c r="AHG200" s="922"/>
      <c r="AHH200" s="922"/>
      <c r="AHI200" s="922"/>
      <c r="AHJ200" s="922"/>
      <c r="AHK200" s="922"/>
      <c r="AHL200" s="922"/>
      <c r="AHM200" s="922"/>
      <c r="AHN200" s="922"/>
      <c r="AHO200" s="922"/>
      <c r="AHP200" s="922"/>
      <c r="AHQ200" s="922"/>
      <c r="AHR200" s="922"/>
      <c r="AHS200" s="922"/>
      <c r="AHT200" s="922"/>
      <c r="AHU200" s="922"/>
      <c r="AHV200" s="922"/>
      <c r="AHW200" s="922"/>
      <c r="AHX200" s="922"/>
      <c r="AHY200" s="922"/>
      <c r="AHZ200" s="922"/>
      <c r="AIA200" s="922"/>
      <c r="AIB200" s="922"/>
      <c r="AIC200" s="922"/>
      <c r="AID200" s="922"/>
      <c r="AIE200" s="922"/>
      <c r="AIF200" s="922"/>
      <c r="AIG200" s="922"/>
      <c r="AIH200" s="922"/>
      <c r="AII200" s="922"/>
      <c r="AIJ200" s="922"/>
      <c r="AIK200" s="922"/>
      <c r="AIL200" s="922"/>
      <c r="AIM200" s="922"/>
      <c r="AIN200" s="922"/>
      <c r="AIO200" s="922"/>
      <c r="AIP200" s="922"/>
      <c r="AIQ200" s="922"/>
      <c r="AIR200" s="922"/>
      <c r="AIS200" s="922"/>
      <c r="AIT200" s="922"/>
      <c r="AIU200" s="922"/>
      <c r="AIV200" s="922"/>
      <c r="AIW200" s="922"/>
      <c r="AIX200" s="922"/>
      <c r="AIY200" s="922"/>
      <c r="AIZ200" s="922"/>
      <c r="AJA200" s="922"/>
      <c r="AJB200" s="922"/>
      <c r="AJC200" s="922"/>
      <c r="AJD200" s="922"/>
      <c r="AJE200" s="922"/>
      <c r="AJF200" s="922"/>
      <c r="AJG200" s="922"/>
      <c r="AJH200" s="922"/>
      <c r="AJI200" s="922"/>
      <c r="AJJ200" s="922"/>
      <c r="AJK200" s="922"/>
      <c r="AJL200" s="922"/>
      <c r="AJM200" s="922"/>
      <c r="AJN200" s="922"/>
      <c r="AJO200" s="922"/>
      <c r="AJP200" s="922"/>
      <c r="AJQ200" s="922"/>
      <c r="AJR200" s="922"/>
      <c r="AJS200" s="922"/>
      <c r="AJT200" s="922"/>
      <c r="AJU200" s="922"/>
      <c r="AJV200" s="922"/>
      <c r="AJW200" s="922"/>
      <c r="AJX200" s="922"/>
      <c r="AJY200" s="922"/>
      <c r="AJZ200" s="922"/>
      <c r="AKA200" s="922"/>
      <c r="AKB200" s="922"/>
      <c r="AKC200" s="922"/>
      <c r="AKD200" s="922"/>
      <c r="AKE200" s="922"/>
      <c r="AKF200" s="922"/>
      <c r="AKG200" s="922"/>
      <c r="AKH200" s="922"/>
      <c r="AKI200" s="922"/>
      <c r="AKJ200" s="922"/>
      <c r="AKK200" s="922"/>
      <c r="AKL200" s="922"/>
      <c r="AKM200" s="922"/>
      <c r="AKN200" s="922"/>
      <c r="AKO200" s="922"/>
      <c r="AKP200" s="922"/>
      <c r="AKQ200" s="922"/>
      <c r="AKR200" s="922"/>
      <c r="AKS200" s="922"/>
      <c r="AKT200" s="922"/>
      <c r="AKU200" s="922"/>
      <c r="AKV200" s="922"/>
      <c r="AKW200" s="922"/>
      <c r="AKX200" s="922"/>
      <c r="AKY200" s="922"/>
      <c r="AKZ200" s="922"/>
      <c r="ALA200" s="922"/>
      <c r="ALB200" s="922"/>
      <c r="ALC200" s="922"/>
      <c r="ALD200" s="922"/>
      <c r="ALE200" s="922"/>
      <c r="ALF200" s="922"/>
      <c r="ALG200" s="922"/>
      <c r="ALH200" s="922"/>
      <c r="ALI200" s="922"/>
      <c r="ALJ200" s="922"/>
      <c r="ALK200" s="922"/>
      <c r="ALL200" s="922"/>
      <c r="ALM200" s="922"/>
      <c r="ALN200" s="922"/>
      <c r="ALO200" s="922"/>
      <c r="ALP200" s="922"/>
      <c r="ALQ200" s="922"/>
      <c r="ALR200" s="922"/>
      <c r="ALS200" s="922"/>
      <c r="ALT200" s="922"/>
      <c r="ALU200" s="922"/>
      <c r="ALV200" s="922"/>
      <c r="ALW200" s="922"/>
      <c r="ALX200" s="922"/>
      <c r="ALY200" s="922"/>
      <c r="ALZ200" s="922"/>
      <c r="AMA200" s="922"/>
      <c r="AMB200" s="922"/>
      <c r="AMC200" s="922"/>
      <c r="AMD200" s="922"/>
      <c r="AME200" s="922"/>
      <c r="AMF200" s="922"/>
      <c r="AMG200" s="922"/>
      <c r="AMH200" s="922"/>
      <c r="AMI200" s="922"/>
      <c r="AMJ200" s="922"/>
      <c r="AMK200" s="922"/>
      <c r="AML200" s="922"/>
      <c r="AMM200" s="922"/>
      <c r="AMN200" s="922"/>
      <c r="AMO200" s="922"/>
      <c r="AMP200" s="922"/>
      <c r="AMQ200" s="922"/>
      <c r="AMR200" s="922"/>
      <c r="AMS200" s="922"/>
      <c r="AMT200" s="922"/>
      <c r="AMU200" s="922"/>
      <c r="AMV200" s="922"/>
      <c r="AMW200" s="922"/>
      <c r="AMX200" s="922"/>
      <c r="AMY200" s="922"/>
      <c r="AMZ200" s="922"/>
      <c r="ANA200" s="922"/>
      <c r="ANB200" s="922"/>
      <c r="ANC200" s="922"/>
      <c r="AND200" s="922"/>
      <c r="ANE200" s="922"/>
      <c r="ANF200" s="922"/>
      <c r="ANG200" s="922"/>
      <c r="ANH200" s="922"/>
      <c r="ANI200" s="922"/>
      <c r="ANJ200" s="922"/>
      <c r="ANK200" s="922"/>
      <c r="ANL200" s="922"/>
      <c r="ANM200" s="922"/>
      <c r="ANN200" s="922"/>
      <c r="ANO200" s="922"/>
      <c r="ANP200" s="922"/>
      <c r="ANQ200" s="922"/>
      <c r="ANR200" s="922"/>
      <c r="ANS200" s="922"/>
      <c r="ANT200" s="922"/>
      <c r="ANU200" s="922"/>
      <c r="ANV200" s="922"/>
      <c r="ANW200" s="922"/>
      <c r="ANX200" s="922"/>
      <c r="ANY200" s="922"/>
      <c r="ANZ200" s="922"/>
      <c r="AOA200" s="922"/>
      <c r="AOB200" s="922"/>
      <c r="AOC200" s="922"/>
      <c r="AOD200" s="922"/>
      <c r="AOE200" s="922"/>
      <c r="AOF200" s="922"/>
      <c r="AOG200" s="922"/>
      <c r="AOH200" s="922"/>
      <c r="AOI200" s="922"/>
      <c r="AOJ200" s="922"/>
      <c r="AOK200" s="922"/>
      <c r="AOL200" s="922"/>
      <c r="AOM200" s="922"/>
      <c r="AON200" s="922"/>
      <c r="AOO200" s="922"/>
      <c r="AOP200" s="922"/>
      <c r="AOQ200" s="922"/>
      <c r="AOR200" s="922"/>
      <c r="AOS200" s="922"/>
      <c r="AOT200" s="922"/>
      <c r="AOU200" s="922"/>
      <c r="AOV200" s="922"/>
      <c r="AOW200" s="922"/>
      <c r="AOX200" s="922"/>
      <c r="AOY200" s="922"/>
      <c r="AOZ200" s="922"/>
      <c r="APA200" s="922"/>
      <c r="APB200" s="922"/>
      <c r="APC200" s="922"/>
      <c r="APD200" s="922"/>
      <c r="APE200" s="922"/>
      <c r="APF200" s="922"/>
      <c r="APG200" s="922"/>
      <c r="APH200" s="922"/>
      <c r="API200" s="922"/>
      <c r="APJ200" s="922"/>
      <c r="APK200" s="922"/>
      <c r="APL200" s="922"/>
      <c r="APM200" s="922"/>
      <c r="APN200" s="922"/>
      <c r="APO200" s="922"/>
      <c r="APP200" s="922"/>
      <c r="APQ200" s="922"/>
      <c r="APR200" s="922"/>
      <c r="APS200" s="922"/>
      <c r="APT200" s="922"/>
      <c r="APU200" s="922"/>
      <c r="APV200" s="922"/>
      <c r="APW200" s="922"/>
      <c r="APX200" s="922"/>
      <c r="APY200" s="922"/>
      <c r="APZ200" s="922"/>
      <c r="AQA200" s="922"/>
      <c r="AQB200" s="922"/>
      <c r="AQC200" s="922"/>
      <c r="AQD200" s="922"/>
      <c r="AQE200" s="922"/>
      <c r="AQF200" s="922"/>
      <c r="AQG200" s="922"/>
      <c r="AQH200" s="922"/>
      <c r="AQI200" s="922"/>
      <c r="AQJ200" s="922"/>
      <c r="AQK200" s="922"/>
      <c r="AQL200" s="922"/>
      <c r="AQM200" s="922"/>
      <c r="AQN200" s="922"/>
      <c r="AQO200" s="922"/>
      <c r="AQP200" s="922"/>
      <c r="AQQ200" s="922"/>
      <c r="AQR200" s="922"/>
      <c r="AQS200" s="922"/>
      <c r="AQT200" s="922"/>
      <c r="AQU200" s="922"/>
      <c r="AQV200" s="922"/>
      <c r="AQW200" s="922"/>
      <c r="AQX200" s="922"/>
      <c r="AQY200" s="922"/>
      <c r="AQZ200" s="922"/>
      <c r="ARA200" s="922"/>
      <c r="ARB200" s="922"/>
      <c r="ARC200" s="922"/>
      <c r="ARD200" s="922"/>
      <c r="ARE200" s="922"/>
      <c r="ARF200" s="922"/>
      <c r="ARG200" s="922"/>
      <c r="ARH200" s="922"/>
      <c r="ARI200" s="922"/>
      <c r="ARJ200" s="922"/>
      <c r="ARK200" s="922"/>
      <c r="ARL200" s="922"/>
      <c r="ARM200" s="922"/>
      <c r="ARN200" s="922"/>
      <c r="ARO200" s="922"/>
      <c r="ARP200" s="922"/>
      <c r="ARQ200" s="922"/>
      <c r="ARR200" s="922"/>
      <c r="ARS200" s="922"/>
      <c r="ART200" s="922"/>
      <c r="ARU200" s="922"/>
      <c r="ARV200" s="922"/>
      <c r="ARW200" s="922"/>
      <c r="ARX200" s="922"/>
      <c r="ARY200" s="922"/>
      <c r="ARZ200" s="922"/>
      <c r="ASA200" s="922"/>
      <c r="ASB200" s="922"/>
      <c r="ASC200" s="922"/>
    </row>
    <row r="201" spans="20:1173" hidden="1">
      <c r="T201" s="922"/>
      <c r="AN201" s="922"/>
      <c r="AO201" s="922"/>
      <c r="AP201" s="922"/>
      <c r="AQ201" s="922"/>
      <c r="AR201" s="922"/>
      <c r="AS201" s="922"/>
      <c r="AT201" s="922"/>
      <c r="AU201" s="922"/>
      <c r="AV201" s="922"/>
      <c r="AW201" s="922"/>
      <c r="AX201" s="922"/>
      <c r="AY201" s="922"/>
      <c r="AZ201" s="922"/>
      <c r="BA201" s="922"/>
      <c r="BB201" s="922"/>
      <c r="BC201" s="922"/>
      <c r="BD201" s="922"/>
      <c r="BE201" s="922"/>
      <c r="BF201" s="922"/>
      <c r="BG201" s="922"/>
      <c r="BH201" s="922"/>
      <c r="BI201" s="922"/>
      <c r="BJ201" s="922"/>
      <c r="BK201" s="922"/>
      <c r="BL201" s="922"/>
      <c r="BM201" s="922"/>
      <c r="BN201" s="922"/>
      <c r="BO201" s="922"/>
      <c r="BP201" s="922"/>
      <c r="BQ201" s="922"/>
      <c r="BR201" s="922"/>
      <c r="BS201" s="922"/>
      <c r="BT201" s="922"/>
      <c r="BU201" s="922"/>
      <c r="BV201" s="922"/>
      <c r="BW201" s="922"/>
      <c r="BX201" s="922"/>
      <c r="BY201" s="922"/>
      <c r="BZ201" s="922"/>
      <c r="CA201" s="922"/>
      <c r="CB201" s="922"/>
      <c r="CC201" s="922"/>
      <c r="CD201" s="922"/>
      <c r="CE201" s="922"/>
      <c r="CF201" s="922"/>
      <c r="CG201" s="922"/>
      <c r="CH201" s="922"/>
      <c r="CI201" s="922"/>
      <c r="CJ201" s="922"/>
      <c r="CK201" s="922"/>
      <c r="CL201" s="922"/>
      <c r="CM201" s="922"/>
      <c r="CN201" s="922"/>
      <c r="CO201" s="922"/>
      <c r="CP201" s="922"/>
      <c r="CQ201" s="922"/>
      <c r="CR201" s="922"/>
      <c r="CS201" s="922"/>
      <c r="CT201" s="922"/>
      <c r="CU201" s="922"/>
      <c r="CV201" s="922"/>
      <c r="CW201" s="922"/>
      <c r="CX201" s="922"/>
      <c r="CY201" s="922"/>
      <c r="CZ201" s="922"/>
      <c r="DA201" s="922"/>
      <c r="DB201" s="922"/>
      <c r="DC201" s="922"/>
      <c r="DD201" s="922"/>
      <c r="DE201" s="922"/>
      <c r="DF201" s="922"/>
      <c r="DG201" s="922"/>
      <c r="DH201" s="922"/>
      <c r="DI201" s="922"/>
      <c r="DJ201" s="922"/>
      <c r="DK201" s="922"/>
      <c r="DL201" s="922"/>
      <c r="DM201" s="922"/>
      <c r="DN201" s="922"/>
      <c r="DO201" s="922"/>
      <c r="DP201" s="922"/>
      <c r="DQ201" s="922"/>
      <c r="DR201" s="922"/>
      <c r="DS201" s="922"/>
      <c r="DT201" s="922"/>
      <c r="DU201" s="922"/>
      <c r="DV201" s="922"/>
      <c r="DW201" s="922"/>
      <c r="DX201" s="922"/>
      <c r="DY201" s="922"/>
      <c r="DZ201" s="922"/>
      <c r="EA201" s="922"/>
      <c r="EB201" s="922"/>
      <c r="EC201" s="922"/>
      <c r="ED201" s="922"/>
      <c r="EE201" s="922"/>
      <c r="EF201" s="922"/>
      <c r="EG201" s="922"/>
      <c r="EH201" s="922"/>
      <c r="EI201" s="922"/>
      <c r="EJ201" s="922"/>
      <c r="EK201" s="922"/>
      <c r="EL201" s="922"/>
      <c r="EM201" s="922"/>
      <c r="EN201" s="922"/>
      <c r="EO201" s="922"/>
      <c r="EP201" s="922"/>
      <c r="EQ201" s="922"/>
      <c r="ER201" s="922"/>
      <c r="ES201" s="922"/>
      <c r="ET201" s="922"/>
      <c r="EU201" s="922"/>
      <c r="EV201" s="922"/>
      <c r="EW201" s="922"/>
      <c r="EX201" s="922"/>
      <c r="EY201" s="922"/>
      <c r="EZ201" s="922"/>
      <c r="FA201" s="922"/>
      <c r="FB201" s="922"/>
      <c r="FC201" s="922"/>
      <c r="FD201" s="922"/>
      <c r="FE201" s="922"/>
      <c r="FF201" s="922"/>
      <c r="FG201" s="922"/>
      <c r="FH201" s="922"/>
      <c r="FI201" s="922"/>
      <c r="FJ201" s="922"/>
      <c r="FK201" s="922"/>
      <c r="FL201" s="922"/>
      <c r="FM201" s="922"/>
      <c r="FN201" s="922"/>
      <c r="FO201" s="922"/>
      <c r="FP201" s="922"/>
      <c r="FQ201" s="922"/>
      <c r="FR201" s="922"/>
      <c r="FS201" s="922"/>
      <c r="FT201" s="922"/>
      <c r="FU201" s="922"/>
      <c r="FV201" s="922"/>
      <c r="FW201" s="922"/>
      <c r="FX201" s="922"/>
      <c r="FY201" s="922"/>
      <c r="FZ201" s="922"/>
      <c r="GA201" s="922"/>
      <c r="GB201" s="922"/>
      <c r="GC201" s="922"/>
      <c r="GD201" s="922"/>
      <c r="GE201" s="922"/>
      <c r="GF201" s="922"/>
      <c r="GG201" s="922"/>
      <c r="GH201" s="922"/>
      <c r="GI201" s="922"/>
      <c r="GJ201" s="922"/>
      <c r="GK201" s="922"/>
      <c r="GL201" s="922"/>
      <c r="GM201" s="922"/>
      <c r="GN201" s="922"/>
      <c r="GO201" s="922"/>
      <c r="GP201" s="922"/>
      <c r="GQ201" s="922"/>
      <c r="GR201" s="922"/>
      <c r="GS201" s="922"/>
      <c r="GT201" s="922"/>
      <c r="GU201" s="922"/>
      <c r="GV201" s="922"/>
      <c r="GW201" s="922"/>
      <c r="GX201" s="922"/>
      <c r="GY201" s="922"/>
      <c r="GZ201" s="922"/>
      <c r="HA201" s="922"/>
      <c r="HB201" s="922"/>
      <c r="HC201" s="922"/>
      <c r="HD201" s="922"/>
      <c r="HE201" s="922"/>
      <c r="HF201" s="922"/>
      <c r="HG201" s="922"/>
      <c r="HH201" s="922"/>
      <c r="HI201" s="922"/>
      <c r="HJ201" s="922"/>
      <c r="HK201" s="922"/>
      <c r="HL201" s="922"/>
      <c r="HM201" s="922"/>
      <c r="HN201" s="922"/>
      <c r="HO201" s="922"/>
      <c r="HP201" s="922"/>
      <c r="HQ201" s="922"/>
      <c r="HR201" s="922"/>
      <c r="HS201" s="922"/>
      <c r="HT201" s="922"/>
      <c r="HU201" s="922"/>
      <c r="HV201" s="922"/>
      <c r="HW201" s="922"/>
      <c r="HX201" s="922"/>
      <c r="HY201" s="922"/>
      <c r="HZ201" s="922"/>
      <c r="IA201" s="922"/>
      <c r="IB201" s="922"/>
      <c r="IC201" s="922"/>
      <c r="ID201" s="922"/>
      <c r="IE201" s="922"/>
      <c r="IF201" s="922"/>
      <c r="IG201" s="922"/>
      <c r="IH201" s="922"/>
      <c r="II201" s="922"/>
      <c r="IJ201" s="922"/>
      <c r="IK201" s="922"/>
      <c r="IL201" s="922"/>
      <c r="IM201" s="922"/>
      <c r="IN201" s="922"/>
      <c r="IO201" s="922"/>
      <c r="IP201" s="922"/>
      <c r="IQ201" s="922"/>
      <c r="IR201" s="922"/>
      <c r="IS201" s="922"/>
      <c r="IT201" s="922"/>
      <c r="IU201" s="922"/>
      <c r="IV201" s="922"/>
      <c r="IW201" s="922"/>
      <c r="IX201" s="922"/>
      <c r="IY201" s="922"/>
      <c r="IZ201" s="922"/>
      <c r="JA201" s="922"/>
      <c r="JB201" s="922"/>
      <c r="JC201" s="922"/>
      <c r="JD201" s="922"/>
      <c r="JE201" s="922"/>
      <c r="JF201" s="922"/>
      <c r="JG201" s="922"/>
      <c r="JH201" s="922"/>
      <c r="JI201" s="922"/>
      <c r="JJ201" s="922"/>
      <c r="JK201" s="922"/>
      <c r="JL201" s="922"/>
      <c r="JM201" s="922"/>
      <c r="JN201" s="922"/>
      <c r="JO201" s="922"/>
      <c r="JP201" s="922"/>
      <c r="JQ201" s="922"/>
      <c r="JR201" s="922"/>
      <c r="JS201" s="922"/>
      <c r="JT201" s="922"/>
      <c r="JU201" s="922"/>
      <c r="JV201" s="922"/>
      <c r="JW201" s="922"/>
      <c r="JX201" s="922"/>
      <c r="JY201" s="922"/>
      <c r="JZ201" s="922"/>
      <c r="KA201" s="922"/>
      <c r="KB201" s="922"/>
      <c r="KC201" s="922"/>
      <c r="KD201" s="922"/>
      <c r="KE201" s="922"/>
      <c r="KF201" s="922"/>
      <c r="KG201" s="922"/>
      <c r="KH201" s="922"/>
      <c r="KI201" s="922"/>
      <c r="KJ201" s="922"/>
      <c r="KK201" s="922"/>
      <c r="KL201" s="922"/>
      <c r="KM201" s="922"/>
      <c r="KN201" s="922"/>
      <c r="KO201" s="922"/>
      <c r="KP201" s="922"/>
      <c r="KQ201" s="922"/>
      <c r="KR201" s="922"/>
      <c r="KS201" s="922"/>
      <c r="KT201" s="922"/>
      <c r="KU201" s="922"/>
      <c r="KV201" s="922"/>
      <c r="KW201" s="922"/>
      <c r="KX201" s="922"/>
      <c r="KY201" s="922"/>
      <c r="KZ201" s="922"/>
      <c r="LA201" s="922"/>
      <c r="LB201" s="922"/>
      <c r="LC201" s="922"/>
      <c r="LD201" s="922"/>
      <c r="LE201" s="922"/>
      <c r="LF201" s="922"/>
      <c r="LG201" s="922"/>
      <c r="LH201" s="922"/>
      <c r="LI201" s="922"/>
      <c r="LJ201" s="922"/>
      <c r="LK201" s="922"/>
      <c r="LL201" s="922"/>
      <c r="LM201" s="922"/>
      <c r="LN201" s="922"/>
      <c r="LO201" s="922"/>
      <c r="LP201" s="922"/>
      <c r="LQ201" s="922"/>
      <c r="LR201" s="922"/>
      <c r="LS201" s="922"/>
      <c r="LT201" s="922"/>
      <c r="LU201" s="922"/>
      <c r="LV201" s="922"/>
      <c r="LW201" s="922"/>
      <c r="LX201" s="922"/>
      <c r="LY201" s="922"/>
      <c r="LZ201" s="922"/>
      <c r="MA201" s="922"/>
      <c r="MB201" s="922"/>
      <c r="MC201" s="922"/>
      <c r="MD201" s="922"/>
      <c r="ME201" s="922"/>
      <c r="MF201" s="922"/>
      <c r="MG201" s="922"/>
      <c r="MH201" s="922"/>
      <c r="MI201" s="922"/>
      <c r="MJ201" s="922"/>
      <c r="MK201" s="922"/>
      <c r="ML201" s="922"/>
      <c r="MM201" s="922"/>
      <c r="MN201" s="922"/>
      <c r="MO201" s="922"/>
      <c r="MP201" s="922"/>
      <c r="MQ201" s="922"/>
      <c r="MR201" s="922"/>
      <c r="MS201" s="922"/>
      <c r="MT201" s="922"/>
      <c r="MU201" s="922"/>
      <c r="MV201" s="922"/>
      <c r="MW201" s="922"/>
      <c r="MX201" s="922"/>
      <c r="MY201" s="922"/>
      <c r="MZ201" s="922"/>
      <c r="NA201" s="922"/>
      <c r="NB201" s="922"/>
      <c r="NC201" s="922"/>
      <c r="ND201" s="922"/>
      <c r="NE201" s="922"/>
      <c r="NF201" s="922"/>
      <c r="NG201" s="922"/>
      <c r="NH201" s="922"/>
      <c r="NI201" s="922"/>
      <c r="NJ201" s="922"/>
      <c r="NK201" s="922"/>
      <c r="NL201" s="922"/>
      <c r="NM201" s="922"/>
      <c r="NN201" s="922"/>
      <c r="NO201" s="922"/>
      <c r="NP201" s="922"/>
      <c r="NQ201" s="922"/>
      <c r="NR201" s="922"/>
      <c r="NS201" s="922"/>
      <c r="NT201" s="922"/>
      <c r="NU201" s="922"/>
      <c r="NV201" s="922"/>
      <c r="NW201" s="922"/>
      <c r="NX201" s="922"/>
      <c r="NY201" s="922"/>
      <c r="NZ201" s="922"/>
      <c r="OA201" s="922"/>
      <c r="OB201" s="922"/>
      <c r="OC201" s="922"/>
      <c r="OD201" s="922"/>
      <c r="OE201" s="922"/>
      <c r="OF201" s="922"/>
      <c r="OG201" s="922"/>
      <c r="OH201" s="922"/>
      <c r="OI201" s="922"/>
      <c r="OJ201" s="922"/>
      <c r="OK201" s="922"/>
      <c r="OL201" s="922"/>
      <c r="OM201" s="922"/>
      <c r="ON201" s="922"/>
      <c r="OO201" s="922"/>
      <c r="OP201" s="922"/>
      <c r="OQ201" s="922"/>
      <c r="OR201" s="922"/>
      <c r="OS201" s="922"/>
      <c r="OT201" s="922"/>
      <c r="OU201" s="922"/>
      <c r="OV201" s="922"/>
      <c r="OW201" s="922"/>
      <c r="OX201" s="922"/>
      <c r="OY201" s="922"/>
      <c r="OZ201" s="922"/>
      <c r="PA201" s="922"/>
      <c r="PB201" s="922"/>
      <c r="PC201" s="922"/>
      <c r="PD201" s="922"/>
      <c r="PE201" s="922"/>
      <c r="PF201" s="922"/>
      <c r="PG201" s="922"/>
      <c r="PH201" s="922"/>
      <c r="PI201" s="922"/>
      <c r="PJ201" s="922"/>
      <c r="PK201" s="922"/>
      <c r="PL201" s="922"/>
      <c r="PM201" s="922"/>
      <c r="PN201" s="922"/>
      <c r="PO201" s="922"/>
      <c r="PP201" s="922"/>
      <c r="PQ201" s="922"/>
      <c r="PR201" s="922"/>
      <c r="PS201" s="922"/>
      <c r="PT201" s="922"/>
      <c r="PU201" s="922"/>
      <c r="PV201" s="922"/>
      <c r="PW201" s="922"/>
      <c r="PX201" s="922"/>
      <c r="PY201" s="922"/>
      <c r="PZ201" s="922"/>
      <c r="QA201" s="922"/>
      <c r="QB201" s="922"/>
      <c r="QC201" s="922"/>
      <c r="QD201" s="922"/>
      <c r="QE201" s="922"/>
      <c r="QF201" s="922"/>
      <c r="QG201" s="922"/>
      <c r="QH201" s="922"/>
      <c r="QI201" s="922"/>
      <c r="QJ201" s="922"/>
      <c r="QK201" s="922"/>
      <c r="QL201" s="922"/>
      <c r="QM201" s="922"/>
      <c r="QN201" s="922"/>
      <c r="QO201" s="922"/>
      <c r="QP201" s="922"/>
      <c r="QQ201" s="922"/>
      <c r="QR201" s="922"/>
      <c r="QS201" s="922"/>
      <c r="QT201" s="922"/>
      <c r="QU201" s="922"/>
      <c r="QV201" s="922"/>
      <c r="QW201" s="922"/>
      <c r="QX201" s="922"/>
      <c r="QY201" s="922"/>
      <c r="QZ201" s="922"/>
      <c r="RA201" s="922"/>
      <c r="RB201" s="922"/>
      <c r="RC201" s="922"/>
      <c r="RD201" s="922"/>
      <c r="RE201" s="922"/>
      <c r="RF201" s="922"/>
      <c r="RG201" s="922"/>
      <c r="RH201" s="922"/>
      <c r="RI201" s="922"/>
      <c r="RJ201" s="922"/>
      <c r="RK201" s="922"/>
      <c r="RL201" s="922"/>
      <c r="RM201" s="922"/>
      <c r="RN201" s="922"/>
      <c r="RO201" s="922"/>
      <c r="RP201" s="922"/>
      <c r="RQ201" s="922"/>
      <c r="RR201" s="922"/>
      <c r="RS201" s="922"/>
      <c r="RT201" s="922"/>
      <c r="RU201" s="922"/>
      <c r="RV201" s="922"/>
      <c r="RW201" s="922"/>
      <c r="RX201" s="922"/>
      <c r="RY201" s="922"/>
      <c r="RZ201" s="922"/>
      <c r="SA201" s="922"/>
      <c r="SB201" s="922"/>
      <c r="SC201" s="922"/>
      <c r="SD201" s="922"/>
      <c r="SE201" s="922"/>
      <c r="SF201" s="922"/>
      <c r="SG201" s="922"/>
      <c r="SH201" s="922"/>
      <c r="SI201" s="922"/>
      <c r="SJ201" s="922"/>
      <c r="SK201" s="922"/>
      <c r="SL201" s="922"/>
      <c r="SM201" s="922"/>
      <c r="SN201" s="922"/>
      <c r="SO201" s="922"/>
      <c r="SP201" s="922"/>
      <c r="SQ201" s="922"/>
      <c r="SR201" s="922"/>
      <c r="SS201" s="922"/>
      <c r="ST201" s="922"/>
      <c r="SU201" s="922"/>
      <c r="SV201" s="922"/>
      <c r="SW201" s="922"/>
      <c r="SX201" s="922"/>
      <c r="SY201" s="922"/>
      <c r="SZ201" s="922"/>
      <c r="TA201" s="922"/>
      <c r="TB201" s="922"/>
      <c r="TC201" s="922"/>
      <c r="TD201" s="922"/>
      <c r="TE201" s="922"/>
      <c r="TF201" s="922"/>
      <c r="TG201" s="922"/>
      <c r="TH201" s="922"/>
      <c r="TI201" s="922"/>
      <c r="TJ201" s="922"/>
      <c r="TK201" s="922"/>
      <c r="TL201" s="922"/>
      <c r="TM201" s="922"/>
      <c r="TN201" s="922"/>
      <c r="TO201" s="922"/>
      <c r="TP201" s="922"/>
      <c r="TQ201" s="922"/>
      <c r="TR201" s="922"/>
      <c r="TS201" s="922"/>
      <c r="TT201" s="922"/>
      <c r="TU201" s="922"/>
      <c r="TV201" s="922"/>
      <c r="TW201" s="922"/>
      <c r="TX201" s="922"/>
      <c r="TY201" s="922"/>
      <c r="TZ201" s="922"/>
      <c r="UA201" s="922"/>
      <c r="UB201" s="922"/>
      <c r="UC201" s="922"/>
      <c r="UD201" s="922"/>
      <c r="UE201" s="922"/>
      <c r="UF201" s="922"/>
      <c r="UG201" s="922"/>
      <c r="UH201" s="922"/>
      <c r="UI201" s="922"/>
      <c r="UJ201" s="922"/>
      <c r="UK201" s="922"/>
      <c r="UL201" s="922"/>
      <c r="UM201" s="922"/>
      <c r="UN201" s="922"/>
      <c r="UO201" s="922"/>
      <c r="UP201" s="922"/>
      <c r="UQ201" s="922"/>
      <c r="UR201" s="922"/>
      <c r="US201" s="922"/>
      <c r="UT201" s="922"/>
      <c r="UU201" s="922"/>
      <c r="UV201" s="922"/>
      <c r="UW201" s="922"/>
      <c r="UX201" s="922"/>
      <c r="UY201" s="922"/>
      <c r="UZ201" s="922"/>
      <c r="VA201" s="922"/>
      <c r="VB201" s="922"/>
      <c r="VC201" s="922"/>
      <c r="VD201" s="922"/>
      <c r="VE201" s="922"/>
      <c r="VF201" s="922"/>
      <c r="VG201" s="922"/>
      <c r="VH201" s="922"/>
      <c r="VI201" s="922"/>
      <c r="VJ201" s="922"/>
      <c r="VK201" s="922"/>
      <c r="VL201" s="922"/>
      <c r="VM201" s="922"/>
      <c r="VN201" s="922"/>
      <c r="VO201" s="922"/>
      <c r="VP201" s="922"/>
      <c r="VQ201" s="922"/>
      <c r="VR201" s="922"/>
      <c r="VS201" s="922"/>
      <c r="VT201" s="922"/>
      <c r="VU201" s="922"/>
      <c r="VV201" s="922"/>
      <c r="VW201" s="922"/>
      <c r="VX201" s="922"/>
      <c r="VY201" s="922"/>
      <c r="VZ201" s="922"/>
      <c r="WA201" s="922"/>
      <c r="WB201" s="922"/>
      <c r="WC201" s="922"/>
      <c r="WD201" s="922"/>
      <c r="WE201" s="922"/>
      <c r="WF201" s="922"/>
      <c r="WG201" s="922"/>
      <c r="WH201" s="922"/>
      <c r="WI201" s="922"/>
      <c r="WJ201" s="922"/>
      <c r="WK201" s="922"/>
      <c r="WL201" s="922"/>
      <c r="WM201" s="922"/>
      <c r="WN201" s="922"/>
      <c r="WO201" s="922"/>
      <c r="WP201" s="922"/>
      <c r="WQ201" s="922"/>
      <c r="WR201" s="922"/>
      <c r="WS201" s="922"/>
      <c r="WT201" s="922"/>
      <c r="WU201" s="922"/>
      <c r="WV201" s="922"/>
      <c r="WW201" s="922"/>
      <c r="WX201" s="922"/>
      <c r="WY201" s="922"/>
      <c r="WZ201" s="922"/>
      <c r="XA201" s="922"/>
      <c r="XB201" s="922"/>
      <c r="XC201" s="922"/>
      <c r="XD201" s="922"/>
      <c r="XE201" s="922"/>
      <c r="XF201" s="922"/>
      <c r="XG201" s="922"/>
      <c r="XH201" s="922"/>
      <c r="XI201" s="922"/>
      <c r="XJ201" s="922"/>
      <c r="XK201" s="922"/>
      <c r="XL201" s="922"/>
      <c r="XM201" s="922"/>
      <c r="XN201" s="922"/>
      <c r="XO201" s="922"/>
      <c r="XP201" s="922"/>
      <c r="XQ201" s="922"/>
      <c r="XR201" s="922"/>
      <c r="XS201" s="922"/>
      <c r="XT201" s="922"/>
      <c r="XU201" s="922"/>
      <c r="XV201" s="922"/>
      <c r="XW201" s="922"/>
      <c r="XX201" s="922"/>
      <c r="XY201" s="922"/>
      <c r="XZ201" s="922"/>
      <c r="YA201" s="922"/>
      <c r="YB201" s="922"/>
      <c r="YC201" s="922"/>
      <c r="YD201" s="922"/>
      <c r="YE201" s="922"/>
      <c r="YF201" s="922"/>
      <c r="YG201" s="922"/>
      <c r="YH201" s="922"/>
      <c r="YI201" s="922"/>
      <c r="YJ201" s="922"/>
      <c r="YK201" s="922"/>
      <c r="YL201" s="922"/>
      <c r="YM201" s="922"/>
      <c r="YN201" s="922"/>
      <c r="YO201" s="922"/>
      <c r="YP201" s="922"/>
      <c r="YQ201" s="922"/>
      <c r="YR201" s="922"/>
      <c r="YS201" s="922"/>
      <c r="YT201" s="922"/>
      <c r="YU201" s="922"/>
      <c r="YV201" s="922"/>
      <c r="YW201" s="922"/>
      <c r="YX201" s="922"/>
      <c r="YY201" s="922"/>
      <c r="YZ201" s="922"/>
      <c r="ZA201" s="922"/>
      <c r="ZB201" s="922"/>
      <c r="ZC201" s="922"/>
      <c r="ZD201" s="922"/>
      <c r="ZE201" s="922"/>
      <c r="ZF201" s="922"/>
      <c r="ZG201" s="922"/>
      <c r="ZH201" s="922"/>
      <c r="ZI201" s="922"/>
      <c r="ZJ201" s="922"/>
      <c r="ZK201" s="922"/>
      <c r="ZL201" s="922"/>
      <c r="ZM201" s="922"/>
      <c r="ZN201" s="922"/>
      <c r="ZO201" s="922"/>
      <c r="ZP201" s="922"/>
      <c r="ZQ201" s="922"/>
      <c r="ZR201" s="922"/>
      <c r="ZS201" s="922"/>
      <c r="ZT201" s="922"/>
      <c r="ZU201" s="922"/>
      <c r="ZV201" s="922"/>
      <c r="ZW201" s="922"/>
      <c r="ZX201" s="922"/>
      <c r="ZY201" s="922"/>
      <c r="ZZ201" s="922"/>
      <c r="AAA201" s="922"/>
      <c r="AAB201" s="922"/>
      <c r="AAC201" s="922"/>
      <c r="AAD201" s="922"/>
      <c r="AAE201" s="922"/>
      <c r="AAF201" s="922"/>
      <c r="AAG201" s="922"/>
      <c r="AAH201" s="922"/>
      <c r="AAI201" s="922"/>
      <c r="AAJ201" s="922"/>
      <c r="AAK201" s="922"/>
      <c r="AAL201" s="922"/>
      <c r="AAM201" s="922"/>
      <c r="AAN201" s="922"/>
      <c r="AAO201" s="922"/>
      <c r="AAP201" s="922"/>
      <c r="AAQ201" s="922"/>
      <c r="AAR201" s="922"/>
      <c r="AAS201" s="922"/>
      <c r="AAT201" s="922"/>
      <c r="AAU201" s="922"/>
      <c r="AAV201" s="922"/>
      <c r="AAW201" s="922"/>
      <c r="AAX201" s="922"/>
      <c r="AAY201" s="922"/>
      <c r="AAZ201" s="922"/>
      <c r="ABA201" s="922"/>
      <c r="ABB201" s="922"/>
      <c r="ABC201" s="922"/>
      <c r="ABD201" s="922"/>
      <c r="ABE201" s="922"/>
      <c r="ABF201" s="922"/>
      <c r="ABG201" s="922"/>
      <c r="ABH201" s="922"/>
      <c r="ABI201" s="922"/>
      <c r="ABJ201" s="922"/>
      <c r="ABK201" s="922"/>
      <c r="ABL201" s="922"/>
      <c r="ABM201" s="922"/>
      <c r="ABN201" s="922"/>
      <c r="ABO201" s="922"/>
      <c r="ABP201" s="922"/>
      <c r="ABQ201" s="922"/>
      <c r="ABR201" s="922"/>
      <c r="ABS201" s="922"/>
      <c r="ABT201" s="922"/>
      <c r="ABU201" s="922"/>
      <c r="ABV201" s="922"/>
      <c r="ABW201" s="922"/>
      <c r="ABX201" s="922"/>
      <c r="ABY201" s="922"/>
      <c r="ABZ201" s="922"/>
      <c r="ACA201" s="922"/>
      <c r="ACB201" s="922"/>
      <c r="ACC201" s="922"/>
      <c r="ACD201" s="922"/>
      <c r="ACE201" s="922"/>
      <c r="ACF201" s="922"/>
      <c r="ACG201" s="922"/>
      <c r="ACH201" s="922"/>
      <c r="ACI201" s="922"/>
      <c r="ACJ201" s="922"/>
      <c r="ACK201" s="922"/>
      <c r="ACL201" s="922"/>
      <c r="ACM201" s="922"/>
      <c r="ACN201" s="922"/>
      <c r="ACO201" s="922"/>
      <c r="ACP201" s="922"/>
      <c r="ACQ201" s="922"/>
      <c r="ACR201" s="922"/>
      <c r="ACS201" s="922"/>
      <c r="ACT201" s="922"/>
      <c r="ACU201" s="922"/>
      <c r="ACV201" s="922"/>
      <c r="ACW201" s="922"/>
      <c r="ACX201" s="922"/>
      <c r="ACY201" s="922"/>
      <c r="ACZ201" s="922"/>
      <c r="ADA201" s="922"/>
      <c r="ADB201" s="922"/>
      <c r="ADC201" s="922"/>
      <c r="ADD201" s="922"/>
      <c r="ADE201" s="922"/>
      <c r="ADF201" s="922"/>
      <c r="ADG201" s="922"/>
      <c r="ADH201" s="922"/>
      <c r="ADI201" s="922"/>
      <c r="ADJ201" s="922"/>
      <c r="ADK201" s="922"/>
      <c r="ADL201" s="922"/>
      <c r="ADM201" s="922"/>
      <c r="ADN201" s="922"/>
      <c r="ADO201" s="922"/>
      <c r="ADP201" s="922"/>
      <c r="ADQ201" s="922"/>
      <c r="ADR201" s="922"/>
      <c r="ADS201" s="922"/>
      <c r="ADT201" s="922"/>
      <c r="ADU201" s="922"/>
      <c r="ADV201" s="922"/>
      <c r="ADW201" s="922"/>
      <c r="ADX201" s="922"/>
      <c r="ADY201" s="922"/>
      <c r="ADZ201" s="922"/>
      <c r="AEA201" s="922"/>
      <c r="AEB201" s="922"/>
      <c r="AEC201" s="922"/>
      <c r="AED201" s="922"/>
      <c r="AEE201" s="922"/>
      <c r="AEF201" s="922"/>
      <c r="AEG201" s="922"/>
      <c r="AEH201" s="922"/>
      <c r="AEI201" s="922"/>
      <c r="AEJ201" s="922"/>
      <c r="AEK201" s="922"/>
      <c r="AEL201" s="922"/>
      <c r="AEM201" s="922"/>
      <c r="AEN201" s="922"/>
      <c r="AEO201" s="922"/>
      <c r="AEP201" s="922"/>
      <c r="AEQ201" s="922"/>
      <c r="AER201" s="922"/>
      <c r="AES201" s="922"/>
      <c r="AET201" s="922"/>
      <c r="AEU201" s="922"/>
      <c r="AEV201" s="922"/>
      <c r="AEW201" s="922"/>
      <c r="AEX201" s="922"/>
      <c r="AEY201" s="922"/>
      <c r="AEZ201" s="922"/>
      <c r="AFA201" s="922"/>
      <c r="AFB201" s="922"/>
      <c r="AFC201" s="922"/>
      <c r="AFD201" s="922"/>
      <c r="AFE201" s="922"/>
      <c r="AFF201" s="922"/>
      <c r="AFG201" s="922"/>
      <c r="AFH201" s="922"/>
      <c r="AFI201" s="922"/>
      <c r="AFJ201" s="922"/>
      <c r="AFK201" s="922"/>
      <c r="AFL201" s="922"/>
      <c r="AFM201" s="922"/>
      <c r="AFN201" s="922"/>
      <c r="AFO201" s="922"/>
      <c r="AFP201" s="922"/>
      <c r="AFQ201" s="922"/>
      <c r="AFR201" s="922"/>
      <c r="AFS201" s="922"/>
      <c r="AFT201" s="922"/>
      <c r="AFU201" s="922"/>
      <c r="AFV201" s="922"/>
      <c r="AFW201" s="922"/>
      <c r="AFX201" s="922"/>
      <c r="AFY201" s="922"/>
      <c r="AFZ201" s="922"/>
      <c r="AGA201" s="922"/>
      <c r="AGB201" s="922"/>
      <c r="AGC201" s="922"/>
      <c r="AGD201" s="922"/>
      <c r="AGE201" s="922"/>
      <c r="AGF201" s="922"/>
      <c r="AGG201" s="922"/>
      <c r="AGH201" s="922"/>
      <c r="AGI201" s="922"/>
      <c r="AGJ201" s="922"/>
      <c r="AGK201" s="922"/>
      <c r="AGL201" s="922"/>
      <c r="AGM201" s="922"/>
      <c r="AGN201" s="922"/>
      <c r="AGO201" s="922"/>
      <c r="AGP201" s="922"/>
      <c r="AGQ201" s="922"/>
      <c r="AGR201" s="922"/>
      <c r="AGS201" s="922"/>
      <c r="AGT201" s="922"/>
      <c r="AGU201" s="922"/>
      <c r="AGV201" s="922"/>
      <c r="AGW201" s="922"/>
      <c r="AGX201" s="922"/>
      <c r="AGY201" s="922"/>
      <c r="AGZ201" s="922"/>
      <c r="AHA201" s="922"/>
      <c r="AHB201" s="922"/>
      <c r="AHC201" s="922"/>
      <c r="AHD201" s="922"/>
      <c r="AHE201" s="922"/>
      <c r="AHF201" s="922"/>
      <c r="AHG201" s="922"/>
      <c r="AHH201" s="922"/>
      <c r="AHI201" s="922"/>
      <c r="AHJ201" s="922"/>
      <c r="AHK201" s="922"/>
      <c r="AHL201" s="922"/>
      <c r="AHM201" s="922"/>
      <c r="AHN201" s="922"/>
      <c r="AHO201" s="922"/>
      <c r="AHP201" s="922"/>
      <c r="AHQ201" s="922"/>
      <c r="AHR201" s="922"/>
      <c r="AHS201" s="922"/>
      <c r="AHT201" s="922"/>
      <c r="AHU201" s="922"/>
      <c r="AHV201" s="922"/>
      <c r="AHW201" s="922"/>
      <c r="AHX201" s="922"/>
      <c r="AHY201" s="922"/>
      <c r="AHZ201" s="922"/>
      <c r="AIA201" s="922"/>
      <c r="AIB201" s="922"/>
      <c r="AIC201" s="922"/>
      <c r="AID201" s="922"/>
      <c r="AIE201" s="922"/>
      <c r="AIF201" s="922"/>
      <c r="AIG201" s="922"/>
      <c r="AIH201" s="922"/>
      <c r="AII201" s="922"/>
      <c r="AIJ201" s="922"/>
      <c r="AIK201" s="922"/>
      <c r="AIL201" s="922"/>
      <c r="AIM201" s="922"/>
      <c r="AIN201" s="922"/>
      <c r="AIO201" s="922"/>
      <c r="AIP201" s="922"/>
      <c r="AIQ201" s="922"/>
      <c r="AIR201" s="922"/>
      <c r="AIS201" s="922"/>
      <c r="AIT201" s="922"/>
      <c r="AIU201" s="922"/>
      <c r="AIV201" s="922"/>
      <c r="AIW201" s="922"/>
      <c r="AIX201" s="922"/>
      <c r="AIY201" s="922"/>
      <c r="AIZ201" s="922"/>
      <c r="AJA201" s="922"/>
      <c r="AJB201" s="922"/>
      <c r="AJC201" s="922"/>
      <c r="AJD201" s="922"/>
      <c r="AJE201" s="922"/>
      <c r="AJF201" s="922"/>
      <c r="AJG201" s="922"/>
      <c r="AJH201" s="922"/>
      <c r="AJI201" s="922"/>
      <c r="AJJ201" s="922"/>
      <c r="AJK201" s="922"/>
      <c r="AJL201" s="922"/>
      <c r="AJM201" s="922"/>
      <c r="AJN201" s="922"/>
      <c r="AJO201" s="922"/>
      <c r="AJP201" s="922"/>
      <c r="AJQ201" s="922"/>
      <c r="AJR201" s="922"/>
      <c r="AJS201" s="922"/>
      <c r="AJT201" s="922"/>
      <c r="AJU201" s="922"/>
      <c r="AJV201" s="922"/>
      <c r="AJW201" s="922"/>
      <c r="AJX201" s="922"/>
      <c r="AJY201" s="922"/>
      <c r="AJZ201" s="922"/>
      <c r="AKA201" s="922"/>
      <c r="AKB201" s="922"/>
      <c r="AKC201" s="922"/>
      <c r="AKD201" s="922"/>
      <c r="AKE201" s="922"/>
      <c r="AKF201" s="922"/>
      <c r="AKG201" s="922"/>
      <c r="AKH201" s="922"/>
      <c r="AKI201" s="922"/>
      <c r="AKJ201" s="922"/>
      <c r="AKK201" s="922"/>
      <c r="AKL201" s="922"/>
      <c r="AKM201" s="922"/>
      <c r="AKN201" s="922"/>
      <c r="AKO201" s="922"/>
      <c r="AKP201" s="922"/>
      <c r="AKQ201" s="922"/>
      <c r="AKR201" s="922"/>
      <c r="AKS201" s="922"/>
      <c r="AKT201" s="922"/>
      <c r="AKU201" s="922"/>
      <c r="AKV201" s="922"/>
      <c r="AKW201" s="922"/>
      <c r="AKX201" s="922"/>
      <c r="AKY201" s="922"/>
      <c r="AKZ201" s="922"/>
      <c r="ALA201" s="922"/>
      <c r="ALB201" s="922"/>
      <c r="ALC201" s="922"/>
      <c r="ALD201" s="922"/>
      <c r="ALE201" s="922"/>
      <c r="ALF201" s="922"/>
      <c r="ALG201" s="922"/>
      <c r="ALH201" s="922"/>
      <c r="ALI201" s="922"/>
      <c r="ALJ201" s="922"/>
      <c r="ALK201" s="922"/>
      <c r="ALL201" s="922"/>
      <c r="ALM201" s="922"/>
      <c r="ALN201" s="922"/>
      <c r="ALO201" s="922"/>
      <c r="ALP201" s="922"/>
      <c r="ALQ201" s="922"/>
      <c r="ALR201" s="922"/>
      <c r="ALS201" s="922"/>
      <c r="ALT201" s="922"/>
      <c r="ALU201" s="922"/>
      <c r="ALV201" s="922"/>
      <c r="ALW201" s="922"/>
      <c r="ALX201" s="922"/>
      <c r="ALY201" s="922"/>
      <c r="ALZ201" s="922"/>
      <c r="AMA201" s="922"/>
      <c r="AMB201" s="922"/>
      <c r="AMC201" s="922"/>
      <c r="AMD201" s="922"/>
      <c r="AME201" s="922"/>
      <c r="AMF201" s="922"/>
      <c r="AMG201" s="922"/>
      <c r="AMH201" s="922"/>
      <c r="AMI201" s="922"/>
      <c r="AMJ201" s="922"/>
      <c r="AMK201" s="922"/>
      <c r="AML201" s="922"/>
      <c r="AMM201" s="922"/>
      <c r="AMN201" s="922"/>
      <c r="AMO201" s="922"/>
      <c r="AMP201" s="922"/>
      <c r="AMQ201" s="922"/>
      <c r="AMR201" s="922"/>
      <c r="AMS201" s="922"/>
      <c r="AMT201" s="922"/>
      <c r="AMU201" s="922"/>
      <c r="AMV201" s="922"/>
      <c r="AMW201" s="922"/>
      <c r="AMX201" s="922"/>
      <c r="AMY201" s="922"/>
      <c r="AMZ201" s="922"/>
      <c r="ANA201" s="922"/>
      <c r="ANB201" s="922"/>
      <c r="ANC201" s="922"/>
      <c r="AND201" s="922"/>
      <c r="ANE201" s="922"/>
      <c r="ANF201" s="922"/>
      <c r="ANG201" s="922"/>
      <c r="ANH201" s="922"/>
      <c r="ANI201" s="922"/>
      <c r="ANJ201" s="922"/>
      <c r="ANK201" s="922"/>
      <c r="ANL201" s="922"/>
      <c r="ANM201" s="922"/>
      <c r="ANN201" s="922"/>
      <c r="ANO201" s="922"/>
      <c r="ANP201" s="922"/>
      <c r="ANQ201" s="922"/>
      <c r="ANR201" s="922"/>
      <c r="ANS201" s="922"/>
      <c r="ANT201" s="922"/>
      <c r="ANU201" s="922"/>
      <c r="ANV201" s="922"/>
      <c r="ANW201" s="922"/>
      <c r="ANX201" s="922"/>
      <c r="ANY201" s="922"/>
      <c r="ANZ201" s="922"/>
      <c r="AOA201" s="922"/>
      <c r="AOB201" s="922"/>
      <c r="AOC201" s="922"/>
      <c r="AOD201" s="922"/>
      <c r="AOE201" s="922"/>
      <c r="AOF201" s="922"/>
      <c r="AOG201" s="922"/>
      <c r="AOH201" s="922"/>
      <c r="AOI201" s="922"/>
      <c r="AOJ201" s="922"/>
      <c r="AOK201" s="922"/>
      <c r="AOL201" s="922"/>
      <c r="AOM201" s="922"/>
      <c r="AON201" s="922"/>
      <c r="AOO201" s="922"/>
      <c r="AOP201" s="922"/>
      <c r="AOQ201" s="922"/>
      <c r="AOR201" s="922"/>
      <c r="AOS201" s="922"/>
      <c r="AOT201" s="922"/>
      <c r="AOU201" s="922"/>
      <c r="AOV201" s="922"/>
      <c r="AOW201" s="922"/>
      <c r="AOX201" s="922"/>
      <c r="AOY201" s="922"/>
      <c r="AOZ201" s="922"/>
      <c r="APA201" s="922"/>
      <c r="APB201" s="922"/>
      <c r="APC201" s="922"/>
      <c r="APD201" s="922"/>
      <c r="APE201" s="922"/>
      <c r="APF201" s="922"/>
      <c r="APG201" s="922"/>
      <c r="APH201" s="922"/>
      <c r="API201" s="922"/>
      <c r="APJ201" s="922"/>
      <c r="APK201" s="922"/>
      <c r="APL201" s="922"/>
      <c r="APM201" s="922"/>
      <c r="APN201" s="922"/>
      <c r="APO201" s="922"/>
      <c r="APP201" s="922"/>
      <c r="APQ201" s="922"/>
      <c r="APR201" s="922"/>
      <c r="APS201" s="922"/>
      <c r="APT201" s="922"/>
      <c r="APU201" s="922"/>
      <c r="APV201" s="922"/>
      <c r="APW201" s="922"/>
      <c r="APX201" s="922"/>
      <c r="APY201" s="922"/>
      <c r="APZ201" s="922"/>
      <c r="AQA201" s="922"/>
      <c r="AQB201" s="922"/>
      <c r="AQC201" s="922"/>
      <c r="AQD201" s="922"/>
      <c r="AQE201" s="922"/>
      <c r="AQF201" s="922"/>
      <c r="AQG201" s="922"/>
      <c r="AQH201" s="922"/>
      <c r="AQI201" s="922"/>
      <c r="AQJ201" s="922"/>
      <c r="AQK201" s="922"/>
      <c r="AQL201" s="922"/>
      <c r="AQM201" s="922"/>
      <c r="AQN201" s="922"/>
      <c r="AQO201" s="922"/>
      <c r="AQP201" s="922"/>
      <c r="AQQ201" s="922"/>
      <c r="AQR201" s="922"/>
      <c r="AQS201" s="922"/>
      <c r="AQT201" s="922"/>
      <c r="AQU201" s="922"/>
      <c r="AQV201" s="922"/>
      <c r="AQW201" s="922"/>
      <c r="AQX201" s="922"/>
      <c r="AQY201" s="922"/>
      <c r="AQZ201" s="922"/>
      <c r="ARA201" s="922"/>
      <c r="ARB201" s="922"/>
      <c r="ARC201" s="922"/>
      <c r="ARD201" s="922"/>
      <c r="ARE201" s="922"/>
      <c r="ARF201" s="922"/>
      <c r="ARG201" s="922"/>
      <c r="ARH201" s="922"/>
      <c r="ARI201" s="922"/>
      <c r="ARJ201" s="922"/>
      <c r="ARK201" s="922"/>
      <c r="ARL201" s="922"/>
      <c r="ARM201" s="922"/>
      <c r="ARN201" s="922"/>
      <c r="ARO201" s="922"/>
      <c r="ARP201" s="922"/>
      <c r="ARQ201" s="922"/>
      <c r="ARR201" s="922"/>
      <c r="ARS201" s="922"/>
      <c r="ART201" s="922"/>
      <c r="ARU201" s="922"/>
      <c r="ARV201" s="922"/>
      <c r="ARW201" s="922"/>
      <c r="ARX201" s="922"/>
      <c r="ARY201" s="922"/>
      <c r="ARZ201" s="922"/>
      <c r="ASA201" s="922"/>
      <c r="ASB201" s="922"/>
      <c r="ASC201" s="922"/>
    </row>
    <row r="202" spans="20:1173" hidden="1">
      <c r="T202" s="922"/>
      <c r="AN202" s="922"/>
      <c r="AO202" s="922"/>
      <c r="AP202" s="922"/>
      <c r="AQ202" s="922"/>
      <c r="AR202" s="922"/>
      <c r="AS202" s="922"/>
      <c r="AT202" s="922"/>
      <c r="AU202" s="922"/>
      <c r="AV202" s="922"/>
      <c r="AW202" s="922"/>
      <c r="AX202" s="922"/>
      <c r="AY202" s="922"/>
      <c r="AZ202" s="922"/>
      <c r="BA202" s="922"/>
      <c r="BB202" s="922"/>
      <c r="BC202" s="922"/>
      <c r="BD202" s="922"/>
      <c r="BE202" s="922"/>
      <c r="BF202" s="922"/>
      <c r="BG202" s="922"/>
      <c r="BH202" s="922"/>
      <c r="BI202" s="922"/>
      <c r="BJ202" s="922"/>
      <c r="BK202" s="922"/>
      <c r="BL202" s="922"/>
      <c r="BM202" s="922"/>
      <c r="BN202" s="922"/>
      <c r="BO202" s="922"/>
      <c r="BP202" s="922"/>
      <c r="BQ202" s="922"/>
      <c r="BR202" s="922"/>
      <c r="BS202" s="922"/>
      <c r="BT202" s="922"/>
      <c r="BU202" s="922"/>
      <c r="BV202" s="922"/>
      <c r="BW202" s="922"/>
      <c r="BX202" s="922"/>
      <c r="BY202" s="922"/>
      <c r="BZ202" s="922"/>
      <c r="CA202" s="922"/>
      <c r="CB202" s="922"/>
      <c r="CC202" s="922"/>
      <c r="CD202" s="922"/>
      <c r="CE202" s="922"/>
      <c r="CF202" s="922"/>
      <c r="CG202" s="922"/>
      <c r="CH202" s="922"/>
      <c r="CI202" s="922"/>
      <c r="CJ202" s="922"/>
      <c r="CK202" s="922"/>
      <c r="CL202" s="922"/>
      <c r="CM202" s="922"/>
      <c r="CN202" s="922"/>
      <c r="CO202" s="922"/>
      <c r="CP202" s="922"/>
      <c r="CQ202" s="922"/>
      <c r="CR202" s="922"/>
      <c r="CS202" s="922"/>
      <c r="CT202" s="922"/>
      <c r="CU202" s="922"/>
      <c r="CV202" s="922"/>
      <c r="CW202" s="922"/>
      <c r="CX202" s="922"/>
      <c r="CY202" s="922"/>
      <c r="CZ202" s="922"/>
      <c r="DA202" s="922"/>
      <c r="DB202" s="922"/>
      <c r="DC202" s="922"/>
      <c r="DD202" s="922"/>
      <c r="DE202" s="922"/>
      <c r="DF202" s="922"/>
      <c r="DG202" s="922"/>
      <c r="DH202" s="922"/>
      <c r="DI202" s="922"/>
      <c r="DJ202" s="922"/>
      <c r="DK202" s="922"/>
      <c r="DL202" s="922"/>
      <c r="DM202" s="922"/>
      <c r="DN202" s="922"/>
      <c r="DO202" s="922"/>
      <c r="DP202" s="922"/>
      <c r="DQ202" s="922"/>
      <c r="DR202" s="922"/>
      <c r="DS202" s="922"/>
      <c r="DT202" s="922"/>
      <c r="DU202" s="922"/>
      <c r="DV202" s="922"/>
      <c r="DW202" s="922"/>
      <c r="DX202" s="922"/>
      <c r="DY202" s="922"/>
      <c r="DZ202" s="922"/>
      <c r="EA202" s="922"/>
      <c r="EB202" s="922"/>
      <c r="EC202" s="922"/>
      <c r="ED202" s="922"/>
      <c r="EE202" s="922"/>
      <c r="EF202" s="922"/>
      <c r="EG202" s="922"/>
      <c r="EH202" s="922"/>
      <c r="EI202" s="922"/>
      <c r="EJ202" s="922"/>
      <c r="EK202" s="922"/>
      <c r="EL202" s="922"/>
      <c r="EM202" s="922"/>
      <c r="EN202" s="922"/>
      <c r="EO202" s="922"/>
      <c r="EP202" s="922"/>
      <c r="EQ202" s="922"/>
      <c r="ER202" s="922"/>
      <c r="ES202" s="922"/>
      <c r="ET202" s="922"/>
      <c r="EU202" s="922"/>
      <c r="EV202" s="922"/>
      <c r="EW202" s="922"/>
      <c r="EX202" s="922"/>
      <c r="EY202" s="922"/>
      <c r="EZ202" s="922"/>
      <c r="FA202" s="922"/>
      <c r="FB202" s="922"/>
      <c r="FC202" s="922"/>
      <c r="FD202" s="922"/>
      <c r="FE202" s="922"/>
      <c r="FF202" s="922"/>
      <c r="FG202" s="922"/>
      <c r="FH202" s="922"/>
      <c r="FI202" s="922"/>
      <c r="FJ202" s="922"/>
      <c r="FK202" s="922"/>
      <c r="FL202" s="922"/>
      <c r="FM202" s="922"/>
      <c r="FN202" s="922"/>
      <c r="FO202" s="922"/>
      <c r="FP202" s="922"/>
      <c r="FQ202" s="922"/>
      <c r="FR202" s="922"/>
      <c r="FS202" s="922"/>
      <c r="FT202" s="922"/>
      <c r="FU202" s="922"/>
      <c r="FV202" s="922"/>
      <c r="FW202" s="922"/>
      <c r="FX202" s="922"/>
      <c r="FY202" s="922"/>
      <c r="FZ202" s="922"/>
      <c r="GA202" s="922"/>
      <c r="GB202" s="922"/>
      <c r="GC202" s="922"/>
      <c r="GD202" s="922"/>
      <c r="GE202" s="922"/>
      <c r="GF202" s="922"/>
      <c r="GG202" s="922"/>
      <c r="GH202" s="922"/>
      <c r="GI202" s="922"/>
      <c r="GJ202" s="922"/>
      <c r="GK202" s="922"/>
      <c r="GL202" s="922"/>
      <c r="GM202" s="922"/>
      <c r="GN202" s="922"/>
      <c r="GO202" s="922"/>
      <c r="GP202" s="922"/>
      <c r="GQ202" s="922"/>
      <c r="GR202" s="922"/>
      <c r="GS202" s="922"/>
      <c r="GT202" s="922"/>
      <c r="GU202" s="922"/>
      <c r="GV202" s="922"/>
      <c r="GW202" s="922"/>
      <c r="GX202" s="922"/>
      <c r="GY202" s="922"/>
      <c r="GZ202" s="922"/>
      <c r="HA202" s="922"/>
      <c r="HB202" s="922"/>
      <c r="HC202" s="922"/>
      <c r="HD202" s="922"/>
      <c r="HE202" s="922"/>
      <c r="HF202" s="922"/>
      <c r="HG202" s="922"/>
      <c r="HH202" s="922"/>
      <c r="HI202" s="922"/>
      <c r="HJ202" s="922"/>
      <c r="HK202" s="922"/>
      <c r="HL202" s="922"/>
      <c r="HM202" s="922"/>
      <c r="HN202" s="922"/>
      <c r="HO202" s="922"/>
      <c r="HP202" s="922"/>
      <c r="HQ202" s="922"/>
      <c r="HR202" s="922"/>
      <c r="HS202" s="922"/>
      <c r="HT202" s="922"/>
      <c r="HU202" s="922"/>
      <c r="HV202" s="922"/>
      <c r="HW202" s="922"/>
      <c r="HX202" s="922"/>
      <c r="HY202" s="922"/>
      <c r="HZ202" s="922"/>
      <c r="IA202" s="922"/>
      <c r="IB202" s="922"/>
      <c r="IC202" s="922"/>
      <c r="ID202" s="922"/>
      <c r="IE202" s="922"/>
      <c r="IF202" s="922"/>
      <c r="IG202" s="922"/>
      <c r="IH202" s="922"/>
      <c r="II202" s="922"/>
      <c r="IJ202" s="922"/>
      <c r="IK202" s="922"/>
      <c r="IL202" s="922"/>
      <c r="IM202" s="922"/>
      <c r="IN202" s="922"/>
      <c r="IO202" s="922"/>
      <c r="IP202" s="922"/>
      <c r="IQ202" s="922"/>
      <c r="IR202" s="922"/>
      <c r="IS202" s="922"/>
      <c r="IT202" s="922"/>
      <c r="IU202" s="922"/>
      <c r="IV202" s="922"/>
      <c r="IW202" s="922"/>
      <c r="IX202" s="922"/>
      <c r="IY202" s="922"/>
      <c r="IZ202" s="922"/>
      <c r="JA202" s="922"/>
      <c r="JB202" s="922"/>
      <c r="JC202" s="922"/>
      <c r="JD202" s="922"/>
      <c r="JE202" s="922"/>
      <c r="JF202" s="922"/>
      <c r="JG202" s="922"/>
      <c r="JH202" s="922"/>
      <c r="JI202" s="922"/>
      <c r="JJ202" s="922"/>
      <c r="JK202" s="922"/>
      <c r="JL202" s="922"/>
      <c r="JM202" s="922"/>
      <c r="JN202" s="922"/>
      <c r="JO202" s="922"/>
      <c r="JP202" s="922"/>
      <c r="JQ202" s="922"/>
      <c r="JR202" s="922"/>
      <c r="JS202" s="922"/>
      <c r="JT202" s="922"/>
      <c r="JU202" s="922"/>
      <c r="JV202" s="922"/>
      <c r="JW202" s="922"/>
      <c r="JX202" s="922"/>
      <c r="JY202" s="922"/>
      <c r="JZ202" s="922"/>
      <c r="KA202" s="922"/>
      <c r="KB202" s="922"/>
      <c r="KC202" s="922"/>
      <c r="KD202" s="922"/>
      <c r="KE202" s="922"/>
      <c r="KF202" s="922"/>
      <c r="KG202" s="922"/>
      <c r="KH202" s="922"/>
      <c r="KI202" s="922"/>
      <c r="KJ202" s="922"/>
      <c r="KK202" s="922"/>
      <c r="KL202" s="922"/>
      <c r="KM202" s="922"/>
      <c r="KN202" s="922"/>
      <c r="KO202" s="922"/>
      <c r="KP202" s="922"/>
      <c r="KQ202" s="922"/>
      <c r="KR202" s="922"/>
      <c r="KS202" s="922"/>
      <c r="KT202" s="922"/>
      <c r="KU202" s="922"/>
      <c r="KV202" s="922"/>
      <c r="KW202" s="922"/>
      <c r="KX202" s="922"/>
      <c r="KY202" s="922"/>
      <c r="KZ202" s="922"/>
      <c r="LA202" s="922"/>
      <c r="LB202" s="922"/>
      <c r="LC202" s="922"/>
      <c r="LD202" s="922"/>
      <c r="LE202" s="922"/>
      <c r="LF202" s="922"/>
      <c r="LG202" s="922"/>
      <c r="LH202" s="922"/>
      <c r="LI202" s="922"/>
      <c r="LJ202" s="922"/>
      <c r="LK202" s="922"/>
      <c r="LL202" s="922"/>
      <c r="LM202" s="922"/>
      <c r="LN202" s="922"/>
      <c r="LO202" s="922"/>
      <c r="LP202" s="922"/>
      <c r="LQ202" s="922"/>
      <c r="LR202" s="922"/>
      <c r="LS202" s="922"/>
      <c r="LT202" s="922"/>
      <c r="LU202" s="922"/>
      <c r="LV202" s="922"/>
      <c r="LW202" s="922"/>
      <c r="LX202" s="922"/>
      <c r="LY202" s="922"/>
      <c r="LZ202" s="922"/>
      <c r="MA202" s="922"/>
      <c r="MB202" s="922"/>
      <c r="MC202" s="922"/>
      <c r="MD202" s="922"/>
      <c r="ME202" s="922"/>
      <c r="MF202" s="922"/>
      <c r="MG202" s="922"/>
      <c r="MH202" s="922"/>
      <c r="MI202" s="922"/>
      <c r="MJ202" s="922"/>
      <c r="MK202" s="922"/>
      <c r="ML202" s="922"/>
      <c r="MM202" s="922"/>
      <c r="MN202" s="922"/>
      <c r="MO202" s="922"/>
      <c r="MP202" s="922"/>
      <c r="MQ202" s="922"/>
      <c r="MR202" s="922"/>
      <c r="MS202" s="922"/>
      <c r="MT202" s="922"/>
      <c r="MU202" s="922"/>
      <c r="MV202" s="922"/>
      <c r="MW202" s="922"/>
      <c r="MX202" s="922"/>
      <c r="MY202" s="922"/>
      <c r="MZ202" s="922"/>
      <c r="NA202" s="922"/>
      <c r="NB202" s="922"/>
      <c r="NC202" s="922"/>
      <c r="ND202" s="922"/>
      <c r="NE202" s="922"/>
      <c r="NF202" s="922"/>
      <c r="NG202" s="922"/>
      <c r="NH202" s="922"/>
      <c r="NI202" s="922"/>
      <c r="NJ202" s="922"/>
      <c r="NK202" s="922"/>
      <c r="NL202" s="922"/>
      <c r="NM202" s="922"/>
      <c r="NN202" s="922"/>
      <c r="NO202" s="922"/>
      <c r="NP202" s="922"/>
      <c r="NQ202" s="922"/>
      <c r="NR202" s="922"/>
      <c r="NS202" s="922"/>
      <c r="NT202" s="922"/>
      <c r="NU202" s="922"/>
      <c r="NV202" s="922"/>
      <c r="NW202" s="922"/>
      <c r="NX202" s="922"/>
      <c r="NY202" s="922"/>
      <c r="NZ202" s="922"/>
      <c r="OA202" s="922"/>
      <c r="OB202" s="922"/>
      <c r="OC202" s="922"/>
      <c r="OD202" s="922"/>
      <c r="OE202" s="922"/>
      <c r="OF202" s="922"/>
      <c r="OG202" s="922"/>
      <c r="OH202" s="922"/>
      <c r="OI202" s="922"/>
      <c r="OJ202" s="922"/>
      <c r="OK202" s="922"/>
      <c r="OL202" s="922"/>
      <c r="OM202" s="922"/>
      <c r="ON202" s="922"/>
      <c r="OO202" s="922"/>
      <c r="OP202" s="922"/>
      <c r="OQ202" s="922"/>
      <c r="OR202" s="922"/>
      <c r="OS202" s="922"/>
      <c r="OT202" s="922"/>
      <c r="OU202" s="922"/>
      <c r="OV202" s="922"/>
      <c r="OW202" s="922"/>
      <c r="OX202" s="922"/>
      <c r="OY202" s="922"/>
      <c r="OZ202" s="922"/>
      <c r="PA202" s="922"/>
      <c r="PB202" s="922"/>
      <c r="PC202" s="922"/>
      <c r="PD202" s="922"/>
      <c r="PE202" s="922"/>
      <c r="PF202" s="922"/>
      <c r="PG202" s="922"/>
      <c r="PH202" s="922"/>
      <c r="PI202" s="922"/>
      <c r="PJ202" s="922"/>
      <c r="PK202" s="922"/>
      <c r="PL202" s="922"/>
      <c r="PM202" s="922"/>
      <c r="PN202" s="922"/>
      <c r="PO202" s="922"/>
      <c r="PP202" s="922"/>
      <c r="PQ202" s="922"/>
      <c r="PR202" s="922"/>
      <c r="PS202" s="922"/>
      <c r="PT202" s="922"/>
      <c r="PU202" s="922"/>
      <c r="PV202" s="922"/>
      <c r="PW202" s="922"/>
      <c r="PX202" s="922"/>
      <c r="PY202" s="922"/>
      <c r="PZ202" s="922"/>
      <c r="QA202" s="922"/>
      <c r="QB202" s="922"/>
      <c r="QC202" s="922"/>
      <c r="QD202" s="922"/>
      <c r="QE202" s="922"/>
      <c r="QF202" s="922"/>
      <c r="QG202" s="922"/>
      <c r="QH202" s="922"/>
      <c r="QI202" s="922"/>
      <c r="QJ202" s="922"/>
      <c r="QK202" s="922"/>
      <c r="QL202" s="922"/>
      <c r="QM202" s="922"/>
      <c r="QN202" s="922"/>
      <c r="QO202" s="922"/>
      <c r="QP202" s="922"/>
      <c r="QQ202" s="922"/>
      <c r="QR202" s="922"/>
      <c r="QS202" s="922"/>
      <c r="QT202" s="922"/>
      <c r="QU202" s="922"/>
      <c r="QV202" s="922"/>
      <c r="QW202" s="922"/>
      <c r="QX202" s="922"/>
      <c r="QY202" s="922"/>
      <c r="QZ202" s="922"/>
      <c r="RA202" s="922"/>
      <c r="RB202" s="922"/>
      <c r="RC202" s="922"/>
      <c r="RD202" s="922"/>
      <c r="RE202" s="922"/>
      <c r="RF202" s="922"/>
      <c r="RG202" s="922"/>
      <c r="RH202" s="922"/>
      <c r="RI202" s="922"/>
      <c r="RJ202" s="922"/>
      <c r="RK202" s="922"/>
      <c r="RL202" s="922"/>
      <c r="RM202" s="922"/>
      <c r="RN202" s="922"/>
      <c r="RO202" s="922"/>
      <c r="RP202" s="922"/>
      <c r="RQ202" s="922"/>
      <c r="RR202" s="922"/>
      <c r="RS202" s="922"/>
      <c r="RT202" s="922"/>
      <c r="RU202" s="922"/>
      <c r="RV202" s="922"/>
      <c r="RW202" s="922"/>
      <c r="RX202" s="922"/>
      <c r="RY202" s="922"/>
      <c r="RZ202" s="922"/>
      <c r="SA202" s="922"/>
      <c r="SB202" s="922"/>
      <c r="SC202" s="922"/>
      <c r="SD202" s="922"/>
      <c r="SE202" s="922"/>
      <c r="SF202" s="922"/>
      <c r="SG202" s="922"/>
      <c r="SH202" s="922"/>
      <c r="SI202" s="922"/>
      <c r="SJ202" s="922"/>
      <c r="SK202" s="922"/>
      <c r="SL202" s="922"/>
      <c r="SM202" s="922"/>
      <c r="SN202" s="922"/>
      <c r="SO202" s="922"/>
      <c r="SP202" s="922"/>
      <c r="SQ202" s="922"/>
      <c r="SR202" s="922"/>
      <c r="SS202" s="922"/>
      <c r="ST202" s="922"/>
      <c r="SU202" s="922"/>
      <c r="SV202" s="922"/>
      <c r="SW202" s="922"/>
      <c r="SX202" s="922"/>
      <c r="SY202" s="922"/>
      <c r="SZ202" s="922"/>
      <c r="TA202" s="922"/>
      <c r="TB202" s="922"/>
      <c r="TC202" s="922"/>
      <c r="TD202" s="922"/>
      <c r="TE202" s="922"/>
      <c r="TF202" s="922"/>
      <c r="TG202" s="922"/>
      <c r="TH202" s="922"/>
      <c r="TI202" s="922"/>
      <c r="TJ202" s="922"/>
      <c r="TK202" s="922"/>
      <c r="TL202" s="922"/>
      <c r="TM202" s="922"/>
      <c r="TN202" s="922"/>
      <c r="TO202" s="922"/>
      <c r="TP202" s="922"/>
      <c r="TQ202" s="922"/>
      <c r="TR202" s="922"/>
      <c r="TS202" s="922"/>
      <c r="TT202" s="922"/>
      <c r="TU202" s="922"/>
      <c r="TV202" s="922"/>
      <c r="TW202" s="922"/>
      <c r="TX202" s="922"/>
      <c r="TY202" s="922"/>
      <c r="TZ202" s="922"/>
      <c r="UA202" s="922"/>
      <c r="UB202" s="922"/>
      <c r="UC202" s="922"/>
      <c r="UD202" s="922"/>
      <c r="UE202" s="922"/>
      <c r="UF202" s="922"/>
      <c r="UG202" s="922"/>
      <c r="UH202" s="922"/>
      <c r="UI202" s="922"/>
      <c r="UJ202" s="922"/>
      <c r="UK202" s="922"/>
      <c r="UL202" s="922"/>
      <c r="UM202" s="922"/>
      <c r="UN202" s="922"/>
      <c r="UO202" s="922"/>
      <c r="UP202" s="922"/>
      <c r="UQ202" s="922"/>
      <c r="UR202" s="922"/>
      <c r="US202" s="922"/>
      <c r="UT202" s="922"/>
      <c r="UU202" s="922"/>
      <c r="UV202" s="922"/>
      <c r="UW202" s="922"/>
      <c r="UX202" s="922"/>
      <c r="UY202" s="922"/>
      <c r="UZ202" s="922"/>
      <c r="VA202" s="922"/>
      <c r="VB202" s="922"/>
      <c r="VC202" s="922"/>
      <c r="VD202" s="922"/>
      <c r="VE202" s="922"/>
      <c r="VF202" s="922"/>
      <c r="VG202" s="922"/>
      <c r="VH202" s="922"/>
      <c r="VI202" s="922"/>
      <c r="VJ202" s="922"/>
      <c r="VK202" s="922"/>
      <c r="VL202" s="922"/>
      <c r="VM202" s="922"/>
      <c r="VN202" s="922"/>
      <c r="VO202" s="922"/>
      <c r="VP202" s="922"/>
      <c r="VQ202" s="922"/>
      <c r="VR202" s="922"/>
      <c r="VS202" s="922"/>
      <c r="VT202" s="922"/>
      <c r="VU202" s="922"/>
      <c r="VV202" s="922"/>
      <c r="VW202" s="922"/>
      <c r="VX202" s="922"/>
      <c r="VY202" s="922"/>
      <c r="VZ202" s="922"/>
      <c r="WA202" s="922"/>
      <c r="WB202" s="922"/>
      <c r="WC202" s="922"/>
      <c r="WD202" s="922"/>
      <c r="WE202" s="922"/>
      <c r="WF202" s="922"/>
      <c r="WG202" s="922"/>
      <c r="WH202" s="922"/>
      <c r="WI202" s="922"/>
      <c r="WJ202" s="922"/>
      <c r="WK202" s="922"/>
      <c r="WL202" s="922"/>
      <c r="WM202" s="922"/>
      <c r="WN202" s="922"/>
      <c r="WO202" s="922"/>
      <c r="WP202" s="922"/>
      <c r="WQ202" s="922"/>
      <c r="WR202" s="922"/>
      <c r="WS202" s="922"/>
      <c r="WT202" s="922"/>
      <c r="WU202" s="922"/>
      <c r="WV202" s="922"/>
      <c r="WW202" s="922"/>
      <c r="WX202" s="922"/>
      <c r="WY202" s="922"/>
      <c r="WZ202" s="922"/>
      <c r="XA202" s="922"/>
      <c r="XB202" s="922"/>
      <c r="XC202" s="922"/>
      <c r="XD202" s="922"/>
      <c r="XE202" s="922"/>
      <c r="XF202" s="922"/>
      <c r="XG202" s="922"/>
      <c r="XH202" s="922"/>
      <c r="XI202" s="922"/>
      <c r="XJ202" s="922"/>
      <c r="XK202" s="922"/>
      <c r="XL202" s="922"/>
      <c r="XM202" s="922"/>
      <c r="XN202" s="922"/>
      <c r="XO202" s="922"/>
      <c r="XP202" s="922"/>
      <c r="XQ202" s="922"/>
      <c r="XR202" s="922"/>
      <c r="XS202" s="922"/>
      <c r="XT202" s="922"/>
      <c r="XU202" s="922"/>
      <c r="XV202" s="922"/>
      <c r="XW202" s="922"/>
      <c r="XX202" s="922"/>
      <c r="XY202" s="922"/>
      <c r="XZ202" s="922"/>
      <c r="YA202" s="922"/>
      <c r="YB202" s="922"/>
      <c r="YC202" s="922"/>
      <c r="YD202" s="922"/>
      <c r="YE202" s="922"/>
      <c r="YF202" s="922"/>
      <c r="YG202" s="922"/>
      <c r="YH202" s="922"/>
      <c r="YI202" s="922"/>
      <c r="YJ202" s="922"/>
      <c r="YK202" s="922"/>
      <c r="YL202" s="922"/>
      <c r="YM202" s="922"/>
      <c r="YN202" s="922"/>
      <c r="YO202" s="922"/>
      <c r="YP202" s="922"/>
      <c r="YQ202" s="922"/>
      <c r="YR202" s="922"/>
      <c r="YS202" s="922"/>
      <c r="YT202" s="922"/>
      <c r="YU202" s="922"/>
      <c r="YV202" s="922"/>
      <c r="YW202" s="922"/>
      <c r="YX202" s="922"/>
      <c r="YY202" s="922"/>
      <c r="YZ202" s="922"/>
      <c r="ZA202" s="922"/>
      <c r="ZB202" s="922"/>
      <c r="ZC202" s="922"/>
      <c r="ZD202" s="922"/>
      <c r="ZE202" s="922"/>
      <c r="ZF202" s="922"/>
      <c r="ZG202" s="922"/>
      <c r="ZH202" s="922"/>
      <c r="ZI202" s="922"/>
      <c r="ZJ202" s="922"/>
      <c r="ZK202" s="922"/>
      <c r="ZL202" s="922"/>
      <c r="ZM202" s="922"/>
      <c r="ZN202" s="922"/>
      <c r="ZO202" s="922"/>
      <c r="ZP202" s="922"/>
      <c r="ZQ202" s="922"/>
      <c r="ZR202" s="922"/>
      <c r="ZS202" s="922"/>
      <c r="ZT202" s="922"/>
      <c r="ZU202" s="922"/>
      <c r="ZV202" s="922"/>
      <c r="ZW202" s="922"/>
      <c r="ZX202" s="922"/>
      <c r="ZY202" s="922"/>
      <c r="ZZ202" s="922"/>
      <c r="AAA202" s="922"/>
      <c r="AAB202" s="922"/>
      <c r="AAC202" s="922"/>
      <c r="AAD202" s="922"/>
      <c r="AAE202" s="922"/>
      <c r="AAF202" s="922"/>
      <c r="AAG202" s="922"/>
      <c r="AAH202" s="922"/>
      <c r="AAI202" s="922"/>
      <c r="AAJ202" s="922"/>
      <c r="AAK202" s="922"/>
      <c r="AAL202" s="922"/>
      <c r="AAM202" s="922"/>
      <c r="AAN202" s="922"/>
      <c r="AAO202" s="922"/>
      <c r="AAP202" s="922"/>
      <c r="AAQ202" s="922"/>
      <c r="AAR202" s="922"/>
      <c r="AAS202" s="922"/>
      <c r="AAT202" s="922"/>
      <c r="AAU202" s="922"/>
      <c r="AAV202" s="922"/>
      <c r="AAW202" s="922"/>
      <c r="AAX202" s="922"/>
      <c r="AAY202" s="922"/>
      <c r="AAZ202" s="922"/>
      <c r="ABA202" s="922"/>
      <c r="ABB202" s="922"/>
      <c r="ABC202" s="922"/>
      <c r="ABD202" s="922"/>
      <c r="ABE202" s="922"/>
      <c r="ABF202" s="922"/>
      <c r="ABG202" s="922"/>
      <c r="ABH202" s="922"/>
      <c r="ABI202" s="922"/>
      <c r="ABJ202" s="922"/>
      <c r="ABK202" s="922"/>
      <c r="ABL202" s="922"/>
      <c r="ABM202" s="922"/>
      <c r="ABN202" s="922"/>
      <c r="ABO202" s="922"/>
      <c r="ABP202" s="922"/>
      <c r="ABQ202" s="922"/>
      <c r="ABR202" s="922"/>
      <c r="ABS202" s="922"/>
      <c r="ABT202" s="922"/>
      <c r="ABU202" s="922"/>
      <c r="ABV202" s="922"/>
      <c r="ABW202" s="922"/>
      <c r="ABX202" s="922"/>
      <c r="ABY202" s="922"/>
      <c r="ABZ202" s="922"/>
      <c r="ACA202" s="922"/>
      <c r="ACB202" s="922"/>
      <c r="ACC202" s="922"/>
      <c r="ACD202" s="922"/>
      <c r="ACE202" s="922"/>
      <c r="ACF202" s="922"/>
      <c r="ACG202" s="922"/>
      <c r="ACH202" s="922"/>
      <c r="ACI202" s="922"/>
      <c r="ACJ202" s="922"/>
      <c r="ACK202" s="922"/>
      <c r="ACL202" s="922"/>
      <c r="ACM202" s="922"/>
      <c r="ACN202" s="922"/>
      <c r="ACO202" s="922"/>
      <c r="ACP202" s="922"/>
      <c r="ACQ202" s="922"/>
      <c r="ACR202" s="922"/>
      <c r="ACS202" s="922"/>
      <c r="ACT202" s="922"/>
      <c r="ACU202" s="922"/>
      <c r="ACV202" s="922"/>
      <c r="ACW202" s="922"/>
      <c r="ACX202" s="922"/>
      <c r="ACY202" s="922"/>
      <c r="ACZ202" s="922"/>
      <c r="ADA202" s="922"/>
      <c r="ADB202" s="922"/>
      <c r="ADC202" s="922"/>
      <c r="ADD202" s="922"/>
      <c r="ADE202" s="922"/>
      <c r="ADF202" s="922"/>
      <c r="ADG202" s="922"/>
      <c r="ADH202" s="922"/>
      <c r="ADI202" s="922"/>
      <c r="ADJ202" s="922"/>
      <c r="ADK202" s="922"/>
      <c r="ADL202" s="922"/>
      <c r="ADM202" s="922"/>
      <c r="ADN202" s="922"/>
      <c r="ADO202" s="922"/>
      <c r="ADP202" s="922"/>
      <c r="ADQ202" s="922"/>
      <c r="ADR202" s="922"/>
      <c r="ADS202" s="922"/>
      <c r="ADT202" s="922"/>
      <c r="ADU202" s="922"/>
      <c r="ADV202" s="922"/>
      <c r="ADW202" s="922"/>
      <c r="ADX202" s="922"/>
      <c r="ADY202" s="922"/>
      <c r="ADZ202" s="922"/>
      <c r="AEA202" s="922"/>
      <c r="AEB202" s="922"/>
      <c r="AEC202" s="922"/>
      <c r="AED202" s="922"/>
      <c r="AEE202" s="922"/>
      <c r="AEF202" s="922"/>
      <c r="AEG202" s="922"/>
      <c r="AEH202" s="922"/>
      <c r="AEI202" s="922"/>
      <c r="AEJ202" s="922"/>
      <c r="AEK202" s="922"/>
      <c r="AEL202" s="922"/>
      <c r="AEM202" s="922"/>
      <c r="AEN202" s="922"/>
      <c r="AEO202" s="922"/>
      <c r="AEP202" s="922"/>
      <c r="AEQ202" s="922"/>
      <c r="AER202" s="922"/>
      <c r="AES202" s="922"/>
      <c r="AET202" s="922"/>
      <c r="AEU202" s="922"/>
      <c r="AEV202" s="922"/>
      <c r="AEW202" s="922"/>
      <c r="AEX202" s="922"/>
      <c r="AEY202" s="922"/>
      <c r="AEZ202" s="922"/>
      <c r="AFA202" s="922"/>
      <c r="AFB202" s="922"/>
      <c r="AFC202" s="922"/>
      <c r="AFD202" s="922"/>
      <c r="AFE202" s="922"/>
      <c r="AFF202" s="922"/>
      <c r="AFG202" s="922"/>
      <c r="AFH202" s="922"/>
      <c r="AFI202" s="922"/>
      <c r="AFJ202" s="922"/>
      <c r="AFK202" s="922"/>
      <c r="AFL202" s="922"/>
      <c r="AFM202" s="922"/>
      <c r="AFN202" s="922"/>
      <c r="AFO202" s="922"/>
      <c r="AFP202" s="922"/>
      <c r="AFQ202" s="922"/>
      <c r="AFR202" s="922"/>
      <c r="AFS202" s="922"/>
      <c r="AFT202" s="922"/>
      <c r="AFU202" s="922"/>
      <c r="AFV202" s="922"/>
      <c r="AFW202" s="922"/>
      <c r="AFX202" s="922"/>
      <c r="AFY202" s="922"/>
      <c r="AFZ202" s="922"/>
      <c r="AGA202" s="922"/>
      <c r="AGB202" s="922"/>
      <c r="AGC202" s="922"/>
      <c r="AGD202" s="922"/>
      <c r="AGE202" s="922"/>
      <c r="AGF202" s="922"/>
      <c r="AGG202" s="922"/>
      <c r="AGH202" s="922"/>
      <c r="AGI202" s="922"/>
      <c r="AGJ202" s="922"/>
      <c r="AGK202" s="922"/>
      <c r="AGL202" s="922"/>
      <c r="AGM202" s="922"/>
      <c r="AGN202" s="922"/>
      <c r="AGO202" s="922"/>
      <c r="AGP202" s="922"/>
      <c r="AGQ202" s="922"/>
      <c r="AGR202" s="922"/>
      <c r="AGS202" s="922"/>
      <c r="AGT202" s="922"/>
      <c r="AGU202" s="922"/>
      <c r="AGV202" s="922"/>
      <c r="AGW202" s="922"/>
      <c r="AGX202" s="922"/>
      <c r="AGY202" s="922"/>
      <c r="AGZ202" s="922"/>
      <c r="AHA202" s="922"/>
      <c r="AHB202" s="922"/>
      <c r="AHC202" s="922"/>
      <c r="AHD202" s="922"/>
      <c r="AHE202" s="922"/>
      <c r="AHF202" s="922"/>
      <c r="AHG202" s="922"/>
      <c r="AHH202" s="922"/>
      <c r="AHI202" s="922"/>
      <c r="AHJ202" s="922"/>
      <c r="AHK202" s="922"/>
      <c r="AHL202" s="922"/>
      <c r="AHM202" s="922"/>
      <c r="AHN202" s="922"/>
      <c r="AHO202" s="922"/>
      <c r="AHP202" s="922"/>
      <c r="AHQ202" s="922"/>
      <c r="AHR202" s="922"/>
      <c r="AHS202" s="922"/>
      <c r="AHT202" s="922"/>
      <c r="AHU202" s="922"/>
      <c r="AHV202" s="922"/>
      <c r="AHW202" s="922"/>
      <c r="AHX202" s="922"/>
      <c r="AHY202" s="922"/>
      <c r="AHZ202" s="922"/>
      <c r="AIA202" s="922"/>
      <c r="AIB202" s="922"/>
      <c r="AIC202" s="922"/>
      <c r="AID202" s="922"/>
      <c r="AIE202" s="922"/>
      <c r="AIF202" s="922"/>
      <c r="AIG202" s="922"/>
      <c r="AIH202" s="922"/>
      <c r="AII202" s="922"/>
      <c r="AIJ202" s="922"/>
      <c r="AIK202" s="922"/>
      <c r="AIL202" s="922"/>
      <c r="AIM202" s="922"/>
      <c r="AIN202" s="922"/>
      <c r="AIO202" s="922"/>
      <c r="AIP202" s="922"/>
      <c r="AIQ202" s="922"/>
      <c r="AIR202" s="922"/>
      <c r="AIS202" s="922"/>
      <c r="AIT202" s="922"/>
      <c r="AIU202" s="922"/>
      <c r="AIV202" s="922"/>
      <c r="AIW202" s="922"/>
      <c r="AIX202" s="922"/>
      <c r="AIY202" s="922"/>
      <c r="AIZ202" s="922"/>
      <c r="AJA202" s="922"/>
      <c r="AJB202" s="922"/>
      <c r="AJC202" s="922"/>
      <c r="AJD202" s="922"/>
      <c r="AJE202" s="922"/>
      <c r="AJF202" s="922"/>
      <c r="AJG202" s="922"/>
      <c r="AJH202" s="922"/>
      <c r="AJI202" s="922"/>
      <c r="AJJ202" s="922"/>
      <c r="AJK202" s="922"/>
      <c r="AJL202" s="922"/>
      <c r="AJM202" s="922"/>
      <c r="AJN202" s="922"/>
      <c r="AJO202" s="922"/>
      <c r="AJP202" s="922"/>
      <c r="AJQ202" s="922"/>
      <c r="AJR202" s="922"/>
      <c r="AJS202" s="922"/>
      <c r="AJT202" s="922"/>
      <c r="AJU202" s="922"/>
      <c r="AJV202" s="922"/>
      <c r="AJW202" s="922"/>
      <c r="AJX202" s="922"/>
      <c r="AJY202" s="922"/>
      <c r="AJZ202" s="922"/>
      <c r="AKA202" s="922"/>
      <c r="AKB202" s="922"/>
      <c r="AKC202" s="922"/>
      <c r="AKD202" s="922"/>
      <c r="AKE202" s="922"/>
      <c r="AKF202" s="922"/>
      <c r="AKG202" s="922"/>
      <c r="AKH202" s="922"/>
      <c r="AKI202" s="922"/>
      <c r="AKJ202" s="922"/>
      <c r="AKK202" s="922"/>
      <c r="AKL202" s="922"/>
      <c r="AKM202" s="922"/>
      <c r="AKN202" s="922"/>
      <c r="AKO202" s="922"/>
      <c r="AKP202" s="922"/>
      <c r="AKQ202" s="922"/>
      <c r="AKR202" s="922"/>
      <c r="AKS202" s="922"/>
      <c r="AKT202" s="922"/>
      <c r="AKU202" s="922"/>
      <c r="AKV202" s="922"/>
      <c r="AKW202" s="922"/>
      <c r="AKX202" s="922"/>
      <c r="AKY202" s="922"/>
      <c r="AKZ202" s="922"/>
      <c r="ALA202" s="922"/>
      <c r="ALB202" s="922"/>
      <c r="ALC202" s="922"/>
      <c r="ALD202" s="922"/>
      <c r="ALE202" s="922"/>
      <c r="ALF202" s="922"/>
      <c r="ALG202" s="922"/>
      <c r="ALH202" s="922"/>
      <c r="ALI202" s="922"/>
      <c r="ALJ202" s="922"/>
      <c r="ALK202" s="922"/>
      <c r="ALL202" s="922"/>
      <c r="ALM202" s="922"/>
      <c r="ALN202" s="922"/>
      <c r="ALO202" s="922"/>
      <c r="ALP202" s="922"/>
      <c r="ALQ202" s="922"/>
      <c r="ALR202" s="922"/>
      <c r="ALS202" s="922"/>
      <c r="ALT202" s="922"/>
      <c r="ALU202" s="922"/>
      <c r="ALV202" s="922"/>
      <c r="ALW202" s="922"/>
      <c r="ALX202" s="922"/>
      <c r="ALY202" s="922"/>
      <c r="ALZ202" s="922"/>
      <c r="AMA202" s="922"/>
      <c r="AMB202" s="922"/>
      <c r="AMC202" s="922"/>
      <c r="AMD202" s="922"/>
      <c r="AME202" s="922"/>
      <c r="AMF202" s="922"/>
      <c r="AMG202" s="922"/>
      <c r="AMH202" s="922"/>
      <c r="AMI202" s="922"/>
      <c r="AMJ202" s="922"/>
      <c r="AMK202" s="922"/>
      <c r="AML202" s="922"/>
      <c r="AMM202" s="922"/>
      <c r="AMN202" s="922"/>
      <c r="AMO202" s="922"/>
      <c r="AMP202" s="922"/>
      <c r="AMQ202" s="922"/>
      <c r="AMR202" s="922"/>
      <c r="AMS202" s="922"/>
      <c r="AMT202" s="922"/>
      <c r="AMU202" s="922"/>
      <c r="AMV202" s="922"/>
      <c r="AMW202" s="922"/>
      <c r="AMX202" s="922"/>
      <c r="AMY202" s="922"/>
      <c r="AMZ202" s="922"/>
      <c r="ANA202" s="922"/>
      <c r="ANB202" s="922"/>
      <c r="ANC202" s="922"/>
      <c r="AND202" s="922"/>
      <c r="ANE202" s="922"/>
      <c r="ANF202" s="922"/>
      <c r="ANG202" s="922"/>
      <c r="ANH202" s="922"/>
      <c r="ANI202" s="922"/>
      <c r="ANJ202" s="922"/>
      <c r="ANK202" s="922"/>
      <c r="ANL202" s="922"/>
      <c r="ANM202" s="922"/>
      <c r="ANN202" s="922"/>
      <c r="ANO202" s="922"/>
      <c r="ANP202" s="922"/>
      <c r="ANQ202" s="922"/>
      <c r="ANR202" s="922"/>
      <c r="ANS202" s="922"/>
      <c r="ANT202" s="922"/>
      <c r="ANU202" s="922"/>
      <c r="ANV202" s="922"/>
      <c r="ANW202" s="922"/>
      <c r="ANX202" s="922"/>
      <c r="ANY202" s="922"/>
      <c r="ANZ202" s="922"/>
      <c r="AOA202" s="922"/>
      <c r="AOB202" s="922"/>
      <c r="AOC202" s="922"/>
      <c r="AOD202" s="922"/>
      <c r="AOE202" s="922"/>
      <c r="AOF202" s="922"/>
      <c r="AOG202" s="922"/>
      <c r="AOH202" s="922"/>
      <c r="AOI202" s="922"/>
      <c r="AOJ202" s="922"/>
      <c r="AOK202" s="922"/>
      <c r="AOL202" s="922"/>
      <c r="AOM202" s="922"/>
      <c r="AON202" s="922"/>
      <c r="AOO202" s="922"/>
      <c r="AOP202" s="922"/>
      <c r="AOQ202" s="922"/>
      <c r="AOR202" s="922"/>
      <c r="AOS202" s="922"/>
      <c r="AOT202" s="922"/>
      <c r="AOU202" s="922"/>
      <c r="AOV202" s="922"/>
      <c r="AOW202" s="922"/>
      <c r="AOX202" s="922"/>
      <c r="AOY202" s="922"/>
      <c r="AOZ202" s="922"/>
      <c r="APA202" s="922"/>
      <c r="APB202" s="922"/>
      <c r="APC202" s="922"/>
      <c r="APD202" s="922"/>
      <c r="APE202" s="922"/>
      <c r="APF202" s="922"/>
      <c r="APG202" s="922"/>
      <c r="APH202" s="922"/>
      <c r="API202" s="922"/>
      <c r="APJ202" s="922"/>
      <c r="APK202" s="922"/>
      <c r="APL202" s="922"/>
      <c r="APM202" s="922"/>
      <c r="APN202" s="922"/>
      <c r="APO202" s="922"/>
      <c r="APP202" s="922"/>
      <c r="APQ202" s="922"/>
      <c r="APR202" s="922"/>
      <c r="APS202" s="922"/>
      <c r="APT202" s="922"/>
      <c r="APU202" s="922"/>
      <c r="APV202" s="922"/>
      <c r="APW202" s="922"/>
      <c r="APX202" s="922"/>
      <c r="APY202" s="922"/>
      <c r="APZ202" s="922"/>
      <c r="AQA202" s="922"/>
      <c r="AQB202" s="922"/>
      <c r="AQC202" s="922"/>
      <c r="AQD202" s="922"/>
      <c r="AQE202" s="922"/>
      <c r="AQF202" s="922"/>
      <c r="AQG202" s="922"/>
      <c r="AQH202" s="922"/>
      <c r="AQI202" s="922"/>
      <c r="AQJ202" s="922"/>
      <c r="AQK202" s="922"/>
      <c r="AQL202" s="922"/>
      <c r="AQM202" s="922"/>
      <c r="AQN202" s="922"/>
      <c r="AQO202" s="922"/>
      <c r="AQP202" s="922"/>
      <c r="AQQ202" s="922"/>
      <c r="AQR202" s="922"/>
      <c r="AQS202" s="922"/>
      <c r="AQT202" s="922"/>
      <c r="AQU202" s="922"/>
      <c r="AQV202" s="922"/>
      <c r="AQW202" s="922"/>
      <c r="AQX202" s="922"/>
      <c r="AQY202" s="922"/>
      <c r="AQZ202" s="922"/>
      <c r="ARA202" s="922"/>
      <c r="ARB202" s="922"/>
      <c r="ARC202" s="922"/>
      <c r="ARD202" s="922"/>
      <c r="ARE202" s="922"/>
      <c r="ARF202" s="922"/>
      <c r="ARG202" s="922"/>
      <c r="ARH202" s="922"/>
      <c r="ARI202" s="922"/>
      <c r="ARJ202" s="922"/>
      <c r="ARK202" s="922"/>
      <c r="ARL202" s="922"/>
      <c r="ARM202" s="922"/>
      <c r="ARN202" s="922"/>
      <c r="ARO202" s="922"/>
      <c r="ARP202" s="922"/>
      <c r="ARQ202" s="922"/>
      <c r="ARR202" s="922"/>
      <c r="ARS202" s="922"/>
      <c r="ART202" s="922"/>
      <c r="ARU202" s="922"/>
      <c r="ARV202" s="922"/>
      <c r="ARW202" s="922"/>
      <c r="ARX202" s="922"/>
      <c r="ARY202" s="922"/>
      <c r="ARZ202" s="922"/>
      <c r="ASA202" s="922"/>
      <c r="ASB202" s="922"/>
      <c r="ASC202" s="922"/>
    </row>
    <row r="203" spans="20:1173" hidden="1">
      <c r="T203" s="922"/>
      <c r="AN203" s="922"/>
      <c r="AO203" s="922"/>
      <c r="AP203" s="922"/>
      <c r="AQ203" s="922"/>
      <c r="AR203" s="922"/>
      <c r="AS203" s="922"/>
      <c r="AT203" s="922"/>
      <c r="AU203" s="922"/>
      <c r="AV203" s="922"/>
      <c r="AW203" s="922"/>
      <c r="AX203" s="922"/>
      <c r="AY203" s="922"/>
      <c r="AZ203" s="922"/>
      <c r="BA203" s="922"/>
      <c r="BB203" s="922"/>
      <c r="BC203" s="922"/>
      <c r="BD203" s="922"/>
      <c r="BE203" s="922"/>
      <c r="BF203" s="922"/>
      <c r="BG203" s="922"/>
      <c r="BH203" s="922"/>
      <c r="BI203" s="922"/>
      <c r="BJ203" s="922"/>
      <c r="BK203" s="922"/>
      <c r="BL203" s="922"/>
      <c r="BM203" s="922"/>
      <c r="BN203" s="922"/>
      <c r="BO203" s="922"/>
      <c r="BP203" s="922"/>
      <c r="BQ203" s="922"/>
      <c r="BR203" s="922"/>
      <c r="BS203" s="922"/>
      <c r="BT203" s="922"/>
      <c r="BU203" s="922"/>
      <c r="BV203" s="922"/>
      <c r="BW203" s="922"/>
      <c r="BX203" s="922"/>
      <c r="BY203" s="922"/>
      <c r="BZ203" s="922"/>
      <c r="CA203" s="922"/>
      <c r="CB203" s="922"/>
      <c r="CC203" s="922"/>
      <c r="CD203" s="922"/>
      <c r="CE203" s="922"/>
      <c r="CF203" s="922"/>
      <c r="CG203" s="922"/>
      <c r="CH203" s="922"/>
      <c r="CI203" s="922"/>
      <c r="CJ203" s="922"/>
      <c r="CK203" s="922"/>
      <c r="CL203" s="922"/>
      <c r="CM203" s="922"/>
      <c r="CN203" s="922"/>
      <c r="CO203" s="922"/>
      <c r="CP203" s="922"/>
      <c r="CQ203" s="922"/>
      <c r="CR203" s="922"/>
      <c r="CS203" s="922"/>
      <c r="CT203" s="922"/>
      <c r="CU203" s="922"/>
      <c r="CV203" s="922"/>
      <c r="CW203" s="922"/>
      <c r="CX203" s="922"/>
      <c r="CY203" s="922"/>
      <c r="CZ203" s="922"/>
      <c r="DA203" s="922"/>
      <c r="DB203" s="922"/>
      <c r="DC203" s="922"/>
      <c r="DD203" s="922"/>
      <c r="DE203" s="922"/>
      <c r="DF203" s="922"/>
      <c r="DG203" s="922"/>
      <c r="DH203" s="922"/>
      <c r="DI203" s="922"/>
      <c r="DJ203" s="922"/>
      <c r="DK203" s="922"/>
      <c r="DL203" s="922"/>
      <c r="DM203" s="922"/>
      <c r="DN203" s="922"/>
      <c r="DO203" s="922"/>
      <c r="DP203" s="922"/>
      <c r="DQ203" s="922"/>
      <c r="DR203" s="922"/>
      <c r="DS203" s="922"/>
      <c r="DT203" s="922"/>
      <c r="DU203" s="922"/>
      <c r="DV203" s="922"/>
      <c r="DW203" s="922"/>
      <c r="DX203" s="922"/>
      <c r="DY203" s="922"/>
      <c r="DZ203" s="922"/>
      <c r="EA203" s="922"/>
      <c r="EB203" s="922"/>
      <c r="EC203" s="922"/>
      <c r="ED203" s="922"/>
      <c r="EE203" s="922"/>
      <c r="EF203" s="922"/>
      <c r="EG203" s="922"/>
      <c r="EH203" s="922"/>
      <c r="EI203" s="922"/>
      <c r="EJ203" s="922"/>
      <c r="EK203" s="922"/>
      <c r="EL203" s="922"/>
      <c r="EM203" s="922"/>
      <c r="EN203" s="922"/>
      <c r="EO203" s="922"/>
      <c r="EP203" s="922"/>
      <c r="EQ203" s="922"/>
      <c r="ER203" s="922"/>
      <c r="ES203" s="922"/>
      <c r="ET203" s="922"/>
      <c r="EU203" s="922"/>
      <c r="EV203" s="922"/>
      <c r="EW203" s="922"/>
      <c r="EX203" s="922"/>
      <c r="EY203" s="922"/>
      <c r="EZ203" s="922"/>
      <c r="FA203" s="922"/>
      <c r="FB203" s="922"/>
      <c r="FC203" s="922"/>
      <c r="FD203" s="922"/>
      <c r="FE203" s="922"/>
      <c r="FF203" s="922"/>
      <c r="FG203" s="922"/>
      <c r="FH203" s="922"/>
      <c r="FI203" s="922"/>
      <c r="FJ203" s="922"/>
      <c r="FK203" s="922"/>
      <c r="FL203" s="922"/>
      <c r="FM203" s="922"/>
      <c r="FN203" s="922"/>
      <c r="FO203" s="922"/>
      <c r="FP203" s="922"/>
      <c r="FQ203" s="922"/>
      <c r="FR203" s="922"/>
      <c r="FS203" s="922"/>
      <c r="FT203" s="922"/>
      <c r="FU203" s="922"/>
      <c r="FV203" s="922"/>
      <c r="FW203" s="922"/>
      <c r="FX203" s="922"/>
      <c r="FY203" s="922"/>
      <c r="FZ203" s="922"/>
      <c r="GA203" s="922"/>
      <c r="GB203" s="922"/>
      <c r="GC203" s="922"/>
      <c r="GD203" s="922"/>
      <c r="GE203" s="922"/>
      <c r="GF203" s="922"/>
      <c r="GG203" s="922"/>
      <c r="GH203" s="922"/>
      <c r="GI203" s="922"/>
      <c r="GJ203" s="922"/>
      <c r="GK203" s="922"/>
      <c r="GL203" s="922"/>
      <c r="GM203" s="922"/>
      <c r="GN203" s="922"/>
      <c r="GO203" s="922"/>
      <c r="GP203" s="922"/>
      <c r="GQ203" s="922"/>
      <c r="GR203" s="922"/>
      <c r="GS203" s="922"/>
      <c r="GT203" s="922"/>
      <c r="GU203" s="922"/>
      <c r="GV203" s="922"/>
      <c r="GW203" s="922"/>
      <c r="GX203" s="922"/>
      <c r="GY203" s="922"/>
      <c r="GZ203" s="922"/>
      <c r="HA203" s="922"/>
      <c r="HB203" s="922"/>
      <c r="HC203" s="922"/>
      <c r="HD203" s="922"/>
      <c r="HE203" s="922"/>
      <c r="HF203" s="922"/>
      <c r="HG203" s="922"/>
      <c r="HH203" s="922"/>
      <c r="HI203" s="922"/>
      <c r="HJ203" s="922"/>
      <c r="HK203" s="922"/>
      <c r="HL203" s="922"/>
      <c r="HM203" s="922"/>
      <c r="HN203" s="922"/>
      <c r="HO203" s="922"/>
      <c r="HP203" s="922"/>
      <c r="HQ203" s="922"/>
      <c r="HR203" s="922"/>
      <c r="HS203" s="922"/>
      <c r="HT203" s="922"/>
      <c r="HU203" s="922"/>
      <c r="HV203" s="922"/>
      <c r="HW203" s="922"/>
      <c r="HX203" s="922"/>
      <c r="HY203" s="922"/>
      <c r="HZ203" s="922"/>
      <c r="IA203" s="922"/>
      <c r="IB203" s="922"/>
      <c r="IC203" s="922"/>
      <c r="ID203" s="922"/>
      <c r="IE203" s="922"/>
      <c r="IF203" s="922"/>
      <c r="IG203" s="922"/>
      <c r="IH203" s="922"/>
      <c r="II203" s="922"/>
      <c r="IJ203" s="922"/>
      <c r="IK203" s="922"/>
      <c r="IL203" s="922"/>
      <c r="IM203" s="922"/>
      <c r="IN203" s="922"/>
      <c r="IO203" s="922"/>
      <c r="IP203" s="922"/>
      <c r="IQ203" s="922"/>
      <c r="IR203" s="922"/>
      <c r="IS203" s="922"/>
      <c r="IT203" s="922"/>
      <c r="IU203" s="922"/>
      <c r="IV203" s="922"/>
      <c r="IW203" s="922"/>
      <c r="IX203" s="922"/>
      <c r="IY203" s="922"/>
      <c r="IZ203" s="922"/>
      <c r="JA203" s="922"/>
      <c r="JB203" s="922"/>
      <c r="JC203" s="922"/>
      <c r="JD203" s="922"/>
      <c r="JE203" s="922"/>
      <c r="JF203" s="922"/>
      <c r="JG203" s="922"/>
      <c r="JH203" s="922"/>
      <c r="JI203" s="922"/>
      <c r="JJ203" s="922"/>
      <c r="JK203" s="922"/>
      <c r="JL203" s="922"/>
      <c r="JM203" s="922"/>
      <c r="JN203" s="922"/>
      <c r="JO203" s="922"/>
      <c r="JP203" s="922"/>
      <c r="JQ203" s="922"/>
      <c r="JR203" s="922"/>
      <c r="JS203" s="922"/>
      <c r="JT203" s="922"/>
      <c r="JU203" s="922"/>
      <c r="JV203" s="922"/>
      <c r="JW203" s="922"/>
      <c r="JX203" s="922"/>
      <c r="JY203" s="922"/>
      <c r="JZ203" s="922"/>
      <c r="KA203" s="922"/>
      <c r="KB203" s="922"/>
      <c r="KC203" s="922"/>
      <c r="KD203" s="922"/>
      <c r="KE203" s="922"/>
      <c r="KF203" s="922"/>
      <c r="KG203" s="922"/>
      <c r="KH203" s="922"/>
      <c r="KI203" s="922"/>
      <c r="KJ203" s="922"/>
      <c r="KK203" s="922"/>
      <c r="KL203" s="922"/>
      <c r="KM203" s="922"/>
      <c r="KN203" s="922"/>
      <c r="KO203" s="922"/>
      <c r="KP203" s="922"/>
      <c r="KQ203" s="922"/>
      <c r="KR203" s="922"/>
      <c r="KS203" s="922"/>
      <c r="KT203" s="922"/>
      <c r="KU203" s="922"/>
      <c r="KV203" s="922"/>
      <c r="KW203" s="922"/>
      <c r="KX203" s="922"/>
      <c r="KY203" s="922"/>
      <c r="KZ203" s="922"/>
      <c r="LA203" s="922"/>
      <c r="LB203" s="922"/>
      <c r="LC203" s="922"/>
      <c r="LD203" s="922"/>
      <c r="LE203" s="922"/>
      <c r="LF203" s="922"/>
      <c r="LG203" s="922"/>
      <c r="LH203" s="922"/>
      <c r="LI203" s="922"/>
      <c r="LJ203" s="922"/>
      <c r="LK203" s="922"/>
      <c r="LL203" s="922"/>
      <c r="LM203" s="922"/>
      <c r="LN203" s="922"/>
      <c r="LO203" s="922"/>
      <c r="LP203" s="922"/>
      <c r="LQ203" s="922"/>
      <c r="LR203" s="922"/>
      <c r="LS203" s="922"/>
      <c r="LT203" s="922"/>
      <c r="LU203" s="922"/>
      <c r="LV203" s="922"/>
      <c r="LW203" s="922"/>
      <c r="LX203" s="922"/>
      <c r="LY203" s="922"/>
      <c r="LZ203" s="922"/>
      <c r="MA203" s="922"/>
      <c r="MB203" s="922"/>
      <c r="MC203" s="922"/>
      <c r="MD203" s="922"/>
      <c r="ME203" s="922"/>
      <c r="MF203" s="922"/>
      <c r="MG203" s="922"/>
      <c r="MH203" s="922"/>
      <c r="MI203" s="922"/>
      <c r="MJ203" s="922"/>
      <c r="MK203" s="922"/>
      <c r="ML203" s="922"/>
      <c r="MM203" s="922"/>
      <c r="MN203" s="922"/>
      <c r="MO203" s="922"/>
      <c r="MP203" s="922"/>
      <c r="MQ203" s="922"/>
      <c r="MR203" s="922"/>
      <c r="MS203" s="922"/>
      <c r="MT203" s="922"/>
      <c r="MU203" s="922"/>
      <c r="MV203" s="922"/>
      <c r="MW203" s="922"/>
      <c r="MX203" s="922"/>
      <c r="MY203" s="922"/>
      <c r="MZ203" s="922"/>
      <c r="NA203" s="922"/>
      <c r="NB203" s="922"/>
      <c r="NC203" s="922"/>
      <c r="ND203" s="922"/>
      <c r="NE203" s="922"/>
      <c r="NF203" s="922"/>
      <c r="NG203" s="922"/>
      <c r="NH203" s="922"/>
      <c r="NI203" s="922"/>
      <c r="NJ203" s="922"/>
      <c r="NK203" s="922"/>
      <c r="NL203" s="922"/>
      <c r="NM203" s="922"/>
      <c r="NN203" s="922"/>
      <c r="NO203" s="922"/>
      <c r="NP203" s="922"/>
      <c r="NQ203" s="922"/>
      <c r="NR203" s="922"/>
      <c r="NS203" s="922"/>
      <c r="NT203" s="922"/>
      <c r="NU203" s="922"/>
      <c r="NV203" s="922"/>
      <c r="NW203" s="922"/>
      <c r="NX203" s="922"/>
      <c r="NY203" s="922"/>
      <c r="NZ203" s="922"/>
      <c r="OA203" s="922"/>
      <c r="OB203" s="922"/>
      <c r="OC203" s="922"/>
      <c r="OD203" s="922"/>
      <c r="OE203" s="922"/>
      <c r="OF203" s="922"/>
      <c r="OG203" s="922"/>
      <c r="OH203" s="922"/>
      <c r="OI203" s="922"/>
      <c r="OJ203" s="922"/>
      <c r="OK203" s="922"/>
      <c r="OL203" s="922"/>
      <c r="OM203" s="922"/>
      <c r="ON203" s="922"/>
      <c r="OO203" s="922"/>
      <c r="OP203" s="922"/>
      <c r="OQ203" s="922"/>
      <c r="OR203" s="922"/>
      <c r="OS203" s="922"/>
      <c r="OT203" s="922"/>
      <c r="OU203" s="922"/>
      <c r="OV203" s="922"/>
      <c r="OW203" s="922"/>
      <c r="OX203" s="922"/>
      <c r="OY203" s="922"/>
      <c r="OZ203" s="922"/>
      <c r="PA203" s="922"/>
      <c r="PB203" s="922"/>
      <c r="PC203" s="922"/>
      <c r="PD203" s="922"/>
      <c r="PE203" s="922"/>
      <c r="PF203" s="922"/>
      <c r="PG203" s="922"/>
      <c r="PH203" s="922"/>
      <c r="PI203" s="922"/>
      <c r="PJ203" s="922"/>
      <c r="PK203" s="922"/>
      <c r="PL203" s="922"/>
      <c r="PM203" s="922"/>
      <c r="PN203" s="922"/>
      <c r="PO203" s="922"/>
      <c r="PP203" s="922"/>
      <c r="PQ203" s="922"/>
      <c r="PR203" s="922"/>
      <c r="PS203" s="922"/>
      <c r="PT203" s="922"/>
      <c r="PU203" s="922"/>
      <c r="PV203" s="922"/>
      <c r="PW203" s="922"/>
      <c r="PX203" s="922"/>
      <c r="PY203" s="922"/>
      <c r="PZ203" s="922"/>
      <c r="QA203" s="922"/>
      <c r="QB203" s="922"/>
      <c r="QC203" s="922"/>
      <c r="QD203" s="922"/>
      <c r="QE203" s="922"/>
      <c r="QF203" s="922"/>
      <c r="QG203" s="922"/>
      <c r="QH203" s="922"/>
      <c r="QI203" s="922"/>
      <c r="QJ203" s="922"/>
      <c r="QK203" s="922"/>
      <c r="QL203" s="922"/>
      <c r="QM203" s="922"/>
      <c r="QN203" s="922"/>
      <c r="QO203" s="922"/>
      <c r="QP203" s="922"/>
      <c r="QQ203" s="922"/>
      <c r="QR203" s="922"/>
      <c r="QS203" s="922"/>
      <c r="QT203" s="922"/>
      <c r="QU203" s="922"/>
      <c r="QV203" s="922"/>
      <c r="QW203" s="922"/>
      <c r="QX203" s="922"/>
      <c r="QY203" s="922"/>
      <c r="QZ203" s="922"/>
      <c r="RA203" s="922"/>
      <c r="RB203" s="922"/>
      <c r="RC203" s="922"/>
      <c r="RD203" s="922"/>
      <c r="RE203" s="922"/>
      <c r="RF203" s="922"/>
      <c r="RG203" s="922"/>
      <c r="RH203" s="922"/>
      <c r="RI203" s="922"/>
      <c r="RJ203" s="922"/>
      <c r="RK203" s="922"/>
      <c r="RL203" s="922"/>
      <c r="RM203" s="922"/>
      <c r="RN203" s="922"/>
      <c r="RO203" s="922"/>
      <c r="RP203" s="922"/>
      <c r="RQ203" s="922"/>
      <c r="RR203" s="922"/>
      <c r="RS203" s="922"/>
      <c r="RT203" s="922"/>
      <c r="RU203" s="922"/>
      <c r="RV203" s="922"/>
      <c r="RW203" s="922"/>
      <c r="RX203" s="922"/>
      <c r="RY203" s="922"/>
      <c r="RZ203" s="922"/>
      <c r="SA203" s="922"/>
      <c r="SB203" s="922"/>
      <c r="SC203" s="922"/>
      <c r="SD203" s="922"/>
      <c r="SE203" s="922"/>
      <c r="SF203" s="922"/>
      <c r="SG203" s="922"/>
      <c r="SH203" s="922"/>
      <c r="SI203" s="922"/>
      <c r="SJ203" s="922"/>
      <c r="SK203" s="922"/>
      <c r="SL203" s="922"/>
      <c r="SM203" s="922"/>
      <c r="SN203" s="922"/>
      <c r="SO203" s="922"/>
      <c r="SP203" s="922"/>
      <c r="SQ203" s="922"/>
      <c r="SR203" s="922"/>
      <c r="SS203" s="922"/>
      <c r="ST203" s="922"/>
      <c r="SU203" s="922"/>
      <c r="SV203" s="922"/>
      <c r="SW203" s="922"/>
      <c r="SX203" s="922"/>
      <c r="SY203" s="922"/>
      <c r="SZ203" s="922"/>
      <c r="TA203" s="922"/>
      <c r="TB203" s="922"/>
      <c r="TC203" s="922"/>
      <c r="TD203" s="922"/>
      <c r="TE203" s="922"/>
      <c r="TF203" s="922"/>
      <c r="TG203" s="922"/>
      <c r="TH203" s="922"/>
      <c r="TI203" s="922"/>
      <c r="TJ203" s="922"/>
      <c r="TK203" s="922"/>
      <c r="TL203" s="922"/>
      <c r="TM203" s="922"/>
      <c r="TN203" s="922"/>
      <c r="TO203" s="922"/>
      <c r="TP203" s="922"/>
      <c r="TQ203" s="922"/>
      <c r="TR203" s="922"/>
      <c r="TS203" s="922"/>
      <c r="TT203" s="922"/>
      <c r="TU203" s="922"/>
      <c r="TV203" s="922"/>
      <c r="TW203" s="922"/>
      <c r="TX203" s="922"/>
      <c r="TY203" s="922"/>
      <c r="TZ203" s="922"/>
      <c r="UA203" s="922"/>
      <c r="UB203" s="922"/>
      <c r="UC203" s="922"/>
      <c r="UD203" s="922"/>
      <c r="UE203" s="922"/>
      <c r="UF203" s="922"/>
      <c r="UG203" s="922"/>
      <c r="UH203" s="922"/>
      <c r="UI203" s="922"/>
      <c r="UJ203" s="922"/>
      <c r="UK203" s="922"/>
      <c r="UL203" s="922"/>
      <c r="UM203" s="922"/>
      <c r="UN203" s="922"/>
      <c r="UO203" s="922"/>
      <c r="UP203" s="922"/>
      <c r="UQ203" s="922"/>
      <c r="UR203" s="922"/>
      <c r="US203" s="922"/>
      <c r="UT203" s="922"/>
      <c r="UU203" s="922"/>
      <c r="UV203" s="922"/>
      <c r="UW203" s="922"/>
      <c r="UX203" s="922"/>
      <c r="UY203" s="922"/>
      <c r="UZ203" s="922"/>
      <c r="VA203" s="922"/>
      <c r="VB203" s="922"/>
      <c r="VC203" s="922"/>
      <c r="VD203" s="922"/>
      <c r="VE203" s="922"/>
      <c r="VF203" s="922"/>
      <c r="VG203" s="922"/>
      <c r="VH203" s="922"/>
      <c r="VI203" s="922"/>
      <c r="VJ203" s="922"/>
      <c r="VK203" s="922"/>
      <c r="VL203" s="922"/>
      <c r="VM203" s="922"/>
      <c r="VN203" s="922"/>
      <c r="VO203" s="922"/>
      <c r="VP203" s="922"/>
      <c r="VQ203" s="922"/>
      <c r="VR203" s="922"/>
      <c r="VS203" s="922"/>
      <c r="VT203" s="922"/>
      <c r="VU203" s="922"/>
      <c r="VV203" s="922"/>
      <c r="VW203" s="922"/>
      <c r="VX203" s="922"/>
      <c r="VY203" s="922"/>
      <c r="VZ203" s="922"/>
      <c r="WA203" s="922"/>
      <c r="WB203" s="922"/>
      <c r="WC203" s="922"/>
      <c r="WD203" s="922"/>
      <c r="WE203" s="922"/>
      <c r="WF203" s="922"/>
      <c r="WG203" s="922"/>
      <c r="WH203" s="922"/>
      <c r="WI203" s="922"/>
      <c r="WJ203" s="922"/>
      <c r="WK203" s="922"/>
      <c r="WL203" s="922"/>
      <c r="WM203" s="922"/>
      <c r="WN203" s="922"/>
      <c r="WO203" s="922"/>
      <c r="WP203" s="922"/>
      <c r="WQ203" s="922"/>
      <c r="WR203" s="922"/>
      <c r="WS203" s="922"/>
      <c r="WT203" s="922"/>
      <c r="WU203" s="922"/>
      <c r="WV203" s="922"/>
      <c r="WW203" s="922"/>
      <c r="WX203" s="922"/>
      <c r="WY203" s="922"/>
      <c r="WZ203" s="922"/>
      <c r="XA203" s="922"/>
      <c r="XB203" s="922"/>
      <c r="XC203" s="922"/>
      <c r="XD203" s="922"/>
      <c r="XE203" s="922"/>
      <c r="XF203" s="922"/>
      <c r="XG203" s="922"/>
      <c r="XH203" s="922"/>
      <c r="XI203" s="922"/>
      <c r="XJ203" s="922"/>
      <c r="XK203" s="922"/>
      <c r="XL203" s="922"/>
      <c r="XM203" s="922"/>
      <c r="XN203" s="922"/>
      <c r="XO203" s="922"/>
      <c r="XP203" s="922"/>
      <c r="XQ203" s="922"/>
      <c r="XR203" s="922"/>
      <c r="XS203" s="922"/>
      <c r="XT203" s="922"/>
      <c r="XU203" s="922"/>
      <c r="XV203" s="922"/>
      <c r="XW203" s="922"/>
      <c r="XX203" s="922"/>
      <c r="XY203" s="922"/>
      <c r="XZ203" s="922"/>
      <c r="YA203" s="922"/>
      <c r="YB203" s="922"/>
      <c r="YC203" s="922"/>
      <c r="YD203" s="922"/>
      <c r="YE203" s="922"/>
      <c r="YF203" s="922"/>
      <c r="YG203" s="922"/>
      <c r="YH203" s="922"/>
      <c r="YI203" s="922"/>
      <c r="YJ203" s="922"/>
      <c r="YK203" s="922"/>
      <c r="YL203" s="922"/>
      <c r="YM203" s="922"/>
      <c r="YN203" s="922"/>
      <c r="YO203" s="922"/>
      <c r="YP203" s="922"/>
      <c r="YQ203" s="922"/>
      <c r="YR203" s="922"/>
      <c r="YS203" s="922"/>
      <c r="YT203" s="922"/>
      <c r="YU203" s="922"/>
      <c r="YV203" s="922"/>
      <c r="YW203" s="922"/>
      <c r="YX203" s="922"/>
      <c r="YY203" s="922"/>
      <c r="YZ203" s="922"/>
      <c r="ZA203" s="922"/>
      <c r="ZB203" s="922"/>
      <c r="ZC203" s="922"/>
      <c r="ZD203" s="922"/>
      <c r="ZE203" s="922"/>
      <c r="ZF203" s="922"/>
      <c r="ZG203" s="922"/>
      <c r="ZH203" s="922"/>
      <c r="ZI203" s="922"/>
      <c r="ZJ203" s="922"/>
      <c r="ZK203" s="922"/>
      <c r="ZL203" s="922"/>
      <c r="ZM203" s="922"/>
      <c r="ZN203" s="922"/>
      <c r="ZO203" s="922"/>
      <c r="ZP203" s="922"/>
      <c r="ZQ203" s="922"/>
      <c r="ZR203" s="922"/>
      <c r="ZS203" s="922"/>
      <c r="ZT203" s="922"/>
      <c r="ZU203" s="922"/>
      <c r="ZV203" s="922"/>
      <c r="ZW203" s="922"/>
      <c r="ZX203" s="922"/>
      <c r="ZY203" s="922"/>
      <c r="ZZ203" s="922"/>
      <c r="AAA203" s="922"/>
      <c r="AAB203" s="922"/>
      <c r="AAC203" s="922"/>
      <c r="AAD203" s="922"/>
      <c r="AAE203" s="922"/>
      <c r="AAF203" s="922"/>
      <c r="AAG203" s="922"/>
      <c r="AAH203" s="922"/>
      <c r="AAI203" s="922"/>
      <c r="AAJ203" s="922"/>
      <c r="AAK203" s="922"/>
      <c r="AAL203" s="922"/>
      <c r="AAM203" s="922"/>
      <c r="AAN203" s="922"/>
      <c r="AAO203" s="922"/>
      <c r="AAP203" s="922"/>
      <c r="AAQ203" s="922"/>
      <c r="AAR203" s="922"/>
      <c r="AAS203" s="922"/>
      <c r="AAT203" s="922"/>
      <c r="AAU203" s="922"/>
      <c r="AAV203" s="922"/>
      <c r="AAW203" s="922"/>
      <c r="AAX203" s="922"/>
      <c r="AAY203" s="922"/>
      <c r="AAZ203" s="922"/>
      <c r="ABA203" s="922"/>
      <c r="ABB203" s="922"/>
      <c r="ABC203" s="922"/>
      <c r="ABD203" s="922"/>
      <c r="ABE203" s="922"/>
      <c r="ABF203" s="922"/>
      <c r="ABG203" s="922"/>
      <c r="ABH203" s="922"/>
      <c r="ABI203" s="922"/>
      <c r="ABJ203" s="922"/>
      <c r="ABK203" s="922"/>
      <c r="ABL203" s="922"/>
      <c r="ABM203" s="922"/>
      <c r="ABN203" s="922"/>
      <c r="ABO203" s="922"/>
      <c r="ABP203" s="922"/>
      <c r="ABQ203" s="922"/>
      <c r="ABR203" s="922"/>
      <c r="ABS203" s="922"/>
      <c r="ABT203" s="922"/>
      <c r="ABU203" s="922"/>
      <c r="ABV203" s="922"/>
      <c r="ABW203" s="922"/>
      <c r="ABX203" s="922"/>
      <c r="ABY203" s="922"/>
      <c r="ABZ203" s="922"/>
      <c r="ACA203" s="922"/>
      <c r="ACB203" s="922"/>
      <c r="ACC203" s="922"/>
      <c r="ACD203" s="922"/>
      <c r="ACE203" s="922"/>
      <c r="ACF203" s="922"/>
      <c r="ACG203" s="922"/>
      <c r="ACH203" s="922"/>
      <c r="ACI203" s="922"/>
      <c r="ACJ203" s="922"/>
      <c r="ACK203" s="922"/>
      <c r="ACL203" s="922"/>
      <c r="ACM203" s="922"/>
      <c r="ACN203" s="922"/>
      <c r="ACO203" s="922"/>
      <c r="ACP203" s="922"/>
      <c r="ACQ203" s="922"/>
      <c r="ACR203" s="922"/>
      <c r="ACS203" s="922"/>
      <c r="ACT203" s="922"/>
      <c r="ACU203" s="922"/>
      <c r="ACV203" s="922"/>
      <c r="ACW203" s="922"/>
      <c r="ACX203" s="922"/>
      <c r="ACY203" s="922"/>
      <c r="ACZ203" s="922"/>
      <c r="ADA203" s="922"/>
      <c r="ADB203" s="922"/>
      <c r="ADC203" s="922"/>
      <c r="ADD203" s="922"/>
      <c r="ADE203" s="922"/>
      <c r="ADF203" s="922"/>
      <c r="ADG203" s="922"/>
      <c r="ADH203" s="922"/>
      <c r="ADI203" s="922"/>
      <c r="ADJ203" s="922"/>
      <c r="ADK203" s="922"/>
      <c r="ADL203" s="922"/>
      <c r="ADM203" s="922"/>
      <c r="ADN203" s="922"/>
      <c r="ADO203" s="922"/>
      <c r="ADP203" s="922"/>
      <c r="ADQ203" s="922"/>
      <c r="ADR203" s="922"/>
      <c r="ADS203" s="922"/>
      <c r="ADT203" s="922"/>
      <c r="ADU203" s="922"/>
      <c r="ADV203" s="922"/>
      <c r="ADW203" s="922"/>
      <c r="ADX203" s="922"/>
      <c r="ADY203" s="922"/>
      <c r="ADZ203" s="922"/>
      <c r="AEA203" s="922"/>
      <c r="AEB203" s="922"/>
      <c r="AEC203" s="922"/>
      <c r="AED203" s="922"/>
      <c r="AEE203" s="922"/>
      <c r="AEF203" s="922"/>
      <c r="AEG203" s="922"/>
      <c r="AEH203" s="922"/>
      <c r="AEI203" s="922"/>
      <c r="AEJ203" s="922"/>
      <c r="AEK203" s="922"/>
      <c r="AEL203" s="922"/>
      <c r="AEM203" s="922"/>
      <c r="AEN203" s="922"/>
      <c r="AEO203" s="922"/>
      <c r="AEP203" s="922"/>
      <c r="AEQ203" s="922"/>
      <c r="AER203" s="922"/>
      <c r="AES203" s="922"/>
      <c r="AET203" s="922"/>
      <c r="AEU203" s="922"/>
      <c r="AEV203" s="922"/>
      <c r="AEW203" s="922"/>
      <c r="AEX203" s="922"/>
      <c r="AEY203" s="922"/>
      <c r="AEZ203" s="922"/>
      <c r="AFA203" s="922"/>
      <c r="AFB203" s="922"/>
      <c r="AFC203" s="922"/>
      <c r="AFD203" s="922"/>
      <c r="AFE203" s="922"/>
      <c r="AFF203" s="922"/>
      <c r="AFG203" s="922"/>
      <c r="AFH203" s="922"/>
      <c r="AFI203" s="922"/>
      <c r="AFJ203" s="922"/>
      <c r="AFK203" s="922"/>
      <c r="AFL203" s="922"/>
      <c r="AFM203" s="922"/>
      <c r="AFN203" s="922"/>
      <c r="AFO203" s="922"/>
      <c r="AFP203" s="922"/>
      <c r="AFQ203" s="922"/>
      <c r="AFR203" s="922"/>
      <c r="AFS203" s="922"/>
      <c r="AFT203" s="922"/>
      <c r="AFU203" s="922"/>
      <c r="AFV203" s="922"/>
      <c r="AFW203" s="922"/>
      <c r="AFX203" s="922"/>
      <c r="AFY203" s="922"/>
      <c r="AFZ203" s="922"/>
      <c r="AGA203" s="922"/>
      <c r="AGB203" s="922"/>
      <c r="AGC203" s="922"/>
      <c r="AGD203" s="922"/>
      <c r="AGE203" s="922"/>
      <c r="AGF203" s="922"/>
      <c r="AGG203" s="922"/>
      <c r="AGH203" s="922"/>
      <c r="AGI203" s="922"/>
      <c r="AGJ203" s="922"/>
      <c r="AGK203" s="922"/>
      <c r="AGL203" s="922"/>
      <c r="AGM203" s="922"/>
      <c r="AGN203" s="922"/>
      <c r="AGO203" s="922"/>
      <c r="AGP203" s="922"/>
      <c r="AGQ203" s="922"/>
      <c r="AGR203" s="922"/>
      <c r="AGS203" s="922"/>
      <c r="AGT203" s="922"/>
      <c r="AGU203" s="922"/>
      <c r="AGV203" s="922"/>
      <c r="AGW203" s="922"/>
      <c r="AGX203" s="922"/>
      <c r="AGY203" s="922"/>
      <c r="AGZ203" s="922"/>
      <c r="AHA203" s="922"/>
      <c r="AHB203" s="922"/>
      <c r="AHC203" s="922"/>
      <c r="AHD203" s="922"/>
      <c r="AHE203" s="922"/>
      <c r="AHF203" s="922"/>
      <c r="AHG203" s="922"/>
      <c r="AHH203" s="922"/>
      <c r="AHI203" s="922"/>
      <c r="AHJ203" s="922"/>
      <c r="AHK203" s="922"/>
      <c r="AHL203" s="922"/>
      <c r="AHM203" s="922"/>
      <c r="AHN203" s="922"/>
      <c r="AHO203" s="922"/>
      <c r="AHP203" s="922"/>
      <c r="AHQ203" s="922"/>
      <c r="AHR203" s="922"/>
      <c r="AHS203" s="922"/>
      <c r="AHT203" s="922"/>
      <c r="AHU203" s="922"/>
      <c r="AHV203" s="922"/>
      <c r="AHW203" s="922"/>
      <c r="AHX203" s="922"/>
      <c r="AHY203" s="922"/>
      <c r="AHZ203" s="922"/>
      <c r="AIA203" s="922"/>
      <c r="AIB203" s="922"/>
      <c r="AIC203" s="922"/>
      <c r="AID203" s="922"/>
      <c r="AIE203" s="922"/>
      <c r="AIF203" s="922"/>
      <c r="AIG203" s="922"/>
      <c r="AIH203" s="922"/>
      <c r="AII203" s="922"/>
      <c r="AIJ203" s="922"/>
      <c r="AIK203" s="922"/>
      <c r="AIL203" s="922"/>
      <c r="AIM203" s="922"/>
      <c r="AIN203" s="922"/>
      <c r="AIO203" s="922"/>
      <c r="AIP203" s="922"/>
      <c r="AIQ203" s="922"/>
      <c r="AIR203" s="922"/>
      <c r="AIS203" s="922"/>
      <c r="AIT203" s="922"/>
      <c r="AIU203" s="922"/>
      <c r="AIV203" s="922"/>
      <c r="AIW203" s="922"/>
      <c r="AIX203" s="922"/>
      <c r="AIY203" s="922"/>
      <c r="AIZ203" s="922"/>
      <c r="AJA203" s="922"/>
      <c r="AJB203" s="922"/>
      <c r="AJC203" s="922"/>
      <c r="AJD203" s="922"/>
      <c r="AJE203" s="922"/>
      <c r="AJF203" s="922"/>
      <c r="AJG203" s="922"/>
      <c r="AJH203" s="922"/>
      <c r="AJI203" s="922"/>
      <c r="AJJ203" s="922"/>
      <c r="AJK203" s="922"/>
      <c r="AJL203" s="922"/>
      <c r="AJM203" s="922"/>
      <c r="AJN203" s="922"/>
      <c r="AJO203" s="922"/>
      <c r="AJP203" s="922"/>
      <c r="AJQ203" s="922"/>
      <c r="AJR203" s="922"/>
      <c r="AJS203" s="922"/>
      <c r="AJT203" s="922"/>
      <c r="AJU203" s="922"/>
      <c r="AJV203" s="922"/>
      <c r="AJW203" s="922"/>
      <c r="AJX203" s="922"/>
      <c r="AJY203" s="922"/>
      <c r="AJZ203" s="922"/>
      <c r="AKA203" s="922"/>
      <c r="AKB203" s="922"/>
      <c r="AKC203" s="922"/>
      <c r="AKD203" s="922"/>
      <c r="AKE203" s="922"/>
      <c r="AKF203" s="922"/>
      <c r="AKG203" s="922"/>
      <c r="AKH203" s="922"/>
      <c r="AKI203" s="922"/>
      <c r="AKJ203" s="922"/>
      <c r="AKK203" s="922"/>
      <c r="AKL203" s="922"/>
      <c r="AKM203" s="922"/>
      <c r="AKN203" s="922"/>
      <c r="AKO203" s="922"/>
      <c r="AKP203" s="922"/>
      <c r="AKQ203" s="922"/>
      <c r="AKR203" s="922"/>
      <c r="AKS203" s="922"/>
      <c r="AKT203" s="922"/>
      <c r="AKU203" s="922"/>
      <c r="AKV203" s="922"/>
      <c r="AKW203" s="922"/>
      <c r="AKX203" s="922"/>
      <c r="AKY203" s="922"/>
      <c r="AKZ203" s="922"/>
      <c r="ALA203" s="922"/>
      <c r="ALB203" s="922"/>
      <c r="ALC203" s="922"/>
      <c r="ALD203" s="922"/>
      <c r="ALE203" s="922"/>
      <c r="ALF203" s="922"/>
      <c r="ALG203" s="922"/>
      <c r="ALH203" s="922"/>
      <c r="ALI203" s="922"/>
      <c r="ALJ203" s="922"/>
      <c r="ALK203" s="922"/>
      <c r="ALL203" s="922"/>
      <c r="ALM203" s="922"/>
      <c r="ALN203" s="922"/>
      <c r="ALO203" s="922"/>
      <c r="ALP203" s="922"/>
      <c r="ALQ203" s="922"/>
      <c r="ALR203" s="922"/>
      <c r="ALS203" s="922"/>
      <c r="ALT203" s="922"/>
      <c r="ALU203" s="922"/>
      <c r="ALV203" s="922"/>
      <c r="ALW203" s="922"/>
      <c r="ALX203" s="922"/>
      <c r="ALY203" s="922"/>
      <c r="ALZ203" s="922"/>
      <c r="AMA203" s="922"/>
      <c r="AMB203" s="922"/>
      <c r="AMC203" s="922"/>
      <c r="AMD203" s="922"/>
      <c r="AME203" s="922"/>
      <c r="AMF203" s="922"/>
      <c r="AMG203" s="922"/>
      <c r="AMH203" s="922"/>
      <c r="AMI203" s="922"/>
      <c r="AMJ203" s="922"/>
      <c r="AMK203" s="922"/>
      <c r="AML203" s="922"/>
      <c r="AMM203" s="922"/>
      <c r="AMN203" s="922"/>
      <c r="AMO203" s="922"/>
      <c r="AMP203" s="922"/>
      <c r="AMQ203" s="922"/>
      <c r="AMR203" s="922"/>
      <c r="AMS203" s="922"/>
      <c r="AMT203" s="922"/>
      <c r="AMU203" s="922"/>
      <c r="AMV203" s="922"/>
      <c r="AMW203" s="922"/>
      <c r="AMX203" s="922"/>
      <c r="AMY203" s="922"/>
      <c r="AMZ203" s="922"/>
      <c r="ANA203" s="922"/>
      <c r="ANB203" s="922"/>
      <c r="ANC203" s="922"/>
      <c r="AND203" s="922"/>
      <c r="ANE203" s="922"/>
      <c r="ANF203" s="922"/>
      <c r="ANG203" s="922"/>
      <c r="ANH203" s="922"/>
      <c r="ANI203" s="922"/>
      <c r="ANJ203" s="922"/>
      <c r="ANK203" s="922"/>
      <c r="ANL203" s="922"/>
      <c r="ANM203" s="922"/>
      <c r="ANN203" s="922"/>
      <c r="ANO203" s="922"/>
      <c r="ANP203" s="922"/>
      <c r="ANQ203" s="922"/>
      <c r="ANR203" s="922"/>
      <c r="ANS203" s="922"/>
      <c r="ANT203" s="922"/>
      <c r="ANU203" s="922"/>
      <c r="ANV203" s="922"/>
      <c r="ANW203" s="922"/>
      <c r="ANX203" s="922"/>
      <c r="ANY203" s="922"/>
      <c r="ANZ203" s="922"/>
      <c r="AOA203" s="922"/>
      <c r="AOB203" s="922"/>
      <c r="AOC203" s="922"/>
      <c r="AOD203" s="922"/>
      <c r="AOE203" s="922"/>
      <c r="AOF203" s="922"/>
      <c r="AOG203" s="922"/>
      <c r="AOH203" s="922"/>
      <c r="AOI203" s="922"/>
      <c r="AOJ203" s="922"/>
      <c r="AOK203" s="922"/>
      <c r="AOL203" s="922"/>
      <c r="AOM203" s="922"/>
      <c r="AON203" s="922"/>
      <c r="AOO203" s="922"/>
      <c r="AOP203" s="922"/>
      <c r="AOQ203" s="922"/>
      <c r="AOR203" s="922"/>
      <c r="AOS203" s="922"/>
      <c r="AOT203" s="922"/>
      <c r="AOU203" s="922"/>
      <c r="AOV203" s="922"/>
      <c r="AOW203" s="922"/>
      <c r="AOX203" s="922"/>
      <c r="AOY203" s="922"/>
      <c r="AOZ203" s="922"/>
      <c r="APA203" s="922"/>
      <c r="APB203" s="922"/>
      <c r="APC203" s="922"/>
      <c r="APD203" s="922"/>
      <c r="APE203" s="922"/>
      <c r="APF203" s="922"/>
      <c r="APG203" s="922"/>
      <c r="APH203" s="922"/>
      <c r="API203" s="922"/>
      <c r="APJ203" s="922"/>
      <c r="APK203" s="922"/>
      <c r="APL203" s="922"/>
      <c r="APM203" s="922"/>
      <c r="APN203" s="922"/>
      <c r="APO203" s="922"/>
      <c r="APP203" s="922"/>
      <c r="APQ203" s="922"/>
      <c r="APR203" s="922"/>
      <c r="APS203" s="922"/>
      <c r="APT203" s="922"/>
      <c r="APU203" s="922"/>
      <c r="APV203" s="922"/>
      <c r="APW203" s="922"/>
      <c r="APX203" s="922"/>
      <c r="APY203" s="922"/>
      <c r="APZ203" s="922"/>
      <c r="AQA203" s="922"/>
      <c r="AQB203" s="922"/>
      <c r="AQC203" s="922"/>
      <c r="AQD203" s="922"/>
      <c r="AQE203" s="922"/>
      <c r="AQF203" s="922"/>
      <c r="AQG203" s="922"/>
      <c r="AQH203" s="922"/>
      <c r="AQI203" s="922"/>
      <c r="AQJ203" s="922"/>
      <c r="AQK203" s="922"/>
      <c r="AQL203" s="922"/>
      <c r="AQM203" s="922"/>
      <c r="AQN203" s="922"/>
      <c r="AQO203" s="922"/>
      <c r="AQP203" s="922"/>
      <c r="AQQ203" s="922"/>
      <c r="AQR203" s="922"/>
      <c r="AQS203" s="922"/>
      <c r="AQT203" s="922"/>
      <c r="AQU203" s="922"/>
      <c r="AQV203" s="922"/>
      <c r="AQW203" s="922"/>
      <c r="AQX203" s="922"/>
      <c r="AQY203" s="922"/>
      <c r="AQZ203" s="922"/>
      <c r="ARA203" s="922"/>
      <c r="ARB203" s="922"/>
      <c r="ARC203" s="922"/>
      <c r="ARD203" s="922"/>
      <c r="ARE203" s="922"/>
      <c r="ARF203" s="922"/>
      <c r="ARG203" s="922"/>
      <c r="ARH203" s="922"/>
      <c r="ARI203" s="922"/>
      <c r="ARJ203" s="922"/>
      <c r="ARK203" s="922"/>
      <c r="ARL203" s="922"/>
      <c r="ARM203" s="922"/>
      <c r="ARN203" s="922"/>
      <c r="ARO203" s="922"/>
      <c r="ARP203" s="922"/>
      <c r="ARQ203" s="922"/>
      <c r="ARR203" s="922"/>
      <c r="ARS203" s="922"/>
      <c r="ART203" s="922"/>
      <c r="ARU203" s="922"/>
      <c r="ARV203" s="922"/>
      <c r="ARW203" s="922"/>
      <c r="ARX203" s="922"/>
      <c r="ARY203" s="922"/>
      <c r="ARZ203" s="922"/>
      <c r="ASA203" s="922"/>
      <c r="ASB203" s="922"/>
      <c r="ASC203" s="922"/>
    </row>
    <row r="204" spans="20:1173" hidden="1">
      <c r="T204" s="922"/>
      <c r="AN204" s="922"/>
      <c r="AO204" s="922"/>
      <c r="AP204" s="922"/>
      <c r="AQ204" s="922"/>
      <c r="AR204" s="922"/>
      <c r="AS204" s="922"/>
      <c r="AT204" s="922"/>
      <c r="AU204" s="922"/>
      <c r="AV204" s="922"/>
      <c r="AW204" s="922"/>
      <c r="AX204" s="922"/>
      <c r="AY204" s="922"/>
      <c r="AZ204" s="922"/>
      <c r="BA204" s="922"/>
      <c r="BB204" s="922"/>
      <c r="BC204" s="922"/>
      <c r="BD204" s="922"/>
      <c r="BE204" s="922"/>
      <c r="BF204" s="922"/>
      <c r="BG204" s="922"/>
      <c r="BH204" s="922"/>
      <c r="BI204" s="922"/>
      <c r="BJ204" s="922"/>
      <c r="BK204" s="922"/>
      <c r="BL204" s="922"/>
      <c r="BM204" s="922"/>
      <c r="BN204" s="922"/>
      <c r="BO204" s="922"/>
      <c r="BP204" s="922"/>
      <c r="BQ204" s="922"/>
      <c r="BR204" s="922"/>
      <c r="BS204" s="922"/>
      <c r="BT204" s="922"/>
      <c r="BU204" s="922"/>
      <c r="BV204" s="922"/>
      <c r="BW204" s="922"/>
      <c r="BX204" s="922"/>
      <c r="BY204" s="922"/>
      <c r="BZ204" s="922"/>
      <c r="CA204" s="922"/>
      <c r="CB204" s="922"/>
      <c r="CC204" s="922"/>
      <c r="CD204" s="922"/>
      <c r="CE204" s="922"/>
      <c r="CF204" s="922"/>
      <c r="CG204" s="922"/>
      <c r="CH204" s="922"/>
      <c r="CI204" s="922"/>
      <c r="CJ204" s="922"/>
      <c r="CK204" s="922"/>
      <c r="CL204" s="922"/>
      <c r="CM204" s="922"/>
      <c r="CN204" s="922"/>
      <c r="CO204" s="922"/>
      <c r="CP204" s="922"/>
      <c r="CQ204" s="922"/>
      <c r="CR204" s="922"/>
      <c r="CS204" s="922"/>
      <c r="CT204" s="922"/>
      <c r="CU204" s="922"/>
      <c r="CV204" s="922"/>
      <c r="CW204" s="922"/>
      <c r="CX204" s="922"/>
      <c r="CY204" s="922"/>
      <c r="CZ204" s="922"/>
      <c r="DA204" s="922"/>
      <c r="DB204" s="922"/>
      <c r="DC204" s="922"/>
      <c r="DD204" s="922"/>
      <c r="DE204" s="922"/>
      <c r="DF204" s="922"/>
      <c r="DG204" s="922"/>
      <c r="DH204" s="922"/>
      <c r="DI204" s="922"/>
      <c r="DJ204" s="922"/>
      <c r="DK204" s="922"/>
      <c r="DL204" s="922"/>
      <c r="DM204" s="922"/>
      <c r="DN204" s="922"/>
      <c r="DO204" s="922"/>
      <c r="DP204" s="922"/>
      <c r="DQ204" s="922"/>
      <c r="DR204" s="922"/>
      <c r="DS204" s="922"/>
      <c r="DT204" s="922"/>
      <c r="DU204" s="922"/>
      <c r="DV204" s="922"/>
      <c r="DW204" s="922"/>
      <c r="DX204" s="922"/>
      <c r="DY204" s="922"/>
      <c r="DZ204" s="922"/>
      <c r="EA204" s="922"/>
      <c r="EB204" s="922"/>
      <c r="EC204" s="922"/>
      <c r="ED204" s="922"/>
      <c r="EE204" s="922"/>
      <c r="EF204" s="922"/>
      <c r="EG204" s="922"/>
      <c r="EH204" s="922"/>
      <c r="EI204" s="922"/>
      <c r="EJ204" s="922"/>
      <c r="EK204" s="922"/>
      <c r="EL204" s="922"/>
      <c r="EM204" s="922"/>
      <c r="EN204" s="922"/>
      <c r="EO204" s="922"/>
      <c r="EP204" s="922"/>
      <c r="EQ204" s="922"/>
      <c r="ER204" s="922"/>
      <c r="ES204" s="922"/>
      <c r="ET204" s="922"/>
      <c r="EU204" s="922"/>
      <c r="EV204" s="922"/>
      <c r="EW204" s="922"/>
      <c r="EX204" s="922"/>
      <c r="EY204" s="922"/>
      <c r="EZ204" s="922"/>
      <c r="FA204" s="922"/>
      <c r="FB204" s="922"/>
      <c r="FC204" s="922"/>
      <c r="FD204" s="922"/>
      <c r="FE204" s="922"/>
      <c r="FF204" s="922"/>
      <c r="FG204" s="922"/>
      <c r="FH204" s="922"/>
      <c r="FI204" s="922"/>
      <c r="FJ204" s="922"/>
      <c r="FK204" s="922"/>
      <c r="FL204" s="922"/>
      <c r="FM204" s="922"/>
      <c r="FN204" s="922"/>
      <c r="FO204" s="922"/>
      <c r="FP204" s="922"/>
      <c r="FQ204" s="922"/>
      <c r="FR204" s="922"/>
      <c r="FS204" s="922"/>
      <c r="FT204" s="922"/>
      <c r="FU204" s="922"/>
      <c r="FV204" s="922"/>
      <c r="FW204" s="922"/>
      <c r="FX204" s="922"/>
      <c r="FY204" s="922"/>
      <c r="FZ204" s="922"/>
      <c r="GA204" s="922"/>
      <c r="GB204" s="922"/>
      <c r="GC204" s="922"/>
      <c r="GD204" s="922"/>
      <c r="GE204" s="922"/>
      <c r="GF204" s="922"/>
      <c r="GG204" s="922"/>
      <c r="GH204" s="922"/>
      <c r="GI204" s="922"/>
      <c r="GJ204" s="922"/>
      <c r="GK204" s="922"/>
      <c r="GL204" s="922"/>
      <c r="GM204" s="922"/>
      <c r="GN204" s="922"/>
      <c r="GO204" s="922"/>
      <c r="GP204" s="922"/>
      <c r="GQ204" s="922"/>
      <c r="GR204" s="922"/>
      <c r="GS204" s="922"/>
      <c r="GT204" s="922"/>
      <c r="GU204" s="922"/>
      <c r="GV204" s="922"/>
      <c r="GW204" s="922"/>
      <c r="GX204" s="922"/>
      <c r="GY204" s="922"/>
      <c r="GZ204" s="922"/>
      <c r="HA204" s="922"/>
      <c r="HB204" s="922"/>
      <c r="HC204" s="922"/>
      <c r="HD204" s="922"/>
      <c r="HE204" s="922"/>
      <c r="HF204" s="922"/>
      <c r="HG204" s="922"/>
      <c r="HH204" s="922"/>
      <c r="HI204" s="922"/>
      <c r="HJ204" s="922"/>
      <c r="HK204" s="922"/>
      <c r="HL204" s="922"/>
      <c r="HM204" s="922"/>
      <c r="HN204" s="922"/>
      <c r="HO204" s="922"/>
      <c r="HP204" s="922"/>
      <c r="HQ204" s="922"/>
      <c r="HR204" s="922"/>
      <c r="HS204" s="922"/>
      <c r="HT204" s="922"/>
      <c r="HU204" s="922"/>
      <c r="HV204" s="922"/>
      <c r="HW204" s="922"/>
      <c r="HX204" s="922"/>
      <c r="HY204" s="922"/>
      <c r="HZ204" s="922"/>
      <c r="IA204" s="922"/>
      <c r="IB204" s="922"/>
      <c r="IC204" s="922"/>
      <c r="ID204" s="922"/>
      <c r="IE204" s="922"/>
      <c r="IF204" s="922"/>
      <c r="IG204" s="922"/>
      <c r="IH204" s="922"/>
      <c r="II204" s="922"/>
      <c r="IJ204" s="922"/>
      <c r="IK204" s="922"/>
      <c r="IL204" s="922"/>
      <c r="IM204" s="922"/>
      <c r="IN204" s="922"/>
      <c r="IO204" s="922"/>
      <c r="IP204" s="922"/>
      <c r="IQ204" s="922"/>
      <c r="IR204" s="922"/>
      <c r="IS204" s="922"/>
      <c r="IT204" s="922"/>
      <c r="IU204" s="922"/>
      <c r="IV204" s="922"/>
      <c r="IW204" s="922"/>
      <c r="IX204" s="922"/>
      <c r="IY204" s="922"/>
      <c r="IZ204" s="922"/>
      <c r="JA204" s="922"/>
      <c r="JB204" s="922"/>
      <c r="JC204" s="922"/>
      <c r="JD204" s="922"/>
      <c r="JE204" s="922"/>
      <c r="JF204" s="922"/>
      <c r="JG204" s="922"/>
      <c r="JH204" s="922"/>
      <c r="JI204" s="922"/>
      <c r="JJ204" s="922"/>
      <c r="JK204" s="922"/>
      <c r="JL204" s="922"/>
      <c r="JM204" s="922"/>
      <c r="JN204" s="922"/>
      <c r="JO204" s="922"/>
      <c r="JP204" s="922"/>
      <c r="JQ204" s="922"/>
      <c r="JR204" s="922"/>
      <c r="JS204" s="922"/>
      <c r="JT204" s="922"/>
      <c r="JU204" s="922"/>
      <c r="JV204" s="922"/>
      <c r="JW204" s="922"/>
      <c r="JX204" s="922"/>
      <c r="JY204" s="922"/>
      <c r="JZ204" s="922"/>
      <c r="KA204" s="922"/>
      <c r="KB204" s="922"/>
      <c r="KC204" s="922"/>
      <c r="KD204" s="922"/>
      <c r="KE204" s="922"/>
      <c r="KF204" s="922"/>
      <c r="KG204" s="922"/>
      <c r="KH204" s="922"/>
      <c r="KI204" s="922"/>
      <c r="KJ204" s="922"/>
      <c r="KK204" s="922"/>
      <c r="KL204" s="922"/>
      <c r="KM204" s="922"/>
      <c r="KN204" s="922"/>
      <c r="KO204" s="922"/>
      <c r="KP204" s="922"/>
      <c r="KQ204" s="922"/>
      <c r="KR204" s="922"/>
      <c r="KS204" s="922"/>
      <c r="KT204" s="922"/>
      <c r="KU204" s="922"/>
      <c r="KV204" s="922"/>
      <c r="KW204" s="922"/>
      <c r="KX204" s="922"/>
      <c r="KY204" s="922"/>
      <c r="KZ204" s="922"/>
      <c r="LA204" s="922"/>
      <c r="LB204" s="922"/>
      <c r="LC204" s="922"/>
      <c r="LD204" s="922"/>
      <c r="LE204" s="922"/>
      <c r="LF204" s="922"/>
      <c r="LG204" s="922"/>
      <c r="LH204" s="922"/>
      <c r="LI204" s="922"/>
      <c r="LJ204" s="922"/>
      <c r="LK204" s="922"/>
      <c r="LL204" s="922"/>
      <c r="LM204" s="922"/>
      <c r="LN204" s="922"/>
      <c r="LO204" s="922"/>
      <c r="LP204" s="922"/>
      <c r="LQ204" s="922"/>
      <c r="LR204" s="922"/>
      <c r="LS204" s="922"/>
      <c r="LT204" s="922"/>
      <c r="LU204" s="922"/>
      <c r="LV204" s="922"/>
      <c r="LW204" s="922"/>
      <c r="LX204" s="922"/>
      <c r="LY204" s="922"/>
      <c r="LZ204" s="922"/>
      <c r="MA204" s="922"/>
      <c r="MB204" s="922"/>
      <c r="MC204" s="922"/>
      <c r="MD204" s="922"/>
      <c r="ME204" s="922"/>
      <c r="MF204" s="922"/>
      <c r="MG204" s="922"/>
      <c r="MH204" s="922"/>
      <c r="MI204" s="922"/>
      <c r="MJ204" s="922"/>
      <c r="MK204" s="922"/>
      <c r="ML204" s="922"/>
      <c r="MM204" s="922"/>
      <c r="MN204" s="922"/>
      <c r="MO204" s="922"/>
      <c r="MP204" s="922"/>
      <c r="MQ204" s="922"/>
      <c r="MR204" s="922"/>
      <c r="MS204" s="922"/>
      <c r="MT204" s="922"/>
      <c r="MU204" s="922"/>
      <c r="MV204" s="922"/>
      <c r="MW204" s="922"/>
      <c r="MX204" s="922"/>
      <c r="MY204" s="922"/>
      <c r="MZ204" s="922"/>
      <c r="NA204" s="922"/>
      <c r="NB204" s="922"/>
      <c r="NC204" s="922"/>
      <c r="ND204" s="922"/>
      <c r="NE204" s="922"/>
      <c r="NF204" s="922"/>
      <c r="NG204" s="922"/>
      <c r="NH204" s="922"/>
      <c r="NI204" s="922"/>
      <c r="NJ204" s="922"/>
      <c r="NK204" s="922"/>
      <c r="NL204" s="922"/>
      <c r="NM204" s="922"/>
      <c r="NN204" s="922"/>
      <c r="NO204" s="922"/>
      <c r="NP204" s="922"/>
      <c r="NQ204" s="922"/>
      <c r="NR204" s="922"/>
      <c r="NS204" s="922"/>
      <c r="NT204" s="922"/>
      <c r="NU204" s="922"/>
      <c r="NV204" s="922"/>
      <c r="NW204" s="922"/>
      <c r="NX204" s="922"/>
      <c r="NY204" s="922"/>
      <c r="NZ204" s="922"/>
      <c r="OA204" s="922"/>
      <c r="OB204" s="922"/>
      <c r="OC204" s="922"/>
      <c r="OD204" s="922"/>
      <c r="OE204" s="922"/>
      <c r="OF204" s="922"/>
      <c r="OG204" s="922"/>
      <c r="OH204" s="922"/>
      <c r="OI204" s="922"/>
      <c r="OJ204" s="922"/>
      <c r="OK204" s="922"/>
      <c r="OL204" s="922"/>
      <c r="OM204" s="922"/>
      <c r="ON204" s="922"/>
      <c r="OO204" s="922"/>
      <c r="OP204" s="922"/>
      <c r="OQ204" s="922"/>
      <c r="OR204" s="922"/>
      <c r="OS204" s="922"/>
      <c r="OT204" s="922"/>
      <c r="OU204" s="922"/>
      <c r="OV204" s="922"/>
      <c r="OW204" s="922"/>
      <c r="OX204" s="922"/>
      <c r="OY204" s="922"/>
      <c r="OZ204" s="922"/>
      <c r="PA204" s="922"/>
      <c r="PB204" s="922"/>
      <c r="PC204" s="922"/>
      <c r="PD204" s="922"/>
      <c r="PE204" s="922"/>
      <c r="PF204" s="922"/>
      <c r="PG204" s="922"/>
      <c r="PH204" s="922"/>
      <c r="PI204" s="922"/>
      <c r="PJ204" s="922"/>
      <c r="PK204" s="922"/>
      <c r="PL204" s="922"/>
      <c r="PM204" s="922"/>
      <c r="PN204" s="922"/>
      <c r="PO204" s="922"/>
      <c r="PP204" s="922"/>
      <c r="PQ204" s="922"/>
      <c r="PR204" s="922"/>
      <c r="PS204" s="922"/>
      <c r="PT204" s="922"/>
      <c r="PU204" s="922"/>
      <c r="PV204" s="922"/>
      <c r="PW204" s="922"/>
      <c r="PX204" s="922"/>
      <c r="PY204" s="922"/>
      <c r="PZ204" s="922"/>
      <c r="QA204" s="922"/>
      <c r="QB204" s="922"/>
      <c r="QC204" s="922"/>
      <c r="QD204" s="922"/>
      <c r="QE204" s="922"/>
      <c r="QF204" s="922"/>
      <c r="QG204" s="922"/>
      <c r="QH204" s="922"/>
      <c r="QI204" s="922"/>
      <c r="QJ204" s="922"/>
      <c r="QK204" s="922"/>
      <c r="QL204" s="922"/>
      <c r="QM204" s="922"/>
      <c r="QN204" s="922"/>
      <c r="QO204" s="922"/>
      <c r="QP204" s="922"/>
      <c r="QQ204" s="922"/>
      <c r="QR204" s="922"/>
      <c r="QS204" s="922"/>
      <c r="QT204" s="922"/>
      <c r="QU204" s="922"/>
      <c r="QV204" s="922"/>
      <c r="QW204" s="922"/>
      <c r="QX204" s="922"/>
      <c r="QY204" s="922"/>
      <c r="QZ204" s="922"/>
      <c r="RA204" s="922"/>
      <c r="RB204" s="922"/>
      <c r="RC204" s="922"/>
      <c r="RD204" s="922"/>
      <c r="RE204" s="922"/>
      <c r="RF204" s="922"/>
      <c r="RG204" s="922"/>
      <c r="RH204" s="922"/>
      <c r="RI204" s="922"/>
      <c r="RJ204" s="922"/>
      <c r="RK204" s="922"/>
      <c r="RL204" s="922"/>
      <c r="RM204" s="922"/>
      <c r="RN204" s="922"/>
      <c r="RO204" s="922"/>
      <c r="RP204" s="922"/>
      <c r="RQ204" s="922"/>
      <c r="RR204" s="922"/>
      <c r="RS204" s="922"/>
      <c r="RT204" s="922"/>
      <c r="RU204" s="922"/>
      <c r="RV204" s="922"/>
      <c r="RW204" s="922"/>
      <c r="RX204" s="922"/>
      <c r="RY204" s="922"/>
      <c r="RZ204" s="922"/>
      <c r="SA204" s="922"/>
      <c r="SB204" s="922"/>
      <c r="SC204" s="922"/>
      <c r="SD204" s="922"/>
      <c r="SE204" s="922"/>
      <c r="SF204" s="922"/>
      <c r="SG204" s="922"/>
      <c r="SH204" s="922"/>
      <c r="SI204" s="922"/>
      <c r="SJ204" s="922"/>
      <c r="SK204" s="922"/>
      <c r="SL204" s="922"/>
      <c r="SM204" s="922"/>
      <c r="SN204" s="922"/>
      <c r="SO204" s="922"/>
      <c r="SP204" s="922"/>
      <c r="SQ204" s="922"/>
      <c r="SR204" s="922"/>
      <c r="SS204" s="922"/>
      <c r="ST204" s="922"/>
      <c r="SU204" s="922"/>
      <c r="SV204" s="922"/>
      <c r="SW204" s="922"/>
      <c r="SX204" s="922"/>
      <c r="SY204" s="922"/>
      <c r="SZ204" s="922"/>
      <c r="TA204" s="922"/>
      <c r="TB204" s="922"/>
      <c r="TC204" s="922"/>
      <c r="TD204" s="922"/>
      <c r="TE204" s="922"/>
      <c r="TF204" s="922"/>
      <c r="TG204" s="922"/>
      <c r="TH204" s="922"/>
      <c r="TI204" s="922"/>
      <c r="TJ204" s="922"/>
      <c r="TK204" s="922"/>
      <c r="TL204" s="922"/>
      <c r="TM204" s="922"/>
      <c r="TN204" s="922"/>
      <c r="TO204" s="922"/>
      <c r="TP204" s="922"/>
      <c r="TQ204" s="922"/>
      <c r="TR204" s="922"/>
      <c r="TS204" s="922"/>
      <c r="TT204" s="922"/>
      <c r="TU204" s="922"/>
      <c r="TV204" s="922"/>
      <c r="TW204" s="922"/>
      <c r="TX204" s="922"/>
      <c r="TY204" s="922"/>
      <c r="TZ204" s="922"/>
      <c r="UA204" s="922"/>
      <c r="UB204" s="922"/>
      <c r="UC204" s="922"/>
      <c r="UD204" s="922"/>
      <c r="UE204" s="922"/>
      <c r="UF204" s="922"/>
      <c r="UG204" s="922"/>
      <c r="UH204" s="922"/>
      <c r="UI204" s="922"/>
      <c r="UJ204" s="922"/>
      <c r="UK204" s="922"/>
      <c r="UL204" s="922"/>
      <c r="UM204" s="922"/>
      <c r="UN204" s="922"/>
      <c r="UO204" s="922"/>
      <c r="UP204" s="922"/>
      <c r="UQ204" s="922"/>
      <c r="UR204" s="922"/>
      <c r="US204" s="922"/>
      <c r="UT204" s="922"/>
      <c r="UU204" s="922"/>
      <c r="UV204" s="922"/>
      <c r="UW204" s="922"/>
      <c r="UX204" s="922"/>
      <c r="UY204" s="922"/>
      <c r="UZ204" s="922"/>
      <c r="VA204" s="922"/>
      <c r="VB204" s="922"/>
      <c r="VC204" s="922"/>
      <c r="VD204" s="922"/>
      <c r="VE204" s="922"/>
      <c r="VF204" s="922"/>
      <c r="VG204" s="922"/>
      <c r="VH204" s="922"/>
      <c r="VI204" s="922"/>
      <c r="VJ204" s="922"/>
      <c r="VK204" s="922"/>
      <c r="VL204" s="922"/>
      <c r="VM204" s="922"/>
      <c r="VN204" s="922"/>
      <c r="VO204" s="922"/>
      <c r="VP204" s="922"/>
      <c r="VQ204" s="922"/>
      <c r="VR204" s="922"/>
      <c r="VS204" s="922"/>
      <c r="VT204" s="922"/>
      <c r="VU204" s="922"/>
      <c r="VV204" s="922"/>
      <c r="VW204" s="922"/>
      <c r="VX204" s="922"/>
      <c r="VY204" s="922"/>
      <c r="VZ204" s="922"/>
      <c r="WA204" s="922"/>
      <c r="WB204" s="922"/>
      <c r="WC204" s="922"/>
      <c r="WD204" s="922"/>
      <c r="WE204" s="922"/>
      <c r="WF204" s="922"/>
      <c r="WG204" s="922"/>
      <c r="WH204" s="922"/>
      <c r="WI204" s="922"/>
      <c r="WJ204" s="922"/>
      <c r="WK204" s="922"/>
      <c r="WL204" s="922"/>
      <c r="WM204" s="922"/>
      <c r="WN204" s="922"/>
      <c r="WO204" s="922"/>
      <c r="WP204" s="922"/>
      <c r="WQ204" s="922"/>
      <c r="WR204" s="922"/>
      <c r="WS204" s="922"/>
      <c r="WT204" s="922"/>
      <c r="WU204" s="922"/>
      <c r="WV204" s="922"/>
      <c r="WW204" s="922"/>
      <c r="WX204" s="922"/>
      <c r="WY204" s="922"/>
      <c r="WZ204" s="922"/>
      <c r="XA204" s="922"/>
      <c r="XB204" s="922"/>
      <c r="XC204" s="922"/>
      <c r="XD204" s="922"/>
      <c r="XE204" s="922"/>
      <c r="XF204" s="922"/>
      <c r="XG204" s="922"/>
      <c r="XH204" s="922"/>
      <c r="XI204" s="922"/>
      <c r="XJ204" s="922"/>
      <c r="XK204" s="922"/>
      <c r="XL204" s="922"/>
      <c r="XM204" s="922"/>
      <c r="XN204" s="922"/>
      <c r="XO204" s="922"/>
      <c r="XP204" s="922"/>
      <c r="XQ204" s="922"/>
      <c r="XR204" s="922"/>
      <c r="XS204" s="922"/>
      <c r="XT204" s="922"/>
      <c r="XU204" s="922"/>
      <c r="XV204" s="922"/>
      <c r="XW204" s="922"/>
      <c r="XX204" s="922"/>
      <c r="XY204" s="922"/>
      <c r="XZ204" s="922"/>
      <c r="YA204" s="922"/>
      <c r="YB204" s="922"/>
      <c r="YC204" s="922"/>
      <c r="YD204" s="922"/>
      <c r="YE204" s="922"/>
      <c r="YF204" s="922"/>
      <c r="YG204" s="922"/>
      <c r="YH204" s="922"/>
      <c r="YI204" s="922"/>
      <c r="YJ204" s="922"/>
      <c r="YK204" s="922"/>
      <c r="YL204" s="922"/>
      <c r="YM204" s="922"/>
      <c r="YN204" s="922"/>
      <c r="YO204" s="922"/>
      <c r="YP204" s="922"/>
      <c r="YQ204" s="922"/>
      <c r="YR204" s="922"/>
      <c r="YS204" s="922"/>
      <c r="YT204" s="922"/>
      <c r="YU204" s="922"/>
      <c r="YV204" s="922"/>
      <c r="YW204" s="922"/>
      <c r="YX204" s="922"/>
      <c r="YY204" s="922"/>
      <c r="YZ204" s="922"/>
      <c r="ZA204" s="922"/>
      <c r="ZB204" s="922"/>
      <c r="ZC204" s="922"/>
      <c r="ZD204" s="922"/>
      <c r="ZE204" s="922"/>
      <c r="ZF204" s="922"/>
      <c r="ZG204" s="922"/>
      <c r="ZH204" s="922"/>
      <c r="ZI204" s="922"/>
      <c r="ZJ204" s="922"/>
      <c r="ZK204" s="922"/>
      <c r="ZL204" s="922"/>
      <c r="ZM204" s="922"/>
      <c r="ZN204" s="922"/>
      <c r="ZO204" s="922"/>
      <c r="ZP204" s="922"/>
      <c r="ZQ204" s="922"/>
      <c r="ZR204" s="922"/>
      <c r="ZS204" s="922"/>
      <c r="ZT204" s="922"/>
      <c r="ZU204" s="922"/>
      <c r="ZV204" s="922"/>
      <c r="ZW204" s="922"/>
      <c r="ZX204" s="922"/>
      <c r="ZY204" s="922"/>
      <c r="ZZ204" s="922"/>
      <c r="AAA204" s="922"/>
      <c r="AAB204" s="922"/>
      <c r="AAC204" s="922"/>
      <c r="AAD204" s="922"/>
      <c r="AAE204" s="922"/>
      <c r="AAF204" s="922"/>
      <c r="AAG204" s="922"/>
      <c r="AAH204" s="922"/>
      <c r="AAI204" s="922"/>
      <c r="AAJ204" s="922"/>
      <c r="AAK204" s="922"/>
      <c r="AAL204" s="922"/>
      <c r="AAM204" s="922"/>
      <c r="AAN204" s="922"/>
      <c r="AAO204" s="922"/>
      <c r="AAP204" s="922"/>
      <c r="AAQ204" s="922"/>
      <c r="AAR204" s="922"/>
      <c r="AAS204" s="922"/>
      <c r="AAT204" s="922"/>
      <c r="AAU204" s="922"/>
      <c r="AAV204" s="922"/>
      <c r="AAW204" s="922"/>
      <c r="AAX204" s="922"/>
      <c r="AAY204" s="922"/>
      <c r="AAZ204" s="922"/>
      <c r="ABA204" s="922"/>
      <c r="ABB204" s="922"/>
      <c r="ABC204" s="922"/>
      <c r="ABD204" s="922"/>
      <c r="ABE204" s="922"/>
      <c r="ABF204" s="922"/>
      <c r="ABG204" s="922"/>
      <c r="ABH204" s="922"/>
      <c r="ABI204" s="922"/>
      <c r="ABJ204" s="922"/>
      <c r="ABK204" s="922"/>
      <c r="ABL204" s="922"/>
      <c r="ABM204" s="922"/>
      <c r="ABN204" s="922"/>
      <c r="ABO204" s="922"/>
      <c r="ABP204" s="922"/>
      <c r="ABQ204" s="922"/>
      <c r="ABR204" s="922"/>
      <c r="ABS204" s="922"/>
      <c r="ABT204" s="922"/>
      <c r="ABU204" s="922"/>
      <c r="ABV204" s="922"/>
      <c r="ABW204" s="922"/>
      <c r="ABX204" s="922"/>
      <c r="ABY204" s="922"/>
      <c r="ABZ204" s="922"/>
      <c r="ACA204" s="922"/>
      <c r="ACB204" s="922"/>
      <c r="ACC204" s="922"/>
      <c r="ACD204" s="922"/>
      <c r="ACE204" s="922"/>
      <c r="ACF204" s="922"/>
      <c r="ACG204" s="922"/>
      <c r="ACH204" s="922"/>
      <c r="ACI204" s="922"/>
      <c r="ACJ204" s="922"/>
      <c r="ACK204" s="922"/>
      <c r="ACL204" s="922"/>
      <c r="ACM204" s="922"/>
      <c r="ACN204" s="922"/>
      <c r="ACO204" s="922"/>
      <c r="ACP204" s="922"/>
      <c r="ACQ204" s="922"/>
      <c r="ACR204" s="922"/>
      <c r="ACS204" s="922"/>
      <c r="ACT204" s="922"/>
      <c r="ACU204" s="922"/>
      <c r="ACV204" s="922"/>
      <c r="ACW204" s="922"/>
      <c r="ACX204" s="922"/>
      <c r="ACY204" s="922"/>
      <c r="ACZ204" s="922"/>
      <c r="ADA204" s="922"/>
      <c r="ADB204" s="922"/>
      <c r="ADC204" s="922"/>
      <c r="ADD204" s="922"/>
      <c r="ADE204" s="922"/>
      <c r="ADF204" s="922"/>
      <c r="ADG204" s="922"/>
      <c r="ADH204" s="922"/>
      <c r="ADI204" s="922"/>
      <c r="ADJ204" s="922"/>
      <c r="ADK204" s="922"/>
      <c r="ADL204" s="922"/>
      <c r="ADM204" s="922"/>
      <c r="ADN204" s="922"/>
      <c r="ADO204" s="922"/>
      <c r="ADP204" s="922"/>
      <c r="ADQ204" s="922"/>
      <c r="ADR204" s="922"/>
      <c r="ADS204" s="922"/>
      <c r="ADT204" s="922"/>
      <c r="ADU204" s="922"/>
      <c r="ADV204" s="922"/>
      <c r="ADW204" s="922"/>
      <c r="ADX204" s="922"/>
      <c r="ADY204" s="922"/>
      <c r="ADZ204" s="922"/>
      <c r="AEA204" s="922"/>
      <c r="AEB204" s="922"/>
      <c r="AEC204" s="922"/>
      <c r="AED204" s="922"/>
      <c r="AEE204" s="922"/>
      <c r="AEF204" s="922"/>
      <c r="AEG204" s="922"/>
      <c r="AEH204" s="922"/>
      <c r="AEI204" s="922"/>
      <c r="AEJ204" s="922"/>
      <c r="AEK204" s="922"/>
      <c r="AEL204" s="922"/>
      <c r="AEM204" s="922"/>
      <c r="AEN204" s="922"/>
      <c r="AEO204" s="922"/>
      <c r="AEP204" s="922"/>
      <c r="AEQ204" s="922"/>
      <c r="AER204" s="922"/>
      <c r="AES204" s="922"/>
      <c r="AET204" s="922"/>
      <c r="AEU204" s="922"/>
      <c r="AEV204" s="922"/>
      <c r="AEW204" s="922"/>
      <c r="AEX204" s="922"/>
      <c r="AEY204" s="922"/>
      <c r="AEZ204" s="922"/>
      <c r="AFA204" s="922"/>
      <c r="AFB204" s="922"/>
      <c r="AFC204" s="922"/>
      <c r="AFD204" s="922"/>
      <c r="AFE204" s="922"/>
      <c r="AFF204" s="922"/>
      <c r="AFG204" s="922"/>
      <c r="AFH204" s="922"/>
      <c r="AFI204" s="922"/>
      <c r="AFJ204" s="922"/>
      <c r="AFK204" s="922"/>
      <c r="AFL204" s="922"/>
      <c r="AFM204" s="922"/>
      <c r="AFN204" s="922"/>
      <c r="AFO204" s="922"/>
      <c r="AFP204" s="922"/>
      <c r="AFQ204" s="922"/>
      <c r="AFR204" s="922"/>
      <c r="AFS204" s="922"/>
      <c r="AFT204" s="922"/>
      <c r="AFU204" s="922"/>
      <c r="AFV204" s="922"/>
      <c r="AFW204" s="922"/>
      <c r="AFX204" s="922"/>
      <c r="AFY204" s="922"/>
      <c r="AFZ204" s="922"/>
      <c r="AGA204" s="922"/>
      <c r="AGB204" s="922"/>
      <c r="AGC204" s="922"/>
      <c r="AGD204" s="922"/>
      <c r="AGE204" s="922"/>
      <c r="AGF204" s="922"/>
      <c r="AGG204" s="922"/>
      <c r="AGH204" s="922"/>
      <c r="AGI204" s="922"/>
      <c r="AGJ204" s="922"/>
      <c r="AGK204" s="922"/>
      <c r="AGL204" s="922"/>
      <c r="AGM204" s="922"/>
      <c r="AGN204" s="922"/>
      <c r="AGO204" s="922"/>
      <c r="AGP204" s="922"/>
      <c r="AGQ204" s="922"/>
      <c r="AGR204" s="922"/>
      <c r="AGS204" s="922"/>
      <c r="AGT204" s="922"/>
      <c r="AGU204" s="922"/>
      <c r="AGV204" s="922"/>
      <c r="AGW204" s="922"/>
      <c r="AGX204" s="922"/>
      <c r="AGY204" s="922"/>
      <c r="AGZ204" s="922"/>
      <c r="AHA204" s="922"/>
      <c r="AHB204" s="922"/>
      <c r="AHC204" s="922"/>
      <c r="AHD204" s="922"/>
      <c r="AHE204" s="922"/>
      <c r="AHF204" s="922"/>
      <c r="AHG204" s="922"/>
      <c r="AHH204" s="922"/>
      <c r="AHI204" s="922"/>
      <c r="AHJ204" s="922"/>
      <c r="AHK204" s="922"/>
      <c r="AHL204" s="922"/>
      <c r="AHM204" s="922"/>
      <c r="AHN204" s="922"/>
      <c r="AHO204" s="922"/>
      <c r="AHP204" s="922"/>
      <c r="AHQ204" s="922"/>
      <c r="AHR204" s="922"/>
      <c r="AHS204" s="922"/>
      <c r="AHT204" s="922"/>
      <c r="AHU204" s="922"/>
      <c r="AHV204" s="922"/>
      <c r="AHW204" s="922"/>
      <c r="AHX204" s="922"/>
      <c r="AHY204" s="922"/>
      <c r="AHZ204" s="922"/>
      <c r="AIA204" s="922"/>
      <c r="AIB204" s="922"/>
      <c r="AIC204" s="922"/>
      <c r="AID204" s="922"/>
      <c r="AIE204" s="922"/>
      <c r="AIF204" s="922"/>
      <c r="AIG204" s="922"/>
      <c r="AIH204" s="922"/>
      <c r="AII204" s="922"/>
      <c r="AIJ204" s="922"/>
      <c r="AIK204" s="922"/>
      <c r="AIL204" s="922"/>
      <c r="AIM204" s="922"/>
      <c r="AIN204" s="922"/>
      <c r="AIO204" s="922"/>
      <c r="AIP204" s="922"/>
      <c r="AIQ204" s="922"/>
      <c r="AIR204" s="922"/>
      <c r="AIS204" s="922"/>
      <c r="AIT204" s="922"/>
      <c r="AIU204" s="922"/>
      <c r="AIV204" s="922"/>
      <c r="AIW204" s="922"/>
      <c r="AIX204" s="922"/>
      <c r="AIY204" s="922"/>
      <c r="AIZ204" s="922"/>
      <c r="AJA204" s="922"/>
      <c r="AJB204" s="922"/>
      <c r="AJC204" s="922"/>
      <c r="AJD204" s="922"/>
      <c r="AJE204" s="922"/>
      <c r="AJF204" s="922"/>
      <c r="AJG204" s="922"/>
      <c r="AJH204" s="922"/>
      <c r="AJI204" s="922"/>
      <c r="AJJ204" s="922"/>
      <c r="AJK204" s="922"/>
      <c r="AJL204" s="922"/>
      <c r="AJM204" s="922"/>
      <c r="AJN204" s="922"/>
      <c r="AJO204" s="922"/>
      <c r="AJP204" s="922"/>
      <c r="AJQ204" s="922"/>
      <c r="AJR204" s="922"/>
      <c r="AJS204" s="922"/>
      <c r="AJT204" s="922"/>
      <c r="AJU204" s="922"/>
      <c r="AJV204" s="922"/>
      <c r="AJW204" s="922"/>
      <c r="AJX204" s="922"/>
      <c r="AJY204" s="922"/>
      <c r="AJZ204" s="922"/>
      <c r="AKA204" s="922"/>
      <c r="AKB204" s="922"/>
      <c r="AKC204" s="922"/>
      <c r="AKD204" s="922"/>
      <c r="AKE204" s="922"/>
      <c r="AKF204" s="922"/>
      <c r="AKG204" s="922"/>
      <c r="AKH204" s="922"/>
      <c r="AKI204" s="922"/>
      <c r="AKJ204" s="922"/>
      <c r="AKK204" s="922"/>
      <c r="AKL204" s="922"/>
      <c r="AKM204" s="922"/>
      <c r="AKN204" s="922"/>
      <c r="AKO204" s="922"/>
      <c r="AKP204" s="922"/>
      <c r="AKQ204" s="922"/>
      <c r="AKR204" s="922"/>
      <c r="AKS204" s="922"/>
      <c r="AKT204" s="922"/>
      <c r="AKU204" s="922"/>
      <c r="AKV204" s="922"/>
      <c r="AKW204" s="922"/>
      <c r="AKX204" s="922"/>
      <c r="AKY204" s="922"/>
      <c r="AKZ204" s="922"/>
      <c r="ALA204" s="922"/>
      <c r="ALB204" s="922"/>
      <c r="ALC204" s="922"/>
      <c r="ALD204" s="922"/>
      <c r="ALE204" s="922"/>
      <c r="ALF204" s="922"/>
      <c r="ALG204" s="922"/>
      <c r="ALH204" s="922"/>
      <c r="ALI204" s="922"/>
      <c r="ALJ204" s="922"/>
      <c r="ALK204" s="922"/>
      <c r="ALL204" s="922"/>
      <c r="ALM204" s="922"/>
      <c r="ALN204" s="922"/>
      <c r="ALO204" s="922"/>
      <c r="ALP204" s="922"/>
      <c r="ALQ204" s="922"/>
      <c r="ALR204" s="922"/>
      <c r="ALS204" s="922"/>
      <c r="ALT204" s="922"/>
      <c r="ALU204" s="922"/>
      <c r="ALV204" s="922"/>
      <c r="ALW204" s="922"/>
      <c r="ALX204" s="922"/>
      <c r="ALY204" s="922"/>
      <c r="ALZ204" s="922"/>
      <c r="AMA204" s="922"/>
      <c r="AMB204" s="922"/>
      <c r="AMC204" s="922"/>
      <c r="AMD204" s="922"/>
      <c r="AME204" s="922"/>
      <c r="AMF204" s="922"/>
      <c r="AMG204" s="922"/>
      <c r="AMH204" s="922"/>
      <c r="AMI204" s="922"/>
      <c r="AMJ204" s="922"/>
      <c r="AMK204" s="922"/>
      <c r="AML204" s="922"/>
      <c r="AMM204" s="922"/>
      <c r="AMN204" s="922"/>
      <c r="AMO204" s="922"/>
      <c r="AMP204" s="922"/>
      <c r="AMQ204" s="922"/>
      <c r="AMR204" s="922"/>
      <c r="AMS204" s="922"/>
      <c r="AMT204" s="922"/>
      <c r="AMU204" s="922"/>
      <c r="AMV204" s="922"/>
      <c r="AMW204" s="922"/>
      <c r="AMX204" s="922"/>
      <c r="AMY204" s="922"/>
      <c r="AMZ204" s="922"/>
      <c r="ANA204" s="922"/>
      <c r="ANB204" s="922"/>
      <c r="ANC204" s="922"/>
      <c r="AND204" s="922"/>
      <c r="ANE204" s="922"/>
      <c r="ANF204" s="922"/>
      <c r="ANG204" s="922"/>
      <c r="ANH204" s="922"/>
      <c r="ANI204" s="922"/>
      <c r="ANJ204" s="922"/>
      <c r="ANK204" s="922"/>
      <c r="ANL204" s="922"/>
      <c r="ANM204" s="922"/>
      <c r="ANN204" s="922"/>
      <c r="ANO204" s="922"/>
      <c r="ANP204" s="922"/>
      <c r="ANQ204" s="922"/>
      <c r="ANR204" s="922"/>
      <c r="ANS204" s="922"/>
      <c r="ANT204" s="922"/>
      <c r="ANU204" s="922"/>
      <c r="ANV204" s="922"/>
      <c r="ANW204" s="922"/>
      <c r="ANX204" s="922"/>
      <c r="ANY204" s="922"/>
      <c r="ANZ204" s="922"/>
      <c r="AOA204" s="922"/>
      <c r="AOB204" s="922"/>
      <c r="AOC204" s="922"/>
      <c r="AOD204" s="922"/>
      <c r="AOE204" s="922"/>
      <c r="AOF204" s="922"/>
      <c r="AOG204" s="922"/>
      <c r="AOH204" s="922"/>
      <c r="AOI204" s="922"/>
      <c r="AOJ204" s="922"/>
      <c r="AOK204" s="922"/>
      <c r="AOL204" s="922"/>
      <c r="AOM204" s="922"/>
      <c r="AON204" s="922"/>
      <c r="AOO204" s="922"/>
      <c r="AOP204" s="922"/>
      <c r="AOQ204" s="922"/>
      <c r="AOR204" s="922"/>
      <c r="AOS204" s="922"/>
      <c r="AOT204" s="922"/>
      <c r="AOU204" s="922"/>
      <c r="AOV204" s="922"/>
      <c r="AOW204" s="922"/>
      <c r="AOX204" s="922"/>
      <c r="AOY204" s="922"/>
      <c r="AOZ204" s="922"/>
      <c r="APA204" s="922"/>
      <c r="APB204" s="922"/>
      <c r="APC204" s="922"/>
      <c r="APD204" s="922"/>
      <c r="APE204" s="922"/>
      <c r="APF204" s="922"/>
      <c r="APG204" s="922"/>
      <c r="APH204" s="922"/>
      <c r="API204" s="922"/>
      <c r="APJ204" s="922"/>
      <c r="APK204" s="922"/>
      <c r="APL204" s="922"/>
      <c r="APM204" s="922"/>
      <c r="APN204" s="922"/>
      <c r="APO204" s="922"/>
      <c r="APP204" s="922"/>
      <c r="APQ204" s="922"/>
      <c r="APR204" s="922"/>
      <c r="APS204" s="922"/>
      <c r="APT204" s="922"/>
      <c r="APU204" s="922"/>
      <c r="APV204" s="922"/>
      <c r="APW204" s="922"/>
      <c r="APX204" s="922"/>
      <c r="APY204" s="922"/>
      <c r="APZ204" s="922"/>
      <c r="AQA204" s="922"/>
      <c r="AQB204" s="922"/>
      <c r="AQC204" s="922"/>
      <c r="AQD204" s="922"/>
      <c r="AQE204" s="922"/>
      <c r="AQF204" s="922"/>
      <c r="AQG204" s="922"/>
      <c r="AQH204" s="922"/>
      <c r="AQI204" s="922"/>
      <c r="AQJ204" s="922"/>
      <c r="AQK204" s="922"/>
      <c r="AQL204" s="922"/>
      <c r="AQM204" s="922"/>
      <c r="AQN204" s="922"/>
      <c r="AQO204" s="922"/>
      <c r="AQP204" s="922"/>
      <c r="AQQ204" s="922"/>
      <c r="AQR204" s="922"/>
      <c r="AQS204" s="922"/>
      <c r="AQT204" s="922"/>
      <c r="AQU204" s="922"/>
      <c r="AQV204" s="922"/>
      <c r="AQW204" s="922"/>
      <c r="AQX204" s="922"/>
      <c r="AQY204" s="922"/>
      <c r="AQZ204" s="922"/>
      <c r="ARA204" s="922"/>
      <c r="ARB204" s="922"/>
      <c r="ARC204" s="922"/>
      <c r="ARD204" s="922"/>
      <c r="ARE204" s="922"/>
      <c r="ARF204" s="922"/>
      <c r="ARG204" s="922"/>
      <c r="ARH204" s="922"/>
      <c r="ARI204" s="922"/>
      <c r="ARJ204" s="922"/>
      <c r="ARK204" s="922"/>
      <c r="ARL204" s="922"/>
      <c r="ARM204" s="922"/>
      <c r="ARN204" s="922"/>
      <c r="ARO204" s="922"/>
      <c r="ARP204" s="922"/>
      <c r="ARQ204" s="922"/>
      <c r="ARR204" s="922"/>
      <c r="ARS204" s="922"/>
      <c r="ART204" s="922"/>
      <c r="ARU204" s="922"/>
      <c r="ARV204" s="922"/>
      <c r="ARW204" s="922"/>
      <c r="ARX204" s="922"/>
      <c r="ARY204" s="922"/>
      <c r="ARZ204" s="922"/>
      <c r="ASA204" s="922"/>
      <c r="ASB204" s="922"/>
      <c r="ASC204" s="922"/>
    </row>
    <row r="205" spans="20:1173" hidden="1">
      <c r="T205" s="922"/>
      <c r="AN205" s="922"/>
      <c r="AO205" s="922"/>
      <c r="AP205" s="922"/>
      <c r="AQ205" s="922"/>
      <c r="AR205" s="922"/>
      <c r="AS205" s="922"/>
      <c r="AT205" s="922"/>
      <c r="AU205" s="922"/>
      <c r="AV205" s="922"/>
      <c r="AW205" s="922"/>
      <c r="AX205" s="922"/>
      <c r="AY205" s="922"/>
      <c r="AZ205" s="922"/>
      <c r="BA205" s="922"/>
      <c r="BB205" s="922"/>
      <c r="BC205" s="922"/>
      <c r="BD205" s="922"/>
      <c r="BE205" s="922"/>
      <c r="BF205" s="922"/>
      <c r="BG205" s="922"/>
      <c r="BH205" s="922"/>
      <c r="BI205" s="922"/>
      <c r="BJ205" s="922"/>
      <c r="BK205" s="922"/>
      <c r="BL205" s="922"/>
      <c r="BM205" s="922"/>
      <c r="BN205" s="922"/>
      <c r="BO205" s="922"/>
      <c r="BP205" s="922"/>
      <c r="BQ205" s="922"/>
      <c r="BR205" s="922"/>
      <c r="BS205" s="922"/>
      <c r="BT205" s="922"/>
      <c r="BU205" s="922"/>
      <c r="BV205" s="922"/>
      <c r="BW205" s="922"/>
      <c r="BX205" s="922"/>
      <c r="BY205" s="922"/>
      <c r="BZ205" s="922"/>
      <c r="CA205" s="922"/>
      <c r="CB205" s="922"/>
      <c r="CC205" s="922"/>
      <c r="CD205" s="922"/>
      <c r="CE205" s="922"/>
      <c r="CF205" s="922"/>
      <c r="CG205" s="922"/>
      <c r="CH205" s="922"/>
      <c r="CI205" s="922"/>
      <c r="CJ205" s="922"/>
      <c r="CK205" s="922"/>
      <c r="CL205" s="922"/>
      <c r="CM205" s="922"/>
      <c r="CN205" s="922"/>
      <c r="CO205" s="922"/>
      <c r="CP205" s="922"/>
      <c r="CQ205" s="922"/>
      <c r="CR205" s="922"/>
      <c r="CS205" s="922"/>
      <c r="CT205" s="922"/>
      <c r="CU205" s="922"/>
      <c r="CV205" s="922"/>
      <c r="CW205" s="922"/>
      <c r="CX205" s="922"/>
      <c r="CY205" s="922"/>
      <c r="CZ205" s="922"/>
      <c r="DA205" s="922"/>
      <c r="DB205" s="922"/>
      <c r="DC205" s="922"/>
      <c r="DD205" s="922"/>
      <c r="DE205" s="922"/>
      <c r="DF205" s="922"/>
      <c r="DG205" s="922"/>
      <c r="DH205" s="922"/>
      <c r="DI205" s="922"/>
      <c r="DJ205" s="922"/>
      <c r="DK205" s="922"/>
      <c r="DL205" s="922"/>
      <c r="DM205" s="922"/>
      <c r="DN205" s="922"/>
      <c r="DO205" s="922"/>
      <c r="DP205" s="922"/>
      <c r="DQ205" s="922"/>
      <c r="DR205" s="922"/>
      <c r="DS205" s="922"/>
      <c r="DT205" s="922"/>
      <c r="DU205" s="922"/>
      <c r="DV205" s="922"/>
      <c r="DW205" s="922"/>
      <c r="DX205" s="922"/>
      <c r="DY205" s="922"/>
      <c r="DZ205" s="922"/>
      <c r="EA205" s="922"/>
      <c r="EB205" s="922"/>
      <c r="EC205" s="922"/>
      <c r="ED205" s="922"/>
      <c r="EE205" s="922"/>
      <c r="EF205" s="922"/>
      <c r="EG205" s="922"/>
      <c r="EH205" s="922"/>
      <c r="EI205" s="922"/>
      <c r="EJ205" s="922"/>
      <c r="EK205" s="922"/>
      <c r="EL205" s="922"/>
      <c r="EM205" s="922"/>
      <c r="EN205" s="922"/>
      <c r="EO205" s="922"/>
      <c r="EP205" s="922"/>
      <c r="EQ205" s="922"/>
      <c r="ER205" s="922"/>
      <c r="ES205" s="922"/>
      <c r="ET205" s="922"/>
      <c r="EU205" s="922"/>
      <c r="EV205" s="922"/>
      <c r="EW205" s="922"/>
      <c r="EX205" s="922"/>
      <c r="EY205" s="922"/>
      <c r="EZ205" s="922"/>
      <c r="FA205" s="922"/>
      <c r="FB205" s="922"/>
      <c r="FC205" s="922"/>
      <c r="FD205" s="922"/>
      <c r="FE205" s="922"/>
      <c r="FF205" s="922"/>
      <c r="FG205" s="922"/>
      <c r="FH205" s="922"/>
      <c r="FI205" s="922"/>
      <c r="FJ205" s="922"/>
      <c r="FK205" s="922"/>
      <c r="FL205" s="922"/>
      <c r="FM205" s="922"/>
      <c r="FN205" s="922"/>
      <c r="FO205" s="922"/>
      <c r="FP205" s="922"/>
      <c r="FQ205" s="922"/>
      <c r="FR205" s="922"/>
      <c r="FS205" s="922"/>
      <c r="FT205" s="922"/>
      <c r="FU205" s="922"/>
      <c r="FV205" s="922"/>
      <c r="FW205" s="922"/>
      <c r="FX205" s="922"/>
      <c r="FY205" s="922"/>
      <c r="FZ205" s="922"/>
      <c r="GA205" s="922"/>
      <c r="GB205" s="922"/>
      <c r="GC205" s="922"/>
      <c r="GD205" s="922"/>
      <c r="GE205" s="922"/>
      <c r="GF205" s="922"/>
      <c r="GG205" s="922"/>
      <c r="GH205" s="922"/>
      <c r="GI205" s="922"/>
      <c r="GJ205" s="922"/>
      <c r="GK205" s="922"/>
      <c r="GL205" s="922"/>
      <c r="GM205" s="922"/>
      <c r="GN205" s="922"/>
      <c r="GO205" s="922"/>
      <c r="GP205" s="922"/>
      <c r="GQ205" s="922"/>
      <c r="GR205" s="922"/>
      <c r="GS205" s="922"/>
      <c r="GT205" s="922"/>
      <c r="GU205" s="922"/>
      <c r="GV205" s="922"/>
      <c r="GW205" s="922"/>
      <c r="GX205" s="922"/>
      <c r="GY205" s="922"/>
      <c r="GZ205" s="922"/>
      <c r="HA205" s="922"/>
      <c r="HB205" s="922"/>
      <c r="HC205" s="922"/>
      <c r="HD205" s="922"/>
      <c r="HE205" s="922"/>
      <c r="HF205" s="922"/>
      <c r="HG205" s="922"/>
      <c r="HH205" s="922"/>
      <c r="HI205" s="922"/>
      <c r="HJ205" s="922"/>
      <c r="HK205" s="922"/>
      <c r="HL205" s="922"/>
      <c r="HM205" s="922"/>
      <c r="HN205" s="922"/>
      <c r="HO205" s="922"/>
      <c r="HP205" s="922"/>
      <c r="HQ205" s="922"/>
      <c r="HR205" s="922"/>
      <c r="HS205" s="922"/>
      <c r="HT205" s="922"/>
      <c r="HU205" s="922"/>
      <c r="HV205" s="922"/>
      <c r="HW205" s="922"/>
      <c r="HX205" s="922"/>
      <c r="HY205" s="922"/>
      <c r="HZ205" s="922"/>
      <c r="IA205" s="922"/>
      <c r="IB205" s="922"/>
      <c r="IC205" s="922"/>
      <c r="ID205" s="922"/>
      <c r="IE205" s="922"/>
      <c r="IF205" s="922"/>
      <c r="IG205" s="922"/>
      <c r="IH205" s="922"/>
      <c r="II205" s="922"/>
      <c r="IJ205" s="922"/>
      <c r="IK205" s="922"/>
      <c r="IL205" s="922"/>
      <c r="IM205" s="922"/>
      <c r="IN205" s="922"/>
      <c r="IO205" s="922"/>
      <c r="IP205" s="922"/>
      <c r="IQ205" s="922"/>
      <c r="IR205" s="922"/>
      <c r="IS205" s="922"/>
      <c r="IT205" s="922"/>
      <c r="IU205" s="922"/>
      <c r="IV205" s="922"/>
      <c r="IW205" s="922"/>
      <c r="IX205" s="922"/>
      <c r="IY205" s="922"/>
      <c r="IZ205" s="922"/>
      <c r="JA205" s="922"/>
      <c r="JB205" s="922"/>
      <c r="JC205" s="922"/>
      <c r="JD205" s="922"/>
      <c r="JE205" s="922"/>
      <c r="JF205" s="922"/>
      <c r="JG205" s="922"/>
      <c r="JH205" s="922"/>
      <c r="JI205" s="922"/>
      <c r="JJ205" s="922"/>
      <c r="JK205" s="922"/>
      <c r="JL205" s="922"/>
      <c r="JM205" s="922"/>
      <c r="JN205" s="922"/>
      <c r="JO205" s="922"/>
      <c r="JP205" s="922"/>
      <c r="JQ205" s="922"/>
      <c r="JR205" s="922"/>
      <c r="JS205" s="922"/>
      <c r="JT205" s="922"/>
      <c r="JU205" s="922"/>
      <c r="JV205" s="922"/>
      <c r="JW205" s="922"/>
      <c r="JX205" s="922"/>
      <c r="JY205" s="922"/>
      <c r="JZ205" s="922"/>
      <c r="KA205" s="922"/>
      <c r="KB205" s="922"/>
      <c r="KC205" s="922"/>
      <c r="KD205" s="922"/>
      <c r="KE205" s="922"/>
      <c r="KF205" s="922"/>
      <c r="KG205" s="922"/>
      <c r="KH205" s="922"/>
      <c r="KI205" s="922"/>
      <c r="KJ205" s="922"/>
      <c r="KK205" s="922"/>
      <c r="KL205" s="922"/>
      <c r="KM205" s="922"/>
      <c r="KN205" s="922"/>
      <c r="KO205" s="922"/>
      <c r="KP205" s="922"/>
      <c r="KQ205" s="922"/>
      <c r="KR205" s="922"/>
      <c r="KS205" s="922"/>
      <c r="KT205" s="922"/>
      <c r="KU205" s="922"/>
      <c r="KV205" s="922"/>
      <c r="KW205" s="922"/>
      <c r="KX205" s="922"/>
      <c r="KY205" s="922"/>
      <c r="KZ205" s="922"/>
      <c r="LA205" s="922"/>
      <c r="LB205" s="922"/>
      <c r="LC205" s="922"/>
      <c r="LD205" s="922"/>
      <c r="LE205" s="922"/>
      <c r="LF205" s="922"/>
      <c r="LG205" s="922"/>
      <c r="LH205" s="922"/>
      <c r="LI205" s="922"/>
      <c r="LJ205" s="922"/>
      <c r="LK205" s="922"/>
      <c r="LL205" s="922"/>
      <c r="LM205" s="922"/>
      <c r="LN205" s="922"/>
      <c r="LO205" s="922"/>
      <c r="LP205" s="922"/>
      <c r="LQ205" s="922"/>
      <c r="LR205" s="922"/>
      <c r="LS205" s="922"/>
      <c r="LT205" s="922"/>
      <c r="LU205" s="922"/>
      <c r="LV205" s="922"/>
      <c r="LW205" s="922"/>
      <c r="LX205" s="922"/>
      <c r="LY205" s="922"/>
      <c r="LZ205" s="922"/>
      <c r="MA205" s="922"/>
      <c r="MB205" s="922"/>
      <c r="MC205" s="922"/>
      <c r="MD205" s="922"/>
      <c r="ME205" s="922"/>
      <c r="MF205" s="922"/>
      <c r="MG205" s="922"/>
      <c r="MH205" s="922"/>
      <c r="MI205" s="922"/>
      <c r="MJ205" s="922"/>
      <c r="MK205" s="922"/>
      <c r="ML205" s="922"/>
      <c r="MM205" s="922"/>
      <c r="MN205" s="922"/>
      <c r="MO205" s="922"/>
      <c r="MP205" s="922"/>
      <c r="MQ205" s="922"/>
      <c r="MR205" s="922"/>
      <c r="MS205" s="922"/>
      <c r="MT205" s="922"/>
      <c r="MU205" s="922"/>
      <c r="MV205" s="922"/>
      <c r="MW205" s="922"/>
      <c r="MX205" s="922"/>
      <c r="MY205" s="922"/>
      <c r="MZ205" s="922"/>
      <c r="NA205" s="922"/>
      <c r="NB205" s="922"/>
      <c r="NC205" s="922"/>
      <c r="ND205" s="922"/>
      <c r="NE205" s="922"/>
      <c r="NF205" s="922"/>
      <c r="NG205" s="922"/>
      <c r="NH205" s="922"/>
      <c r="NI205" s="922"/>
      <c r="NJ205" s="922"/>
      <c r="NK205" s="922"/>
      <c r="NL205" s="922"/>
      <c r="NM205" s="922"/>
      <c r="NN205" s="922"/>
      <c r="NO205" s="922"/>
      <c r="NP205" s="922"/>
      <c r="NQ205" s="922"/>
      <c r="NR205" s="922"/>
      <c r="NS205" s="922"/>
      <c r="NT205" s="922"/>
      <c r="NU205" s="922"/>
      <c r="NV205" s="922"/>
      <c r="NW205" s="922"/>
      <c r="NX205" s="922"/>
      <c r="NY205" s="922"/>
      <c r="NZ205" s="922"/>
      <c r="OA205" s="922"/>
      <c r="OB205" s="922"/>
      <c r="OC205" s="922"/>
      <c r="OD205" s="922"/>
      <c r="OE205" s="922"/>
      <c r="OF205" s="922"/>
      <c r="OG205" s="922"/>
      <c r="OH205" s="922"/>
      <c r="OI205" s="922"/>
      <c r="OJ205" s="922"/>
      <c r="OK205" s="922"/>
      <c r="OL205" s="922"/>
      <c r="OM205" s="922"/>
      <c r="ON205" s="922"/>
      <c r="OO205" s="922"/>
      <c r="OP205" s="922"/>
      <c r="OQ205" s="922"/>
      <c r="OR205" s="922"/>
      <c r="OS205" s="922"/>
      <c r="OT205" s="922"/>
      <c r="OU205" s="922"/>
      <c r="OV205" s="922"/>
      <c r="OW205" s="922"/>
      <c r="OX205" s="922"/>
      <c r="OY205" s="922"/>
      <c r="OZ205" s="922"/>
      <c r="PA205" s="922"/>
      <c r="PB205" s="922"/>
      <c r="PC205" s="922"/>
      <c r="PD205" s="922"/>
      <c r="PE205" s="922"/>
      <c r="PF205" s="922"/>
      <c r="PG205" s="922"/>
      <c r="PH205" s="922"/>
      <c r="PI205" s="922"/>
      <c r="PJ205" s="922"/>
      <c r="PK205" s="922"/>
      <c r="PL205" s="922"/>
      <c r="PM205" s="922"/>
      <c r="PN205" s="922"/>
      <c r="PO205" s="922"/>
      <c r="PP205" s="922"/>
      <c r="PQ205" s="922"/>
      <c r="PR205" s="922"/>
      <c r="PS205" s="922"/>
      <c r="PT205" s="922"/>
      <c r="PU205" s="922"/>
      <c r="PV205" s="922"/>
      <c r="PW205" s="922"/>
      <c r="PX205" s="922"/>
      <c r="PY205" s="922"/>
      <c r="PZ205" s="922"/>
      <c r="QA205" s="922"/>
      <c r="QB205" s="922"/>
      <c r="QC205" s="922"/>
      <c r="QD205" s="922"/>
      <c r="QE205" s="922"/>
      <c r="QF205" s="922"/>
      <c r="QG205" s="922"/>
      <c r="QH205" s="922"/>
      <c r="QI205" s="922"/>
      <c r="QJ205" s="922"/>
      <c r="QK205" s="922"/>
      <c r="QL205" s="922"/>
      <c r="QM205" s="922"/>
      <c r="QN205" s="922"/>
      <c r="QO205" s="922"/>
      <c r="QP205" s="922"/>
      <c r="QQ205" s="922"/>
      <c r="QR205" s="922"/>
      <c r="QS205" s="922"/>
      <c r="QT205" s="922"/>
      <c r="QU205" s="922"/>
      <c r="QV205" s="922"/>
      <c r="QW205" s="922"/>
      <c r="QX205" s="922"/>
      <c r="QY205" s="922"/>
      <c r="QZ205" s="922"/>
      <c r="RA205" s="922"/>
      <c r="RB205" s="922"/>
      <c r="RC205" s="922"/>
      <c r="RD205" s="922"/>
      <c r="RE205" s="922"/>
      <c r="RF205" s="922"/>
      <c r="RG205" s="922"/>
      <c r="RH205" s="922"/>
      <c r="RI205" s="922"/>
      <c r="RJ205" s="922"/>
      <c r="RK205" s="922"/>
      <c r="RL205" s="922"/>
      <c r="RM205" s="922"/>
      <c r="RN205" s="922"/>
      <c r="RO205" s="922"/>
      <c r="RP205" s="922"/>
      <c r="RQ205" s="922"/>
      <c r="RR205" s="922"/>
      <c r="RS205" s="922"/>
      <c r="RT205" s="922"/>
      <c r="RU205" s="922"/>
      <c r="RV205" s="922"/>
      <c r="RW205" s="922"/>
      <c r="RX205" s="922"/>
      <c r="RY205" s="922"/>
      <c r="RZ205" s="922"/>
      <c r="SA205" s="922"/>
      <c r="SB205" s="922"/>
      <c r="SC205" s="922"/>
      <c r="SD205" s="922"/>
      <c r="SE205" s="922"/>
      <c r="SF205" s="922"/>
      <c r="SG205" s="922"/>
      <c r="SH205" s="922"/>
      <c r="SI205" s="922"/>
      <c r="SJ205" s="922"/>
      <c r="SK205" s="922"/>
      <c r="SL205" s="922"/>
      <c r="SM205" s="922"/>
      <c r="SN205" s="922"/>
      <c r="SO205" s="922"/>
      <c r="SP205" s="922"/>
      <c r="SQ205" s="922"/>
      <c r="SR205" s="922"/>
      <c r="SS205" s="922"/>
      <c r="ST205" s="922"/>
      <c r="SU205" s="922"/>
      <c r="SV205" s="922"/>
      <c r="SW205" s="922"/>
      <c r="SX205" s="922"/>
      <c r="SY205" s="922"/>
      <c r="SZ205" s="922"/>
      <c r="TA205" s="922"/>
      <c r="TB205" s="922"/>
      <c r="TC205" s="922"/>
      <c r="TD205" s="922"/>
      <c r="TE205" s="922"/>
      <c r="TF205" s="922"/>
      <c r="TG205" s="922"/>
      <c r="TH205" s="922"/>
      <c r="TI205" s="922"/>
      <c r="TJ205" s="922"/>
      <c r="TK205" s="922"/>
      <c r="TL205" s="922"/>
      <c r="TM205" s="922"/>
      <c r="TN205" s="922"/>
      <c r="TO205" s="922"/>
      <c r="TP205" s="922"/>
      <c r="TQ205" s="922"/>
      <c r="TR205" s="922"/>
      <c r="TS205" s="922"/>
      <c r="TT205" s="922"/>
      <c r="TU205" s="922"/>
      <c r="TV205" s="922"/>
      <c r="TW205" s="922"/>
      <c r="TX205" s="922"/>
      <c r="TY205" s="922"/>
      <c r="TZ205" s="922"/>
      <c r="UA205" s="922"/>
      <c r="UB205" s="922"/>
      <c r="UC205" s="922"/>
      <c r="UD205" s="922"/>
      <c r="UE205" s="922"/>
      <c r="UF205" s="922"/>
      <c r="UG205" s="922"/>
      <c r="UH205" s="922"/>
      <c r="UI205" s="922"/>
      <c r="UJ205" s="922"/>
      <c r="UK205" s="922"/>
      <c r="UL205" s="922"/>
      <c r="UM205" s="922"/>
      <c r="UN205" s="922"/>
      <c r="UO205" s="922"/>
      <c r="UP205" s="922"/>
      <c r="UQ205" s="922"/>
      <c r="UR205" s="922"/>
      <c r="US205" s="922"/>
      <c r="UT205" s="922"/>
      <c r="UU205" s="922"/>
      <c r="UV205" s="922"/>
      <c r="UW205" s="922"/>
      <c r="UX205" s="922"/>
      <c r="UY205" s="922"/>
      <c r="UZ205" s="922"/>
      <c r="VA205" s="922"/>
      <c r="VB205" s="922"/>
      <c r="VC205" s="922"/>
      <c r="VD205" s="922"/>
      <c r="VE205" s="922"/>
      <c r="VF205" s="922"/>
      <c r="VG205" s="922"/>
      <c r="VH205" s="922"/>
      <c r="VI205" s="922"/>
      <c r="VJ205" s="922"/>
      <c r="VK205" s="922"/>
      <c r="VL205" s="922"/>
      <c r="VM205" s="922"/>
      <c r="VN205" s="922"/>
      <c r="VO205" s="922"/>
      <c r="VP205" s="922"/>
      <c r="VQ205" s="922"/>
      <c r="VR205" s="922"/>
      <c r="VS205" s="922"/>
      <c r="VT205" s="922"/>
      <c r="VU205" s="922"/>
      <c r="VV205" s="922"/>
      <c r="VW205" s="922"/>
      <c r="VX205" s="922"/>
      <c r="VY205" s="922"/>
      <c r="VZ205" s="922"/>
      <c r="WA205" s="922"/>
      <c r="WB205" s="922"/>
      <c r="WC205" s="922"/>
      <c r="WD205" s="922"/>
      <c r="WE205" s="922"/>
      <c r="WF205" s="922"/>
      <c r="WG205" s="922"/>
      <c r="WH205" s="922"/>
      <c r="WI205" s="922"/>
      <c r="WJ205" s="922"/>
      <c r="WK205" s="922"/>
      <c r="WL205" s="922"/>
      <c r="WM205" s="922"/>
      <c r="WN205" s="922"/>
      <c r="WO205" s="922"/>
      <c r="WP205" s="922"/>
      <c r="WQ205" s="922"/>
      <c r="WR205" s="922"/>
      <c r="WS205" s="922"/>
      <c r="WT205" s="922"/>
      <c r="WU205" s="922"/>
      <c r="WV205" s="922"/>
      <c r="WW205" s="922"/>
      <c r="WX205" s="922"/>
      <c r="WY205" s="922"/>
      <c r="WZ205" s="922"/>
      <c r="XA205" s="922"/>
      <c r="XB205" s="922"/>
      <c r="XC205" s="922"/>
      <c r="XD205" s="922"/>
      <c r="XE205" s="922"/>
      <c r="XF205" s="922"/>
      <c r="XG205" s="922"/>
      <c r="XH205" s="922"/>
      <c r="XI205" s="922"/>
      <c r="XJ205" s="922"/>
      <c r="XK205" s="922"/>
      <c r="XL205" s="922"/>
      <c r="XM205" s="922"/>
      <c r="XN205" s="922"/>
      <c r="XO205" s="922"/>
      <c r="XP205" s="922"/>
      <c r="XQ205" s="922"/>
      <c r="XR205" s="922"/>
      <c r="XS205" s="922"/>
      <c r="XT205" s="922"/>
      <c r="XU205" s="922"/>
      <c r="XV205" s="922"/>
      <c r="XW205" s="922"/>
      <c r="XX205" s="922"/>
      <c r="XY205" s="922"/>
      <c r="XZ205" s="922"/>
      <c r="YA205" s="922"/>
      <c r="YB205" s="922"/>
      <c r="YC205" s="922"/>
      <c r="YD205" s="922"/>
      <c r="YE205" s="922"/>
      <c r="YF205" s="922"/>
      <c r="YG205" s="922"/>
      <c r="YH205" s="922"/>
      <c r="YI205" s="922"/>
      <c r="YJ205" s="922"/>
      <c r="YK205" s="922"/>
      <c r="YL205" s="922"/>
      <c r="YM205" s="922"/>
      <c r="YN205" s="922"/>
      <c r="YO205" s="922"/>
      <c r="YP205" s="922"/>
      <c r="YQ205" s="922"/>
      <c r="YR205" s="922"/>
      <c r="YS205" s="922"/>
      <c r="YT205" s="922"/>
      <c r="YU205" s="922"/>
      <c r="YV205" s="922"/>
      <c r="YW205" s="922"/>
      <c r="YX205" s="922"/>
      <c r="YY205" s="922"/>
      <c r="YZ205" s="922"/>
      <c r="ZA205" s="922"/>
      <c r="ZB205" s="922"/>
      <c r="ZC205" s="922"/>
      <c r="ZD205" s="922"/>
      <c r="ZE205" s="922"/>
      <c r="ZF205" s="922"/>
      <c r="ZG205" s="922"/>
      <c r="ZH205" s="922"/>
      <c r="ZI205" s="922"/>
      <c r="ZJ205" s="922"/>
      <c r="ZK205" s="922"/>
      <c r="ZL205" s="922"/>
      <c r="ZM205" s="922"/>
      <c r="ZN205" s="922"/>
      <c r="ZO205" s="922"/>
      <c r="ZP205" s="922"/>
      <c r="ZQ205" s="922"/>
      <c r="ZR205" s="922"/>
      <c r="ZS205" s="922"/>
      <c r="ZT205" s="922"/>
      <c r="ZU205" s="922"/>
      <c r="ZV205" s="922"/>
      <c r="ZW205" s="922"/>
      <c r="ZX205" s="922"/>
      <c r="ZY205" s="922"/>
      <c r="ZZ205" s="922"/>
      <c r="AAA205" s="922"/>
      <c r="AAB205" s="922"/>
      <c r="AAC205" s="922"/>
      <c r="AAD205" s="922"/>
      <c r="AAE205" s="922"/>
      <c r="AAF205" s="922"/>
      <c r="AAG205" s="922"/>
      <c r="AAH205" s="922"/>
      <c r="AAI205" s="922"/>
      <c r="AAJ205" s="922"/>
      <c r="AAK205" s="922"/>
      <c r="AAL205" s="922"/>
      <c r="AAM205" s="922"/>
      <c r="AAN205" s="922"/>
      <c r="AAO205" s="922"/>
      <c r="AAP205" s="922"/>
      <c r="AAQ205" s="922"/>
      <c r="AAR205" s="922"/>
      <c r="AAS205" s="922"/>
      <c r="AAT205" s="922"/>
      <c r="AAU205" s="922"/>
      <c r="AAV205" s="922"/>
      <c r="AAW205" s="922"/>
      <c r="AAX205" s="922"/>
      <c r="AAY205" s="922"/>
      <c r="AAZ205" s="922"/>
      <c r="ABA205" s="922"/>
      <c r="ABB205" s="922"/>
      <c r="ABC205" s="922"/>
      <c r="ABD205" s="922"/>
      <c r="ABE205" s="922"/>
      <c r="ABF205" s="922"/>
      <c r="ABG205" s="922"/>
      <c r="ABH205" s="922"/>
      <c r="ABI205" s="922"/>
      <c r="ABJ205" s="922"/>
      <c r="ABK205" s="922"/>
      <c r="ABL205" s="922"/>
      <c r="ABM205" s="922"/>
      <c r="ABN205" s="922"/>
      <c r="ABO205" s="922"/>
      <c r="ABP205" s="922"/>
      <c r="ABQ205" s="922"/>
      <c r="ABR205" s="922"/>
      <c r="ABS205" s="922"/>
      <c r="ABT205" s="922"/>
      <c r="ABU205" s="922"/>
      <c r="ABV205" s="922"/>
      <c r="ABW205" s="922"/>
      <c r="ABX205" s="922"/>
      <c r="ABY205" s="922"/>
      <c r="ABZ205" s="922"/>
      <c r="ACA205" s="922"/>
      <c r="ACB205" s="922"/>
      <c r="ACC205" s="922"/>
      <c r="ACD205" s="922"/>
      <c r="ACE205" s="922"/>
      <c r="ACF205" s="922"/>
      <c r="ACG205" s="922"/>
      <c r="ACH205" s="922"/>
      <c r="ACI205" s="922"/>
      <c r="ACJ205" s="922"/>
      <c r="ACK205" s="922"/>
      <c r="ACL205" s="922"/>
      <c r="ACM205" s="922"/>
      <c r="ACN205" s="922"/>
      <c r="ACO205" s="922"/>
      <c r="ACP205" s="922"/>
      <c r="ACQ205" s="922"/>
      <c r="ACR205" s="922"/>
      <c r="ACS205" s="922"/>
      <c r="ACT205" s="922"/>
      <c r="ACU205" s="922"/>
      <c r="ACV205" s="922"/>
      <c r="ACW205" s="922"/>
      <c r="ACX205" s="922"/>
      <c r="ACY205" s="922"/>
      <c r="ACZ205" s="922"/>
      <c r="ADA205" s="922"/>
      <c r="ADB205" s="922"/>
      <c r="ADC205" s="922"/>
      <c r="ADD205" s="922"/>
      <c r="ADE205" s="922"/>
      <c r="ADF205" s="922"/>
      <c r="ADG205" s="922"/>
      <c r="ADH205" s="922"/>
      <c r="ADI205" s="922"/>
      <c r="ADJ205" s="922"/>
      <c r="ADK205" s="922"/>
      <c r="ADL205" s="922"/>
      <c r="ADM205" s="922"/>
      <c r="ADN205" s="922"/>
      <c r="ADO205" s="922"/>
      <c r="ADP205" s="922"/>
      <c r="ADQ205" s="922"/>
      <c r="ADR205" s="922"/>
      <c r="ADS205" s="922"/>
      <c r="ADT205" s="922"/>
      <c r="ADU205" s="922"/>
      <c r="ADV205" s="922"/>
      <c r="ADW205" s="922"/>
      <c r="ADX205" s="922"/>
      <c r="ADY205" s="922"/>
      <c r="ADZ205" s="922"/>
      <c r="AEA205" s="922"/>
      <c r="AEB205" s="922"/>
      <c r="AEC205" s="922"/>
      <c r="AED205" s="922"/>
      <c r="AEE205" s="922"/>
      <c r="AEF205" s="922"/>
      <c r="AEG205" s="922"/>
      <c r="AEH205" s="922"/>
      <c r="AEI205" s="922"/>
      <c r="AEJ205" s="922"/>
      <c r="AEK205" s="922"/>
      <c r="AEL205" s="922"/>
      <c r="AEM205" s="922"/>
      <c r="AEN205" s="922"/>
      <c r="AEO205" s="922"/>
      <c r="AEP205" s="922"/>
      <c r="AEQ205" s="922"/>
      <c r="AER205" s="922"/>
      <c r="AES205" s="922"/>
      <c r="AET205" s="922"/>
      <c r="AEU205" s="922"/>
      <c r="AEV205" s="922"/>
      <c r="AEW205" s="922"/>
      <c r="AEX205" s="922"/>
      <c r="AEY205" s="922"/>
      <c r="AEZ205" s="922"/>
      <c r="AFA205" s="922"/>
      <c r="AFB205" s="922"/>
      <c r="AFC205" s="922"/>
      <c r="AFD205" s="922"/>
      <c r="AFE205" s="922"/>
      <c r="AFF205" s="922"/>
      <c r="AFG205" s="922"/>
      <c r="AFH205" s="922"/>
      <c r="AFI205" s="922"/>
      <c r="AFJ205" s="922"/>
      <c r="AFK205" s="922"/>
      <c r="AFL205" s="922"/>
      <c r="AFM205" s="922"/>
      <c r="AFN205" s="922"/>
      <c r="AFO205" s="922"/>
      <c r="AFP205" s="922"/>
      <c r="AFQ205" s="922"/>
      <c r="AFR205" s="922"/>
      <c r="AFS205" s="922"/>
      <c r="AFT205" s="922"/>
      <c r="AFU205" s="922"/>
      <c r="AFV205" s="922"/>
      <c r="AFW205" s="922"/>
      <c r="AFX205" s="922"/>
      <c r="AFY205" s="922"/>
      <c r="AFZ205" s="922"/>
      <c r="AGA205" s="922"/>
      <c r="AGB205" s="922"/>
      <c r="AGC205" s="922"/>
      <c r="AGD205" s="922"/>
      <c r="AGE205" s="922"/>
      <c r="AGF205" s="922"/>
      <c r="AGG205" s="922"/>
      <c r="AGH205" s="922"/>
      <c r="AGI205" s="922"/>
      <c r="AGJ205" s="922"/>
      <c r="AGK205" s="922"/>
      <c r="AGL205" s="922"/>
      <c r="AGM205" s="922"/>
      <c r="AGN205" s="922"/>
      <c r="AGO205" s="922"/>
      <c r="AGP205" s="922"/>
      <c r="AGQ205" s="922"/>
      <c r="AGR205" s="922"/>
      <c r="AGS205" s="922"/>
      <c r="AGT205" s="922"/>
      <c r="AGU205" s="922"/>
      <c r="AGV205" s="922"/>
      <c r="AGW205" s="922"/>
      <c r="AGX205" s="922"/>
      <c r="AGY205" s="922"/>
      <c r="AGZ205" s="922"/>
      <c r="AHA205" s="922"/>
      <c r="AHB205" s="922"/>
      <c r="AHC205" s="922"/>
      <c r="AHD205" s="922"/>
      <c r="AHE205" s="922"/>
      <c r="AHF205" s="922"/>
      <c r="AHG205" s="922"/>
      <c r="AHH205" s="922"/>
      <c r="AHI205" s="922"/>
      <c r="AHJ205" s="922"/>
      <c r="AHK205" s="922"/>
      <c r="AHL205" s="922"/>
      <c r="AHM205" s="922"/>
      <c r="AHN205" s="922"/>
      <c r="AHO205" s="922"/>
      <c r="AHP205" s="922"/>
      <c r="AHQ205" s="922"/>
      <c r="AHR205" s="922"/>
      <c r="AHS205" s="922"/>
      <c r="AHT205" s="922"/>
      <c r="AHU205" s="922"/>
      <c r="AHV205" s="922"/>
      <c r="AHW205" s="922"/>
      <c r="AHX205" s="922"/>
      <c r="AHY205" s="922"/>
      <c r="AHZ205" s="922"/>
      <c r="AIA205" s="922"/>
      <c r="AIB205" s="922"/>
      <c r="AIC205" s="922"/>
      <c r="AID205" s="922"/>
      <c r="AIE205" s="922"/>
      <c r="AIF205" s="922"/>
      <c r="AIG205" s="922"/>
      <c r="AIH205" s="922"/>
      <c r="AII205" s="922"/>
      <c r="AIJ205" s="922"/>
      <c r="AIK205" s="922"/>
      <c r="AIL205" s="922"/>
      <c r="AIM205" s="922"/>
      <c r="AIN205" s="922"/>
      <c r="AIO205" s="922"/>
      <c r="AIP205" s="922"/>
      <c r="AIQ205" s="922"/>
      <c r="AIR205" s="922"/>
      <c r="AIS205" s="922"/>
      <c r="AIT205" s="922"/>
      <c r="AIU205" s="922"/>
      <c r="AIV205" s="922"/>
      <c r="AIW205" s="922"/>
      <c r="AIX205" s="922"/>
      <c r="AIY205" s="922"/>
      <c r="AIZ205" s="922"/>
      <c r="AJA205" s="922"/>
      <c r="AJB205" s="922"/>
      <c r="AJC205" s="922"/>
      <c r="AJD205" s="922"/>
      <c r="AJE205" s="922"/>
      <c r="AJF205" s="922"/>
      <c r="AJG205" s="922"/>
      <c r="AJH205" s="922"/>
      <c r="AJI205" s="922"/>
      <c r="AJJ205" s="922"/>
      <c r="AJK205" s="922"/>
      <c r="AJL205" s="922"/>
      <c r="AJM205" s="922"/>
      <c r="AJN205" s="922"/>
      <c r="AJO205" s="922"/>
      <c r="AJP205" s="922"/>
      <c r="AJQ205" s="922"/>
      <c r="AJR205" s="922"/>
      <c r="AJS205" s="922"/>
      <c r="AJT205" s="922"/>
      <c r="AJU205" s="922"/>
      <c r="AJV205" s="922"/>
      <c r="AJW205" s="922"/>
      <c r="AJX205" s="922"/>
      <c r="AJY205" s="922"/>
      <c r="AJZ205" s="922"/>
      <c r="AKA205" s="922"/>
      <c r="AKB205" s="922"/>
      <c r="AKC205" s="922"/>
      <c r="AKD205" s="922"/>
      <c r="AKE205" s="922"/>
      <c r="AKF205" s="922"/>
      <c r="AKG205" s="922"/>
      <c r="AKH205" s="922"/>
      <c r="AKI205" s="922"/>
      <c r="AKJ205" s="922"/>
      <c r="AKK205" s="922"/>
      <c r="AKL205" s="922"/>
      <c r="AKM205" s="922"/>
      <c r="AKN205" s="922"/>
      <c r="AKO205" s="922"/>
      <c r="AKP205" s="922"/>
      <c r="AKQ205" s="922"/>
      <c r="AKR205" s="922"/>
      <c r="AKS205" s="922"/>
      <c r="AKT205" s="922"/>
      <c r="AKU205" s="922"/>
      <c r="AKV205" s="922"/>
      <c r="AKW205" s="922"/>
      <c r="AKX205" s="922"/>
      <c r="AKY205" s="922"/>
      <c r="AKZ205" s="922"/>
      <c r="ALA205" s="922"/>
      <c r="ALB205" s="922"/>
      <c r="ALC205" s="922"/>
      <c r="ALD205" s="922"/>
      <c r="ALE205" s="922"/>
      <c r="ALF205" s="922"/>
      <c r="ALG205" s="922"/>
      <c r="ALH205" s="922"/>
      <c r="ALI205" s="922"/>
      <c r="ALJ205" s="922"/>
      <c r="ALK205" s="922"/>
      <c r="ALL205" s="922"/>
      <c r="ALM205" s="922"/>
      <c r="ALN205" s="922"/>
      <c r="ALO205" s="922"/>
      <c r="ALP205" s="922"/>
      <c r="ALQ205" s="922"/>
      <c r="ALR205" s="922"/>
      <c r="ALS205" s="922"/>
      <c r="ALT205" s="922"/>
      <c r="ALU205" s="922"/>
      <c r="ALV205" s="922"/>
      <c r="ALW205" s="922"/>
      <c r="ALX205" s="922"/>
      <c r="ALY205" s="922"/>
      <c r="ALZ205" s="922"/>
      <c r="AMA205" s="922"/>
      <c r="AMB205" s="922"/>
      <c r="AMC205" s="922"/>
      <c r="AMD205" s="922"/>
      <c r="AME205" s="922"/>
      <c r="AMF205" s="922"/>
      <c r="AMG205" s="922"/>
      <c r="AMH205" s="922"/>
      <c r="AMI205" s="922"/>
      <c r="AMJ205" s="922"/>
      <c r="AMK205" s="922"/>
      <c r="AML205" s="922"/>
      <c r="AMM205" s="922"/>
      <c r="AMN205" s="922"/>
      <c r="AMO205" s="922"/>
      <c r="AMP205" s="922"/>
      <c r="AMQ205" s="922"/>
      <c r="AMR205" s="922"/>
      <c r="AMS205" s="922"/>
      <c r="AMT205" s="922"/>
      <c r="AMU205" s="922"/>
      <c r="AMV205" s="922"/>
      <c r="AMW205" s="922"/>
      <c r="AMX205" s="922"/>
      <c r="AMY205" s="922"/>
      <c r="AMZ205" s="922"/>
      <c r="ANA205" s="922"/>
      <c r="ANB205" s="922"/>
      <c r="ANC205" s="922"/>
      <c r="AND205" s="922"/>
      <c r="ANE205" s="922"/>
      <c r="ANF205" s="922"/>
      <c r="ANG205" s="922"/>
      <c r="ANH205" s="922"/>
      <c r="ANI205" s="922"/>
      <c r="ANJ205" s="922"/>
      <c r="ANK205" s="922"/>
      <c r="ANL205" s="922"/>
      <c r="ANM205" s="922"/>
      <c r="ANN205" s="922"/>
      <c r="ANO205" s="922"/>
      <c r="ANP205" s="922"/>
      <c r="ANQ205" s="922"/>
      <c r="ANR205" s="922"/>
      <c r="ANS205" s="922"/>
      <c r="ANT205" s="922"/>
      <c r="ANU205" s="922"/>
      <c r="ANV205" s="922"/>
      <c r="ANW205" s="922"/>
      <c r="ANX205" s="922"/>
      <c r="ANY205" s="922"/>
      <c r="ANZ205" s="922"/>
      <c r="AOA205" s="922"/>
      <c r="AOB205" s="922"/>
      <c r="AOC205" s="922"/>
      <c r="AOD205" s="922"/>
      <c r="AOE205" s="922"/>
      <c r="AOF205" s="922"/>
      <c r="AOG205" s="922"/>
      <c r="AOH205" s="922"/>
      <c r="AOI205" s="922"/>
      <c r="AOJ205" s="922"/>
      <c r="AOK205" s="922"/>
      <c r="AOL205" s="922"/>
      <c r="AOM205" s="922"/>
      <c r="AON205" s="922"/>
      <c r="AOO205" s="922"/>
      <c r="AOP205" s="922"/>
      <c r="AOQ205" s="922"/>
      <c r="AOR205" s="922"/>
      <c r="AOS205" s="922"/>
      <c r="AOT205" s="922"/>
      <c r="AOU205" s="922"/>
      <c r="AOV205" s="922"/>
      <c r="AOW205" s="922"/>
      <c r="AOX205" s="922"/>
      <c r="AOY205" s="922"/>
      <c r="AOZ205" s="922"/>
      <c r="APA205" s="922"/>
      <c r="APB205" s="922"/>
      <c r="APC205" s="922"/>
      <c r="APD205" s="922"/>
      <c r="APE205" s="922"/>
      <c r="APF205" s="922"/>
      <c r="APG205" s="922"/>
      <c r="APH205" s="922"/>
      <c r="API205" s="922"/>
      <c r="APJ205" s="922"/>
      <c r="APK205" s="922"/>
      <c r="APL205" s="922"/>
      <c r="APM205" s="922"/>
      <c r="APN205" s="922"/>
      <c r="APO205" s="922"/>
      <c r="APP205" s="922"/>
      <c r="APQ205" s="922"/>
      <c r="APR205" s="922"/>
      <c r="APS205" s="922"/>
      <c r="APT205" s="922"/>
      <c r="APU205" s="922"/>
      <c r="APV205" s="922"/>
      <c r="APW205" s="922"/>
      <c r="APX205" s="922"/>
      <c r="APY205" s="922"/>
      <c r="APZ205" s="922"/>
      <c r="AQA205" s="922"/>
      <c r="AQB205" s="922"/>
      <c r="AQC205" s="922"/>
      <c r="AQD205" s="922"/>
      <c r="AQE205" s="922"/>
      <c r="AQF205" s="922"/>
      <c r="AQG205" s="922"/>
      <c r="AQH205" s="922"/>
      <c r="AQI205" s="922"/>
      <c r="AQJ205" s="922"/>
      <c r="AQK205" s="922"/>
      <c r="AQL205" s="922"/>
      <c r="AQM205" s="922"/>
      <c r="AQN205" s="922"/>
      <c r="AQO205" s="922"/>
      <c r="AQP205" s="922"/>
      <c r="AQQ205" s="922"/>
      <c r="AQR205" s="922"/>
      <c r="AQS205" s="922"/>
      <c r="AQT205" s="922"/>
      <c r="AQU205" s="922"/>
      <c r="AQV205" s="922"/>
      <c r="AQW205" s="922"/>
      <c r="AQX205" s="922"/>
      <c r="AQY205" s="922"/>
      <c r="AQZ205" s="922"/>
      <c r="ARA205" s="922"/>
      <c r="ARB205" s="922"/>
      <c r="ARC205" s="922"/>
      <c r="ARD205" s="922"/>
      <c r="ARE205" s="922"/>
      <c r="ARF205" s="922"/>
      <c r="ARG205" s="922"/>
      <c r="ARH205" s="922"/>
      <c r="ARI205" s="922"/>
      <c r="ARJ205" s="922"/>
      <c r="ARK205" s="922"/>
      <c r="ARL205" s="922"/>
      <c r="ARM205" s="922"/>
      <c r="ARN205" s="922"/>
      <c r="ARO205" s="922"/>
      <c r="ARP205" s="922"/>
      <c r="ARQ205" s="922"/>
      <c r="ARR205" s="922"/>
      <c r="ARS205" s="922"/>
      <c r="ART205" s="922"/>
      <c r="ARU205" s="922"/>
      <c r="ARV205" s="922"/>
      <c r="ARW205" s="922"/>
      <c r="ARX205" s="922"/>
      <c r="ARY205" s="922"/>
      <c r="ARZ205" s="922"/>
      <c r="ASA205" s="922"/>
      <c r="ASB205" s="922"/>
      <c r="ASC205" s="922"/>
    </row>
    <row r="206" spans="20:1173" hidden="1">
      <c r="T206" s="922"/>
      <c r="AN206" s="922"/>
      <c r="AO206" s="922"/>
      <c r="AP206" s="922"/>
      <c r="AQ206" s="922"/>
      <c r="AR206" s="922"/>
      <c r="AS206" s="922"/>
      <c r="AT206" s="922"/>
      <c r="AU206" s="922"/>
      <c r="AV206" s="922"/>
      <c r="AW206" s="922"/>
      <c r="AX206" s="922"/>
      <c r="AY206" s="922"/>
      <c r="AZ206" s="922"/>
      <c r="BA206" s="922"/>
      <c r="BB206" s="922"/>
      <c r="BC206" s="922"/>
      <c r="BD206" s="922"/>
      <c r="BE206" s="922"/>
      <c r="BF206" s="922"/>
      <c r="BG206" s="922"/>
      <c r="BH206" s="922"/>
      <c r="BI206" s="922"/>
      <c r="BJ206" s="922"/>
      <c r="BK206" s="922"/>
      <c r="BL206" s="922"/>
      <c r="BM206" s="922"/>
      <c r="BN206" s="922"/>
      <c r="BO206" s="922"/>
      <c r="BP206" s="922"/>
      <c r="BQ206" s="922"/>
      <c r="BR206" s="922"/>
      <c r="BS206" s="922"/>
      <c r="BT206" s="922"/>
      <c r="BU206" s="922"/>
      <c r="BV206" s="922"/>
      <c r="BW206" s="922"/>
      <c r="BX206" s="922"/>
      <c r="BY206" s="922"/>
      <c r="BZ206" s="922"/>
      <c r="CA206" s="922"/>
      <c r="CB206" s="922"/>
      <c r="CC206" s="922"/>
      <c r="CD206" s="922"/>
      <c r="CE206" s="922"/>
      <c r="CF206" s="922"/>
      <c r="CG206" s="922"/>
      <c r="CH206" s="922"/>
      <c r="CI206" s="922"/>
      <c r="CJ206" s="922"/>
      <c r="CK206" s="922"/>
      <c r="CL206" s="922"/>
      <c r="CM206" s="922"/>
      <c r="CN206" s="922"/>
      <c r="CO206" s="922"/>
      <c r="CP206" s="922"/>
      <c r="CQ206" s="922"/>
      <c r="CR206" s="922"/>
      <c r="CS206" s="922"/>
      <c r="CT206" s="922"/>
      <c r="CU206" s="922"/>
      <c r="CV206" s="922"/>
      <c r="CW206" s="922"/>
      <c r="CX206" s="922"/>
      <c r="CY206" s="922"/>
      <c r="CZ206" s="922"/>
      <c r="DA206" s="922"/>
      <c r="DB206" s="922"/>
      <c r="DC206" s="922"/>
      <c r="DD206" s="922"/>
      <c r="DE206" s="922"/>
      <c r="DF206" s="922"/>
      <c r="DG206" s="922"/>
      <c r="DH206" s="922"/>
      <c r="DI206" s="922"/>
      <c r="DJ206" s="922"/>
      <c r="DK206" s="922"/>
      <c r="DL206" s="922"/>
      <c r="DM206" s="922"/>
      <c r="DN206" s="922"/>
      <c r="DO206" s="922"/>
      <c r="DP206" s="922"/>
      <c r="DQ206" s="922"/>
      <c r="DR206" s="922"/>
      <c r="DS206" s="922"/>
      <c r="DT206" s="922"/>
      <c r="DU206" s="922"/>
      <c r="DV206" s="922"/>
      <c r="DW206" s="922"/>
      <c r="DX206" s="922"/>
      <c r="DY206" s="922"/>
      <c r="DZ206" s="922"/>
      <c r="EA206" s="922"/>
      <c r="EB206" s="922"/>
      <c r="EC206" s="922"/>
      <c r="ED206" s="922"/>
      <c r="EE206" s="922"/>
      <c r="EF206" s="922"/>
      <c r="EG206" s="922"/>
      <c r="EH206" s="922"/>
      <c r="EI206" s="922"/>
      <c r="EJ206" s="922"/>
      <c r="EK206" s="922"/>
      <c r="EL206" s="922"/>
      <c r="EM206" s="922"/>
      <c r="EN206" s="922"/>
      <c r="EO206" s="922"/>
      <c r="EP206" s="922"/>
      <c r="EQ206" s="922"/>
      <c r="ER206" s="922"/>
      <c r="ES206" s="922"/>
      <c r="ET206" s="922"/>
      <c r="EU206" s="922"/>
      <c r="EV206" s="922"/>
      <c r="EW206" s="922"/>
      <c r="EX206" s="922"/>
      <c r="EY206" s="922"/>
      <c r="EZ206" s="922"/>
      <c r="FA206" s="922"/>
      <c r="FB206" s="922"/>
      <c r="FC206" s="922"/>
      <c r="FD206" s="922"/>
      <c r="FE206" s="922"/>
      <c r="FF206" s="922"/>
      <c r="FG206" s="922"/>
      <c r="FH206" s="922"/>
      <c r="FI206" s="922"/>
      <c r="FJ206" s="922"/>
      <c r="FK206" s="922"/>
      <c r="FL206" s="922"/>
      <c r="FM206" s="922"/>
      <c r="FN206" s="922"/>
      <c r="FO206" s="922"/>
      <c r="FP206" s="922"/>
      <c r="FQ206" s="922"/>
      <c r="FR206" s="922"/>
      <c r="FS206" s="922"/>
      <c r="FT206" s="922"/>
      <c r="FU206" s="922"/>
      <c r="FV206" s="922"/>
      <c r="FW206" s="922"/>
      <c r="FX206" s="922"/>
      <c r="FY206" s="922"/>
      <c r="FZ206" s="922"/>
      <c r="GA206" s="922"/>
      <c r="GB206" s="922"/>
      <c r="GC206" s="922"/>
      <c r="GD206" s="922"/>
      <c r="GE206" s="922"/>
      <c r="GF206" s="922"/>
      <c r="GG206" s="922"/>
      <c r="GH206" s="922"/>
      <c r="GI206" s="922"/>
      <c r="GJ206" s="922"/>
      <c r="GK206" s="922"/>
      <c r="GL206" s="922"/>
      <c r="GM206" s="922"/>
      <c r="GN206" s="922"/>
      <c r="GO206" s="922"/>
      <c r="GP206" s="922"/>
      <c r="GQ206" s="922"/>
      <c r="GR206" s="922"/>
      <c r="GS206" s="922"/>
      <c r="GT206" s="922"/>
      <c r="GU206" s="922"/>
      <c r="GV206" s="922"/>
      <c r="GW206" s="922"/>
      <c r="GX206" s="922"/>
      <c r="GY206" s="922"/>
      <c r="GZ206" s="922"/>
      <c r="HA206" s="922"/>
      <c r="HB206" s="922"/>
      <c r="HC206" s="922"/>
      <c r="HD206" s="922"/>
      <c r="HE206" s="922"/>
      <c r="HF206" s="922"/>
      <c r="HG206" s="922"/>
      <c r="HH206" s="922"/>
      <c r="HI206" s="922"/>
      <c r="HJ206" s="922"/>
      <c r="HK206" s="922"/>
      <c r="HL206" s="922"/>
      <c r="HM206" s="922"/>
      <c r="HN206" s="922"/>
      <c r="HO206" s="922"/>
      <c r="HP206" s="922"/>
      <c r="HQ206" s="922"/>
      <c r="HR206" s="922"/>
      <c r="HS206" s="922"/>
      <c r="HT206" s="922"/>
      <c r="HU206" s="922"/>
      <c r="HV206" s="922"/>
      <c r="HW206" s="922"/>
      <c r="HX206" s="922"/>
      <c r="HY206" s="922"/>
      <c r="HZ206" s="922"/>
      <c r="IA206" s="922"/>
      <c r="IB206" s="922"/>
      <c r="IC206" s="922"/>
      <c r="ID206" s="922"/>
      <c r="IE206" s="922"/>
      <c r="IF206" s="922"/>
      <c r="IG206" s="922"/>
      <c r="IH206" s="922"/>
      <c r="II206" s="922"/>
      <c r="IJ206" s="922"/>
      <c r="IK206" s="922"/>
      <c r="IL206" s="922"/>
      <c r="IM206" s="922"/>
      <c r="IN206" s="922"/>
      <c r="IO206" s="922"/>
      <c r="IP206" s="922"/>
      <c r="IQ206" s="922"/>
      <c r="IR206" s="922"/>
      <c r="IS206" s="922"/>
      <c r="IT206" s="922"/>
      <c r="IU206" s="922"/>
      <c r="IV206" s="922"/>
      <c r="IW206" s="922"/>
      <c r="IX206" s="922"/>
      <c r="IY206" s="922"/>
      <c r="IZ206" s="922"/>
      <c r="JA206" s="922"/>
      <c r="JB206" s="922"/>
      <c r="JC206" s="922"/>
      <c r="JD206" s="922"/>
      <c r="JE206" s="922"/>
      <c r="JF206" s="922"/>
      <c r="JG206" s="922"/>
      <c r="JH206" s="922"/>
      <c r="JI206" s="922"/>
      <c r="JJ206" s="922"/>
      <c r="JK206" s="922"/>
      <c r="JL206" s="922"/>
      <c r="JM206" s="922"/>
      <c r="JN206" s="922"/>
      <c r="JO206" s="922"/>
      <c r="JP206" s="922"/>
      <c r="JQ206" s="922"/>
      <c r="JR206" s="922"/>
      <c r="JS206" s="922"/>
      <c r="JT206" s="922"/>
      <c r="JU206" s="922"/>
      <c r="JV206" s="922"/>
      <c r="JW206" s="922"/>
      <c r="JX206" s="922"/>
      <c r="JY206" s="922"/>
      <c r="JZ206" s="922"/>
      <c r="KA206" s="922"/>
      <c r="KB206" s="922"/>
      <c r="KC206" s="922"/>
      <c r="KD206" s="922"/>
      <c r="KE206" s="922"/>
      <c r="KF206" s="922"/>
      <c r="KG206" s="922"/>
      <c r="KH206" s="922"/>
      <c r="KI206" s="922"/>
      <c r="KJ206" s="922"/>
      <c r="KK206" s="922"/>
      <c r="KL206" s="922"/>
      <c r="KM206" s="922"/>
      <c r="KN206" s="922"/>
      <c r="KO206" s="922"/>
      <c r="KP206" s="922"/>
      <c r="KQ206" s="922"/>
      <c r="KR206" s="922"/>
      <c r="KS206" s="922"/>
      <c r="KT206" s="922"/>
      <c r="KU206" s="922"/>
      <c r="KV206" s="922"/>
      <c r="KW206" s="922"/>
      <c r="KX206" s="922"/>
      <c r="KY206" s="922"/>
      <c r="KZ206" s="922"/>
      <c r="LA206" s="922"/>
      <c r="LB206" s="922"/>
      <c r="LC206" s="922"/>
      <c r="LD206" s="922"/>
      <c r="LE206" s="922"/>
      <c r="LF206" s="922"/>
      <c r="LG206" s="922"/>
      <c r="LH206" s="922"/>
      <c r="LI206" s="922"/>
      <c r="LJ206" s="922"/>
      <c r="LK206" s="922"/>
      <c r="LL206" s="922"/>
      <c r="LM206" s="922"/>
      <c r="LN206" s="922"/>
      <c r="LO206" s="922"/>
      <c r="LP206" s="922"/>
      <c r="LQ206" s="922"/>
      <c r="LR206" s="922"/>
      <c r="LS206" s="922"/>
      <c r="LT206" s="922"/>
      <c r="LU206" s="922"/>
      <c r="LV206" s="922"/>
      <c r="LW206" s="922"/>
      <c r="LX206" s="922"/>
      <c r="LY206" s="922"/>
      <c r="LZ206" s="922"/>
      <c r="MA206" s="922"/>
      <c r="MB206" s="922"/>
      <c r="MC206" s="922"/>
      <c r="MD206" s="922"/>
      <c r="ME206" s="922"/>
      <c r="MF206" s="922"/>
      <c r="MG206" s="922"/>
      <c r="MH206" s="922"/>
      <c r="MI206" s="922"/>
      <c r="MJ206" s="922"/>
      <c r="MK206" s="922"/>
      <c r="ML206" s="922"/>
      <c r="MM206" s="922"/>
      <c r="MN206" s="922"/>
      <c r="MO206" s="922"/>
      <c r="MP206" s="922"/>
      <c r="MQ206" s="922"/>
      <c r="MR206" s="922"/>
      <c r="MS206" s="922"/>
      <c r="MT206" s="922"/>
      <c r="MU206" s="922"/>
      <c r="MV206" s="922"/>
      <c r="MW206" s="922"/>
      <c r="MX206" s="922"/>
      <c r="MY206" s="922"/>
      <c r="MZ206" s="922"/>
      <c r="NA206" s="922"/>
      <c r="NB206" s="922"/>
      <c r="NC206" s="922"/>
      <c r="ND206" s="922"/>
      <c r="NE206" s="922"/>
      <c r="NF206" s="922"/>
      <c r="NG206" s="922"/>
      <c r="NH206" s="922"/>
      <c r="NI206" s="922"/>
      <c r="NJ206" s="922"/>
      <c r="NK206" s="922"/>
      <c r="NL206" s="922"/>
      <c r="NM206" s="922"/>
      <c r="NN206" s="922"/>
      <c r="NO206" s="922"/>
      <c r="NP206" s="922"/>
      <c r="NQ206" s="922"/>
      <c r="NR206" s="922"/>
      <c r="NS206" s="922"/>
      <c r="NT206" s="922"/>
      <c r="NU206" s="922"/>
      <c r="NV206" s="922"/>
      <c r="NW206" s="922"/>
      <c r="NX206" s="922"/>
      <c r="NY206" s="922"/>
      <c r="NZ206" s="922"/>
      <c r="OA206" s="922"/>
      <c r="OB206" s="922"/>
      <c r="OC206" s="922"/>
      <c r="OD206" s="922"/>
      <c r="OE206" s="922"/>
      <c r="OF206" s="922"/>
      <c r="OG206" s="922"/>
      <c r="OH206" s="922"/>
      <c r="OI206" s="922"/>
      <c r="OJ206" s="922"/>
      <c r="OK206" s="922"/>
      <c r="OL206" s="922"/>
      <c r="OM206" s="922"/>
      <c r="ON206" s="922"/>
      <c r="OO206" s="922"/>
      <c r="OP206" s="922"/>
      <c r="OQ206" s="922"/>
      <c r="OR206" s="922"/>
      <c r="OS206" s="922"/>
      <c r="OT206" s="922"/>
      <c r="OU206" s="922"/>
      <c r="OV206" s="922"/>
      <c r="OW206" s="922"/>
      <c r="OX206" s="922"/>
      <c r="OY206" s="922"/>
      <c r="OZ206" s="922"/>
      <c r="PA206" s="922"/>
      <c r="PB206" s="922"/>
      <c r="PC206" s="922"/>
      <c r="PD206" s="922"/>
      <c r="PE206" s="922"/>
      <c r="PF206" s="922"/>
      <c r="PG206" s="922"/>
      <c r="PH206" s="922"/>
      <c r="PI206" s="922"/>
      <c r="PJ206" s="922"/>
      <c r="PK206" s="922"/>
      <c r="PL206" s="922"/>
      <c r="PM206" s="922"/>
      <c r="PN206" s="922"/>
      <c r="PO206" s="922"/>
      <c r="PP206" s="922"/>
      <c r="PQ206" s="922"/>
      <c r="PR206" s="922"/>
      <c r="PS206" s="922"/>
      <c r="PT206" s="922"/>
      <c r="PU206" s="922"/>
      <c r="PV206" s="922"/>
      <c r="PW206" s="922"/>
      <c r="PX206" s="922"/>
      <c r="PY206" s="922"/>
      <c r="PZ206" s="922"/>
      <c r="QA206" s="922"/>
      <c r="QB206" s="922"/>
      <c r="QC206" s="922"/>
      <c r="QD206" s="922"/>
      <c r="QE206" s="922"/>
      <c r="QF206" s="922"/>
      <c r="QG206" s="922"/>
      <c r="QH206" s="922"/>
      <c r="QI206" s="922"/>
      <c r="QJ206" s="922"/>
      <c r="QK206" s="922"/>
      <c r="QL206" s="922"/>
      <c r="QM206" s="922"/>
      <c r="QN206" s="922"/>
      <c r="QO206" s="922"/>
      <c r="QP206" s="922"/>
      <c r="QQ206" s="922"/>
      <c r="QR206" s="922"/>
      <c r="QS206" s="922"/>
      <c r="QT206" s="922"/>
      <c r="QU206" s="922"/>
      <c r="QV206" s="922"/>
      <c r="QW206" s="922"/>
      <c r="QX206" s="922"/>
      <c r="QY206" s="922"/>
      <c r="QZ206" s="922"/>
      <c r="RA206" s="922"/>
      <c r="RB206" s="922"/>
      <c r="RC206" s="922"/>
      <c r="RD206" s="922"/>
      <c r="RE206" s="922"/>
      <c r="RF206" s="922"/>
      <c r="RG206" s="922"/>
      <c r="RH206" s="922"/>
      <c r="RI206" s="922"/>
      <c r="RJ206" s="922"/>
      <c r="RK206" s="922"/>
      <c r="RL206" s="922"/>
      <c r="RM206" s="922"/>
      <c r="RN206" s="922"/>
      <c r="RO206" s="922"/>
      <c r="RP206" s="922"/>
      <c r="RQ206" s="922"/>
      <c r="RR206" s="922"/>
      <c r="RS206" s="922"/>
      <c r="RT206" s="922"/>
      <c r="RU206" s="922"/>
      <c r="RV206" s="922"/>
      <c r="RW206" s="922"/>
      <c r="RX206" s="922"/>
      <c r="RY206" s="922"/>
      <c r="RZ206" s="922"/>
      <c r="SA206" s="922"/>
      <c r="SB206" s="922"/>
      <c r="SC206" s="922"/>
      <c r="SD206" s="922"/>
      <c r="SE206" s="922"/>
      <c r="SF206" s="922"/>
      <c r="SG206" s="922"/>
      <c r="SH206" s="922"/>
      <c r="SI206" s="922"/>
      <c r="SJ206" s="922"/>
      <c r="SK206" s="922"/>
      <c r="SL206" s="922"/>
      <c r="SM206" s="922"/>
      <c r="SN206" s="922"/>
      <c r="SO206" s="922"/>
      <c r="SP206" s="922"/>
      <c r="SQ206" s="922"/>
      <c r="SR206" s="922"/>
      <c r="SS206" s="922"/>
      <c r="ST206" s="922"/>
      <c r="SU206" s="922"/>
      <c r="SV206" s="922"/>
      <c r="SW206" s="922"/>
      <c r="SX206" s="922"/>
      <c r="SY206" s="922"/>
      <c r="SZ206" s="922"/>
      <c r="TA206" s="922"/>
      <c r="TB206" s="922"/>
      <c r="TC206" s="922"/>
      <c r="TD206" s="922"/>
      <c r="TE206" s="922"/>
      <c r="TF206" s="922"/>
      <c r="TG206" s="922"/>
      <c r="TH206" s="922"/>
      <c r="TI206" s="922"/>
      <c r="TJ206" s="922"/>
      <c r="TK206" s="922"/>
      <c r="TL206" s="922"/>
      <c r="TM206" s="922"/>
      <c r="TN206" s="922"/>
      <c r="TO206" s="922"/>
      <c r="TP206" s="922"/>
      <c r="TQ206" s="922"/>
      <c r="TR206" s="922"/>
      <c r="TS206" s="922"/>
      <c r="TT206" s="922"/>
      <c r="TU206" s="922"/>
      <c r="TV206" s="922"/>
      <c r="TW206" s="922"/>
      <c r="TX206" s="922"/>
      <c r="TY206" s="922"/>
      <c r="TZ206" s="922"/>
      <c r="UA206" s="922"/>
      <c r="UB206" s="922"/>
      <c r="UC206" s="922"/>
      <c r="UD206" s="922"/>
      <c r="UE206" s="922"/>
      <c r="UF206" s="922"/>
      <c r="UG206" s="922"/>
      <c r="UH206" s="922"/>
      <c r="UI206" s="922"/>
      <c r="UJ206" s="922"/>
      <c r="UK206" s="922"/>
      <c r="UL206" s="922"/>
      <c r="UM206" s="922"/>
      <c r="UN206" s="922"/>
      <c r="UO206" s="922"/>
      <c r="UP206" s="922"/>
      <c r="UQ206" s="922"/>
      <c r="UR206" s="922"/>
      <c r="US206" s="922"/>
      <c r="UT206" s="922"/>
      <c r="UU206" s="922"/>
      <c r="UV206" s="922"/>
      <c r="UW206" s="922"/>
      <c r="UX206" s="922"/>
      <c r="UY206" s="922"/>
      <c r="UZ206" s="922"/>
      <c r="VA206" s="922"/>
      <c r="VB206" s="922"/>
      <c r="VC206" s="922"/>
      <c r="VD206" s="922"/>
      <c r="VE206" s="922"/>
      <c r="VF206" s="922"/>
      <c r="VG206" s="922"/>
      <c r="VH206" s="922"/>
      <c r="VI206" s="922"/>
      <c r="VJ206" s="922"/>
      <c r="VK206" s="922"/>
      <c r="VL206" s="922"/>
      <c r="VM206" s="922"/>
      <c r="VN206" s="922"/>
      <c r="VO206" s="922"/>
      <c r="VP206" s="922"/>
      <c r="VQ206" s="922"/>
      <c r="VR206" s="922"/>
      <c r="VS206" s="922"/>
      <c r="VT206" s="922"/>
      <c r="VU206" s="922"/>
      <c r="VV206" s="922"/>
      <c r="VW206" s="922"/>
      <c r="VX206" s="922"/>
      <c r="VY206" s="922"/>
      <c r="VZ206" s="922"/>
      <c r="WA206" s="922"/>
      <c r="WB206" s="922"/>
      <c r="WC206" s="922"/>
      <c r="WD206" s="922"/>
      <c r="WE206" s="922"/>
      <c r="WF206" s="922"/>
      <c r="WG206" s="922"/>
      <c r="WH206" s="922"/>
      <c r="WI206" s="922"/>
      <c r="WJ206" s="922"/>
      <c r="WK206" s="922"/>
      <c r="WL206" s="922"/>
      <c r="WM206" s="922"/>
      <c r="WN206" s="922"/>
      <c r="WO206" s="922"/>
      <c r="WP206" s="922"/>
      <c r="WQ206" s="922"/>
      <c r="WR206" s="922"/>
      <c r="WS206" s="922"/>
      <c r="WT206" s="922"/>
      <c r="WU206" s="922"/>
      <c r="WV206" s="922"/>
      <c r="WW206" s="922"/>
      <c r="WX206" s="922"/>
      <c r="WY206" s="922"/>
      <c r="WZ206" s="922"/>
      <c r="XA206" s="922"/>
      <c r="XB206" s="922"/>
      <c r="XC206" s="922"/>
      <c r="XD206" s="922"/>
      <c r="XE206" s="922"/>
      <c r="XF206" s="922"/>
      <c r="XG206" s="922"/>
      <c r="XH206" s="922"/>
      <c r="XI206" s="922"/>
      <c r="XJ206" s="922"/>
      <c r="XK206" s="922"/>
      <c r="XL206" s="922"/>
      <c r="XM206" s="922"/>
      <c r="XN206" s="922"/>
      <c r="XO206" s="922"/>
      <c r="XP206" s="922"/>
      <c r="XQ206" s="922"/>
      <c r="XR206" s="922"/>
      <c r="XS206" s="922"/>
      <c r="XT206" s="922"/>
      <c r="XU206" s="922"/>
      <c r="XV206" s="922"/>
      <c r="XW206" s="922"/>
      <c r="XX206" s="922"/>
      <c r="XY206" s="922"/>
      <c r="XZ206" s="922"/>
      <c r="YA206" s="922"/>
      <c r="YB206" s="922"/>
      <c r="YC206" s="922"/>
      <c r="YD206" s="922"/>
      <c r="YE206" s="922"/>
      <c r="YF206" s="922"/>
      <c r="YG206" s="922"/>
      <c r="YH206" s="922"/>
      <c r="YI206" s="922"/>
      <c r="YJ206" s="922"/>
      <c r="YK206" s="922"/>
      <c r="YL206" s="922"/>
      <c r="YM206" s="922"/>
      <c r="YN206" s="922"/>
      <c r="YO206" s="922"/>
      <c r="YP206" s="922"/>
      <c r="YQ206" s="922"/>
      <c r="YR206" s="922"/>
      <c r="YS206" s="922"/>
      <c r="YT206" s="922"/>
      <c r="YU206" s="922"/>
      <c r="YV206" s="922"/>
      <c r="YW206" s="922"/>
      <c r="YX206" s="922"/>
      <c r="YY206" s="922"/>
      <c r="YZ206" s="922"/>
      <c r="ZA206" s="922"/>
      <c r="ZB206" s="922"/>
      <c r="ZC206" s="922"/>
      <c r="ZD206" s="922"/>
      <c r="ZE206" s="922"/>
      <c r="ZF206" s="922"/>
      <c r="ZG206" s="922"/>
      <c r="ZH206" s="922"/>
      <c r="ZI206" s="922"/>
      <c r="ZJ206" s="922"/>
      <c r="ZK206" s="922"/>
      <c r="ZL206" s="922"/>
      <c r="ZM206" s="922"/>
      <c r="ZN206" s="922"/>
      <c r="ZO206" s="922"/>
      <c r="ZP206" s="922"/>
      <c r="ZQ206" s="922"/>
      <c r="ZR206" s="922"/>
      <c r="ZS206" s="922"/>
      <c r="ZT206" s="922"/>
      <c r="ZU206" s="922"/>
      <c r="ZV206" s="922"/>
      <c r="ZW206" s="922"/>
      <c r="ZX206" s="922"/>
      <c r="ZY206" s="922"/>
      <c r="ZZ206" s="922"/>
      <c r="AAA206" s="922"/>
      <c r="AAB206" s="922"/>
      <c r="AAC206" s="922"/>
      <c r="AAD206" s="922"/>
      <c r="AAE206" s="922"/>
      <c r="AAF206" s="922"/>
      <c r="AAG206" s="922"/>
      <c r="AAH206" s="922"/>
      <c r="AAI206" s="922"/>
      <c r="AAJ206" s="922"/>
      <c r="AAK206" s="922"/>
      <c r="AAL206" s="922"/>
      <c r="AAM206" s="922"/>
      <c r="AAN206" s="922"/>
      <c r="AAO206" s="922"/>
      <c r="AAP206" s="922"/>
      <c r="AAQ206" s="922"/>
      <c r="AAR206" s="922"/>
      <c r="AAS206" s="922"/>
      <c r="AAT206" s="922"/>
      <c r="AAU206" s="922"/>
      <c r="AAV206" s="922"/>
      <c r="AAW206" s="922"/>
      <c r="AAX206" s="922"/>
      <c r="AAY206" s="922"/>
      <c r="AAZ206" s="922"/>
      <c r="ABA206" s="922"/>
      <c r="ABB206" s="922"/>
      <c r="ABC206" s="922"/>
      <c r="ABD206" s="922"/>
      <c r="ABE206" s="922"/>
      <c r="ABF206" s="922"/>
      <c r="ABG206" s="922"/>
      <c r="ABH206" s="922"/>
      <c r="ABI206" s="922"/>
      <c r="ABJ206" s="922"/>
      <c r="ABK206" s="922"/>
      <c r="ABL206" s="922"/>
      <c r="ABM206" s="922"/>
      <c r="ABN206" s="922"/>
      <c r="ABO206" s="922"/>
      <c r="ABP206" s="922"/>
      <c r="ABQ206" s="922"/>
      <c r="ABR206" s="922"/>
      <c r="ABS206" s="922"/>
      <c r="ABT206" s="922"/>
      <c r="ABU206" s="922"/>
      <c r="ABV206" s="922"/>
      <c r="ABW206" s="922"/>
      <c r="ABX206" s="922"/>
      <c r="ABY206" s="922"/>
      <c r="ABZ206" s="922"/>
      <c r="ACA206" s="922"/>
      <c r="ACB206" s="922"/>
      <c r="ACC206" s="922"/>
      <c r="ACD206" s="922"/>
      <c r="ACE206" s="922"/>
      <c r="ACF206" s="922"/>
      <c r="ACG206" s="922"/>
      <c r="ACH206" s="922"/>
      <c r="ACI206" s="922"/>
      <c r="ACJ206" s="922"/>
      <c r="ACK206" s="922"/>
      <c r="ACL206" s="922"/>
      <c r="ACM206" s="922"/>
      <c r="ACN206" s="922"/>
      <c r="ACO206" s="922"/>
      <c r="ACP206" s="922"/>
      <c r="ACQ206" s="922"/>
      <c r="ACR206" s="922"/>
      <c r="ACS206" s="922"/>
      <c r="ACT206" s="922"/>
      <c r="ACU206" s="922"/>
      <c r="ACV206" s="922"/>
      <c r="ACW206" s="922"/>
      <c r="ACX206" s="922"/>
      <c r="ACY206" s="922"/>
      <c r="ACZ206" s="922"/>
      <c r="ADA206" s="922"/>
      <c r="ADB206" s="922"/>
      <c r="ADC206" s="922"/>
      <c r="ADD206" s="922"/>
      <c r="ADE206" s="922"/>
      <c r="ADF206" s="922"/>
      <c r="ADG206" s="922"/>
      <c r="ADH206" s="922"/>
      <c r="ADI206" s="922"/>
      <c r="ADJ206" s="922"/>
      <c r="ADK206" s="922"/>
      <c r="ADL206" s="922"/>
      <c r="ADM206" s="922"/>
      <c r="ADN206" s="922"/>
      <c r="ADO206" s="922"/>
      <c r="ADP206" s="922"/>
      <c r="ADQ206" s="922"/>
      <c r="ADR206" s="922"/>
      <c r="ADS206" s="922"/>
      <c r="ADT206" s="922"/>
      <c r="ADU206" s="922"/>
      <c r="ADV206" s="922"/>
      <c r="ADW206" s="922"/>
      <c r="ADX206" s="922"/>
      <c r="ADY206" s="922"/>
      <c r="ADZ206" s="922"/>
      <c r="AEA206" s="922"/>
      <c r="AEB206" s="922"/>
      <c r="AEC206" s="922"/>
      <c r="AED206" s="922"/>
      <c r="AEE206" s="922"/>
      <c r="AEF206" s="922"/>
      <c r="AEG206" s="922"/>
      <c r="AEH206" s="922"/>
      <c r="AEI206" s="922"/>
      <c r="AEJ206" s="922"/>
      <c r="AEK206" s="922"/>
      <c r="AEL206" s="922"/>
      <c r="AEM206" s="922"/>
      <c r="AEN206" s="922"/>
      <c r="AEO206" s="922"/>
      <c r="AEP206" s="922"/>
      <c r="AEQ206" s="922"/>
      <c r="AER206" s="922"/>
      <c r="AES206" s="922"/>
      <c r="AET206" s="922"/>
      <c r="AEU206" s="922"/>
      <c r="AEV206" s="922"/>
      <c r="AEW206" s="922"/>
      <c r="AEX206" s="922"/>
      <c r="AEY206" s="922"/>
      <c r="AEZ206" s="922"/>
      <c r="AFA206" s="922"/>
      <c r="AFB206" s="922"/>
      <c r="AFC206" s="922"/>
      <c r="AFD206" s="922"/>
      <c r="AFE206" s="922"/>
      <c r="AFF206" s="922"/>
      <c r="AFG206" s="922"/>
      <c r="AFH206" s="922"/>
      <c r="AFI206" s="922"/>
      <c r="AFJ206" s="922"/>
      <c r="AFK206" s="922"/>
      <c r="AFL206" s="922"/>
      <c r="AFM206" s="922"/>
      <c r="AFN206" s="922"/>
      <c r="AFO206" s="922"/>
      <c r="AFP206" s="922"/>
      <c r="AFQ206" s="922"/>
      <c r="AFR206" s="922"/>
      <c r="AFS206" s="922"/>
      <c r="AFT206" s="922"/>
      <c r="AFU206" s="922"/>
      <c r="AFV206" s="922"/>
      <c r="AFW206" s="922"/>
      <c r="AFX206" s="922"/>
      <c r="AFY206" s="922"/>
      <c r="AFZ206" s="922"/>
      <c r="AGA206" s="922"/>
      <c r="AGB206" s="922"/>
      <c r="AGC206" s="922"/>
      <c r="AGD206" s="922"/>
      <c r="AGE206" s="922"/>
      <c r="AGF206" s="922"/>
      <c r="AGG206" s="922"/>
      <c r="AGH206" s="922"/>
      <c r="AGI206" s="922"/>
      <c r="AGJ206" s="922"/>
      <c r="AGK206" s="922"/>
      <c r="AGL206" s="922"/>
      <c r="AGM206" s="922"/>
      <c r="AGN206" s="922"/>
      <c r="AGO206" s="922"/>
      <c r="AGP206" s="922"/>
      <c r="AGQ206" s="922"/>
      <c r="AGR206" s="922"/>
      <c r="AGS206" s="922"/>
      <c r="AGT206" s="922"/>
      <c r="AGU206" s="922"/>
      <c r="AGV206" s="922"/>
      <c r="AGW206" s="922"/>
      <c r="AGX206" s="922"/>
      <c r="AGY206" s="922"/>
      <c r="AGZ206" s="922"/>
      <c r="AHA206" s="922"/>
      <c r="AHB206" s="922"/>
      <c r="AHC206" s="922"/>
      <c r="AHD206" s="922"/>
      <c r="AHE206" s="922"/>
      <c r="AHF206" s="922"/>
      <c r="AHG206" s="922"/>
      <c r="AHH206" s="922"/>
      <c r="AHI206" s="922"/>
      <c r="AHJ206" s="922"/>
      <c r="AHK206" s="922"/>
      <c r="AHL206" s="922"/>
      <c r="AHM206" s="922"/>
      <c r="AHN206" s="922"/>
      <c r="AHO206" s="922"/>
      <c r="AHP206" s="922"/>
      <c r="AHQ206" s="922"/>
      <c r="AHR206" s="922"/>
      <c r="AHS206" s="922"/>
      <c r="AHT206" s="922"/>
      <c r="AHU206" s="922"/>
      <c r="AHV206" s="922"/>
      <c r="AHW206" s="922"/>
      <c r="AHX206" s="922"/>
      <c r="AHY206" s="922"/>
      <c r="AHZ206" s="922"/>
      <c r="AIA206" s="922"/>
      <c r="AIB206" s="922"/>
      <c r="AIC206" s="922"/>
      <c r="AID206" s="922"/>
      <c r="AIE206" s="922"/>
      <c r="AIF206" s="922"/>
      <c r="AIG206" s="922"/>
      <c r="AIH206" s="922"/>
      <c r="AII206" s="922"/>
      <c r="AIJ206" s="922"/>
      <c r="AIK206" s="922"/>
      <c r="AIL206" s="922"/>
      <c r="AIM206" s="922"/>
      <c r="AIN206" s="922"/>
      <c r="AIO206" s="922"/>
      <c r="AIP206" s="922"/>
      <c r="AIQ206" s="922"/>
      <c r="AIR206" s="922"/>
      <c r="AIS206" s="922"/>
      <c r="AIT206" s="922"/>
      <c r="AIU206" s="922"/>
      <c r="AIV206" s="922"/>
      <c r="AIW206" s="922"/>
      <c r="AIX206" s="922"/>
      <c r="AIY206" s="922"/>
      <c r="AIZ206" s="922"/>
      <c r="AJA206" s="922"/>
      <c r="AJB206" s="922"/>
      <c r="AJC206" s="922"/>
      <c r="AJD206" s="922"/>
      <c r="AJE206" s="922"/>
      <c r="AJF206" s="922"/>
      <c r="AJG206" s="922"/>
      <c r="AJH206" s="922"/>
      <c r="AJI206" s="922"/>
      <c r="AJJ206" s="922"/>
      <c r="AJK206" s="922"/>
      <c r="AJL206" s="922"/>
      <c r="AJM206" s="922"/>
      <c r="AJN206" s="922"/>
      <c r="AJO206" s="922"/>
      <c r="AJP206" s="922"/>
      <c r="AJQ206" s="922"/>
      <c r="AJR206" s="922"/>
      <c r="AJS206" s="922"/>
      <c r="AJT206" s="922"/>
      <c r="AJU206" s="922"/>
      <c r="AJV206" s="922"/>
      <c r="AJW206" s="922"/>
      <c r="AJX206" s="922"/>
      <c r="AJY206" s="922"/>
      <c r="AJZ206" s="922"/>
      <c r="AKA206" s="922"/>
      <c r="AKB206" s="922"/>
      <c r="AKC206" s="922"/>
      <c r="AKD206" s="922"/>
      <c r="AKE206" s="922"/>
      <c r="AKF206" s="922"/>
      <c r="AKG206" s="922"/>
      <c r="AKH206" s="922"/>
      <c r="AKI206" s="922"/>
      <c r="AKJ206" s="922"/>
      <c r="AKK206" s="922"/>
      <c r="AKL206" s="922"/>
      <c r="AKM206" s="922"/>
      <c r="AKN206" s="922"/>
      <c r="AKO206" s="922"/>
      <c r="AKP206" s="922"/>
      <c r="AKQ206" s="922"/>
      <c r="AKR206" s="922"/>
      <c r="AKS206" s="922"/>
      <c r="AKT206" s="922"/>
      <c r="AKU206" s="922"/>
      <c r="AKV206" s="922"/>
      <c r="AKW206" s="922"/>
      <c r="AKX206" s="922"/>
      <c r="AKY206" s="922"/>
      <c r="AKZ206" s="922"/>
      <c r="ALA206" s="922"/>
      <c r="ALB206" s="922"/>
      <c r="ALC206" s="922"/>
      <c r="ALD206" s="922"/>
      <c r="ALE206" s="922"/>
      <c r="ALF206" s="922"/>
      <c r="ALG206" s="922"/>
      <c r="ALH206" s="922"/>
      <c r="ALI206" s="922"/>
      <c r="ALJ206" s="922"/>
      <c r="ALK206" s="922"/>
      <c r="ALL206" s="922"/>
      <c r="ALM206" s="922"/>
      <c r="ALN206" s="922"/>
      <c r="ALO206" s="922"/>
      <c r="ALP206" s="922"/>
      <c r="ALQ206" s="922"/>
      <c r="ALR206" s="922"/>
      <c r="ALS206" s="922"/>
      <c r="ALT206" s="922"/>
      <c r="ALU206" s="922"/>
      <c r="ALV206" s="922"/>
      <c r="ALW206" s="922"/>
      <c r="ALX206" s="922"/>
      <c r="ALY206" s="922"/>
      <c r="ALZ206" s="922"/>
      <c r="AMA206" s="922"/>
      <c r="AMB206" s="922"/>
      <c r="AMC206" s="922"/>
      <c r="AMD206" s="922"/>
      <c r="AME206" s="922"/>
      <c r="AMF206" s="922"/>
      <c r="AMG206" s="922"/>
      <c r="AMH206" s="922"/>
      <c r="AMI206" s="922"/>
      <c r="AMJ206" s="922"/>
      <c r="AMK206" s="922"/>
      <c r="AML206" s="922"/>
      <c r="AMM206" s="922"/>
      <c r="AMN206" s="922"/>
      <c r="AMO206" s="922"/>
      <c r="AMP206" s="922"/>
      <c r="AMQ206" s="922"/>
      <c r="AMR206" s="922"/>
      <c r="AMS206" s="922"/>
      <c r="AMT206" s="922"/>
      <c r="AMU206" s="922"/>
      <c r="AMV206" s="922"/>
      <c r="AMW206" s="922"/>
      <c r="AMX206" s="922"/>
      <c r="AMY206" s="922"/>
      <c r="AMZ206" s="922"/>
      <c r="ANA206" s="922"/>
      <c r="ANB206" s="922"/>
      <c r="ANC206" s="922"/>
      <c r="AND206" s="922"/>
      <c r="ANE206" s="922"/>
      <c r="ANF206" s="922"/>
      <c r="ANG206" s="922"/>
      <c r="ANH206" s="922"/>
      <c r="ANI206" s="922"/>
      <c r="ANJ206" s="922"/>
      <c r="ANK206" s="922"/>
      <c r="ANL206" s="922"/>
      <c r="ANM206" s="922"/>
      <c r="ANN206" s="922"/>
      <c r="ANO206" s="922"/>
      <c r="ANP206" s="922"/>
      <c r="ANQ206" s="922"/>
      <c r="ANR206" s="922"/>
      <c r="ANS206" s="922"/>
      <c r="ANT206" s="922"/>
      <c r="ANU206" s="922"/>
      <c r="ANV206" s="922"/>
      <c r="ANW206" s="922"/>
      <c r="ANX206" s="922"/>
      <c r="ANY206" s="922"/>
      <c r="ANZ206" s="922"/>
      <c r="AOA206" s="922"/>
      <c r="AOB206" s="922"/>
      <c r="AOC206" s="922"/>
      <c r="AOD206" s="922"/>
      <c r="AOE206" s="922"/>
      <c r="AOF206" s="922"/>
      <c r="AOG206" s="922"/>
      <c r="AOH206" s="922"/>
      <c r="AOI206" s="922"/>
      <c r="AOJ206" s="922"/>
      <c r="AOK206" s="922"/>
      <c r="AOL206" s="922"/>
      <c r="AOM206" s="922"/>
      <c r="AON206" s="922"/>
      <c r="AOO206" s="922"/>
      <c r="AOP206" s="922"/>
      <c r="AOQ206" s="922"/>
      <c r="AOR206" s="922"/>
      <c r="AOS206" s="922"/>
      <c r="AOT206" s="922"/>
      <c r="AOU206" s="922"/>
      <c r="AOV206" s="922"/>
      <c r="AOW206" s="922"/>
      <c r="AOX206" s="922"/>
      <c r="AOY206" s="922"/>
      <c r="AOZ206" s="922"/>
      <c r="APA206" s="922"/>
      <c r="APB206" s="922"/>
      <c r="APC206" s="922"/>
      <c r="APD206" s="922"/>
      <c r="APE206" s="922"/>
      <c r="APF206" s="922"/>
      <c r="APG206" s="922"/>
      <c r="APH206" s="922"/>
      <c r="API206" s="922"/>
      <c r="APJ206" s="922"/>
      <c r="APK206" s="922"/>
      <c r="APL206" s="922"/>
      <c r="APM206" s="922"/>
      <c r="APN206" s="922"/>
      <c r="APO206" s="922"/>
      <c r="APP206" s="922"/>
      <c r="APQ206" s="922"/>
      <c r="APR206" s="922"/>
      <c r="APS206" s="922"/>
      <c r="APT206" s="922"/>
      <c r="APU206" s="922"/>
      <c r="APV206" s="922"/>
      <c r="APW206" s="922"/>
      <c r="APX206" s="922"/>
      <c r="APY206" s="922"/>
      <c r="APZ206" s="922"/>
      <c r="AQA206" s="922"/>
      <c r="AQB206" s="922"/>
      <c r="AQC206" s="922"/>
      <c r="AQD206" s="922"/>
      <c r="AQE206" s="922"/>
      <c r="AQF206" s="922"/>
      <c r="AQG206" s="922"/>
      <c r="AQH206" s="922"/>
      <c r="AQI206" s="922"/>
      <c r="AQJ206" s="922"/>
      <c r="AQK206" s="922"/>
      <c r="AQL206" s="922"/>
      <c r="AQM206" s="922"/>
      <c r="AQN206" s="922"/>
      <c r="AQO206" s="922"/>
      <c r="AQP206" s="922"/>
      <c r="AQQ206" s="922"/>
      <c r="AQR206" s="922"/>
      <c r="AQS206" s="922"/>
      <c r="AQT206" s="922"/>
      <c r="AQU206" s="922"/>
      <c r="AQV206" s="922"/>
      <c r="AQW206" s="922"/>
      <c r="AQX206" s="922"/>
      <c r="AQY206" s="922"/>
      <c r="AQZ206" s="922"/>
      <c r="ARA206" s="922"/>
      <c r="ARB206" s="922"/>
      <c r="ARC206" s="922"/>
      <c r="ARD206" s="922"/>
      <c r="ARE206" s="922"/>
      <c r="ARF206" s="922"/>
      <c r="ARG206" s="922"/>
      <c r="ARH206" s="922"/>
      <c r="ARI206" s="922"/>
      <c r="ARJ206" s="922"/>
      <c r="ARK206" s="922"/>
      <c r="ARL206" s="922"/>
      <c r="ARM206" s="922"/>
      <c r="ARN206" s="922"/>
      <c r="ARO206" s="922"/>
      <c r="ARP206" s="922"/>
      <c r="ARQ206" s="922"/>
      <c r="ARR206" s="922"/>
      <c r="ARS206" s="922"/>
      <c r="ART206" s="922"/>
      <c r="ARU206" s="922"/>
      <c r="ARV206" s="922"/>
      <c r="ARW206" s="922"/>
      <c r="ARX206" s="922"/>
      <c r="ARY206" s="922"/>
      <c r="ARZ206" s="922"/>
      <c r="ASA206" s="922"/>
      <c r="ASB206" s="922"/>
      <c r="ASC206" s="922"/>
    </row>
    <row r="207" spans="20:1173" hidden="1">
      <c r="T207" s="922"/>
      <c r="AN207" s="922"/>
      <c r="AO207" s="922"/>
      <c r="AP207" s="922"/>
      <c r="AQ207" s="922"/>
      <c r="AR207" s="922"/>
      <c r="AS207" s="922"/>
      <c r="AT207" s="922"/>
      <c r="AU207" s="922"/>
      <c r="AV207" s="922"/>
      <c r="AW207" s="922"/>
      <c r="AX207" s="922"/>
      <c r="AY207" s="922"/>
      <c r="AZ207" s="922"/>
      <c r="BA207" s="922"/>
      <c r="BB207" s="922"/>
      <c r="BC207" s="922"/>
      <c r="BD207" s="922"/>
      <c r="BE207" s="922"/>
      <c r="BF207" s="922"/>
      <c r="BG207" s="922"/>
      <c r="BH207" s="922"/>
      <c r="BI207" s="922"/>
      <c r="BJ207" s="922"/>
      <c r="BK207" s="922"/>
      <c r="BL207" s="922"/>
      <c r="BM207" s="922"/>
      <c r="BN207" s="922"/>
      <c r="BO207" s="922"/>
      <c r="BP207" s="922"/>
      <c r="BQ207" s="922"/>
      <c r="BR207" s="922"/>
      <c r="BS207" s="922"/>
      <c r="BT207" s="922"/>
      <c r="BU207" s="922"/>
      <c r="BV207" s="922"/>
      <c r="BW207" s="922"/>
      <c r="BX207" s="922"/>
      <c r="BY207" s="922"/>
      <c r="BZ207" s="922"/>
      <c r="CA207" s="922"/>
      <c r="CB207" s="922"/>
      <c r="CC207" s="922"/>
      <c r="CD207" s="922"/>
      <c r="CE207" s="922"/>
      <c r="CF207" s="922"/>
      <c r="CG207" s="922"/>
      <c r="CH207" s="922"/>
      <c r="CI207" s="922"/>
      <c r="CJ207" s="922"/>
      <c r="CK207" s="922"/>
      <c r="CL207" s="922"/>
      <c r="CM207" s="922"/>
      <c r="CN207" s="922"/>
      <c r="CO207" s="922"/>
      <c r="CP207" s="922"/>
      <c r="CQ207" s="922"/>
      <c r="CR207" s="922"/>
      <c r="CS207" s="922"/>
      <c r="CT207" s="922"/>
      <c r="CU207" s="922"/>
      <c r="CV207" s="922"/>
      <c r="CW207" s="922"/>
      <c r="CX207" s="922"/>
      <c r="CY207" s="922"/>
      <c r="CZ207" s="922"/>
      <c r="DA207" s="922"/>
      <c r="DB207" s="922"/>
      <c r="DC207" s="922"/>
      <c r="DD207" s="922"/>
      <c r="DE207" s="922"/>
      <c r="DF207" s="922"/>
      <c r="DG207" s="922"/>
      <c r="DH207" s="922"/>
      <c r="DI207" s="922"/>
      <c r="DJ207" s="922"/>
      <c r="DK207" s="922"/>
      <c r="DL207" s="922"/>
      <c r="DM207" s="922"/>
      <c r="DN207" s="922"/>
      <c r="DO207" s="922"/>
      <c r="DP207" s="922"/>
      <c r="DQ207" s="922"/>
      <c r="DR207" s="922"/>
      <c r="DS207" s="922"/>
      <c r="DT207" s="922"/>
      <c r="DU207" s="922"/>
      <c r="DV207" s="922"/>
      <c r="DW207" s="922"/>
      <c r="DX207" s="922"/>
      <c r="DY207" s="922"/>
      <c r="DZ207" s="922"/>
      <c r="EA207" s="922"/>
      <c r="EB207" s="922"/>
      <c r="EC207" s="922"/>
      <c r="ED207" s="922"/>
      <c r="EE207" s="922"/>
      <c r="EF207" s="922"/>
      <c r="EG207" s="922"/>
      <c r="EH207" s="922"/>
      <c r="EI207" s="922"/>
      <c r="EJ207" s="922"/>
      <c r="EK207" s="922"/>
      <c r="EL207" s="922"/>
      <c r="EM207" s="922"/>
      <c r="EN207" s="922"/>
      <c r="EO207" s="922"/>
      <c r="EP207" s="922"/>
      <c r="EQ207" s="922"/>
      <c r="ER207" s="922"/>
      <c r="ES207" s="922"/>
      <c r="ET207" s="922"/>
      <c r="EU207" s="922"/>
      <c r="EV207" s="922"/>
      <c r="EW207" s="922"/>
      <c r="EX207" s="922"/>
      <c r="EY207" s="922"/>
      <c r="EZ207" s="922"/>
      <c r="FA207" s="922"/>
      <c r="FB207" s="922"/>
      <c r="FC207" s="922"/>
      <c r="FD207" s="922"/>
      <c r="FE207" s="922"/>
      <c r="FF207" s="922"/>
      <c r="FG207" s="922"/>
      <c r="FH207" s="922"/>
      <c r="FI207" s="922"/>
      <c r="FJ207" s="922"/>
      <c r="FK207" s="922"/>
      <c r="FL207" s="922"/>
      <c r="FM207" s="922"/>
      <c r="FN207" s="922"/>
      <c r="FO207" s="922"/>
      <c r="FP207" s="922"/>
      <c r="FQ207" s="922"/>
      <c r="FR207" s="922"/>
      <c r="FS207" s="922"/>
      <c r="FT207" s="922"/>
      <c r="FU207" s="922"/>
      <c r="FV207" s="922"/>
      <c r="FW207" s="922"/>
      <c r="FX207" s="922"/>
      <c r="FY207" s="922"/>
      <c r="FZ207" s="922"/>
      <c r="GA207" s="922"/>
      <c r="GB207" s="922"/>
      <c r="GC207" s="922"/>
      <c r="GD207" s="922"/>
      <c r="GE207" s="922"/>
      <c r="GF207" s="922"/>
      <c r="GG207" s="922"/>
      <c r="GH207" s="922"/>
      <c r="GI207" s="922"/>
      <c r="GJ207" s="922"/>
      <c r="GK207" s="922"/>
      <c r="GL207" s="922"/>
      <c r="GM207" s="922"/>
      <c r="GN207" s="922"/>
      <c r="GO207" s="922"/>
      <c r="GP207" s="922"/>
      <c r="GQ207" s="922"/>
      <c r="GR207" s="922"/>
      <c r="GS207" s="922"/>
      <c r="GT207" s="922"/>
      <c r="GU207" s="922"/>
      <c r="GV207" s="922"/>
      <c r="GW207" s="922"/>
      <c r="GX207" s="922"/>
      <c r="GY207" s="922"/>
      <c r="GZ207" s="922"/>
      <c r="HA207" s="922"/>
      <c r="HB207" s="922"/>
      <c r="HC207" s="922"/>
      <c r="HD207" s="922"/>
      <c r="HE207" s="922"/>
      <c r="HF207" s="922"/>
      <c r="HG207" s="922"/>
      <c r="HH207" s="922"/>
      <c r="HI207" s="922"/>
      <c r="HJ207" s="922"/>
      <c r="HK207" s="922"/>
      <c r="HL207" s="922"/>
      <c r="HM207" s="922"/>
      <c r="HN207" s="922"/>
      <c r="HO207" s="922"/>
      <c r="HP207" s="922"/>
      <c r="HQ207" s="922"/>
      <c r="HR207" s="922"/>
      <c r="HS207" s="922"/>
      <c r="HT207" s="922"/>
      <c r="HU207" s="922"/>
      <c r="HV207" s="922"/>
      <c r="HW207" s="922"/>
      <c r="HX207" s="922"/>
      <c r="HY207" s="922"/>
      <c r="HZ207" s="922"/>
      <c r="IA207" s="922"/>
      <c r="IB207" s="922"/>
      <c r="IC207" s="922"/>
      <c r="ID207" s="922"/>
      <c r="IE207" s="922"/>
      <c r="IF207" s="922"/>
      <c r="IG207" s="922"/>
      <c r="IH207" s="922"/>
      <c r="II207" s="922"/>
      <c r="IJ207" s="922"/>
      <c r="IK207" s="922"/>
      <c r="IL207" s="922"/>
      <c r="IM207" s="922"/>
      <c r="IN207" s="922"/>
      <c r="IO207" s="922"/>
      <c r="IP207" s="922"/>
      <c r="IQ207" s="922"/>
      <c r="IR207" s="922"/>
      <c r="IS207" s="922"/>
      <c r="IT207" s="922"/>
      <c r="IU207" s="922"/>
      <c r="IV207" s="922"/>
      <c r="IW207" s="922"/>
      <c r="IX207" s="922"/>
      <c r="IY207" s="922"/>
      <c r="IZ207" s="922"/>
      <c r="JA207" s="922"/>
      <c r="JB207" s="922"/>
      <c r="JC207" s="922"/>
      <c r="JD207" s="922"/>
      <c r="JE207" s="922"/>
      <c r="JF207" s="922"/>
      <c r="JG207" s="922"/>
      <c r="JH207" s="922"/>
      <c r="JI207" s="922"/>
      <c r="JJ207" s="922"/>
      <c r="JK207" s="922"/>
      <c r="JL207" s="922"/>
      <c r="JM207" s="922"/>
      <c r="JN207" s="922"/>
      <c r="JO207" s="922"/>
      <c r="JP207" s="922"/>
      <c r="JQ207" s="922"/>
      <c r="JR207" s="922"/>
      <c r="JS207" s="922"/>
      <c r="JT207" s="922"/>
      <c r="JU207" s="922"/>
      <c r="JV207" s="922"/>
      <c r="JW207" s="922"/>
      <c r="JX207" s="922"/>
      <c r="JY207" s="922"/>
      <c r="JZ207" s="922"/>
      <c r="KA207" s="922"/>
      <c r="KB207" s="922"/>
      <c r="KC207" s="922"/>
      <c r="KD207" s="922"/>
      <c r="KE207" s="922"/>
      <c r="KF207" s="922"/>
      <c r="KG207" s="922"/>
      <c r="KH207" s="922"/>
      <c r="KI207" s="922"/>
      <c r="KJ207" s="922"/>
      <c r="KK207" s="922"/>
      <c r="KL207" s="922"/>
      <c r="KM207" s="922"/>
      <c r="KN207" s="922"/>
      <c r="KO207" s="922"/>
      <c r="KP207" s="922"/>
      <c r="KQ207" s="922"/>
      <c r="KR207" s="922"/>
      <c r="KS207" s="922"/>
      <c r="KT207" s="922"/>
      <c r="KU207" s="922"/>
      <c r="KV207" s="922"/>
      <c r="KW207" s="922"/>
      <c r="KX207" s="922"/>
      <c r="KY207" s="922"/>
      <c r="KZ207" s="922"/>
      <c r="LA207" s="922"/>
      <c r="LB207" s="922"/>
      <c r="LC207" s="922"/>
      <c r="LD207" s="922"/>
      <c r="LE207" s="922"/>
      <c r="LF207" s="922"/>
      <c r="LG207" s="922"/>
      <c r="LH207" s="922"/>
      <c r="LI207" s="922"/>
      <c r="LJ207" s="922"/>
      <c r="LK207" s="922"/>
      <c r="LL207" s="922"/>
      <c r="LM207" s="922"/>
      <c r="LN207" s="922"/>
      <c r="LO207" s="922"/>
      <c r="LP207" s="922"/>
      <c r="LQ207" s="922"/>
      <c r="LR207" s="922"/>
      <c r="LS207" s="922"/>
      <c r="LT207" s="922"/>
      <c r="LU207" s="922"/>
      <c r="LV207" s="922"/>
      <c r="LW207" s="922"/>
      <c r="LX207" s="922"/>
      <c r="LY207" s="922"/>
      <c r="LZ207" s="922"/>
      <c r="MA207" s="922"/>
      <c r="MB207" s="922"/>
      <c r="MC207" s="922"/>
      <c r="MD207" s="922"/>
      <c r="ME207" s="922"/>
      <c r="MF207" s="922"/>
      <c r="MG207" s="922"/>
      <c r="MH207" s="922"/>
      <c r="MI207" s="922"/>
      <c r="MJ207" s="922"/>
      <c r="MK207" s="922"/>
      <c r="ML207" s="922"/>
      <c r="MM207" s="922"/>
      <c r="MN207" s="922"/>
      <c r="MO207" s="922"/>
      <c r="MP207" s="922"/>
      <c r="MQ207" s="922"/>
      <c r="MR207" s="922"/>
      <c r="MS207" s="922"/>
      <c r="MT207" s="922"/>
      <c r="MU207" s="922"/>
      <c r="MV207" s="922"/>
      <c r="MW207" s="922"/>
      <c r="MX207" s="922"/>
      <c r="MY207" s="922"/>
      <c r="MZ207" s="922"/>
      <c r="NA207" s="922"/>
      <c r="NB207" s="922"/>
      <c r="NC207" s="922"/>
      <c r="ND207" s="922"/>
      <c r="NE207" s="922"/>
      <c r="NF207" s="922"/>
      <c r="NG207" s="922"/>
      <c r="NH207" s="922"/>
      <c r="NI207" s="922"/>
      <c r="NJ207" s="922"/>
      <c r="NK207" s="922"/>
      <c r="NL207" s="922"/>
      <c r="NM207" s="922"/>
      <c r="NN207" s="922"/>
      <c r="NO207" s="922"/>
      <c r="NP207" s="922"/>
      <c r="NQ207" s="922"/>
      <c r="NR207" s="922"/>
      <c r="NS207" s="922"/>
      <c r="NT207" s="922"/>
      <c r="NU207" s="922"/>
      <c r="NV207" s="922"/>
      <c r="NW207" s="922"/>
      <c r="NX207" s="922"/>
      <c r="NY207" s="922"/>
      <c r="NZ207" s="922"/>
      <c r="OA207" s="922"/>
      <c r="OB207" s="922"/>
      <c r="OC207" s="922"/>
      <c r="OD207" s="922"/>
      <c r="OE207" s="922"/>
      <c r="OF207" s="922"/>
      <c r="OG207" s="922"/>
      <c r="OH207" s="922"/>
      <c r="OI207" s="922"/>
      <c r="OJ207" s="922"/>
      <c r="OK207" s="922"/>
      <c r="OL207" s="922"/>
      <c r="OM207" s="922"/>
      <c r="ON207" s="922"/>
      <c r="OO207" s="922"/>
      <c r="OP207" s="922"/>
      <c r="OQ207" s="922"/>
      <c r="OR207" s="922"/>
      <c r="OS207" s="922"/>
      <c r="OT207" s="922"/>
      <c r="OU207" s="922"/>
      <c r="OV207" s="922"/>
      <c r="OW207" s="922"/>
      <c r="OX207" s="922"/>
      <c r="OY207" s="922"/>
      <c r="OZ207" s="922"/>
      <c r="PA207" s="922"/>
      <c r="PB207" s="922"/>
      <c r="PC207" s="922"/>
      <c r="PD207" s="922"/>
      <c r="PE207" s="922"/>
      <c r="PF207" s="922"/>
      <c r="PG207" s="922"/>
      <c r="PH207" s="922"/>
      <c r="PI207" s="922"/>
      <c r="PJ207" s="922"/>
      <c r="PK207" s="922"/>
      <c r="PL207" s="922"/>
      <c r="PM207" s="922"/>
      <c r="PN207" s="922"/>
      <c r="PO207" s="922"/>
      <c r="PP207" s="922"/>
      <c r="PQ207" s="922"/>
      <c r="PR207" s="922"/>
      <c r="PS207" s="922"/>
      <c r="PT207" s="922"/>
      <c r="PU207" s="922"/>
      <c r="PV207" s="922"/>
      <c r="PW207" s="922"/>
      <c r="PX207" s="922"/>
      <c r="PY207" s="922"/>
      <c r="PZ207" s="922"/>
      <c r="QA207" s="922"/>
      <c r="QB207" s="922"/>
      <c r="QC207" s="922"/>
      <c r="QD207" s="922"/>
      <c r="QE207" s="922"/>
      <c r="QF207" s="922"/>
      <c r="QG207" s="922"/>
      <c r="QH207" s="922"/>
      <c r="QI207" s="922"/>
      <c r="QJ207" s="922"/>
      <c r="QK207" s="922"/>
      <c r="QL207" s="922"/>
      <c r="QM207" s="922"/>
      <c r="QN207" s="922"/>
      <c r="QO207" s="922"/>
      <c r="QP207" s="922"/>
      <c r="QQ207" s="922"/>
      <c r="QR207" s="922"/>
      <c r="QS207" s="922"/>
      <c r="QT207" s="922"/>
      <c r="QU207" s="922"/>
      <c r="QV207" s="922"/>
      <c r="QW207" s="922"/>
      <c r="QX207" s="922"/>
      <c r="QY207" s="922"/>
      <c r="QZ207" s="922"/>
      <c r="RA207" s="922"/>
      <c r="RB207" s="922"/>
      <c r="RC207" s="922"/>
      <c r="RD207" s="922"/>
      <c r="RE207" s="922"/>
      <c r="RF207" s="922"/>
      <c r="RG207" s="922"/>
      <c r="RH207" s="922"/>
      <c r="RI207" s="922"/>
      <c r="RJ207" s="922"/>
      <c r="RK207" s="922"/>
      <c r="RL207" s="922"/>
      <c r="RM207" s="922"/>
      <c r="RN207" s="922"/>
      <c r="RO207" s="922"/>
      <c r="RP207" s="922"/>
      <c r="RQ207" s="922"/>
      <c r="RR207" s="922"/>
      <c r="RS207" s="922"/>
      <c r="RT207" s="922"/>
      <c r="RU207" s="922"/>
      <c r="RV207" s="922"/>
      <c r="RW207" s="922"/>
      <c r="RX207" s="922"/>
      <c r="RY207" s="922"/>
      <c r="RZ207" s="922"/>
      <c r="SA207" s="922"/>
      <c r="SB207" s="922"/>
      <c r="SC207" s="922"/>
      <c r="SD207" s="922"/>
      <c r="SE207" s="922"/>
      <c r="SF207" s="922"/>
      <c r="SG207" s="922"/>
      <c r="SH207" s="922"/>
      <c r="SI207" s="922"/>
      <c r="SJ207" s="922"/>
      <c r="SK207" s="922"/>
      <c r="SL207" s="922"/>
      <c r="SM207" s="922"/>
      <c r="SN207" s="922"/>
      <c r="SO207" s="922"/>
      <c r="SP207" s="922"/>
      <c r="SQ207" s="922"/>
      <c r="SR207" s="922"/>
      <c r="SS207" s="922"/>
      <c r="ST207" s="922"/>
      <c r="SU207" s="922"/>
      <c r="SV207" s="922"/>
      <c r="SW207" s="922"/>
      <c r="SX207" s="922"/>
      <c r="SY207" s="922"/>
      <c r="SZ207" s="922"/>
      <c r="TA207" s="922"/>
      <c r="TB207" s="922"/>
      <c r="TC207" s="922"/>
      <c r="TD207" s="922"/>
      <c r="TE207" s="922"/>
      <c r="TF207" s="922"/>
      <c r="TG207" s="922"/>
      <c r="TH207" s="922"/>
      <c r="TI207" s="922"/>
      <c r="TJ207" s="922"/>
      <c r="TK207" s="922"/>
      <c r="TL207" s="922"/>
      <c r="TM207" s="922"/>
      <c r="TN207" s="922"/>
      <c r="TO207" s="922"/>
      <c r="TP207" s="922"/>
      <c r="TQ207" s="922"/>
      <c r="TR207" s="922"/>
      <c r="TS207" s="922"/>
      <c r="TT207" s="922"/>
      <c r="TU207" s="922"/>
      <c r="TV207" s="922"/>
      <c r="TW207" s="922"/>
      <c r="TX207" s="922"/>
      <c r="TY207" s="922"/>
      <c r="TZ207" s="922"/>
      <c r="UA207" s="922"/>
      <c r="UB207" s="922"/>
      <c r="UC207" s="922"/>
      <c r="UD207" s="922"/>
      <c r="UE207" s="922"/>
      <c r="UF207" s="922"/>
      <c r="UG207" s="922"/>
      <c r="UH207" s="922"/>
      <c r="UI207" s="922"/>
      <c r="UJ207" s="922"/>
      <c r="UK207" s="922"/>
      <c r="UL207" s="922"/>
      <c r="UM207" s="922"/>
      <c r="UN207" s="922"/>
      <c r="UO207" s="922"/>
      <c r="UP207" s="922"/>
      <c r="UQ207" s="922"/>
      <c r="UR207" s="922"/>
      <c r="US207" s="922"/>
      <c r="UT207" s="922"/>
      <c r="UU207" s="922"/>
      <c r="UV207" s="922"/>
      <c r="UW207" s="922"/>
      <c r="UX207" s="922"/>
      <c r="UY207" s="922"/>
      <c r="UZ207" s="922"/>
      <c r="VA207" s="922"/>
      <c r="VB207" s="922"/>
      <c r="VC207" s="922"/>
      <c r="VD207" s="922"/>
      <c r="VE207" s="922"/>
      <c r="VF207" s="922"/>
      <c r="VG207" s="922"/>
      <c r="VH207" s="922"/>
      <c r="VI207" s="922"/>
      <c r="VJ207" s="922"/>
      <c r="VK207" s="922"/>
      <c r="VL207" s="922"/>
      <c r="VM207" s="922"/>
      <c r="VN207" s="922"/>
      <c r="VO207" s="922"/>
      <c r="VP207" s="922"/>
      <c r="VQ207" s="922"/>
      <c r="VR207" s="922"/>
      <c r="VS207" s="922"/>
      <c r="VT207" s="922"/>
      <c r="VU207" s="922"/>
      <c r="VV207" s="922"/>
      <c r="VW207" s="922"/>
      <c r="VX207" s="922"/>
      <c r="VY207" s="922"/>
      <c r="VZ207" s="922"/>
      <c r="WA207" s="922"/>
      <c r="WB207" s="922"/>
      <c r="WC207" s="922"/>
      <c r="WD207" s="922"/>
      <c r="WE207" s="922"/>
      <c r="WF207" s="922"/>
      <c r="WG207" s="922"/>
      <c r="WH207" s="922"/>
      <c r="WI207" s="922"/>
      <c r="WJ207" s="922"/>
      <c r="WK207" s="922"/>
      <c r="WL207" s="922"/>
      <c r="WM207" s="922"/>
      <c r="WN207" s="922"/>
      <c r="WO207" s="922"/>
      <c r="WP207" s="922"/>
      <c r="WQ207" s="922"/>
      <c r="WR207" s="922"/>
      <c r="WS207" s="922"/>
      <c r="WT207" s="922"/>
      <c r="WU207" s="922"/>
      <c r="WV207" s="922"/>
      <c r="WW207" s="922"/>
      <c r="WX207" s="922"/>
      <c r="WY207" s="922"/>
      <c r="WZ207" s="922"/>
      <c r="XA207" s="922"/>
      <c r="XB207" s="922"/>
      <c r="XC207" s="922"/>
      <c r="XD207" s="922"/>
      <c r="XE207" s="922"/>
      <c r="XF207" s="922"/>
      <c r="XG207" s="922"/>
      <c r="XH207" s="922"/>
      <c r="XI207" s="922"/>
      <c r="XJ207" s="922"/>
      <c r="XK207" s="922"/>
      <c r="XL207" s="922"/>
      <c r="XM207" s="922"/>
      <c r="XN207" s="922"/>
      <c r="XO207" s="922"/>
      <c r="XP207" s="922"/>
      <c r="XQ207" s="922"/>
      <c r="XR207" s="922"/>
      <c r="XS207" s="922"/>
      <c r="XT207" s="922"/>
      <c r="XU207" s="922"/>
      <c r="XV207" s="922"/>
      <c r="XW207" s="922"/>
      <c r="XX207" s="922"/>
      <c r="XY207" s="922"/>
      <c r="XZ207" s="922"/>
      <c r="YA207" s="922"/>
      <c r="YB207" s="922"/>
      <c r="YC207" s="922"/>
      <c r="YD207" s="922"/>
      <c r="YE207" s="922"/>
      <c r="YF207" s="922"/>
      <c r="YG207" s="922"/>
      <c r="YH207" s="922"/>
      <c r="YI207" s="922"/>
      <c r="YJ207" s="922"/>
      <c r="YK207" s="922"/>
      <c r="YL207" s="922"/>
      <c r="YM207" s="922"/>
      <c r="YN207" s="922"/>
      <c r="YO207" s="922"/>
      <c r="YP207" s="922"/>
      <c r="YQ207" s="922"/>
      <c r="YR207" s="922"/>
      <c r="YS207" s="922"/>
      <c r="YT207" s="922"/>
      <c r="YU207" s="922"/>
      <c r="YV207" s="922"/>
      <c r="YW207" s="922"/>
      <c r="YX207" s="922"/>
      <c r="YY207" s="922"/>
      <c r="YZ207" s="922"/>
      <c r="ZA207" s="922"/>
      <c r="ZB207" s="922"/>
      <c r="ZC207" s="922"/>
      <c r="ZD207" s="922"/>
      <c r="ZE207" s="922"/>
      <c r="ZF207" s="922"/>
      <c r="ZG207" s="922"/>
      <c r="ZH207" s="922"/>
      <c r="ZI207" s="922"/>
      <c r="ZJ207" s="922"/>
      <c r="ZK207" s="922"/>
      <c r="ZL207" s="922"/>
      <c r="ZM207" s="922"/>
      <c r="ZN207" s="922"/>
      <c r="ZO207" s="922"/>
      <c r="ZP207" s="922"/>
      <c r="ZQ207" s="922"/>
      <c r="ZR207" s="922"/>
      <c r="ZS207" s="922"/>
      <c r="ZT207" s="922"/>
      <c r="ZU207" s="922"/>
      <c r="ZV207" s="922"/>
      <c r="ZW207" s="922"/>
      <c r="ZX207" s="922"/>
      <c r="ZY207" s="922"/>
      <c r="ZZ207" s="922"/>
      <c r="AAA207" s="922"/>
      <c r="AAB207" s="922"/>
      <c r="AAC207" s="922"/>
      <c r="AAD207" s="922"/>
      <c r="AAE207" s="922"/>
      <c r="AAF207" s="922"/>
      <c r="AAG207" s="922"/>
      <c r="AAH207" s="922"/>
      <c r="AAI207" s="922"/>
      <c r="AAJ207" s="922"/>
      <c r="AAK207" s="922"/>
      <c r="AAL207" s="922"/>
      <c r="AAM207" s="922"/>
      <c r="AAN207" s="922"/>
      <c r="AAO207" s="922"/>
      <c r="AAP207" s="922"/>
      <c r="AAQ207" s="922"/>
      <c r="AAR207" s="922"/>
      <c r="AAS207" s="922"/>
      <c r="AAT207" s="922"/>
      <c r="AAU207" s="922"/>
      <c r="AAV207" s="922"/>
      <c r="AAW207" s="922"/>
      <c r="AAX207" s="922"/>
      <c r="AAY207" s="922"/>
      <c r="AAZ207" s="922"/>
      <c r="ABA207" s="922"/>
      <c r="ABB207" s="922"/>
      <c r="ABC207" s="922"/>
      <c r="ABD207" s="922"/>
      <c r="ABE207" s="922"/>
      <c r="ABF207" s="922"/>
      <c r="ABG207" s="922"/>
      <c r="ABH207" s="922"/>
      <c r="ABI207" s="922"/>
      <c r="ABJ207" s="922"/>
      <c r="ABK207" s="922"/>
      <c r="ABL207" s="922"/>
      <c r="ABM207" s="922"/>
      <c r="ABN207" s="922"/>
      <c r="ABO207" s="922"/>
      <c r="ABP207" s="922"/>
      <c r="ABQ207" s="922"/>
      <c r="ABR207" s="922"/>
      <c r="ABS207" s="922"/>
      <c r="ABT207" s="922"/>
      <c r="ABU207" s="922"/>
      <c r="ABV207" s="922"/>
      <c r="ABW207" s="922"/>
      <c r="ABX207" s="922"/>
      <c r="ABY207" s="922"/>
      <c r="ABZ207" s="922"/>
      <c r="ACA207" s="922"/>
      <c r="ACB207" s="922"/>
      <c r="ACC207" s="922"/>
      <c r="ACD207" s="922"/>
      <c r="ACE207" s="922"/>
      <c r="ACF207" s="922"/>
      <c r="ACG207" s="922"/>
      <c r="ACH207" s="922"/>
      <c r="ACI207" s="922"/>
      <c r="ACJ207" s="922"/>
      <c r="ACK207" s="922"/>
      <c r="ACL207" s="922"/>
      <c r="ACM207" s="922"/>
      <c r="ACN207" s="922"/>
      <c r="ACO207" s="922"/>
      <c r="ACP207" s="922"/>
      <c r="ACQ207" s="922"/>
      <c r="ACR207" s="922"/>
      <c r="ACS207" s="922"/>
      <c r="ACT207" s="922"/>
      <c r="ACU207" s="922"/>
      <c r="ACV207" s="922"/>
      <c r="ACW207" s="922"/>
      <c r="ACX207" s="922"/>
      <c r="ACY207" s="922"/>
      <c r="ACZ207" s="922"/>
      <c r="ADA207" s="922"/>
      <c r="ADB207" s="922"/>
      <c r="ADC207" s="922"/>
      <c r="ADD207" s="922"/>
      <c r="ADE207" s="922"/>
      <c r="ADF207" s="922"/>
      <c r="ADG207" s="922"/>
      <c r="ADH207" s="922"/>
      <c r="ADI207" s="922"/>
      <c r="ADJ207" s="922"/>
      <c r="ADK207" s="922"/>
      <c r="ADL207" s="922"/>
      <c r="ADM207" s="922"/>
      <c r="ADN207" s="922"/>
      <c r="ADO207" s="922"/>
      <c r="ADP207" s="922"/>
      <c r="ADQ207" s="922"/>
      <c r="ADR207" s="922"/>
      <c r="ADS207" s="922"/>
      <c r="ADT207" s="922"/>
      <c r="ADU207" s="922"/>
      <c r="ADV207" s="922"/>
      <c r="ADW207" s="922"/>
      <c r="ADX207" s="922"/>
      <c r="ADY207" s="922"/>
      <c r="ADZ207" s="922"/>
      <c r="AEA207" s="922"/>
      <c r="AEB207" s="922"/>
      <c r="AEC207" s="922"/>
      <c r="AED207" s="922"/>
      <c r="AEE207" s="922"/>
      <c r="AEF207" s="922"/>
      <c r="AEG207" s="922"/>
      <c r="AEH207" s="922"/>
      <c r="AEI207" s="922"/>
      <c r="AEJ207" s="922"/>
      <c r="AEK207" s="922"/>
      <c r="AEL207" s="922"/>
      <c r="AEM207" s="922"/>
      <c r="AEN207" s="922"/>
      <c r="AEO207" s="922"/>
      <c r="AEP207" s="922"/>
      <c r="AEQ207" s="922"/>
      <c r="AER207" s="922"/>
      <c r="AES207" s="922"/>
      <c r="AET207" s="922"/>
      <c r="AEU207" s="922"/>
      <c r="AEV207" s="922"/>
      <c r="AEW207" s="922"/>
      <c r="AEX207" s="922"/>
      <c r="AEY207" s="922"/>
      <c r="AEZ207" s="922"/>
      <c r="AFA207" s="922"/>
      <c r="AFB207" s="922"/>
      <c r="AFC207" s="922"/>
      <c r="AFD207" s="922"/>
      <c r="AFE207" s="922"/>
      <c r="AFF207" s="922"/>
      <c r="AFG207" s="922"/>
      <c r="AFH207" s="922"/>
      <c r="AFI207" s="922"/>
      <c r="AFJ207" s="922"/>
      <c r="AFK207" s="922"/>
      <c r="AFL207" s="922"/>
      <c r="AFM207" s="922"/>
      <c r="AFN207" s="922"/>
      <c r="AFO207" s="922"/>
      <c r="AFP207" s="922"/>
      <c r="AFQ207" s="922"/>
      <c r="AFR207" s="922"/>
      <c r="AFS207" s="922"/>
      <c r="AFT207" s="922"/>
      <c r="AFU207" s="922"/>
      <c r="AFV207" s="922"/>
      <c r="AFW207" s="922"/>
      <c r="AFX207" s="922"/>
      <c r="AFY207" s="922"/>
      <c r="AFZ207" s="922"/>
      <c r="AGA207" s="922"/>
      <c r="AGB207" s="922"/>
      <c r="AGC207" s="922"/>
      <c r="AGD207" s="922"/>
      <c r="AGE207" s="922"/>
      <c r="AGF207" s="922"/>
      <c r="AGG207" s="922"/>
      <c r="AGH207" s="922"/>
      <c r="AGI207" s="922"/>
      <c r="AGJ207" s="922"/>
      <c r="AGK207" s="922"/>
      <c r="AGL207" s="922"/>
      <c r="AGM207" s="922"/>
      <c r="AGN207" s="922"/>
      <c r="AGO207" s="922"/>
      <c r="AGP207" s="922"/>
      <c r="AGQ207" s="922"/>
      <c r="AGR207" s="922"/>
      <c r="AGS207" s="922"/>
      <c r="AGT207" s="922"/>
      <c r="AGU207" s="922"/>
      <c r="AGV207" s="922"/>
      <c r="AGW207" s="922"/>
      <c r="AGX207" s="922"/>
      <c r="AGY207" s="922"/>
      <c r="AGZ207" s="922"/>
      <c r="AHA207" s="922"/>
      <c r="AHB207" s="922"/>
      <c r="AHC207" s="922"/>
      <c r="AHD207" s="922"/>
      <c r="AHE207" s="922"/>
      <c r="AHF207" s="922"/>
      <c r="AHG207" s="922"/>
      <c r="AHH207" s="922"/>
      <c r="AHI207" s="922"/>
      <c r="AHJ207" s="922"/>
      <c r="AHK207" s="922"/>
      <c r="AHL207" s="922"/>
      <c r="AHM207" s="922"/>
      <c r="AHN207" s="922"/>
      <c r="AHO207" s="922"/>
      <c r="AHP207" s="922"/>
      <c r="AHQ207" s="922"/>
      <c r="AHR207" s="922"/>
      <c r="AHS207" s="922"/>
      <c r="AHT207" s="922"/>
      <c r="AHU207" s="922"/>
      <c r="AHV207" s="922"/>
      <c r="AHW207" s="922"/>
      <c r="AHX207" s="922"/>
      <c r="AHY207" s="922"/>
      <c r="AHZ207" s="922"/>
      <c r="AIA207" s="922"/>
      <c r="AIB207" s="922"/>
      <c r="AIC207" s="922"/>
      <c r="AID207" s="922"/>
      <c r="AIE207" s="922"/>
      <c r="AIF207" s="922"/>
      <c r="AIG207" s="922"/>
      <c r="AIH207" s="922"/>
      <c r="AII207" s="922"/>
      <c r="AIJ207" s="922"/>
      <c r="AIK207" s="922"/>
      <c r="AIL207" s="922"/>
      <c r="AIM207" s="922"/>
      <c r="AIN207" s="922"/>
      <c r="AIO207" s="922"/>
      <c r="AIP207" s="922"/>
      <c r="AIQ207" s="922"/>
      <c r="AIR207" s="922"/>
      <c r="AIS207" s="922"/>
      <c r="AIT207" s="922"/>
      <c r="AIU207" s="922"/>
      <c r="AIV207" s="922"/>
      <c r="AIW207" s="922"/>
      <c r="AIX207" s="922"/>
      <c r="AIY207" s="922"/>
      <c r="AIZ207" s="922"/>
      <c r="AJA207" s="922"/>
      <c r="AJB207" s="922"/>
      <c r="AJC207" s="922"/>
      <c r="AJD207" s="922"/>
      <c r="AJE207" s="922"/>
      <c r="AJF207" s="922"/>
      <c r="AJG207" s="922"/>
      <c r="AJH207" s="922"/>
      <c r="AJI207" s="922"/>
      <c r="AJJ207" s="922"/>
      <c r="AJK207" s="922"/>
      <c r="AJL207" s="922"/>
      <c r="AJM207" s="922"/>
      <c r="AJN207" s="922"/>
      <c r="AJO207" s="922"/>
      <c r="AJP207" s="922"/>
      <c r="AJQ207" s="922"/>
      <c r="AJR207" s="922"/>
      <c r="AJS207" s="922"/>
      <c r="AJT207" s="922"/>
      <c r="AJU207" s="922"/>
      <c r="AJV207" s="922"/>
      <c r="AJW207" s="922"/>
      <c r="AJX207" s="922"/>
      <c r="AJY207" s="922"/>
      <c r="AJZ207" s="922"/>
      <c r="AKA207" s="922"/>
      <c r="AKB207" s="922"/>
      <c r="AKC207" s="922"/>
      <c r="AKD207" s="922"/>
      <c r="AKE207" s="922"/>
      <c r="AKF207" s="922"/>
      <c r="AKG207" s="922"/>
      <c r="AKH207" s="922"/>
      <c r="AKI207" s="922"/>
      <c r="AKJ207" s="922"/>
      <c r="AKK207" s="922"/>
      <c r="AKL207" s="922"/>
      <c r="AKM207" s="922"/>
      <c r="AKN207" s="922"/>
      <c r="AKO207" s="922"/>
      <c r="AKP207" s="922"/>
      <c r="AKQ207" s="922"/>
      <c r="AKR207" s="922"/>
      <c r="AKS207" s="922"/>
      <c r="AKT207" s="922"/>
      <c r="AKU207" s="922"/>
      <c r="AKV207" s="922"/>
      <c r="AKW207" s="922"/>
      <c r="AKX207" s="922"/>
      <c r="AKY207" s="922"/>
      <c r="AKZ207" s="922"/>
      <c r="ALA207" s="922"/>
      <c r="ALB207" s="922"/>
      <c r="ALC207" s="922"/>
      <c r="ALD207" s="922"/>
      <c r="ALE207" s="922"/>
      <c r="ALF207" s="922"/>
      <c r="ALG207" s="922"/>
      <c r="ALH207" s="922"/>
      <c r="ALI207" s="922"/>
      <c r="ALJ207" s="922"/>
      <c r="ALK207" s="922"/>
      <c r="ALL207" s="922"/>
      <c r="ALM207" s="922"/>
      <c r="ALN207" s="922"/>
      <c r="ALO207" s="922"/>
      <c r="ALP207" s="922"/>
      <c r="ALQ207" s="922"/>
      <c r="ALR207" s="922"/>
      <c r="ALS207" s="922"/>
      <c r="ALT207" s="922"/>
      <c r="ALU207" s="922"/>
      <c r="ALV207" s="922"/>
      <c r="ALW207" s="922"/>
      <c r="ALX207" s="922"/>
      <c r="ALY207" s="922"/>
      <c r="ALZ207" s="922"/>
      <c r="AMA207" s="922"/>
      <c r="AMB207" s="922"/>
      <c r="AMC207" s="922"/>
      <c r="AMD207" s="922"/>
      <c r="AME207" s="922"/>
      <c r="AMF207" s="922"/>
      <c r="AMG207" s="922"/>
      <c r="AMH207" s="922"/>
      <c r="AMI207" s="922"/>
      <c r="AMJ207" s="922"/>
      <c r="AMK207" s="922"/>
      <c r="AML207" s="922"/>
      <c r="AMM207" s="922"/>
      <c r="AMN207" s="922"/>
      <c r="AMO207" s="922"/>
      <c r="AMP207" s="922"/>
      <c r="AMQ207" s="922"/>
      <c r="AMR207" s="922"/>
      <c r="AMS207" s="922"/>
      <c r="AMT207" s="922"/>
      <c r="AMU207" s="922"/>
      <c r="AMV207" s="922"/>
      <c r="AMW207" s="922"/>
      <c r="AMX207" s="922"/>
      <c r="AMY207" s="922"/>
      <c r="AMZ207" s="922"/>
      <c r="ANA207" s="922"/>
      <c r="ANB207" s="922"/>
      <c r="ANC207" s="922"/>
      <c r="AND207" s="922"/>
      <c r="ANE207" s="922"/>
      <c r="ANF207" s="922"/>
      <c r="ANG207" s="922"/>
      <c r="ANH207" s="922"/>
      <c r="ANI207" s="922"/>
      <c r="ANJ207" s="922"/>
      <c r="ANK207" s="922"/>
      <c r="ANL207" s="922"/>
      <c r="ANM207" s="922"/>
      <c r="ANN207" s="922"/>
      <c r="ANO207" s="922"/>
      <c r="ANP207" s="922"/>
      <c r="ANQ207" s="922"/>
      <c r="ANR207" s="922"/>
      <c r="ANS207" s="922"/>
      <c r="ANT207" s="922"/>
      <c r="ANU207" s="922"/>
      <c r="ANV207" s="922"/>
      <c r="ANW207" s="922"/>
      <c r="ANX207" s="922"/>
      <c r="ANY207" s="922"/>
      <c r="ANZ207" s="922"/>
      <c r="AOA207" s="922"/>
      <c r="AOB207" s="922"/>
      <c r="AOC207" s="922"/>
      <c r="AOD207" s="922"/>
      <c r="AOE207" s="922"/>
      <c r="AOF207" s="922"/>
      <c r="AOG207" s="922"/>
      <c r="AOH207" s="922"/>
      <c r="AOI207" s="922"/>
      <c r="AOJ207" s="922"/>
      <c r="AOK207" s="922"/>
      <c r="AOL207" s="922"/>
      <c r="AOM207" s="922"/>
      <c r="AON207" s="922"/>
      <c r="AOO207" s="922"/>
      <c r="AOP207" s="922"/>
      <c r="AOQ207" s="922"/>
      <c r="AOR207" s="922"/>
      <c r="AOS207" s="922"/>
      <c r="AOT207" s="922"/>
      <c r="AOU207" s="922"/>
      <c r="AOV207" s="922"/>
      <c r="AOW207" s="922"/>
      <c r="AOX207" s="922"/>
      <c r="AOY207" s="922"/>
      <c r="AOZ207" s="922"/>
      <c r="APA207" s="922"/>
      <c r="APB207" s="922"/>
      <c r="APC207" s="922"/>
      <c r="APD207" s="922"/>
      <c r="APE207" s="922"/>
      <c r="APF207" s="922"/>
      <c r="APG207" s="922"/>
      <c r="APH207" s="922"/>
      <c r="API207" s="922"/>
      <c r="APJ207" s="922"/>
      <c r="APK207" s="922"/>
      <c r="APL207" s="922"/>
      <c r="APM207" s="922"/>
      <c r="APN207" s="922"/>
      <c r="APO207" s="922"/>
      <c r="APP207" s="922"/>
      <c r="APQ207" s="922"/>
      <c r="APR207" s="922"/>
      <c r="APS207" s="922"/>
      <c r="APT207" s="922"/>
      <c r="APU207" s="922"/>
      <c r="APV207" s="922"/>
      <c r="APW207" s="922"/>
      <c r="APX207" s="922"/>
      <c r="APY207" s="922"/>
      <c r="APZ207" s="922"/>
      <c r="AQA207" s="922"/>
      <c r="AQB207" s="922"/>
      <c r="AQC207" s="922"/>
      <c r="AQD207" s="922"/>
      <c r="AQE207" s="922"/>
      <c r="AQF207" s="922"/>
      <c r="AQG207" s="922"/>
      <c r="AQH207" s="922"/>
      <c r="AQI207" s="922"/>
      <c r="AQJ207" s="922"/>
      <c r="AQK207" s="922"/>
      <c r="AQL207" s="922"/>
      <c r="AQM207" s="922"/>
      <c r="AQN207" s="922"/>
      <c r="AQO207" s="922"/>
      <c r="AQP207" s="922"/>
      <c r="AQQ207" s="922"/>
      <c r="AQR207" s="922"/>
      <c r="AQS207" s="922"/>
      <c r="AQT207" s="922"/>
      <c r="AQU207" s="922"/>
      <c r="AQV207" s="922"/>
      <c r="AQW207" s="922"/>
      <c r="AQX207" s="922"/>
      <c r="AQY207" s="922"/>
      <c r="AQZ207" s="922"/>
      <c r="ARA207" s="922"/>
      <c r="ARB207" s="922"/>
      <c r="ARC207" s="922"/>
      <c r="ARD207" s="922"/>
      <c r="ARE207" s="922"/>
      <c r="ARF207" s="922"/>
      <c r="ARG207" s="922"/>
      <c r="ARH207" s="922"/>
      <c r="ARI207" s="922"/>
      <c r="ARJ207" s="922"/>
      <c r="ARK207" s="922"/>
      <c r="ARL207" s="922"/>
      <c r="ARM207" s="922"/>
      <c r="ARN207" s="922"/>
      <c r="ARO207" s="922"/>
      <c r="ARP207" s="922"/>
      <c r="ARQ207" s="922"/>
      <c r="ARR207" s="922"/>
      <c r="ARS207" s="922"/>
      <c r="ART207" s="922"/>
      <c r="ARU207" s="922"/>
      <c r="ARV207" s="922"/>
      <c r="ARW207" s="922"/>
      <c r="ARX207" s="922"/>
      <c r="ARY207" s="922"/>
      <c r="ARZ207" s="922"/>
      <c r="ASA207" s="922"/>
      <c r="ASB207" s="922"/>
      <c r="ASC207" s="922"/>
    </row>
    <row r="208" spans="20:1173" hidden="1">
      <c r="T208" s="922"/>
      <c r="AN208" s="922"/>
      <c r="AO208" s="922"/>
      <c r="AP208" s="922"/>
      <c r="AQ208" s="922"/>
      <c r="AR208" s="922"/>
      <c r="AS208" s="922"/>
      <c r="AT208" s="922"/>
      <c r="AU208" s="922"/>
      <c r="AV208" s="922"/>
      <c r="AW208" s="922"/>
      <c r="AX208" s="922"/>
      <c r="AY208" s="922"/>
      <c r="AZ208" s="922"/>
      <c r="BA208" s="922"/>
      <c r="BB208" s="922"/>
      <c r="BC208" s="922"/>
      <c r="BD208" s="922"/>
      <c r="BE208" s="922"/>
      <c r="BF208" s="922"/>
      <c r="BG208" s="922"/>
      <c r="BH208" s="922"/>
      <c r="BI208" s="922"/>
      <c r="BJ208" s="922"/>
      <c r="BK208" s="922"/>
      <c r="BL208" s="922"/>
      <c r="BM208" s="922"/>
      <c r="BN208" s="922"/>
      <c r="BO208" s="922"/>
      <c r="BP208" s="922"/>
      <c r="BQ208" s="922"/>
      <c r="BR208" s="922"/>
      <c r="BS208" s="922"/>
      <c r="BT208" s="922"/>
      <c r="BU208" s="922"/>
      <c r="BV208" s="922"/>
      <c r="BW208" s="922"/>
      <c r="BX208" s="922"/>
      <c r="BY208" s="922"/>
      <c r="BZ208" s="922"/>
      <c r="CA208" s="922"/>
      <c r="CB208" s="922"/>
      <c r="CC208" s="922"/>
      <c r="CD208" s="922"/>
      <c r="CE208" s="922"/>
      <c r="CF208" s="922"/>
      <c r="CG208" s="922"/>
      <c r="CH208" s="922"/>
      <c r="CI208" s="922"/>
      <c r="CJ208" s="922"/>
      <c r="CK208" s="922"/>
      <c r="CL208" s="922"/>
      <c r="CM208" s="922"/>
      <c r="CN208" s="922"/>
      <c r="CO208" s="922"/>
      <c r="CP208" s="922"/>
      <c r="CQ208" s="922"/>
      <c r="CR208" s="922"/>
      <c r="CS208" s="922"/>
      <c r="CT208" s="922"/>
      <c r="CU208" s="922"/>
      <c r="CV208" s="922"/>
      <c r="CW208" s="922"/>
      <c r="CX208" s="922"/>
      <c r="CY208" s="922"/>
      <c r="CZ208" s="922"/>
      <c r="DA208" s="922"/>
      <c r="DB208" s="922"/>
      <c r="DC208" s="922"/>
      <c r="DD208" s="922"/>
      <c r="DE208" s="922"/>
      <c r="DF208" s="922"/>
      <c r="DG208" s="922"/>
      <c r="DH208" s="922"/>
      <c r="DI208" s="922"/>
      <c r="DJ208" s="922"/>
      <c r="DK208" s="922"/>
      <c r="DL208" s="922"/>
      <c r="DM208" s="922"/>
      <c r="DN208" s="922"/>
      <c r="DO208" s="922"/>
      <c r="DP208" s="922"/>
      <c r="DQ208" s="922"/>
      <c r="DR208" s="922"/>
      <c r="DS208" s="922"/>
      <c r="DT208" s="922"/>
      <c r="DU208" s="922"/>
      <c r="DV208" s="922"/>
      <c r="DW208" s="922"/>
      <c r="DX208" s="922"/>
      <c r="DY208" s="922"/>
      <c r="DZ208" s="922"/>
      <c r="EA208" s="922"/>
      <c r="EB208" s="922"/>
      <c r="EC208" s="922"/>
      <c r="ED208" s="922"/>
      <c r="EE208" s="922"/>
      <c r="EF208" s="922"/>
      <c r="EG208" s="922"/>
      <c r="EH208" s="922"/>
      <c r="EI208" s="922"/>
      <c r="EJ208" s="922"/>
      <c r="EK208" s="922"/>
      <c r="EL208" s="922"/>
      <c r="EM208" s="922"/>
      <c r="EN208" s="922"/>
      <c r="EO208" s="922"/>
      <c r="EP208" s="922"/>
      <c r="EQ208" s="922"/>
      <c r="ER208" s="922"/>
      <c r="ES208" s="922"/>
      <c r="ET208" s="922"/>
      <c r="EU208" s="922"/>
      <c r="EV208" s="922"/>
      <c r="EW208" s="922"/>
      <c r="EX208" s="922"/>
      <c r="EY208" s="922"/>
      <c r="EZ208" s="922"/>
      <c r="FA208" s="922"/>
      <c r="FB208" s="922"/>
      <c r="FC208" s="922"/>
      <c r="FD208" s="922"/>
      <c r="FE208" s="922"/>
      <c r="FF208" s="922"/>
      <c r="FG208" s="922"/>
      <c r="FH208" s="922"/>
      <c r="FI208" s="922"/>
      <c r="FJ208" s="922"/>
      <c r="FK208" s="922"/>
      <c r="FL208" s="922"/>
      <c r="FM208" s="922"/>
      <c r="FN208" s="922"/>
      <c r="FO208" s="922"/>
      <c r="FP208" s="922"/>
      <c r="FQ208" s="922"/>
      <c r="FR208" s="922"/>
      <c r="FS208" s="922"/>
      <c r="FT208" s="922"/>
      <c r="FU208" s="922"/>
      <c r="FV208" s="922"/>
      <c r="FW208" s="922"/>
      <c r="FX208" s="922"/>
      <c r="FY208" s="922"/>
      <c r="FZ208" s="922"/>
      <c r="GA208" s="922"/>
      <c r="GB208" s="922"/>
      <c r="GC208" s="922"/>
      <c r="GD208" s="922"/>
      <c r="GE208" s="922"/>
      <c r="GF208" s="922"/>
      <c r="GG208" s="922"/>
      <c r="GH208" s="922"/>
      <c r="GI208" s="922"/>
      <c r="GJ208" s="922"/>
      <c r="GK208" s="922"/>
      <c r="GL208" s="922"/>
      <c r="GM208" s="922"/>
      <c r="GN208" s="922"/>
      <c r="GO208" s="922"/>
      <c r="GP208" s="922"/>
      <c r="GQ208" s="922"/>
      <c r="GR208" s="922"/>
      <c r="GS208" s="922"/>
      <c r="GT208" s="922"/>
      <c r="GU208" s="922"/>
      <c r="GV208" s="922"/>
      <c r="GW208" s="922"/>
      <c r="GX208" s="922"/>
      <c r="GY208" s="922"/>
      <c r="GZ208" s="922"/>
      <c r="HA208" s="922"/>
      <c r="HB208" s="922"/>
      <c r="HC208" s="922"/>
      <c r="HD208" s="922"/>
      <c r="HE208" s="922"/>
      <c r="HF208" s="922"/>
      <c r="HG208" s="922"/>
      <c r="HH208" s="922"/>
      <c r="HI208" s="922"/>
      <c r="HJ208" s="922"/>
      <c r="HK208" s="922"/>
      <c r="HL208" s="922"/>
      <c r="HM208" s="922"/>
      <c r="HN208" s="922"/>
      <c r="HO208" s="922"/>
      <c r="HP208" s="922"/>
      <c r="HQ208" s="922"/>
      <c r="HR208" s="922"/>
      <c r="HS208" s="922"/>
      <c r="HT208" s="922"/>
      <c r="HU208" s="922"/>
      <c r="HV208" s="922"/>
      <c r="HW208" s="922"/>
      <c r="HX208" s="922"/>
      <c r="HY208" s="922"/>
      <c r="HZ208" s="922"/>
      <c r="IA208" s="922"/>
      <c r="IB208" s="922"/>
      <c r="IC208" s="922"/>
      <c r="ID208" s="922"/>
      <c r="IE208" s="922"/>
      <c r="IF208" s="922"/>
      <c r="IG208" s="922"/>
      <c r="IH208" s="922"/>
      <c r="II208" s="922"/>
      <c r="IJ208" s="922"/>
      <c r="IK208" s="922"/>
      <c r="IL208" s="922"/>
      <c r="IM208" s="922"/>
      <c r="IN208" s="922"/>
      <c r="IO208" s="922"/>
      <c r="IP208" s="922"/>
      <c r="IQ208" s="922"/>
      <c r="IR208" s="922"/>
      <c r="IS208" s="922"/>
      <c r="IT208" s="922"/>
      <c r="IU208" s="922"/>
      <c r="IV208" s="922"/>
      <c r="IW208" s="922"/>
      <c r="IX208" s="922"/>
      <c r="IY208" s="922"/>
      <c r="IZ208" s="922"/>
      <c r="JA208" s="922"/>
      <c r="JB208" s="922"/>
      <c r="JC208" s="922"/>
      <c r="JD208" s="922"/>
      <c r="JE208" s="922"/>
      <c r="JF208" s="922"/>
      <c r="JG208" s="922"/>
      <c r="JH208" s="922"/>
      <c r="JI208" s="922"/>
      <c r="JJ208" s="922"/>
      <c r="JK208" s="922"/>
      <c r="JL208" s="922"/>
      <c r="JM208" s="922"/>
      <c r="JN208" s="922"/>
      <c r="JO208" s="922"/>
      <c r="JP208" s="922"/>
      <c r="JQ208" s="922"/>
      <c r="JR208" s="922"/>
      <c r="JS208" s="922"/>
      <c r="JT208" s="922"/>
      <c r="JU208" s="922"/>
      <c r="JV208" s="922"/>
      <c r="JW208" s="922"/>
      <c r="JX208" s="922"/>
      <c r="JY208" s="922"/>
      <c r="JZ208" s="922"/>
      <c r="KA208" s="922"/>
      <c r="KB208" s="922"/>
      <c r="KC208" s="922"/>
      <c r="KD208" s="922"/>
      <c r="KE208" s="922"/>
      <c r="KF208" s="922"/>
      <c r="KG208" s="922"/>
      <c r="KH208" s="922"/>
      <c r="KI208" s="922"/>
      <c r="KJ208" s="922"/>
      <c r="KK208" s="922"/>
      <c r="KL208" s="922"/>
      <c r="KM208" s="922"/>
      <c r="KN208" s="922"/>
      <c r="KO208" s="922"/>
      <c r="KP208" s="922"/>
      <c r="KQ208" s="922"/>
      <c r="KR208" s="922"/>
      <c r="KS208" s="922"/>
      <c r="KT208" s="922"/>
      <c r="KU208" s="922"/>
      <c r="KV208" s="922"/>
      <c r="KW208" s="922"/>
      <c r="KX208" s="922"/>
      <c r="KY208" s="922"/>
      <c r="KZ208" s="922"/>
      <c r="LA208" s="922"/>
      <c r="LB208" s="922"/>
      <c r="LC208" s="922"/>
      <c r="LD208" s="922"/>
      <c r="LE208" s="922"/>
      <c r="LF208" s="922"/>
      <c r="LG208" s="922"/>
      <c r="LH208" s="922"/>
      <c r="LI208" s="922"/>
      <c r="LJ208" s="922"/>
      <c r="LK208" s="922"/>
      <c r="LL208" s="922"/>
      <c r="LM208" s="922"/>
      <c r="LN208" s="922"/>
      <c r="LO208" s="922"/>
      <c r="LP208" s="922"/>
      <c r="LQ208" s="922"/>
      <c r="LR208" s="922"/>
      <c r="LS208" s="922"/>
      <c r="LT208" s="922"/>
      <c r="LU208" s="922"/>
      <c r="LV208" s="922"/>
      <c r="LW208" s="922"/>
      <c r="LX208" s="922"/>
      <c r="LY208" s="922"/>
      <c r="LZ208" s="922"/>
      <c r="MA208" s="922"/>
      <c r="MB208" s="922"/>
      <c r="MC208" s="922"/>
      <c r="MD208" s="922"/>
      <c r="ME208" s="922"/>
      <c r="MF208" s="922"/>
      <c r="MG208" s="922"/>
      <c r="MH208" s="922"/>
      <c r="MI208" s="922"/>
      <c r="MJ208" s="922"/>
      <c r="MK208" s="922"/>
      <c r="ML208" s="922"/>
      <c r="MM208" s="922"/>
      <c r="MN208" s="922"/>
      <c r="MO208" s="922"/>
      <c r="MP208" s="922"/>
      <c r="MQ208" s="922"/>
      <c r="MR208" s="922"/>
      <c r="MS208" s="922"/>
      <c r="MT208" s="922"/>
      <c r="MU208" s="922"/>
      <c r="MV208" s="922"/>
      <c r="MW208" s="922"/>
      <c r="MX208" s="922"/>
      <c r="MY208" s="922"/>
      <c r="MZ208" s="922"/>
      <c r="NA208" s="922"/>
      <c r="NB208" s="922"/>
      <c r="NC208" s="922"/>
      <c r="ND208" s="922"/>
      <c r="NE208" s="922"/>
      <c r="NF208" s="922"/>
      <c r="NG208" s="922"/>
      <c r="NH208" s="922"/>
      <c r="NI208" s="922"/>
      <c r="NJ208" s="922"/>
      <c r="NK208" s="922"/>
      <c r="NL208" s="922"/>
      <c r="NM208" s="922"/>
      <c r="NN208" s="922"/>
      <c r="NO208" s="922"/>
      <c r="NP208" s="922"/>
      <c r="NQ208" s="922"/>
      <c r="NR208" s="922"/>
      <c r="NS208" s="922"/>
      <c r="NT208" s="922"/>
      <c r="NU208" s="922"/>
      <c r="NV208" s="922"/>
      <c r="NW208" s="922"/>
      <c r="NX208" s="922"/>
      <c r="NY208" s="922"/>
      <c r="NZ208" s="922"/>
      <c r="OA208" s="922"/>
      <c r="OB208" s="922"/>
      <c r="OC208" s="922"/>
      <c r="OD208" s="922"/>
      <c r="OE208" s="922"/>
      <c r="OF208" s="922"/>
      <c r="OG208" s="922"/>
      <c r="OH208" s="922"/>
      <c r="OI208" s="922"/>
      <c r="OJ208" s="922"/>
      <c r="OK208" s="922"/>
      <c r="OL208" s="922"/>
      <c r="OM208" s="922"/>
      <c r="ON208" s="922"/>
      <c r="OO208" s="922"/>
      <c r="OP208" s="922"/>
      <c r="OQ208" s="922"/>
      <c r="OR208" s="922"/>
      <c r="OS208" s="922"/>
      <c r="OT208" s="922"/>
      <c r="OU208" s="922"/>
      <c r="OV208" s="922"/>
      <c r="OW208" s="922"/>
      <c r="OX208" s="922"/>
      <c r="OY208" s="922"/>
      <c r="OZ208" s="922"/>
      <c r="PA208" s="922"/>
      <c r="PB208" s="922"/>
      <c r="PC208" s="922"/>
      <c r="PD208" s="922"/>
      <c r="PE208" s="922"/>
      <c r="PF208" s="922"/>
      <c r="PG208" s="922"/>
      <c r="PH208" s="922"/>
      <c r="PI208" s="922"/>
      <c r="PJ208" s="922"/>
      <c r="PK208" s="922"/>
      <c r="PL208" s="922"/>
      <c r="PM208" s="922"/>
      <c r="PN208" s="922"/>
      <c r="PO208" s="922"/>
      <c r="PP208" s="922"/>
      <c r="PQ208" s="922"/>
      <c r="PR208" s="922"/>
      <c r="PS208" s="922"/>
      <c r="PT208" s="922"/>
      <c r="PU208" s="922"/>
      <c r="PV208" s="922"/>
      <c r="PW208" s="922"/>
      <c r="PX208" s="922"/>
      <c r="PY208" s="922"/>
      <c r="PZ208" s="922"/>
      <c r="QA208" s="922"/>
      <c r="QB208" s="922"/>
      <c r="QC208" s="922"/>
      <c r="QD208" s="922"/>
      <c r="QE208" s="922"/>
      <c r="QF208" s="922"/>
      <c r="QG208" s="922"/>
      <c r="QH208" s="922"/>
      <c r="QI208" s="922"/>
      <c r="QJ208" s="922"/>
      <c r="QK208" s="922"/>
      <c r="QL208" s="922"/>
      <c r="QM208" s="922"/>
      <c r="QN208" s="922"/>
      <c r="QO208" s="922"/>
      <c r="QP208" s="922"/>
      <c r="QQ208" s="922"/>
      <c r="QR208" s="922"/>
      <c r="QS208" s="922"/>
      <c r="QT208" s="922"/>
      <c r="QU208" s="922"/>
      <c r="QV208" s="922"/>
      <c r="QW208" s="922"/>
      <c r="QX208" s="922"/>
      <c r="QY208" s="922"/>
      <c r="QZ208" s="922"/>
      <c r="RA208" s="922"/>
      <c r="RB208" s="922"/>
      <c r="RC208" s="922"/>
      <c r="RD208" s="922"/>
      <c r="RE208" s="922"/>
      <c r="RF208" s="922"/>
      <c r="RG208" s="922"/>
      <c r="RH208" s="922"/>
      <c r="RI208" s="922"/>
      <c r="RJ208" s="922"/>
      <c r="RK208" s="922"/>
      <c r="RL208" s="922"/>
      <c r="RM208" s="922"/>
      <c r="RN208" s="922"/>
      <c r="RO208" s="922"/>
      <c r="RP208" s="922"/>
      <c r="RQ208" s="922"/>
      <c r="RR208" s="922"/>
      <c r="RS208" s="922"/>
      <c r="RT208" s="922"/>
      <c r="RU208" s="922"/>
      <c r="RV208" s="922"/>
      <c r="RW208" s="922"/>
      <c r="RX208" s="922"/>
      <c r="RY208" s="922"/>
      <c r="RZ208" s="922"/>
      <c r="SA208" s="922"/>
      <c r="SB208" s="922"/>
      <c r="SC208" s="922"/>
      <c r="SD208" s="922"/>
      <c r="SE208" s="922"/>
      <c r="SF208" s="922"/>
      <c r="SG208" s="922"/>
      <c r="SH208" s="922"/>
      <c r="SI208" s="922"/>
      <c r="SJ208" s="922"/>
      <c r="SK208" s="922"/>
      <c r="SL208" s="922"/>
      <c r="SM208" s="922"/>
      <c r="SN208" s="922"/>
      <c r="SO208" s="922"/>
      <c r="SP208" s="922"/>
      <c r="SQ208" s="922"/>
      <c r="SR208" s="922"/>
      <c r="SS208" s="922"/>
      <c r="ST208" s="922"/>
      <c r="SU208" s="922"/>
      <c r="SV208" s="922"/>
      <c r="SW208" s="922"/>
      <c r="SX208" s="922"/>
      <c r="SY208" s="922"/>
      <c r="SZ208" s="922"/>
      <c r="TA208" s="922"/>
      <c r="TB208" s="922"/>
      <c r="TC208" s="922"/>
      <c r="TD208" s="922"/>
      <c r="TE208" s="922"/>
      <c r="TF208" s="922"/>
      <c r="TG208" s="922"/>
      <c r="TH208" s="922"/>
      <c r="TI208" s="922"/>
      <c r="TJ208" s="922"/>
      <c r="TK208" s="922"/>
      <c r="TL208" s="922"/>
      <c r="TM208" s="922"/>
      <c r="TN208" s="922"/>
      <c r="TO208" s="922"/>
      <c r="TP208" s="922"/>
      <c r="TQ208" s="922"/>
      <c r="TR208" s="922"/>
      <c r="TS208" s="922"/>
      <c r="TT208" s="922"/>
      <c r="TU208" s="922"/>
      <c r="TV208" s="922"/>
      <c r="TW208" s="922"/>
      <c r="TX208" s="922"/>
      <c r="TY208" s="922"/>
      <c r="TZ208" s="922"/>
      <c r="UA208" s="922"/>
      <c r="UB208" s="922"/>
      <c r="UC208" s="922"/>
      <c r="UD208" s="922"/>
      <c r="UE208" s="922"/>
      <c r="UF208" s="922"/>
      <c r="UG208" s="922"/>
      <c r="UH208" s="922"/>
      <c r="UI208" s="922"/>
      <c r="UJ208" s="922"/>
      <c r="UK208" s="922"/>
      <c r="UL208" s="922"/>
      <c r="UM208" s="922"/>
      <c r="UN208" s="922"/>
      <c r="UO208" s="922"/>
      <c r="UP208" s="922"/>
      <c r="UQ208" s="922"/>
      <c r="UR208" s="922"/>
      <c r="US208" s="922"/>
      <c r="UT208" s="922"/>
      <c r="UU208" s="922"/>
      <c r="UV208" s="922"/>
      <c r="UW208" s="922"/>
      <c r="UX208" s="922"/>
      <c r="UY208" s="922"/>
      <c r="UZ208" s="922"/>
      <c r="VA208" s="922"/>
      <c r="VB208" s="922"/>
      <c r="VC208" s="922"/>
      <c r="VD208" s="922"/>
      <c r="VE208" s="922"/>
      <c r="VF208" s="922"/>
      <c r="VG208" s="922"/>
      <c r="VH208" s="922"/>
      <c r="VI208" s="922"/>
      <c r="VJ208" s="922"/>
      <c r="VK208" s="922"/>
      <c r="VL208" s="922"/>
      <c r="VM208" s="922"/>
      <c r="VN208" s="922"/>
      <c r="VO208" s="922"/>
      <c r="VP208" s="922"/>
      <c r="VQ208" s="922"/>
      <c r="VR208" s="922"/>
      <c r="VS208" s="922"/>
      <c r="VT208" s="922"/>
      <c r="VU208" s="922"/>
      <c r="VV208" s="922"/>
      <c r="VW208" s="922"/>
      <c r="VX208" s="922"/>
      <c r="VY208" s="922"/>
      <c r="VZ208" s="922"/>
      <c r="WA208" s="922"/>
      <c r="WB208" s="922"/>
      <c r="WC208" s="922"/>
      <c r="WD208" s="922"/>
      <c r="WE208" s="922"/>
      <c r="WF208" s="922"/>
      <c r="WG208" s="922"/>
      <c r="WH208" s="922"/>
      <c r="WI208" s="922"/>
      <c r="WJ208" s="922"/>
      <c r="WK208" s="922"/>
      <c r="WL208" s="922"/>
      <c r="WM208" s="922"/>
      <c r="WN208" s="922"/>
      <c r="WO208" s="922"/>
      <c r="WP208" s="922"/>
      <c r="WQ208" s="922"/>
      <c r="WR208" s="922"/>
      <c r="WS208" s="922"/>
      <c r="WT208" s="922"/>
      <c r="WU208" s="922"/>
      <c r="WV208" s="922"/>
      <c r="WW208" s="922"/>
      <c r="WX208" s="922"/>
      <c r="WY208" s="922"/>
      <c r="WZ208" s="922"/>
      <c r="XA208" s="922"/>
      <c r="XB208" s="922"/>
      <c r="XC208" s="922"/>
      <c r="XD208" s="922"/>
      <c r="XE208" s="922"/>
      <c r="XF208" s="922"/>
      <c r="XG208" s="922"/>
      <c r="XH208" s="922"/>
      <c r="XI208" s="922"/>
      <c r="XJ208" s="922"/>
      <c r="XK208" s="922"/>
      <c r="XL208" s="922"/>
      <c r="XM208" s="922"/>
      <c r="XN208" s="922"/>
      <c r="XO208" s="922"/>
      <c r="XP208" s="922"/>
      <c r="XQ208" s="922"/>
      <c r="XR208" s="922"/>
      <c r="XS208" s="922"/>
      <c r="XT208" s="922"/>
      <c r="XU208" s="922"/>
      <c r="XV208" s="922"/>
      <c r="XW208" s="922"/>
      <c r="XX208" s="922"/>
      <c r="XY208" s="922"/>
      <c r="XZ208" s="922"/>
      <c r="YA208" s="922"/>
      <c r="YB208" s="922"/>
      <c r="YC208" s="922"/>
      <c r="YD208" s="922"/>
      <c r="YE208" s="922"/>
      <c r="YF208" s="922"/>
      <c r="YG208" s="922"/>
      <c r="YH208" s="922"/>
      <c r="YI208" s="922"/>
      <c r="YJ208" s="922"/>
      <c r="YK208" s="922"/>
      <c r="YL208" s="922"/>
      <c r="YM208" s="922"/>
      <c r="YN208" s="922"/>
      <c r="YO208" s="922"/>
      <c r="YP208" s="922"/>
      <c r="YQ208" s="922"/>
      <c r="YR208" s="922"/>
      <c r="YS208" s="922"/>
      <c r="YT208" s="922"/>
      <c r="YU208" s="922"/>
      <c r="YV208" s="922"/>
      <c r="YW208" s="922"/>
      <c r="YX208" s="922"/>
      <c r="YY208" s="922"/>
      <c r="YZ208" s="922"/>
      <c r="ZA208" s="922"/>
      <c r="ZB208" s="922"/>
      <c r="ZC208" s="922"/>
      <c r="ZD208" s="922"/>
      <c r="ZE208" s="922"/>
      <c r="ZF208" s="922"/>
      <c r="ZG208" s="922"/>
      <c r="ZH208" s="922"/>
      <c r="ZI208" s="922"/>
      <c r="ZJ208" s="922"/>
      <c r="ZK208" s="922"/>
      <c r="ZL208" s="922"/>
      <c r="ZM208" s="922"/>
      <c r="ZN208" s="922"/>
      <c r="ZO208" s="922"/>
      <c r="ZP208" s="922"/>
      <c r="ZQ208" s="922"/>
      <c r="ZR208" s="922"/>
      <c r="ZS208" s="922"/>
      <c r="ZT208" s="922"/>
      <c r="ZU208" s="922"/>
      <c r="ZV208" s="922"/>
      <c r="ZW208" s="922"/>
      <c r="ZX208" s="922"/>
      <c r="ZY208" s="922"/>
      <c r="ZZ208" s="922"/>
      <c r="AAA208" s="922"/>
      <c r="AAB208" s="922"/>
      <c r="AAC208" s="922"/>
      <c r="AAD208" s="922"/>
      <c r="AAE208" s="922"/>
      <c r="AAF208" s="922"/>
      <c r="AAG208" s="922"/>
      <c r="AAH208" s="922"/>
      <c r="AAI208" s="922"/>
      <c r="AAJ208" s="922"/>
      <c r="AAK208" s="922"/>
      <c r="AAL208" s="922"/>
      <c r="AAM208" s="922"/>
      <c r="AAN208" s="922"/>
      <c r="AAO208" s="922"/>
      <c r="AAP208" s="922"/>
      <c r="AAQ208" s="922"/>
      <c r="AAR208" s="922"/>
      <c r="AAS208" s="922"/>
      <c r="AAT208" s="922"/>
      <c r="AAU208" s="922"/>
      <c r="AAV208" s="922"/>
      <c r="AAW208" s="922"/>
      <c r="AAX208" s="922"/>
      <c r="AAY208" s="922"/>
      <c r="AAZ208" s="922"/>
      <c r="ABA208" s="922"/>
      <c r="ABB208" s="922"/>
      <c r="ABC208" s="922"/>
      <c r="ABD208" s="922"/>
      <c r="ABE208" s="922"/>
      <c r="ABF208" s="922"/>
      <c r="ABG208" s="922"/>
      <c r="ABH208" s="922"/>
      <c r="ABI208" s="922"/>
      <c r="ABJ208" s="922"/>
      <c r="ABK208" s="922"/>
      <c r="ABL208" s="922"/>
      <c r="ABM208" s="922"/>
      <c r="ABN208" s="922"/>
      <c r="ABO208" s="922"/>
      <c r="ABP208" s="922"/>
      <c r="ABQ208" s="922"/>
      <c r="ABR208" s="922"/>
      <c r="ABS208" s="922"/>
      <c r="ABT208" s="922"/>
      <c r="ABU208" s="922"/>
      <c r="ABV208" s="922"/>
      <c r="ABW208" s="922"/>
      <c r="ABX208" s="922"/>
      <c r="ABY208" s="922"/>
      <c r="ABZ208" s="922"/>
      <c r="ACA208" s="922"/>
      <c r="ACB208" s="922"/>
      <c r="ACC208" s="922"/>
      <c r="ACD208" s="922"/>
      <c r="ACE208" s="922"/>
      <c r="ACF208" s="922"/>
      <c r="ACG208" s="922"/>
      <c r="ACH208" s="922"/>
      <c r="ACI208" s="922"/>
      <c r="ACJ208" s="922"/>
      <c r="ACK208" s="922"/>
      <c r="ACL208" s="922"/>
      <c r="ACM208" s="922"/>
      <c r="ACN208" s="922"/>
      <c r="ACO208" s="922"/>
      <c r="ACP208" s="922"/>
      <c r="ACQ208" s="922"/>
      <c r="ACR208" s="922"/>
      <c r="ACS208" s="922"/>
      <c r="ACT208" s="922"/>
      <c r="ACU208" s="922"/>
      <c r="ACV208" s="922"/>
      <c r="ACW208" s="922"/>
      <c r="ACX208" s="922"/>
      <c r="ACY208" s="922"/>
      <c r="ACZ208" s="922"/>
      <c r="ADA208" s="922"/>
      <c r="ADB208" s="922"/>
      <c r="ADC208" s="922"/>
      <c r="ADD208" s="922"/>
      <c r="ADE208" s="922"/>
      <c r="ADF208" s="922"/>
      <c r="ADG208" s="922"/>
      <c r="ADH208" s="922"/>
      <c r="ADI208" s="922"/>
      <c r="ADJ208" s="922"/>
      <c r="ADK208" s="922"/>
      <c r="ADL208" s="922"/>
      <c r="ADM208" s="922"/>
      <c r="ADN208" s="922"/>
      <c r="ADO208" s="922"/>
      <c r="ADP208" s="922"/>
      <c r="ADQ208" s="922"/>
      <c r="ADR208" s="922"/>
      <c r="ADS208" s="922"/>
      <c r="ADT208" s="922"/>
      <c r="ADU208" s="922"/>
      <c r="ADV208" s="922"/>
      <c r="ADW208" s="922"/>
      <c r="ADX208" s="922"/>
      <c r="ADY208" s="922"/>
      <c r="ADZ208" s="922"/>
      <c r="AEA208" s="922"/>
      <c r="AEB208" s="922"/>
      <c r="AEC208" s="922"/>
      <c r="AED208" s="922"/>
      <c r="AEE208" s="922"/>
      <c r="AEF208" s="922"/>
      <c r="AEG208" s="922"/>
      <c r="AEH208" s="922"/>
      <c r="AEI208" s="922"/>
      <c r="AEJ208" s="922"/>
      <c r="AEK208" s="922"/>
      <c r="AEL208" s="922"/>
      <c r="AEM208" s="922"/>
      <c r="AEN208" s="922"/>
      <c r="AEO208" s="922"/>
      <c r="AEP208" s="922"/>
      <c r="AEQ208" s="922"/>
      <c r="AER208" s="922"/>
      <c r="AES208" s="922"/>
      <c r="AET208" s="922"/>
      <c r="AEU208" s="922"/>
      <c r="AEV208" s="922"/>
      <c r="AEW208" s="922"/>
      <c r="AEX208" s="922"/>
      <c r="AEY208" s="922"/>
      <c r="AEZ208" s="922"/>
      <c r="AFA208" s="922"/>
      <c r="AFB208" s="922"/>
      <c r="AFC208" s="922"/>
      <c r="AFD208" s="922"/>
      <c r="AFE208" s="922"/>
      <c r="AFF208" s="922"/>
      <c r="AFG208" s="922"/>
      <c r="AFH208" s="922"/>
      <c r="AFI208" s="922"/>
      <c r="AFJ208" s="922"/>
      <c r="AFK208" s="922"/>
      <c r="AFL208" s="922"/>
      <c r="AFM208" s="922"/>
      <c r="AFN208" s="922"/>
      <c r="AFO208" s="922"/>
      <c r="AFP208" s="922"/>
      <c r="AFQ208" s="922"/>
      <c r="AFR208" s="922"/>
      <c r="AFS208" s="922"/>
      <c r="AFT208" s="922"/>
      <c r="AFU208" s="922"/>
      <c r="AFV208" s="922"/>
      <c r="AFW208" s="922"/>
      <c r="AFX208" s="922"/>
      <c r="AFY208" s="922"/>
      <c r="AFZ208" s="922"/>
      <c r="AGA208" s="922"/>
      <c r="AGB208" s="922"/>
      <c r="AGC208" s="922"/>
      <c r="AGD208" s="922"/>
      <c r="AGE208" s="922"/>
      <c r="AGF208" s="922"/>
      <c r="AGG208" s="922"/>
      <c r="AGH208" s="922"/>
      <c r="AGI208" s="922"/>
      <c r="AGJ208" s="922"/>
      <c r="AGK208" s="922"/>
      <c r="AGL208" s="922"/>
      <c r="AGM208" s="922"/>
      <c r="AGN208" s="922"/>
      <c r="AGO208" s="922"/>
      <c r="AGP208" s="922"/>
      <c r="AGQ208" s="922"/>
      <c r="AGR208" s="922"/>
      <c r="AGS208" s="922"/>
      <c r="AGT208" s="922"/>
      <c r="AGU208" s="922"/>
      <c r="AGV208" s="922"/>
      <c r="AGW208" s="922"/>
      <c r="AGX208" s="922"/>
      <c r="AGY208" s="922"/>
      <c r="AGZ208" s="922"/>
      <c r="AHA208" s="922"/>
      <c r="AHB208" s="922"/>
      <c r="AHC208" s="922"/>
      <c r="AHD208" s="922"/>
      <c r="AHE208" s="922"/>
      <c r="AHF208" s="922"/>
      <c r="AHG208" s="922"/>
      <c r="AHH208" s="922"/>
      <c r="AHI208" s="922"/>
      <c r="AHJ208" s="922"/>
      <c r="AHK208" s="922"/>
      <c r="AHL208" s="922"/>
      <c r="AHM208" s="922"/>
      <c r="AHN208" s="922"/>
      <c r="AHO208" s="922"/>
      <c r="AHP208" s="922"/>
      <c r="AHQ208" s="922"/>
      <c r="AHR208" s="922"/>
      <c r="AHS208" s="922"/>
      <c r="AHT208" s="922"/>
      <c r="AHU208" s="922"/>
      <c r="AHV208" s="922"/>
      <c r="AHW208" s="922"/>
      <c r="AHX208" s="922"/>
      <c r="AHY208" s="922"/>
      <c r="AHZ208" s="922"/>
      <c r="AIA208" s="922"/>
      <c r="AIB208" s="922"/>
      <c r="AIC208" s="922"/>
      <c r="AID208" s="922"/>
      <c r="AIE208" s="922"/>
      <c r="AIF208" s="922"/>
      <c r="AIG208" s="922"/>
      <c r="AIH208" s="922"/>
      <c r="AII208" s="922"/>
      <c r="AIJ208" s="922"/>
      <c r="AIK208" s="922"/>
      <c r="AIL208" s="922"/>
      <c r="AIM208" s="922"/>
      <c r="AIN208" s="922"/>
      <c r="AIO208" s="922"/>
      <c r="AIP208" s="922"/>
      <c r="AIQ208" s="922"/>
      <c r="AIR208" s="922"/>
      <c r="AIS208" s="922"/>
      <c r="AIT208" s="922"/>
      <c r="AIU208" s="922"/>
      <c r="AIV208" s="922"/>
      <c r="AIW208" s="922"/>
      <c r="AIX208" s="922"/>
      <c r="AIY208" s="922"/>
      <c r="AIZ208" s="922"/>
      <c r="AJA208" s="922"/>
      <c r="AJB208" s="922"/>
      <c r="AJC208" s="922"/>
      <c r="AJD208" s="922"/>
      <c r="AJE208" s="922"/>
      <c r="AJF208" s="922"/>
      <c r="AJG208" s="922"/>
      <c r="AJH208" s="922"/>
      <c r="AJI208" s="922"/>
      <c r="AJJ208" s="922"/>
      <c r="AJK208" s="922"/>
      <c r="AJL208" s="922"/>
      <c r="AJM208" s="922"/>
      <c r="AJN208" s="922"/>
      <c r="AJO208" s="922"/>
      <c r="AJP208" s="922"/>
      <c r="AJQ208" s="922"/>
      <c r="AJR208" s="922"/>
      <c r="AJS208" s="922"/>
      <c r="AJT208" s="922"/>
      <c r="AJU208" s="922"/>
      <c r="AJV208" s="922"/>
      <c r="AJW208" s="922"/>
      <c r="AJX208" s="922"/>
      <c r="AJY208" s="922"/>
      <c r="AJZ208" s="922"/>
      <c r="AKA208" s="922"/>
      <c r="AKB208" s="922"/>
      <c r="AKC208" s="922"/>
      <c r="AKD208" s="922"/>
      <c r="AKE208" s="922"/>
      <c r="AKF208" s="922"/>
      <c r="AKG208" s="922"/>
      <c r="AKH208" s="922"/>
      <c r="AKI208" s="922"/>
      <c r="AKJ208" s="922"/>
      <c r="AKK208" s="922"/>
      <c r="AKL208" s="922"/>
      <c r="AKM208" s="922"/>
      <c r="AKN208" s="922"/>
      <c r="AKO208" s="922"/>
      <c r="AKP208" s="922"/>
      <c r="AKQ208" s="922"/>
      <c r="AKR208" s="922"/>
      <c r="AKS208" s="922"/>
      <c r="AKT208" s="922"/>
      <c r="AKU208" s="922"/>
      <c r="AKV208" s="922"/>
      <c r="AKW208" s="922"/>
      <c r="AKX208" s="922"/>
      <c r="AKY208" s="922"/>
      <c r="AKZ208" s="922"/>
      <c r="ALA208" s="922"/>
      <c r="ALB208" s="922"/>
      <c r="ALC208" s="922"/>
      <c r="ALD208" s="922"/>
      <c r="ALE208" s="922"/>
      <c r="ALF208" s="922"/>
      <c r="ALG208" s="922"/>
      <c r="ALH208" s="922"/>
      <c r="ALI208" s="922"/>
      <c r="ALJ208" s="922"/>
      <c r="ALK208" s="922"/>
      <c r="ALL208" s="922"/>
      <c r="ALM208" s="922"/>
      <c r="ALN208" s="922"/>
      <c r="ALO208" s="922"/>
      <c r="ALP208" s="922"/>
      <c r="ALQ208" s="922"/>
      <c r="ALR208" s="922"/>
      <c r="ALS208" s="922"/>
      <c r="ALT208" s="922"/>
      <c r="ALU208" s="922"/>
      <c r="ALV208" s="922"/>
      <c r="ALW208" s="922"/>
      <c r="ALX208" s="922"/>
      <c r="ALY208" s="922"/>
      <c r="ALZ208" s="922"/>
      <c r="AMA208" s="922"/>
      <c r="AMB208" s="922"/>
      <c r="AMC208" s="922"/>
      <c r="AMD208" s="922"/>
      <c r="AME208" s="922"/>
      <c r="AMF208" s="922"/>
      <c r="AMG208" s="922"/>
      <c r="AMH208" s="922"/>
      <c r="AMI208" s="922"/>
      <c r="AMJ208" s="922"/>
      <c r="AMK208" s="922"/>
      <c r="AML208" s="922"/>
      <c r="AMM208" s="922"/>
      <c r="AMN208" s="922"/>
      <c r="AMO208" s="922"/>
      <c r="AMP208" s="922"/>
      <c r="AMQ208" s="922"/>
      <c r="AMR208" s="922"/>
      <c r="AMS208" s="922"/>
      <c r="AMT208" s="922"/>
      <c r="AMU208" s="922"/>
      <c r="AMV208" s="922"/>
      <c r="AMW208" s="922"/>
      <c r="AMX208" s="922"/>
      <c r="AMY208" s="922"/>
      <c r="AMZ208" s="922"/>
      <c r="ANA208" s="922"/>
      <c r="ANB208" s="922"/>
      <c r="ANC208" s="922"/>
      <c r="AND208" s="922"/>
      <c r="ANE208" s="922"/>
      <c r="ANF208" s="922"/>
      <c r="ANG208" s="922"/>
      <c r="ANH208" s="922"/>
      <c r="ANI208" s="922"/>
      <c r="ANJ208" s="922"/>
      <c r="ANK208" s="922"/>
      <c r="ANL208" s="922"/>
      <c r="ANM208" s="922"/>
      <c r="ANN208" s="922"/>
      <c r="ANO208" s="922"/>
      <c r="ANP208" s="922"/>
      <c r="ANQ208" s="922"/>
      <c r="ANR208" s="922"/>
      <c r="ANS208" s="922"/>
      <c r="ANT208" s="922"/>
      <c r="ANU208" s="922"/>
      <c r="ANV208" s="922"/>
      <c r="ANW208" s="922"/>
      <c r="ANX208" s="922"/>
      <c r="ANY208" s="922"/>
      <c r="ANZ208" s="922"/>
      <c r="AOA208" s="922"/>
      <c r="AOB208" s="922"/>
      <c r="AOC208" s="922"/>
      <c r="AOD208" s="922"/>
      <c r="AOE208" s="922"/>
      <c r="AOF208" s="922"/>
      <c r="AOG208" s="922"/>
      <c r="AOH208" s="922"/>
      <c r="AOI208" s="922"/>
      <c r="AOJ208" s="922"/>
      <c r="AOK208" s="922"/>
      <c r="AOL208" s="922"/>
      <c r="AOM208" s="922"/>
      <c r="AON208" s="922"/>
      <c r="AOO208" s="922"/>
      <c r="AOP208" s="922"/>
      <c r="AOQ208" s="922"/>
      <c r="AOR208" s="922"/>
      <c r="AOS208" s="922"/>
      <c r="AOT208" s="922"/>
      <c r="AOU208" s="922"/>
      <c r="AOV208" s="922"/>
      <c r="AOW208" s="922"/>
      <c r="AOX208" s="922"/>
      <c r="AOY208" s="922"/>
      <c r="AOZ208" s="922"/>
      <c r="APA208" s="922"/>
      <c r="APB208" s="922"/>
      <c r="APC208" s="922"/>
      <c r="APD208" s="922"/>
      <c r="APE208" s="922"/>
      <c r="APF208" s="922"/>
      <c r="APG208" s="922"/>
      <c r="APH208" s="922"/>
      <c r="API208" s="922"/>
      <c r="APJ208" s="922"/>
      <c r="APK208" s="922"/>
      <c r="APL208" s="922"/>
      <c r="APM208" s="922"/>
      <c r="APN208" s="922"/>
      <c r="APO208" s="922"/>
      <c r="APP208" s="922"/>
      <c r="APQ208" s="922"/>
      <c r="APR208" s="922"/>
      <c r="APS208" s="922"/>
      <c r="APT208" s="922"/>
      <c r="APU208" s="922"/>
      <c r="APV208" s="922"/>
      <c r="APW208" s="922"/>
      <c r="APX208" s="922"/>
      <c r="APY208" s="922"/>
      <c r="APZ208" s="922"/>
      <c r="AQA208" s="922"/>
      <c r="AQB208" s="922"/>
      <c r="AQC208" s="922"/>
      <c r="AQD208" s="922"/>
      <c r="AQE208" s="922"/>
      <c r="AQF208" s="922"/>
      <c r="AQG208" s="922"/>
      <c r="AQH208" s="922"/>
      <c r="AQI208" s="922"/>
      <c r="AQJ208" s="922"/>
      <c r="AQK208" s="922"/>
      <c r="AQL208" s="922"/>
      <c r="AQM208" s="922"/>
      <c r="AQN208" s="922"/>
      <c r="AQO208" s="922"/>
      <c r="AQP208" s="922"/>
      <c r="AQQ208" s="922"/>
      <c r="AQR208" s="922"/>
      <c r="AQS208" s="922"/>
      <c r="AQT208" s="922"/>
      <c r="AQU208" s="922"/>
      <c r="AQV208" s="922"/>
      <c r="AQW208" s="922"/>
      <c r="AQX208" s="922"/>
      <c r="AQY208" s="922"/>
      <c r="AQZ208" s="922"/>
      <c r="ARA208" s="922"/>
      <c r="ARB208" s="922"/>
      <c r="ARC208" s="922"/>
      <c r="ARD208" s="922"/>
      <c r="ARE208" s="922"/>
      <c r="ARF208" s="922"/>
      <c r="ARG208" s="922"/>
      <c r="ARH208" s="922"/>
      <c r="ARI208" s="922"/>
      <c r="ARJ208" s="922"/>
      <c r="ARK208" s="922"/>
      <c r="ARL208" s="922"/>
      <c r="ARM208" s="922"/>
      <c r="ARN208" s="922"/>
      <c r="ARO208" s="922"/>
      <c r="ARP208" s="922"/>
      <c r="ARQ208" s="922"/>
      <c r="ARR208" s="922"/>
      <c r="ARS208" s="922"/>
      <c r="ART208" s="922"/>
      <c r="ARU208" s="922"/>
      <c r="ARV208" s="922"/>
      <c r="ARW208" s="922"/>
      <c r="ARX208" s="922"/>
      <c r="ARY208" s="922"/>
      <c r="ARZ208" s="922"/>
      <c r="ASA208" s="922"/>
      <c r="ASB208" s="922"/>
      <c r="ASC208" s="922"/>
    </row>
    <row r="209" spans="20:1173" hidden="1">
      <c r="T209" s="922"/>
      <c r="AN209" s="922"/>
      <c r="AO209" s="922"/>
      <c r="AP209" s="922"/>
      <c r="AQ209" s="922"/>
      <c r="AR209" s="922"/>
      <c r="AS209" s="922"/>
      <c r="AT209" s="922"/>
      <c r="AU209" s="922"/>
      <c r="AV209" s="922"/>
      <c r="AW209" s="922"/>
      <c r="AX209" s="922"/>
      <c r="AY209" s="922"/>
      <c r="AZ209" s="922"/>
      <c r="BA209" s="922"/>
      <c r="BB209" s="922"/>
      <c r="BC209" s="922"/>
      <c r="BD209" s="922"/>
      <c r="BE209" s="922"/>
      <c r="BF209" s="922"/>
      <c r="BG209" s="922"/>
      <c r="BH209" s="922"/>
      <c r="BI209" s="922"/>
      <c r="BJ209" s="922"/>
      <c r="BK209" s="922"/>
      <c r="BL209" s="922"/>
      <c r="BM209" s="922"/>
      <c r="BN209" s="922"/>
      <c r="BO209" s="922"/>
      <c r="BP209" s="922"/>
      <c r="BQ209" s="922"/>
      <c r="BR209" s="922"/>
      <c r="BS209" s="922"/>
      <c r="BT209" s="922"/>
      <c r="BU209" s="922"/>
      <c r="BV209" s="922"/>
      <c r="BW209" s="922"/>
      <c r="BX209" s="922"/>
      <c r="BY209" s="922"/>
      <c r="BZ209" s="922"/>
      <c r="CA209" s="922"/>
      <c r="CB209" s="922"/>
      <c r="CC209" s="922"/>
      <c r="CD209" s="922"/>
      <c r="CE209" s="922"/>
      <c r="CF209" s="922"/>
      <c r="CG209" s="922"/>
      <c r="CH209" s="922"/>
      <c r="CI209" s="922"/>
      <c r="CJ209" s="922"/>
      <c r="CK209" s="922"/>
      <c r="CL209" s="922"/>
      <c r="CM209" s="922"/>
      <c r="CN209" s="922"/>
      <c r="CO209" s="922"/>
      <c r="CP209" s="922"/>
      <c r="CQ209" s="922"/>
      <c r="CR209" s="922"/>
      <c r="CS209" s="922"/>
      <c r="CT209" s="922"/>
      <c r="CU209" s="922"/>
      <c r="CV209" s="922"/>
      <c r="CW209" s="922"/>
      <c r="CX209" s="922"/>
      <c r="CY209" s="922"/>
      <c r="CZ209" s="922"/>
      <c r="DA209" s="922"/>
      <c r="DB209" s="922"/>
      <c r="DC209" s="922"/>
      <c r="DD209" s="922"/>
      <c r="DE209" s="922"/>
      <c r="DF209" s="922"/>
      <c r="DG209" s="922"/>
      <c r="DH209" s="922"/>
      <c r="DI209" s="922"/>
      <c r="DJ209" s="922"/>
      <c r="DK209" s="922"/>
      <c r="DL209" s="922"/>
      <c r="DM209" s="922"/>
      <c r="DN209" s="922"/>
      <c r="DO209" s="922"/>
      <c r="DP209" s="922"/>
      <c r="DQ209" s="922"/>
      <c r="DR209" s="922"/>
      <c r="DS209" s="922"/>
      <c r="DT209" s="922"/>
      <c r="DU209" s="922"/>
      <c r="DV209" s="922"/>
      <c r="DW209" s="922"/>
      <c r="DX209" s="922"/>
      <c r="DY209" s="922"/>
      <c r="DZ209" s="922"/>
      <c r="EA209" s="922"/>
      <c r="EB209" s="922"/>
      <c r="EC209" s="922"/>
      <c r="ED209" s="922"/>
      <c r="EE209" s="922"/>
      <c r="EF209" s="922"/>
      <c r="EG209" s="922"/>
      <c r="EH209" s="922"/>
      <c r="EI209" s="922"/>
      <c r="EJ209" s="922"/>
      <c r="EK209" s="922"/>
      <c r="EL209" s="922"/>
      <c r="EM209" s="922"/>
      <c r="EN209" s="922"/>
      <c r="EO209" s="922"/>
      <c r="EP209" s="922"/>
      <c r="EQ209" s="922"/>
      <c r="ER209" s="922"/>
      <c r="ES209" s="922"/>
      <c r="ET209" s="922"/>
      <c r="EU209" s="922"/>
      <c r="EV209" s="922"/>
      <c r="EW209" s="922"/>
      <c r="EX209" s="922"/>
      <c r="EY209" s="922"/>
      <c r="EZ209" s="922"/>
      <c r="FA209" s="922"/>
      <c r="FB209" s="922"/>
      <c r="FC209" s="922"/>
      <c r="FD209" s="922"/>
      <c r="FE209" s="922"/>
      <c r="FF209" s="922"/>
      <c r="FG209" s="922"/>
      <c r="FH209" s="922"/>
      <c r="FI209" s="922"/>
      <c r="FJ209" s="922"/>
      <c r="FK209" s="922"/>
      <c r="FL209" s="922"/>
      <c r="FM209" s="922"/>
      <c r="FN209" s="922"/>
      <c r="FO209" s="922"/>
      <c r="FP209" s="922"/>
      <c r="FQ209" s="922"/>
      <c r="FR209" s="922"/>
      <c r="FS209" s="922"/>
      <c r="FT209" s="922"/>
      <c r="FU209" s="922"/>
      <c r="FV209" s="922"/>
      <c r="FW209" s="922"/>
      <c r="FX209" s="922"/>
      <c r="FY209" s="922"/>
      <c r="FZ209" s="922"/>
      <c r="GA209" s="922"/>
      <c r="GB209" s="922"/>
      <c r="GC209" s="922"/>
      <c r="GD209" s="922"/>
      <c r="GE209" s="922"/>
      <c r="GF209" s="922"/>
      <c r="GG209" s="922"/>
      <c r="GH209" s="922"/>
      <c r="GI209" s="922"/>
      <c r="GJ209" s="922"/>
      <c r="GK209" s="922"/>
      <c r="GL209" s="922"/>
      <c r="GM209" s="922"/>
      <c r="GN209" s="922"/>
      <c r="GO209" s="922"/>
      <c r="GP209" s="922"/>
      <c r="GQ209" s="922"/>
      <c r="GR209" s="922"/>
      <c r="GS209" s="922"/>
      <c r="GT209" s="922"/>
      <c r="GU209" s="922"/>
      <c r="GV209" s="922"/>
      <c r="GW209" s="922"/>
      <c r="GX209" s="922"/>
      <c r="GY209" s="922"/>
      <c r="GZ209" s="922"/>
      <c r="HA209" s="922"/>
      <c r="HB209" s="922"/>
      <c r="HC209" s="922"/>
      <c r="HD209" s="922"/>
      <c r="HE209" s="922"/>
      <c r="HF209" s="922"/>
      <c r="HG209" s="922"/>
      <c r="HH209" s="922"/>
      <c r="HI209" s="922"/>
      <c r="HJ209" s="922"/>
      <c r="HK209" s="922"/>
      <c r="HL209" s="922"/>
      <c r="HM209" s="922"/>
      <c r="HN209" s="922"/>
      <c r="HO209" s="922"/>
      <c r="HP209" s="922"/>
      <c r="HQ209" s="922"/>
      <c r="HR209" s="922"/>
      <c r="HS209" s="922"/>
      <c r="HT209" s="922"/>
      <c r="HU209" s="922"/>
      <c r="HV209" s="922"/>
      <c r="HW209" s="922"/>
      <c r="HX209" s="922"/>
      <c r="HY209" s="922"/>
      <c r="HZ209" s="922"/>
      <c r="IA209" s="922"/>
      <c r="IB209" s="922"/>
      <c r="IC209" s="922"/>
      <c r="ID209" s="922"/>
      <c r="IE209" s="922"/>
      <c r="IF209" s="922"/>
      <c r="IG209" s="922"/>
      <c r="IH209" s="922"/>
      <c r="II209" s="922"/>
      <c r="IJ209" s="922"/>
      <c r="IK209" s="922"/>
      <c r="IL209" s="922"/>
      <c r="IM209" s="922"/>
      <c r="IN209" s="922"/>
      <c r="IO209" s="922"/>
      <c r="IP209" s="922"/>
      <c r="IQ209" s="922"/>
      <c r="IR209" s="922"/>
      <c r="IS209" s="922"/>
      <c r="IT209" s="922"/>
      <c r="IU209" s="922"/>
      <c r="IV209" s="922"/>
      <c r="IW209" s="922"/>
      <c r="IX209" s="922"/>
      <c r="IY209" s="922"/>
      <c r="IZ209" s="922"/>
      <c r="JA209" s="922"/>
      <c r="JB209" s="922"/>
      <c r="JC209" s="922"/>
      <c r="JD209" s="922"/>
      <c r="JE209" s="922"/>
      <c r="JF209" s="922"/>
      <c r="JG209" s="922"/>
      <c r="JH209" s="922"/>
      <c r="JI209" s="922"/>
      <c r="JJ209" s="922"/>
      <c r="JK209" s="922"/>
      <c r="JL209" s="922"/>
      <c r="JM209" s="922"/>
      <c r="JN209" s="922"/>
      <c r="JO209" s="922"/>
      <c r="JP209" s="922"/>
      <c r="JQ209" s="922"/>
      <c r="JR209" s="922"/>
      <c r="JS209" s="922"/>
      <c r="JT209" s="922"/>
      <c r="JU209" s="922"/>
      <c r="JV209" s="922"/>
      <c r="JW209" s="922"/>
      <c r="JX209" s="922"/>
      <c r="JY209" s="922"/>
      <c r="JZ209" s="922"/>
      <c r="KA209" s="922"/>
      <c r="KB209" s="922"/>
      <c r="KC209" s="922"/>
      <c r="KD209" s="922"/>
      <c r="KE209" s="922"/>
      <c r="KF209" s="922"/>
      <c r="KG209" s="922"/>
      <c r="KH209" s="922"/>
      <c r="KI209" s="922"/>
      <c r="KJ209" s="922"/>
      <c r="KK209" s="922"/>
      <c r="KL209" s="922"/>
      <c r="KM209" s="922"/>
      <c r="KN209" s="922"/>
      <c r="KO209" s="922"/>
      <c r="KP209" s="922"/>
      <c r="KQ209" s="922"/>
      <c r="KR209" s="922"/>
      <c r="KS209" s="922"/>
      <c r="KT209" s="922"/>
      <c r="KU209" s="922"/>
      <c r="KV209" s="922"/>
      <c r="KW209" s="922"/>
      <c r="KX209" s="922"/>
      <c r="KY209" s="922"/>
      <c r="KZ209" s="922"/>
      <c r="LA209" s="922"/>
      <c r="LB209" s="922"/>
      <c r="LC209" s="922"/>
      <c r="LD209" s="922"/>
      <c r="LE209" s="922"/>
      <c r="LF209" s="922"/>
      <c r="LG209" s="922"/>
      <c r="LH209" s="922"/>
      <c r="LI209" s="922"/>
      <c r="LJ209" s="922"/>
      <c r="LK209" s="922"/>
      <c r="LL209" s="922"/>
      <c r="LM209" s="922"/>
      <c r="LN209" s="922"/>
      <c r="LO209" s="922"/>
      <c r="LP209" s="922"/>
      <c r="LQ209" s="922"/>
      <c r="LR209" s="922"/>
      <c r="LS209" s="922"/>
      <c r="LT209" s="922"/>
      <c r="LU209" s="922"/>
      <c r="LV209" s="922"/>
      <c r="LW209" s="922"/>
      <c r="LX209" s="922"/>
      <c r="LY209" s="922"/>
      <c r="LZ209" s="922"/>
      <c r="MA209" s="922"/>
      <c r="MB209" s="922"/>
      <c r="MC209" s="922"/>
      <c r="MD209" s="922"/>
      <c r="ME209" s="922"/>
      <c r="MF209" s="922"/>
      <c r="MG209" s="922"/>
      <c r="MH209" s="922"/>
      <c r="MI209" s="922"/>
      <c r="MJ209" s="922"/>
      <c r="MK209" s="922"/>
      <c r="ML209" s="922"/>
      <c r="MM209" s="922"/>
      <c r="MN209" s="922"/>
      <c r="MO209" s="922"/>
      <c r="MP209" s="922"/>
      <c r="MQ209" s="922"/>
      <c r="MR209" s="922"/>
      <c r="MS209" s="922"/>
      <c r="MT209" s="922"/>
      <c r="MU209" s="922"/>
      <c r="MV209" s="922"/>
      <c r="MW209" s="922"/>
      <c r="MX209" s="922"/>
      <c r="MY209" s="922"/>
      <c r="MZ209" s="922"/>
      <c r="NA209" s="922"/>
      <c r="NB209" s="922"/>
      <c r="NC209" s="922"/>
      <c r="ND209" s="922"/>
      <c r="NE209" s="922"/>
      <c r="NF209" s="922"/>
      <c r="NG209" s="922"/>
      <c r="NH209" s="922"/>
      <c r="NI209" s="922"/>
      <c r="NJ209" s="922"/>
      <c r="NK209" s="922"/>
      <c r="NL209" s="922"/>
      <c r="NM209" s="922"/>
      <c r="NN209" s="922"/>
      <c r="NO209" s="922"/>
      <c r="NP209" s="922"/>
      <c r="NQ209" s="922"/>
      <c r="NR209" s="922"/>
      <c r="NS209" s="922"/>
      <c r="NT209" s="922"/>
      <c r="NU209" s="922"/>
      <c r="NV209" s="922"/>
      <c r="NW209" s="922"/>
      <c r="NX209" s="922"/>
      <c r="NY209" s="922"/>
      <c r="NZ209" s="922"/>
      <c r="OA209" s="922"/>
      <c r="OB209" s="922"/>
      <c r="OC209" s="922"/>
      <c r="OD209" s="922"/>
      <c r="OE209" s="922"/>
      <c r="OF209" s="922"/>
      <c r="OG209" s="922"/>
      <c r="OH209" s="922"/>
      <c r="OI209" s="922"/>
      <c r="OJ209" s="922"/>
      <c r="OK209" s="922"/>
      <c r="OL209" s="922"/>
      <c r="OM209" s="922"/>
      <c r="ON209" s="922"/>
      <c r="OO209" s="922"/>
      <c r="OP209" s="922"/>
      <c r="OQ209" s="922"/>
      <c r="OR209" s="922"/>
      <c r="OS209" s="922"/>
      <c r="OT209" s="922"/>
      <c r="OU209" s="922"/>
      <c r="OV209" s="922"/>
      <c r="OW209" s="922"/>
      <c r="OX209" s="922"/>
      <c r="OY209" s="922"/>
      <c r="OZ209" s="922"/>
      <c r="PA209" s="922"/>
      <c r="PB209" s="922"/>
      <c r="PC209" s="922"/>
      <c r="PD209" s="922"/>
      <c r="PE209" s="922"/>
      <c r="PF209" s="922"/>
      <c r="PG209" s="922"/>
      <c r="PH209" s="922"/>
      <c r="PI209" s="922"/>
      <c r="PJ209" s="922"/>
      <c r="PK209" s="922"/>
      <c r="PL209" s="922"/>
      <c r="PM209" s="922"/>
      <c r="PN209" s="922"/>
      <c r="PO209" s="922"/>
      <c r="PP209" s="922"/>
      <c r="PQ209" s="922"/>
      <c r="PR209" s="922"/>
      <c r="PS209" s="922"/>
      <c r="PT209" s="922"/>
      <c r="PU209" s="922"/>
      <c r="PV209" s="922"/>
      <c r="PW209" s="922"/>
      <c r="PX209" s="922"/>
      <c r="PY209" s="922"/>
      <c r="PZ209" s="922"/>
      <c r="QA209" s="922"/>
      <c r="QB209" s="922"/>
      <c r="QC209" s="922"/>
      <c r="QD209" s="922"/>
      <c r="QE209" s="922"/>
      <c r="QF209" s="922"/>
      <c r="QG209" s="922"/>
      <c r="QH209" s="922"/>
      <c r="QI209" s="922"/>
      <c r="QJ209" s="922"/>
      <c r="QK209" s="922"/>
      <c r="QL209" s="922"/>
      <c r="QM209" s="922"/>
      <c r="QN209" s="922"/>
      <c r="QO209" s="922"/>
      <c r="QP209" s="922"/>
      <c r="QQ209" s="922"/>
      <c r="QR209" s="922"/>
      <c r="QS209" s="922"/>
      <c r="QT209" s="922"/>
      <c r="QU209" s="922"/>
      <c r="QV209" s="922"/>
      <c r="QW209" s="922"/>
      <c r="QX209" s="922"/>
      <c r="QY209" s="922"/>
      <c r="QZ209" s="922"/>
      <c r="RA209" s="922"/>
      <c r="RB209" s="922"/>
      <c r="RC209" s="922"/>
      <c r="RD209" s="922"/>
      <c r="RE209" s="922"/>
      <c r="RF209" s="922"/>
      <c r="RG209" s="922"/>
      <c r="RH209" s="922"/>
      <c r="RI209" s="922"/>
      <c r="RJ209" s="922"/>
      <c r="RK209" s="922"/>
      <c r="RL209" s="922"/>
      <c r="RM209" s="922"/>
      <c r="RN209" s="922"/>
      <c r="RO209" s="922"/>
      <c r="RP209" s="922"/>
      <c r="RQ209" s="922"/>
      <c r="RR209" s="922"/>
      <c r="RS209" s="922"/>
      <c r="RT209" s="922"/>
      <c r="RU209" s="922"/>
      <c r="RV209" s="922"/>
      <c r="RW209" s="922"/>
      <c r="RX209" s="922"/>
      <c r="RY209" s="922"/>
      <c r="RZ209" s="922"/>
      <c r="SA209" s="922"/>
      <c r="SB209" s="922"/>
      <c r="SC209" s="922"/>
      <c r="SD209" s="922"/>
      <c r="SE209" s="922"/>
      <c r="SF209" s="922"/>
      <c r="SG209" s="922"/>
      <c r="SH209" s="922"/>
      <c r="SI209" s="922"/>
      <c r="SJ209" s="922"/>
      <c r="SK209" s="922"/>
      <c r="SL209" s="922"/>
      <c r="SM209" s="922"/>
      <c r="SN209" s="922"/>
      <c r="SO209" s="922"/>
      <c r="SP209" s="922"/>
      <c r="SQ209" s="922"/>
      <c r="SR209" s="922"/>
      <c r="SS209" s="922"/>
      <c r="ST209" s="922"/>
      <c r="SU209" s="922"/>
      <c r="SV209" s="922"/>
      <c r="SW209" s="922"/>
      <c r="SX209" s="922"/>
      <c r="SY209" s="922"/>
      <c r="SZ209" s="922"/>
      <c r="TA209" s="922"/>
      <c r="TB209" s="922"/>
      <c r="TC209" s="922"/>
      <c r="TD209" s="922"/>
      <c r="TE209" s="922"/>
      <c r="TF209" s="922"/>
      <c r="TG209" s="922"/>
      <c r="TH209" s="922"/>
      <c r="TI209" s="922"/>
      <c r="TJ209" s="922"/>
      <c r="TK209" s="922"/>
      <c r="TL209" s="922"/>
      <c r="TM209" s="922"/>
      <c r="TN209" s="922"/>
      <c r="TO209" s="922"/>
      <c r="TP209" s="922"/>
      <c r="TQ209" s="922"/>
      <c r="TR209" s="922"/>
      <c r="TS209" s="922"/>
      <c r="TT209" s="922"/>
      <c r="TU209" s="922"/>
      <c r="TV209" s="922"/>
      <c r="TW209" s="922"/>
      <c r="TX209" s="922"/>
      <c r="TY209" s="922"/>
      <c r="TZ209" s="922"/>
      <c r="UA209" s="922"/>
      <c r="UB209" s="922"/>
      <c r="UC209" s="922"/>
      <c r="UD209" s="922"/>
      <c r="UE209" s="922"/>
      <c r="UF209" s="922"/>
      <c r="UG209" s="922"/>
      <c r="UH209" s="922"/>
      <c r="UI209" s="922"/>
      <c r="UJ209" s="922"/>
      <c r="UK209" s="922"/>
      <c r="UL209" s="922"/>
      <c r="UM209" s="922"/>
      <c r="UN209" s="922"/>
      <c r="UO209" s="922"/>
      <c r="UP209" s="922"/>
      <c r="UQ209" s="922"/>
      <c r="UR209" s="922"/>
      <c r="US209" s="922"/>
      <c r="UT209" s="922"/>
      <c r="UU209" s="922"/>
      <c r="UV209" s="922"/>
      <c r="UW209" s="922"/>
      <c r="UX209" s="922"/>
      <c r="UY209" s="922"/>
      <c r="UZ209" s="922"/>
      <c r="VA209" s="922"/>
      <c r="VB209" s="922"/>
      <c r="VC209" s="922"/>
      <c r="VD209" s="922"/>
      <c r="VE209" s="922"/>
      <c r="VF209" s="922"/>
      <c r="VG209" s="922"/>
      <c r="VH209" s="922"/>
      <c r="VI209" s="922"/>
      <c r="VJ209" s="922"/>
      <c r="VK209" s="922"/>
      <c r="VL209" s="922"/>
      <c r="VM209" s="922"/>
      <c r="VN209" s="922"/>
      <c r="VO209" s="922"/>
      <c r="VP209" s="922"/>
      <c r="VQ209" s="922"/>
      <c r="VR209" s="922"/>
      <c r="VS209" s="922"/>
      <c r="VT209" s="922"/>
      <c r="VU209" s="922"/>
      <c r="VV209" s="922"/>
      <c r="VW209" s="922"/>
      <c r="VX209" s="922"/>
      <c r="VY209" s="922"/>
      <c r="VZ209" s="922"/>
      <c r="WA209" s="922"/>
      <c r="WB209" s="922"/>
      <c r="WC209" s="922"/>
      <c r="WD209" s="922"/>
      <c r="WE209" s="922"/>
      <c r="WF209" s="922"/>
      <c r="WG209" s="922"/>
      <c r="WH209" s="922"/>
      <c r="WI209" s="922"/>
      <c r="WJ209" s="922"/>
      <c r="WK209" s="922"/>
      <c r="WL209" s="922"/>
      <c r="WM209" s="922"/>
      <c r="WN209" s="922"/>
      <c r="WO209" s="922"/>
      <c r="WP209" s="922"/>
      <c r="WQ209" s="922"/>
      <c r="WR209" s="922"/>
      <c r="WS209" s="922"/>
      <c r="WT209" s="922"/>
      <c r="WU209" s="922"/>
      <c r="WV209" s="922"/>
      <c r="WW209" s="922"/>
      <c r="WX209" s="922"/>
      <c r="WY209" s="922"/>
      <c r="WZ209" s="922"/>
      <c r="XA209" s="922"/>
      <c r="XB209" s="922"/>
      <c r="XC209" s="922"/>
      <c r="XD209" s="922"/>
      <c r="XE209" s="922"/>
      <c r="XF209" s="922"/>
      <c r="XG209" s="922"/>
      <c r="XH209" s="922"/>
      <c r="XI209" s="922"/>
      <c r="XJ209" s="922"/>
      <c r="XK209" s="922"/>
      <c r="XL209" s="922"/>
      <c r="XM209" s="922"/>
      <c r="XN209" s="922"/>
      <c r="XO209" s="922"/>
      <c r="XP209" s="922"/>
      <c r="XQ209" s="922"/>
      <c r="XR209" s="922"/>
      <c r="XS209" s="922"/>
      <c r="XT209" s="922"/>
      <c r="XU209" s="922"/>
      <c r="XV209" s="922"/>
      <c r="XW209" s="922"/>
      <c r="XX209" s="922"/>
      <c r="XY209" s="922"/>
      <c r="XZ209" s="922"/>
      <c r="YA209" s="922"/>
      <c r="YB209" s="922"/>
      <c r="YC209" s="922"/>
      <c r="YD209" s="922"/>
      <c r="YE209" s="922"/>
      <c r="YF209" s="922"/>
      <c r="YG209" s="922"/>
      <c r="YH209" s="922"/>
      <c r="YI209" s="922"/>
      <c r="YJ209" s="922"/>
      <c r="YK209" s="922"/>
      <c r="YL209" s="922"/>
      <c r="YM209" s="922"/>
      <c r="YN209" s="922"/>
      <c r="YO209" s="922"/>
      <c r="YP209" s="922"/>
      <c r="YQ209" s="922"/>
      <c r="YR209" s="922"/>
      <c r="YS209" s="922"/>
      <c r="YT209" s="922"/>
      <c r="YU209" s="922"/>
      <c r="YV209" s="922"/>
      <c r="YW209" s="922"/>
      <c r="YX209" s="922"/>
      <c r="YY209" s="922"/>
      <c r="YZ209" s="922"/>
      <c r="ZA209" s="922"/>
      <c r="ZB209" s="922"/>
      <c r="ZC209" s="922"/>
      <c r="ZD209" s="922"/>
      <c r="ZE209" s="922"/>
      <c r="ZF209" s="922"/>
      <c r="ZG209" s="922"/>
      <c r="ZH209" s="922"/>
      <c r="ZI209" s="922"/>
      <c r="ZJ209" s="922"/>
      <c r="ZK209" s="922"/>
      <c r="ZL209" s="922"/>
      <c r="ZM209" s="922"/>
      <c r="ZN209" s="922"/>
      <c r="ZO209" s="922"/>
      <c r="ZP209" s="922"/>
      <c r="ZQ209" s="922"/>
      <c r="ZR209" s="922"/>
      <c r="ZS209" s="922"/>
      <c r="ZT209" s="922"/>
      <c r="ZU209" s="922"/>
      <c r="ZV209" s="922"/>
      <c r="ZW209" s="922"/>
      <c r="ZX209" s="922"/>
      <c r="ZY209" s="922"/>
      <c r="ZZ209" s="922"/>
      <c r="AAA209" s="922"/>
      <c r="AAB209" s="922"/>
      <c r="AAC209" s="922"/>
      <c r="AAD209" s="922"/>
      <c r="AAE209" s="922"/>
      <c r="AAF209" s="922"/>
      <c r="AAG209" s="922"/>
      <c r="AAH209" s="922"/>
      <c r="AAI209" s="922"/>
      <c r="AAJ209" s="922"/>
      <c r="AAK209" s="922"/>
      <c r="AAL209" s="922"/>
      <c r="AAM209" s="922"/>
      <c r="AAN209" s="922"/>
      <c r="AAO209" s="922"/>
      <c r="AAP209" s="922"/>
      <c r="AAQ209" s="922"/>
      <c r="AAR209" s="922"/>
      <c r="AAS209" s="922"/>
      <c r="AAT209" s="922"/>
      <c r="AAU209" s="922"/>
      <c r="AAV209" s="922"/>
      <c r="AAW209" s="922"/>
      <c r="AAX209" s="922"/>
      <c r="AAY209" s="922"/>
      <c r="AAZ209" s="922"/>
      <c r="ABA209" s="922"/>
      <c r="ABB209" s="922"/>
      <c r="ABC209" s="922"/>
      <c r="ABD209" s="922"/>
      <c r="ABE209" s="922"/>
      <c r="ABF209" s="922"/>
      <c r="ABG209" s="922"/>
      <c r="ABH209" s="922"/>
      <c r="ABI209" s="922"/>
      <c r="ABJ209" s="922"/>
      <c r="ABK209" s="922"/>
      <c r="ABL209" s="922"/>
      <c r="ABM209" s="922"/>
      <c r="ABN209" s="922"/>
      <c r="ABO209" s="922"/>
      <c r="ABP209" s="922"/>
      <c r="ABQ209" s="922"/>
      <c r="ABR209" s="922"/>
      <c r="ABS209" s="922"/>
      <c r="ABT209" s="922"/>
      <c r="ABU209" s="922"/>
      <c r="ABV209" s="922"/>
      <c r="ABW209" s="922"/>
      <c r="ABX209" s="922"/>
      <c r="ABY209" s="922"/>
      <c r="ABZ209" s="922"/>
      <c r="ACA209" s="922"/>
      <c r="ACB209" s="922"/>
      <c r="ACC209" s="922"/>
      <c r="ACD209" s="922"/>
      <c r="ACE209" s="922"/>
      <c r="ACF209" s="922"/>
      <c r="ACG209" s="922"/>
      <c r="ACH209" s="922"/>
      <c r="ACI209" s="922"/>
      <c r="ACJ209" s="922"/>
      <c r="ACK209" s="922"/>
      <c r="ACL209" s="922"/>
      <c r="ACM209" s="922"/>
      <c r="ACN209" s="922"/>
      <c r="ACO209" s="922"/>
      <c r="ACP209" s="922"/>
      <c r="ACQ209" s="922"/>
      <c r="ACR209" s="922"/>
      <c r="ACS209" s="922"/>
      <c r="ACT209" s="922"/>
      <c r="ACU209" s="922"/>
      <c r="ACV209" s="922"/>
      <c r="ACW209" s="922"/>
      <c r="ACX209" s="922"/>
      <c r="ACY209" s="922"/>
      <c r="ACZ209" s="922"/>
      <c r="ADA209" s="922"/>
      <c r="ADB209" s="922"/>
      <c r="ADC209" s="922"/>
      <c r="ADD209" s="922"/>
      <c r="ADE209" s="922"/>
      <c r="ADF209" s="922"/>
      <c r="ADG209" s="922"/>
      <c r="ADH209" s="922"/>
      <c r="ADI209" s="922"/>
      <c r="ADJ209" s="922"/>
      <c r="ADK209" s="922"/>
      <c r="ADL209" s="922"/>
      <c r="ADM209" s="922"/>
      <c r="ADN209" s="922"/>
      <c r="ADO209" s="922"/>
      <c r="ADP209" s="922"/>
      <c r="ADQ209" s="922"/>
      <c r="ADR209" s="922"/>
      <c r="ADS209" s="922"/>
      <c r="ADT209" s="922"/>
      <c r="ADU209" s="922"/>
      <c r="ADV209" s="922"/>
      <c r="ADW209" s="922"/>
      <c r="ADX209" s="922"/>
      <c r="ADY209" s="922"/>
      <c r="ADZ209" s="922"/>
      <c r="AEA209" s="922"/>
      <c r="AEB209" s="922"/>
      <c r="AEC209" s="922"/>
      <c r="AED209" s="922"/>
      <c r="AEE209" s="922"/>
      <c r="AEF209" s="922"/>
      <c r="AEG209" s="922"/>
      <c r="AEH209" s="922"/>
      <c r="AEI209" s="922"/>
      <c r="AEJ209" s="922"/>
      <c r="AEK209" s="922"/>
      <c r="AEL209" s="922"/>
      <c r="AEM209" s="922"/>
      <c r="AEN209" s="922"/>
      <c r="AEO209" s="922"/>
      <c r="AEP209" s="922"/>
      <c r="AEQ209" s="922"/>
      <c r="AER209" s="922"/>
      <c r="AES209" s="922"/>
      <c r="AET209" s="922"/>
      <c r="AEU209" s="922"/>
      <c r="AEV209" s="922"/>
      <c r="AEW209" s="922"/>
      <c r="AEX209" s="922"/>
      <c r="AEY209" s="922"/>
      <c r="AEZ209" s="922"/>
      <c r="AFA209" s="922"/>
      <c r="AFB209" s="922"/>
      <c r="AFC209" s="922"/>
      <c r="AFD209" s="922"/>
      <c r="AFE209" s="922"/>
      <c r="AFF209" s="922"/>
      <c r="AFG209" s="922"/>
      <c r="AFH209" s="922"/>
      <c r="AFI209" s="922"/>
      <c r="AFJ209" s="922"/>
      <c r="AFK209" s="922"/>
      <c r="AFL209" s="922"/>
      <c r="AFM209" s="922"/>
      <c r="AFN209" s="922"/>
      <c r="AFO209" s="922"/>
      <c r="AFP209" s="922"/>
      <c r="AFQ209" s="922"/>
      <c r="AFR209" s="922"/>
      <c r="AFS209" s="922"/>
      <c r="AFT209" s="922"/>
      <c r="AFU209" s="922"/>
      <c r="AFV209" s="922"/>
      <c r="AFW209" s="922"/>
      <c r="AFX209" s="922"/>
      <c r="AFY209" s="922"/>
      <c r="AFZ209" s="922"/>
      <c r="AGA209" s="922"/>
      <c r="AGB209" s="922"/>
      <c r="AGC209" s="922"/>
      <c r="AGD209" s="922"/>
      <c r="AGE209" s="922"/>
      <c r="AGF209" s="922"/>
      <c r="AGG209" s="922"/>
      <c r="AGH209" s="922"/>
      <c r="AGI209" s="922"/>
      <c r="AGJ209" s="922"/>
      <c r="AGK209" s="922"/>
      <c r="AGL209" s="922"/>
      <c r="AGM209" s="922"/>
      <c r="AGN209" s="922"/>
      <c r="AGO209" s="922"/>
      <c r="AGP209" s="922"/>
      <c r="AGQ209" s="922"/>
      <c r="AGR209" s="922"/>
      <c r="AGS209" s="922"/>
      <c r="AGT209" s="922"/>
      <c r="AGU209" s="922"/>
      <c r="AGV209" s="922"/>
      <c r="AGW209" s="922"/>
      <c r="AGX209" s="922"/>
      <c r="AGY209" s="922"/>
      <c r="AGZ209" s="922"/>
      <c r="AHA209" s="922"/>
      <c r="AHB209" s="922"/>
      <c r="AHC209" s="922"/>
      <c r="AHD209" s="922"/>
      <c r="AHE209" s="922"/>
      <c r="AHF209" s="922"/>
      <c r="AHG209" s="922"/>
      <c r="AHH209" s="922"/>
      <c r="AHI209" s="922"/>
      <c r="AHJ209" s="922"/>
      <c r="AHK209" s="922"/>
      <c r="AHL209" s="922"/>
      <c r="AHM209" s="922"/>
      <c r="AHN209" s="922"/>
      <c r="AHO209" s="922"/>
      <c r="AHP209" s="922"/>
      <c r="AHQ209" s="922"/>
      <c r="AHR209" s="922"/>
      <c r="AHS209" s="922"/>
      <c r="AHT209" s="922"/>
      <c r="AHU209" s="922"/>
      <c r="AHV209" s="922"/>
      <c r="AHW209" s="922"/>
      <c r="AHX209" s="922"/>
      <c r="AHY209" s="922"/>
      <c r="AHZ209" s="922"/>
      <c r="AIA209" s="922"/>
      <c r="AIB209" s="922"/>
      <c r="AIC209" s="922"/>
      <c r="AID209" s="922"/>
      <c r="AIE209" s="922"/>
      <c r="AIF209" s="922"/>
      <c r="AIG209" s="922"/>
      <c r="AIH209" s="922"/>
      <c r="AII209" s="922"/>
      <c r="AIJ209" s="922"/>
      <c r="AIK209" s="922"/>
      <c r="AIL209" s="922"/>
      <c r="AIM209" s="922"/>
      <c r="AIN209" s="922"/>
      <c r="AIO209" s="922"/>
      <c r="AIP209" s="922"/>
      <c r="AIQ209" s="922"/>
      <c r="AIR209" s="922"/>
      <c r="AIS209" s="922"/>
      <c r="AIT209" s="922"/>
      <c r="AIU209" s="922"/>
      <c r="AIV209" s="922"/>
      <c r="AIW209" s="922"/>
      <c r="AIX209" s="922"/>
      <c r="AIY209" s="922"/>
      <c r="AIZ209" s="922"/>
      <c r="AJA209" s="922"/>
      <c r="AJB209" s="922"/>
      <c r="AJC209" s="922"/>
      <c r="AJD209" s="922"/>
      <c r="AJE209" s="922"/>
      <c r="AJF209" s="922"/>
      <c r="AJG209" s="922"/>
      <c r="AJH209" s="922"/>
      <c r="AJI209" s="922"/>
      <c r="AJJ209" s="922"/>
      <c r="AJK209" s="922"/>
      <c r="AJL209" s="922"/>
      <c r="AJM209" s="922"/>
      <c r="AJN209" s="922"/>
      <c r="AJO209" s="922"/>
      <c r="AJP209" s="922"/>
      <c r="AJQ209" s="922"/>
      <c r="AJR209" s="922"/>
      <c r="AJS209" s="922"/>
      <c r="AJT209" s="922"/>
      <c r="AJU209" s="922"/>
      <c r="AJV209" s="922"/>
      <c r="AJW209" s="922"/>
      <c r="AJX209" s="922"/>
      <c r="AJY209" s="922"/>
      <c r="AJZ209" s="922"/>
      <c r="AKA209" s="922"/>
      <c r="AKB209" s="922"/>
      <c r="AKC209" s="922"/>
      <c r="AKD209" s="922"/>
      <c r="AKE209" s="922"/>
      <c r="AKF209" s="922"/>
      <c r="AKG209" s="922"/>
      <c r="AKH209" s="922"/>
      <c r="AKI209" s="922"/>
      <c r="AKJ209" s="922"/>
      <c r="AKK209" s="922"/>
      <c r="AKL209" s="922"/>
      <c r="AKM209" s="922"/>
      <c r="AKN209" s="922"/>
      <c r="AKO209" s="922"/>
      <c r="AKP209" s="922"/>
      <c r="AKQ209" s="922"/>
      <c r="AKR209" s="922"/>
      <c r="AKS209" s="922"/>
      <c r="AKT209" s="922"/>
      <c r="AKU209" s="922"/>
      <c r="AKV209" s="922"/>
      <c r="AKW209" s="922"/>
      <c r="AKX209" s="922"/>
      <c r="AKY209" s="922"/>
      <c r="AKZ209" s="922"/>
      <c r="ALA209" s="922"/>
      <c r="ALB209" s="922"/>
      <c r="ALC209" s="922"/>
      <c r="ALD209" s="922"/>
      <c r="ALE209" s="922"/>
      <c r="ALF209" s="922"/>
      <c r="ALG209" s="922"/>
      <c r="ALH209" s="922"/>
      <c r="ALI209" s="922"/>
      <c r="ALJ209" s="922"/>
      <c r="ALK209" s="922"/>
      <c r="ALL209" s="922"/>
      <c r="ALM209" s="922"/>
      <c r="ALN209" s="922"/>
      <c r="ALO209" s="922"/>
      <c r="ALP209" s="922"/>
      <c r="ALQ209" s="922"/>
      <c r="ALR209" s="922"/>
      <c r="ALS209" s="922"/>
      <c r="ALT209" s="922"/>
      <c r="ALU209" s="922"/>
      <c r="ALV209" s="922"/>
      <c r="ALW209" s="922"/>
      <c r="ALX209" s="922"/>
      <c r="ALY209" s="922"/>
      <c r="ALZ209" s="922"/>
      <c r="AMA209" s="922"/>
      <c r="AMB209" s="922"/>
      <c r="AMC209" s="922"/>
      <c r="AMD209" s="922"/>
      <c r="AME209" s="922"/>
      <c r="AMF209" s="922"/>
      <c r="AMG209" s="922"/>
      <c r="AMH209" s="922"/>
      <c r="AMI209" s="922"/>
      <c r="AMJ209" s="922"/>
      <c r="AMK209" s="922"/>
      <c r="AML209" s="922"/>
      <c r="AMM209" s="922"/>
      <c r="AMN209" s="922"/>
      <c r="AMO209" s="922"/>
      <c r="AMP209" s="922"/>
      <c r="AMQ209" s="922"/>
      <c r="AMR209" s="922"/>
      <c r="AMS209" s="922"/>
      <c r="AMT209" s="922"/>
      <c r="AMU209" s="922"/>
      <c r="AMV209" s="922"/>
      <c r="AMW209" s="922"/>
      <c r="AMX209" s="922"/>
      <c r="AMY209" s="922"/>
      <c r="AMZ209" s="922"/>
      <c r="ANA209" s="922"/>
      <c r="ANB209" s="922"/>
      <c r="ANC209" s="922"/>
      <c r="AND209" s="922"/>
      <c r="ANE209" s="922"/>
      <c r="ANF209" s="922"/>
      <c r="ANG209" s="922"/>
      <c r="ANH209" s="922"/>
      <c r="ANI209" s="922"/>
      <c r="ANJ209" s="922"/>
      <c r="ANK209" s="922"/>
      <c r="ANL209" s="922"/>
      <c r="ANM209" s="922"/>
      <c r="ANN209" s="922"/>
      <c r="ANO209" s="922"/>
      <c r="ANP209" s="922"/>
      <c r="ANQ209" s="922"/>
      <c r="ANR209" s="922"/>
      <c r="ANS209" s="922"/>
      <c r="ANT209" s="922"/>
      <c r="ANU209" s="922"/>
      <c r="ANV209" s="922"/>
      <c r="ANW209" s="922"/>
      <c r="ANX209" s="922"/>
      <c r="ANY209" s="922"/>
      <c r="ANZ209" s="922"/>
      <c r="AOA209" s="922"/>
      <c r="AOB209" s="922"/>
      <c r="AOC209" s="922"/>
      <c r="AOD209" s="922"/>
      <c r="AOE209" s="922"/>
      <c r="AOF209" s="922"/>
      <c r="AOG209" s="922"/>
      <c r="AOH209" s="922"/>
      <c r="AOI209" s="922"/>
      <c r="AOJ209" s="922"/>
      <c r="AOK209" s="922"/>
      <c r="AOL209" s="922"/>
      <c r="AOM209" s="922"/>
      <c r="AON209" s="922"/>
      <c r="AOO209" s="922"/>
      <c r="AOP209" s="922"/>
      <c r="AOQ209" s="922"/>
      <c r="AOR209" s="922"/>
      <c r="AOS209" s="922"/>
      <c r="AOT209" s="922"/>
      <c r="AOU209" s="922"/>
      <c r="AOV209" s="922"/>
      <c r="AOW209" s="922"/>
      <c r="AOX209" s="922"/>
      <c r="AOY209" s="922"/>
      <c r="AOZ209" s="922"/>
      <c r="APA209" s="922"/>
      <c r="APB209" s="922"/>
      <c r="APC209" s="922"/>
      <c r="APD209" s="922"/>
      <c r="APE209" s="922"/>
      <c r="APF209" s="922"/>
      <c r="APG209" s="922"/>
      <c r="APH209" s="922"/>
      <c r="API209" s="922"/>
      <c r="APJ209" s="922"/>
      <c r="APK209" s="922"/>
      <c r="APL209" s="922"/>
      <c r="APM209" s="922"/>
      <c r="APN209" s="922"/>
      <c r="APO209" s="922"/>
      <c r="APP209" s="922"/>
      <c r="APQ209" s="922"/>
      <c r="APR209" s="922"/>
      <c r="APS209" s="922"/>
      <c r="APT209" s="922"/>
      <c r="APU209" s="922"/>
      <c r="APV209" s="922"/>
      <c r="APW209" s="922"/>
      <c r="APX209" s="922"/>
      <c r="APY209" s="922"/>
      <c r="APZ209" s="922"/>
      <c r="AQA209" s="922"/>
      <c r="AQB209" s="922"/>
      <c r="AQC209" s="922"/>
      <c r="AQD209" s="922"/>
      <c r="AQE209" s="922"/>
      <c r="AQF209" s="922"/>
      <c r="AQG209" s="922"/>
      <c r="AQH209" s="922"/>
      <c r="AQI209" s="922"/>
      <c r="AQJ209" s="922"/>
      <c r="AQK209" s="922"/>
      <c r="AQL209" s="922"/>
      <c r="AQM209" s="922"/>
      <c r="AQN209" s="922"/>
      <c r="AQO209" s="922"/>
      <c r="AQP209" s="922"/>
      <c r="AQQ209" s="922"/>
      <c r="AQR209" s="922"/>
      <c r="AQS209" s="922"/>
      <c r="AQT209" s="922"/>
      <c r="AQU209" s="922"/>
      <c r="AQV209" s="922"/>
      <c r="AQW209" s="922"/>
      <c r="AQX209" s="922"/>
      <c r="AQY209" s="922"/>
      <c r="AQZ209" s="922"/>
      <c r="ARA209" s="922"/>
      <c r="ARB209" s="922"/>
      <c r="ARC209" s="922"/>
      <c r="ARD209" s="922"/>
      <c r="ARE209" s="922"/>
      <c r="ARF209" s="922"/>
      <c r="ARG209" s="922"/>
      <c r="ARH209" s="922"/>
      <c r="ARI209" s="922"/>
      <c r="ARJ209" s="922"/>
      <c r="ARK209" s="922"/>
      <c r="ARL209" s="922"/>
      <c r="ARM209" s="922"/>
      <c r="ARN209" s="922"/>
      <c r="ARO209" s="922"/>
      <c r="ARP209" s="922"/>
      <c r="ARQ209" s="922"/>
      <c r="ARR209" s="922"/>
      <c r="ARS209" s="922"/>
      <c r="ART209" s="922"/>
      <c r="ARU209" s="922"/>
      <c r="ARV209" s="922"/>
      <c r="ARW209" s="922"/>
      <c r="ARX209" s="922"/>
      <c r="ARY209" s="922"/>
      <c r="ARZ209" s="922"/>
      <c r="ASA209" s="922"/>
      <c r="ASB209" s="922"/>
      <c r="ASC209" s="922"/>
    </row>
    <row r="210" spans="20:1173" hidden="1">
      <c r="T210" s="922"/>
      <c r="AN210" s="922"/>
      <c r="AO210" s="922"/>
      <c r="AP210" s="922"/>
      <c r="AQ210" s="922"/>
      <c r="AR210" s="922"/>
      <c r="AS210" s="922"/>
      <c r="AT210" s="922"/>
      <c r="AU210" s="922"/>
      <c r="AV210" s="922"/>
      <c r="AW210" s="922"/>
      <c r="AX210" s="922"/>
      <c r="AY210" s="922"/>
      <c r="AZ210" s="922"/>
      <c r="BA210" s="922"/>
      <c r="BB210" s="922"/>
      <c r="BC210" s="922"/>
      <c r="BD210" s="922"/>
      <c r="BE210" s="922"/>
      <c r="BF210" s="922"/>
      <c r="BG210" s="922"/>
      <c r="BH210" s="922"/>
      <c r="BI210" s="922"/>
      <c r="BJ210" s="922"/>
      <c r="BK210" s="922"/>
      <c r="BL210" s="922"/>
      <c r="BM210" s="922"/>
      <c r="BN210" s="922"/>
      <c r="BO210" s="922"/>
      <c r="BP210" s="922"/>
      <c r="BQ210" s="922"/>
      <c r="BR210" s="922"/>
      <c r="BS210" s="922"/>
      <c r="BT210" s="922"/>
      <c r="BU210" s="922"/>
      <c r="BV210" s="922"/>
      <c r="BW210" s="922"/>
      <c r="BX210" s="922"/>
      <c r="BY210" s="922"/>
      <c r="BZ210" s="922"/>
      <c r="CA210" s="922"/>
      <c r="CB210" s="922"/>
      <c r="CC210" s="922"/>
      <c r="CD210" s="922"/>
      <c r="CE210" s="922"/>
      <c r="CF210" s="922"/>
      <c r="CG210" s="922"/>
      <c r="CH210" s="922"/>
      <c r="CI210" s="922"/>
      <c r="CJ210" s="922"/>
      <c r="CK210" s="922"/>
      <c r="CL210" s="922"/>
      <c r="CM210" s="922"/>
      <c r="CN210" s="922"/>
      <c r="CO210" s="922"/>
      <c r="CP210" s="922"/>
      <c r="CQ210" s="922"/>
      <c r="CR210" s="922"/>
      <c r="CS210" s="922"/>
      <c r="CT210" s="922"/>
      <c r="CU210" s="922"/>
      <c r="CV210" s="922"/>
      <c r="CW210" s="922"/>
      <c r="CX210" s="922"/>
      <c r="CY210" s="922"/>
      <c r="CZ210" s="922"/>
      <c r="DA210" s="922"/>
      <c r="DB210" s="922"/>
      <c r="DC210" s="922"/>
      <c r="DD210" s="922"/>
      <c r="DE210" s="922"/>
      <c r="DF210" s="922"/>
      <c r="DG210" s="922"/>
      <c r="DH210" s="922"/>
      <c r="DI210" s="922"/>
      <c r="DJ210" s="922"/>
      <c r="DK210" s="922"/>
      <c r="DL210" s="922"/>
      <c r="DM210" s="922"/>
      <c r="DN210" s="922"/>
      <c r="DO210" s="922"/>
      <c r="DP210" s="922"/>
      <c r="DQ210" s="922"/>
      <c r="DR210" s="922"/>
      <c r="DS210" s="922"/>
      <c r="DT210" s="922"/>
      <c r="DU210" s="922"/>
      <c r="DV210" s="922"/>
      <c r="DW210" s="922"/>
      <c r="DX210" s="922"/>
      <c r="DY210" s="922"/>
      <c r="DZ210" s="922"/>
      <c r="EA210" s="922"/>
      <c r="EB210" s="922"/>
      <c r="EC210" s="922"/>
      <c r="ED210" s="922"/>
      <c r="EE210" s="922"/>
      <c r="EF210" s="922"/>
      <c r="EG210" s="922"/>
      <c r="EH210" s="922"/>
      <c r="EI210" s="922"/>
      <c r="EJ210" s="922"/>
      <c r="EK210" s="922"/>
      <c r="EL210" s="922"/>
      <c r="EM210" s="922"/>
      <c r="EN210" s="922"/>
      <c r="EO210" s="922"/>
      <c r="EP210" s="922"/>
      <c r="EQ210" s="922"/>
      <c r="ER210" s="922"/>
      <c r="ES210" s="922"/>
      <c r="ET210" s="922"/>
      <c r="EU210" s="922"/>
      <c r="EV210" s="922"/>
      <c r="EW210" s="922"/>
      <c r="EX210" s="922"/>
      <c r="EY210" s="922"/>
      <c r="EZ210" s="922"/>
      <c r="FA210" s="922"/>
      <c r="FB210" s="922"/>
      <c r="FC210" s="922"/>
      <c r="FD210" s="922"/>
      <c r="FE210" s="922"/>
      <c r="FF210" s="922"/>
      <c r="FG210" s="922"/>
      <c r="FH210" s="922"/>
      <c r="FI210" s="922"/>
      <c r="FJ210" s="922"/>
      <c r="FK210" s="922"/>
      <c r="FL210" s="922"/>
      <c r="FM210" s="922"/>
      <c r="FN210" s="922"/>
      <c r="FO210" s="922"/>
      <c r="FP210" s="922"/>
      <c r="FQ210" s="922"/>
      <c r="FR210" s="922"/>
      <c r="FS210" s="922"/>
      <c r="FT210" s="922"/>
      <c r="FU210" s="922"/>
      <c r="FV210" s="922"/>
      <c r="FW210" s="922"/>
      <c r="FX210" s="922"/>
      <c r="FY210" s="922"/>
      <c r="FZ210" s="922"/>
      <c r="GA210" s="922"/>
      <c r="GB210" s="922"/>
      <c r="GC210" s="922"/>
      <c r="GD210" s="922"/>
      <c r="GE210" s="922"/>
      <c r="GF210" s="922"/>
      <c r="GG210" s="922"/>
      <c r="GH210" s="922"/>
      <c r="GI210" s="922"/>
      <c r="GJ210" s="922"/>
      <c r="GK210" s="922"/>
      <c r="GL210" s="922"/>
      <c r="GM210" s="922"/>
      <c r="GN210" s="922"/>
      <c r="GO210" s="922"/>
      <c r="GP210" s="922"/>
      <c r="GQ210" s="922"/>
      <c r="GR210" s="922"/>
      <c r="GS210" s="922"/>
      <c r="GT210" s="922"/>
      <c r="GU210" s="922"/>
      <c r="GV210" s="922"/>
      <c r="GW210" s="922"/>
      <c r="GX210" s="922"/>
      <c r="GY210" s="922"/>
      <c r="GZ210" s="922"/>
      <c r="HA210" s="922"/>
      <c r="HB210" s="922"/>
      <c r="HC210" s="922"/>
      <c r="HD210" s="922"/>
      <c r="HE210" s="922"/>
      <c r="HF210" s="922"/>
      <c r="HG210" s="922"/>
      <c r="HH210" s="922"/>
      <c r="HI210" s="922"/>
      <c r="HJ210" s="922"/>
      <c r="HK210" s="922"/>
      <c r="HL210" s="922"/>
      <c r="HM210" s="922"/>
      <c r="HN210" s="922"/>
      <c r="HO210" s="922"/>
      <c r="HP210" s="922"/>
      <c r="HQ210" s="922"/>
      <c r="HR210" s="922"/>
      <c r="HS210" s="922"/>
      <c r="HT210" s="922"/>
      <c r="HU210" s="922"/>
      <c r="HV210" s="922"/>
      <c r="HW210" s="922"/>
      <c r="HX210" s="922"/>
      <c r="HY210" s="922"/>
      <c r="HZ210" s="922"/>
      <c r="IA210" s="922"/>
      <c r="IB210" s="922"/>
      <c r="IC210" s="922"/>
      <c r="ID210" s="922"/>
      <c r="IE210" s="922"/>
      <c r="IF210" s="922"/>
      <c r="IG210" s="922"/>
      <c r="IH210" s="922"/>
      <c r="II210" s="922"/>
      <c r="IJ210" s="922"/>
      <c r="IK210" s="922"/>
      <c r="IL210" s="922"/>
      <c r="IM210" s="922"/>
      <c r="IN210" s="922"/>
      <c r="IO210" s="922"/>
      <c r="IP210" s="922"/>
      <c r="IQ210" s="922"/>
      <c r="IR210" s="922"/>
      <c r="IS210" s="922"/>
      <c r="IT210" s="922"/>
      <c r="IU210" s="922"/>
      <c r="IV210" s="922"/>
      <c r="IW210" s="922"/>
      <c r="IX210" s="922"/>
      <c r="IY210" s="922"/>
      <c r="IZ210" s="922"/>
      <c r="JA210" s="922"/>
      <c r="JB210" s="922"/>
      <c r="JC210" s="922"/>
      <c r="JD210" s="922"/>
      <c r="JE210" s="922"/>
      <c r="JF210" s="922"/>
      <c r="JG210" s="922"/>
      <c r="JH210" s="922"/>
      <c r="JI210" s="922"/>
      <c r="JJ210" s="922"/>
      <c r="JK210" s="922"/>
      <c r="JL210" s="922"/>
      <c r="JM210" s="922"/>
      <c r="JN210" s="922"/>
      <c r="JO210" s="922"/>
      <c r="JP210" s="922"/>
      <c r="JQ210" s="922"/>
      <c r="JR210" s="922"/>
      <c r="JS210" s="922"/>
      <c r="JT210" s="922"/>
      <c r="JU210" s="922"/>
      <c r="JV210" s="922"/>
      <c r="JW210" s="922"/>
      <c r="JX210" s="922"/>
      <c r="JY210" s="922"/>
      <c r="JZ210" s="922"/>
      <c r="KA210" s="922"/>
      <c r="KB210" s="922"/>
      <c r="KC210" s="922"/>
      <c r="KD210" s="922"/>
      <c r="KE210" s="922"/>
      <c r="KF210" s="922"/>
      <c r="KG210" s="922"/>
      <c r="KH210" s="922"/>
      <c r="KI210" s="922"/>
      <c r="KJ210" s="922"/>
      <c r="KK210" s="922"/>
      <c r="KL210" s="922"/>
      <c r="KM210" s="922"/>
      <c r="KN210" s="922"/>
      <c r="KO210" s="922"/>
      <c r="KP210" s="922"/>
      <c r="KQ210" s="922"/>
      <c r="KR210" s="922"/>
      <c r="KS210" s="922"/>
      <c r="KT210" s="922"/>
      <c r="KU210" s="922"/>
      <c r="KV210" s="922"/>
      <c r="KW210" s="922"/>
      <c r="KX210" s="922"/>
      <c r="KY210" s="922"/>
      <c r="KZ210" s="922"/>
      <c r="LA210" s="922"/>
      <c r="LB210" s="922"/>
      <c r="LC210" s="922"/>
      <c r="LD210" s="922"/>
      <c r="LE210" s="922"/>
      <c r="LF210" s="922"/>
      <c r="LG210" s="922"/>
      <c r="LH210" s="922"/>
      <c r="LI210" s="922"/>
      <c r="LJ210" s="922"/>
      <c r="LK210" s="922"/>
      <c r="LL210" s="922"/>
      <c r="LM210" s="922"/>
      <c r="LN210" s="922"/>
      <c r="LO210" s="922"/>
      <c r="LP210" s="922"/>
      <c r="LQ210" s="922"/>
      <c r="LR210" s="922"/>
      <c r="LS210" s="922"/>
      <c r="LT210" s="922"/>
      <c r="LU210" s="922"/>
      <c r="LV210" s="922"/>
      <c r="LW210" s="922"/>
      <c r="LX210" s="922"/>
      <c r="LY210" s="922"/>
      <c r="LZ210" s="922"/>
      <c r="MA210" s="922"/>
      <c r="MB210" s="922"/>
      <c r="MC210" s="922"/>
      <c r="MD210" s="922"/>
      <c r="ME210" s="922"/>
      <c r="MF210" s="922"/>
      <c r="MG210" s="922"/>
      <c r="MH210" s="922"/>
      <c r="MI210" s="922"/>
      <c r="MJ210" s="922"/>
      <c r="MK210" s="922"/>
      <c r="ML210" s="922"/>
      <c r="MM210" s="922"/>
      <c r="MN210" s="922"/>
      <c r="MO210" s="922"/>
      <c r="MP210" s="922"/>
      <c r="MQ210" s="922"/>
      <c r="MR210" s="922"/>
      <c r="MS210" s="922"/>
      <c r="MT210" s="922"/>
      <c r="MU210" s="922"/>
      <c r="MV210" s="922"/>
      <c r="MW210" s="922"/>
      <c r="MX210" s="922"/>
      <c r="MY210" s="922"/>
      <c r="MZ210" s="922"/>
      <c r="NA210" s="922"/>
      <c r="NB210" s="922"/>
      <c r="NC210" s="922"/>
      <c r="ND210" s="922"/>
      <c r="NE210" s="922"/>
      <c r="NF210" s="922"/>
      <c r="NG210" s="922"/>
      <c r="NH210" s="922"/>
      <c r="NI210" s="922"/>
      <c r="NJ210" s="922"/>
      <c r="NK210" s="922"/>
      <c r="NL210" s="922"/>
      <c r="NM210" s="922"/>
      <c r="NN210" s="922"/>
      <c r="NO210" s="922"/>
      <c r="NP210" s="922"/>
      <c r="NQ210" s="922"/>
      <c r="NR210" s="922"/>
      <c r="NS210" s="922"/>
      <c r="NT210" s="922"/>
      <c r="NU210" s="922"/>
      <c r="NV210" s="922"/>
      <c r="NW210" s="922"/>
      <c r="NX210" s="922"/>
      <c r="NY210" s="922"/>
      <c r="NZ210" s="922"/>
      <c r="OA210" s="922"/>
      <c r="OB210" s="922"/>
      <c r="OC210" s="922"/>
      <c r="OD210" s="922"/>
      <c r="OE210" s="922"/>
      <c r="OF210" s="922"/>
      <c r="OG210" s="922"/>
      <c r="OH210" s="922"/>
      <c r="OI210" s="922"/>
      <c r="OJ210" s="922"/>
      <c r="OK210" s="922"/>
      <c r="OL210" s="922"/>
      <c r="OM210" s="922"/>
      <c r="ON210" s="922"/>
      <c r="OO210" s="922"/>
      <c r="OP210" s="922"/>
      <c r="OQ210" s="922"/>
      <c r="OR210" s="922"/>
      <c r="OS210" s="922"/>
      <c r="OT210" s="922"/>
      <c r="OU210" s="922"/>
      <c r="OV210" s="922"/>
      <c r="OW210" s="922"/>
      <c r="OX210" s="922"/>
      <c r="OY210" s="922"/>
      <c r="OZ210" s="922"/>
      <c r="PA210" s="922"/>
      <c r="PB210" s="922"/>
      <c r="PC210" s="922"/>
      <c r="PD210" s="922"/>
      <c r="PE210" s="922"/>
      <c r="PF210" s="922"/>
      <c r="PG210" s="922"/>
      <c r="PH210" s="922"/>
      <c r="PI210" s="922"/>
      <c r="PJ210" s="922"/>
      <c r="PK210" s="922"/>
      <c r="PL210" s="922"/>
      <c r="PM210" s="922"/>
      <c r="PN210" s="922"/>
      <c r="PO210" s="922"/>
      <c r="PP210" s="922"/>
      <c r="PQ210" s="922"/>
      <c r="PR210" s="922"/>
      <c r="PS210" s="922"/>
      <c r="PT210" s="922"/>
      <c r="PU210" s="922"/>
      <c r="PV210" s="922"/>
      <c r="PW210" s="922"/>
      <c r="PX210" s="922"/>
      <c r="PY210" s="922"/>
      <c r="PZ210" s="922"/>
      <c r="QA210" s="922"/>
      <c r="QB210" s="922"/>
      <c r="QC210" s="922"/>
      <c r="QD210" s="922"/>
      <c r="QE210" s="922"/>
      <c r="QF210" s="922"/>
      <c r="QG210" s="922"/>
      <c r="QH210" s="922"/>
      <c r="QI210" s="922"/>
      <c r="QJ210" s="922"/>
      <c r="QK210" s="922"/>
      <c r="QL210" s="922"/>
      <c r="QM210" s="922"/>
      <c r="QN210" s="922"/>
      <c r="QO210" s="922"/>
      <c r="QP210" s="922"/>
      <c r="QQ210" s="922"/>
      <c r="QR210" s="922"/>
      <c r="QS210" s="922"/>
      <c r="QT210" s="922"/>
      <c r="QU210" s="922"/>
      <c r="QV210" s="922"/>
      <c r="QW210" s="922"/>
      <c r="QX210" s="922"/>
      <c r="QY210" s="922"/>
      <c r="QZ210" s="922"/>
      <c r="RA210" s="922"/>
      <c r="RB210" s="922"/>
      <c r="RC210" s="922"/>
      <c r="RD210" s="922"/>
      <c r="RE210" s="922"/>
      <c r="RF210" s="922"/>
      <c r="RG210" s="922"/>
      <c r="RH210" s="922"/>
      <c r="RI210" s="922"/>
      <c r="RJ210" s="922"/>
      <c r="RK210" s="922"/>
      <c r="RL210" s="922"/>
      <c r="RM210" s="922"/>
      <c r="RN210" s="922"/>
      <c r="RO210" s="922"/>
      <c r="RP210" s="922"/>
      <c r="RQ210" s="922"/>
      <c r="RR210" s="922"/>
      <c r="RS210" s="922"/>
      <c r="RT210" s="922"/>
      <c r="RU210" s="922"/>
      <c r="RV210" s="922"/>
      <c r="RW210" s="922"/>
      <c r="RX210" s="922"/>
      <c r="RY210" s="922"/>
      <c r="RZ210" s="922"/>
      <c r="SA210" s="922"/>
      <c r="SB210" s="922"/>
      <c r="SC210" s="922"/>
      <c r="SD210" s="922"/>
      <c r="SE210" s="922"/>
      <c r="SF210" s="922"/>
      <c r="SG210" s="922"/>
      <c r="SH210" s="922"/>
      <c r="SI210" s="922"/>
      <c r="SJ210" s="922"/>
      <c r="SK210" s="922"/>
      <c r="SL210" s="922"/>
      <c r="SM210" s="922"/>
      <c r="SN210" s="922"/>
      <c r="SO210" s="922"/>
      <c r="SP210" s="922"/>
      <c r="SQ210" s="922"/>
      <c r="SR210" s="922"/>
      <c r="SS210" s="922"/>
      <c r="ST210" s="922"/>
      <c r="SU210" s="922"/>
      <c r="SV210" s="922"/>
      <c r="SW210" s="922"/>
      <c r="SX210" s="922"/>
      <c r="SY210" s="922"/>
      <c r="SZ210" s="922"/>
      <c r="TA210" s="922"/>
      <c r="TB210" s="922"/>
      <c r="TC210" s="922"/>
      <c r="TD210" s="922"/>
      <c r="TE210" s="922"/>
      <c r="TF210" s="922"/>
      <c r="TG210" s="922"/>
      <c r="TH210" s="922"/>
      <c r="TI210" s="922"/>
      <c r="TJ210" s="922"/>
      <c r="TK210" s="922"/>
      <c r="TL210" s="922"/>
      <c r="TM210" s="922"/>
      <c r="TN210" s="922"/>
      <c r="TO210" s="922"/>
      <c r="TP210" s="922"/>
      <c r="TQ210" s="922"/>
      <c r="TR210" s="922"/>
      <c r="TS210" s="922"/>
      <c r="TT210" s="922"/>
      <c r="TU210" s="922"/>
      <c r="TV210" s="922"/>
      <c r="TW210" s="922"/>
      <c r="TX210" s="922"/>
      <c r="TY210" s="922"/>
      <c r="TZ210" s="922"/>
      <c r="UA210" s="922"/>
      <c r="UB210" s="922"/>
      <c r="UC210" s="922"/>
      <c r="UD210" s="922"/>
      <c r="UE210" s="922"/>
      <c r="UF210" s="922"/>
      <c r="UG210" s="922"/>
      <c r="UH210" s="922"/>
      <c r="UI210" s="922"/>
      <c r="UJ210" s="922"/>
      <c r="UK210" s="922"/>
      <c r="UL210" s="922"/>
      <c r="UM210" s="922"/>
      <c r="UN210" s="922"/>
      <c r="UO210" s="922"/>
      <c r="UP210" s="922"/>
      <c r="UQ210" s="922"/>
      <c r="UR210" s="922"/>
      <c r="US210" s="922"/>
      <c r="UT210" s="922"/>
      <c r="UU210" s="922"/>
      <c r="UV210" s="922"/>
      <c r="UW210" s="922"/>
      <c r="UX210" s="922"/>
      <c r="UY210" s="922"/>
      <c r="UZ210" s="922"/>
      <c r="VA210" s="922"/>
      <c r="VB210" s="922"/>
      <c r="VC210" s="922"/>
      <c r="VD210" s="922"/>
      <c r="VE210" s="922"/>
      <c r="VF210" s="922"/>
      <c r="VG210" s="922"/>
      <c r="VH210" s="922"/>
      <c r="VI210" s="922"/>
      <c r="VJ210" s="922"/>
      <c r="VK210" s="922"/>
      <c r="VL210" s="922"/>
      <c r="VM210" s="922"/>
      <c r="VN210" s="922"/>
      <c r="VO210" s="922"/>
      <c r="VP210" s="922"/>
      <c r="VQ210" s="922"/>
      <c r="VR210" s="922"/>
      <c r="VS210" s="922"/>
      <c r="VT210" s="922"/>
      <c r="VU210" s="922"/>
      <c r="VV210" s="922"/>
      <c r="VW210" s="922"/>
      <c r="VX210" s="922"/>
      <c r="VY210" s="922"/>
      <c r="VZ210" s="922"/>
      <c r="WA210" s="922"/>
      <c r="WB210" s="922"/>
      <c r="WC210" s="922"/>
      <c r="WD210" s="922"/>
      <c r="WE210" s="922"/>
      <c r="WF210" s="922"/>
      <c r="WG210" s="922"/>
      <c r="WH210" s="922"/>
      <c r="WI210" s="922"/>
      <c r="WJ210" s="922"/>
      <c r="WK210" s="922"/>
      <c r="WL210" s="922"/>
      <c r="WM210" s="922"/>
      <c r="WN210" s="922"/>
      <c r="WO210" s="922"/>
      <c r="WP210" s="922"/>
      <c r="WQ210" s="922"/>
      <c r="WR210" s="922"/>
      <c r="WS210" s="922"/>
      <c r="WT210" s="922"/>
      <c r="WU210" s="922"/>
      <c r="WV210" s="922"/>
      <c r="WW210" s="922"/>
      <c r="WX210" s="922"/>
      <c r="WY210" s="922"/>
      <c r="WZ210" s="922"/>
      <c r="XA210" s="922"/>
      <c r="XB210" s="922"/>
      <c r="XC210" s="922"/>
      <c r="XD210" s="922"/>
      <c r="XE210" s="922"/>
      <c r="XF210" s="922"/>
      <c r="XG210" s="922"/>
      <c r="XH210" s="922"/>
      <c r="XI210" s="922"/>
      <c r="XJ210" s="922"/>
      <c r="XK210" s="922"/>
      <c r="XL210" s="922"/>
      <c r="XM210" s="922"/>
      <c r="XN210" s="922"/>
      <c r="XO210" s="922"/>
      <c r="XP210" s="922"/>
      <c r="XQ210" s="922"/>
      <c r="XR210" s="922"/>
      <c r="XS210" s="922"/>
      <c r="XT210" s="922"/>
      <c r="XU210" s="922"/>
      <c r="XV210" s="922"/>
      <c r="XW210" s="922"/>
      <c r="XX210" s="922"/>
      <c r="XY210" s="922"/>
      <c r="XZ210" s="922"/>
      <c r="YA210" s="922"/>
      <c r="YB210" s="922"/>
      <c r="YC210" s="922"/>
      <c r="YD210" s="922"/>
      <c r="YE210" s="922"/>
      <c r="YF210" s="922"/>
      <c r="YG210" s="922"/>
      <c r="YH210" s="922"/>
      <c r="YI210" s="922"/>
      <c r="YJ210" s="922"/>
      <c r="YK210" s="922"/>
      <c r="YL210" s="922"/>
      <c r="YM210" s="922"/>
      <c r="YN210" s="922"/>
      <c r="YO210" s="922"/>
      <c r="YP210" s="922"/>
      <c r="YQ210" s="922"/>
      <c r="YR210" s="922"/>
      <c r="YS210" s="922"/>
      <c r="YT210" s="922"/>
      <c r="YU210" s="922"/>
      <c r="YV210" s="922"/>
      <c r="YW210" s="922"/>
      <c r="YX210" s="922"/>
      <c r="YY210" s="922"/>
      <c r="YZ210" s="922"/>
      <c r="ZA210" s="922"/>
      <c r="ZB210" s="922"/>
      <c r="ZC210" s="922"/>
      <c r="ZD210" s="922"/>
      <c r="ZE210" s="922"/>
      <c r="ZF210" s="922"/>
      <c r="ZG210" s="922"/>
      <c r="ZH210" s="922"/>
      <c r="ZI210" s="922"/>
      <c r="ZJ210" s="922"/>
      <c r="ZK210" s="922"/>
      <c r="ZL210" s="922"/>
      <c r="ZM210" s="922"/>
      <c r="ZN210" s="922"/>
      <c r="ZO210" s="922"/>
      <c r="ZP210" s="922"/>
      <c r="ZQ210" s="922"/>
      <c r="ZR210" s="922"/>
      <c r="ZS210" s="922"/>
      <c r="ZT210" s="922"/>
      <c r="ZU210" s="922"/>
      <c r="ZV210" s="922"/>
      <c r="ZW210" s="922"/>
      <c r="ZX210" s="922"/>
      <c r="ZY210" s="922"/>
      <c r="ZZ210" s="922"/>
      <c r="AAA210" s="922"/>
      <c r="AAB210" s="922"/>
      <c r="AAC210" s="922"/>
      <c r="AAD210" s="922"/>
      <c r="AAE210" s="922"/>
      <c r="AAF210" s="922"/>
      <c r="AAG210" s="922"/>
      <c r="AAH210" s="922"/>
      <c r="AAI210" s="922"/>
      <c r="AAJ210" s="922"/>
      <c r="AAK210" s="922"/>
      <c r="AAL210" s="922"/>
      <c r="AAM210" s="922"/>
      <c r="AAN210" s="922"/>
      <c r="AAO210" s="922"/>
      <c r="AAP210" s="922"/>
      <c r="AAQ210" s="922"/>
      <c r="AAR210" s="922"/>
      <c r="AAS210" s="922"/>
      <c r="AAT210" s="922"/>
      <c r="AAU210" s="922"/>
      <c r="AAV210" s="922"/>
      <c r="AAW210" s="922"/>
      <c r="AAX210" s="922"/>
      <c r="AAY210" s="922"/>
      <c r="AAZ210" s="922"/>
      <c r="ABA210" s="922"/>
      <c r="ABB210" s="922"/>
      <c r="ABC210" s="922"/>
      <c r="ABD210" s="922"/>
      <c r="ABE210" s="922"/>
      <c r="ABF210" s="922"/>
      <c r="ABG210" s="922"/>
      <c r="ABH210" s="922"/>
      <c r="ABI210" s="922"/>
      <c r="ABJ210" s="922"/>
      <c r="ABK210" s="922"/>
      <c r="ABL210" s="922"/>
      <c r="ABM210" s="922"/>
      <c r="ABN210" s="922"/>
      <c r="ABO210" s="922"/>
      <c r="ABP210" s="922"/>
      <c r="ABQ210" s="922"/>
      <c r="ABR210" s="922"/>
      <c r="ABS210" s="922"/>
      <c r="ABT210" s="922"/>
      <c r="ABU210" s="922"/>
      <c r="ABV210" s="922"/>
      <c r="ABW210" s="922"/>
      <c r="ABX210" s="922"/>
      <c r="ABY210" s="922"/>
      <c r="ABZ210" s="922"/>
      <c r="ACA210" s="922"/>
      <c r="ACB210" s="922"/>
      <c r="ACC210" s="922"/>
      <c r="ACD210" s="922"/>
      <c r="ACE210" s="922"/>
      <c r="ACF210" s="922"/>
      <c r="ACG210" s="922"/>
      <c r="ACH210" s="922"/>
      <c r="ACI210" s="922"/>
      <c r="ACJ210" s="922"/>
      <c r="ACK210" s="922"/>
      <c r="ACL210" s="922"/>
      <c r="ACM210" s="922"/>
      <c r="ACN210" s="922"/>
      <c r="ACO210" s="922"/>
      <c r="ACP210" s="922"/>
      <c r="ACQ210" s="922"/>
      <c r="ACR210" s="922"/>
      <c r="ACS210" s="922"/>
      <c r="ACT210" s="922"/>
      <c r="ACU210" s="922"/>
      <c r="ACV210" s="922"/>
      <c r="ACW210" s="922"/>
      <c r="ACX210" s="922"/>
      <c r="ACY210" s="922"/>
      <c r="ACZ210" s="922"/>
      <c r="ADA210" s="922"/>
      <c r="ADB210" s="922"/>
      <c r="ADC210" s="922"/>
      <c r="ADD210" s="922"/>
      <c r="ADE210" s="922"/>
      <c r="ADF210" s="922"/>
      <c r="ADG210" s="922"/>
      <c r="ADH210" s="922"/>
      <c r="ADI210" s="922"/>
      <c r="ADJ210" s="922"/>
      <c r="ADK210" s="922"/>
      <c r="ADL210" s="922"/>
      <c r="ADM210" s="922"/>
      <c r="ADN210" s="922"/>
      <c r="ADO210" s="922"/>
      <c r="ADP210" s="922"/>
      <c r="ADQ210" s="922"/>
      <c r="ADR210" s="922"/>
      <c r="ADS210" s="922"/>
      <c r="ADT210" s="922"/>
      <c r="ADU210" s="922"/>
      <c r="ADV210" s="922"/>
      <c r="ADW210" s="922"/>
      <c r="ADX210" s="922"/>
      <c r="ADY210" s="922"/>
      <c r="ADZ210" s="922"/>
      <c r="AEA210" s="922"/>
      <c r="AEB210" s="922"/>
      <c r="AEC210" s="922"/>
      <c r="AED210" s="922"/>
      <c r="AEE210" s="922"/>
      <c r="AEF210" s="922"/>
      <c r="AEG210" s="922"/>
      <c r="AEH210" s="922"/>
      <c r="AEI210" s="922"/>
      <c r="AEJ210" s="922"/>
      <c r="AEK210" s="922"/>
      <c r="AEL210" s="922"/>
      <c r="AEM210" s="922"/>
      <c r="AEN210" s="922"/>
      <c r="AEO210" s="922"/>
      <c r="AEP210" s="922"/>
      <c r="AEQ210" s="922"/>
      <c r="AER210" s="922"/>
      <c r="AES210" s="922"/>
      <c r="AET210" s="922"/>
      <c r="AEU210" s="922"/>
      <c r="AEV210" s="922"/>
      <c r="AEW210" s="922"/>
      <c r="AEX210" s="922"/>
      <c r="AEY210" s="922"/>
      <c r="AEZ210" s="922"/>
      <c r="AFA210" s="922"/>
      <c r="AFB210" s="922"/>
      <c r="AFC210" s="922"/>
      <c r="AFD210" s="922"/>
      <c r="AFE210" s="922"/>
      <c r="AFF210" s="922"/>
      <c r="AFG210" s="922"/>
      <c r="AFH210" s="922"/>
      <c r="AFI210" s="922"/>
      <c r="AFJ210" s="922"/>
      <c r="AFK210" s="922"/>
      <c r="AFL210" s="922"/>
      <c r="AFM210" s="922"/>
      <c r="AFN210" s="922"/>
      <c r="AFO210" s="922"/>
      <c r="AFP210" s="922"/>
      <c r="AFQ210" s="922"/>
      <c r="AFR210" s="922"/>
      <c r="AFS210" s="922"/>
      <c r="AFT210" s="922"/>
      <c r="AFU210" s="922"/>
      <c r="AFV210" s="922"/>
      <c r="AFW210" s="922"/>
      <c r="AFX210" s="922"/>
      <c r="AFY210" s="922"/>
      <c r="AFZ210" s="922"/>
      <c r="AGA210" s="922"/>
      <c r="AGB210" s="922"/>
      <c r="AGC210" s="922"/>
      <c r="AGD210" s="922"/>
      <c r="AGE210" s="922"/>
      <c r="AGF210" s="922"/>
      <c r="AGG210" s="922"/>
      <c r="AGH210" s="922"/>
      <c r="AGI210" s="922"/>
      <c r="AGJ210" s="922"/>
      <c r="AGK210" s="922"/>
      <c r="AGL210" s="922"/>
      <c r="AGM210" s="922"/>
      <c r="AGN210" s="922"/>
      <c r="AGO210" s="922"/>
      <c r="AGP210" s="922"/>
      <c r="AGQ210" s="922"/>
      <c r="AGR210" s="922"/>
      <c r="AGS210" s="922"/>
      <c r="AGT210" s="922"/>
      <c r="AGU210" s="922"/>
      <c r="AGV210" s="922"/>
      <c r="AGW210" s="922"/>
      <c r="AGX210" s="922"/>
      <c r="AGY210" s="922"/>
      <c r="AGZ210" s="922"/>
      <c r="AHA210" s="922"/>
      <c r="AHB210" s="922"/>
      <c r="AHC210" s="922"/>
      <c r="AHD210" s="922"/>
      <c r="AHE210" s="922"/>
      <c r="AHF210" s="922"/>
      <c r="AHG210" s="922"/>
      <c r="AHH210" s="922"/>
      <c r="AHI210" s="922"/>
      <c r="AHJ210" s="922"/>
      <c r="AHK210" s="922"/>
      <c r="AHL210" s="922"/>
      <c r="AHM210" s="922"/>
      <c r="AHN210" s="922"/>
      <c r="AHO210" s="922"/>
      <c r="AHP210" s="922"/>
      <c r="AHQ210" s="922"/>
      <c r="AHR210" s="922"/>
      <c r="AHS210" s="922"/>
      <c r="AHT210" s="922"/>
      <c r="AHU210" s="922"/>
      <c r="AHV210" s="922"/>
      <c r="AHW210" s="922"/>
      <c r="AHX210" s="922"/>
      <c r="AHY210" s="922"/>
      <c r="AHZ210" s="922"/>
      <c r="AIA210" s="922"/>
      <c r="AIB210" s="922"/>
      <c r="AIC210" s="922"/>
      <c r="AID210" s="922"/>
      <c r="AIE210" s="922"/>
      <c r="AIF210" s="922"/>
      <c r="AIG210" s="922"/>
      <c r="AIH210" s="922"/>
      <c r="AII210" s="922"/>
      <c r="AIJ210" s="922"/>
      <c r="AIK210" s="922"/>
      <c r="AIL210" s="922"/>
      <c r="AIM210" s="922"/>
      <c r="AIN210" s="922"/>
      <c r="AIO210" s="922"/>
      <c r="AIP210" s="922"/>
      <c r="AIQ210" s="922"/>
      <c r="AIR210" s="922"/>
      <c r="AIS210" s="922"/>
      <c r="AIT210" s="922"/>
      <c r="AIU210" s="922"/>
      <c r="AIV210" s="922"/>
      <c r="AIW210" s="922"/>
      <c r="AIX210" s="922"/>
      <c r="AIY210" s="922"/>
      <c r="AIZ210" s="922"/>
      <c r="AJA210" s="922"/>
      <c r="AJB210" s="922"/>
      <c r="AJC210" s="922"/>
      <c r="AJD210" s="922"/>
      <c r="AJE210" s="922"/>
      <c r="AJF210" s="922"/>
      <c r="AJG210" s="922"/>
      <c r="AJH210" s="922"/>
      <c r="AJI210" s="922"/>
      <c r="AJJ210" s="922"/>
      <c r="AJK210" s="922"/>
      <c r="AJL210" s="922"/>
      <c r="AJM210" s="922"/>
      <c r="AJN210" s="922"/>
      <c r="AJO210" s="922"/>
      <c r="AJP210" s="922"/>
      <c r="AJQ210" s="922"/>
      <c r="AJR210" s="922"/>
      <c r="AJS210" s="922"/>
      <c r="AJT210" s="922"/>
      <c r="AJU210" s="922"/>
      <c r="AJV210" s="922"/>
      <c r="AJW210" s="922"/>
      <c r="AJX210" s="922"/>
      <c r="AJY210" s="922"/>
      <c r="AJZ210" s="922"/>
      <c r="AKA210" s="922"/>
      <c r="AKB210" s="922"/>
      <c r="AKC210" s="922"/>
      <c r="AKD210" s="922"/>
      <c r="AKE210" s="922"/>
      <c r="AKF210" s="922"/>
      <c r="AKG210" s="922"/>
      <c r="AKH210" s="922"/>
      <c r="AKI210" s="922"/>
      <c r="AKJ210" s="922"/>
      <c r="AKK210" s="922"/>
      <c r="AKL210" s="922"/>
      <c r="AKM210" s="922"/>
      <c r="AKN210" s="922"/>
      <c r="AKO210" s="922"/>
      <c r="AKP210" s="922"/>
      <c r="AKQ210" s="922"/>
      <c r="AKR210" s="922"/>
      <c r="AKS210" s="922"/>
      <c r="AKT210" s="922"/>
      <c r="AKU210" s="922"/>
      <c r="AKV210" s="922"/>
      <c r="AKW210" s="922"/>
      <c r="AKX210" s="922"/>
      <c r="AKY210" s="922"/>
      <c r="AKZ210" s="922"/>
      <c r="ALA210" s="922"/>
      <c r="ALB210" s="922"/>
      <c r="ALC210" s="922"/>
      <c r="ALD210" s="922"/>
      <c r="ALE210" s="922"/>
      <c r="ALF210" s="922"/>
      <c r="ALG210" s="922"/>
      <c r="ALH210" s="922"/>
      <c r="ALI210" s="922"/>
      <c r="ALJ210" s="922"/>
      <c r="ALK210" s="922"/>
      <c r="ALL210" s="922"/>
      <c r="ALM210" s="922"/>
      <c r="ALN210" s="922"/>
      <c r="ALO210" s="922"/>
      <c r="ALP210" s="922"/>
      <c r="ALQ210" s="922"/>
      <c r="ALR210" s="922"/>
      <c r="ALS210" s="922"/>
      <c r="ALT210" s="922"/>
      <c r="ALU210" s="922"/>
      <c r="ALV210" s="922"/>
      <c r="ALW210" s="922"/>
      <c r="ALX210" s="922"/>
      <c r="ALY210" s="922"/>
      <c r="ALZ210" s="922"/>
      <c r="AMA210" s="922"/>
      <c r="AMB210" s="922"/>
      <c r="AMC210" s="922"/>
      <c r="AMD210" s="922"/>
      <c r="AME210" s="922"/>
      <c r="AMF210" s="922"/>
      <c r="AMG210" s="922"/>
      <c r="AMH210" s="922"/>
      <c r="AMI210" s="922"/>
      <c r="AMJ210" s="922"/>
      <c r="AMK210" s="922"/>
      <c r="AML210" s="922"/>
      <c r="AMM210" s="922"/>
      <c r="AMN210" s="922"/>
      <c r="AMO210" s="922"/>
      <c r="AMP210" s="922"/>
      <c r="AMQ210" s="922"/>
      <c r="AMR210" s="922"/>
      <c r="AMS210" s="922"/>
      <c r="AMT210" s="922"/>
      <c r="AMU210" s="922"/>
      <c r="AMV210" s="922"/>
      <c r="AMW210" s="922"/>
      <c r="AMX210" s="922"/>
      <c r="AMY210" s="922"/>
      <c r="AMZ210" s="922"/>
      <c r="ANA210" s="922"/>
      <c r="ANB210" s="922"/>
      <c r="ANC210" s="922"/>
      <c r="AND210" s="922"/>
      <c r="ANE210" s="922"/>
      <c r="ANF210" s="922"/>
      <c r="ANG210" s="922"/>
      <c r="ANH210" s="922"/>
      <c r="ANI210" s="922"/>
      <c r="ANJ210" s="922"/>
      <c r="ANK210" s="922"/>
      <c r="ANL210" s="922"/>
      <c r="ANM210" s="922"/>
      <c r="ANN210" s="922"/>
      <c r="ANO210" s="922"/>
      <c r="ANP210" s="922"/>
      <c r="ANQ210" s="922"/>
      <c r="ANR210" s="922"/>
      <c r="ANS210" s="922"/>
      <c r="ANT210" s="922"/>
      <c r="ANU210" s="922"/>
      <c r="ANV210" s="922"/>
      <c r="ANW210" s="922"/>
      <c r="ANX210" s="922"/>
      <c r="ANY210" s="922"/>
      <c r="ANZ210" s="922"/>
      <c r="AOA210" s="922"/>
      <c r="AOB210" s="922"/>
      <c r="AOC210" s="922"/>
      <c r="AOD210" s="922"/>
      <c r="AOE210" s="922"/>
      <c r="AOF210" s="922"/>
      <c r="AOG210" s="922"/>
      <c r="AOH210" s="922"/>
      <c r="AOI210" s="922"/>
      <c r="AOJ210" s="922"/>
      <c r="AOK210" s="922"/>
      <c r="AOL210" s="922"/>
      <c r="AOM210" s="922"/>
      <c r="AON210" s="922"/>
      <c r="AOO210" s="922"/>
      <c r="AOP210" s="922"/>
      <c r="AOQ210" s="922"/>
      <c r="AOR210" s="922"/>
      <c r="AOS210" s="922"/>
      <c r="AOT210" s="922"/>
      <c r="AOU210" s="922"/>
      <c r="AOV210" s="922"/>
      <c r="AOW210" s="922"/>
      <c r="AOX210" s="922"/>
      <c r="AOY210" s="922"/>
      <c r="AOZ210" s="922"/>
      <c r="APA210" s="922"/>
      <c r="APB210" s="922"/>
      <c r="APC210" s="922"/>
      <c r="APD210" s="922"/>
      <c r="APE210" s="922"/>
      <c r="APF210" s="922"/>
      <c r="APG210" s="922"/>
      <c r="APH210" s="922"/>
      <c r="API210" s="922"/>
      <c r="APJ210" s="922"/>
      <c r="APK210" s="922"/>
      <c r="APL210" s="922"/>
      <c r="APM210" s="922"/>
      <c r="APN210" s="922"/>
      <c r="APO210" s="922"/>
      <c r="APP210" s="922"/>
      <c r="APQ210" s="922"/>
      <c r="APR210" s="922"/>
      <c r="APS210" s="922"/>
      <c r="APT210" s="922"/>
      <c r="APU210" s="922"/>
      <c r="APV210" s="922"/>
      <c r="APW210" s="922"/>
      <c r="APX210" s="922"/>
      <c r="APY210" s="922"/>
      <c r="APZ210" s="922"/>
      <c r="AQA210" s="922"/>
      <c r="AQB210" s="922"/>
      <c r="AQC210" s="922"/>
      <c r="AQD210" s="922"/>
      <c r="AQE210" s="922"/>
      <c r="AQF210" s="922"/>
      <c r="AQG210" s="922"/>
      <c r="AQH210" s="922"/>
      <c r="AQI210" s="922"/>
      <c r="AQJ210" s="922"/>
      <c r="AQK210" s="922"/>
      <c r="AQL210" s="922"/>
      <c r="AQM210" s="922"/>
      <c r="AQN210" s="922"/>
      <c r="AQO210" s="922"/>
      <c r="AQP210" s="922"/>
      <c r="AQQ210" s="922"/>
      <c r="AQR210" s="922"/>
      <c r="AQS210" s="922"/>
      <c r="AQT210" s="922"/>
      <c r="AQU210" s="922"/>
      <c r="AQV210" s="922"/>
      <c r="AQW210" s="922"/>
      <c r="AQX210" s="922"/>
      <c r="AQY210" s="922"/>
      <c r="AQZ210" s="922"/>
      <c r="ARA210" s="922"/>
      <c r="ARB210" s="922"/>
      <c r="ARC210" s="922"/>
      <c r="ARD210" s="922"/>
      <c r="ARE210" s="922"/>
      <c r="ARF210" s="922"/>
      <c r="ARG210" s="922"/>
      <c r="ARH210" s="922"/>
      <c r="ARI210" s="922"/>
      <c r="ARJ210" s="922"/>
      <c r="ARK210" s="922"/>
      <c r="ARL210" s="922"/>
      <c r="ARM210" s="922"/>
      <c r="ARN210" s="922"/>
      <c r="ARO210" s="922"/>
      <c r="ARP210" s="922"/>
      <c r="ARQ210" s="922"/>
      <c r="ARR210" s="922"/>
      <c r="ARS210" s="922"/>
      <c r="ART210" s="922"/>
      <c r="ARU210" s="922"/>
      <c r="ARV210" s="922"/>
      <c r="ARW210" s="922"/>
      <c r="ARX210" s="922"/>
      <c r="ARY210" s="922"/>
      <c r="ARZ210" s="922"/>
      <c r="ASA210" s="922"/>
      <c r="ASB210" s="922"/>
      <c r="ASC210" s="922"/>
    </row>
    <row r="211" spans="20:1173" hidden="1">
      <c r="T211" s="922"/>
      <c r="AN211" s="922"/>
      <c r="AO211" s="922"/>
      <c r="AP211" s="922"/>
      <c r="AQ211" s="922"/>
      <c r="AR211" s="922"/>
      <c r="AS211" s="922"/>
      <c r="AT211" s="922"/>
      <c r="AU211" s="922"/>
      <c r="AV211" s="922"/>
      <c r="AW211" s="922"/>
      <c r="AX211" s="922"/>
      <c r="AY211" s="922"/>
      <c r="AZ211" s="922"/>
      <c r="BA211" s="922"/>
      <c r="BB211" s="922"/>
      <c r="BC211" s="922"/>
      <c r="BD211" s="922"/>
      <c r="BE211" s="922"/>
      <c r="BF211" s="922"/>
      <c r="BG211" s="922"/>
      <c r="BH211" s="922"/>
      <c r="BI211" s="922"/>
      <c r="BJ211" s="922"/>
      <c r="BK211" s="922"/>
      <c r="BL211" s="922"/>
      <c r="BM211" s="922"/>
      <c r="BN211" s="922"/>
      <c r="BO211" s="922"/>
      <c r="BP211" s="922"/>
      <c r="BQ211" s="922"/>
      <c r="BR211" s="922"/>
      <c r="BS211" s="922"/>
      <c r="BT211" s="922"/>
      <c r="BU211" s="922"/>
      <c r="BV211" s="922"/>
      <c r="BW211" s="922"/>
      <c r="BX211" s="922"/>
      <c r="BY211" s="922"/>
      <c r="BZ211" s="922"/>
      <c r="CA211" s="922"/>
      <c r="CB211" s="922"/>
      <c r="CC211" s="922"/>
      <c r="CD211" s="922"/>
      <c r="CE211" s="922"/>
      <c r="CF211" s="922"/>
      <c r="CG211" s="922"/>
      <c r="CH211" s="922"/>
      <c r="CI211" s="922"/>
      <c r="CJ211" s="922"/>
      <c r="CK211" s="922"/>
      <c r="CL211" s="922"/>
      <c r="CM211" s="922"/>
      <c r="CN211" s="922"/>
      <c r="CO211" s="922"/>
      <c r="CP211" s="922"/>
      <c r="CQ211" s="922"/>
      <c r="CR211" s="922"/>
      <c r="CS211" s="922"/>
      <c r="CT211" s="922"/>
      <c r="CU211" s="922"/>
      <c r="CV211" s="922"/>
      <c r="CW211" s="922"/>
      <c r="CX211" s="922"/>
      <c r="CY211" s="922"/>
      <c r="CZ211" s="922"/>
      <c r="DA211" s="922"/>
      <c r="DB211" s="922"/>
      <c r="DC211" s="922"/>
      <c r="DD211" s="922"/>
      <c r="DE211" s="922"/>
      <c r="DF211" s="922"/>
      <c r="DG211" s="922"/>
      <c r="DH211" s="922"/>
      <c r="DI211" s="922"/>
      <c r="DJ211" s="922"/>
      <c r="DK211" s="922"/>
      <c r="DL211" s="922"/>
      <c r="DM211" s="922"/>
      <c r="DN211" s="922"/>
      <c r="DO211" s="922"/>
      <c r="DP211" s="922"/>
      <c r="DQ211" s="922"/>
      <c r="DR211" s="922"/>
      <c r="DS211" s="922"/>
      <c r="DT211" s="922"/>
      <c r="DU211" s="922"/>
      <c r="DV211" s="922"/>
      <c r="DW211" s="922"/>
      <c r="DX211" s="922"/>
      <c r="DY211" s="922"/>
      <c r="DZ211" s="922"/>
      <c r="EA211" s="922"/>
      <c r="EB211" s="922"/>
      <c r="EC211" s="922"/>
      <c r="ED211" s="922"/>
      <c r="EE211" s="922"/>
      <c r="EF211" s="922"/>
      <c r="EG211" s="922"/>
      <c r="EH211" s="922"/>
      <c r="EI211" s="922"/>
      <c r="EJ211" s="922"/>
      <c r="EK211" s="922"/>
      <c r="EL211" s="922"/>
      <c r="EM211" s="922"/>
      <c r="EN211" s="922"/>
      <c r="EO211" s="922"/>
      <c r="EP211" s="922"/>
      <c r="EQ211" s="922"/>
      <c r="ER211" s="922"/>
      <c r="ES211" s="922"/>
      <c r="ET211" s="922"/>
      <c r="EU211" s="922"/>
      <c r="EV211" s="922"/>
      <c r="EW211" s="922"/>
      <c r="EX211" s="922"/>
      <c r="EY211" s="922"/>
      <c r="EZ211" s="922"/>
      <c r="FA211" s="922"/>
      <c r="FB211" s="922"/>
      <c r="FC211" s="922"/>
      <c r="FD211" s="922"/>
      <c r="FE211" s="922"/>
      <c r="FF211" s="922"/>
      <c r="FG211" s="922"/>
      <c r="FH211" s="922"/>
      <c r="FI211" s="922"/>
      <c r="FJ211" s="922"/>
      <c r="FK211" s="922"/>
      <c r="FL211" s="922"/>
      <c r="FM211" s="922"/>
      <c r="FN211" s="922"/>
      <c r="FO211" s="922"/>
      <c r="FP211" s="922"/>
      <c r="FQ211" s="922"/>
      <c r="FR211" s="922"/>
      <c r="FS211" s="922"/>
      <c r="FT211" s="922"/>
      <c r="FU211" s="922"/>
      <c r="FV211" s="922"/>
      <c r="FW211" s="922"/>
      <c r="FX211" s="922"/>
      <c r="FY211" s="922"/>
      <c r="FZ211" s="922"/>
      <c r="GA211" s="922"/>
      <c r="GB211" s="922"/>
      <c r="GC211" s="922"/>
      <c r="GD211" s="922"/>
      <c r="GE211" s="922"/>
      <c r="GF211" s="922"/>
      <c r="GG211" s="922"/>
      <c r="GH211" s="922"/>
      <c r="GI211" s="922"/>
      <c r="GJ211" s="922"/>
      <c r="GK211" s="922"/>
      <c r="GL211" s="922"/>
      <c r="GM211" s="922"/>
      <c r="GN211" s="922"/>
      <c r="GO211" s="922"/>
      <c r="GP211" s="922"/>
      <c r="GQ211" s="922"/>
      <c r="GR211" s="922"/>
      <c r="GS211" s="922"/>
      <c r="GT211" s="922"/>
      <c r="GU211" s="922"/>
      <c r="GV211" s="922"/>
      <c r="GW211" s="922"/>
      <c r="GX211" s="922"/>
      <c r="GY211" s="922"/>
      <c r="GZ211" s="922"/>
      <c r="HA211" s="922"/>
      <c r="HB211" s="922"/>
      <c r="HC211" s="922"/>
      <c r="HD211" s="922"/>
      <c r="HE211" s="922"/>
      <c r="HF211" s="922"/>
      <c r="HG211" s="922"/>
      <c r="HH211" s="922"/>
      <c r="HI211" s="922"/>
      <c r="HJ211" s="922"/>
      <c r="HK211" s="922"/>
      <c r="HL211" s="922"/>
      <c r="HM211" s="922"/>
      <c r="HN211" s="922"/>
      <c r="HO211" s="922"/>
      <c r="HP211" s="922"/>
      <c r="HQ211" s="922"/>
      <c r="HR211" s="922"/>
      <c r="HS211" s="922"/>
      <c r="HT211" s="922"/>
      <c r="HU211" s="922"/>
      <c r="HV211" s="922"/>
      <c r="HW211" s="922"/>
      <c r="HX211" s="922"/>
      <c r="HY211" s="922"/>
      <c r="HZ211" s="922"/>
      <c r="IA211" s="922"/>
      <c r="IB211" s="922"/>
      <c r="IC211" s="922"/>
      <c r="ID211" s="922"/>
      <c r="IE211" s="922"/>
      <c r="IF211" s="922"/>
      <c r="IG211" s="922"/>
      <c r="IH211" s="922"/>
      <c r="II211" s="922"/>
      <c r="IJ211" s="922"/>
      <c r="IK211" s="922"/>
      <c r="IL211" s="922"/>
      <c r="IM211" s="922"/>
      <c r="IN211" s="922"/>
      <c r="IO211" s="922"/>
      <c r="IP211" s="922"/>
      <c r="IQ211" s="922"/>
      <c r="IR211" s="922"/>
      <c r="IS211" s="922"/>
      <c r="IT211" s="922"/>
      <c r="IU211" s="922"/>
      <c r="IV211" s="922"/>
      <c r="IW211" s="922"/>
      <c r="IX211" s="922"/>
      <c r="IY211" s="922"/>
      <c r="IZ211" s="922"/>
      <c r="JA211" s="922"/>
      <c r="JB211" s="922"/>
      <c r="JC211" s="922"/>
      <c r="JD211" s="922"/>
      <c r="JE211" s="922"/>
      <c r="JF211" s="922"/>
      <c r="JG211" s="922"/>
      <c r="JH211" s="922"/>
      <c r="JI211" s="922"/>
      <c r="JJ211" s="922"/>
      <c r="JK211" s="922"/>
      <c r="JL211" s="922"/>
      <c r="JM211" s="922"/>
      <c r="JN211" s="922"/>
      <c r="JO211" s="922"/>
      <c r="JP211" s="922"/>
      <c r="JQ211" s="922"/>
      <c r="JR211" s="922"/>
      <c r="JS211" s="922"/>
      <c r="JT211" s="922"/>
      <c r="JU211" s="922"/>
      <c r="JV211" s="922"/>
      <c r="JW211" s="922"/>
      <c r="JX211" s="922"/>
      <c r="JY211" s="922"/>
      <c r="JZ211" s="922"/>
      <c r="KA211" s="922"/>
      <c r="KB211" s="922"/>
      <c r="KC211" s="922"/>
      <c r="KD211" s="922"/>
      <c r="KE211" s="922"/>
      <c r="KF211" s="922"/>
      <c r="KG211" s="922"/>
      <c r="KH211" s="922"/>
      <c r="KI211" s="922"/>
      <c r="KJ211" s="922"/>
      <c r="KK211" s="922"/>
      <c r="KL211" s="922"/>
      <c r="KM211" s="922"/>
      <c r="KN211" s="922"/>
      <c r="KO211" s="922"/>
      <c r="KP211" s="922"/>
      <c r="KQ211" s="922"/>
      <c r="KR211" s="922"/>
      <c r="KS211" s="922"/>
      <c r="KT211" s="922"/>
      <c r="KU211" s="922"/>
      <c r="KV211" s="922"/>
      <c r="KW211" s="922"/>
      <c r="KX211" s="922"/>
      <c r="KY211" s="922"/>
      <c r="KZ211" s="922"/>
      <c r="LA211" s="922"/>
      <c r="LB211" s="922"/>
      <c r="LC211" s="922"/>
      <c r="LD211" s="922"/>
      <c r="LE211" s="922"/>
      <c r="LF211" s="922"/>
      <c r="LG211" s="922"/>
      <c r="LH211" s="922"/>
      <c r="LI211" s="922"/>
      <c r="LJ211" s="922"/>
      <c r="LK211" s="922"/>
      <c r="LL211" s="922"/>
      <c r="LM211" s="922"/>
      <c r="LN211" s="922"/>
      <c r="LO211" s="922"/>
      <c r="LP211" s="922"/>
      <c r="LQ211" s="922"/>
      <c r="LR211" s="922"/>
      <c r="LS211" s="922"/>
      <c r="LT211" s="922"/>
      <c r="LU211" s="922"/>
      <c r="LV211" s="922"/>
      <c r="LW211" s="922"/>
      <c r="LX211" s="922"/>
      <c r="LY211" s="922"/>
      <c r="LZ211" s="922"/>
      <c r="MA211" s="922"/>
      <c r="MB211" s="922"/>
      <c r="MC211" s="922"/>
      <c r="MD211" s="922"/>
      <c r="ME211" s="922"/>
      <c r="MF211" s="922"/>
      <c r="MG211" s="922"/>
      <c r="MH211" s="922"/>
      <c r="MI211" s="922"/>
      <c r="MJ211" s="922"/>
      <c r="MK211" s="922"/>
      <c r="ML211" s="922"/>
      <c r="MM211" s="922"/>
      <c r="MN211" s="922"/>
      <c r="MO211" s="922"/>
      <c r="MP211" s="922"/>
      <c r="MQ211" s="922"/>
      <c r="MR211" s="922"/>
      <c r="MS211" s="922"/>
      <c r="MT211" s="922"/>
      <c r="MU211" s="922"/>
      <c r="MV211" s="922"/>
      <c r="MW211" s="922"/>
      <c r="MX211" s="922"/>
      <c r="MY211" s="922"/>
      <c r="MZ211" s="922"/>
      <c r="NA211" s="922"/>
      <c r="NB211" s="922"/>
      <c r="NC211" s="922"/>
      <c r="ND211" s="922"/>
      <c r="NE211" s="922"/>
      <c r="NF211" s="922"/>
      <c r="NG211" s="922"/>
      <c r="NH211" s="922"/>
      <c r="NI211" s="922"/>
      <c r="NJ211" s="922"/>
      <c r="NK211" s="922"/>
      <c r="NL211" s="922"/>
      <c r="NM211" s="922"/>
      <c r="NN211" s="922"/>
      <c r="NO211" s="922"/>
      <c r="NP211" s="922"/>
      <c r="NQ211" s="922"/>
      <c r="NR211" s="922"/>
      <c r="NS211" s="922"/>
      <c r="NT211" s="922"/>
      <c r="NU211" s="922"/>
      <c r="NV211" s="922"/>
      <c r="NW211" s="922"/>
      <c r="NX211" s="922"/>
      <c r="NY211" s="922"/>
      <c r="NZ211" s="922"/>
      <c r="OA211" s="922"/>
      <c r="OB211" s="922"/>
      <c r="OC211" s="922"/>
      <c r="OD211" s="922"/>
      <c r="OE211" s="922"/>
      <c r="OF211" s="922"/>
      <c r="OG211" s="922"/>
      <c r="OH211" s="922"/>
      <c r="OI211" s="922"/>
      <c r="OJ211" s="922"/>
      <c r="OK211" s="922"/>
      <c r="OL211" s="922"/>
      <c r="OM211" s="922"/>
      <c r="ON211" s="922"/>
      <c r="OO211" s="922"/>
      <c r="OP211" s="922"/>
      <c r="OQ211" s="922"/>
      <c r="OR211" s="922"/>
      <c r="OS211" s="922"/>
      <c r="OT211" s="922"/>
      <c r="OU211" s="922"/>
      <c r="OV211" s="922"/>
      <c r="OW211" s="922"/>
      <c r="OX211" s="922"/>
      <c r="OY211" s="922"/>
      <c r="OZ211" s="922"/>
      <c r="PA211" s="922"/>
      <c r="PB211" s="922"/>
      <c r="PC211" s="922"/>
      <c r="PD211" s="922"/>
      <c r="PE211" s="922"/>
      <c r="PF211" s="922"/>
      <c r="PG211" s="922"/>
      <c r="PH211" s="922"/>
      <c r="PI211" s="922"/>
      <c r="PJ211" s="922"/>
      <c r="PK211" s="922"/>
      <c r="PL211" s="922"/>
      <c r="PM211" s="922"/>
      <c r="PN211" s="922"/>
      <c r="PO211" s="922"/>
      <c r="PP211" s="922"/>
      <c r="PQ211" s="922"/>
      <c r="PR211" s="922"/>
      <c r="PS211" s="922"/>
      <c r="PT211" s="922"/>
      <c r="PU211" s="922"/>
      <c r="PV211" s="922"/>
      <c r="PW211" s="922"/>
      <c r="PX211" s="922"/>
      <c r="PY211" s="922"/>
      <c r="PZ211" s="922"/>
      <c r="QA211" s="922"/>
      <c r="QB211" s="922"/>
      <c r="QC211" s="922"/>
      <c r="QD211" s="922"/>
      <c r="QE211" s="922"/>
      <c r="QF211" s="922"/>
      <c r="QG211" s="922"/>
      <c r="QH211" s="922"/>
      <c r="QI211" s="922"/>
      <c r="QJ211" s="922"/>
      <c r="QK211" s="922"/>
      <c r="QL211" s="922"/>
      <c r="QM211" s="922"/>
      <c r="QN211" s="922"/>
      <c r="QO211" s="922"/>
      <c r="QP211" s="922"/>
      <c r="QQ211" s="922"/>
      <c r="QR211" s="922"/>
      <c r="QS211" s="922"/>
      <c r="QT211" s="922"/>
      <c r="QU211" s="922"/>
      <c r="QV211" s="922"/>
      <c r="QW211" s="922"/>
      <c r="QX211" s="922"/>
      <c r="QY211" s="922"/>
      <c r="QZ211" s="922"/>
      <c r="RA211" s="922"/>
      <c r="RB211" s="922"/>
      <c r="RC211" s="922"/>
      <c r="RD211" s="922"/>
      <c r="RE211" s="922"/>
      <c r="RF211" s="922"/>
      <c r="RG211" s="922"/>
      <c r="RH211" s="922"/>
      <c r="RI211" s="922"/>
      <c r="RJ211" s="922"/>
      <c r="RK211" s="922"/>
      <c r="RL211" s="922"/>
      <c r="RM211" s="922"/>
      <c r="RN211" s="922"/>
      <c r="RO211" s="922"/>
      <c r="RP211" s="922"/>
      <c r="RQ211" s="922"/>
      <c r="RR211" s="922"/>
      <c r="RS211" s="922"/>
      <c r="RT211" s="922"/>
      <c r="RU211" s="922"/>
      <c r="RV211" s="922"/>
      <c r="RW211" s="922"/>
      <c r="RX211" s="922"/>
      <c r="RY211" s="922"/>
      <c r="RZ211" s="922"/>
      <c r="SA211" s="922"/>
      <c r="SB211" s="922"/>
      <c r="SC211" s="922"/>
      <c r="SD211" s="922"/>
      <c r="SE211" s="922"/>
      <c r="SF211" s="922"/>
      <c r="SG211" s="922"/>
      <c r="SH211" s="922"/>
      <c r="SI211" s="922"/>
      <c r="SJ211" s="922"/>
      <c r="SK211" s="922"/>
      <c r="SL211" s="922"/>
      <c r="SM211" s="922"/>
      <c r="SN211" s="922"/>
      <c r="SO211" s="922"/>
      <c r="SP211" s="922"/>
      <c r="SQ211" s="922"/>
      <c r="SR211" s="922"/>
      <c r="SS211" s="922"/>
      <c r="ST211" s="922"/>
      <c r="SU211" s="922"/>
      <c r="SV211" s="922"/>
      <c r="SW211" s="922"/>
      <c r="SX211" s="922"/>
      <c r="SY211" s="922"/>
      <c r="SZ211" s="922"/>
      <c r="TA211" s="922"/>
      <c r="TB211" s="922"/>
      <c r="TC211" s="922"/>
      <c r="TD211" s="922"/>
      <c r="TE211" s="922"/>
      <c r="TF211" s="922"/>
      <c r="TG211" s="922"/>
      <c r="TH211" s="922"/>
      <c r="TI211" s="922"/>
      <c r="TJ211" s="922"/>
      <c r="TK211" s="922"/>
      <c r="TL211" s="922"/>
      <c r="TM211" s="922"/>
      <c r="TN211" s="922"/>
      <c r="TO211" s="922"/>
      <c r="TP211" s="922"/>
      <c r="TQ211" s="922"/>
      <c r="TR211" s="922"/>
      <c r="TS211" s="922"/>
      <c r="TT211" s="922"/>
      <c r="TU211" s="922"/>
      <c r="TV211" s="922"/>
      <c r="TW211" s="922"/>
      <c r="TX211" s="922"/>
      <c r="TY211" s="922"/>
      <c r="TZ211" s="922"/>
      <c r="UA211" s="922"/>
      <c r="UB211" s="922"/>
      <c r="UC211" s="922"/>
      <c r="UD211" s="922"/>
      <c r="UE211" s="922"/>
      <c r="UF211" s="922"/>
      <c r="UG211" s="922"/>
      <c r="UH211" s="922"/>
      <c r="UI211" s="922"/>
      <c r="UJ211" s="922"/>
      <c r="UK211" s="922"/>
      <c r="UL211" s="922"/>
      <c r="UM211" s="922"/>
      <c r="UN211" s="922"/>
      <c r="UO211" s="922"/>
      <c r="UP211" s="922"/>
      <c r="UQ211" s="922"/>
      <c r="UR211" s="922"/>
      <c r="US211" s="922"/>
      <c r="UT211" s="922"/>
      <c r="UU211" s="922"/>
      <c r="UV211" s="922"/>
      <c r="UW211" s="922"/>
      <c r="UX211" s="922"/>
      <c r="UY211" s="922"/>
      <c r="UZ211" s="922"/>
      <c r="VA211" s="922"/>
      <c r="VB211" s="922"/>
      <c r="VC211" s="922"/>
      <c r="VD211" s="922"/>
      <c r="VE211" s="922"/>
      <c r="VF211" s="922"/>
      <c r="VG211" s="922"/>
      <c r="VH211" s="922"/>
      <c r="VI211" s="922"/>
      <c r="VJ211" s="922"/>
      <c r="VK211" s="922"/>
      <c r="VL211" s="922"/>
      <c r="VM211" s="922"/>
      <c r="VN211" s="922"/>
      <c r="VO211" s="922"/>
      <c r="VP211" s="922"/>
      <c r="VQ211" s="922"/>
      <c r="VR211" s="922"/>
      <c r="VS211" s="922"/>
      <c r="VT211" s="922"/>
      <c r="VU211" s="922"/>
      <c r="VV211" s="922"/>
      <c r="VW211" s="922"/>
      <c r="VX211" s="922"/>
      <c r="VY211" s="922"/>
      <c r="VZ211" s="922"/>
      <c r="WA211" s="922"/>
      <c r="WB211" s="922"/>
      <c r="WC211" s="922"/>
      <c r="WD211" s="922"/>
      <c r="WE211" s="922"/>
      <c r="WF211" s="922"/>
      <c r="WG211" s="922"/>
      <c r="WH211" s="922"/>
      <c r="WI211" s="922"/>
      <c r="WJ211" s="922"/>
      <c r="WK211" s="922"/>
      <c r="WL211" s="922"/>
      <c r="WM211" s="922"/>
      <c r="WN211" s="922"/>
      <c r="WO211" s="922"/>
      <c r="WP211" s="922"/>
      <c r="WQ211" s="922"/>
      <c r="WR211" s="922"/>
      <c r="WS211" s="922"/>
      <c r="WT211" s="922"/>
      <c r="WU211" s="922"/>
      <c r="WV211" s="922"/>
      <c r="WW211" s="922"/>
      <c r="WX211" s="922"/>
      <c r="WY211" s="922"/>
      <c r="WZ211" s="922"/>
      <c r="XA211" s="922"/>
      <c r="XB211" s="922"/>
      <c r="XC211" s="922"/>
      <c r="XD211" s="922"/>
      <c r="XE211" s="922"/>
      <c r="XF211" s="922"/>
      <c r="XG211" s="922"/>
      <c r="XH211" s="922"/>
      <c r="XI211" s="922"/>
      <c r="XJ211" s="922"/>
      <c r="XK211" s="922"/>
      <c r="XL211" s="922"/>
      <c r="XM211" s="922"/>
      <c r="XN211" s="922"/>
      <c r="XO211" s="922"/>
      <c r="XP211" s="922"/>
      <c r="XQ211" s="922"/>
      <c r="XR211" s="922"/>
      <c r="XS211" s="922"/>
      <c r="XT211" s="922"/>
      <c r="XU211" s="922"/>
      <c r="XV211" s="922"/>
      <c r="XW211" s="922"/>
      <c r="XX211" s="922"/>
      <c r="XY211" s="922"/>
      <c r="XZ211" s="922"/>
      <c r="YA211" s="922"/>
      <c r="YB211" s="922"/>
      <c r="YC211" s="922"/>
      <c r="YD211" s="922"/>
      <c r="YE211" s="922"/>
      <c r="YF211" s="922"/>
      <c r="YG211" s="922"/>
      <c r="YH211" s="922"/>
      <c r="YI211" s="922"/>
      <c r="YJ211" s="922"/>
      <c r="YK211" s="922"/>
      <c r="YL211" s="922"/>
      <c r="YM211" s="922"/>
      <c r="YN211" s="922"/>
      <c r="YO211" s="922"/>
      <c r="YP211" s="922"/>
      <c r="YQ211" s="922"/>
      <c r="YR211" s="922"/>
      <c r="YS211" s="922"/>
      <c r="YT211" s="922"/>
      <c r="YU211" s="922"/>
      <c r="YV211" s="922"/>
      <c r="YW211" s="922"/>
      <c r="YX211" s="922"/>
      <c r="YY211" s="922"/>
      <c r="YZ211" s="922"/>
      <c r="ZA211" s="922"/>
      <c r="ZB211" s="922"/>
      <c r="ZC211" s="922"/>
      <c r="ZD211" s="922"/>
      <c r="ZE211" s="922"/>
      <c r="ZF211" s="922"/>
      <c r="ZG211" s="922"/>
      <c r="ZH211" s="922"/>
      <c r="ZI211" s="922"/>
      <c r="ZJ211" s="922"/>
      <c r="ZK211" s="922"/>
      <c r="ZL211" s="922"/>
      <c r="ZM211" s="922"/>
      <c r="ZN211" s="922"/>
      <c r="ZO211" s="922"/>
      <c r="ZP211" s="922"/>
      <c r="ZQ211" s="922"/>
      <c r="ZR211" s="922"/>
      <c r="ZS211" s="922"/>
      <c r="ZT211" s="922"/>
      <c r="ZU211" s="922"/>
      <c r="ZV211" s="922"/>
      <c r="ZW211" s="922"/>
      <c r="ZX211" s="922"/>
      <c r="ZY211" s="922"/>
      <c r="ZZ211" s="922"/>
      <c r="AAA211" s="922"/>
      <c r="AAB211" s="922"/>
      <c r="AAC211" s="922"/>
      <c r="AAD211" s="922"/>
      <c r="AAE211" s="922"/>
      <c r="AAF211" s="922"/>
      <c r="AAG211" s="922"/>
      <c r="AAH211" s="922"/>
      <c r="AAI211" s="922"/>
      <c r="AAJ211" s="922"/>
      <c r="AAK211" s="922"/>
      <c r="AAL211" s="922"/>
      <c r="AAM211" s="922"/>
      <c r="AAN211" s="922"/>
      <c r="AAO211" s="922"/>
      <c r="AAP211" s="922"/>
      <c r="AAQ211" s="922"/>
      <c r="AAR211" s="922"/>
      <c r="AAS211" s="922"/>
      <c r="AAT211" s="922"/>
      <c r="AAU211" s="922"/>
      <c r="AAV211" s="922"/>
      <c r="AAW211" s="922"/>
      <c r="AAX211" s="922"/>
      <c r="AAY211" s="922"/>
      <c r="AAZ211" s="922"/>
      <c r="ABA211" s="922"/>
      <c r="ABB211" s="922"/>
      <c r="ABC211" s="922"/>
      <c r="ABD211" s="922"/>
      <c r="ABE211" s="922"/>
      <c r="ABF211" s="922"/>
      <c r="ABG211" s="922"/>
      <c r="ABH211" s="922"/>
      <c r="ABI211" s="922"/>
      <c r="ABJ211" s="922"/>
      <c r="ABK211" s="922"/>
      <c r="ABL211" s="922"/>
      <c r="ABM211" s="922"/>
      <c r="ABN211" s="922"/>
      <c r="ABO211" s="922"/>
      <c r="ABP211" s="922"/>
      <c r="ABQ211" s="922"/>
      <c r="ABR211" s="922"/>
      <c r="ABS211" s="922"/>
      <c r="ABT211" s="922"/>
      <c r="ABU211" s="922"/>
      <c r="ABV211" s="922"/>
      <c r="ABW211" s="922"/>
      <c r="ABX211" s="922"/>
      <c r="ABY211" s="922"/>
      <c r="ABZ211" s="922"/>
      <c r="ACA211" s="922"/>
      <c r="ACB211" s="922"/>
      <c r="ACC211" s="922"/>
      <c r="ACD211" s="922"/>
      <c r="ACE211" s="922"/>
      <c r="ACF211" s="922"/>
      <c r="ACG211" s="922"/>
      <c r="ACH211" s="922"/>
      <c r="ACI211" s="922"/>
      <c r="ACJ211" s="922"/>
      <c r="ACK211" s="922"/>
      <c r="ACL211" s="922"/>
      <c r="ACM211" s="922"/>
      <c r="ACN211" s="922"/>
      <c r="ACO211" s="922"/>
      <c r="ACP211" s="922"/>
      <c r="ACQ211" s="922"/>
      <c r="ACR211" s="922"/>
      <c r="ACS211" s="922"/>
      <c r="ACT211" s="922"/>
      <c r="ACU211" s="922"/>
      <c r="ACV211" s="922"/>
      <c r="ACW211" s="922"/>
      <c r="ACX211" s="922"/>
      <c r="ACY211" s="922"/>
      <c r="ACZ211" s="922"/>
      <c r="ADA211" s="922"/>
      <c r="ADB211" s="922"/>
      <c r="ADC211" s="922"/>
      <c r="ADD211" s="922"/>
      <c r="ADE211" s="922"/>
      <c r="ADF211" s="922"/>
      <c r="ADG211" s="922"/>
      <c r="ADH211" s="922"/>
      <c r="ADI211" s="922"/>
      <c r="ADJ211" s="922"/>
      <c r="ADK211" s="922"/>
      <c r="ADL211" s="922"/>
      <c r="ADM211" s="922"/>
      <c r="ADN211" s="922"/>
      <c r="ADO211" s="922"/>
      <c r="ADP211" s="922"/>
      <c r="ADQ211" s="922"/>
      <c r="ADR211" s="922"/>
      <c r="ADS211" s="922"/>
      <c r="ADT211" s="922"/>
      <c r="ADU211" s="922"/>
      <c r="ADV211" s="922"/>
      <c r="ADW211" s="922"/>
      <c r="ADX211" s="922"/>
      <c r="ADY211" s="922"/>
      <c r="ADZ211" s="922"/>
      <c r="AEA211" s="922"/>
      <c r="AEB211" s="922"/>
      <c r="AEC211" s="922"/>
      <c r="AED211" s="922"/>
      <c r="AEE211" s="922"/>
      <c r="AEF211" s="922"/>
      <c r="AEG211" s="922"/>
      <c r="AEH211" s="922"/>
      <c r="AEI211" s="922"/>
      <c r="AEJ211" s="922"/>
      <c r="AEK211" s="922"/>
      <c r="AEL211" s="922"/>
      <c r="AEM211" s="922"/>
      <c r="AEN211" s="922"/>
      <c r="AEO211" s="922"/>
      <c r="AEP211" s="922"/>
      <c r="AEQ211" s="922"/>
      <c r="AER211" s="922"/>
      <c r="AES211" s="922"/>
      <c r="AET211" s="922"/>
      <c r="AEU211" s="922"/>
      <c r="AEV211" s="922"/>
      <c r="AEW211" s="922"/>
      <c r="AEX211" s="922"/>
      <c r="AEY211" s="922"/>
      <c r="AEZ211" s="922"/>
      <c r="AFA211" s="922"/>
      <c r="AFB211" s="922"/>
      <c r="AFC211" s="922"/>
      <c r="AFD211" s="922"/>
      <c r="AFE211" s="922"/>
      <c r="AFF211" s="922"/>
      <c r="AFG211" s="922"/>
      <c r="AFH211" s="922"/>
      <c r="AFI211" s="922"/>
      <c r="AFJ211" s="922"/>
      <c r="AFK211" s="922"/>
      <c r="AFL211" s="922"/>
      <c r="AFM211" s="922"/>
      <c r="AFN211" s="922"/>
      <c r="AFO211" s="922"/>
      <c r="AFP211" s="922"/>
      <c r="AFQ211" s="922"/>
      <c r="AFR211" s="922"/>
      <c r="AFS211" s="922"/>
      <c r="AFT211" s="922"/>
      <c r="AFU211" s="922"/>
      <c r="AFV211" s="922"/>
      <c r="AFW211" s="922"/>
      <c r="AFX211" s="922"/>
      <c r="AFY211" s="922"/>
      <c r="AFZ211" s="922"/>
      <c r="AGA211" s="922"/>
      <c r="AGB211" s="922"/>
      <c r="AGC211" s="922"/>
      <c r="AGD211" s="922"/>
      <c r="AGE211" s="922"/>
      <c r="AGF211" s="922"/>
      <c r="AGG211" s="922"/>
      <c r="AGH211" s="922"/>
      <c r="AGI211" s="922"/>
      <c r="AGJ211" s="922"/>
      <c r="AGK211" s="922"/>
      <c r="AGL211" s="922"/>
      <c r="AGM211" s="922"/>
      <c r="AGN211" s="922"/>
      <c r="AGO211" s="922"/>
      <c r="AGP211" s="922"/>
      <c r="AGQ211" s="922"/>
      <c r="AGR211" s="922"/>
      <c r="AGS211" s="922"/>
      <c r="AGT211" s="922"/>
      <c r="AGU211" s="922"/>
      <c r="AGV211" s="922"/>
      <c r="AGW211" s="922"/>
      <c r="AGX211" s="922"/>
      <c r="AGY211" s="922"/>
      <c r="AGZ211" s="922"/>
      <c r="AHA211" s="922"/>
      <c r="AHB211" s="922"/>
      <c r="AHC211" s="922"/>
      <c r="AHD211" s="922"/>
      <c r="AHE211" s="922"/>
      <c r="AHF211" s="922"/>
      <c r="AHG211" s="922"/>
      <c r="AHH211" s="922"/>
      <c r="AHI211" s="922"/>
      <c r="AHJ211" s="922"/>
      <c r="AHK211" s="922"/>
      <c r="AHL211" s="922"/>
      <c r="AHM211" s="922"/>
      <c r="AHN211" s="922"/>
      <c r="AHO211" s="922"/>
      <c r="AHP211" s="922"/>
      <c r="AHQ211" s="922"/>
      <c r="AHR211" s="922"/>
      <c r="AHS211" s="922"/>
      <c r="AHT211" s="922"/>
      <c r="AHU211" s="922"/>
      <c r="AHV211" s="922"/>
      <c r="AHW211" s="922"/>
      <c r="AHX211" s="922"/>
      <c r="AHY211" s="922"/>
      <c r="AHZ211" s="922"/>
      <c r="AIA211" s="922"/>
      <c r="AIB211" s="922"/>
      <c r="AIC211" s="922"/>
      <c r="AID211" s="922"/>
      <c r="AIE211" s="922"/>
      <c r="AIF211" s="922"/>
      <c r="AIG211" s="922"/>
      <c r="AIH211" s="922"/>
      <c r="AII211" s="922"/>
      <c r="AIJ211" s="922"/>
      <c r="AIK211" s="922"/>
      <c r="AIL211" s="922"/>
      <c r="AIM211" s="922"/>
      <c r="AIN211" s="922"/>
      <c r="AIO211" s="922"/>
      <c r="AIP211" s="922"/>
      <c r="AIQ211" s="922"/>
      <c r="AIR211" s="922"/>
      <c r="AIS211" s="922"/>
      <c r="AIT211" s="922"/>
      <c r="AIU211" s="922"/>
      <c r="AIV211" s="922"/>
      <c r="AIW211" s="922"/>
      <c r="AIX211" s="922"/>
      <c r="AIY211" s="922"/>
      <c r="AIZ211" s="922"/>
      <c r="AJA211" s="922"/>
      <c r="AJB211" s="922"/>
      <c r="AJC211" s="922"/>
      <c r="AJD211" s="922"/>
      <c r="AJE211" s="922"/>
      <c r="AJF211" s="922"/>
      <c r="AJG211" s="922"/>
      <c r="AJH211" s="922"/>
      <c r="AJI211" s="922"/>
      <c r="AJJ211" s="922"/>
      <c r="AJK211" s="922"/>
      <c r="AJL211" s="922"/>
      <c r="AJM211" s="922"/>
      <c r="AJN211" s="922"/>
      <c r="AJO211" s="922"/>
      <c r="AJP211" s="922"/>
      <c r="AJQ211" s="922"/>
      <c r="AJR211" s="922"/>
      <c r="AJS211" s="922"/>
      <c r="AJT211" s="922"/>
      <c r="AJU211" s="922"/>
      <c r="AJV211" s="922"/>
      <c r="AJW211" s="922"/>
      <c r="AJX211" s="922"/>
      <c r="AJY211" s="922"/>
      <c r="AJZ211" s="922"/>
      <c r="AKA211" s="922"/>
      <c r="AKB211" s="922"/>
      <c r="AKC211" s="922"/>
      <c r="AKD211" s="922"/>
      <c r="AKE211" s="922"/>
      <c r="AKF211" s="922"/>
      <c r="AKG211" s="922"/>
      <c r="AKH211" s="922"/>
      <c r="AKI211" s="922"/>
      <c r="AKJ211" s="922"/>
      <c r="AKK211" s="922"/>
      <c r="AKL211" s="922"/>
      <c r="AKM211" s="922"/>
      <c r="AKN211" s="922"/>
      <c r="AKO211" s="922"/>
      <c r="AKP211" s="922"/>
      <c r="AKQ211" s="922"/>
      <c r="AKR211" s="922"/>
      <c r="AKS211" s="922"/>
      <c r="AKT211" s="922"/>
      <c r="AKU211" s="922"/>
      <c r="AKV211" s="922"/>
      <c r="AKW211" s="922"/>
      <c r="AKX211" s="922"/>
      <c r="AKY211" s="922"/>
      <c r="AKZ211" s="922"/>
      <c r="ALA211" s="922"/>
      <c r="ALB211" s="922"/>
      <c r="ALC211" s="922"/>
      <c r="ALD211" s="922"/>
      <c r="ALE211" s="922"/>
      <c r="ALF211" s="922"/>
      <c r="ALG211" s="922"/>
      <c r="ALH211" s="922"/>
      <c r="ALI211" s="922"/>
      <c r="ALJ211" s="922"/>
      <c r="ALK211" s="922"/>
      <c r="ALL211" s="922"/>
      <c r="ALM211" s="922"/>
      <c r="ALN211" s="922"/>
      <c r="ALO211" s="922"/>
      <c r="ALP211" s="922"/>
      <c r="ALQ211" s="922"/>
      <c r="ALR211" s="922"/>
      <c r="ALS211" s="922"/>
      <c r="ALT211" s="922"/>
      <c r="ALU211" s="922"/>
      <c r="ALV211" s="922"/>
      <c r="ALW211" s="922"/>
      <c r="ALX211" s="922"/>
      <c r="ALY211" s="922"/>
      <c r="ALZ211" s="922"/>
      <c r="AMA211" s="922"/>
      <c r="AMB211" s="922"/>
      <c r="AMC211" s="922"/>
      <c r="AMD211" s="922"/>
      <c r="AME211" s="922"/>
      <c r="AMF211" s="922"/>
      <c r="AMG211" s="922"/>
      <c r="AMH211" s="922"/>
      <c r="AMI211" s="922"/>
      <c r="AMJ211" s="922"/>
      <c r="AMK211" s="922"/>
      <c r="AML211" s="922"/>
      <c r="AMM211" s="922"/>
      <c r="AMN211" s="922"/>
      <c r="AMO211" s="922"/>
      <c r="AMP211" s="922"/>
      <c r="AMQ211" s="922"/>
      <c r="AMR211" s="922"/>
      <c r="AMS211" s="922"/>
      <c r="AMT211" s="922"/>
      <c r="AMU211" s="922"/>
      <c r="AMV211" s="922"/>
      <c r="AMW211" s="922"/>
      <c r="AMX211" s="922"/>
      <c r="AMY211" s="922"/>
      <c r="AMZ211" s="922"/>
      <c r="ANA211" s="922"/>
      <c r="ANB211" s="922"/>
      <c r="ANC211" s="922"/>
      <c r="AND211" s="922"/>
      <c r="ANE211" s="922"/>
      <c r="ANF211" s="922"/>
      <c r="ANG211" s="922"/>
      <c r="ANH211" s="922"/>
      <c r="ANI211" s="922"/>
      <c r="ANJ211" s="922"/>
      <c r="ANK211" s="922"/>
      <c r="ANL211" s="922"/>
      <c r="ANM211" s="922"/>
      <c r="ANN211" s="922"/>
      <c r="ANO211" s="922"/>
      <c r="ANP211" s="922"/>
      <c r="ANQ211" s="922"/>
      <c r="ANR211" s="922"/>
      <c r="ANS211" s="922"/>
      <c r="ANT211" s="922"/>
      <c r="ANU211" s="922"/>
      <c r="ANV211" s="922"/>
      <c r="ANW211" s="922"/>
      <c r="ANX211" s="922"/>
      <c r="ANY211" s="922"/>
      <c r="ANZ211" s="922"/>
      <c r="AOA211" s="922"/>
      <c r="AOB211" s="922"/>
      <c r="AOC211" s="922"/>
      <c r="AOD211" s="922"/>
      <c r="AOE211" s="922"/>
      <c r="AOF211" s="922"/>
      <c r="AOG211" s="922"/>
      <c r="AOH211" s="922"/>
      <c r="AOI211" s="922"/>
      <c r="AOJ211" s="922"/>
      <c r="AOK211" s="922"/>
      <c r="AOL211" s="922"/>
      <c r="AOM211" s="922"/>
      <c r="AON211" s="922"/>
      <c r="AOO211" s="922"/>
      <c r="AOP211" s="922"/>
      <c r="AOQ211" s="922"/>
      <c r="AOR211" s="922"/>
      <c r="AOS211" s="922"/>
      <c r="AOT211" s="922"/>
      <c r="AOU211" s="922"/>
      <c r="AOV211" s="922"/>
      <c r="AOW211" s="922"/>
      <c r="AOX211" s="922"/>
      <c r="AOY211" s="922"/>
      <c r="AOZ211" s="922"/>
      <c r="APA211" s="922"/>
      <c r="APB211" s="922"/>
      <c r="APC211" s="922"/>
      <c r="APD211" s="922"/>
      <c r="APE211" s="922"/>
      <c r="APF211" s="922"/>
      <c r="APG211" s="922"/>
      <c r="APH211" s="922"/>
      <c r="API211" s="922"/>
      <c r="APJ211" s="922"/>
      <c r="APK211" s="922"/>
      <c r="APL211" s="922"/>
      <c r="APM211" s="922"/>
      <c r="APN211" s="922"/>
      <c r="APO211" s="922"/>
      <c r="APP211" s="922"/>
      <c r="APQ211" s="922"/>
      <c r="APR211" s="922"/>
      <c r="APS211" s="922"/>
      <c r="APT211" s="922"/>
      <c r="APU211" s="922"/>
      <c r="APV211" s="922"/>
      <c r="APW211" s="922"/>
      <c r="APX211" s="922"/>
      <c r="APY211" s="922"/>
      <c r="APZ211" s="922"/>
      <c r="AQA211" s="922"/>
      <c r="AQB211" s="922"/>
      <c r="AQC211" s="922"/>
      <c r="AQD211" s="922"/>
      <c r="AQE211" s="922"/>
      <c r="AQF211" s="922"/>
      <c r="AQG211" s="922"/>
      <c r="AQH211" s="922"/>
      <c r="AQI211" s="922"/>
      <c r="AQJ211" s="922"/>
      <c r="AQK211" s="922"/>
      <c r="AQL211" s="922"/>
      <c r="AQM211" s="922"/>
      <c r="AQN211" s="922"/>
      <c r="AQO211" s="922"/>
      <c r="AQP211" s="922"/>
      <c r="AQQ211" s="922"/>
      <c r="AQR211" s="922"/>
      <c r="AQS211" s="922"/>
      <c r="AQT211" s="922"/>
      <c r="AQU211" s="922"/>
      <c r="AQV211" s="922"/>
      <c r="AQW211" s="922"/>
      <c r="AQX211" s="922"/>
      <c r="AQY211" s="922"/>
      <c r="AQZ211" s="922"/>
      <c r="ARA211" s="922"/>
      <c r="ARB211" s="922"/>
      <c r="ARC211" s="922"/>
      <c r="ARD211" s="922"/>
      <c r="ARE211" s="922"/>
      <c r="ARF211" s="922"/>
      <c r="ARG211" s="922"/>
      <c r="ARH211" s="922"/>
      <c r="ARI211" s="922"/>
      <c r="ARJ211" s="922"/>
      <c r="ARK211" s="922"/>
      <c r="ARL211" s="922"/>
      <c r="ARM211" s="922"/>
      <c r="ARN211" s="922"/>
      <c r="ARO211" s="922"/>
      <c r="ARP211" s="922"/>
      <c r="ARQ211" s="922"/>
      <c r="ARR211" s="922"/>
      <c r="ARS211" s="922"/>
      <c r="ART211" s="922"/>
      <c r="ARU211" s="922"/>
      <c r="ARV211" s="922"/>
      <c r="ARW211" s="922"/>
      <c r="ARX211" s="922"/>
      <c r="ARY211" s="922"/>
      <c r="ARZ211" s="922"/>
      <c r="ASA211" s="922"/>
      <c r="ASB211" s="922"/>
      <c r="ASC211" s="922"/>
    </row>
    <row r="212" spans="20:1173" hidden="1">
      <c r="T212" s="922"/>
      <c r="AN212" s="922"/>
      <c r="AO212" s="922"/>
      <c r="AP212" s="922"/>
      <c r="AQ212" s="922"/>
      <c r="AR212" s="922"/>
      <c r="AS212" s="922"/>
      <c r="AT212" s="922"/>
      <c r="AU212" s="922"/>
      <c r="AV212" s="922"/>
      <c r="AW212" s="922"/>
      <c r="AX212" s="922"/>
      <c r="AY212" s="922"/>
      <c r="AZ212" s="922"/>
      <c r="BA212" s="922"/>
      <c r="BB212" s="922"/>
      <c r="BC212" s="922"/>
      <c r="BD212" s="922"/>
      <c r="BE212" s="922"/>
      <c r="BF212" s="922"/>
      <c r="BG212" s="922"/>
      <c r="BH212" s="922"/>
      <c r="BI212" s="922"/>
      <c r="BJ212" s="922"/>
      <c r="BK212" s="922"/>
      <c r="BL212" s="922"/>
      <c r="BM212" s="922"/>
      <c r="BN212" s="922"/>
      <c r="BO212" s="922"/>
      <c r="BP212" s="922"/>
      <c r="BQ212" s="922"/>
      <c r="BR212" s="922"/>
      <c r="BS212" s="922"/>
      <c r="BT212" s="922"/>
      <c r="BU212" s="922"/>
      <c r="BV212" s="922"/>
      <c r="BW212" s="922"/>
      <c r="BX212" s="922"/>
      <c r="BY212" s="922"/>
      <c r="BZ212" s="922"/>
      <c r="CA212" s="922"/>
      <c r="CB212" s="922"/>
      <c r="CC212" s="922"/>
      <c r="CD212" s="922"/>
      <c r="CE212" s="922"/>
      <c r="CF212" s="922"/>
      <c r="CG212" s="922"/>
      <c r="CH212" s="922"/>
      <c r="CI212" s="922"/>
      <c r="CJ212" s="922"/>
      <c r="CK212" s="922"/>
      <c r="CL212" s="922"/>
      <c r="CM212" s="922"/>
      <c r="CN212" s="922"/>
      <c r="CO212" s="922"/>
      <c r="CP212" s="922"/>
      <c r="CQ212" s="922"/>
      <c r="CR212" s="922"/>
      <c r="CS212" s="922"/>
      <c r="CT212" s="922"/>
      <c r="CU212" s="922"/>
      <c r="CV212" s="922"/>
      <c r="CW212" s="922"/>
      <c r="CX212" s="922"/>
      <c r="CY212" s="922"/>
      <c r="CZ212" s="922"/>
      <c r="DA212" s="922"/>
      <c r="DB212" s="922"/>
      <c r="DC212" s="922"/>
      <c r="DD212" s="922"/>
      <c r="DE212" s="922"/>
      <c r="DF212" s="922"/>
      <c r="DG212" s="922"/>
      <c r="DH212" s="922"/>
      <c r="DI212" s="922"/>
      <c r="DJ212" s="922"/>
      <c r="DK212" s="922"/>
      <c r="DL212" s="922"/>
      <c r="DM212" s="922"/>
      <c r="DN212" s="922"/>
      <c r="DO212" s="922"/>
      <c r="DP212" s="922"/>
      <c r="DQ212" s="922"/>
      <c r="DR212" s="922"/>
      <c r="DS212" s="922"/>
      <c r="DT212" s="922"/>
      <c r="DU212" s="922"/>
      <c r="DV212" s="922"/>
      <c r="DW212" s="922"/>
      <c r="DX212" s="922"/>
      <c r="DY212" s="922"/>
      <c r="DZ212" s="922"/>
      <c r="EA212" s="922"/>
      <c r="EB212" s="922"/>
      <c r="EC212" s="922"/>
      <c r="ED212" s="922"/>
      <c r="EE212" s="922"/>
      <c r="EF212" s="922"/>
      <c r="EG212" s="922"/>
      <c r="EH212" s="922"/>
      <c r="EI212" s="922"/>
      <c r="EJ212" s="922"/>
      <c r="EK212" s="922"/>
      <c r="EL212" s="922"/>
      <c r="EM212" s="922"/>
      <c r="EN212" s="922"/>
      <c r="EO212" s="922"/>
      <c r="EP212" s="922"/>
      <c r="EQ212" s="922"/>
      <c r="ER212" s="922"/>
      <c r="ES212" s="922"/>
      <c r="ET212" s="922"/>
      <c r="EU212" s="922"/>
      <c r="EV212" s="922"/>
      <c r="EW212" s="922"/>
      <c r="EX212" s="922"/>
      <c r="EY212" s="922"/>
      <c r="EZ212" s="922"/>
      <c r="FA212" s="922"/>
      <c r="FB212" s="922"/>
      <c r="FC212" s="922"/>
      <c r="FD212" s="922"/>
      <c r="FE212" s="922"/>
      <c r="FF212" s="922"/>
      <c r="FG212" s="922"/>
      <c r="FH212" s="922"/>
      <c r="FI212" s="922"/>
      <c r="FJ212" s="922"/>
      <c r="FK212" s="922"/>
      <c r="FL212" s="922"/>
      <c r="FM212" s="922"/>
      <c r="FN212" s="922"/>
      <c r="FO212" s="922"/>
      <c r="FP212" s="922"/>
      <c r="FQ212" s="922"/>
      <c r="FR212" s="922"/>
      <c r="FS212" s="922"/>
      <c r="FT212" s="922"/>
      <c r="FU212" s="922"/>
      <c r="FV212" s="922"/>
      <c r="FW212" s="922"/>
      <c r="FX212" s="922"/>
      <c r="FY212" s="922"/>
      <c r="FZ212" s="922"/>
      <c r="GA212" s="922"/>
      <c r="GB212" s="922"/>
      <c r="GC212" s="922"/>
      <c r="GD212" s="922"/>
      <c r="GE212" s="922"/>
      <c r="GF212" s="922"/>
      <c r="GG212" s="922"/>
      <c r="GH212" s="922"/>
      <c r="GI212" s="922"/>
      <c r="GJ212" s="922"/>
      <c r="GK212" s="922"/>
      <c r="GL212" s="922"/>
      <c r="GM212" s="922"/>
      <c r="GN212" s="922"/>
      <c r="GO212" s="922"/>
      <c r="GP212" s="922"/>
      <c r="GQ212" s="922"/>
      <c r="GR212" s="922"/>
      <c r="GS212" s="922"/>
      <c r="GT212" s="922"/>
      <c r="GU212" s="922"/>
      <c r="GV212" s="922"/>
      <c r="GW212" s="922"/>
      <c r="GX212" s="922"/>
      <c r="GY212" s="922"/>
      <c r="GZ212" s="922"/>
      <c r="HA212" s="922"/>
      <c r="HB212" s="922"/>
      <c r="HC212" s="922"/>
      <c r="HD212" s="922"/>
      <c r="HE212" s="922"/>
      <c r="HF212" s="922"/>
      <c r="HG212" s="922"/>
      <c r="HH212" s="922"/>
      <c r="HI212" s="922"/>
      <c r="HJ212" s="922"/>
      <c r="HK212" s="922"/>
      <c r="HL212" s="922"/>
      <c r="HM212" s="922"/>
      <c r="HN212" s="922"/>
      <c r="HO212" s="922"/>
      <c r="HP212" s="922"/>
      <c r="HQ212" s="922"/>
      <c r="HR212" s="922"/>
      <c r="HS212" s="922"/>
      <c r="HT212" s="922"/>
      <c r="HU212" s="922"/>
      <c r="HV212" s="922"/>
      <c r="HW212" s="922"/>
      <c r="HX212" s="922"/>
      <c r="HY212" s="922"/>
      <c r="HZ212" s="922"/>
      <c r="IA212" s="922"/>
      <c r="IB212" s="922"/>
      <c r="IC212" s="922"/>
      <c r="ID212" s="922"/>
      <c r="IE212" s="922"/>
      <c r="IF212" s="922"/>
      <c r="IG212" s="922"/>
      <c r="IH212" s="922"/>
      <c r="II212" s="922"/>
      <c r="IJ212" s="922"/>
      <c r="IK212" s="922"/>
      <c r="IL212" s="922"/>
      <c r="IM212" s="922"/>
      <c r="IN212" s="922"/>
      <c r="IO212" s="922"/>
      <c r="IP212" s="922"/>
      <c r="IQ212" s="922"/>
      <c r="IR212" s="922"/>
      <c r="IS212" s="922"/>
      <c r="IT212" s="922"/>
      <c r="IU212" s="922"/>
      <c r="IV212" s="922"/>
      <c r="IW212" s="922"/>
      <c r="IX212" s="922"/>
      <c r="IY212" s="922"/>
      <c r="IZ212" s="922"/>
      <c r="JA212" s="922"/>
      <c r="JB212" s="922"/>
      <c r="JC212" s="922"/>
      <c r="JD212" s="922"/>
      <c r="JE212" s="922"/>
      <c r="JF212" s="922"/>
      <c r="JG212" s="922"/>
      <c r="JH212" s="922"/>
      <c r="JI212" s="922"/>
      <c r="JJ212" s="922"/>
      <c r="JK212" s="922"/>
      <c r="JL212" s="922"/>
      <c r="JM212" s="922"/>
      <c r="JN212" s="922"/>
      <c r="JO212" s="922"/>
      <c r="JP212" s="922"/>
      <c r="JQ212" s="922"/>
      <c r="JR212" s="922"/>
      <c r="JS212" s="922"/>
      <c r="JT212" s="922"/>
      <c r="JU212" s="922"/>
      <c r="JV212" s="922"/>
      <c r="JW212" s="922"/>
      <c r="JX212" s="922"/>
      <c r="JY212" s="922"/>
      <c r="JZ212" s="922"/>
      <c r="KA212" s="922"/>
      <c r="KB212" s="922"/>
      <c r="KC212" s="922"/>
      <c r="KD212" s="922"/>
      <c r="KE212" s="922"/>
      <c r="KF212" s="922"/>
      <c r="KG212" s="922"/>
      <c r="KH212" s="922"/>
      <c r="KI212" s="922"/>
      <c r="KJ212" s="922"/>
      <c r="KK212" s="922"/>
      <c r="KL212" s="922"/>
      <c r="KM212" s="922"/>
      <c r="KN212" s="922"/>
      <c r="KO212" s="922"/>
      <c r="KP212" s="922"/>
      <c r="KQ212" s="922"/>
      <c r="KR212" s="922"/>
      <c r="KS212" s="922"/>
      <c r="KT212" s="922"/>
      <c r="KU212" s="922"/>
      <c r="KV212" s="922"/>
      <c r="KW212" s="922"/>
      <c r="KX212" s="922"/>
      <c r="KY212" s="922"/>
      <c r="KZ212" s="922"/>
      <c r="LA212" s="922"/>
      <c r="LB212" s="922"/>
      <c r="LC212" s="922"/>
      <c r="LD212" s="922"/>
      <c r="LE212" s="922"/>
      <c r="LF212" s="922"/>
      <c r="LG212" s="922"/>
      <c r="LH212" s="922"/>
      <c r="LI212" s="922"/>
      <c r="LJ212" s="922"/>
      <c r="LK212" s="922"/>
      <c r="LL212" s="922"/>
      <c r="LM212" s="922"/>
      <c r="LN212" s="922"/>
      <c r="LO212" s="922"/>
      <c r="LP212" s="922"/>
      <c r="LQ212" s="922"/>
      <c r="LR212" s="922"/>
      <c r="LS212" s="922"/>
      <c r="LT212" s="922"/>
      <c r="LU212" s="922"/>
      <c r="LV212" s="922"/>
      <c r="LW212" s="922"/>
      <c r="LX212" s="922"/>
      <c r="LY212" s="922"/>
      <c r="LZ212" s="922"/>
      <c r="MA212" s="922"/>
      <c r="MB212" s="922"/>
      <c r="MC212" s="922"/>
      <c r="MD212" s="922"/>
      <c r="ME212" s="922"/>
      <c r="MF212" s="922"/>
      <c r="MG212" s="922"/>
      <c r="MH212" s="922"/>
      <c r="MI212" s="922"/>
      <c r="MJ212" s="922"/>
      <c r="MK212" s="922"/>
      <c r="ML212" s="922"/>
      <c r="MM212" s="922"/>
      <c r="MN212" s="922"/>
      <c r="MO212" s="922"/>
      <c r="MP212" s="922"/>
      <c r="MQ212" s="922"/>
      <c r="MR212" s="922"/>
      <c r="MS212" s="922"/>
      <c r="MT212" s="922"/>
      <c r="MU212" s="922"/>
      <c r="MV212" s="922"/>
      <c r="MW212" s="922"/>
      <c r="MX212" s="922"/>
      <c r="MY212" s="922"/>
      <c r="MZ212" s="922"/>
      <c r="NA212" s="922"/>
      <c r="NB212" s="922"/>
      <c r="NC212" s="922"/>
      <c r="ND212" s="922"/>
      <c r="NE212" s="922"/>
      <c r="NF212" s="922"/>
      <c r="NG212" s="922"/>
      <c r="NH212" s="922"/>
      <c r="NI212" s="922"/>
      <c r="NJ212" s="922"/>
      <c r="NK212" s="922"/>
      <c r="NL212" s="922"/>
      <c r="NM212" s="922"/>
      <c r="NN212" s="922"/>
      <c r="NO212" s="922"/>
      <c r="NP212" s="922"/>
      <c r="NQ212" s="922"/>
      <c r="NR212" s="922"/>
      <c r="NS212" s="922"/>
      <c r="NT212" s="922"/>
      <c r="NU212" s="922"/>
      <c r="NV212" s="922"/>
      <c r="NW212" s="922"/>
      <c r="NX212" s="922"/>
      <c r="NY212" s="922"/>
      <c r="NZ212" s="922"/>
      <c r="OA212" s="922"/>
      <c r="OB212" s="922"/>
      <c r="OC212" s="922"/>
      <c r="OD212" s="922"/>
      <c r="OE212" s="922"/>
      <c r="OF212" s="922"/>
      <c r="OG212" s="922"/>
      <c r="OH212" s="922"/>
      <c r="OI212" s="922"/>
      <c r="OJ212" s="922"/>
      <c r="OK212" s="922"/>
      <c r="OL212" s="922"/>
      <c r="OM212" s="922"/>
      <c r="ON212" s="922"/>
      <c r="OO212" s="922"/>
      <c r="OP212" s="922"/>
      <c r="OQ212" s="922"/>
      <c r="OR212" s="922"/>
      <c r="OS212" s="922"/>
      <c r="OT212" s="922"/>
      <c r="OU212" s="922"/>
      <c r="OV212" s="922"/>
      <c r="OW212" s="922"/>
      <c r="OX212" s="922"/>
      <c r="OY212" s="922"/>
      <c r="OZ212" s="922"/>
      <c r="PA212" s="922"/>
      <c r="PB212" s="922"/>
      <c r="PC212" s="922"/>
      <c r="PD212" s="922"/>
      <c r="PE212" s="922"/>
      <c r="PF212" s="922"/>
      <c r="PG212" s="922"/>
      <c r="PH212" s="922"/>
      <c r="PI212" s="922"/>
      <c r="PJ212" s="922"/>
      <c r="PK212" s="922"/>
      <c r="PL212" s="922"/>
      <c r="PM212" s="922"/>
      <c r="PN212" s="922"/>
      <c r="PO212" s="922"/>
      <c r="PP212" s="922"/>
      <c r="PQ212" s="922"/>
      <c r="PR212" s="922"/>
      <c r="PS212" s="922"/>
      <c r="PT212" s="922"/>
      <c r="PU212" s="922"/>
      <c r="PV212" s="922"/>
      <c r="PW212" s="922"/>
      <c r="PX212" s="922"/>
      <c r="PY212" s="922"/>
      <c r="PZ212" s="922"/>
      <c r="QA212" s="922"/>
      <c r="QB212" s="922"/>
      <c r="QC212" s="922"/>
      <c r="QD212" s="922"/>
      <c r="QE212" s="922"/>
      <c r="QF212" s="922"/>
      <c r="QG212" s="922"/>
      <c r="QH212" s="922"/>
      <c r="QI212" s="922"/>
      <c r="QJ212" s="922"/>
      <c r="QK212" s="922"/>
      <c r="QL212" s="922"/>
      <c r="QM212" s="922"/>
      <c r="QN212" s="922"/>
      <c r="QO212" s="922"/>
      <c r="QP212" s="922"/>
      <c r="QQ212" s="922"/>
      <c r="QR212" s="922"/>
      <c r="QS212" s="922"/>
      <c r="QT212" s="922"/>
      <c r="QU212" s="922"/>
      <c r="QV212" s="922"/>
      <c r="QW212" s="922"/>
      <c r="QX212" s="922"/>
      <c r="QY212" s="922"/>
      <c r="QZ212" s="922"/>
      <c r="RA212" s="922"/>
      <c r="RB212" s="922"/>
      <c r="RC212" s="922"/>
      <c r="RD212" s="922"/>
      <c r="RE212" s="922"/>
      <c r="RF212" s="922"/>
      <c r="RG212" s="922"/>
      <c r="RH212" s="922"/>
      <c r="RI212" s="922"/>
      <c r="RJ212" s="922"/>
      <c r="RK212" s="922"/>
      <c r="RL212" s="922"/>
      <c r="RM212" s="922"/>
      <c r="RN212" s="922"/>
      <c r="RO212" s="922"/>
      <c r="RP212" s="922"/>
      <c r="RQ212" s="922"/>
      <c r="RR212" s="922"/>
      <c r="RS212" s="922"/>
      <c r="RT212" s="922"/>
      <c r="RU212" s="922"/>
      <c r="RV212" s="922"/>
      <c r="RW212" s="922"/>
      <c r="RX212" s="922"/>
      <c r="RY212" s="922"/>
      <c r="RZ212" s="922"/>
      <c r="SA212" s="922"/>
      <c r="SB212" s="922"/>
      <c r="SC212" s="922"/>
      <c r="SD212" s="922"/>
      <c r="SE212" s="922"/>
      <c r="SF212" s="922"/>
      <c r="SG212" s="922"/>
      <c r="SH212" s="922"/>
      <c r="SI212" s="922"/>
      <c r="SJ212" s="922"/>
      <c r="SK212" s="922"/>
      <c r="SL212" s="922"/>
      <c r="SM212" s="922"/>
      <c r="SN212" s="922"/>
      <c r="SO212" s="922"/>
      <c r="SP212" s="922"/>
      <c r="SQ212" s="922"/>
      <c r="SR212" s="922"/>
      <c r="SS212" s="922"/>
      <c r="ST212" s="922"/>
      <c r="SU212" s="922"/>
      <c r="SV212" s="922"/>
      <c r="SW212" s="922"/>
      <c r="SX212" s="922"/>
      <c r="SY212" s="922"/>
      <c r="SZ212" s="922"/>
      <c r="TA212" s="922"/>
      <c r="TB212" s="922"/>
      <c r="TC212" s="922"/>
      <c r="TD212" s="922"/>
      <c r="TE212" s="922"/>
      <c r="TF212" s="922"/>
      <c r="TG212" s="922"/>
      <c r="TH212" s="922"/>
      <c r="TI212" s="922"/>
      <c r="TJ212" s="922"/>
      <c r="TK212" s="922"/>
      <c r="TL212" s="922"/>
      <c r="TM212" s="922"/>
      <c r="TN212" s="922"/>
      <c r="TO212" s="922"/>
      <c r="TP212" s="922"/>
      <c r="TQ212" s="922"/>
      <c r="TR212" s="922"/>
      <c r="TS212" s="922"/>
      <c r="TT212" s="922"/>
      <c r="TU212" s="922"/>
      <c r="TV212" s="922"/>
      <c r="TW212" s="922"/>
      <c r="TX212" s="922"/>
      <c r="TY212" s="922"/>
      <c r="TZ212" s="922"/>
      <c r="UA212" s="922"/>
      <c r="UB212" s="922"/>
      <c r="UC212" s="922"/>
      <c r="UD212" s="922"/>
      <c r="UE212" s="922"/>
      <c r="UF212" s="922"/>
      <c r="UG212" s="922"/>
      <c r="UH212" s="922"/>
      <c r="UI212" s="922"/>
      <c r="UJ212" s="922"/>
      <c r="UK212" s="922"/>
      <c r="UL212" s="922"/>
      <c r="UM212" s="922"/>
      <c r="UN212" s="922"/>
      <c r="UO212" s="922"/>
      <c r="UP212" s="922"/>
      <c r="UQ212" s="922"/>
      <c r="UR212" s="922"/>
      <c r="US212" s="922"/>
      <c r="UT212" s="922"/>
      <c r="UU212" s="922"/>
      <c r="UV212" s="922"/>
      <c r="UW212" s="922"/>
      <c r="UX212" s="922"/>
      <c r="UY212" s="922"/>
      <c r="UZ212" s="922"/>
      <c r="VA212" s="922"/>
      <c r="VB212" s="922"/>
      <c r="VC212" s="922"/>
      <c r="VD212" s="922"/>
      <c r="VE212" s="922"/>
      <c r="VF212" s="922"/>
      <c r="VG212" s="922"/>
      <c r="VH212" s="922"/>
      <c r="VI212" s="922"/>
      <c r="VJ212" s="922"/>
      <c r="VK212" s="922"/>
      <c r="VL212" s="922"/>
      <c r="VM212" s="922"/>
      <c r="VN212" s="922"/>
      <c r="VO212" s="922"/>
      <c r="VP212" s="922"/>
      <c r="VQ212" s="922"/>
      <c r="VR212" s="922"/>
      <c r="VS212" s="922"/>
      <c r="VT212" s="922"/>
      <c r="VU212" s="922"/>
      <c r="VV212" s="922"/>
      <c r="VW212" s="922"/>
      <c r="VX212" s="922"/>
      <c r="VY212" s="922"/>
      <c r="VZ212" s="922"/>
      <c r="WA212" s="922"/>
      <c r="WB212" s="922"/>
      <c r="WC212" s="922"/>
      <c r="WD212" s="922"/>
      <c r="WE212" s="922"/>
      <c r="WF212" s="922"/>
      <c r="WG212" s="922"/>
      <c r="WH212" s="922"/>
      <c r="WI212" s="922"/>
      <c r="WJ212" s="922"/>
      <c r="WK212" s="922"/>
      <c r="WL212" s="922"/>
      <c r="WM212" s="922"/>
      <c r="WN212" s="922"/>
      <c r="WO212" s="922"/>
      <c r="WP212" s="922"/>
      <c r="WQ212" s="922"/>
      <c r="WR212" s="922"/>
      <c r="WS212" s="922"/>
      <c r="WT212" s="922"/>
      <c r="WU212" s="922"/>
      <c r="WV212" s="922"/>
      <c r="WW212" s="922"/>
      <c r="WX212" s="922"/>
      <c r="WY212" s="922"/>
      <c r="WZ212" s="922"/>
      <c r="XA212" s="922"/>
      <c r="XB212" s="922"/>
      <c r="XC212" s="922"/>
      <c r="XD212" s="922"/>
      <c r="XE212" s="922"/>
      <c r="XF212" s="922"/>
      <c r="XG212" s="922"/>
      <c r="XH212" s="922"/>
      <c r="XI212" s="922"/>
      <c r="XJ212" s="922"/>
      <c r="XK212" s="922"/>
      <c r="XL212" s="922"/>
      <c r="XM212" s="922"/>
      <c r="XN212" s="922"/>
      <c r="XO212" s="922"/>
      <c r="XP212" s="922"/>
      <c r="XQ212" s="922"/>
      <c r="XR212" s="922"/>
      <c r="XS212" s="922"/>
      <c r="XT212" s="922"/>
      <c r="XU212" s="922"/>
      <c r="XV212" s="922"/>
      <c r="XW212" s="922"/>
      <c r="XX212" s="922"/>
      <c r="XY212" s="922"/>
      <c r="XZ212" s="922"/>
      <c r="YA212" s="922"/>
      <c r="YB212" s="922"/>
      <c r="YC212" s="922"/>
      <c r="YD212" s="922"/>
      <c r="YE212" s="922"/>
      <c r="YF212" s="922"/>
      <c r="YG212" s="922"/>
      <c r="YH212" s="922"/>
      <c r="YI212" s="922"/>
      <c r="YJ212" s="922"/>
      <c r="YK212" s="922"/>
      <c r="YL212" s="922"/>
      <c r="YM212" s="922"/>
      <c r="YN212" s="922"/>
      <c r="YO212" s="922"/>
      <c r="YP212" s="922"/>
      <c r="YQ212" s="922"/>
      <c r="YR212" s="922"/>
      <c r="YS212" s="922"/>
      <c r="YT212" s="922"/>
      <c r="YU212" s="922"/>
      <c r="YV212" s="922"/>
      <c r="YW212" s="922"/>
      <c r="YX212" s="922"/>
      <c r="YY212" s="922"/>
      <c r="YZ212" s="922"/>
      <c r="ZA212" s="922"/>
      <c r="ZB212" s="922"/>
      <c r="ZC212" s="922"/>
      <c r="ZD212" s="922"/>
      <c r="ZE212" s="922"/>
      <c r="ZF212" s="922"/>
      <c r="ZG212" s="922"/>
      <c r="ZH212" s="922"/>
      <c r="ZI212" s="922"/>
      <c r="ZJ212" s="922"/>
      <c r="ZK212" s="922"/>
      <c r="ZL212" s="922"/>
      <c r="ZM212" s="922"/>
      <c r="ZN212" s="922"/>
      <c r="ZO212" s="922"/>
      <c r="ZP212" s="922"/>
      <c r="ZQ212" s="922"/>
      <c r="ZR212" s="922"/>
      <c r="ZS212" s="922"/>
      <c r="ZT212" s="922"/>
      <c r="ZU212" s="922"/>
      <c r="ZV212" s="922"/>
      <c r="ZW212" s="922"/>
      <c r="ZX212" s="922"/>
      <c r="ZY212" s="922"/>
      <c r="ZZ212" s="922"/>
      <c r="AAA212" s="922"/>
      <c r="AAB212" s="922"/>
      <c r="AAC212" s="922"/>
      <c r="AAD212" s="922"/>
      <c r="AAE212" s="922"/>
      <c r="AAF212" s="922"/>
      <c r="AAG212" s="922"/>
      <c r="AAH212" s="922"/>
      <c r="AAI212" s="922"/>
      <c r="AAJ212" s="922"/>
      <c r="AAK212" s="922"/>
      <c r="AAL212" s="922"/>
      <c r="AAM212" s="922"/>
      <c r="AAN212" s="922"/>
      <c r="AAO212" s="922"/>
      <c r="AAP212" s="922"/>
      <c r="AAQ212" s="922"/>
      <c r="AAR212" s="922"/>
      <c r="AAS212" s="922"/>
      <c r="AAT212" s="922"/>
      <c r="AAU212" s="922"/>
      <c r="AAV212" s="922"/>
      <c r="AAW212" s="922"/>
      <c r="AAX212" s="922"/>
      <c r="AAY212" s="922"/>
      <c r="AAZ212" s="922"/>
      <c r="ABA212" s="922"/>
      <c r="ABB212" s="922"/>
      <c r="ABC212" s="922"/>
      <c r="ABD212" s="922"/>
      <c r="ABE212" s="922"/>
      <c r="ABF212" s="922"/>
      <c r="ABG212" s="922"/>
      <c r="ABH212" s="922"/>
      <c r="ABI212" s="922"/>
      <c r="ABJ212" s="922"/>
      <c r="ABK212" s="922"/>
      <c r="ABL212" s="922"/>
      <c r="ABM212" s="922"/>
      <c r="ABN212" s="922"/>
      <c r="ABO212" s="922"/>
      <c r="ABP212" s="922"/>
      <c r="ABQ212" s="922"/>
      <c r="ABR212" s="922"/>
      <c r="ABS212" s="922"/>
      <c r="ABT212" s="922"/>
      <c r="ABU212" s="922"/>
      <c r="ABV212" s="922"/>
      <c r="ABW212" s="922"/>
      <c r="ABX212" s="922"/>
      <c r="ABY212" s="922"/>
      <c r="ABZ212" s="922"/>
      <c r="ACA212" s="922"/>
      <c r="ACB212" s="922"/>
      <c r="ACC212" s="922"/>
      <c r="ACD212" s="922"/>
      <c r="ACE212" s="922"/>
      <c r="ACF212" s="922"/>
      <c r="ACG212" s="922"/>
      <c r="ACH212" s="922"/>
      <c r="ACI212" s="922"/>
      <c r="ACJ212" s="922"/>
      <c r="ACK212" s="922"/>
      <c r="ACL212" s="922"/>
      <c r="ACM212" s="922"/>
      <c r="ACN212" s="922"/>
      <c r="ACO212" s="922"/>
      <c r="ACP212" s="922"/>
      <c r="ACQ212" s="922"/>
      <c r="ACR212" s="922"/>
      <c r="ACS212" s="922"/>
      <c r="ACT212" s="922"/>
      <c r="ACU212" s="922"/>
      <c r="ACV212" s="922"/>
      <c r="ACW212" s="922"/>
      <c r="ACX212" s="922"/>
      <c r="ACY212" s="922"/>
      <c r="ACZ212" s="922"/>
      <c r="ADA212" s="922"/>
      <c r="ADB212" s="922"/>
      <c r="ADC212" s="922"/>
      <c r="ADD212" s="922"/>
      <c r="ADE212" s="922"/>
      <c r="ADF212" s="922"/>
      <c r="ADG212" s="922"/>
      <c r="ADH212" s="922"/>
      <c r="ADI212" s="922"/>
      <c r="ADJ212" s="922"/>
      <c r="ADK212" s="922"/>
      <c r="ADL212" s="922"/>
      <c r="ADM212" s="922"/>
      <c r="ADN212" s="922"/>
      <c r="ADO212" s="922"/>
      <c r="ADP212" s="922"/>
      <c r="ADQ212" s="922"/>
      <c r="ADR212" s="922"/>
      <c r="ADS212" s="922"/>
      <c r="ADT212" s="922"/>
      <c r="ADU212" s="922"/>
      <c r="ADV212" s="922"/>
      <c r="ADW212" s="922"/>
      <c r="ADX212" s="922"/>
      <c r="ADY212" s="922"/>
      <c r="ADZ212" s="922"/>
      <c r="AEA212" s="922"/>
      <c r="AEB212" s="922"/>
      <c r="AEC212" s="922"/>
      <c r="AED212" s="922"/>
      <c r="AEE212" s="922"/>
      <c r="AEF212" s="922"/>
      <c r="AEG212" s="922"/>
      <c r="AEH212" s="922"/>
      <c r="AEI212" s="922"/>
      <c r="AEJ212" s="922"/>
      <c r="AEK212" s="922"/>
      <c r="AEL212" s="922"/>
      <c r="AEM212" s="922"/>
      <c r="AEN212" s="922"/>
      <c r="AEO212" s="922"/>
      <c r="AEP212" s="922"/>
      <c r="AEQ212" s="922"/>
      <c r="AER212" s="922"/>
      <c r="AES212" s="922"/>
      <c r="AET212" s="922"/>
      <c r="AEU212" s="922"/>
      <c r="AEV212" s="922"/>
      <c r="AEW212" s="922"/>
      <c r="AEX212" s="922"/>
      <c r="AEY212" s="922"/>
      <c r="AEZ212" s="922"/>
      <c r="AFA212" s="922"/>
      <c r="AFB212" s="922"/>
      <c r="AFC212" s="922"/>
      <c r="AFD212" s="922"/>
      <c r="AFE212" s="922"/>
      <c r="AFF212" s="922"/>
      <c r="AFG212" s="922"/>
      <c r="AFH212" s="922"/>
      <c r="AFI212" s="922"/>
      <c r="AFJ212" s="922"/>
      <c r="AFK212" s="922"/>
      <c r="AFL212" s="922"/>
      <c r="AFM212" s="922"/>
      <c r="AFN212" s="922"/>
      <c r="AFO212" s="922"/>
      <c r="AFP212" s="922"/>
      <c r="AFQ212" s="922"/>
      <c r="AFR212" s="922"/>
      <c r="AFS212" s="922"/>
      <c r="AFT212" s="922"/>
      <c r="AFU212" s="922"/>
      <c r="AFV212" s="922"/>
      <c r="AFW212" s="922"/>
      <c r="AFX212" s="922"/>
      <c r="AFY212" s="922"/>
      <c r="AFZ212" s="922"/>
      <c r="AGA212" s="922"/>
      <c r="AGB212" s="922"/>
      <c r="AGC212" s="922"/>
      <c r="AGD212" s="922"/>
      <c r="AGE212" s="922"/>
      <c r="AGF212" s="922"/>
      <c r="AGG212" s="922"/>
      <c r="AGH212" s="922"/>
      <c r="AGI212" s="922"/>
      <c r="AGJ212" s="922"/>
      <c r="AGK212" s="922"/>
      <c r="AGL212" s="922"/>
      <c r="AGM212" s="922"/>
      <c r="AGN212" s="922"/>
      <c r="AGO212" s="922"/>
      <c r="AGP212" s="922"/>
      <c r="AGQ212" s="922"/>
      <c r="AGR212" s="922"/>
      <c r="AGS212" s="922"/>
      <c r="AGT212" s="922"/>
      <c r="AGU212" s="922"/>
      <c r="AGV212" s="922"/>
      <c r="AGW212" s="922"/>
      <c r="AGX212" s="922"/>
      <c r="AGY212" s="922"/>
      <c r="AGZ212" s="922"/>
      <c r="AHA212" s="922"/>
      <c r="AHB212" s="922"/>
      <c r="AHC212" s="922"/>
      <c r="AHD212" s="922"/>
      <c r="AHE212" s="922"/>
      <c r="AHF212" s="922"/>
      <c r="AHG212" s="922"/>
      <c r="AHH212" s="922"/>
      <c r="AHI212" s="922"/>
      <c r="AHJ212" s="922"/>
      <c r="AHK212" s="922"/>
      <c r="AHL212" s="922"/>
      <c r="AHM212" s="922"/>
      <c r="AHN212" s="922"/>
      <c r="AHO212" s="922"/>
      <c r="AHP212" s="922"/>
      <c r="AHQ212" s="922"/>
      <c r="AHR212" s="922"/>
      <c r="AHS212" s="922"/>
      <c r="AHT212" s="922"/>
      <c r="AHU212" s="922"/>
      <c r="AHV212" s="922"/>
      <c r="AHW212" s="922"/>
      <c r="AHX212" s="922"/>
      <c r="AHY212" s="922"/>
      <c r="AHZ212" s="922"/>
      <c r="AIA212" s="922"/>
      <c r="AIB212" s="922"/>
      <c r="AIC212" s="922"/>
      <c r="AID212" s="922"/>
      <c r="AIE212" s="922"/>
      <c r="AIF212" s="922"/>
      <c r="AIG212" s="922"/>
      <c r="AIH212" s="922"/>
      <c r="AII212" s="922"/>
      <c r="AIJ212" s="922"/>
      <c r="AIK212" s="922"/>
      <c r="AIL212" s="922"/>
      <c r="AIM212" s="922"/>
      <c r="AIN212" s="922"/>
      <c r="AIO212" s="922"/>
      <c r="AIP212" s="922"/>
      <c r="AIQ212" s="922"/>
      <c r="AIR212" s="922"/>
      <c r="AIS212" s="922"/>
      <c r="AIT212" s="922"/>
      <c r="AIU212" s="922"/>
      <c r="AIV212" s="922"/>
      <c r="AIW212" s="922"/>
      <c r="AIX212" s="922"/>
      <c r="AIY212" s="922"/>
      <c r="AIZ212" s="922"/>
      <c r="AJA212" s="922"/>
      <c r="AJB212" s="922"/>
      <c r="AJC212" s="922"/>
      <c r="AJD212" s="922"/>
      <c r="AJE212" s="922"/>
      <c r="AJF212" s="922"/>
      <c r="AJG212" s="922"/>
      <c r="AJH212" s="922"/>
      <c r="AJI212" s="922"/>
      <c r="AJJ212" s="922"/>
      <c r="AJK212" s="922"/>
      <c r="AJL212" s="922"/>
      <c r="AJM212" s="922"/>
      <c r="AJN212" s="922"/>
      <c r="AJO212" s="922"/>
      <c r="AJP212" s="922"/>
      <c r="AJQ212" s="922"/>
      <c r="AJR212" s="922"/>
      <c r="AJS212" s="922"/>
      <c r="AJT212" s="922"/>
      <c r="AJU212" s="922"/>
      <c r="AJV212" s="922"/>
      <c r="AJW212" s="922"/>
      <c r="AJX212" s="922"/>
      <c r="AJY212" s="922"/>
      <c r="AJZ212" s="922"/>
      <c r="AKA212" s="922"/>
      <c r="AKB212" s="922"/>
      <c r="AKC212" s="922"/>
      <c r="AKD212" s="922"/>
      <c r="AKE212" s="922"/>
      <c r="AKF212" s="922"/>
      <c r="AKG212" s="922"/>
      <c r="AKH212" s="922"/>
      <c r="AKI212" s="922"/>
      <c r="AKJ212" s="922"/>
      <c r="AKK212" s="922"/>
      <c r="AKL212" s="922"/>
      <c r="AKM212" s="922"/>
      <c r="AKN212" s="922"/>
      <c r="AKO212" s="922"/>
      <c r="AKP212" s="922"/>
      <c r="AKQ212" s="922"/>
      <c r="AKR212" s="922"/>
      <c r="AKS212" s="922"/>
      <c r="AKT212" s="922"/>
      <c r="AKU212" s="922"/>
      <c r="AKV212" s="922"/>
      <c r="AKW212" s="922"/>
      <c r="AKX212" s="922"/>
      <c r="AKY212" s="922"/>
      <c r="AKZ212" s="922"/>
      <c r="ALA212" s="922"/>
      <c r="ALB212" s="922"/>
      <c r="ALC212" s="922"/>
      <c r="ALD212" s="922"/>
      <c r="ALE212" s="922"/>
      <c r="ALF212" s="922"/>
      <c r="ALG212" s="922"/>
      <c r="ALH212" s="922"/>
      <c r="ALI212" s="922"/>
      <c r="ALJ212" s="922"/>
      <c r="ALK212" s="922"/>
      <c r="ALL212" s="922"/>
      <c r="ALM212" s="922"/>
      <c r="ALN212" s="922"/>
      <c r="ALO212" s="922"/>
      <c r="ALP212" s="922"/>
      <c r="ALQ212" s="922"/>
      <c r="ALR212" s="922"/>
      <c r="ALS212" s="922"/>
      <c r="ALT212" s="922"/>
      <c r="ALU212" s="922"/>
      <c r="ALV212" s="922"/>
      <c r="ALW212" s="922"/>
      <c r="ALX212" s="922"/>
      <c r="ALY212" s="922"/>
      <c r="ALZ212" s="922"/>
      <c r="AMA212" s="922"/>
      <c r="AMB212" s="922"/>
      <c r="AMC212" s="922"/>
      <c r="AMD212" s="922"/>
      <c r="AME212" s="922"/>
      <c r="AMF212" s="922"/>
      <c r="AMG212" s="922"/>
      <c r="AMH212" s="922"/>
      <c r="AMI212" s="922"/>
      <c r="AMJ212" s="922"/>
      <c r="AMK212" s="922"/>
      <c r="AML212" s="922"/>
      <c r="AMM212" s="922"/>
      <c r="AMN212" s="922"/>
      <c r="AMO212" s="922"/>
      <c r="AMP212" s="922"/>
      <c r="AMQ212" s="922"/>
      <c r="AMR212" s="922"/>
      <c r="AMS212" s="922"/>
      <c r="AMT212" s="922"/>
      <c r="AMU212" s="922"/>
      <c r="AMV212" s="922"/>
      <c r="AMW212" s="922"/>
      <c r="AMX212" s="922"/>
      <c r="AMY212" s="922"/>
      <c r="AMZ212" s="922"/>
      <c r="ANA212" s="922"/>
      <c r="ANB212" s="922"/>
      <c r="ANC212" s="922"/>
      <c r="AND212" s="922"/>
      <c r="ANE212" s="922"/>
      <c r="ANF212" s="922"/>
      <c r="ANG212" s="922"/>
      <c r="ANH212" s="922"/>
      <c r="ANI212" s="922"/>
      <c r="ANJ212" s="922"/>
      <c r="ANK212" s="922"/>
      <c r="ANL212" s="922"/>
      <c r="ANM212" s="922"/>
      <c r="ANN212" s="922"/>
      <c r="ANO212" s="922"/>
      <c r="ANP212" s="922"/>
      <c r="ANQ212" s="922"/>
      <c r="ANR212" s="922"/>
      <c r="ANS212" s="922"/>
      <c r="ANT212" s="922"/>
      <c r="ANU212" s="922"/>
      <c r="ANV212" s="922"/>
      <c r="ANW212" s="922"/>
      <c r="ANX212" s="922"/>
      <c r="ANY212" s="922"/>
      <c r="ANZ212" s="922"/>
      <c r="AOA212" s="922"/>
      <c r="AOB212" s="922"/>
      <c r="AOC212" s="922"/>
      <c r="AOD212" s="922"/>
      <c r="AOE212" s="922"/>
      <c r="AOF212" s="922"/>
      <c r="AOG212" s="922"/>
      <c r="AOH212" s="922"/>
      <c r="AOI212" s="922"/>
      <c r="AOJ212" s="922"/>
      <c r="AOK212" s="922"/>
      <c r="AOL212" s="922"/>
      <c r="AOM212" s="922"/>
      <c r="AON212" s="922"/>
      <c r="AOO212" s="922"/>
      <c r="AOP212" s="922"/>
      <c r="AOQ212" s="922"/>
      <c r="AOR212" s="922"/>
      <c r="AOS212" s="922"/>
      <c r="AOT212" s="922"/>
      <c r="AOU212" s="922"/>
      <c r="AOV212" s="922"/>
      <c r="AOW212" s="922"/>
      <c r="AOX212" s="922"/>
      <c r="AOY212" s="922"/>
      <c r="AOZ212" s="922"/>
      <c r="APA212" s="922"/>
      <c r="APB212" s="922"/>
      <c r="APC212" s="922"/>
      <c r="APD212" s="922"/>
      <c r="APE212" s="922"/>
      <c r="APF212" s="922"/>
      <c r="APG212" s="922"/>
      <c r="APH212" s="922"/>
      <c r="API212" s="922"/>
      <c r="APJ212" s="922"/>
      <c r="APK212" s="922"/>
      <c r="APL212" s="922"/>
      <c r="APM212" s="922"/>
      <c r="APN212" s="922"/>
      <c r="APO212" s="922"/>
      <c r="APP212" s="922"/>
      <c r="APQ212" s="922"/>
      <c r="APR212" s="922"/>
      <c r="APS212" s="922"/>
      <c r="APT212" s="922"/>
      <c r="APU212" s="922"/>
      <c r="APV212" s="922"/>
      <c r="APW212" s="922"/>
      <c r="APX212" s="922"/>
      <c r="APY212" s="922"/>
      <c r="APZ212" s="922"/>
      <c r="AQA212" s="922"/>
      <c r="AQB212" s="922"/>
      <c r="AQC212" s="922"/>
      <c r="AQD212" s="922"/>
      <c r="AQE212" s="922"/>
      <c r="AQF212" s="922"/>
      <c r="AQG212" s="922"/>
      <c r="AQH212" s="922"/>
      <c r="AQI212" s="922"/>
      <c r="AQJ212" s="922"/>
      <c r="AQK212" s="922"/>
      <c r="AQL212" s="922"/>
      <c r="AQM212" s="922"/>
      <c r="AQN212" s="922"/>
      <c r="AQO212" s="922"/>
      <c r="AQP212" s="922"/>
      <c r="AQQ212" s="922"/>
      <c r="AQR212" s="922"/>
      <c r="AQS212" s="922"/>
      <c r="AQT212" s="922"/>
      <c r="AQU212" s="922"/>
      <c r="AQV212" s="922"/>
      <c r="AQW212" s="922"/>
      <c r="AQX212" s="922"/>
      <c r="AQY212" s="922"/>
      <c r="AQZ212" s="922"/>
      <c r="ARA212" s="922"/>
      <c r="ARB212" s="922"/>
      <c r="ARC212" s="922"/>
      <c r="ARD212" s="922"/>
      <c r="ARE212" s="922"/>
      <c r="ARF212" s="922"/>
      <c r="ARG212" s="922"/>
      <c r="ARH212" s="922"/>
      <c r="ARI212" s="922"/>
      <c r="ARJ212" s="922"/>
      <c r="ARK212" s="922"/>
      <c r="ARL212" s="922"/>
      <c r="ARM212" s="922"/>
      <c r="ARN212" s="922"/>
      <c r="ARO212" s="922"/>
      <c r="ARP212" s="922"/>
      <c r="ARQ212" s="922"/>
      <c r="ARR212" s="922"/>
      <c r="ARS212" s="922"/>
      <c r="ART212" s="922"/>
      <c r="ARU212" s="922"/>
      <c r="ARV212" s="922"/>
      <c r="ARW212" s="922"/>
      <c r="ARX212" s="922"/>
      <c r="ARY212" s="922"/>
      <c r="ARZ212" s="922"/>
      <c r="ASA212" s="922"/>
      <c r="ASB212" s="922"/>
      <c r="ASC212" s="922"/>
    </row>
    <row r="213" spans="20:1173" hidden="1">
      <c r="T213" s="922"/>
      <c r="AN213" s="922"/>
      <c r="AO213" s="922"/>
      <c r="AP213" s="922"/>
      <c r="AQ213" s="922"/>
      <c r="AR213" s="922"/>
      <c r="AS213" s="922"/>
      <c r="AT213" s="922"/>
      <c r="AU213" s="922"/>
      <c r="AV213" s="922"/>
      <c r="AW213" s="922"/>
      <c r="AX213" s="922"/>
      <c r="AY213" s="922"/>
      <c r="AZ213" s="922"/>
      <c r="BA213" s="922"/>
      <c r="BB213" s="922"/>
      <c r="BC213" s="922"/>
      <c r="BD213" s="922"/>
      <c r="BE213" s="922"/>
      <c r="BF213" s="922"/>
      <c r="BG213" s="922"/>
      <c r="BH213" s="922"/>
      <c r="BI213" s="922"/>
      <c r="BJ213" s="922"/>
      <c r="BK213" s="922"/>
      <c r="BL213" s="922"/>
      <c r="BM213" s="922"/>
      <c r="BN213" s="922"/>
      <c r="BO213" s="922"/>
      <c r="BP213" s="922"/>
      <c r="BQ213" s="922"/>
      <c r="BR213" s="922"/>
      <c r="BS213" s="922"/>
      <c r="BT213" s="922"/>
      <c r="BU213" s="922"/>
      <c r="BV213" s="922"/>
      <c r="BW213" s="922"/>
      <c r="BX213" s="922"/>
      <c r="BY213" s="922"/>
      <c r="BZ213" s="922"/>
      <c r="CA213" s="922"/>
      <c r="CB213" s="922"/>
      <c r="CC213" s="922"/>
      <c r="CD213" s="922"/>
      <c r="CE213" s="922"/>
      <c r="CF213" s="922"/>
      <c r="CG213" s="922"/>
      <c r="CH213" s="922"/>
      <c r="CI213" s="922"/>
      <c r="CJ213" s="922"/>
      <c r="CK213" s="922"/>
      <c r="CL213" s="922"/>
      <c r="CM213" s="922"/>
      <c r="CN213" s="922"/>
      <c r="CO213" s="922"/>
      <c r="CP213" s="922"/>
      <c r="CQ213" s="922"/>
      <c r="CR213" s="922"/>
      <c r="CS213" s="922"/>
      <c r="CT213" s="922"/>
      <c r="CU213" s="922"/>
      <c r="CV213" s="922"/>
      <c r="CW213" s="922"/>
      <c r="CX213" s="922"/>
      <c r="CY213" s="922"/>
      <c r="CZ213" s="922"/>
      <c r="DA213" s="922"/>
      <c r="DB213" s="922"/>
      <c r="DC213" s="922"/>
      <c r="DD213" s="922"/>
      <c r="DE213" s="922"/>
      <c r="DF213" s="922"/>
      <c r="DG213" s="922"/>
      <c r="DH213" s="922"/>
      <c r="DI213" s="922"/>
      <c r="DJ213" s="922"/>
      <c r="DK213" s="922"/>
      <c r="DL213" s="922"/>
      <c r="DM213" s="922"/>
      <c r="DN213" s="922"/>
      <c r="DO213" s="922"/>
      <c r="DP213" s="922"/>
      <c r="DQ213" s="922"/>
      <c r="DR213" s="922"/>
      <c r="DS213" s="922"/>
      <c r="DT213" s="922"/>
      <c r="DU213" s="922"/>
      <c r="DV213" s="922"/>
      <c r="DW213" s="922"/>
      <c r="DX213" s="922"/>
      <c r="DY213" s="922"/>
      <c r="DZ213" s="922"/>
      <c r="EA213" s="922"/>
      <c r="EB213" s="922"/>
      <c r="EC213" s="922"/>
      <c r="ED213" s="922"/>
      <c r="EE213" s="922"/>
      <c r="EF213" s="922"/>
      <c r="EG213" s="922"/>
      <c r="EH213" s="922"/>
      <c r="EI213" s="922"/>
      <c r="EJ213" s="922"/>
      <c r="EK213" s="922"/>
      <c r="EL213" s="922"/>
      <c r="EM213" s="922"/>
      <c r="EN213" s="922"/>
      <c r="EO213" s="922"/>
      <c r="EP213" s="922"/>
      <c r="EQ213" s="922"/>
      <c r="ER213" s="922"/>
      <c r="ES213" s="922"/>
      <c r="ET213" s="922"/>
      <c r="EU213" s="922"/>
      <c r="EV213" s="922"/>
      <c r="EW213" s="922"/>
      <c r="EX213" s="922"/>
      <c r="EY213" s="922"/>
      <c r="EZ213" s="922"/>
      <c r="FA213" s="922"/>
      <c r="FB213" s="922"/>
      <c r="FC213" s="922"/>
      <c r="FD213" s="922"/>
      <c r="FE213" s="922"/>
      <c r="FF213" s="922"/>
      <c r="FG213" s="922"/>
      <c r="FH213" s="922"/>
      <c r="FI213" s="922"/>
      <c r="FJ213" s="922"/>
      <c r="FK213" s="922"/>
      <c r="FL213" s="922"/>
      <c r="FM213" s="922"/>
      <c r="FN213" s="922"/>
      <c r="FO213" s="922"/>
      <c r="FP213" s="922"/>
      <c r="FQ213" s="922"/>
      <c r="FR213" s="922"/>
      <c r="FS213" s="922"/>
      <c r="FT213" s="922"/>
      <c r="FU213" s="922"/>
      <c r="FV213" s="922"/>
      <c r="FW213" s="922"/>
      <c r="FX213" s="922"/>
      <c r="FY213" s="922"/>
      <c r="FZ213" s="922"/>
      <c r="GA213" s="922"/>
      <c r="GB213" s="922"/>
      <c r="GC213" s="922"/>
      <c r="GD213" s="922"/>
      <c r="GE213" s="922"/>
      <c r="GF213" s="922"/>
      <c r="GG213" s="922"/>
      <c r="GH213" s="922"/>
      <c r="GI213" s="922"/>
      <c r="GJ213" s="922"/>
      <c r="GK213" s="922"/>
      <c r="GL213" s="922"/>
      <c r="GM213" s="922"/>
      <c r="GN213" s="922"/>
      <c r="GO213" s="922"/>
      <c r="GP213" s="922"/>
      <c r="GQ213" s="922"/>
      <c r="GR213" s="922"/>
      <c r="GS213" s="922"/>
      <c r="GT213" s="922"/>
      <c r="GU213" s="922"/>
      <c r="GV213" s="922"/>
      <c r="GW213" s="922"/>
      <c r="GX213" s="922"/>
      <c r="GY213" s="922"/>
      <c r="GZ213" s="922"/>
      <c r="HA213" s="922"/>
      <c r="HB213" s="922"/>
      <c r="HC213" s="922"/>
      <c r="HD213" s="922"/>
      <c r="HE213" s="922"/>
      <c r="HF213" s="922"/>
      <c r="HG213" s="922"/>
      <c r="HH213" s="922"/>
      <c r="HI213" s="922"/>
      <c r="HJ213" s="922"/>
      <c r="HK213" s="922"/>
      <c r="HL213" s="922"/>
      <c r="HM213" s="922"/>
      <c r="HN213" s="922"/>
      <c r="HO213" s="922"/>
      <c r="HP213" s="922"/>
      <c r="HQ213" s="922"/>
      <c r="HR213" s="922"/>
      <c r="HS213" s="922"/>
      <c r="HT213" s="922"/>
      <c r="HU213" s="922"/>
      <c r="HV213" s="922"/>
      <c r="HW213" s="922"/>
      <c r="HX213" s="922"/>
      <c r="HY213" s="922"/>
      <c r="HZ213" s="922"/>
      <c r="IA213" s="922"/>
      <c r="IB213" s="922"/>
      <c r="IC213" s="922"/>
      <c r="ID213" s="922"/>
      <c r="IE213" s="922"/>
      <c r="IF213" s="922"/>
      <c r="IG213" s="922"/>
      <c r="IH213" s="922"/>
      <c r="II213" s="922"/>
      <c r="IJ213" s="922"/>
      <c r="IK213" s="922"/>
      <c r="IL213" s="922"/>
      <c r="IM213" s="922"/>
      <c r="IN213" s="922"/>
      <c r="IO213" s="922"/>
      <c r="IP213" s="922"/>
      <c r="IQ213" s="922"/>
      <c r="IR213" s="922"/>
      <c r="IS213" s="922"/>
      <c r="IT213" s="922"/>
      <c r="IU213" s="922"/>
      <c r="IV213" s="922"/>
      <c r="IW213" s="922"/>
      <c r="IX213" s="922"/>
      <c r="IY213" s="922"/>
      <c r="IZ213" s="922"/>
      <c r="JA213" s="922"/>
      <c r="JB213" s="922"/>
      <c r="JC213" s="922"/>
      <c r="JD213" s="922"/>
      <c r="JE213" s="922"/>
      <c r="JF213" s="922"/>
      <c r="JG213" s="922"/>
      <c r="JH213" s="922"/>
      <c r="JI213" s="922"/>
      <c r="JJ213" s="922"/>
      <c r="JK213" s="922"/>
      <c r="JL213" s="922"/>
      <c r="JM213" s="922"/>
      <c r="JN213" s="922"/>
      <c r="JO213" s="922"/>
      <c r="JP213" s="922"/>
      <c r="JQ213" s="922"/>
      <c r="JR213" s="922"/>
      <c r="JS213" s="922"/>
      <c r="JT213" s="922"/>
      <c r="JU213" s="922"/>
      <c r="JV213" s="922"/>
      <c r="JW213" s="922"/>
      <c r="JX213" s="922"/>
      <c r="JY213" s="922"/>
      <c r="JZ213" s="922"/>
      <c r="KA213" s="922"/>
      <c r="KB213" s="922"/>
      <c r="KC213" s="922"/>
      <c r="KD213" s="922"/>
      <c r="KE213" s="922"/>
      <c r="KF213" s="922"/>
      <c r="KG213" s="922"/>
      <c r="KH213" s="922"/>
      <c r="KI213" s="922"/>
      <c r="KJ213" s="922"/>
      <c r="KK213" s="922"/>
      <c r="KL213" s="922"/>
      <c r="KM213" s="922"/>
      <c r="KN213" s="922"/>
      <c r="KO213" s="922"/>
      <c r="KP213" s="922"/>
      <c r="KQ213" s="922"/>
      <c r="KR213" s="922"/>
      <c r="KS213" s="922"/>
      <c r="KT213" s="922"/>
      <c r="KU213" s="922"/>
      <c r="KV213" s="922"/>
      <c r="KW213" s="922"/>
      <c r="KX213" s="922"/>
      <c r="KY213" s="922"/>
      <c r="KZ213" s="922"/>
      <c r="LA213" s="922"/>
      <c r="LB213" s="922"/>
      <c r="LC213" s="922"/>
      <c r="LD213" s="922"/>
      <c r="LE213" s="922"/>
      <c r="LF213" s="922"/>
      <c r="LG213" s="922"/>
      <c r="LH213" s="922"/>
      <c r="LI213" s="922"/>
      <c r="LJ213" s="922"/>
      <c r="LK213" s="922"/>
      <c r="LL213" s="922"/>
      <c r="LM213" s="922"/>
      <c r="LN213" s="922"/>
      <c r="LO213" s="922"/>
      <c r="LP213" s="922"/>
      <c r="LQ213" s="922"/>
      <c r="LR213" s="922"/>
      <c r="LS213" s="922"/>
      <c r="LT213" s="922"/>
      <c r="LU213" s="922"/>
      <c r="LV213" s="922"/>
      <c r="LW213" s="922"/>
      <c r="LX213" s="922"/>
      <c r="LY213" s="922"/>
      <c r="LZ213" s="922"/>
      <c r="MA213" s="922"/>
      <c r="MB213" s="922"/>
      <c r="MC213" s="922"/>
      <c r="MD213" s="922"/>
      <c r="ME213" s="922"/>
      <c r="MF213" s="922"/>
      <c r="MG213" s="922"/>
      <c r="MH213" s="922"/>
      <c r="MI213" s="922"/>
      <c r="MJ213" s="922"/>
      <c r="MK213" s="922"/>
      <c r="ML213" s="922"/>
      <c r="MM213" s="922"/>
      <c r="MN213" s="922"/>
      <c r="MO213" s="922"/>
      <c r="MP213" s="922"/>
      <c r="MQ213" s="922"/>
      <c r="MR213" s="922"/>
      <c r="MS213" s="922"/>
      <c r="MT213" s="922"/>
      <c r="MU213" s="922"/>
      <c r="MV213" s="922"/>
      <c r="MW213" s="922"/>
      <c r="MX213" s="922"/>
      <c r="MY213" s="922"/>
      <c r="MZ213" s="922"/>
      <c r="NA213" s="922"/>
      <c r="NB213" s="922"/>
      <c r="NC213" s="922"/>
      <c r="ND213" s="922"/>
      <c r="NE213" s="922"/>
      <c r="NF213" s="922"/>
      <c r="NG213" s="922"/>
      <c r="NH213" s="922"/>
      <c r="NI213" s="922"/>
      <c r="NJ213" s="922"/>
      <c r="NK213" s="922"/>
      <c r="NL213" s="922"/>
      <c r="NM213" s="922"/>
      <c r="NN213" s="922"/>
      <c r="NO213" s="922"/>
      <c r="NP213" s="922"/>
      <c r="NQ213" s="922"/>
      <c r="NR213" s="922"/>
      <c r="NS213" s="922"/>
      <c r="NT213" s="922"/>
      <c r="NU213" s="922"/>
      <c r="NV213" s="922"/>
      <c r="NW213" s="922"/>
      <c r="NX213" s="922"/>
      <c r="NY213" s="922"/>
      <c r="NZ213" s="922"/>
      <c r="OA213" s="922"/>
      <c r="OB213" s="922"/>
      <c r="OC213" s="922"/>
      <c r="OD213" s="922"/>
      <c r="OE213" s="922"/>
      <c r="OF213" s="922"/>
      <c r="OG213" s="922"/>
      <c r="OH213" s="922"/>
      <c r="OI213" s="922"/>
      <c r="OJ213" s="922"/>
      <c r="OK213" s="922"/>
      <c r="OL213" s="922"/>
      <c r="OM213" s="922"/>
      <c r="ON213" s="922"/>
      <c r="OO213" s="922"/>
      <c r="OP213" s="922"/>
      <c r="OQ213" s="922"/>
      <c r="OR213" s="922"/>
      <c r="OS213" s="922"/>
      <c r="OT213" s="922"/>
      <c r="OU213" s="922"/>
      <c r="OV213" s="922"/>
      <c r="OW213" s="922"/>
      <c r="OX213" s="922"/>
      <c r="OY213" s="922"/>
      <c r="OZ213" s="922"/>
      <c r="PA213" s="922"/>
      <c r="PB213" s="922"/>
      <c r="PC213" s="922"/>
      <c r="PD213" s="922"/>
      <c r="PE213" s="922"/>
      <c r="PF213" s="922"/>
      <c r="PG213" s="922"/>
      <c r="PH213" s="922"/>
      <c r="PI213" s="922"/>
      <c r="PJ213" s="922"/>
      <c r="PK213" s="922"/>
      <c r="PL213" s="922"/>
      <c r="PM213" s="922"/>
      <c r="PN213" s="922"/>
      <c r="PO213" s="922"/>
      <c r="PP213" s="922"/>
      <c r="PQ213" s="922"/>
      <c r="PR213" s="922"/>
      <c r="PS213" s="922"/>
      <c r="PT213" s="922"/>
      <c r="PU213" s="922"/>
      <c r="PV213" s="922"/>
      <c r="PW213" s="922"/>
      <c r="PX213" s="922"/>
      <c r="PY213" s="922"/>
      <c r="PZ213" s="922"/>
      <c r="QA213" s="922"/>
      <c r="QB213" s="922"/>
      <c r="QC213" s="922"/>
      <c r="QD213" s="922"/>
      <c r="QE213" s="922"/>
      <c r="QF213" s="922"/>
      <c r="QG213" s="922"/>
      <c r="QH213" s="922"/>
      <c r="QI213" s="922"/>
      <c r="QJ213" s="922"/>
      <c r="QK213" s="922"/>
      <c r="QL213" s="922"/>
      <c r="QM213" s="922"/>
      <c r="QN213" s="922"/>
      <c r="QO213" s="922"/>
      <c r="QP213" s="922"/>
      <c r="QQ213" s="922"/>
      <c r="QR213" s="922"/>
      <c r="QS213" s="922"/>
      <c r="QT213" s="922"/>
      <c r="QU213" s="922"/>
      <c r="QV213" s="922"/>
      <c r="QW213" s="922"/>
      <c r="QX213" s="922"/>
      <c r="QY213" s="922"/>
      <c r="QZ213" s="922"/>
      <c r="RA213" s="922"/>
      <c r="RB213" s="922"/>
      <c r="RC213" s="922"/>
      <c r="RD213" s="922"/>
      <c r="RE213" s="922"/>
      <c r="RF213" s="922"/>
      <c r="RG213" s="922"/>
      <c r="RH213" s="922"/>
      <c r="RI213" s="922"/>
      <c r="RJ213" s="922"/>
      <c r="RK213" s="922"/>
      <c r="RL213" s="922"/>
      <c r="RM213" s="922"/>
      <c r="RN213" s="922"/>
      <c r="RO213" s="922"/>
      <c r="RP213" s="922"/>
      <c r="RQ213" s="922"/>
      <c r="RR213" s="922"/>
      <c r="RS213" s="922"/>
      <c r="RT213" s="922"/>
      <c r="RU213" s="922"/>
      <c r="RV213" s="922"/>
      <c r="RW213" s="922"/>
      <c r="RX213" s="922"/>
      <c r="RY213" s="922"/>
      <c r="RZ213" s="922"/>
      <c r="SA213" s="922"/>
      <c r="SB213" s="922"/>
      <c r="SC213" s="922"/>
      <c r="SD213" s="922"/>
      <c r="SE213" s="922"/>
      <c r="SF213" s="922"/>
      <c r="SG213" s="922"/>
      <c r="SH213" s="922"/>
      <c r="SI213" s="922"/>
      <c r="SJ213" s="922"/>
      <c r="SK213" s="922"/>
      <c r="SL213" s="922"/>
      <c r="SM213" s="922"/>
      <c r="SN213" s="922"/>
      <c r="SO213" s="922"/>
      <c r="SP213" s="922"/>
      <c r="SQ213" s="922"/>
      <c r="SR213" s="922"/>
      <c r="SS213" s="922"/>
      <c r="ST213" s="922"/>
      <c r="SU213" s="922"/>
      <c r="SV213" s="922"/>
      <c r="SW213" s="922"/>
      <c r="SX213" s="922"/>
      <c r="SY213" s="922"/>
      <c r="SZ213" s="922"/>
      <c r="TA213" s="922"/>
      <c r="TB213" s="922"/>
      <c r="TC213" s="922"/>
      <c r="TD213" s="922"/>
      <c r="TE213" s="922"/>
      <c r="TF213" s="922"/>
      <c r="TG213" s="922"/>
      <c r="TH213" s="922"/>
      <c r="TI213" s="922"/>
      <c r="TJ213" s="922"/>
      <c r="TK213" s="922"/>
      <c r="TL213" s="922"/>
      <c r="TM213" s="922"/>
      <c r="TN213" s="922"/>
      <c r="TO213" s="922"/>
      <c r="TP213" s="922"/>
      <c r="TQ213" s="922"/>
      <c r="TR213" s="922"/>
      <c r="TS213" s="922"/>
      <c r="TT213" s="922"/>
      <c r="TU213" s="922"/>
      <c r="TV213" s="922"/>
      <c r="TW213" s="922"/>
      <c r="TX213" s="922"/>
      <c r="TY213" s="922"/>
      <c r="TZ213" s="922"/>
      <c r="UA213" s="922"/>
      <c r="UB213" s="922"/>
      <c r="UC213" s="922"/>
      <c r="UD213" s="922"/>
      <c r="UE213" s="922"/>
      <c r="UF213" s="922"/>
      <c r="UG213" s="922"/>
      <c r="UH213" s="922"/>
      <c r="UI213" s="922"/>
      <c r="UJ213" s="922"/>
      <c r="UK213" s="922"/>
      <c r="UL213" s="922"/>
      <c r="UM213" s="922"/>
      <c r="UN213" s="922"/>
      <c r="UO213" s="922"/>
      <c r="UP213" s="922"/>
      <c r="UQ213" s="922"/>
      <c r="UR213" s="922"/>
      <c r="US213" s="922"/>
      <c r="UT213" s="922"/>
      <c r="UU213" s="922"/>
      <c r="UV213" s="922"/>
      <c r="UW213" s="922"/>
      <c r="UX213" s="922"/>
      <c r="UY213" s="922"/>
      <c r="UZ213" s="922"/>
      <c r="VA213" s="922"/>
      <c r="VB213" s="922"/>
      <c r="VC213" s="922"/>
      <c r="VD213" s="922"/>
      <c r="VE213" s="922"/>
      <c r="VF213" s="922"/>
      <c r="VG213" s="922"/>
      <c r="VH213" s="922"/>
      <c r="VI213" s="922"/>
      <c r="VJ213" s="922"/>
      <c r="VK213" s="922"/>
      <c r="VL213" s="922"/>
      <c r="VM213" s="922"/>
      <c r="VN213" s="922"/>
      <c r="VO213" s="922"/>
      <c r="VP213" s="922"/>
      <c r="VQ213" s="922"/>
      <c r="VR213" s="922"/>
      <c r="VS213" s="922"/>
      <c r="VT213" s="922"/>
      <c r="VU213" s="922"/>
      <c r="VV213" s="922"/>
      <c r="VW213" s="922"/>
      <c r="VX213" s="922"/>
      <c r="VY213" s="922"/>
      <c r="VZ213" s="922"/>
      <c r="WA213" s="922"/>
      <c r="WB213" s="922"/>
      <c r="WC213" s="922"/>
      <c r="WD213" s="922"/>
      <c r="WE213" s="922"/>
      <c r="WF213" s="922"/>
      <c r="WG213" s="922"/>
      <c r="WH213" s="922"/>
      <c r="WI213" s="922"/>
      <c r="WJ213" s="922"/>
      <c r="WK213" s="922"/>
      <c r="WL213" s="922"/>
      <c r="WM213" s="922"/>
      <c r="WN213" s="922"/>
      <c r="WO213" s="922"/>
      <c r="WP213" s="922"/>
      <c r="WQ213" s="922"/>
      <c r="WR213" s="922"/>
      <c r="WS213" s="922"/>
      <c r="WT213" s="922"/>
      <c r="WU213" s="922"/>
      <c r="WV213" s="922"/>
      <c r="WW213" s="922"/>
      <c r="WX213" s="922"/>
      <c r="WY213" s="922"/>
      <c r="WZ213" s="922"/>
      <c r="XA213" s="922"/>
      <c r="XB213" s="922"/>
      <c r="XC213" s="922"/>
      <c r="XD213" s="922"/>
      <c r="XE213" s="922"/>
      <c r="XF213" s="922"/>
      <c r="XG213" s="922"/>
      <c r="XH213" s="922"/>
      <c r="XI213" s="922"/>
      <c r="XJ213" s="922"/>
      <c r="XK213" s="922"/>
      <c r="XL213" s="922"/>
      <c r="XM213" s="922"/>
      <c r="XN213" s="922"/>
      <c r="XO213" s="922"/>
      <c r="XP213" s="922"/>
      <c r="XQ213" s="922"/>
      <c r="XR213" s="922"/>
      <c r="XS213" s="922"/>
      <c r="XT213" s="922"/>
      <c r="XU213" s="922"/>
      <c r="XV213" s="922"/>
      <c r="XW213" s="922"/>
      <c r="XX213" s="922"/>
      <c r="XY213" s="922"/>
      <c r="XZ213" s="922"/>
      <c r="YA213" s="922"/>
      <c r="YB213" s="922"/>
      <c r="YC213" s="922"/>
      <c r="YD213" s="922"/>
      <c r="YE213" s="922"/>
      <c r="YF213" s="922"/>
      <c r="YG213" s="922"/>
      <c r="YH213" s="922"/>
      <c r="YI213" s="922"/>
      <c r="YJ213" s="922"/>
      <c r="YK213" s="922"/>
      <c r="YL213" s="922"/>
      <c r="YM213" s="922"/>
      <c r="YN213" s="922"/>
      <c r="YO213" s="922"/>
      <c r="YP213" s="922"/>
      <c r="YQ213" s="922"/>
      <c r="YR213" s="922"/>
      <c r="YS213" s="922"/>
      <c r="YT213" s="922"/>
      <c r="YU213" s="922"/>
      <c r="YV213" s="922"/>
      <c r="YW213" s="922"/>
      <c r="YX213" s="922"/>
      <c r="YY213" s="922"/>
      <c r="YZ213" s="922"/>
      <c r="ZA213" s="922"/>
      <c r="ZB213" s="922"/>
      <c r="ZC213" s="922"/>
      <c r="ZD213" s="922"/>
      <c r="ZE213" s="922"/>
      <c r="ZF213" s="922"/>
      <c r="ZG213" s="922"/>
      <c r="ZH213" s="922"/>
      <c r="ZI213" s="922"/>
      <c r="ZJ213" s="922"/>
      <c r="ZK213" s="922"/>
      <c r="ZL213" s="922"/>
      <c r="ZM213" s="922"/>
      <c r="ZN213" s="922"/>
      <c r="ZO213" s="922"/>
      <c r="ZP213" s="922"/>
      <c r="ZQ213" s="922"/>
      <c r="ZR213" s="922"/>
      <c r="ZS213" s="922"/>
      <c r="ZT213" s="922"/>
      <c r="ZU213" s="922"/>
      <c r="ZV213" s="922"/>
      <c r="ZW213" s="922"/>
      <c r="ZX213" s="922"/>
      <c r="ZY213" s="922"/>
      <c r="ZZ213" s="922"/>
      <c r="AAA213" s="922"/>
      <c r="AAB213" s="922"/>
      <c r="AAC213" s="922"/>
      <c r="AAD213" s="922"/>
      <c r="AAE213" s="922"/>
      <c r="AAF213" s="922"/>
      <c r="AAG213" s="922"/>
      <c r="AAH213" s="922"/>
      <c r="AAI213" s="922"/>
      <c r="AAJ213" s="922"/>
      <c r="AAK213" s="922"/>
      <c r="AAL213" s="922"/>
      <c r="AAM213" s="922"/>
      <c r="AAN213" s="922"/>
      <c r="AAO213" s="922"/>
      <c r="AAP213" s="922"/>
      <c r="AAQ213" s="922"/>
      <c r="AAR213" s="922"/>
      <c r="AAS213" s="922"/>
      <c r="AAT213" s="922"/>
      <c r="AAU213" s="922"/>
      <c r="AAV213" s="922"/>
      <c r="AAW213" s="922"/>
      <c r="AAX213" s="922"/>
      <c r="AAY213" s="922"/>
      <c r="AAZ213" s="922"/>
      <c r="ABA213" s="922"/>
      <c r="ABB213" s="922"/>
      <c r="ABC213" s="922"/>
      <c r="ABD213" s="922"/>
      <c r="ABE213" s="922"/>
      <c r="ABF213" s="922"/>
      <c r="ABG213" s="922"/>
      <c r="ABH213" s="922"/>
      <c r="ABI213" s="922"/>
      <c r="ABJ213" s="922"/>
      <c r="ABK213" s="922"/>
      <c r="ABL213" s="922"/>
      <c r="ABM213" s="922"/>
      <c r="ABN213" s="922"/>
      <c r="ABO213" s="922"/>
      <c r="ABP213" s="922"/>
      <c r="ABQ213" s="922"/>
      <c r="ABR213" s="922"/>
      <c r="ABS213" s="922"/>
      <c r="ABT213" s="922"/>
      <c r="ABU213" s="922"/>
      <c r="ABV213" s="922"/>
      <c r="ABW213" s="922"/>
      <c r="ABX213" s="922"/>
      <c r="ABY213" s="922"/>
      <c r="ABZ213" s="922"/>
      <c r="ACA213" s="922"/>
      <c r="ACB213" s="922"/>
      <c r="ACC213" s="922"/>
      <c r="ACD213" s="922"/>
      <c r="ACE213" s="922"/>
      <c r="ACF213" s="922"/>
      <c r="ACG213" s="922"/>
      <c r="ACH213" s="922"/>
      <c r="ACI213" s="922"/>
      <c r="ACJ213" s="922"/>
      <c r="ACK213" s="922"/>
      <c r="ACL213" s="922"/>
      <c r="ACM213" s="922"/>
      <c r="ACN213" s="922"/>
      <c r="ACO213" s="922"/>
      <c r="ACP213" s="922"/>
      <c r="ACQ213" s="922"/>
      <c r="ACR213" s="922"/>
      <c r="ACS213" s="922"/>
      <c r="ACT213" s="922"/>
      <c r="ACU213" s="922"/>
      <c r="ACV213" s="922"/>
      <c r="ACW213" s="922"/>
      <c r="ACX213" s="922"/>
      <c r="ACY213" s="922"/>
      <c r="ACZ213" s="922"/>
      <c r="ADA213" s="922"/>
      <c r="ADB213" s="922"/>
      <c r="ADC213" s="922"/>
      <c r="ADD213" s="922"/>
      <c r="ADE213" s="922"/>
      <c r="ADF213" s="922"/>
      <c r="ADG213" s="922"/>
      <c r="ADH213" s="922"/>
      <c r="ADI213" s="922"/>
      <c r="ADJ213" s="922"/>
      <c r="ADK213" s="922"/>
      <c r="ADL213" s="922"/>
      <c r="ADM213" s="922"/>
      <c r="ADN213" s="922"/>
      <c r="ADO213" s="922"/>
      <c r="ADP213" s="922"/>
      <c r="ADQ213" s="922"/>
      <c r="ADR213" s="922"/>
      <c r="ADS213" s="922"/>
      <c r="ADT213" s="922"/>
      <c r="ADU213" s="922"/>
      <c r="ADV213" s="922"/>
      <c r="ADW213" s="922"/>
      <c r="ADX213" s="922"/>
      <c r="ADY213" s="922"/>
      <c r="ADZ213" s="922"/>
      <c r="AEA213" s="922"/>
      <c r="AEB213" s="922"/>
      <c r="AEC213" s="922"/>
      <c r="AED213" s="922"/>
      <c r="AEE213" s="922"/>
      <c r="AEF213" s="922"/>
      <c r="AEG213" s="922"/>
      <c r="AEH213" s="922"/>
      <c r="AEI213" s="922"/>
      <c r="AEJ213" s="922"/>
      <c r="AEK213" s="922"/>
      <c r="AEL213" s="922"/>
      <c r="AEM213" s="922"/>
      <c r="AEN213" s="922"/>
      <c r="AEO213" s="922"/>
      <c r="AEP213" s="922"/>
      <c r="AEQ213" s="922"/>
      <c r="AER213" s="922"/>
      <c r="AES213" s="922"/>
      <c r="AET213" s="922"/>
      <c r="AEU213" s="922"/>
      <c r="AEV213" s="922"/>
      <c r="AEW213" s="922"/>
      <c r="AEX213" s="922"/>
      <c r="AEY213" s="922"/>
      <c r="AEZ213" s="922"/>
      <c r="AFA213" s="922"/>
      <c r="AFB213" s="922"/>
      <c r="AFC213" s="922"/>
      <c r="AFD213" s="922"/>
      <c r="AFE213" s="922"/>
      <c r="AFF213" s="922"/>
      <c r="AFG213" s="922"/>
      <c r="AFH213" s="922"/>
      <c r="AFI213" s="922"/>
      <c r="AFJ213" s="922"/>
      <c r="AFK213" s="922"/>
      <c r="AFL213" s="922"/>
      <c r="AFM213" s="922"/>
      <c r="AFN213" s="922"/>
      <c r="AFO213" s="922"/>
      <c r="AFP213" s="922"/>
      <c r="AFQ213" s="922"/>
      <c r="AFR213" s="922"/>
      <c r="AFS213" s="922"/>
      <c r="AFT213" s="922"/>
      <c r="AFU213" s="922"/>
      <c r="AFV213" s="922"/>
      <c r="AFW213" s="922"/>
      <c r="AFX213" s="922"/>
      <c r="AFY213" s="922"/>
      <c r="AFZ213" s="922"/>
      <c r="AGA213" s="922"/>
      <c r="AGB213" s="922"/>
      <c r="AGC213" s="922"/>
      <c r="AGD213" s="922"/>
      <c r="AGE213" s="922"/>
      <c r="AGF213" s="922"/>
      <c r="AGG213" s="922"/>
      <c r="AGH213" s="922"/>
      <c r="AGI213" s="922"/>
      <c r="AGJ213" s="922"/>
      <c r="AGK213" s="922"/>
      <c r="AGL213" s="922"/>
      <c r="AGM213" s="922"/>
      <c r="AGN213" s="922"/>
      <c r="AGO213" s="922"/>
      <c r="AGP213" s="922"/>
      <c r="AGQ213" s="922"/>
      <c r="AGR213" s="922"/>
      <c r="AGS213" s="922"/>
      <c r="AGT213" s="922"/>
      <c r="AGU213" s="922"/>
      <c r="AGV213" s="922"/>
      <c r="AGW213" s="922"/>
      <c r="AGX213" s="922"/>
      <c r="AGY213" s="922"/>
      <c r="AGZ213" s="922"/>
      <c r="AHA213" s="922"/>
      <c r="AHB213" s="922"/>
      <c r="AHC213" s="922"/>
      <c r="AHD213" s="922"/>
      <c r="AHE213" s="922"/>
      <c r="AHF213" s="922"/>
      <c r="AHG213" s="922"/>
      <c r="AHH213" s="922"/>
      <c r="AHI213" s="922"/>
      <c r="AHJ213" s="922"/>
      <c r="AHK213" s="922"/>
      <c r="AHL213" s="922"/>
      <c r="AHM213" s="922"/>
      <c r="AHN213" s="922"/>
      <c r="AHO213" s="922"/>
      <c r="AHP213" s="922"/>
      <c r="AHQ213" s="922"/>
      <c r="AHR213" s="922"/>
      <c r="AHS213" s="922"/>
      <c r="AHT213" s="922"/>
      <c r="AHU213" s="922"/>
      <c r="AHV213" s="922"/>
      <c r="AHW213" s="922"/>
      <c r="AHX213" s="922"/>
      <c r="AHY213" s="922"/>
      <c r="AHZ213" s="922"/>
      <c r="AIA213" s="922"/>
      <c r="AIB213" s="922"/>
      <c r="AIC213" s="922"/>
      <c r="AID213" s="922"/>
      <c r="AIE213" s="922"/>
      <c r="AIF213" s="922"/>
      <c r="AIG213" s="922"/>
      <c r="AIH213" s="922"/>
      <c r="AII213" s="922"/>
      <c r="AIJ213" s="922"/>
      <c r="AIK213" s="922"/>
      <c r="AIL213" s="922"/>
      <c r="AIM213" s="922"/>
      <c r="AIN213" s="922"/>
      <c r="AIO213" s="922"/>
      <c r="AIP213" s="922"/>
      <c r="AIQ213" s="922"/>
      <c r="AIR213" s="922"/>
      <c r="AIS213" s="922"/>
      <c r="AIT213" s="922"/>
      <c r="AIU213" s="922"/>
      <c r="AIV213" s="922"/>
      <c r="AIW213" s="922"/>
      <c r="AIX213" s="922"/>
      <c r="AIY213" s="922"/>
      <c r="AIZ213" s="922"/>
      <c r="AJA213" s="922"/>
      <c r="AJB213" s="922"/>
      <c r="AJC213" s="922"/>
      <c r="AJD213" s="922"/>
      <c r="AJE213" s="922"/>
      <c r="AJF213" s="922"/>
      <c r="AJG213" s="922"/>
      <c r="AJH213" s="922"/>
      <c r="AJI213" s="922"/>
      <c r="AJJ213" s="922"/>
      <c r="AJK213" s="922"/>
      <c r="AJL213" s="922"/>
      <c r="AJM213" s="922"/>
      <c r="AJN213" s="922"/>
      <c r="AJO213" s="922"/>
      <c r="AJP213" s="922"/>
      <c r="AJQ213" s="922"/>
      <c r="AJR213" s="922"/>
      <c r="AJS213" s="922"/>
      <c r="AJT213" s="922"/>
      <c r="AJU213" s="922"/>
      <c r="AJV213" s="922"/>
      <c r="AJW213" s="922"/>
      <c r="AJX213" s="922"/>
      <c r="AJY213" s="922"/>
      <c r="AJZ213" s="922"/>
      <c r="AKA213" s="922"/>
      <c r="AKB213" s="922"/>
      <c r="AKC213" s="922"/>
      <c r="AKD213" s="922"/>
      <c r="AKE213" s="922"/>
      <c r="AKF213" s="922"/>
      <c r="AKG213" s="922"/>
      <c r="AKH213" s="922"/>
      <c r="AKI213" s="922"/>
      <c r="AKJ213" s="922"/>
      <c r="AKK213" s="922"/>
      <c r="AKL213" s="922"/>
      <c r="AKM213" s="922"/>
      <c r="AKN213" s="922"/>
      <c r="AKO213" s="922"/>
      <c r="AKP213" s="922"/>
      <c r="AKQ213" s="922"/>
      <c r="AKR213" s="922"/>
      <c r="AKS213" s="922"/>
      <c r="AKT213" s="922"/>
      <c r="AKU213" s="922"/>
      <c r="AKV213" s="922"/>
      <c r="AKW213" s="922"/>
      <c r="AKX213" s="922"/>
      <c r="AKY213" s="922"/>
      <c r="AKZ213" s="922"/>
      <c r="ALA213" s="922"/>
      <c r="ALB213" s="922"/>
      <c r="ALC213" s="922"/>
      <c r="ALD213" s="922"/>
      <c r="ALE213" s="922"/>
      <c r="ALF213" s="922"/>
      <c r="ALG213" s="922"/>
      <c r="ALH213" s="922"/>
      <c r="ALI213" s="922"/>
      <c r="ALJ213" s="922"/>
      <c r="ALK213" s="922"/>
      <c r="ALL213" s="922"/>
      <c r="ALM213" s="922"/>
      <c r="ALN213" s="922"/>
      <c r="ALO213" s="922"/>
      <c r="ALP213" s="922"/>
      <c r="ALQ213" s="922"/>
      <c r="ALR213" s="922"/>
      <c r="ALS213" s="922"/>
      <c r="ALT213" s="922"/>
      <c r="ALU213" s="922"/>
      <c r="ALV213" s="922"/>
      <c r="ALW213" s="922"/>
      <c r="ALX213" s="922"/>
      <c r="ALY213" s="922"/>
      <c r="ALZ213" s="922"/>
      <c r="AMA213" s="922"/>
      <c r="AMB213" s="922"/>
      <c r="AMC213" s="922"/>
      <c r="AMD213" s="922"/>
      <c r="AME213" s="922"/>
      <c r="AMF213" s="922"/>
      <c r="AMG213" s="922"/>
      <c r="AMH213" s="922"/>
      <c r="AMI213" s="922"/>
      <c r="AMJ213" s="922"/>
      <c r="AMK213" s="922"/>
      <c r="AML213" s="922"/>
      <c r="AMM213" s="922"/>
      <c r="AMN213" s="922"/>
      <c r="AMO213" s="922"/>
      <c r="AMP213" s="922"/>
      <c r="AMQ213" s="922"/>
      <c r="AMR213" s="922"/>
      <c r="AMS213" s="922"/>
      <c r="AMT213" s="922"/>
      <c r="AMU213" s="922"/>
      <c r="AMV213" s="922"/>
      <c r="AMW213" s="922"/>
      <c r="AMX213" s="922"/>
      <c r="AMY213" s="922"/>
      <c r="AMZ213" s="922"/>
      <c r="ANA213" s="922"/>
      <c r="ANB213" s="922"/>
      <c r="ANC213" s="922"/>
      <c r="AND213" s="922"/>
      <c r="ANE213" s="922"/>
      <c r="ANF213" s="922"/>
      <c r="ANG213" s="922"/>
      <c r="ANH213" s="922"/>
      <c r="ANI213" s="922"/>
      <c r="ANJ213" s="922"/>
      <c r="ANK213" s="922"/>
      <c r="ANL213" s="922"/>
      <c r="ANM213" s="922"/>
      <c r="ANN213" s="922"/>
      <c r="ANO213" s="922"/>
      <c r="ANP213" s="922"/>
      <c r="ANQ213" s="922"/>
      <c r="ANR213" s="922"/>
      <c r="ANS213" s="922"/>
      <c r="ANT213" s="922"/>
      <c r="ANU213" s="922"/>
      <c r="ANV213" s="922"/>
      <c r="ANW213" s="922"/>
      <c r="ANX213" s="922"/>
      <c r="ANY213" s="922"/>
      <c r="ANZ213" s="922"/>
      <c r="AOA213" s="922"/>
      <c r="AOB213" s="922"/>
      <c r="AOC213" s="922"/>
      <c r="AOD213" s="922"/>
      <c r="AOE213" s="922"/>
      <c r="AOF213" s="922"/>
      <c r="AOG213" s="922"/>
      <c r="AOH213" s="922"/>
      <c r="AOI213" s="922"/>
      <c r="AOJ213" s="922"/>
      <c r="AOK213" s="922"/>
      <c r="AOL213" s="922"/>
      <c r="AOM213" s="922"/>
      <c r="AON213" s="922"/>
      <c r="AOO213" s="922"/>
      <c r="AOP213" s="922"/>
      <c r="AOQ213" s="922"/>
      <c r="AOR213" s="922"/>
      <c r="AOS213" s="922"/>
      <c r="AOT213" s="922"/>
      <c r="AOU213" s="922"/>
      <c r="AOV213" s="922"/>
      <c r="AOW213" s="922"/>
      <c r="AOX213" s="922"/>
      <c r="AOY213" s="922"/>
      <c r="AOZ213" s="922"/>
      <c r="APA213" s="922"/>
      <c r="APB213" s="922"/>
      <c r="APC213" s="922"/>
      <c r="APD213" s="922"/>
      <c r="APE213" s="922"/>
      <c r="APF213" s="922"/>
      <c r="APG213" s="922"/>
      <c r="APH213" s="922"/>
      <c r="API213" s="922"/>
      <c r="APJ213" s="922"/>
      <c r="APK213" s="922"/>
      <c r="APL213" s="922"/>
      <c r="APM213" s="922"/>
      <c r="APN213" s="922"/>
      <c r="APO213" s="922"/>
      <c r="APP213" s="922"/>
      <c r="APQ213" s="922"/>
      <c r="APR213" s="922"/>
      <c r="APS213" s="922"/>
      <c r="APT213" s="922"/>
      <c r="APU213" s="922"/>
      <c r="APV213" s="922"/>
      <c r="APW213" s="922"/>
      <c r="APX213" s="922"/>
      <c r="APY213" s="922"/>
      <c r="APZ213" s="922"/>
      <c r="AQA213" s="922"/>
      <c r="AQB213" s="922"/>
      <c r="AQC213" s="922"/>
      <c r="AQD213" s="922"/>
      <c r="AQE213" s="922"/>
      <c r="AQF213" s="922"/>
      <c r="AQG213" s="922"/>
      <c r="AQH213" s="922"/>
      <c r="AQI213" s="922"/>
      <c r="AQJ213" s="922"/>
      <c r="AQK213" s="922"/>
      <c r="AQL213" s="922"/>
      <c r="AQM213" s="922"/>
      <c r="AQN213" s="922"/>
      <c r="AQO213" s="922"/>
      <c r="AQP213" s="922"/>
      <c r="AQQ213" s="922"/>
      <c r="AQR213" s="922"/>
      <c r="AQS213" s="922"/>
      <c r="AQT213" s="922"/>
      <c r="AQU213" s="922"/>
      <c r="AQV213" s="922"/>
      <c r="AQW213" s="922"/>
      <c r="AQX213" s="922"/>
      <c r="AQY213" s="922"/>
      <c r="AQZ213" s="922"/>
      <c r="ARA213" s="922"/>
      <c r="ARB213" s="922"/>
      <c r="ARC213" s="922"/>
      <c r="ARD213" s="922"/>
      <c r="ARE213" s="922"/>
      <c r="ARF213" s="922"/>
      <c r="ARG213" s="922"/>
      <c r="ARH213" s="922"/>
      <c r="ARI213" s="922"/>
      <c r="ARJ213" s="922"/>
      <c r="ARK213" s="922"/>
      <c r="ARL213" s="922"/>
      <c r="ARM213" s="922"/>
      <c r="ARN213" s="922"/>
      <c r="ARO213" s="922"/>
      <c r="ARP213" s="922"/>
      <c r="ARQ213" s="922"/>
      <c r="ARR213" s="922"/>
      <c r="ARS213" s="922"/>
      <c r="ART213" s="922"/>
      <c r="ARU213" s="922"/>
      <c r="ARV213" s="922"/>
      <c r="ARW213" s="922"/>
      <c r="ARX213" s="922"/>
      <c r="ARY213" s="922"/>
      <c r="ARZ213" s="922"/>
      <c r="ASA213" s="922"/>
      <c r="ASB213" s="922"/>
      <c r="ASC213" s="922"/>
    </row>
    <row r="214" spans="20:1173" hidden="1">
      <c r="T214" s="922"/>
      <c r="AN214" s="922"/>
      <c r="AO214" s="922"/>
      <c r="AP214" s="922"/>
      <c r="AQ214" s="922"/>
      <c r="AR214" s="922"/>
      <c r="AS214" s="922"/>
      <c r="AT214" s="922"/>
      <c r="AU214" s="922"/>
      <c r="AV214" s="922"/>
      <c r="AW214" s="922"/>
      <c r="AX214" s="922"/>
      <c r="AY214" s="922"/>
      <c r="AZ214" s="922"/>
      <c r="BA214" s="922"/>
      <c r="BB214" s="922"/>
      <c r="BC214" s="922"/>
      <c r="BD214" s="922"/>
      <c r="BE214" s="922"/>
      <c r="BF214" s="922"/>
      <c r="BG214" s="922"/>
      <c r="BH214" s="922"/>
      <c r="BI214" s="922"/>
      <c r="BJ214" s="922"/>
      <c r="BK214" s="922"/>
      <c r="BL214" s="922"/>
      <c r="BM214" s="922"/>
      <c r="BN214" s="922"/>
      <c r="BO214" s="922"/>
      <c r="BP214" s="922"/>
      <c r="BQ214" s="922"/>
      <c r="BR214" s="922"/>
      <c r="BS214" s="922"/>
      <c r="BT214" s="922"/>
      <c r="BU214" s="922"/>
      <c r="BV214" s="922"/>
      <c r="BW214" s="922"/>
      <c r="BX214" s="922"/>
      <c r="BY214" s="922"/>
      <c r="BZ214" s="922"/>
      <c r="CA214" s="922"/>
      <c r="CB214" s="922"/>
      <c r="CC214" s="922"/>
      <c r="CD214" s="922"/>
      <c r="CE214" s="922"/>
      <c r="CF214" s="922"/>
      <c r="CG214" s="922"/>
      <c r="CH214" s="922"/>
      <c r="CI214" s="922"/>
      <c r="CJ214" s="922"/>
      <c r="CK214" s="922"/>
      <c r="CL214" s="922"/>
      <c r="CM214" s="922"/>
      <c r="CN214" s="922"/>
      <c r="CO214" s="922"/>
      <c r="CP214" s="922"/>
      <c r="CQ214" s="922"/>
      <c r="CR214" s="922"/>
      <c r="CS214" s="922"/>
      <c r="CT214" s="922"/>
      <c r="CU214" s="922"/>
      <c r="CV214" s="922"/>
      <c r="CW214" s="922"/>
      <c r="CX214" s="922"/>
      <c r="CY214" s="922"/>
      <c r="CZ214" s="922"/>
      <c r="DA214" s="922"/>
      <c r="DB214" s="922"/>
      <c r="DC214" s="922"/>
      <c r="DD214" s="922"/>
      <c r="DE214" s="922"/>
      <c r="DF214" s="922"/>
      <c r="DG214" s="922"/>
      <c r="DH214" s="922"/>
      <c r="DI214" s="922"/>
      <c r="DJ214" s="922"/>
      <c r="DK214" s="922"/>
      <c r="DL214" s="922"/>
      <c r="DM214" s="922"/>
      <c r="DN214" s="922"/>
      <c r="DO214" s="922"/>
      <c r="DP214" s="922"/>
      <c r="DQ214" s="922"/>
      <c r="DR214" s="922"/>
      <c r="DS214" s="922"/>
      <c r="DT214" s="922"/>
      <c r="DU214" s="922"/>
      <c r="DV214" s="922"/>
      <c r="DW214" s="922"/>
      <c r="DX214" s="922"/>
      <c r="DY214" s="922"/>
      <c r="DZ214" s="922"/>
      <c r="EA214" s="922"/>
      <c r="EB214" s="922"/>
      <c r="EC214" s="922"/>
      <c r="ED214" s="922"/>
      <c r="EE214" s="922"/>
      <c r="EF214" s="922"/>
      <c r="EG214" s="922"/>
      <c r="EH214" s="922"/>
      <c r="EI214" s="922"/>
      <c r="EJ214" s="922"/>
      <c r="EK214" s="922"/>
      <c r="EL214" s="922"/>
      <c r="EM214" s="922"/>
      <c r="EN214" s="922"/>
      <c r="EO214" s="922"/>
      <c r="EP214" s="922"/>
      <c r="EQ214" s="922"/>
      <c r="ER214" s="922"/>
      <c r="ES214" s="922"/>
      <c r="ET214" s="922"/>
      <c r="EU214" s="922"/>
      <c r="EV214" s="922"/>
      <c r="EW214" s="922"/>
      <c r="EX214" s="922"/>
      <c r="EY214" s="922"/>
      <c r="EZ214" s="922"/>
      <c r="FA214" s="922"/>
      <c r="FB214" s="922"/>
      <c r="FC214" s="922"/>
      <c r="FD214" s="922"/>
      <c r="FE214" s="922"/>
      <c r="FF214" s="922"/>
      <c r="FG214" s="922"/>
      <c r="FH214" s="922"/>
      <c r="FI214" s="922"/>
      <c r="FJ214" s="922"/>
      <c r="FK214" s="922"/>
      <c r="FL214" s="922"/>
      <c r="FM214" s="922"/>
      <c r="FN214" s="922"/>
      <c r="FO214" s="922"/>
      <c r="FP214" s="922"/>
      <c r="FQ214" s="922"/>
      <c r="FR214" s="922"/>
      <c r="FS214" s="922"/>
      <c r="FT214" s="922"/>
      <c r="FU214" s="922"/>
      <c r="FV214" s="922"/>
      <c r="FW214" s="922"/>
      <c r="FX214" s="922"/>
      <c r="FY214" s="922"/>
      <c r="FZ214" s="922"/>
      <c r="GA214" s="922"/>
      <c r="GB214" s="922"/>
      <c r="GC214" s="922"/>
      <c r="GD214" s="922"/>
      <c r="GE214" s="922"/>
      <c r="GF214" s="922"/>
      <c r="GG214" s="922"/>
      <c r="GH214" s="922"/>
      <c r="GI214" s="922"/>
      <c r="GJ214" s="922"/>
      <c r="GK214" s="922"/>
      <c r="GL214" s="922"/>
      <c r="GM214" s="922"/>
      <c r="GN214" s="922"/>
      <c r="GO214" s="922"/>
      <c r="GP214" s="922"/>
      <c r="GQ214" s="922"/>
      <c r="GR214" s="922"/>
      <c r="GS214" s="922"/>
      <c r="GT214" s="922"/>
      <c r="GU214" s="922"/>
      <c r="GV214" s="922"/>
      <c r="GW214" s="922"/>
      <c r="GX214" s="922"/>
      <c r="GY214" s="922"/>
      <c r="GZ214" s="922"/>
      <c r="HA214" s="922"/>
      <c r="HB214" s="922"/>
      <c r="HC214" s="922"/>
      <c r="HD214" s="922"/>
      <c r="HE214" s="922"/>
      <c r="HF214" s="922"/>
      <c r="HG214" s="922"/>
      <c r="HH214" s="922"/>
      <c r="HI214" s="922"/>
      <c r="HJ214" s="922"/>
      <c r="HK214" s="922"/>
      <c r="HL214" s="922"/>
      <c r="HM214" s="922"/>
      <c r="HN214" s="922"/>
      <c r="HO214" s="922"/>
      <c r="HP214" s="922"/>
      <c r="HQ214" s="922"/>
      <c r="HR214" s="922"/>
      <c r="HS214" s="922"/>
      <c r="HT214" s="922"/>
      <c r="HU214" s="922"/>
      <c r="HV214" s="922"/>
      <c r="HW214" s="922"/>
      <c r="HX214" s="922"/>
      <c r="HY214" s="922"/>
      <c r="HZ214" s="922"/>
      <c r="IA214" s="922"/>
      <c r="IB214" s="922"/>
      <c r="IC214" s="922"/>
      <c r="ID214" s="922"/>
      <c r="IE214" s="922"/>
      <c r="IF214" s="922"/>
      <c r="IG214" s="922"/>
      <c r="IH214" s="922"/>
      <c r="II214" s="922"/>
      <c r="IJ214" s="922"/>
      <c r="IK214" s="922"/>
      <c r="IL214" s="922"/>
      <c r="IM214" s="922"/>
      <c r="IN214" s="922"/>
      <c r="IO214" s="922"/>
      <c r="IP214" s="922"/>
      <c r="IQ214" s="922"/>
      <c r="IR214" s="922"/>
      <c r="IS214" s="922"/>
      <c r="IT214" s="922"/>
      <c r="IU214" s="922"/>
      <c r="IV214" s="922"/>
      <c r="IW214" s="922"/>
      <c r="IX214" s="922"/>
      <c r="IY214" s="922"/>
      <c r="IZ214" s="922"/>
      <c r="JA214" s="922"/>
      <c r="JB214" s="922"/>
      <c r="JC214" s="922"/>
      <c r="JD214" s="922"/>
      <c r="JE214" s="922"/>
      <c r="JF214" s="922"/>
      <c r="JG214" s="922"/>
      <c r="JH214" s="922"/>
      <c r="JI214" s="922"/>
      <c r="JJ214" s="922"/>
      <c r="JK214" s="922"/>
      <c r="JL214" s="922"/>
      <c r="JM214" s="922"/>
      <c r="JN214" s="922"/>
      <c r="JO214" s="922"/>
      <c r="JP214" s="922"/>
      <c r="JQ214" s="922"/>
      <c r="JR214" s="922"/>
      <c r="JS214" s="922"/>
      <c r="JT214" s="922"/>
      <c r="JU214" s="922"/>
      <c r="JV214" s="922"/>
      <c r="JW214" s="922"/>
      <c r="JX214" s="922"/>
      <c r="JY214" s="922"/>
      <c r="JZ214" s="922"/>
      <c r="KA214" s="922"/>
      <c r="KB214" s="922"/>
      <c r="KC214" s="922"/>
      <c r="KD214" s="922"/>
      <c r="KE214" s="922"/>
      <c r="KF214" s="922"/>
      <c r="KG214" s="922"/>
      <c r="KH214" s="922"/>
      <c r="KI214" s="922"/>
      <c r="KJ214" s="922"/>
      <c r="KK214" s="922"/>
      <c r="KL214" s="922"/>
      <c r="KM214" s="922"/>
      <c r="KN214" s="922"/>
      <c r="KO214" s="922"/>
      <c r="KP214" s="922"/>
      <c r="KQ214" s="922"/>
      <c r="KR214" s="922"/>
      <c r="KS214" s="922"/>
      <c r="KT214" s="922"/>
      <c r="KU214" s="922"/>
      <c r="KV214" s="922"/>
      <c r="KW214" s="922"/>
      <c r="KX214" s="922"/>
      <c r="KY214" s="922"/>
      <c r="KZ214" s="922"/>
      <c r="LA214" s="922"/>
      <c r="LB214" s="922"/>
      <c r="LC214" s="922"/>
      <c r="LD214" s="922"/>
      <c r="LE214" s="922"/>
      <c r="LF214" s="922"/>
      <c r="LG214" s="922"/>
      <c r="LH214" s="922"/>
      <c r="LI214" s="922"/>
      <c r="LJ214" s="922"/>
      <c r="LK214" s="922"/>
      <c r="LL214" s="922"/>
      <c r="LM214" s="922"/>
      <c r="LN214" s="922"/>
      <c r="LO214" s="922"/>
      <c r="LP214" s="922"/>
      <c r="LQ214" s="922"/>
      <c r="LR214" s="922"/>
      <c r="LS214" s="922"/>
      <c r="LT214" s="922"/>
      <c r="LU214" s="922"/>
      <c r="LV214" s="922"/>
      <c r="LW214" s="922"/>
      <c r="LX214" s="922"/>
      <c r="LY214" s="922"/>
      <c r="LZ214" s="922"/>
      <c r="MA214" s="922"/>
      <c r="MB214" s="922"/>
      <c r="MC214" s="922"/>
      <c r="MD214" s="922"/>
      <c r="ME214" s="922"/>
      <c r="MF214" s="922"/>
      <c r="MG214" s="922"/>
      <c r="MH214" s="922"/>
      <c r="MI214" s="922"/>
      <c r="MJ214" s="922"/>
      <c r="MK214" s="922"/>
      <c r="ML214" s="922"/>
      <c r="MM214" s="922"/>
      <c r="MN214" s="922"/>
      <c r="MO214" s="922"/>
      <c r="MP214" s="922"/>
      <c r="MQ214" s="922"/>
      <c r="MR214" s="922"/>
      <c r="MS214" s="922"/>
      <c r="MT214" s="922"/>
      <c r="MU214" s="922"/>
      <c r="MV214" s="922"/>
      <c r="MW214" s="922"/>
      <c r="MX214" s="922"/>
      <c r="MY214" s="922"/>
      <c r="MZ214" s="922"/>
      <c r="NA214" s="922"/>
      <c r="NB214" s="922"/>
      <c r="NC214" s="922"/>
      <c r="ND214" s="922"/>
      <c r="NE214" s="922"/>
      <c r="NF214" s="922"/>
      <c r="NG214" s="922"/>
      <c r="NH214" s="922"/>
      <c r="NI214" s="922"/>
      <c r="NJ214" s="922"/>
      <c r="NK214" s="922"/>
      <c r="NL214" s="922"/>
      <c r="NM214" s="922"/>
      <c r="NN214" s="922"/>
      <c r="NO214" s="922"/>
      <c r="NP214" s="922"/>
      <c r="NQ214" s="922"/>
      <c r="NR214" s="922"/>
      <c r="NS214" s="922"/>
      <c r="NT214" s="922"/>
      <c r="NU214" s="922"/>
      <c r="NV214" s="922"/>
      <c r="NW214" s="922"/>
      <c r="NX214" s="922"/>
      <c r="NY214" s="922"/>
      <c r="NZ214" s="922"/>
      <c r="OA214" s="922"/>
      <c r="OB214" s="922"/>
      <c r="OC214" s="922"/>
      <c r="OD214" s="922"/>
      <c r="OE214" s="922"/>
      <c r="OF214" s="922"/>
      <c r="OG214" s="922"/>
      <c r="OH214" s="922"/>
      <c r="OI214" s="922"/>
      <c r="OJ214" s="922"/>
      <c r="OK214" s="922"/>
      <c r="OL214" s="922"/>
      <c r="OM214" s="922"/>
      <c r="ON214" s="922"/>
      <c r="OO214" s="922"/>
      <c r="OP214" s="922"/>
      <c r="OQ214" s="922"/>
      <c r="OR214" s="922"/>
      <c r="OS214" s="922"/>
      <c r="OT214" s="922"/>
      <c r="OU214" s="922"/>
      <c r="OV214" s="922"/>
      <c r="OW214" s="922"/>
      <c r="OX214" s="922"/>
      <c r="OY214" s="922"/>
      <c r="OZ214" s="922"/>
      <c r="PA214" s="922"/>
      <c r="PB214" s="922"/>
      <c r="PC214" s="922"/>
      <c r="PD214" s="922"/>
      <c r="PE214" s="922"/>
      <c r="PF214" s="922"/>
      <c r="PG214" s="922"/>
      <c r="PH214" s="922"/>
      <c r="PI214" s="922"/>
      <c r="PJ214" s="922"/>
      <c r="PK214" s="922"/>
      <c r="PL214" s="922"/>
      <c r="PM214" s="922"/>
      <c r="PN214" s="922"/>
      <c r="PO214" s="922"/>
      <c r="PP214" s="922"/>
      <c r="PQ214" s="922"/>
      <c r="PR214" s="922"/>
      <c r="PS214" s="922"/>
      <c r="PT214" s="922"/>
      <c r="PU214" s="922"/>
      <c r="PV214" s="922"/>
      <c r="PW214" s="922"/>
      <c r="PX214" s="922"/>
      <c r="PY214" s="922"/>
      <c r="PZ214" s="922"/>
      <c r="QA214" s="922"/>
      <c r="QB214" s="922"/>
      <c r="QC214" s="922"/>
      <c r="QD214" s="922"/>
      <c r="QE214" s="922"/>
      <c r="QF214" s="922"/>
      <c r="QG214" s="922"/>
      <c r="QH214" s="922"/>
      <c r="QI214" s="922"/>
      <c r="QJ214" s="922"/>
      <c r="QK214" s="922"/>
      <c r="QL214" s="922"/>
      <c r="QM214" s="922"/>
      <c r="QN214" s="922"/>
      <c r="QO214" s="922"/>
      <c r="QP214" s="922"/>
      <c r="QQ214" s="922"/>
      <c r="QR214" s="922"/>
      <c r="QS214" s="922"/>
      <c r="QT214" s="922"/>
      <c r="QU214" s="922"/>
      <c r="QV214" s="922"/>
      <c r="QW214" s="922"/>
      <c r="QX214" s="922"/>
      <c r="QY214" s="922"/>
      <c r="QZ214" s="922"/>
      <c r="RA214" s="922"/>
      <c r="RB214" s="922"/>
      <c r="RC214" s="922"/>
      <c r="RD214" s="922"/>
      <c r="RE214" s="922"/>
      <c r="RF214" s="922"/>
      <c r="RG214" s="922"/>
      <c r="RH214" s="922"/>
      <c r="RI214" s="922"/>
      <c r="RJ214" s="922"/>
      <c r="RK214" s="922"/>
      <c r="RL214" s="922"/>
      <c r="RM214" s="922"/>
      <c r="RN214" s="922"/>
      <c r="RO214" s="922"/>
      <c r="RP214" s="922"/>
      <c r="RQ214" s="922"/>
      <c r="RR214" s="922"/>
      <c r="RS214" s="922"/>
      <c r="RT214" s="922"/>
      <c r="RU214" s="922"/>
      <c r="RV214" s="922"/>
      <c r="RW214" s="922"/>
      <c r="RX214" s="922"/>
      <c r="RY214" s="922"/>
      <c r="RZ214" s="922"/>
      <c r="SA214" s="922"/>
      <c r="SB214" s="922"/>
      <c r="SC214" s="922"/>
      <c r="SD214" s="922"/>
      <c r="SE214" s="922"/>
      <c r="SF214" s="922"/>
      <c r="SG214" s="922"/>
      <c r="SH214" s="922"/>
      <c r="SI214" s="922"/>
      <c r="SJ214" s="922"/>
      <c r="SK214" s="922"/>
      <c r="SL214" s="922"/>
      <c r="SM214" s="922"/>
      <c r="SN214" s="922"/>
      <c r="SO214" s="922"/>
      <c r="SP214" s="922"/>
      <c r="SQ214" s="922"/>
      <c r="SR214" s="922"/>
      <c r="SS214" s="922"/>
      <c r="ST214" s="922"/>
      <c r="SU214" s="922"/>
      <c r="SV214" s="922"/>
      <c r="SW214" s="922"/>
      <c r="SX214" s="922"/>
      <c r="SY214" s="922"/>
      <c r="SZ214" s="922"/>
      <c r="TA214" s="922"/>
      <c r="TB214" s="922"/>
      <c r="TC214" s="922"/>
      <c r="TD214" s="922"/>
      <c r="TE214" s="922"/>
      <c r="TF214" s="922"/>
      <c r="TG214" s="922"/>
      <c r="TH214" s="922"/>
      <c r="TI214" s="922"/>
      <c r="TJ214" s="922"/>
      <c r="TK214" s="922"/>
      <c r="TL214" s="922"/>
      <c r="TM214" s="922"/>
      <c r="TN214" s="922"/>
      <c r="TO214" s="922"/>
      <c r="TP214" s="922"/>
      <c r="TQ214" s="922"/>
      <c r="TR214" s="922"/>
      <c r="TS214" s="922"/>
      <c r="TT214" s="922"/>
      <c r="TU214" s="922"/>
      <c r="TV214" s="922"/>
      <c r="TW214" s="922"/>
      <c r="TX214" s="922"/>
      <c r="TY214" s="922"/>
      <c r="TZ214" s="922"/>
      <c r="UA214" s="922"/>
      <c r="UB214" s="922"/>
      <c r="UC214" s="922"/>
      <c r="UD214" s="922"/>
      <c r="UE214" s="922"/>
      <c r="UF214" s="922"/>
      <c r="UG214" s="922"/>
      <c r="UH214" s="922"/>
      <c r="UI214" s="922"/>
      <c r="UJ214" s="922"/>
      <c r="UK214" s="922"/>
      <c r="UL214" s="922"/>
      <c r="UM214" s="922"/>
      <c r="UN214" s="922"/>
      <c r="UO214" s="922"/>
      <c r="UP214" s="922"/>
      <c r="UQ214" s="922"/>
      <c r="UR214" s="922"/>
      <c r="US214" s="922"/>
      <c r="UT214" s="922"/>
      <c r="UU214" s="922"/>
      <c r="UV214" s="922"/>
      <c r="UW214" s="922"/>
      <c r="UX214" s="922"/>
      <c r="UY214" s="922"/>
      <c r="UZ214" s="922"/>
      <c r="VA214" s="922"/>
      <c r="VB214" s="922"/>
      <c r="VC214" s="922"/>
      <c r="VD214" s="922"/>
      <c r="VE214" s="922"/>
      <c r="VF214" s="922"/>
      <c r="VG214" s="922"/>
      <c r="VH214" s="922"/>
      <c r="VI214" s="922"/>
      <c r="VJ214" s="922"/>
      <c r="VK214" s="922"/>
      <c r="VL214" s="922"/>
      <c r="VM214" s="922"/>
      <c r="VN214" s="922"/>
      <c r="VO214" s="922"/>
      <c r="VP214" s="922"/>
      <c r="VQ214" s="922"/>
      <c r="VR214" s="922"/>
      <c r="VS214" s="922"/>
      <c r="VT214" s="922"/>
      <c r="VU214" s="922"/>
      <c r="VV214" s="922"/>
      <c r="VW214" s="922"/>
      <c r="VX214" s="922"/>
      <c r="VY214" s="922"/>
      <c r="VZ214" s="922"/>
      <c r="WA214" s="922"/>
      <c r="WB214" s="922"/>
      <c r="WC214" s="922"/>
      <c r="WD214" s="922"/>
      <c r="WE214" s="922"/>
      <c r="WF214" s="922"/>
      <c r="WG214" s="922"/>
      <c r="WH214" s="922"/>
      <c r="WI214" s="922"/>
      <c r="WJ214" s="922"/>
      <c r="WK214" s="922"/>
      <c r="WL214" s="922"/>
      <c r="WM214" s="922"/>
      <c r="WN214" s="922"/>
      <c r="WO214" s="922"/>
      <c r="WP214" s="922"/>
      <c r="WQ214" s="922"/>
      <c r="WR214" s="922"/>
      <c r="WS214" s="922"/>
      <c r="WT214" s="922"/>
      <c r="WU214" s="922"/>
      <c r="WV214" s="922"/>
      <c r="WW214" s="922"/>
      <c r="WX214" s="922"/>
      <c r="WY214" s="922"/>
      <c r="WZ214" s="922"/>
      <c r="XA214" s="922"/>
      <c r="XB214" s="922"/>
      <c r="XC214" s="922"/>
      <c r="XD214" s="922"/>
      <c r="XE214" s="922"/>
      <c r="XF214" s="922"/>
      <c r="XG214" s="922"/>
      <c r="XH214" s="922"/>
      <c r="XI214" s="922"/>
      <c r="XJ214" s="922"/>
      <c r="XK214" s="922"/>
      <c r="XL214" s="922"/>
      <c r="XM214" s="922"/>
      <c r="XN214" s="922"/>
      <c r="XO214" s="922"/>
      <c r="XP214" s="922"/>
      <c r="XQ214" s="922"/>
      <c r="XR214" s="922"/>
      <c r="XS214" s="922"/>
      <c r="XT214" s="922"/>
      <c r="XU214" s="922"/>
      <c r="XV214" s="922"/>
      <c r="XW214" s="922"/>
      <c r="XX214" s="922"/>
      <c r="XY214" s="922"/>
      <c r="XZ214" s="922"/>
      <c r="YA214" s="922"/>
      <c r="YB214" s="922"/>
      <c r="YC214" s="922"/>
      <c r="YD214" s="922"/>
      <c r="YE214" s="922"/>
      <c r="YF214" s="922"/>
      <c r="YG214" s="922"/>
      <c r="YH214" s="922"/>
      <c r="YI214" s="922"/>
      <c r="YJ214" s="922"/>
      <c r="YK214" s="922"/>
      <c r="YL214" s="922"/>
      <c r="YM214" s="922"/>
      <c r="YN214" s="922"/>
      <c r="YO214" s="922"/>
      <c r="YP214" s="922"/>
      <c r="YQ214" s="922"/>
      <c r="YR214" s="922"/>
      <c r="YS214" s="922"/>
      <c r="YT214" s="922"/>
      <c r="YU214" s="922"/>
      <c r="YV214" s="922"/>
      <c r="YW214" s="922"/>
      <c r="YX214" s="922"/>
      <c r="YY214" s="922"/>
      <c r="YZ214" s="922"/>
      <c r="ZA214" s="922"/>
      <c r="ZB214" s="922"/>
      <c r="ZC214" s="922"/>
      <c r="ZD214" s="922"/>
      <c r="ZE214" s="922"/>
      <c r="ZF214" s="922"/>
      <c r="ZG214" s="922"/>
      <c r="ZH214" s="922"/>
      <c r="ZI214" s="922"/>
      <c r="ZJ214" s="922"/>
      <c r="ZK214" s="922"/>
      <c r="ZL214" s="922"/>
      <c r="ZM214" s="922"/>
      <c r="ZN214" s="922"/>
      <c r="ZO214" s="922"/>
      <c r="ZP214" s="922"/>
      <c r="ZQ214" s="922"/>
      <c r="ZR214" s="922"/>
      <c r="ZS214" s="922"/>
      <c r="ZT214" s="922"/>
      <c r="ZU214" s="922"/>
      <c r="ZV214" s="922"/>
      <c r="ZW214" s="922"/>
      <c r="ZX214" s="922"/>
      <c r="ZY214" s="922"/>
      <c r="ZZ214" s="922"/>
      <c r="AAA214" s="922"/>
      <c r="AAB214" s="922"/>
      <c r="AAC214" s="922"/>
      <c r="AAD214" s="922"/>
      <c r="AAE214" s="922"/>
      <c r="AAF214" s="922"/>
      <c r="AAG214" s="922"/>
      <c r="AAH214" s="922"/>
      <c r="AAI214" s="922"/>
      <c r="AAJ214" s="922"/>
      <c r="AAK214" s="922"/>
      <c r="AAL214" s="922"/>
      <c r="AAM214" s="922"/>
      <c r="AAN214" s="922"/>
      <c r="AAO214" s="922"/>
      <c r="AAP214" s="922"/>
      <c r="AAQ214" s="922"/>
      <c r="AAR214" s="922"/>
      <c r="AAS214" s="922"/>
      <c r="AAT214" s="922"/>
      <c r="AAU214" s="922"/>
      <c r="AAV214" s="922"/>
      <c r="AAW214" s="922"/>
      <c r="AAX214" s="922"/>
      <c r="AAY214" s="922"/>
      <c r="AAZ214" s="922"/>
      <c r="ABA214" s="922"/>
      <c r="ABB214" s="922"/>
      <c r="ABC214" s="922"/>
      <c r="ABD214" s="922"/>
      <c r="ABE214" s="922"/>
      <c r="ABF214" s="922"/>
      <c r="ABG214" s="922"/>
      <c r="ABH214" s="922"/>
      <c r="ABI214" s="922"/>
      <c r="ABJ214" s="922"/>
      <c r="ABK214" s="922"/>
      <c r="ABL214" s="922"/>
      <c r="ABM214" s="922"/>
      <c r="ABN214" s="922"/>
      <c r="ABO214" s="922"/>
      <c r="ABP214" s="922"/>
      <c r="ABQ214" s="922"/>
      <c r="ABR214" s="922"/>
      <c r="ABS214" s="922"/>
      <c r="ABT214" s="922"/>
      <c r="ABU214" s="922"/>
      <c r="ABV214" s="922"/>
      <c r="ABW214" s="922"/>
      <c r="ABX214" s="922"/>
      <c r="ABY214" s="922"/>
      <c r="ABZ214" s="922"/>
      <c r="ACA214" s="922"/>
      <c r="ACB214" s="922"/>
      <c r="ACC214" s="922"/>
      <c r="ACD214" s="922"/>
      <c r="ACE214" s="922"/>
      <c r="ACF214" s="922"/>
      <c r="ACG214" s="922"/>
      <c r="ACH214" s="922"/>
      <c r="ACI214" s="922"/>
      <c r="ACJ214" s="922"/>
      <c r="ACK214" s="922"/>
      <c r="ACL214" s="922"/>
      <c r="ACM214" s="922"/>
      <c r="ACN214" s="922"/>
      <c r="ACO214" s="922"/>
      <c r="ACP214" s="922"/>
      <c r="ACQ214" s="922"/>
      <c r="ACR214" s="922"/>
      <c r="ACS214" s="922"/>
      <c r="ACT214" s="922"/>
      <c r="ACU214" s="922"/>
      <c r="ACV214" s="922"/>
      <c r="ACW214" s="922"/>
      <c r="ACX214" s="922"/>
      <c r="ACY214" s="922"/>
      <c r="ACZ214" s="922"/>
      <c r="ADA214" s="922"/>
      <c r="ADB214" s="922"/>
      <c r="ADC214" s="922"/>
      <c r="ADD214" s="922"/>
      <c r="ADE214" s="922"/>
      <c r="ADF214" s="922"/>
      <c r="ADG214" s="922"/>
      <c r="ADH214" s="922"/>
      <c r="ADI214" s="922"/>
      <c r="ADJ214" s="922"/>
      <c r="ADK214" s="922"/>
      <c r="ADL214" s="922"/>
      <c r="ADM214" s="922"/>
      <c r="ADN214" s="922"/>
      <c r="ADO214" s="922"/>
      <c r="ADP214" s="922"/>
      <c r="ADQ214" s="922"/>
      <c r="ADR214" s="922"/>
      <c r="ADS214" s="922"/>
      <c r="ADT214" s="922"/>
      <c r="ADU214" s="922"/>
      <c r="ADV214" s="922"/>
      <c r="ADW214" s="922"/>
      <c r="ADX214" s="922"/>
      <c r="ADY214" s="922"/>
      <c r="ADZ214" s="922"/>
      <c r="AEA214" s="922"/>
      <c r="AEB214" s="922"/>
      <c r="AEC214" s="922"/>
      <c r="AED214" s="922"/>
      <c r="AEE214" s="922"/>
      <c r="AEF214" s="922"/>
      <c r="AEG214" s="922"/>
      <c r="AEH214" s="922"/>
      <c r="AEI214" s="922"/>
      <c r="AEJ214" s="922"/>
      <c r="AEK214" s="922"/>
      <c r="AEL214" s="922"/>
      <c r="AEM214" s="922"/>
      <c r="AEN214" s="922"/>
      <c r="AEO214" s="922"/>
      <c r="AEP214" s="922"/>
      <c r="AEQ214" s="922"/>
      <c r="AER214" s="922"/>
      <c r="AES214" s="922"/>
      <c r="AET214" s="922"/>
      <c r="AEU214" s="922"/>
      <c r="AEV214" s="922"/>
      <c r="AEW214" s="922"/>
      <c r="AEX214" s="922"/>
      <c r="AEY214" s="922"/>
      <c r="AEZ214" s="922"/>
      <c r="AFA214" s="922"/>
      <c r="AFB214" s="922"/>
      <c r="AFC214" s="922"/>
      <c r="AFD214" s="922"/>
      <c r="AFE214" s="922"/>
      <c r="AFF214" s="922"/>
      <c r="AFG214" s="922"/>
      <c r="AFH214" s="922"/>
      <c r="AFI214" s="922"/>
      <c r="AFJ214" s="922"/>
      <c r="AFK214" s="922"/>
      <c r="AFL214" s="922"/>
      <c r="AFM214" s="922"/>
      <c r="AFN214" s="922"/>
      <c r="AFO214" s="922"/>
      <c r="AFP214" s="922"/>
      <c r="AFQ214" s="922"/>
      <c r="AFR214" s="922"/>
      <c r="AFS214" s="922"/>
      <c r="AFT214" s="922"/>
      <c r="AFU214" s="922"/>
      <c r="AFV214" s="922"/>
      <c r="AFW214" s="922"/>
      <c r="AFX214" s="922"/>
      <c r="AFY214" s="922"/>
      <c r="AFZ214" s="922"/>
      <c r="AGA214" s="922"/>
      <c r="AGB214" s="922"/>
      <c r="AGC214" s="922"/>
      <c r="AGD214" s="922"/>
      <c r="AGE214" s="922"/>
      <c r="AGF214" s="922"/>
      <c r="AGG214" s="922"/>
      <c r="AGH214" s="922"/>
      <c r="AGI214" s="922"/>
      <c r="AGJ214" s="922"/>
      <c r="AGK214" s="922"/>
      <c r="AGL214" s="922"/>
      <c r="AGM214" s="922"/>
      <c r="AGN214" s="922"/>
      <c r="AGO214" s="922"/>
      <c r="AGP214" s="922"/>
      <c r="AGQ214" s="922"/>
      <c r="AGR214" s="922"/>
      <c r="AGS214" s="922"/>
      <c r="AGT214" s="922"/>
      <c r="AGU214" s="922"/>
      <c r="AGV214" s="922"/>
      <c r="AGW214" s="922"/>
      <c r="AGX214" s="922"/>
      <c r="AGY214" s="922"/>
      <c r="AGZ214" s="922"/>
      <c r="AHA214" s="922"/>
      <c r="AHB214" s="922"/>
      <c r="AHC214" s="922"/>
      <c r="AHD214" s="922"/>
      <c r="AHE214" s="922"/>
      <c r="AHF214" s="922"/>
      <c r="AHG214" s="922"/>
      <c r="AHH214" s="922"/>
      <c r="AHI214" s="922"/>
      <c r="AHJ214" s="922"/>
      <c r="AHK214" s="922"/>
      <c r="AHL214" s="922"/>
      <c r="AHM214" s="922"/>
      <c r="AHN214" s="922"/>
      <c r="AHO214" s="922"/>
      <c r="AHP214" s="922"/>
      <c r="AHQ214" s="922"/>
      <c r="AHR214" s="922"/>
      <c r="AHS214" s="922"/>
      <c r="AHT214" s="922"/>
      <c r="AHU214" s="922"/>
      <c r="AHV214" s="922"/>
      <c r="AHW214" s="922"/>
      <c r="AHX214" s="922"/>
      <c r="AHY214" s="922"/>
      <c r="AHZ214" s="922"/>
      <c r="AIA214" s="922"/>
      <c r="AIB214" s="922"/>
      <c r="AIC214" s="922"/>
      <c r="AID214" s="922"/>
      <c r="AIE214" s="922"/>
      <c r="AIF214" s="922"/>
      <c r="AIG214" s="922"/>
      <c r="AIH214" s="922"/>
      <c r="AII214" s="922"/>
      <c r="AIJ214" s="922"/>
      <c r="AIK214" s="922"/>
      <c r="AIL214" s="922"/>
      <c r="AIM214" s="922"/>
      <c r="AIN214" s="922"/>
      <c r="AIO214" s="922"/>
      <c r="AIP214" s="922"/>
      <c r="AIQ214" s="922"/>
      <c r="AIR214" s="922"/>
      <c r="AIS214" s="922"/>
      <c r="AIT214" s="922"/>
      <c r="AIU214" s="922"/>
      <c r="AIV214" s="922"/>
      <c r="AIW214" s="922"/>
      <c r="AIX214" s="922"/>
      <c r="AIY214" s="922"/>
      <c r="AIZ214" s="922"/>
      <c r="AJA214" s="922"/>
      <c r="AJB214" s="922"/>
      <c r="AJC214" s="922"/>
      <c r="AJD214" s="922"/>
      <c r="AJE214" s="922"/>
      <c r="AJF214" s="922"/>
      <c r="AJG214" s="922"/>
      <c r="AJH214" s="922"/>
      <c r="AJI214" s="922"/>
      <c r="AJJ214" s="922"/>
      <c r="AJK214" s="922"/>
      <c r="AJL214" s="922"/>
      <c r="AJM214" s="922"/>
      <c r="AJN214" s="922"/>
      <c r="AJO214" s="922"/>
      <c r="AJP214" s="922"/>
      <c r="AJQ214" s="922"/>
      <c r="AJR214" s="922"/>
      <c r="AJS214" s="922"/>
      <c r="AJT214" s="922"/>
      <c r="AJU214" s="922"/>
      <c r="AJV214" s="922"/>
      <c r="AJW214" s="922"/>
      <c r="AJX214" s="922"/>
      <c r="AJY214" s="922"/>
      <c r="AJZ214" s="922"/>
      <c r="AKA214" s="922"/>
      <c r="AKB214" s="922"/>
      <c r="AKC214" s="922"/>
      <c r="AKD214" s="922"/>
      <c r="AKE214" s="922"/>
      <c r="AKF214" s="922"/>
      <c r="AKG214" s="922"/>
      <c r="AKH214" s="922"/>
      <c r="AKI214" s="922"/>
      <c r="AKJ214" s="922"/>
      <c r="AKK214" s="922"/>
      <c r="AKL214" s="922"/>
      <c r="AKM214" s="922"/>
      <c r="AKN214" s="922"/>
      <c r="AKO214" s="922"/>
      <c r="AKP214" s="922"/>
      <c r="AKQ214" s="922"/>
      <c r="AKR214" s="922"/>
      <c r="AKS214" s="922"/>
      <c r="AKT214" s="922"/>
      <c r="AKU214" s="922"/>
      <c r="AKV214" s="922"/>
      <c r="AKW214" s="922"/>
      <c r="AKX214" s="922"/>
      <c r="AKY214" s="922"/>
      <c r="AKZ214" s="922"/>
      <c r="ALA214" s="922"/>
      <c r="ALB214" s="922"/>
      <c r="ALC214" s="922"/>
      <c r="ALD214" s="922"/>
      <c r="ALE214" s="922"/>
      <c r="ALF214" s="922"/>
      <c r="ALG214" s="922"/>
      <c r="ALH214" s="922"/>
      <c r="ALI214" s="922"/>
      <c r="ALJ214" s="922"/>
      <c r="ALK214" s="922"/>
      <c r="ALL214" s="922"/>
      <c r="ALM214" s="922"/>
      <c r="ALN214" s="922"/>
      <c r="ALO214" s="922"/>
      <c r="ALP214" s="922"/>
      <c r="ALQ214" s="922"/>
      <c r="ALR214" s="922"/>
      <c r="ALS214" s="922"/>
      <c r="ALT214" s="922"/>
      <c r="ALU214" s="922"/>
      <c r="ALV214" s="922"/>
      <c r="ALW214" s="922"/>
      <c r="ALX214" s="922"/>
      <c r="ALY214" s="922"/>
      <c r="ALZ214" s="922"/>
      <c r="AMA214" s="922"/>
      <c r="AMB214" s="922"/>
      <c r="AMC214" s="922"/>
      <c r="AMD214" s="922"/>
      <c r="AME214" s="922"/>
      <c r="AMF214" s="922"/>
      <c r="AMG214" s="922"/>
      <c r="AMH214" s="922"/>
      <c r="AMI214" s="922"/>
      <c r="AMJ214" s="922"/>
      <c r="AMK214" s="922"/>
      <c r="AML214" s="922"/>
      <c r="AMM214" s="922"/>
      <c r="AMN214" s="922"/>
      <c r="AMO214" s="922"/>
      <c r="AMP214" s="922"/>
      <c r="AMQ214" s="922"/>
      <c r="AMR214" s="922"/>
      <c r="AMS214" s="922"/>
      <c r="AMT214" s="922"/>
      <c r="AMU214" s="922"/>
      <c r="AMV214" s="922"/>
      <c r="AMW214" s="922"/>
      <c r="AMX214" s="922"/>
      <c r="AMY214" s="922"/>
      <c r="AMZ214" s="922"/>
      <c r="ANA214" s="922"/>
      <c r="ANB214" s="922"/>
      <c r="ANC214" s="922"/>
      <c r="AND214" s="922"/>
      <c r="ANE214" s="922"/>
      <c r="ANF214" s="922"/>
      <c r="ANG214" s="922"/>
      <c r="ANH214" s="922"/>
      <c r="ANI214" s="922"/>
      <c r="ANJ214" s="922"/>
      <c r="ANK214" s="922"/>
      <c r="ANL214" s="922"/>
      <c r="ANM214" s="922"/>
      <c r="ANN214" s="922"/>
      <c r="ANO214" s="922"/>
      <c r="ANP214" s="922"/>
      <c r="ANQ214" s="922"/>
      <c r="ANR214" s="922"/>
      <c r="ANS214" s="922"/>
      <c r="ANT214" s="922"/>
      <c r="ANU214" s="922"/>
      <c r="ANV214" s="922"/>
      <c r="ANW214" s="922"/>
      <c r="ANX214" s="922"/>
      <c r="ANY214" s="922"/>
      <c r="ANZ214" s="922"/>
      <c r="AOA214" s="922"/>
      <c r="AOB214" s="922"/>
      <c r="AOC214" s="922"/>
      <c r="AOD214" s="922"/>
      <c r="AOE214" s="922"/>
      <c r="AOF214" s="922"/>
      <c r="AOG214" s="922"/>
      <c r="AOH214" s="922"/>
      <c r="AOI214" s="922"/>
      <c r="AOJ214" s="922"/>
      <c r="AOK214" s="922"/>
      <c r="AOL214" s="922"/>
      <c r="AOM214" s="922"/>
      <c r="AON214" s="922"/>
      <c r="AOO214" s="922"/>
      <c r="AOP214" s="922"/>
      <c r="AOQ214" s="922"/>
      <c r="AOR214" s="922"/>
      <c r="AOS214" s="922"/>
      <c r="AOT214" s="922"/>
      <c r="AOU214" s="922"/>
      <c r="AOV214" s="922"/>
      <c r="AOW214" s="922"/>
      <c r="AOX214" s="922"/>
      <c r="AOY214" s="922"/>
      <c r="AOZ214" s="922"/>
      <c r="APA214" s="922"/>
      <c r="APB214" s="922"/>
      <c r="APC214" s="922"/>
      <c r="APD214" s="922"/>
      <c r="APE214" s="922"/>
      <c r="APF214" s="922"/>
      <c r="APG214" s="922"/>
      <c r="APH214" s="922"/>
      <c r="API214" s="922"/>
      <c r="APJ214" s="922"/>
      <c r="APK214" s="922"/>
      <c r="APL214" s="922"/>
      <c r="APM214" s="922"/>
      <c r="APN214" s="922"/>
      <c r="APO214" s="922"/>
      <c r="APP214" s="922"/>
      <c r="APQ214" s="922"/>
      <c r="APR214" s="922"/>
      <c r="APS214" s="922"/>
      <c r="APT214" s="922"/>
      <c r="APU214" s="922"/>
      <c r="APV214" s="922"/>
      <c r="APW214" s="922"/>
      <c r="APX214" s="922"/>
      <c r="APY214" s="922"/>
      <c r="APZ214" s="922"/>
      <c r="AQA214" s="922"/>
      <c r="AQB214" s="922"/>
      <c r="AQC214" s="922"/>
      <c r="AQD214" s="922"/>
      <c r="AQE214" s="922"/>
      <c r="AQF214" s="922"/>
      <c r="AQG214" s="922"/>
      <c r="AQH214" s="922"/>
      <c r="AQI214" s="922"/>
      <c r="AQJ214" s="922"/>
      <c r="AQK214" s="922"/>
      <c r="AQL214" s="922"/>
      <c r="AQM214" s="922"/>
      <c r="AQN214" s="922"/>
      <c r="AQO214" s="922"/>
      <c r="AQP214" s="922"/>
      <c r="AQQ214" s="922"/>
      <c r="AQR214" s="922"/>
      <c r="AQS214" s="922"/>
      <c r="AQT214" s="922"/>
      <c r="AQU214" s="922"/>
      <c r="AQV214" s="922"/>
      <c r="AQW214" s="922"/>
      <c r="AQX214" s="922"/>
      <c r="AQY214" s="922"/>
      <c r="AQZ214" s="922"/>
      <c r="ARA214" s="922"/>
      <c r="ARB214" s="922"/>
      <c r="ARC214" s="922"/>
      <c r="ARD214" s="922"/>
      <c r="ARE214" s="922"/>
      <c r="ARF214" s="922"/>
      <c r="ARG214" s="922"/>
      <c r="ARH214" s="922"/>
      <c r="ARI214" s="922"/>
      <c r="ARJ214" s="922"/>
      <c r="ARK214" s="922"/>
      <c r="ARL214" s="922"/>
      <c r="ARM214" s="922"/>
      <c r="ARN214" s="922"/>
      <c r="ARO214" s="922"/>
      <c r="ARP214" s="922"/>
      <c r="ARQ214" s="922"/>
      <c r="ARR214" s="922"/>
      <c r="ARS214" s="922"/>
      <c r="ART214" s="922"/>
      <c r="ARU214" s="922"/>
      <c r="ARV214" s="922"/>
      <c r="ARW214" s="922"/>
      <c r="ARX214" s="922"/>
      <c r="ARY214" s="922"/>
      <c r="ARZ214" s="922"/>
      <c r="ASA214" s="922"/>
      <c r="ASB214" s="922"/>
      <c r="ASC214" s="922"/>
    </row>
    <row r="215" spans="20:1173" hidden="1">
      <c r="T215" s="922"/>
      <c r="AN215" s="922"/>
      <c r="AO215" s="922"/>
      <c r="AP215" s="922"/>
      <c r="AQ215" s="922"/>
      <c r="AR215" s="922"/>
      <c r="AS215" s="922"/>
      <c r="AT215" s="922"/>
      <c r="AU215" s="922"/>
      <c r="AV215" s="922"/>
      <c r="AW215" s="922"/>
      <c r="AX215" s="922"/>
      <c r="AY215" s="922"/>
      <c r="AZ215" s="922"/>
      <c r="BA215" s="922"/>
      <c r="BB215" s="922"/>
      <c r="BC215" s="922"/>
      <c r="BD215" s="922"/>
      <c r="BE215" s="922"/>
      <c r="BF215" s="922"/>
      <c r="BG215" s="922"/>
      <c r="BH215" s="922"/>
      <c r="BI215" s="922"/>
      <c r="BJ215" s="922"/>
      <c r="BK215" s="922"/>
      <c r="BL215" s="922"/>
      <c r="BM215" s="922"/>
      <c r="BN215" s="922"/>
      <c r="BO215" s="922"/>
      <c r="BP215" s="922"/>
      <c r="BQ215" s="922"/>
      <c r="BR215" s="922"/>
      <c r="BS215" s="922"/>
      <c r="BT215" s="922"/>
      <c r="BU215" s="922"/>
      <c r="BV215" s="922"/>
      <c r="BW215" s="922"/>
      <c r="BX215" s="922"/>
      <c r="BY215" s="922"/>
      <c r="BZ215" s="922"/>
      <c r="CA215" s="922"/>
      <c r="CB215" s="922"/>
      <c r="CC215" s="922"/>
      <c r="CD215" s="922"/>
      <c r="CE215" s="922"/>
      <c r="CF215" s="922"/>
      <c r="CG215" s="922"/>
      <c r="CH215" s="922"/>
      <c r="CI215" s="922"/>
      <c r="CJ215" s="922"/>
      <c r="CK215" s="922"/>
      <c r="CL215" s="922"/>
      <c r="CM215" s="922"/>
      <c r="CN215" s="922"/>
      <c r="CO215" s="922"/>
      <c r="CP215" s="922"/>
      <c r="CQ215" s="922"/>
      <c r="CR215" s="922"/>
      <c r="CS215" s="922"/>
      <c r="CT215" s="922"/>
      <c r="CU215" s="922"/>
      <c r="CV215" s="922"/>
      <c r="CW215" s="922"/>
      <c r="CX215" s="922"/>
      <c r="CY215" s="922"/>
      <c r="CZ215" s="922"/>
      <c r="DA215" s="922"/>
      <c r="DB215" s="922"/>
      <c r="DC215" s="922"/>
      <c r="DD215" s="922"/>
      <c r="DE215" s="922"/>
      <c r="DF215" s="922"/>
      <c r="DG215" s="922"/>
      <c r="DH215" s="922"/>
      <c r="DI215" s="922"/>
      <c r="DJ215" s="922"/>
      <c r="DK215" s="922"/>
      <c r="DL215" s="922"/>
      <c r="DM215" s="922"/>
      <c r="DN215" s="922"/>
      <c r="DO215" s="922"/>
      <c r="DP215" s="922"/>
      <c r="DQ215" s="922"/>
      <c r="DR215" s="922"/>
      <c r="DS215" s="922"/>
      <c r="DT215" s="922"/>
      <c r="DU215" s="922"/>
      <c r="DV215" s="922"/>
      <c r="DW215" s="922"/>
      <c r="DX215" s="922"/>
      <c r="DY215" s="922"/>
      <c r="DZ215" s="922"/>
      <c r="EA215" s="922"/>
      <c r="EB215" s="922"/>
      <c r="EC215" s="922"/>
      <c r="ED215" s="922"/>
      <c r="EE215" s="922"/>
      <c r="EF215" s="922"/>
      <c r="EG215" s="922"/>
      <c r="EH215" s="922"/>
      <c r="EI215" s="922"/>
      <c r="EJ215" s="922"/>
      <c r="EK215" s="922"/>
      <c r="EL215" s="922"/>
      <c r="EM215" s="922"/>
      <c r="EN215" s="922"/>
      <c r="EO215" s="922"/>
      <c r="EP215" s="922"/>
      <c r="EQ215" s="922"/>
      <c r="ER215" s="922"/>
      <c r="ES215" s="922"/>
      <c r="ET215" s="922"/>
      <c r="EU215" s="922"/>
      <c r="EV215" s="922"/>
      <c r="EW215" s="922"/>
      <c r="EX215" s="922"/>
      <c r="EY215" s="922"/>
      <c r="EZ215" s="922"/>
      <c r="FA215" s="922"/>
      <c r="FB215" s="922"/>
      <c r="FC215" s="922"/>
      <c r="FD215" s="922"/>
      <c r="FE215" s="922"/>
      <c r="FF215" s="922"/>
      <c r="FG215" s="922"/>
      <c r="FH215" s="922"/>
      <c r="FI215" s="922"/>
      <c r="FJ215" s="922"/>
      <c r="FK215" s="922"/>
      <c r="FL215" s="922"/>
      <c r="FM215" s="922"/>
      <c r="FN215" s="922"/>
      <c r="FO215" s="922"/>
      <c r="FP215" s="922"/>
      <c r="FQ215" s="922"/>
      <c r="FR215" s="922"/>
      <c r="FS215" s="922"/>
      <c r="FT215" s="922"/>
      <c r="FU215" s="922"/>
      <c r="FV215" s="922"/>
      <c r="FW215" s="922"/>
      <c r="FX215" s="922"/>
      <c r="FY215" s="922"/>
      <c r="FZ215" s="922"/>
      <c r="GA215" s="922"/>
      <c r="GB215" s="922"/>
      <c r="GC215" s="922"/>
      <c r="GD215" s="922"/>
      <c r="GE215" s="922"/>
      <c r="GF215" s="922"/>
      <c r="GG215" s="922"/>
      <c r="GH215" s="922"/>
      <c r="GI215" s="922"/>
      <c r="GJ215" s="922"/>
      <c r="GK215" s="922"/>
      <c r="GL215" s="922"/>
      <c r="GM215" s="922"/>
      <c r="GN215" s="922"/>
      <c r="GO215" s="922"/>
      <c r="GP215" s="922"/>
      <c r="GQ215" s="922"/>
      <c r="GR215" s="922"/>
      <c r="GS215" s="922"/>
      <c r="GT215" s="922"/>
      <c r="GU215" s="922"/>
      <c r="GV215" s="922"/>
      <c r="GW215" s="922"/>
      <c r="GX215" s="922"/>
      <c r="GY215" s="922"/>
      <c r="GZ215" s="922"/>
      <c r="HA215" s="922"/>
      <c r="HB215" s="922"/>
      <c r="HC215" s="922"/>
      <c r="HD215" s="922"/>
      <c r="HE215" s="922"/>
      <c r="HF215" s="922"/>
      <c r="HG215" s="922"/>
      <c r="HH215" s="922"/>
      <c r="HI215" s="922"/>
      <c r="HJ215" s="922"/>
      <c r="HK215" s="922"/>
      <c r="HL215" s="922"/>
      <c r="HM215" s="922"/>
      <c r="HN215" s="922"/>
      <c r="HO215" s="922"/>
      <c r="HP215" s="922"/>
      <c r="HQ215" s="922"/>
      <c r="HR215" s="922"/>
      <c r="HS215" s="922"/>
      <c r="HT215" s="922"/>
      <c r="HU215" s="922"/>
      <c r="HV215" s="922"/>
      <c r="HW215" s="922"/>
      <c r="HX215" s="922"/>
      <c r="HY215" s="922"/>
      <c r="HZ215" s="922"/>
      <c r="IA215" s="922"/>
      <c r="IB215" s="922"/>
      <c r="IC215" s="922"/>
      <c r="ID215" s="922"/>
      <c r="IE215" s="922"/>
      <c r="IF215" s="922"/>
      <c r="IG215" s="922"/>
      <c r="IH215" s="922"/>
      <c r="II215" s="922"/>
      <c r="IJ215" s="922"/>
      <c r="IK215" s="922"/>
      <c r="IL215" s="922"/>
      <c r="IM215" s="922"/>
      <c r="IN215" s="922"/>
      <c r="IO215" s="922"/>
      <c r="IP215" s="922"/>
      <c r="IQ215" s="922"/>
      <c r="IR215" s="922"/>
      <c r="IS215" s="922"/>
      <c r="IT215" s="922"/>
      <c r="IU215" s="922"/>
      <c r="IV215" s="922"/>
      <c r="IW215" s="922"/>
      <c r="IX215" s="922"/>
      <c r="IY215" s="922"/>
      <c r="IZ215" s="922"/>
      <c r="JA215" s="922"/>
      <c r="JB215" s="922"/>
      <c r="JC215" s="922"/>
      <c r="JD215" s="922"/>
      <c r="JE215" s="922"/>
      <c r="JF215" s="922"/>
      <c r="JG215" s="922"/>
      <c r="JH215" s="922"/>
      <c r="JI215" s="922"/>
      <c r="JJ215" s="922"/>
      <c r="JK215" s="922"/>
      <c r="JL215" s="922"/>
      <c r="JM215" s="922"/>
      <c r="JN215" s="922"/>
      <c r="JO215" s="922"/>
      <c r="JP215" s="922"/>
      <c r="JQ215" s="922"/>
      <c r="JR215" s="922"/>
      <c r="JS215" s="922"/>
      <c r="JT215" s="922"/>
      <c r="JU215" s="922"/>
      <c r="JV215" s="922"/>
      <c r="JW215" s="922"/>
      <c r="JX215" s="922"/>
      <c r="JY215" s="922"/>
      <c r="JZ215" s="922"/>
      <c r="KA215" s="922"/>
      <c r="KB215" s="922"/>
      <c r="KC215" s="922"/>
      <c r="KD215" s="922"/>
      <c r="KE215" s="922"/>
      <c r="KF215" s="922"/>
      <c r="KG215" s="922"/>
      <c r="KH215" s="922"/>
      <c r="KI215" s="922"/>
      <c r="KJ215" s="922"/>
      <c r="KK215" s="922"/>
      <c r="KL215" s="922"/>
      <c r="KM215" s="922"/>
      <c r="KN215" s="922"/>
      <c r="KO215" s="922"/>
      <c r="KP215" s="922"/>
      <c r="KQ215" s="922"/>
      <c r="KR215" s="922"/>
      <c r="KS215" s="922"/>
      <c r="KT215" s="922"/>
      <c r="KU215" s="922"/>
      <c r="KV215" s="922"/>
      <c r="KW215" s="922"/>
      <c r="KX215" s="922"/>
      <c r="KY215" s="922"/>
      <c r="KZ215" s="922"/>
      <c r="LA215" s="922"/>
      <c r="LB215" s="922"/>
      <c r="LC215" s="922"/>
      <c r="LD215" s="922"/>
      <c r="LE215" s="922"/>
      <c r="LF215" s="922"/>
      <c r="LG215" s="922"/>
      <c r="LH215" s="922"/>
      <c r="LI215" s="922"/>
      <c r="LJ215" s="922"/>
      <c r="LK215" s="922"/>
      <c r="LL215" s="922"/>
      <c r="LM215" s="922"/>
      <c r="LN215" s="922"/>
      <c r="LO215" s="922"/>
      <c r="LP215" s="922"/>
      <c r="LQ215" s="922"/>
      <c r="LR215" s="922"/>
      <c r="LS215" s="922"/>
      <c r="LT215" s="922"/>
      <c r="LU215" s="922"/>
      <c r="LV215" s="922"/>
      <c r="LW215" s="922"/>
      <c r="LX215" s="922"/>
      <c r="LY215" s="922"/>
      <c r="LZ215" s="922"/>
      <c r="MA215" s="922"/>
      <c r="MB215" s="922"/>
      <c r="MC215" s="922"/>
      <c r="MD215" s="922"/>
      <c r="ME215" s="922"/>
      <c r="MF215" s="922"/>
      <c r="MG215" s="922"/>
      <c r="MH215" s="922"/>
      <c r="MI215" s="922"/>
      <c r="MJ215" s="922"/>
      <c r="MK215" s="922"/>
      <c r="ML215" s="922"/>
      <c r="MM215" s="922"/>
      <c r="MN215" s="922"/>
      <c r="MO215" s="922"/>
      <c r="MP215" s="922"/>
      <c r="MQ215" s="922"/>
      <c r="MR215" s="922"/>
      <c r="MS215" s="922"/>
      <c r="MT215" s="922"/>
      <c r="MU215" s="922"/>
      <c r="MV215" s="922"/>
      <c r="MW215" s="922"/>
      <c r="MX215" s="922"/>
      <c r="MY215" s="922"/>
      <c r="MZ215" s="922"/>
      <c r="NA215" s="922"/>
      <c r="NB215" s="922"/>
      <c r="NC215" s="922"/>
      <c r="ND215" s="922"/>
      <c r="NE215" s="922"/>
      <c r="NF215" s="922"/>
      <c r="NG215" s="922"/>
      <c r="NH215" s="922"/>
      <c r="NI215" s="922"/>
      <c r="NJ215" s="922"/>
      <c r="NK215" s="922"/>
      <c r="NL215" s="922"/>
      <c r="NM215" s="922"/>
      <c r="NN215" s="922"/>
      <c r="NO215" s="922"/>
      <c r="NP215" s="922"/>
      <c r="NQ215" s="922"/>
      <c r="NR215" s="922"/>
      <c r="NS215" s="922"/>
      <c r="NT215" s="922"/>
      <c r="NU215" s="922"/>
      <c r="NV215" s="922"/>
      <c r="NW215" s="922"/>
      <c r="NX215" s="922"/>
      <c r="NY215" s="922"/>
      <c r="NZ215" s="922"/>
      <c r="OA215" s="922"/>
      <c r="OB215" s="922"/>
      <c r="OC215" s="922"/>
      <c r="OD215" s="922"/>
      <c r="OE215" s="922"/>
      <c r="OF215" s="922"/>
      <c r="OG215" s="922"/>
      <c r="OH215" s="922"/>
      <c r="OI215" s="922"/>
      <c r="OJ215" s="922"/>
      <c r="OK215" s="922"/>
      <c r="OL215" s="922"/>
      <c r="OM215" s="922"/>
      <c r="ON215" s="922"/>
      <c r="OO215" s="922"/>
      <c r="OP215" s="922"/>
      <c r="OQ215" s="922"/>
      <c r="OR215" s="922"/>
      <c r="OS215" s="922"/>
      <c r="OT215" s="922"/>
      <c r="OU215" s="922"/>
      <c r="OV215" s="922"/>
      <c r="OW215" s="922"/>
      <c r="OX215" s="922"/>
      <c r="OY215" s="922"/>
      <c r="OZ215" s="922"/>
      <c r="PA215" s="922"/>
      <c r="PB215" s="922"/>
      <c r="PC215" s="922"/>
      <c r="PD215" s="922"/>
      <c r="PE215" s="922"/>
      <c r="PF215" s="922"/>
      <c r="PG215" s="922"/>
      <c r="PH215" s="922"/>
      <c r="PI215" s="922"/>
      <c r="PJ215" s="922"/>
      <c r="PK215" s="922"/>
      <c r="PL215" s="922"/>
      <c r="PM215" s="922"/>
      <c r="PN215" s="922"/>
      <c r="PO215" s="922"/>
      <c r="PP215" s="922"/>
      <c r="PQ215" s="922"/>
      <c r="PR215" s="922"/>
      <c r="PS215" s="922"/>
      <c r="PT215" s="922"/>
      <c r="PU215" s="922"/>
      <c r="PV215" s="922"/>
      <c r="PW215" s="922"/>
      <c r="PX215" s="922"/>
      <c r="PY215" s="922"/>
      <c r="PZ215" s="922"/>
      <c r="QA215" s="922"/>
      <c r="QB215" s="922"/>
      <c r="QC215" s="922"/>
      <c r="QD215" s="922"/>
      <c r="QE215" s="922"/>
      <c r="QF215" s="922"/>
      <c r="QG215" s="922"/>
      <c r="QH215" s="922"/>
      <c r="QI215" s="922"/>
      <c r="QJ215" s="922"/>
      <c r="QK215" s="922"/>
      <c r="QL215" s="922"/>
      <c r="QM215" s="922"/>
      <c r="QN215" s="922"/>
      <c r="QO215" s="922"/>
      <c r="QP215" s="922"/>
      <c r="QQ215" s="922"/>
      <c r="QR215" s="922"/>
      <c r="QS215" s="922"/>
      <c r="QT215" s="922"/>
      <c r="QU215" s="922"/>
      <c r="QV215" s="922"/>
      <c r="QW215" s="922"/>
      <c r="QX215" s="922"/>
      <c r="QY215" s="922"/>
      <c r="QZ215" s="922"/>
      <c r="RA215" s="922"/>
      <c r="RB215" s="922"/>
      <c r="RC215" s="922"/>
      <c r="RD215" s="922"/>
      <c r="RE215" s="922"/>
      <c r="RF215" s="922"/>
      <c r="RG215" s="922"/>
      <c r="RH215" s="922"/>
      <c r="RI215" s="922"/>
      <c r="RJ215" s="922"/>
      <c r="RK215" s="922"/>
      <c r="RL215" s="922"/>
      <c r="RM215" s="922"/>
      <c r="RN215" s="922"/>
      <c r="RO215" s="922"/>
      <c r="RP215" s="922"/>
      <c r="RQ215" s="922"/>
      <c r="RR215" s="922"/>
      <c r="RS215" s="922"/>
      <c r="RT215" s="922"/>
      <c r="RU215" s="922"/>
      <c r="RV215" s="922"/>
      <c r="RW215" s="922"/>
      <c r="RX215" s="922"/>
      <c r="RY215" s="922"/>
      <c r="RZ215" s="922"/>
      <c r="SA215" s="922"/>
      <c r="SB215" s="922"/>
      <c r="SC215" s="922"/>
      <c r="SD215" s="922"/>
      <c r="SE215" s="922"/>
      <c r="SF215" s="922"/>
      <c r="SG215" s="922"/>
      <c r="SH215" s="922"/>
      <c r="SI215" s="922"/>
      <c r="SJ215" s="922"/>
      <c r="SK215" s="922"/>
      <c r="SL215" s="922"/>
      <c r="SM215" s="922"/>
      <c r="SN215" s="922"/>
      <c r="SO215" s="922"/>
      <c r="SP215" s="922"/>
      <c r="SQ215" s="922"/>
      <c r="SR215" s="922"/>
      <c r="SS215" s="922"/>
      <c r="ST215" s="922"/>
      <c r="SU215" s="922"/>
      <c r="SV215" s="922"/>
      <c r="SW215" s="922"/>
      <c r="SX215" s="922"/>
      <c r="SY215" s="922"/>
      <c r="SZ215" s="922"/>
      <c r="TA215" s="922"/>
      <c r="TB215" s="922"/>
      <c r="TC215" s="922"/>
      <c r="TD215" s="922"/>
      <c r="TE215" s="922"/>
      <c r="TF215" s="922"/>
      <c r="TG215" s="922"/>
      <c r="TH215" s="922"/>
      <c r="TI215" s="922"/>
      <c r="TJ215" s="922"/>
      <c r="TK215" s="922"/>
      <c r="TL215" s="922"/>
      <c r="TM215" s="922"/>
      <c r="TN215" s="922"/>
      <c r="TO215" s="922"/>
      <c r="TP215" s="922"/>
      <c r="TQ215" s="922"/>
      <c r="TR215" s="922"/>
      <c r="TS215" s="922"/>
      <c r="TT215" s="922"/>
      <c r="TU215" s="922"/>
      <c r="TV215" s="922"/>
      <c r="TW215" s="922"/>
      <c r="TX215" s="922"/>
      <c r="TY215" s="922"/>
      <c r="TZ215" s="922"/>
      <c r="UA215" s="922"/>
      <c r="UB215" s="922"/>
      <c r="UC215" s="922"/>
      <c r="UD215" s="922"/>
      <c r="UE215" s="922"/>
      <c r="UF215" s="922"/>
      <c r="UG215" s="922"/>
      <c r="UH215" s="922"/>
      <c r="UI215" s="922"/>
      <c r="UJ215" s="922"/>
      <c r="UK215" s="922"/>
      <c r="UL215" s="922"/>
      <c r="UM215" s="922"/>
      <c r="UN215" s="922"/>
      <c r="UO215" s="922"/>
      <c r="UP215" s="922"/>
      <c r="UQ215" s="922"/>
      <c r="UR215" s="922"/>
      <c r="US215" s="922"/>
      <c r="UT215" s="922"/>
      <c r="UU215" s="922"/>
      <c r="UV215" s="922"/>
      <c r="UW215" s="922"/>
      <c r="UX215" s="922"/>
      <c r="UY215" s="922"/>
      <c r="UZ215" s="922"/>
      <c r="VA215" s="922"/>
      <c r="VB215" s="922"/>
      <c r="VC215" s="922"/>
      <c r="VD215" s="922"/>
      <c r="VE215" s="922"/>
      <c r="VF215" s="922"/>
      <c r="VG215" s="922"/>
      <c r="VH215" s="922"/>
      <c r="VI215" s="922"/>
      <c r="VJ215" s="922"/>
      <c r="VK215" s="922"/>
      <c r="VL215" s="922"/>
      <c r="VM215" s="922"/>
      <c r="VN215" s="922"/>
      <c r="VO215" s="922"/>
      <c r="VP215" s="922"/>
      <c r="VQ215" s="922"/>
      <c r="VR215" s="922"/>
      <c r="VS215" s="922"/>
      <c r="VT215" s="922"/>
      <c r="VU215" s="922"/>
      <c r="VV215" s="922"/>
      <c r="VW215" s="922"/>
      <c r="VX215" s="922"/>
      <c r="VY215" s="922"/>
      <c r="VZ215" s="922"/>
      <c r="WA215" s="922"/>
      <c r="WB215" s="922"/>
      <c r="WC215" s="922"/>
      <c r="WD215" s="922"/>
      <c r="WE215" s="922"/>
      <c r="WF215" s="922"/>
      <c r="WG215" s="922"/>
      <c r="WH215" s="922"/>
      <c r="WI215" s="922"/>
      <c r="WJ215" s="922"/>
      <c r="WK215" s="922"/>
      <c r="WL215" s="922"/>
      <c r="WM215" s="922"/>
      <c r="WN215" s="922"/>
      <c r="WO215" s="922"/>
      <c r="WP215" s="922"/>
      <c r="WQ215" s="922"/>
      <c r="WR215" s="922"/>
      <c r="WS215" s="922"/>
      <c r="WT215" s="922"/>
      <c r="WU215" s="922"/>
      <c r="WV215" s="922"/>
      <c r="WW215" s="922"/>
      <c r="WX215" s="922"/>
      <c r="WY215" s="922"/>
      <c r="WZ215" s="922"/>
      <c r="XA215" s="922"/>
      <c r="XB215" s="922"/>
      <c r="XC215" s="922"/>
      <c r="XD215" s="922"/>
      <c r="XE215" s="922"/>
      <c r="XF215" s="922"/>
      <c r="XG215" s="922"/>
      <c r="XH215" s="922"/>
      <c r="XI215" s="922"/>
      <c r="XJ215" s="922"/>
      <c r="XK215" s="922"/>
      <c r="XL215" s="922"/>
      <c r="XM215" s="922"/>
      <c r="XN215" s="922"/>
      <c r="XO215" s="922"/>
      <c r="XP215" s="922"/>
      <c r="XQ215" s="922"/>
      <c r="XR215" s="922"/>
      <c r="XS215" s="922"/>
      <c r="XT215" s="922"/>
      <c r="XU215" s="922"/>
      <c r="XV215" s="922"/>
      <c r="XW215" s="922"/>
      <c r="XX215" s="922"/>
      <c r="XY215" s="922"/>
      <c r="XZ215" s="922"/>
      <c r="YA215" s="922"/>
      <c r="YB215" s="922"/>
      <c r="YC215" s="922"/>
      <c r="YD215" s="922"/>
      <c r="YE215" s="922"/>
      <c r="YF215" s="922"/>
      <c r="YG215" s="922"/>
      <c r="YH215" s="922"/>
      <c r="YI215" s="922"/>
      <c r="YJ215" s="922"/>
      <c r="YK215" s="922"/>
      <c r="YL215" s="922"/>
      <c r="YM215" s="922"/>
      <c r="YN215" s="922"/>
      <c r="YO215" s="922"/>
      <c r="YP215" s="922"/>
      <c r="YQ215" s="922"/>
      <c r="YR215" s="922"/>
      <c r="YS215" s="922"/>
      <c r="YT215" s="922"/>
      <c r="YU215" s="922"/>
      <c r="YV215" s="922"/>
      <c r="YW215" s="922"/>
      <c r="YX215" s="922"/>
      <c r="YY215" s="922"/>
      <c r="YZ215" s="922"/>
      <c r="ZA215" s="922"/>
      <c r="ZB215" s="922"/>
      <c r="ZC215" s="922"/>
      <c r="ZD215" s="922"/>
      <c r="ZE215" s="922"/>
      <c r="ZF215" s="922"/>
      <c r="ZG215" s="922"/>
      <c r="ZH215" s="922"/>
      <c r="ZI215" s="922"/>
      <c r="ZJ215" s="922"/>
      <c r="ZK215" s="922"/>
      <c r="ZL215" s="922"/>
      <c r="ZM215" s="922"/>
      <c r="ZN215" s="922"/>
      <c r="ZO215" s="922"/>
      <c r="ZP215" s="922"/>
      <c r="ZQ215" s="922"/>
      <c r="ZR215" s="922"/>
      <c r="ZS215" s="922"/>
      <c r="ZT215" s="922"/>
      <c r="ZU215" s="922"/>
      <c r="ZV215" s="922"/>
      <c r="ZW215" s="922"/>
      <c r="ZX215" s="922"/>
      <c r="ZY215" s="922"/>
      <c r="ZZ215" s="922"/>
      <c r="AAA215" s="922"/>
      <c r="AAB215" s="922"/>
      <c r="AAC215" s="922"/>
      <c r="AAD215" s="922"/>
      <c r="AAE215" s="922"/>
      <c r="AAF215" s="922"/>
      <c r="AAG215" s="922"/>
      <c r="AAH215" s="922"/>
      <c r="AAI215" s="922"/>
      <c r="AAJ215" s="922"/>
      <c r="AAK215" s="922"/>
      <c r="AAL215" s="922"/>
      <c r="AAM215" s="922"/>
      <c r="AAN215" s="922"/>
      <c r="AAO215" s="922"/>
      <c r="AAP215" s="922"/>
      <c r="AAQ215" s="922"/>
      <c r="AAR215" s="922"/>
      <c r="AAS215" s="922"/>
      <c r="AAT215" s="922"/>
      <c r="AAU215" s="922"/>
      <c r="AAV215" s="922"/>
      <c r="AAW215" s="922"/>
      <c r="AAX215" s="922"/>
      <c r="AAY215" s="922"/>
      <c r="AAZ215" s="922"/>
      <c r="ABA215" s="922"/>
      <c r="ABB215" s="922"/>
      <c r="ABC215" s="922"/>
      <c r="ABD215" s="922"/>
      <c r="ABE215" s="922"/>
      <c r="ABF215" s="922"/>
      <c r="ABG215" s="922"/>
      <c r="ABH215" s="922"/>
      <c r="ABI215" s="922"/>
      <c r="ABJ215" s="922"/>
      <c r="ABK215" s="922"/>
      <c r="ABL215" s="922"/>
      <c r="ABM215" s="922"/>
      <c r="ABN215" s="922"/>
      <c r="ABO215" s="922"/>
      <c r="ABP215" s="922"/>
      <c r="ABQ215" s="922"/>
      <c r="ABR215" s="922"/>
      <c r="ABS215" s="922"/>
      <c r="ABT215" s="922"/>
      <c r="ABU215" s="922"/>
      <c r="ABV215" s="922"/>
      <c r="ABW215" s="922"/>
      <c r="ABX215" s="922"/>
      <c r="ABY215" s="922"/>
      <c r="ABZ215" s="922"/>
      <c r="ACA215" s="922"/>
      <c r="ACB215" s="922"/>
      <c r="ACC215" s="922"/>
      <c r="ACD215" s="922"/>
      <c r="ACE215" s="922"/>
      <c r="ACF215" s="922"/>
      <c r="ACG215" s="922"/>
      <c r="ACH215" s="922"/>
      <c r="ACI215" s="922"/>
      <c r="ACJ215" s="922"/>
      <c r="ACK215" s="922"/>
      <c r="ACL215" s="922"/>
      <c r="ACM215" s="922"/>
      <c r="ACN215" s="922"/>
      <c r="ACO215" s="922"/>
      <c r="ACP215" s="922"/>
      <c r="ACQ215" s="922"/>
      <c r="ACR215" s="922"/>
      <c r="ACS215" s="922"/>
      <c r="ACT215" s="922"/>
      <c r="ACU215" s="922"/>
      <c r="ACV215" s="922"/>
      <c r="ACW215" s="922"/>
      <c r="ACX215" s="922"/>
      <c r="ACY215" s="922"/>
      <c r="ACZ215" s="922"/>
      <c r="ADA215" s="922"/>
      <c r="ADB215" s="922"/>
      <c r="ADC215" s="922"/>
      <c r="ADD215" s="922"/>
      <c r="ADE215" s="922"/>
      <c r="ADF215" s="922"/>
      <c r="ADG215" s="922"/>
      <c r="ADH215" s="922"/>
      <c r="ADI215" s="922"/>
      <c r="ADJ215" s="922"/>
      <c r="ADK215" s="922"/>
      <c r="ADL215" s="922"/>
      <c r="ADM215" s="922"/>
      <c r="ADN215" s="922"/>
      <c r="ADO215" s="922"/>
      <c r="ADP215" s="922"/>
      <c r="ADQ215" s="922"/>
      <c r="ADR215" s="922"/>
      <c r="ADS215" s="922"/>
      <c r="ADT215" s="922"/>
      <c r="ADU215" s="922"/>
      <c r="ADV215" s="922"/>
      <c r="ADW215" s="922"/>
      <c r="ADX215" s="922"/>
      <c r="ADY215" s="922"/>
      <c r="ADZ215" s="922"/>
      <c r="AEA215" s="922"/>
      <c r="AEB215" s="922"/>
      <c r="AEC215" s="922"/>
      <c r="AED215" s="922"/>
      <c r="AEE215" s="922"/>
      <c r="AEF215" s="922"/>
      <c r="AEG215" s="922"/>
      <c r="AEH215" s="922"/>
      <c r="AEI215" s="922"/>
      <c r="AEJ215" s="922"/>
      <c r="AEK215" s="922"/>
      <c r="AEL215" s="922"/>
      <c r="AEM215" s="922"/>
      <c r="AEN215" s="922"/>
      <c r="AEO215" s="922"/>
      <c r="AEP215" s="922"/>
      <c r="AEQ215" s="922"/>
      <c r="AER215" s="922"/>
      <c r="AES215" s="922"/>
      <c r="AET215" s="922"/>
      <c r="AEU215" s="922"/>
      <c r="AEV215" s="922"/>
      <c r="AEW215" s="922"/>
      <c r="AEX215" s="922"/>
      <c r="AEY215" s="922"/>
      <c r="AEZ215" s="922"/>
      <c r="AFA215" s="922"/>
      <c r="AFB215" s="922"/>
      <c r="AFC215" s="922"/>
      <c r="AFD215" s="922"/>
      <c r="AFE215" s="922"/>
      <c r="AFF215" s="922"/>
      <c r="AFG215" s="922"/>
      <c r="AFH215" s="922"/>
      <c r="AFI215" s="922"/>
      <c r="AFJ215" s="922"/>
      <c r="AFK215" s="922"/>
      <c r="AFL215" s="922"/>
      <c r="AFM215" s="922"/>
      <c r="AFN215" s="922"/>
      <c r="AFO215" s="922"/>
      <c r="AFP215" s="922"/>
      <c r="AFQ215" s="922"/>
      <c r="AFR215" s="922"/>
      <c r="AFS215" s="922"/>
      <c r="AFT215" s="922"/>
      <c r="AFU215" s="922"/>
      <c r="AFV215" s="922"/>
      <c r="AFW215" s="922"/>
      <c r="AFX215" s="922"/>
      <c r="AFY215" s="922"/>
      <c r="AFZ215" s="922"/>
      <c r="AGA215" s="922"/>
      <c r="AGB215" s="922"/>
      <c r="AGC215" s="922"/>
      <c r="AGD215" s="922"/>
      <c r="AGE215" s="922"/>
      <c r="AGF215" s="922"/>
      <c r="AGG215" s="922"/>
      <c r="AGH215" s="922"/>
      <c r="AGI215" s="922"/>
      <c r="AGJ215" s="922"/>
      <c r="AGK215" s="922"/>
      <c r="AGL215" s="922"/>
      <c r="AGM215" s="922"/>
      <c r="AGN215" s="922"/>
      <c r="AGO215" s="922"/>
      <c r="AGP215" s="922"/>
      <c r="AGQ215" s="922"/>
      <c r="AGR215" s="922"/>
      <c r="AGS215" s="922"/>
      <c r="AGT215" s="922"/>
      <c r="AGU215" s="922"/>
      <c r="AGV215" s="922"/>
      <c r="AGW215" s="922"/>
      <c r="AGX215" s="922"/>
      <c r="AGY215" s="922"/>
      <c r="AGZ215" s="922"/>
      <c r="AHA215" s="922"/>
      <c r="AHB215" s="922"/>
      <c r="AHC215" s="922"/>
      <c r="AHD215" s="922"/>
      <c r="AHE215" s="922"/>
      <c r="AHF215" s="922"/>
      <c r="AHG215" s="922"/>
      <c r="AHH215" s="922"/>
      <c r="AHI215" s="922"/>
      <c r="AHJ215" s="922"/>
      <c r="AHK215" s="922"/>
      <c r="AHL215" s="922"/>
      <c r="AHM215" s="922"/>
      <c r="AHN215" s="922"/>
      <c r="AHO215" s="922"/>
      <c r="AHP215" s="922"/>
      <c r="AHQ215" s="922"/>
      <c r="AHR215" s="922"/>
      <c r="AHS215" s="922"/>
      <c r="AHT215" s="922"/>
      <c r="AHU215" s="922"/>
      <c r="AHV215" s="922"/>
      <c r="AHW215" s="922"/>
      <c r="AHX215" s="922"/>
      <c r="AHY215" s="922"/>
      <c r="AHZ215" s="922"/>
      <c r="AIA215" s="922"/>
      <c r="AIB215" s="922"/>
      <c r="AIC215" s="922"/>
      <c r="AID215" s="922"/>
      <c r="AIE215" s="922"/>
      <c r="AIF215" s="922"/>
      <c r="AIG215" s="922"/>
      <c r="AIH215" s="922"/>
      <c r="AII215" s="922"/>
      <c r="AIJ215" s="922"/>
      <c r="AIK215" s="922"/>
      <c r="AIL215" s="922"/>
      <c r="AIM215" s="922"/>
      <c r="AIN215" s="922"/>
      <c r="AIO215" s="922"/>
      <c r="AIP215" s="922"/>
      <c r="AIQ215" s="922"/>
      <c r="AIR215" s="922"/>
      <c r="AIS215" s="922"/>
      <c r="AIT215" s="922"/>
      <c r="AIU215" s="922"/>
      <c r="AIV215" s="922"/>
      <c r="AIW215" s="922"/>
      <c r="AIX215" s="922"/>
      <c r="AIY215" s="922"/>
      <c r="AIZ215" s="922"/>
      <c r="AJA215" s="922"/>
      <c r="AJB215" s="922"/>
      <c r="AJC215" s="922"/>
      <c r="AJD215" s="922"/>
      <c r="AJE215" s="922"/>
      <c r="AJF215" s="922"/>
      <c r="AJG215" s="922"/>
      <c r="AJH215" s="922"/>
      <c r="AJI215" s="922"/>
      <c r="AJJ215" s="922"/>
      <c r="AJK215" s="922"/>
      <c r="AJL215" s="922"/>
      <c r="AJM215" s="922"/>
      <c r="AJN215" s="922"/>
      <c r="AJO215" s="922"/>
      <c r="AJP215" s="922"/>
      <c r="AJQ215" s="922"/>
      <c r="AJR215" s="922"/>
      <c r="AJS215" s="922"/>
      <c r="AJT215" s="922"/>
      <c r="AJU215" s="922"/>
      <c r="AJV215" s="922"/>
      <c r="AJW215" s="922"/>
      <c r="AJX215" s="922"/>
      <c r="AJY215" s="922"/>
      <c r="AJZ215" s="922"/>
      <c r="AKA215" s="922"/>
      <c r="AKB215" s="922"/>
      <c r="AKC215" s="922"/>
      <c r="AKD215" s="922"/>
      <c r="AKE215" s="922"/>
      <c r="AKF215" s="922"/>
      <c r="AKG215" s="922"/>
      <c r="AKH215" s="922"/>
      <c r="AKI215" s="922"/>
      <c r="AKJ215" s="922"/>
      <c r="AKK215" s="922"/>
      <c r="AKL215" s="922"/>
      <c r="AKM215" s="922"/>
      <c r="AKN215" s="922"/>
      <c r="AKO215" s="922"/>
      <c r="AKP215" s="922"/>
      <c r="AKQ215" s="922"/>
      <c r="AKR215" s="922"/>
      <c r="AKS215" s="922"/>
      <c r="AKT215" s="922"/>
      <c r="AKU215" s="922"/>
      <c r="AKV215" s="922"/>
      <c r="AKW215" s="922"/>
      <c r="AKX215" s="922"/>
      <c r="AKY215" s="922"/>
      <c r="AKZ215" s="922"/>
      <c r="ALA215" s="922"/>
      <c r="ALB215" s="922"/>
      <c r="ALC215" s="922"/>
      <c r="ALD215" s="922"/>
      <c r="ALE215" s="922"/>
      <c r="ALF215" s="922"/>
      <c r="ALG215" s="922"/>
      <c r="ALH215" s="922"/>
      <c r="ALI215" s="922"/>
      <c r="ALJ215" s="922"/>
      <c r="ALK215" s="922"/>
      <c r="ALL215" s="922"/>
      <c r="ALM215" s="922"/>
      <c r="ALN215" s="922"/>
      <c r="ALO215" s="922"/>
      <c r="ALP215" s="922"/>
      <c r="ALQ215" s="922"/>
      <c r="ALR215" s="922"/>
      <c r="ALS215" s="922"/>
      <c r="ALT215" s="922"/>
      <c r="ALU215" s="922"/>
      <c r="ALV215" s="922"/>
      <c r="ALW215" s="922"/>
      <c r="ALX215" s="922"/>
      <c r="ALY215" s="922"/>
      <c r="ALZ215" s="922"/>
      <c r="AMA215" s="922"/>
      <c r="AMB215" s="922"/>
      <c r="AMC215" s="922"/>
      <c r="AMD215" s="922"/>
      <c r="AME215" s="922"/>
      <c r="AMF215" s="922"/>
      <c r="AMG215" s="922"/>
      <c r="AMH215" s="922"/>
      <c r="AMI215" s="922"/>
      <c r="AMJ215" s="922"/>
      <c r="AMK215" s="922"/>
      <c r="AML215" s="922"/>
      <c r="AMM215" s="922"/>
      <c r="AMN215" s="922"/>
      <c r="AMO215" s="922"/>
      <c r="AMP215" s="922"/>
      <c r="AMQ215" s="922"/>
      <c r="AMR215" s="922"/>
      <c r="AMS215" s="922"/>
      <c r="AMT215" s="922"/>
      <c r="AMU215" s="922"/>
      <c r="AMV215" s="922"/>
      <c r="AMW215" s="922"/>
      <c r="AMX215" s="922"/>
      <c r="AMY215" s="922"/>
      <c r="AMZ215" s="922"/>
      <c r="ANA215" s="922"/>
      <c r="ANB215" s="922"/>
      <c r="ANC215" s="922"/>
      <c r="AND215" s="922"/>
      <c r="ANE215" s="922"/>
      <c r="ANF215" s="922"/>
      <c r="ANG215" s="922"/>
      <c r="ANH215" s="922"/>
      <c r="ANI215" s="922"/>
      <c r="ANJ215" s="922"/>
      <c r="ANK215" s="922"/>
      <c r="ANL215" s="922"/>
      <c r="ANM215" s="922"/>
      <c r="ANN215" s="922"/>
      <c r="ANO215" s="922"/>
      <c r="ANP215" s="922"/>
      <c r="ANQ215" s="922"/>
      <c r="ANR215" s="922"/>
      <c r="ANS215" s="922"/>
      <c r="ANT215" s="922"/>
      <c r="ANU215" s="922"/>
      <c r="ANV215" s="922"/>
      <c r="ANW215" s="922"/>
      <c r="ANX215" s="922"/>
      <c r="ANY215" s="922"/>
      <c r="ANZ215" s="922"/>
      <c r="AOA215" s="922"/>
      <c r="AOB215" s="922"/>
      <c r="AOC215" s="922"/>
      <c r="AOD215" s="922"/>
      <c r="AOE215" s="922"/>
      <c r="AOF215" s="922"/>
      <c r="AOG215" s="922"/>
      <c r="AOH215" s="922"/>
      <c r="AOI215" s="922"/>
      <c r="AOJ215" s="922"/>
      <c r="AOK215" s="922"/>
      <c r="AOL215" s="922"/>
      <c r="AOM215" s="922"/>
      <c r="AON215" s="922"/>
      <c r="AOO215" s="922"/>
      <c r="AOP215" s="922"/>
      <c r="AOQ215" s="922"/>
      <c r="AOR215" s="922"/>
      <c r="AOS215" s="922"/>
      <c r="AOT215" s="922"/>
      <c r="AOU215" s="922"/>
      <c r="AOV215" s="922"/>
      <c r="AOW215" s="922"/>
      <c r="AOX215" s="922"/>
      <c r="AOY215" s="922"/>
      <c r="AOZ215" s="922"/>
      <c r="APA215" s="922"/>
      <c r="APB215" s="922"/>
      <c r="APC215" s="922"/>
      <c r="APD215" s="922"/>
      <c r="APE215" s="922"/>
      <c r="APF215" s="922"/>
      <c r="APG215" s="922"/>
      <c r="APH215" s="922"/>
      <c r="API215" s="922"/>
      <c r="APJ215" s="922"/>
      <c r="APK215" s="922"/>
      <c r="APL215" s="922"/>
      <c r="APM215" s="922"/>
      <c r="APN215" s="922"/>
      <c r="APO215" s="922"/>
      <c r="APP215" s="922"/>
      <c r="APQ215" s="922"/>
      <c r="APR215" s="922"/>
      <c r="APS215" s="922"/>
      <c r="APT215" s="922"/>
      <c r="APU215" s="922"/>
      <c r="APV215" s="922"/>
      <c r="APW215" s="922"/>
      <c r="APX215" s="922"/>
      <c r="APY215" s="922"/>
      <c r="APZ215" s="922"/>
      <c r="AQA215" s="922"/>
      <c r="AQB215" s="922"/>
      <c r="AQC215" s="922"/>
      <c r="AQD215" s="922"/>
      <c r="AQE215" s="922"/>
      <c r="AQF215" s="922"/>
      <c r="AQG215" s="922"/>
      <c r="AQH215" s="922"/>
      <c r="AQI215" s="922"/>
      <c r="AQJ215" s="922"/>
      <c r="AQK215" s="922"/>
      <c r="AQL215" s="922"/>
      <c r="AQM215" s="922"/>
      <c r="AQN215" s="922"/>
      <c r="AQO215" s="922"/>
      <c r="AQP215" s="922"/>
      <c r="AQQ215" s="922"/>
      <c r="AQR215" s="922"/>
      <c r="AQS215" s="922"/>
      <c r="AQT215" s="922"/>
      <c r="AQU215" s="922"/>
      <c r="AQV215" s="922"/>
      <c r="AQW215" s="922"/>
      <c r="AQX215" s="922"/>
      <c r="AQY215" s="922"/>
      <c r="AQZ215" s="922"/>
      <c r="ARA215" s="922"/>
      <c r="ARB215" s="922"/>
      <c r="ARC215" s="922"/>
      <c r="ARD215" s="922"/>
      <c r="ARE215" s="922"/>
      <c r="ARF215" s="922"/>
      <c r="ARG215" s="922"/>
      <c r="ARH215" s="922"/>
      <c r="ARI215" s="922"/>
      <c r="ARJ215" s="922"/>
      <c r="ARK215" s="922"/>
      <c r="ARL215" s="922"/>
      <c r="ARM215" s="922"/>
      <c r="ARN215" s="922"/>
      <c r="ARO215" s="922"/>
      <c r="ARP215" s="922"/>
      <c r="ARQ215" s="922"/>
      <c r="ARR215" s="922"/>
      <c r="ARS215" s="922"/>
      <c r="ART215" s="922"/>
      <c r="ARU215" s="922"/>
      <c r="ARV215" s="922"/>
      <c r="ARW215" s="922"/>
      <c r="ARX215" s="922"/>
      <c r="ARY215" s="922"/>
      <c r="ARZ215" s="922"/>
      <c r="ASA215" s="922"/>
      <c r="ASB215" s="922"/>
      <c r="ASC215" s="922"/>
    </row>
    <row r="216" spans="20:1173" hidden="1">
      <c r="T216" s="922"/>
      <c r="AN216" s="922"/>
      <c r="AO216" s="922"/>
      <c r="AP216" s="922"/>
      <c r="AQ216" s="922"/>
      <c r="AR216" s="922"/>
      <c r="AS216" s="922"/>
      <c r="AT216" s="922"/>
      <c r="AU216" s="922"/>
      <c r="AV216" s="922"/>
      <c r="AW216" s="922"/>
      <c r="AX216" s="922"/>
      <c r="AY216" s="922"/>
      <c r="AZ216" s="922"/>
      <c r="BA216" s="922"/>
      <c r="BB216" s="922"/>
      <c r="BC216" s="922"/>
      <c r="BD216" s="922"/>
      <c r="BE216" s="922"/>
      <c r="BF216" s="922"/>
      <c r="BG216" s="922"/>
      <c r="BH216" s="922"/>
      <c r="BI216" s="922"/>
      <c r="BJ216" s="922"/>
      <c r="BK216" s="922"/>
      <c r="BL216" s="922"/>
      <c r="BM216" s="922"/>
      <c r="BN216" s="922"/>
      <c r="BO216" s="922"/>
      <c r="BP216" s="922"/>
      <c r="BQ216" s="922"/>
      <c r="BR216" s="922"/>
      <c r="BS216" s="922"/>
      <c r="BT216" s="922"/>
      <c r="BU216" s="922"/>
      <c r="BV216" s="922"/>
      <c r="BW216" s="922"/>
      <c r="BX216" s="922"/>
      <c r="BY216" s="922"/>
      <c r="BZ216" s="922"/>
      <c r="CA216" s="922"/>
      <c r="CB216" s="922"/>
      <c r="CC216" s="922"/>
      <c r="CD216" s="922"/>
      <c r="CE216" s="922"/>
      <c r="CF216" s="922"/>
      <c r="CG216" s="922"/>
      <c r="CH216" s="922"/>
      <c r="CI216" s="922"/>
      <c r="CJ216" s="922"/>
      <c r="CK216" s="922"/>
      <c r="CL216" s="922"/>
      <c r="CM216" s="922"/>
      <c r="CN216" s="922"/>
      <c r="CO216" s="922"/>
      <c r="CP216" s="922"/>
      <c r="CQ216" s="922"/>
      <c r="CR216" s="922"/>
      <c r="CS216" s="922"/>
      <c r="CT216" s="922"/>
      <c r="CU216" s="922"/>
      <c r="CV216" s="922"/>
      <c r="CW216" s="922"/>
      <c r="CX216" s="922"/>
      <c r="CY216" s="922"/>
      <c r="CZ216" s="922"/>
      <c r="DA216" s="922"/>
      <c r="DB216" s="922"/>
      <c r="DC216" s="922"/>
      <c r="DD216" s="922"/>
      <c r="DE216" s="922"/>
      <c r="DF216" s="922"/>
      <c r="DG216" s="922"/>
      <c r="DH216" s="922"/>
      <c r="DI216" s="922"/>
      <c r="DJ216" s="922"/>
      <c r="DK216" s="922"/>
      <c r="DL216" s="922"/>
      <c r="DM216" s="922"/>
      <c r="DN216" s="922"/>
      <c r="DO216" s="922"/>
      <c r="DP216" s="922"/>
      <c r="DQ216" s="922"/>
      <c r="DR216" s="922"/>
      <c r="DS216" s="922"/>
      <c r="DT216" s="922"/>
      <c r="DU216" s="922"/>
      <c r="DV216" s="922"/>
      <c r="DW216" s="922"/>
      <c r="DX216" s="922"/>
      <c r="DY216" s="922"/>
      <c r="DZ216" s="922"/>
      <c r="EA216" s="922"/>
      <c r="EB216" s="922"/>
      <c r="EC216" s="922"/>
      <c r="ED216" s="922"/>
      <c r="EE216" s="922"/>
      <c r="EF216" s="922"/>
      <c r="EG216" s="922"/>
      <c r="EH216" s="922"/>
      <c r="EI216" s="922"/>
      <c r="EJ216" s="922"/>
      <c r="EK216" s="922"/>
      <c r="EL216" s="922"/>
      <c r="EM216" s="922"/>
      <c r="EN216" s="922"/>
      <c r="EO216" s="922"/>
      <c r="EP216" s="922"/>
      <c r="EQ216" s="922"/>
      <c r="ER216" s="922"/>
      <c r="ES216" s="922"/>
      <c r="ET216" s="922"/>
      <c r="EU216" s="922"/>
      <c r="EV216" s="922"/>
      <c r="EW216" s="922"/>
      <c r="EX216" s="922"/>
      <c r="EY216" s="922"/>
      <c r="EZ216" s="922"/>
      <c r="FA216" s="922"/>
      <c r="FB216" s="922"/>
      <c r="FC216" s="922"/>
      <c r="FD216" s="922"/>
      <c r="FE216" s="922"/>
      <c r="FF216" s="922"/>
      <c r="FG216" s="922"/>
      <c r="FH216" s="922"/>
      <c r="FI216" s="922"/>
      <c r="FJ216" s="922"/>
      <c r="FK216" s="922"/>
      <c r="FL216" s="922"/>
      <c r="FM216" s="922"/>
      <c r="FN216" s="922"/>
      <c r="FO216" s="922"/>
      <c r="FP216" s="922"/>
      <c r="FQ216" s="922"/>
      <c r="FR216" s="922"/>
      <c r="FS216" s="922"/>
      <c r="FT216" s="922"/>
      <c r="FU216" s="922"/>
      <c r="FV216" s="922"/>
      <c r="FW216" s="922"/>
      <c r="FX216" s="922"/>
      <c r="FY216" s="922"/>
      <c r="FZ216" s="922"/>
      <c r="GA216" s="922"/>
      <c r="GB216" s="922"/>
      <c r="GC216" s="922"/>
      <c r="GD216" s="922"/>
      <c r="GE216" s="922"/>
      <c r="GF216" s="922"/>
      <c r="GG216" s="922"/>
      <c r="GH216" s="922"/>
      <c r="GI216" s="922"/>
      <c r="GJ216" s="922"/>
      <c r="GK216" s="922"/>
      <c r="GL216" s="922"/>
      <c r="GM216" s="922"/>
      <c r="GN216" s="922"/>
      <c r="GO216" s="922"/>
      <c r="GP216" s="922"/>
      <c r="GQ216" s="922"/>
      <c r="GR216" s="922"/>
      <c r="GS216" s="922"/>
      <c r="GT216" s="922"/>
      <c r="GU216" s="922"/>
      <c r="GV216" s="922"/>
      <c r="GW216" s="922"/>
      <c r="GX216" s="922"/>
      <c r="GY216" s="922"/>
      <c r="GZ216" s="922"/>
      <c r="HA216" s="922"/>
      <c r="HB216" s="922"/>
      <c r="HC216" s="922"/>
      <c r="HD216" s="922"/>
      <c r="HE216" s="922"/>
      <c r="HF216" s="922"/>
      <c r="HG216" s="922"/>
      <c r="HH216" s="922"/>
      <c r="HI216" s="922"/>
      <c r="HJ216" s="922"/>
      <c r="HK216" s="922"/>
      <c r="HL216" s="922"/>
      <c r="HM216" s="922"/>
      <c r="HN216" s="922"/>
      <c r="HO216" s="922"/>
      <c r="HP216" s="922"/>
      <c r="HQ216" s="922"/>
      <c r="HR216" s="922"/>
      <c r="HS216" s="922"/>
      <c r="HT216" s="922"/>
      <c r="HU216" s="922"/>
      <c r="HV216" s="922"/>
      <c r="HW216" s="922"/>
      <c r="HX216" s="922"/>
      <c r="HY216" s="922"/>
      <c r="HZ216" s="922"/>
      <c r="IA216" s="922"/>
      <c r="IB216" s="922"/>
      <c r="IC216" s="922"/>
      <c r="ID216" s="922"/>
      <c r="IE216" s="922"/>
      <c r="IF216" s="922"/>
      <c r="IG216" s="922"/>
      <c r="IH216" s="922"/>
      <c r="II216" s="922"/>
      <c r="IJ216" s="922"/>
      <c r="IK216" s="922"/>
      <c r="IL216" s="922"/>
      <c r="IM216" s="922"/>
      <c r="IN216" s="922"/>
      <c r="IO216" s="922"/>
      <c r="IP216" s="922"/>
      <c r="IQ216" s="922"/>
      <c r="IR216" s="922"/>
      <c r="IS216" s="922"/>
      <c r="IT216" s="922"/>
      <c r="IU216" s="922"/>
      <c r="IV216" s="922"/>
      <c r="IW216" s="922"/>
      <c r="IX216" s="922"/>
      <c r="IY216" s="922"/>
      <c r="IZ216" s="922"/>
      <c r="JA216" s="922"/>
      <c r="JB216" s="922"/>
      <c r="JC216" s="922"/>
      <c r="JD216" s="922"/>
      <c r="JE216" s="922"/>
      <c r="JF216" s="922"/>
      <c r="JG216" s="922"/>
      <c r="JH216" s="922"/>
      <c r="JI216" s="922"/>
      <c r="JJ216" s="922"/>
      <c r="JK216" s="922"/>
      <c r="JL216" s="922"/>
      <c r="JM216" s="922"/>
      <c r="JN216" s="922"/>
      <c r="JO216" s="922"/>
      <c r="JP216" s="922"/>
      <c r="JQ216" s="922"/>
      <c r="JR216" s="922"/>
      <c r="JS216" s="922"/>
      <c r="JT216" s="922"/>
      <c r="JU216" s="922"/>
      <c r="JV216" s="922"/>
      <c r="JW216" s="922"/>
      <c r="JX216" s="922"/>
      <c r="JY216" s="922"/>
      <c r="JZ216" s="922"/>
      <c r="KA216" s="922"/>
      <c r="KB216" s="922"/>
      <c r="KC216" s="922"/>
      <c r="KD216" s="922"/>
      <c r="KE216" s="922"/>
      <c r="KF216" s="922"/>
      <c r="KG216" s="922"/>
      <c r="KH216" s="922"/>
      <c r="KI216" s="922"/>
      <c r="KJ216" s="922"/>
      <c r="KK216" s="922"/>
      <c r="KL216" s="922"/>
      <c r="KM216" s="922"/>
      <c r="KN216" s="922"/>
      <c r="KO216" s="922"/>
      <c r="KP216" s="922"/>
      <c r="KQ216" s="922"/>
      <c r="KR216" s="922"/>
      <c r="KS216" s="922"/>
      <c r="KT216" s="922"/>
      <c r="KU216" s="922"/>
      <c r="KV216" s="922"/>
      <c r="KW216" s="922"/>
      <c r="KX216" s="922"/>
      <c r="KY216" s="922"/>
      <c r="KZ216" s="922"/>
      <c r="LA216" s="922"/>
      <c r="LB216" s="922"/>
      <c r="LC216" s="922"/>
      <c r="LD216" s="922"/>
      <c r="LE216" s="922"/>
      <c r="LF216" s="922"/>
      <c r="LG216" s="922"/>
      <c r="LH216" s="922"/>
      <c r="LI216" s="922"/>
      <c r="LJ216" s="922"/>
      <c r="LK216" s="922"/>
      <c r="LL216" s="922"/>
      <c r="LM216" s="922"/>
      <c r="LN216" s="922"/>
      <c r="LO216" s="922"/>
      <c r="LP216" s="922"/>
      <c r="LQ216" s="922"/>
      <c r="LR216" s="922"/>
      <c r="LS216" s="922"/>
      <c r="LT216" s="922"/>
      <c r="LU216" s="922"/>
      <c r="LV216" s="922"/>
      <c r="LW216" s="922"/>
      <c r="LX216" s="922"/>
      <c r="LY216" s="922"/>
      <c r="LZ216" s="922"/>
      <c r="MA216" s="922"/>
      <c r="MB216" s="922"/>
      <c r="MC216" s="922"/>
      <c r="MD216" s="922"/>
      <c r="ME216" s="922"/>
      <c r="MF216" s="922"/>
      <c r="MG216" s="922"/>
      <c r="MH216" s="922"/>
      <c r="MI216" s="922"/>
      <c r="MJ216" s="922"/>
      <c r="MK216" s="922"/>
      <c r="ML216" s="922"/>
      <c r="MM216" s="922"/>
      <c r="MN216" s="922"/>
      <c r="MO216" s="922"/>
      <c r="MP216" s="922"/>
      <c r="MQ216" s="922"/>
      <c r="MR216" s="922"/>
      <c r="MS216" s="922"/>
      <c r="MT216" s="922"/>
      <c r="MU216" s="922"/>
      <c r="MV216" s="922"/>
      <c r="MW216" s="922"/>
      <c r="MX216" s="922"/>
      <c r="MY216" s="922"/>
      <c r="MZ216" s="922"/>
      <c r="NA216" s="922"/>
      <c r="NB216" s="922"/>
      <c r="NC216" s="922"/>
      <c r="ND216" s="922"/>
      <c r="NE216" s="922"/>
      <c r="NF216" s="922"/>
      <c r="NG216" s="922"/>
      <c r="NH216" s="922"/>
      <c r="NI216" s="922"/>
      <c r="NJ216" s="922"/>
      <c r="NK216" s="922"/>
      <c r="NL216" s="922"/>
      <c r="NM216" s="922"/>
      <c r="NN216" s="922"/>
      <c r="NO216" s="922"/>
      <c r="NP216" s="922"/>
      <c r="NQ216" s="922"/>
      <c r="NR216" s="922"/>
      <c r="NS216" s="922"/>
      <c r="NT216" s="922"/>
      <c r="NU216" s="922"/>
      <c r="NV216" s="922"/>
      <c r="NW216" s="922"/>
      <c r="NX216" s="922"/>
      <c r="NY216" s="922"/>
      <c r="NZ216" s="922"/>
      <c r="OA216" s="922"/>
      <c r="OB216" s="922"/>
      <c r="OC216" s="922"/>
      <c r="OD216" s="922"/>
      <c r="OE216" s="922"/>
      <c r="OF216" s="922"/>
      <c r="OG216" s="922"/>
      <c r="OH216" s="922"/>
      <c r="OI216" s="922"/>
      <c r="OJ216" s="922"/>
      <c r="OK216" s="922"/>
      <c r="OL216" s="922"/>
      <c r="OM216" s="922"/>
      <c r="ON216" s="922"/>
      <c r="OO216" s="922"/>
      <c r="OP216" s="922"/>
      <c r="OQ216" s="922"/>
      <c r="OR216" s="922"/>
      <c r="OS216" s="922"/>
      <c r="OT216" s="922"/>
      <c r="OU216" s="922"/>
      <c r="OV216" s="922"/>
      <c r="OW216" s="922"/>
      <c r="OX216" s="922"/>
      <c r="OY216" s="922"/>
      <c r="OZ216" s="922"/>
      <c r="PA216" s="922"/>
      <c r="PB216" s="922"/>
      <c r="PC216" s="922"/>
      <c r="PD216" s="922"/>
      <c r="PE216" s="922"/>
      <c r="PF216" s="922"/>
      <c r="PG216" s="922"/>
      <c r="PH216" s="922"/>
      <c r="PI216" s="922"/>
      <c r="PJ216" s="922"/>
      <c r="PK216" s="922"/>
      <c r="PL216" s="922"/>
      <c r="PM216" s="922"/>
      <c r="PN216" s="922"/>
      <c r="PO216" s="922"/>
      <c r="PP216" s="922"/>
      <c r="PQ216" s="922"/>
      <c r="PR216" s="922"/>
      <c r="PS216" s="922"/>
      <c r="PT216" s="922"/>
      <c r="PU216" s="922"/>
      <c r="PV216" s="922"/>
      <c r="PW216" s="922"/>
      <c r="PX216" s="922"/>
      <c r="PY216" s="922"/>
      <c r="PZ216" s="922"/>
      <c r="QA216" s="922"/>
      <c r="QB216" s="922"/>
      <c r="QC216" s="922"/>
      <c r="QD216" s="922"/>
      <c r="QE216" s="922"/>
      <c r="QF216" s="922"/>
      <c r="QG216" s="922"/>
      <c r="QH216" s="922"/>
      <c r="QI216" s="922"/>
      <c r="QJ216" s="922"/>
      <c r="QK216" s="922"/>
      <c r="QL216" s="922"/>
      <c r="QM216" s="922"/>
      <c r="QN216" s="922"/>
      <c r="QO216" s="922"/>
      <c r="QP216" s="922"/>
      <c r="QQ216" s="922"/>
      <c r="QR216" s="922"/>
      <c r="QS216" s="922"/>
      <c r="QT216" s="922"/>
      <c r="QU216" s="922"/>
      <c r="QV216" s="922"/>
      <c r="QW216" s="922"/>
      <c r="QX216" s="922"/>
      <c r="QY216" s="922"/>
      <c r="QZ216" s="922"/>
      <c r="RA216" s="922"/>
      <c r="RB216" s="922"/>
      <c r="RC216" s="922"/>
      <c r="RD216" s="922"/>
      <c r="RE216" s="922"/>
      <c r="RF216" s="922"/>
      <c r="RG216" s="922"/>
      <c r="RH216" s="922"/>
      <c r="RI216" s="922"/>
      <c r="RJ216" s="922"/>
      <c r="RK216" s="922"/>
      <c r="RL216" s="922"/>
      <c r="RM216" s="922"/>
      <c r="RN216" s="922"/>
      <c r="RO216" s="922"/>
      <c r="RP216" s="922"/>
      <c r="RQ216" s="922"/>
      <c r="RR216" s="922"/>
      <c r="RS216" s="922"/>
      <c r="RT216" s="922"/>
      <c r="RU216" s="922"/>
      <c r="RV216" s="922"/>
      <c r="RW216" s="922"/>
      <c r="RX216" s="922"/>
      <c r="RY216" s="922"/>
      <c r="RZ216" s="922"/>
      <c r="SA216" s="922"/>
      <c r="SB216" s="922"/>
      <c r="SC216" s="922"/>
      <c r="SD216" s="922"/>
      <c r="SE216" s="922"/>
      <c r="SF216" s="922"/>
      <c r="SG216" s="922"/>
      <c r="SH216" s="922"/>
      <c r="SI216" s="922"/>
      <c r="SJ216" s="922"/>
      <c r="SK216" s="922"/>
      <c r="SL216" s="922"/>
      <c r="SM216" s="922"/>
      <c r="SN216" s="922"/>
      <c r="SO216" s="922"/>
      <c r="SP216" s="922"/>
      <c r="SQ216" s="922"/>
      <c r="SR216" s="922"/>
      <c r="SS216" s="922"/>
      <c r="ST216" s="922"/>
      <c r="SU216" s="922"/>
      <c r="SV216" s="922"/>
      <c r="SW216" s="922"/>
      <c r="SX216" s="922"/>
      <c r="SY216" s="922"/>
      <c r="SZ216" s="922"/>
      <c r="TA216" s="922"/>
      <c r="TB216" s="922"/>
      <c r="TC216" s="922"/>
      <c r="TD216" s="922"/>
      <c r="TE216" s="922"/>
      <c r="TF216" s="922"/>
      <c r="TG216" s="922"/>
      <c r="TH216" s="922"/>
      <c r="TI216" s="922"/>
      <c r="TJ216" s="922"/>
      <c r="TK216" s="922"/>
      <c r="TL216" s="922"/>
      <c r="TM216" s="922"/>
      <c r="TN216" s="922"/>
      <c r="TO216" s="922"/>
      <c r="TP216" s="922"/>
      <c r="TQ216" s="922"/>
      <c r="TR216" s="922"/>
      <c r="TS216" s="922"/>
      <c r="TT216" s="922"/>
      <c r="TU216" s="922"/>
      <c r="TV216" s="922"/>
      <c r="TW216" s="922"/>
      <c r="TX216" s="922"/>
      <c r="TY216" s="922"/>
      <c r="TZ216" s="922"/>
      <c r="UA216" s="922"/>
      <c r="UB216" s="922"/>
      <c r="UC216" s="922"/>
      <c r="UD216" s="922"/>
      <c r="UE216" s="922"/>
      <c r="UF216" s="922"/>
      <c r="UG216" s="922"/>
      <c r="UH216" s="922"/>
      <c r="UI216" s="922"/>
      <c r="UJ216" s="922"/>
      <c r="UK216" s="922"/>
      <c r="UL216" s="922"/>
      <c r="UM216" s="922"/>
      <c r="UN216" s="922"/>
      <c r="UO216" s="922"/>
      <c r="UP216" s="922"/>
      <c r="UQ216" s="922"/>
      <c r="UR216" s="922"/>
      <c r="US216" s="922"/>
      <c r="UT216" s="922"/>
      <c r="UU216" s="922"/>
      <c r="UV216" s="922"/>
      <c r="UW216" s="922"/>
      <c r="UX216" s="922"/>
      <c r="UY216" s="922"/>
      <c r="UZ216" s="922"/>
      <c r="VA216" s="922"/>
      <c r="VB216" s="922"/>
      <c r="VC216" s="922"/>
      <c r="VD216" s="922"/>
      <c r="VE216" s="922"/>
      <c r="VF216" s="922"/>
      <c r="VG216" s="922"/>
      <c r="VH216" s="922"/>
      <c r="VI216" s="922"/>
      <c r="VJ216" s="922"/>
      <c r="VK216" s="922"/>
      <c r="VL216" s="922"/>
      <c r="VM216" s="922"/>
      <c r="VN216" s="922"/>
      <c r="VO216" s="922"/>
      <c r="VP216" s="922"/>
      <c r="VQ216" s="922"/>
      <c r="VR216" s="922"/>
      <c r="VS216" s="922"/>
      <c r="VT216" s="922"/>
      <c r="VU216" s="922"/>
      <c r="VV216" s="922"/>
      <c r="VW216" s="922"/>
      <c r="VX216" s="922"/>
      <c r="VY216" s="922"/>
      <c r="VZ216" s="922"/>
      <c r="WA216" s="922"/>
      <c r="WB216" s="922"/>
      <c r="WC216" s="922"/>
      <c r="WD216" s="922"/>
      <c r="WE216" s="922"/>
      <c r="WF216" s="922"/>
      <c r="WG216" s="922"/>
      <c r="WH216" s="922"/>
      <c r="WI216" s="922"/>
      <c r="WJ216" s="922"/>
      <c r="WK216" s="922"/>
      <c r="WL216" s="922"/>
      <c r="WM216" s="922"/>
      <c r="WN216" s="922"/>
      <c r="WO216" s="922"/>
      <c r="WP216" s="922"/>
      <c r="WQ216" s="922"/>
      <c r="WR216" s="922"/>
      <c r="WS216" s="922"/>
      <c r="WT216" s="922"/>
      <c r="WU216" s="922"/>
      <c r="WV216" s="922"/>
      <c r="WW216" s="922"/>
      <c r="WX216" s="922"/>
      <c r="WY216" s="922"/>
      <c r="WZ216" s="922"/>
      <c r="XA216" s="922"/>
      <c r="XB216" s="922"/>
      <c r="XC216" s="922"/>
      <c r="XD216" s="922"/>
      <c r="XE216" s="922"/>
      <c r="XF216" s="922"/>
      <c r="XG216" s="922"/>
      <c r="XH216" s="922"/>
      <c r="XI216" s="922"/>
      <c r="XJ216" s="922"/>
      <c r="XK216" s="922"/>
      <c r="XL216" s="922"/>
      <c r="XM216" s="922"/>
      <c r="XN216" s="922"/>
      <c r="XO216" s="922"/>
      <c r="XP216" s="922"/>
      <c r="XQ216" s="922"/>
      <c r="XR216" s="922"/>
      <c r="XS216" s="922"/>
      <c r="XT216" s="922"/>
      <c r="XU216" s="922"/>
      <c r="XV216" s="922"/>
      <c r="XW216" s="922"/>
      <c r="XX216" s="922"/>
      <c r="XY216" s="922"/>
      <c r="XZ216" s="922"/>
      <c r="YA216" s="922"/>
      <c r="YB216" s="922"/>
      <c r="YC216" s="922"/>
      <c r="YD216" s="922"/>
      <c r="YE216" s="922"/>
      <c r="YF216" s="922"/>
      <c r="YG216" s="922"/>
      <c r="YH216" s="922"/>
      <c r="YI216" s="922"/>
      <c r="YJ216" s="922"/>
      <c r="YK216" s="922"/>
      <c r="YL216" s="922"/>
      <c r="YM216" s="922"/>
      <c r="YN216" s="922"/>
      <c r="YO216" s="922"/>
      <c r="YP216" s="922"/>
      <c r="YQ216" s="922"/>
      <c r="YR216" s="922"/>
      <c r="YS216" s="922"/>
      <c r="YT216" s="922"/>
      <c r="YU216" s="922"/>
      <c r="YV216" s="922"/>
      <c r="YW216" s="922"/>
      <c r="YX216" s="922"/>
      <c r="YY216" s="922"/>
      <c r="YZ216" s="922"/>
      <c r="ZA216" s="922"/>
      <c r="ZB216" s="922"/>
      <c r="ZC216" s="922"/>
      <c r="ZD216" s="922"/>
      <c r="ZE216" s="922"/>
      <c r="ZF216" s="922"/>
      <c r="ZG216" s="922"/>
      <c r="ZH216" s="922"/>
      <c r="ZI216" s="922"/>
      <c r="ZJ216" s="922"/>
      <c r="ZK216" s="922"/>
      <c r="ZL216" s="922"/>
      <c r="ZM216" s="922"/>
      <c r="ZN216" s="922"/>
      <c r="ZO216" s="922"/>
      <c r="ZP216" s="922"/>
      <c r="ZQ216" s="922"/>
      <c r="ZR216" s="922"/>
      <c r="ZS216" s="922"/>
      <c r="ZT216" s="922"/>
      <c r="ZU216" s="922"/>
      <c r="ZV216" s="922"/>
      <c r="ZW216" s="922"/>
      <c r="ZX216" s="922"/>
      <c r="ZY216" s="922"/>
      <c r="ZZ216" s="922"/>
      <c r="AAA216" s="922"/>
      <c r="AAB216" s="922"/>
      <c r="AAC216" s="922"/>
      <c r="AAD216" s="922"/>
      <c r="AAE216" s="922"/>
      <c r="AAF216" s="922"/>
      <c r="AAG216" s="922"/>
      <c r="AAH216" s="922"/>
      <c r="AAI216" s="922"/>
      <c r="AAJ216" s="922"/>
      <c r="AAK216" s="922"/>
      <c r="AAL216" s="922"/>
      <c r="AAM216" s="922"/>
      <c r="AAN216" s="922"/>
      <c r="AAO216" s="922"/>
      <c r="AAP216" s="922"/>
      <c r="AAQ216" s="922"/>
      <c r="AAR216" s="922"/>
      <c r="AAS216" s="922"/>
      <c r="AAT216" s="922"/>
      <c r="AAU216" s="922"/>
      <c r="AAV216" s="922"/>
      <c r="AAW216" s="922"/>
      <c r="AAX216" s="922"/>
      <c r="AAY216" s="922"/>
      <c r="AAZ216" s="922"/>
      <c r="ABA216" s="922"/>
      <c r="ABB216" s="922"/>
      <c r="ABC216" s="922"/>
      <c r="ABD216" s="922"/>
      <c r="ABE216" s="922"/>
      <c r="ABF216" s="922"/>
      <c r="ABG216" s="922"/>
      <c r="ABH216" s="922"/>
      <c r="ABI216" s="922"/>
      <c r="ABJ216" s="922"/>
      <c r="ABK216" s="922"/>
      <c r="ABL216" s="922"/>
      <c r="ABM216" s="922"/>
      <c r="ABN216" s="922"/>
      <c r="ABO216" s="922"/>
      <c r="ABP216" s="922"/>
      <c r="ABQ216" s="922"/>
      <c r="ABR216" s="922"/>
      <c r="ABS216" s="922"/>
      <c r="ABT216" s="922"/>
      <c r="ABU216" s="922"/>
      <c r="ABV216" s="922"/>
      <c r="ABW216" s="922"/>
      <c r="ABX216" s="922"/>
      <c r="ABY216" s="922"/>
      <c r="ABZ216" s="922"/>
      <c r="ACA216" s="922"/>
      <c r="ACB216" s="922"/>
      <c r="ACC216" s="922"/>
      <c r="ACD216" s="922"/>
      <c r="ACE216" s="922"/>
      <c r="ACF216" s="922"/>
      <c r="ACG216" s="922"/>
      <c r="ACH216" s="922"/>
      <c r="ACI216" s="922"/>
      <c r="ACJ216" s="922"/>
      <c r="ACK216" s="922"/>
      <c r="ACL216" s="922"/>
      <c r="ACM216" s="922"/>
      <c r="ACN216" s="922"/>
      <c r="ACO216" s="922"/>
      <c r="ACP216" s="922"/>
      <c r="ACQ216" s="922"/>
      <c r="ACR216" s="922"/>
      <c r="ACS216" s="922"/>
      <c r="ACT216" s="922"/>
      <c r="ACU216" s="922"/>
      <c r="ACV216" s="922"/>
      <c r="ACW216" s="922"/>
      <c r="ACX216" s="922"/>
      <c r="ACY216" s="922"/>
      <c r="ACZ216" s="922"/>
      <c r="ADA216" s="922"/>
      <c r="ADB216" s="922"/>
      <c r="ADC216" s="922"/>
      <c r="ADD216" s="922"/>
      <c r="ADE216" s="922"/>
      <c r="ADF216" s="922"/>
      <c r="ADG216" s="922"/>
      <c r="ADH216" s="922"/>
      <c r="ADI216" s="922"/>
      <c r="ADJ216" s="922"/>
      <c r="ADK216" s="922"/>
      <c r="ADL216" s="922"/>
      <c r="ADM216" s="922"/>
      <c r="ADN216" s="922"/>
      <c r="ADO216" s="922"/>
      <c r="ADP216" s="922"/>
      <c r="ADQ216" s="922"/>
      <c r="ADR216" s="922"/>
      <c r="ADS216" s="922"/>
      <c r="ADT216" s="922"/>
      <c r="ADU216" s="922"/>
      <c r="ADV216" s="922"/>
      <c r="ADW216" s="922"/>
      <c r="ADX216" s="922"/>
      <c r="ADY216" s="922"/>
      <c r="ADZ216" s="922"/>
      <c r="AEA216" s="922"/>
      <c r="AEB216" s="922"/>
      <c r="AEC216" s="922"/>
      <c r="AED216" s="922"/>
      <c r="AEE216" s="922"/>
      <c r="AEF216" s="922"/>
      <c r="AEG216" s="922"/>
      <c r="AEH216" s="922"/>
      <c r="AEI216" s="922"/>
      <c r="AEJ216" s="922"/>
      <c r="AEK216" s="922"/>
      <c r="AEL216" s="922"/>
      <c r="AEM216" s="922"/>
      <c r="AEN216" s="922"/>
      <c r="AEO216" s="922"/>
      <c r="AEP216" s="922"/>
      <c r="AEQ216" s="922"/>
      <c r="AER216" s="922"/>
      <c r="AES216" s="922"/>
      <c r="AET216" s="922"/>
      <c r="AEU216" s="922"/>
      <c r="AEV216" s="922"/>
      <c r="AEW216" s="922"/>
      <c r="AEX216" s="922"/>
      <c r="AEY216" s="922"/>
      <c r="AEZ216" s="922"/>
      <c r="AFA216" s="922"/>
      <c r="AFB216" s="922"/>
      <c r="AFC216" s="922"/>
      <c r="AFD216" s="922"/>
      <c r="AFE216" s="922"/>
      <c r="AFF216" s="922"/>
      <c r="AFG216" s="922"/>
      <c r="AFH216" s="922"/>
      <c r="AFI216" s="922"/>
      <c r="AFJ216" s="922"/>
      <c r="AFK216" s="922"/>
      <c r="AFL216" s="922"/>
      <c r="AFM216" s="922"/>
      <c r="AFN216" s="922"/>
      <c r="AFO216" s="922"/>
      <c r="AFP216" s="922"/>
      <c r="AFQ216" s="922"/>
      <c r="AFR216" s="922"/>
      <c r="AFS216" s="922"/>
      <c r="AFT216" s="922"/>
      <c r="AFU216" s="922"/>
      <c r="AFV216" s="922"/>
      <c r="AFW216" s="922"/>
      <c r="AFX216" s="922"/>
      <c r="AFY216" s="922"/>
      <c r="AFZ216" s="922"/>
      <c r="AGA216" s="922"/>
      <c r="AGB216" s="922"/>
      <c r="AGC216" s="922"/>
      <c r="AGD216" s="922"/>
      <c r="AGE216" s="922"/>
      <c r="AGF216" s="922"/>
      <c r="AGG216" s="922"/>
      <c r="AGH216" s="922"/>
      <c r="AGI216" s="922"/>
      <c r="AGJ216" s="922"/>
      <c r="AGK216" s="922"/>
      <c r="AGL216" s="922"/>
      <c r="AGM216" s="922"/>
      <c r="AGN216" s="922"/>
      <c r="AGO216" s="922"/>
      <c r="AGP216" s="922"/>
      <c r="AGQ216" s="922"/>
      <c r="AGR216" s="922"/>
      <c r="AGS216" s="922"/>
      <c r="AGT216" s="922"/>
      <c r="AGU216" s="922"/>
      <c r="AGV216" s="922"/>
      <c r="AGW216" s="922"/>
      <c r="AGX216" s="922"/>
      <c r="AGY216" s="922"/>
      <c r="AGZ216" s="922"/>
      <c r="AHA216" s="922"/>
      <c r="AHB216" s="922"/>
      <c r="AHC216" s="922"/>
      <c r="AHD216" s="922"/>
      <c r="AHE216" s="922"/>
      <c r="AHF216" s="922"/>
      <c r="AHG216" s="922"/>
      <c r="AHH216" s="922"/>
      <c r="AHI216" s="922"/>
      <c r="AHJ216" s="922"/>
      <c r="AHK216" s="922"/>
      <c r="AHL216" s="922"/>
      <c r="AHM216" s="922"/>
      <c r="AHN216" s="922"/>
      <c r="AHO216" s="922"/>
      <c r="AHP216" s="922"/>
      <c r="AHQ216" s="922"/>
      <c r="AHR216" s="922"/>
      <c r="AHS216" s="922"/>
      <c r="AHT216" s="922"/>
      <c r="AHU216" s="922"/>
      <c r="AHV216" s="922"/>
      <c r="AHW216" s="922"/>
      <c r="AHX216" s="922"/>
      <c r="AHY216" s="922"/>
      <c r="AHZ216" s="922"/>
      <c r="AIA216" s="922"/>
      <c r="AIB216" s="922"/>
      <c r="AIC216" s="922"/>
      <c r="AID216" s="922"/>
      <c r="AIE216" s="922"/>
      <c r="AIF216" s="922"/>
      <c r="AIG216" s="922"/>
      <c r="AIH216" s="922"/>
      <c r="AII216" s="922"/>
      <c r="AIJ216" s="922"/>
      <c r="AIK216" s="922"/>
      <c r="AIL216" s="922"/>
      <c r="AIM216" s="922"/>
      <c r="AIN216" s="922"/>
      <c r="AIO216" s="922"/>
      <c r="AIP216" s="922"/>
      <c r="AIQ216" s="922"/>
      <c r="AIR216" s="922"/>
      <c r="AIS216" s="922"/>
      <c r="AIT216" s="922"/>
      <c r="AIU216" s="922"/>
      <c r="AIV216" s="922"/>
      <c r="AIW216" s="922"/>
      <c r="AIX216" s="922"/>
      <c r="AIY216" s="922"/>
      <c r="AIZ216" s="922"/>
      <c r="AJA216" s="922"/>
      <c r="AJB216" s="922"/>
      <c r="AJC216" s="922"/>
      <c r="AJD216" s="922"/>
      <c r="AJE216" s="922"/>
      <c r="AJF216" s="922"/>
      <c r="AJG216" s="922"/>
      <c r="AJH216" s="922"/>
      <c r="AJI216" s="922"/>
      <c r="AJJ216" s="922"/>
      <c r="AJK216" s="922"/>
      <c r="AJL216" s="922"/>
      <c r="AJM216" s="922"/>
      <c r="AJN216" s="922"/>
      <c r="AJO216" s="922"/>
      <c r="AJP216" s="922"/>
      <c r="AJQ216" s="922"/>
      <c r="AJR216" s="922"/>
      <c r="AJS216" s="922"/>
      <c r="AJT216" s="922"/>
      <c r="AJU216" s="922"/>
      <c r="AJV216" s="922"/>
      <c r="AJW216" s="922"/>
      <c r="AJX216" s="922"/>
      <c r="AJY216" s="922"/>
      <c r="AJZ216" s="922"/>
      <c r="AKA216" s="922"/>
      <c r="AKB216" s="922"/>
      <c r="AKC216" s="922"/>
      <c r="AKD216" s="922"/>
      <c r="AKE216" s="922"/>
      <c r="AKF216" s="922"/>
      <c r="AKG216" s="922"/>
      <c r="AKH216" s="922"/>
      <c r="AKI216" s="922"/>
      <c r="AKJ216" s="922"/>
      <c r="AKK216" s="922"/>
      <c r="AKL216" s="922"/>
      <c r="AKM216" s="922"/>
      <c r="AKN216" s="922"/>
      <c r="AKO216" s="922"/>
      <c r="AKP216" s="922"/>
      <c r="AKQ216" s="922"/>
      <c r="AKR216" s="922"/>
      <c r="AKS216" s="922"/>
      <c r="AKT216" s="922"/>
      <c r="AKU216" s="922"/>
      <c r="AKV216" s="922"/>
      <c r="AKW216" s="922"/>
      <c r="AKX216" s="922"/>
      <c r="AKY216" s="922"/>
      <c r="AKZ216" s="922"/>
      <c r="ALA216" s="922"/>
      <c r="ALB216" s="922"/>
      <c r="ALC216" s="922"/>
      <c r="ALD216" s="922"/>
      <c r="ALE216" s="922"/>
      <c r="ALF216" s="922"/>
      <c r="ALG216" s="922"/>
      <c r="ALH216" s="922"/>
      <c r="ALI216" s="922"/>
      <c r="ALJ216" s="922"/>
      <c r="ALK216" s="922"/>
      <c r="ALL216" s="922"/>
      <c r="ALM216" s="922"/>
      <c r="ALN216" s="922"/>
      <c r="ALO216" s="922"/>
      <c r="ALP216" s="922"/>
      <c r="ALQ216" s="922"/>
      <c r="ALR216" s="922"/>
      <c r="ALS216" s="922"/>
      <c r="ALT216" s="922"/>
      <c r="ALU216" s="922"/>
      <c r="ALV216" s="922"/>
      <c r="ALW216" s="922"/>
      <c r="ALX216" s="922"/>
      <c r="ALY216" s="922"/>
      <c r="ALZ216" s="922"/>
      <c r="AMA216" s="922"/>
      <c r="AMB216" s="922"/>
      <c r="AMC216" s="922"/>
      <c r="AMD216" s="922"/>
      <c r="AME216" s="922"/>
      <c r="AMF216" s="922"/>
      <c r="AMG216" s="922"/>
      <c r="AMH216" s="922"/>
      <c r="AMI216" s="922"/>
      <c r="AMJ216" s="922"/>
      <c r="AMK216" s="922"/>
      <c r="AML216" s="922"/>
      <c r="AMM216" s="922"/>
      <c r="AMN216" s="922"/>
      <c r="AMO216" s="922"/>
      <c r="AMP216" s="922"/>
      <c r="AMQ216" s="922"/>
      <c r="AMR216" s="922"/>
      <c r="AMS216" s="922"/>
      <c r="AMT216" s="922"/>
      <c r="AMU216" s="922"/>
      <c r="AMV216" s="922"/>
      <c r="AMW216" s="922"/>
      <c r="AMX216" s="922"/>
      <c r="AMY216" s="922"/>
      <c r="AMZ216" s="922"/>
      <c r="ANA216" s="922"/>
      <c r="ANB216" s="922"/>
      <c r="ANC216" s="922"/>
      <c r="AND216" s="922"/>
      <c r="ANE216" s="922"/>
      <c r="ANF216" s="922"/>
      <c r="ANG216" s="922"/>
      <c r="ANH216" s="922"/>
      <c r="ANI216" s="922"/>
      <c r="ANJ216" s="922"/>
      <c r="ANK216" s="922"/>
      <c r="ANL216" s="922"/>
      <c r="ANM216" s="922"/>
      <c r="ANN216" s="922"/>
      <c r="ANO216" s="922"/>
      <c r="ANP216" s="922"/>
      <c r="ANQ216" s="922"/>
      <c r="ANR216" s="922"/>
      <c r="ANS216" s="922"/>
      <c r="ANT216" s="922"/>
      <c r="ANU216" s="922"/>
      <c r="ANV216" s="922"/>
      <c r="ANW216" s="922"/>
      <c r="ANX216" s="922"/>
      <c r="ANY216" s="922"/>
      <c r="ANZ216" s="922"/>
      <c r="AOA216" s="922"/>
      <c r="AOB216" s="922"/>
      <c r="AOC216" s="922"/>
      <c r="AOD216" s="922"/>
      <c r="AOE216" s="922"/>
      <c r="AOF216" s="922"/>
      <c r="AOG216" s="922"/>
      <c r="AOH216" s="922"/>
      <c r="AOI216" s="922"/>
      <c r="AOJ216" s="922"/>
      <c r="AOK216" s="922"/>
      <c r="AOL216" s="922"/>
      <c r="AOM216" s="922"/>
      <c r="AON216" s="922"/>
      <c r="AOO216" s="922"/>
      <c r="AOP216" s="922"/>
      <c r="AOQ216" s="922"/>
      <c r="AOR216" s="922"/>
      <c r="AOS216" s="922"/>
      <c r="AOT216" s="922"/>
      <c r="AOU216" s="922"/>
      <c r="AOV216" s="922"/>
      <c r="AOW216" s="922"/>
      <c r="AOX216" s="922"/>
      <c r="AOY216" s="922"/>
      <c r="AOZ216" s="922"/>
      <c r="APA216" s="922"/>
      <c r="APB216" s="922"/>
      <c r="APC216" s="922"/>
      <c r="APD216" s="922"/>
      <c r="APE216" s="922"/>
      <c r="APF216" s="922"/>
      <c r="APG216" s="922"/>
      <c r="APH216" s="922"/>
      <c r="API216" s="922"/>
      <c r="APJ216" s="922"/>
      <c r="APK216" s="922"/>
      <c r="APL216" s="922"/>
      <c r="APM216" s="922"/>
      <c r="APN216" s="922"/>
      <c r="APO216" s="922"/>
      <c r="APP216" s="922"/>
      <c r="APQ216" s="922"/>
      <c r="APR216" s="922"/>
      <c r="APS216" s="922"/>
      <c r="APT216" s="922"/>
      <c r="APU216" s="922"/>
      <c r="APV216" s="922"/>
      <c r="APW216" s="922"/>
      <c r="APX216" s="922"/>
      <c r="APY216" s="922"/>
      <c r="APZ216" s="922"/>
      <c r="AQA216" s="922"/>
      <c r="AQB216" s="922"/>
      <c r="AQC216" s="922"/>
      <c r="AQD216" s="922"/>
      <c r="AQE216" s="922"/>
      <c r="AQF216" s="922"/>
      <c r="AQG216" s="922"/>
      <c r="AQH216" s="922"/>
      <c r="AQI216" s="922"/>
      <c r="AQJ216" s="922"/>
      <c r="AQK216" s="922"/>
      <c r="AQL216" s="922"/>
      <c r="AQM216" s="922"/>
      <c r="AQN216" s="922"/>
      <c r="AQO216" s="922"/>
      <c r="AQP216" s="922"/>
      <c r="AQQ216" s="922"/>
      <c r="AQR216" s="922"/>
      <c r="AQS216" s="922"/>
      <c r="AQT216" s="922"/>
      <c r="AQU216" s="922"/>
      <c r="AQV216" s="922"/>
      <c r="AQW216" s="922"/>
      <c r="AQX216" s="922"/>
      <c r="AQY216" s="922"/>
      <c r="AQZ216" s="922"/>
      <c r="ARA216" s="922"/>
      <c r="ARB216" s="922"/>
      <c r="ARC216" s="922"/>
      <c r="ARD216" s="922"/>
      <c r="ARE216" s="922"/>
      <c r="ARF216" s="922"/>
      <c r="ARG216" s="922"/>
      <c r="ARH216" s="922"/>
      <c r="ARI216" s="922"/>
      <c r="ARJ216" s="922"/>
      <c r="ARK216" s="922"/>
      <c r="ARL216" s="922"/>
      <c r="ARM216" s="922"/>
      <c r="ARN216" s="922"/>
      <c r="ARO216" s="922"/>
      <c r="ARP216" s="922"/>
      <c r="ARQ216" s="922"/>
      <c r="ARR216" s="922"/>
      <c r="ARS216" s="922"/>
      <c r="ART216" s="922"/>
      <c r="ARU216" s="922"/>
      <c r="ARV216" s="922"/>
      <c r="ARW216" s="922"/>
      <c r="ARX216" s="922"/>
      <c r="ARY216" s="922"/>
      <c r="ARZ216" s="922"/>
      <c r="ASA216" s="922"/>
      <c r="ASB216" s="922"/>
      <c r="ASC216" s="922"/>
    </row>
    <row r="217" spans="20:1173" hidden="1">
      <c r="T217" s="922"/>
      <c r="AN217" s="922"/>
      <c r="AO217" s="922"/>
      <c r="AP217" s="922"/>
      <c r="AQ217" s="922"/>
      <c r="AR217" s="922"/>
      <c r="AS217" s="922"/>
      <c r="AT217" s="922"/>
      <c r="AU217" s="922"/>
      <c r="AV217" s="922"/>
      <c r="AW217" s="922"/>
      <c r="AX217" s="922"/>
      <c r="AY217" s="922"/>
      <c r="AZ217" s="922"/>
      <c r="BA217" s="922"/>
      <c r="BB217" s="922"/>
      <c r="BC217" s="922"/>
      <c r="BD217" s="922"/>
      <c r="BE217" s="922"/>
      <c r="BF217" s="922"/>
      <c r="BG217" s="922"/>
      <c r="BH217" s="922"/>
      <c r="BI217" s="922"/>
      <c r="BJ217" s="922"/>
      <c r="BK217" s="922"/>
      <c r="BL217" s="922"/>
      <c r="BM217" s="922"/>
      <c r="BN217" s="922"/>
      <c r="BO217" s="922"/>
      <c r="BP217" s="922"/>
      <c r="BQ217" s="922"/>
      <c r="BR217" s="922"/>
      <c r="BS217" s="922"/>
      <c r="BT217" s="922"/>
      <c r="BU217" s="922"/>
      <c r="BV217" s="922"/>
      <c r="BW217" s="922"/>
      <c r="BX217" s="922"/>
      <c r="BY217" s="922"/>
      <c r="BZ217" s="922"/>
      <c r="CA217" s="922"/>
      <c r="CB217" s="922"/>
      <c r="CC217" s="922"/>
      <c r="CD217" s="922"/>
      <c r="CE217" s="922"/>
      <c r="CF217" s="922"/>
      <c r="CG217" s="922"/>
      <c r="CH217" s="922"/>
      <c r="CI217" s="922"/>
      <c r="CJ217" s="922"/>
      <c r="CK217" s="922"/>
      <c r="CL217" s="922"/>
      <c r="CM217" s="922"/>
      <c r="CN217" s="922"/>
      <c r="CO217" s="922"/>
      <c r="CP217" s="922"/>
      <c r="CQ217" s="922"/>
      <c r="CR217" s="922"/>
      <c r="CS217" s="922"/>
      <c r="CT217" s="922"/>
      <c r="CU217" s="922"/>
      <c r="CV217" s="922"/>
      <c r="CW217" s="922"/>
      <c r="CX217" s="922"/>
      <c r="CY217" s="922"/>
      <c r="CZ217" s="922"/>
      <c r="DA217" s="922"/>
      <c r="DB217" s="922"/>
      <c r="DC217" s="922"/>
      <c r="DD217" s="922"/>
      <c r="DE217" s="922"/>
      <c r="DF217" s="922"/>
      <c r="DG217" s="922"/>
      <c r="DH217" s="922"/>
      <c r="DI217" s="922"/>
      <c r="DJ217" s="922"/>
      <c r="DK217" s="922"/>
      <c r="DL217" s="922"/>
      <c r="DM217" s="922"/>
      <c r="DN217" s="922"/>
      <c r="DO217" s="922"/>
      <c r="DP217" s="922"/>
      <c r="DQ217" s="922"/>
      <c r="DR217" s="922"/>
      <c r="DS217" s="922"/>
      <c r="DT217" s="922"/>
      <c r="DU217" s="922"/>
      <c r="DV217" s="922"/>
      <c r="DW217" s="922"/>
      <c r="DX217" s="922"/>
      <c r="DY217" s="922"/>
      <c r="DZ217" s="922"/>
      <c r="EA217" s="922"/>
      <c r="EB217" s="922"/>
      <c r="EC217" s="922"/>
      <c r="ED217" s="922"/>
      <c r="EE217" s="922"/>
      <c r="EF217" s="922"/>
      <c r="EG217" s="922"/>
      <c r="EH217" s="922"/>
      <c r="EI217" s="922"/>
      <c r="EJ217" s="922"/>
      <c r="EK217" s="922"/>
      <c r="EL217" s="922"/>
      <c r="EM217" s="922"/>
      <c r="EN217" s="922"/>
      <c r="EO217" s="922"/>
      <c r="EP217" s="922"/>
      <c r="EQ217" s="922"/>
      <c r="ER217" s="922"/>
      <c r="ES217" s="922"/>
      <c r="ET217" s="922"/>
      <c r="EU217" s="922"/>
      <c r="EV217" s="922"/>
      <c r="EW217" s="922"/>
      <c r="EX217" s="922"/>
      <c r="EY217" s="922"/>
      <c r="EZ217" s="922"/>
      <c r="FA217" s="922"/>
      <c r="FB217" s="922"/>
      <c r="FC217" s="922"/>
      <c r="FD217" s="922"/>
      <c r="FE217" s="922"/>
      <c r="FF217" s="922"/>
      <c r="FG217" s="922"/>
      <c r="FH217" s="922"/>
      <c r="FI217" s="922"/>
      <c r="FJ217" s="922"/>
      <c r="FK217" s="922"/>
      <c r="FL217" s="922"/>
      <c r="FM217" s="922"/>
      <c r="FN217" s="922"/>
      <c r="FO217" s="922"/>
      <c r="FP217" s="922"/>
      <c r="FQ217" s="922"/>
      <c r="FR217" s="922"/>
      <c r="FS217" s="922"/>
      <c r="FT217" s="922"/>
      <c r="FU217" s="922"/>
      <c r="FV217" s="922"/>
      <c r="FW217" s="922"/>
      <c r="FX217" s="922"/>
      <c r="FY217" s="922"/>
      <c r="FZ217" s="922"/>
      <c r="GA217" s="922"/>
      <c r="GB217" s="922"/>
      <c r="GC217" s="922"/>
      <c r="GD217" s="922"/>
      <c r="GE217" s="922"/>
      <c r="GF217" s="922"/>
      <c r="GG217" s="922"/>
      <c r="GH217" s="922"/>
      <c r="GI217" s="922"/>
      <c r="GJ217" s="922"/>
      <c r="GK217" s="922"/>
      <c r="GL217" s="922"/>
      <c r="GM217" s="922"/>
      <c r="GN217" s="922"/>
      <c r="GO217" s="922"/>
      <c r="GP217" s="922"/>
      <c r="GQ217" s="922"/>
      <c r="GR217" s="922"/>
      <c r="GS217" s="922"/>
      <c r="GT217" s="922"/>
      <c r="GU217" s="922"/>
      <c r="GV217" s="922"/>
      <c r="GW217" s="922"/>
      <c r="GX217" s="922"/>
      <c r="GY217" s="922"/>
      <c r="GZ217" s="922"/>
      <c r="HA217" s="922"/>
      <c r="HB217" s="922"/>
      <c r="HC217" s="922"/>
      <c r="HD217" s="922"/>
      <c r="HE217" s="922"/>
      <c r="HF217" s="922"/>
      <c r="HG217" s="922"/>
      <c r="HH217" s="922"/>
      <c r="HI217" s="922"/>
      <c r="HJ217" s="922"/>
      <c r="HK217" s="922"/>
      <c r="HL217" s="922"/>
      <c r="HM217" s="922"/>
      <c r="HN217" s="922"/>
      <c r="HO217" s="922"/>
      <c r="HP217" s="922"/>
      <c r="HQ217" s="922"/>
      <c r="HR217" s="922"/>
      <c r="HS217" s="922"/>
      <c r="HT217" s="922"/>
      <c r="HU217" s="922"/>
      <c r="HV217" s="922"/>
      <c r="HW217" s="922"/>
      <c r="HX217" s="922"/>
      <c r="HY217" s="922"/>
      <c r="HZ217" s="922"/>
      <c r="IA217" s="922"/>
      <c r="IB217" s="922"/>
      <c r="IC217" s="922"/>
      <c r="ID217" s="922"/>
      <c r="IE217" s="922"/>
      <c r="IF217" s="922"/>
      <c r="IG217" s="922"/>
      <c r="IH217" s="922"/>
      <c r="II217" s="922"/>
      <c r="IJ217" s="922"/>
      <c r="IK217" s="922"/>
      <c r="IL217" s="922"/>
      <c r="IM217" s="922"/>
      <c r="IN217" s="922"/>
      <c r="IO217" s="922"/>
      <c r="IP217" s="922"/>
      <c r="IQ217" s="922"/>
      <c r="IR217" s="922"/>
      <c r="IS217" s="922"/>
      <c r="IT217" s="922"/>
      <c r="IU217" s="922"/>
      <c r="IV217" s="922"/>
      <c r="IW217" s="922"/>
      <c r="IX217" s="922"/>
      <c r="IY217" s="922"/>
      <c r="IZ217" s="922"/>
      <c r="JA217" s="922"/>
      <c r="JB217" s="922"/>
      <c r="JC217" s="922"/>
      <c r="JD217" s="922"/>
      <c r="JE217" s="922"/>
      <c r="JF217" s="922"/>
      <c r="JG217" s="922"/>
      <c r="JH217" s="922"/>
      <c r="JI217" s="922"/>
      <c r="JJ217" s="922"/>
      <c r="JK217" s="922"/>
      <c r="JL217" s="922"/>
      <c r="JM217" s="922"/>
      <c r="JN217" s="922"/>
      <c r="JO217" s="922"/>
      <c r="JP217" s="922"/>
      <c r="JQ217" s="922"/>
      <c r="JR217" s="922"/>
      <c r="JS217" s="922"/>
      <c r="JT217" s="922"/>
      <c r="JU217" s="922"/>
      <c r="JV217" s="922"/>
      <c r="JW217" s="922"/>
      <c r="JX217" s="922"/>
      <c r="JY217" s="922"/>
      <c r="JZ217" s="922"/>
      <c r="KA217" s="922"/>
      <c r="KB217" s="922"/>
      <c r="KC217" s="922"/>
      <c r="KD217" s="922"/>
      <c r="KE217" s="922"/>
      <c r="KF217" s="922"/>
      <c r="KG217" s="922"/>
      <c r="KH217" s="922"/>
      <c r="KI217" s="922"/>
      <c r="KJ217" s="922"/>
      <c r="KK217" s="922"/>
      <c r="KL217" s="922"/>
      <c r="KM217" s="922"/>
      <c r="KN217" s="922"/>
      <c r="KO217" s="922"/>
      <c r="KP217" s="922"/>
      <c r="KQ217" s="922"/>
      <c r="KR217" s="922"/>
      <c r="KS217" s="922"/>
      <c r="KT217" s="922"/>
      <c r="KU217" s="922"/>
      <c r="KV217" s="922"/>
      <c r="KW217" s="922"/>
      <c r="KX217" s="922"/>
      <c r="KY217" s="922"/>
      <c r="KZ217" s="922"/>
      <c r="LA217" s="922"/>
      <c r="LB217" s="922"/>
      <c r="LC217" s="922"/>
      <c r="LD217" s="922"/>
      <c r="LE217" s="922"/>
      <c r="LF217" s="922"/>
      <c r="LG217" s="922"/>
      <c r="LH217" s="922"/>
      <c r="LI217" s="922"/>
      <c r="LJ217" s="922"/>
      <c r="LK217" s="922"/>
      <c r="LL217" s="922"/>
      <c r="LM217" s="922"/>
      <c r="LN217" s="922"/>
      <c r="LO217" s="922"/>
      <c r="LP217" s="922"/>
      <c r="LQ217" s="922"/>
      <c r="LR217" s="922"/>
      <c r="LS217" s="922"/>
      <c r="LT217" s="922"/>
      <c r="LU217" s="922"/>
      <c r="LV217" s="922"/>
      <c r="LW217" s="922"/>
      <c r="LX217" s="922"/>
      <c r="LY217" s="922"/>
      <c r="LZ217" s="922"/>
      <c r="MA217" s="922"/>
      <c r="MB217" s="922"/>
      <c r="MC217" s="922"/>
      <c r="MD217" s="922"/>
      <c r="ME217" s="922"/>
      <c r="MF217" s="922"/>
      <c r="MG217" s="922"/>
      <c r="MH217" s="922"/>
      <c r="MI217" s="922"/>
      <c r="MJ217" s="922"/>
      <c r="MK217" s="922"/>
      <c r="ML217" s="922"/>
      <c r="MM217" s="922"/>
      <c r="MN217" s="922"/>
      <c r="MO217" s="922"/>
      <c r="MP217" s="922"/>
      <c r="MQ217" s="922"/>
      <c r="MR217" s="922"/>
      <c r="MS217" s="922"/>
      <c r="MT217" s="922"/>
      <c r="MU217" s="922"/>
      <c r="MV217" s="922"/>
      <c r="MW217" s="922"/>
      <c r="MX217" s="922"/>
      <c r="MY217" s="922"/>
      <c r="MZ217" s="922"/>
      <c r="NA217" s="922"/>
      <c r="NB217" s="922"/>
      <c r="NC217" s="922"/>
      <c r="ND217" s="922"/>
      <c r="NE217" s="922"/>
      <c r="NF217" s="922"/>
      <c r="NG217" s="922"/>
      <c r="NH217" s="922"/>
      <c r="NI217" s="922"/>
      <c r="NJ217" s="922"/>
      <c r="NK217" s="922"/>
      <c r="NL217" s="922"/>
      <c r="NM217" s="922"/>
      <c r="NN217" s="922"/>
      <c r="NO217" s="922"/>
      <c r="NP217" s="922"/>
      <c r="NQ217" s="922"/>
      <c r="NR217" s="922"/>
      <c r="NS217" s="922"/>
      <c r="NT217" s="922"/>
      <c r="NU217" s="922"/>
      <c r="NV217" s="922"/>
      <c r="NW217" s="922"/>
      <c r="NX217" s="922"/>
      <c r="NY217" s="922"/>
      <c r="NZ217" s="922"/>
      <c r="OA217" s="922"/>
      <c r="OB217" s="922"/>
      <c r="OC217" s="922"/>
      <c r="OD217" s="922"/>
      <c r="OE217" s="922"/>
      <c r="OF217" s="922"/>
      <c r="OG217" s="922"/>
      <c r="OH217" s="922"/>
      <c r="OI217" s="922"/>
      <c r="OJ217" s="922"/>
      <c r="OK217" s="922"/>
      <c r="OL217" s="922"/>
      <c r="OM217" s="922"/>
      <c r="ON217" s="922"/>
      <c r="OO217" s="922"/>
      <c r="OP217" s="922"/>
      <c r="OQ217" s="922"/>
      <c r="OR217" s="922"/>
      <c r="OS217" s="922"/>
      <c r="OT217" s="922"/>
      <c r="OU217" s="922"/>
      <c r="OV217" s="922"/>
      <c r="OW217" s="922"/>
      <c r="OX217" s="922"/>
      <c r="OY217" s="922"/>
      <c r="OZ217" s="922"/>
      <c r="PA217" s="922"/>
      <c r="PB217" s="922"/>
      <c r="PC217" s="922"/>
      <c r="PD217" s="922"/>
      <c r="PE217" s="922"/>
      <c r="PF217" s="922"/>
      <c r="PG217" s="922"/>
      <c r="PH217" s="922"/>
      <c r="PI217" s="922"/>
      <c r="PJ217" s="922"/>
      <c r="PK217" s="922"/>
      <c r="PL217" s="922"/>
      <c r="PM217" s="922"/>
      <c r="PN217" s="922"/>
      <c r="PO217" s="922"/>
      <c r="PP217" s="922"/>
      <c r="PQ217" s="922"/>
      <c r="PR217" s="922"/>
      <c r="PS217" s="922"/>
      <c r="PT217" s="922"/>
      <c r="PU217" s="922"/>
      <c r="PV217" s="922"/>
      <c r="PW217" s="922"/>
      <c r="PX217" s="922"/>
      <c r="PY217" s="922"/>
      <c r="PZ217" s="922"/>
      <c r="QA217" s="922"/>
      <c r="QB217" s="922"/>
      <c r="QC217" s="922"/>
      <c r="QD217" s="922"/>
      <c r="QE217" s="922"/>
      <c r="QF217" s="922"/>
      <c r="QG217" s="922"/>
      <c r="QH217" s="922"/>
      <c r="QI217" s="922"/>
      <c r="QJ217" s="922"/>
      <c r="QK217" s="922"/>
      <c r="QL217" s="922"/>
      <c r="QM217" s="922"/>
      <c r="QN217" s="922"/>
      <c r="QO217" s="922"/>
      <c r="QP217" s="922"/>
      <c r="QQ217" s="922"/>
      <c r="QR217" s="922"/>
      <c r="QS217" s="922"/>
      <c r="QT217" s="922"/>
      <c r="QU217" s="922"/>
      <c r="QV217" s="922"/>
      <c r="QW217" s="922"/>
      <c r="QX217" s="922"/>
      <c r="QY217" s="922"/>
      <c r="QZ217" s="922"/>
      <c r="RA217" s="922"/>
      <c r="RB217" s="922"/>
      <c r="RC217" s="922"/>
      <c r="RD217" s="922"/>
      <c r="RE217" s="922"/>
      <c r="RF217" s="922"/>
      <c r="RG217" s="922"/>
      <c r="RH217" s="922"/>
      <c r="RI217" s="922"/>
      <c r="RJ217" s="922"/>
      <c r="RK217" s="922"/>
      <c r="RL217" s="922"/>
      <c r="RM217" s="922"/>
      <c r="RN217" s="922"/>
      <c r="RO217" s="922"/>
      <c r="RP217" s="922"/>
      <c r="RQ217" s="922"/>
      <c r="RR217" s="922"/>
      <c r="RS217" s="922"/>
      <c r="RT217" s="922"/>
      <c r="RU217" s="922"/>
      <c r="RV217" s="922"/>
      <c r="RW217" s="922"/>
      <c r="RX217" s="922"/>
      <c r="RY217" s="922"/>
      <c r="RZ217" s="922"/>
      <c r="SA217" s="922"/>
      <c r="SB217" s="922"/>
      <c r="SC217" s="922"/>
      <c r="SD217" s="922"/>
      <c r="SE217" s="922"/>
      <c r="SF217" s="922"/>
      <c r="SG217" s="922"/>
      <c r="SH217" s="922"/>
      <c r="SI217" s="922"/>
      <c r="SJ217" s="922"/>
      <c r="SK217" s="922"/>
      <c r="SL217" s="922"/>
      <c r="SM217" s="922"/>
      <c r="SN217" s="922"/>
      <c r="SO217" s="922"/>
      <c r="SP217" s="922"/>
      <c r="SQ217" s="922"/>
      <c r="SR217" s="922"/>
      <c r="SS217" s="922"/>
      <c r="ST217" s="922"/>
      <c r="SU217" s="922"/>
      <c r="SV217" s="922"/>
      <c r="SW217" s="922"/>
      <c r="SX217" s="922"/>
      <c r="SY217" s="922"/>
      <c r="SZ217" s="922"/>
      <c r="TA217" s="922"/>
      <c r="TB217" s="922"/>
      <c r="TC217" s="922"/>
      <c r="TD217" s="922"/>
      <c r="TE217" s="922"/>
      <c r="TF217" s="922"/>
      <c r="TG217" s="922"/>
      <c r="TH217" s="922"/>
      <c r="TI217" s="922"/>
      <c r="TJ217" s="922"/>
      <c r="TK217" s="922"/>
      <c r="TL217" s="922"/>
      <c r="TM217" s="922"/>
      <c r="TN217" s="922"/>
      <c r="TO217" s="922"/>
      <c r="TP217" s="922"/>
      <c r="TQ217" s="922"/>
      <c r="TR217" s="922"/>
      <c r="TS217" s="922"/>
      <c r="TT217" s="922"/>
      <c r="TU217" s="922"/>
      <c r="TV217" s="922"/>
      <c r="TW217" s="922"/>
      <c r="TX217" s="922"/>
      <c r="TY217" s="922"/>
      <c r="TZ217" s="922"/>
      <c r="UA217" s="922"/>
      <c r="UB217" s="922"/>
      <c r="UC217" s="922"/>
      <c r="UD217" s="922"/>
      <c r="UE217" s="922"/>
      <c r="UF217" s="922"/>
      <c r="UG217" s="922"/>
      <c r="UH217" s="922"/>
      <c r="UI217" s="922"/>
      <c r="UJ217" s="922"/>
      <c r="UK217" s="922"/>
      <c r="UL217" s="922"/>
      <c r="UM217" s="922"/>
      <c r="UN217" s="922"/>
      <c r="UO217" s="922"/>
      <c r="UP217" s="922"/>
      <c r="UQ217" s="922"/>
      <c r="UR217" s="922"/>
      <c r="US217" s="922"/>
      <c r="UT217" s="922"/>
      <c r="UU217" s="922"/>
      <c r="UV217" s="922"/>
      <c r="UW217" s="922"/>
      <c r="UX217" s="922"/>
      <c r="UY217" s="922"/>
      <c r="UZ217" s="922"/>
      <c r="VA217" s="922"/>
      <c r="VB217" s="922"/>
      <c r="VC217" s="922"/>
      <c r="VD217" s="922"/>
      <c r="VE217" s="922"/>
      <c r="VF217" s="922"/>
      <c r="VG217" s="922"/>
      <c r="VH217" s="922"/>
      <c r="VI217" s="922"/>
      <c r="VJ217" s="922"/>
      <c r="VK217" s="922"/>
      <c r="VL217" s="922"/>
      <c r="VM217" s="922"/>
      <c r="VN217" s="922"/>
      <c r="VO217" s="922"/>
      <c r="VP217" s="922"/>
      <c r="VQ217" s="922"/>
      <c r="VR217" s="922"/>
      <c r="VS217" s="922"/>
      <c r="VT217" s="922"/>
      <c r="VU217" s="922"/>
      <c r="VV217" s="922"/>
      <c r="VW217" s="922"/>
      <c r="VX217" s="922"/>
      <c r="VY217" s="922"/>
      <c r="VZ217" s="922"/>
      <c r="WA217" s="922"/>
      <c r="WB217" s="922"/>
      <c r="WC217" s="922"/>
      <c r="WD217" s="922"/>
      <c r="WE217" s="922"/>
      <c r="WF217" s="922"/>
      <c r="WG217" s="922"/>
      <c r="WH217" s="922"/>
      <c r="WI217" s="922"/>
      <c r="WJ217" s="922"/>
      <c r="WK217" s="922"/>
      <c r="WL217" s="922"/>
      <c r="WM217" s="922"/>
      <c r="WN217" s="922"/>
      <c r="WO217" s="922"/>
      <c r="WP217" s="922"/>
      <c r="WQ217" s="922"/>
      <c r="WR217" s="922"/>
      <c r="WS217" s="922"/>
      <c r="WT217" s="922"/>
      <c r="WU217" s="922"/>
      <c r="WV217" s="922"/>
      <c r="WW217" s="922"/>
      <c r="WX217" s="922"/>
      <c r="WY217" s="922"/>
      <c r="WZ217" s="922"/>
      <c r="XA217" s="922"/>
      <c r="XB217" s="922"/>
      <c r="XC217" s="922"/>
      <c r="XD217" s="922"/>
      <c r="XE217" s="922"/>
      <c r="XF217" s="922"/>
      <c r="XG217" s="922"/>
      <c r="XH217" s="922"/>
      <c r="XI217" s="922"/>
      <c r="XJ217" s="922"/>
      <c r="XK217" s="922"/>
      <c r="XL217" s="922"/>
      <c r="XM217" s="922"/>
      <c r="XN217" s="922"/>
      <c r="XO217" s="922"/>
      <c r="XP217" s="922"/>
      <c r="XQ217" s="922"/>
      <c r="XR217" s="922"/>
      <c r="XS217" s="922"/>
      <c r="XT217" s="922"/>
      <c r="XU217" s="922"/>
      <c r="XV217" s="922"/>
      <c r="XW217" s="922"/>
      <c r="XX217" s="922"/>
      <c r="XY217" s="922"/>
      <c r="XZ217" s="922"/>
      <c r="YA217" s="922"/>
      <c r="YB217" s="922"/>
      <c r="YC217" s="922"/>
      <c r="YD217" s="922"/>
      <c r="YE217" s="922"/>
      <c r="YF217" s="922"/>
      <c r="YG217" s="922"/>
      <c r="YH217" s="922"/>
      <c r="YI217" s="922"/>
      <c r="YJ217" s="922"/>
      <c r="YK217" s="922"/>
      <c r="YL217" s="922"/>
      <c r="YM217" s="922"/>
      <c r="YN217" s="922"/>
      <c r="YO217" s="922"/>
      <c r="YP217" s="922"/>
      <c r="YQ217" s="922"/>
      <c r="YR217" s="922"/>
      <c r="YS217" s="922"/>
      <c r="YT217" s="922"/>
      <c r="YU217" s="922"/>
      <c r="YV217" s="922"/>
      <c r="YW217" s="922"/>
      <c r="YX217" s="922"/>
      <c r="YY217" s="922"/>
      <c r="YZ217" s="922"/>
      <c r="ZA217" s="922"/>
      <c r="ZB217" s="922"/>
      <c r="ZC217" s="922"/>
      <c r="ZD217" s="922"/>
      <c r="ZE217" s="922"/>
      <c r="ZF217" s="922"/>
      <c r="ZG217" s="922"/>
      <c r="ZH217" s="922"/>
      <c r="ZI217" s="922"/>
      <c r="ZJ217" s="922"/>
      <c r="ZK217" s="922"/>
      <c r="ZL217" s="922"/>
      <c r="ZM217" s="922"/>
      <c r="ZN217" s="922"/>
      <c r="ZO217" s="922"/>
      <c r="ZP217" s="922"/>
      <c r="ZQ217" s="922"/>
      <c r="ZR217" s="922"/>
      <c r="ZS217" s="922"/>
      <c r="ZT217" s="922"/>
      <c r="ZU217" s="922"/>
      <c r="ZV217" s="922"/>
      <c r="ZW217" s="922"/>
      <c r="ZX217" s="922"/>
      <c r="ZY217" s="922"/>
      <c r="ZZ217" s="922"/>
      <c r="AAA217" s="922"/>
      <c r="AAB217" s="922"/>
      <c r="AAC217" s="922"/>
      <c r="AAD217" s="922"/>
      <c r="AAE217" s="922"/>
      <c r="AAF217" s="922"/>
      <c r="AAG217" s="922"/>
      <c r="AAH217" s="922"/>
      <c r="AAI217" s="922"/>
      <c r="AAJ217" s="922"/>
      <c r="AAK217" s="922"/>
      <c r="AAL217" s="922"/>
      <c r="AAM217" s="922"/>
      <c r="AAN217" s="922"/>
      <c r="AAO217" s="922"/>
      <c r="AAP217" s="922"/>
      <c r="AAQ217" s="922"/>
      <c r="AAR217" s="922"/>
      <c r="AAS217" s="922"/>
      <c r="AAT217" s="922"/>
      <c r="AAU217" s="922"/>
      <c r="AAV217" s="922"/>
      <c r="AAW217" s="922"/>
      <c r="AAX217" s="922"/>
      <c r="AAY217" s="922"/>
      <c r="AAZ217" s="922"/>
      <c r="ABA217" s="922"/>
      <c r="ABB217" s="922"/>
      <c r="ABC217" s="922"/>
      <c r="ABD217" s="922"/>
      <c r="ABE217" s="922"/>
      <c r="ABF217" s="922"/>
      <c r="ABG217" s="922"/>
      <c r="ABH217" s="922"/>
      <c r="ABI217" s="922"/>
      <c r="ABJ217" s="922"/>
      <c r="ABK217" s="922"/>
      <c r="ABL217" s="922"/>
      <c r="ABM217" s="922"/>
      <c r="ABN217" s="922"/>
      <c r="ABO217" s="922"/>
      <c r="ABP217" s="922"/>
      <c r="ABQ217" s="922"/>
      <c r="ABR217" s="922"/>
      <c r="ABS217" s="922"/>
      <c r="ABT217" s="922"/>
      <c r="ABU217" s="922"/>
      <c r="ABV217" s="922"/>
      <c r="ABW217" s="922"/>
      <c r="ABX217" s="922"/>
      <c r="ABY217" s="922"/>
      <c r="ABZ217" s="922"/>
      <c r="ACA217" s="922"/>
      <c r="ACB217" s="922"/>
      <c r="ACC217" s="922"/>
      <c r="ACD217" s="922"/>
      <c r="ACE217" s="922"/>
      <c r="ACF217" s="922"/>
      <c r="ACG217" s="922"/>
      <c r="ACH217" s="922"/>
      <c r="ACI217" s="922"/>
      <c r="ACJ217" s="922"/>
      <c r="ACK217" s="922"/>
      <c r="ACL217" s="922"/>
      <c r="ACM217" s="922"/>
      <c r="ACN217" s="922"/>
      <c r="ACO217" s="922"/>
      <c r="ACP217" s="922"/>
      <c r="ACQ217" s="922"/>
      <c r="ACR217" s="922"/>
      <c r="ACS217" s="922"/>
      <c r="ACT217" s="922"/>
      <c r="ACU217" s="922"/>
      <c r="ACV217" s="922"/>
      <c r="ACW217" s="922"/>
      <c r="ACX217" s="922"/>
      <c r="ACY217" s="922"/>
      <c r="ACZ217" s="922"/>
      <c r="ADA217" s="922"/>
      <c r="ADB217" s="922"/>
      <c r="ADC217" s="922"/>
      <c r="ADD217" s="922"/>
      <c r="ADE217" s="922"/>
      <c r="ADF217" s="922"/>
      <c r="ADG217" s="922"/>
      <c r="ADH217" s="922"/>
      <c r="ADI217" s="922"/>
      <c r="ADJ217" s="922"/>
      <c r="ADK217" s="922"/>
      <c r="ADL217" s="922"/>
      <c r="ADM217" s="922"/>
      <c r="ADN217" s="922"/>
      <c r="ADO217" s="922"/>
      <c r="ADP217" s="922"/>
      <c r="ADQ217" s="922"/>
      <c r="ADR217" s="922"/>
      <c r="ADS217" s="922"/>
      <c r="ADT217" s="922"/>
      <c r="ADU217" s="922"/>
      <c r="ADV217" s="922"/>
      <c r="ADW217" s="922"/>
      <c r="ADX217" s="922"/>
      <c r="ADY217" s="922"/>
      <c r="ADZ217" s="922"/>
      <c r="AEA217" s="922"/>
      <c r="AEB217" s="922"/>
      <c r="AEC217" s="922"/>
      <c r="AED217" s="922"/>
      <c r="AEE217" s="922"/>
      <c r="AEF217" s="922"/>
      <c r="AEG217" s="922"/>
      <c r="AEH217" s="922"/>
      <c r="AEI217" s="922"/>
      <c r="AEJ217" s="922"/>
      <c r="AEK217" s="922"/>
      <c r="AEL217" s="922"/>
      <c r="AEM217" s="922"/>
      <c r="AEN217" s="922"/>
      <c r="AEO217" s="922"/>
      <c r="AEP217" s="922"/>
      <c r="AEQ217" s="922"/>
      <c r="AER217" s="922"/>
      <c r="AES217" s="922"/>
      <c r="AET217" s="922"/>
      <c r="AEU217" s="922"/>
      <c r="AEV217" s="922"/>
      <c r="AEW217" s="922"/>
      <c r="AEX217" s="922"/>
      <c r="AEY217" s="922"/>
      <c r="AEZ217" s="922"/>
      <c r="AFA217" s="922"/>
      <c r="AFB217" s="922"/>
      <c r="AFC217" s="922"/>
      <c r="AFD217" s="922"/>
      <c r="AFE217" s="922"/>
      <c r="AFF217" s="922"/>
      <c r="AFG217" s="922"/>
      <c r="AFH217" s="922"/>
      <c r="AFI217" s="922"/>
      <c r="AFJ217" s="922"/>
      <c r="AFK217" s="922"/>
      <c r="AFL217" s="922"/>
      <c r="AFM217" s="922"/>
      <c r="AFN217" s="922"/>
      <c r="AFO217" s="922"/>
      <c r="AFP217" s="922"/>
      <c r="AFQ217" s="922"/>
      <c r="AFR217" s="922"/>
      <c r="AFS217" s="922"/>
      <c r="AFT217" s="922"/>
      <c r="AFU217" s="922"/>
      <c r="AFV217" s="922"/>
      <c r="AFW217" s="922"/>
      <c r="AFX217" s="922"/>
      <c r="AFY217" s="922"/>
      <c r="AFZ217" s="922"/>
      <c r="AGA217" s="922"/>
      <c r="AGB217" s="922"/>
      <c r="AGC217" s="922"/>
      <c r="AGD217" s="922"/>
      <c r="AGE217" s="922"/>
      <c r="AGF217" s="922"/>
      <c r="AGG217" s="922"/>
      <c r="AGH217" s="922"/>
      <c r="AGI217" s="922"/>
      <c r="AGJ217" s="922"/>
      <c r="AGK217" s="922"/>
      <c r="AGL217" s="922"/>
      <c r="AGM217" s="922"/>
      <c r="AGN217" s="922"/>
      <c r="AGO217" s="922"/>
      <c r="AGP217" s="922"/>
      <c r="AGQ217" s="922"/>
      <c r="AGR217" s="922"/>
      <c r="AGS217" s="922"/>
      <c r="AGT217" s="922"/>
      <c r="AGU217" s="922"/>
      <c r="AGV217" s="922"/>
      <c r="AGW217" s="922"/>
      <c r="AGX217" s="922"/>
      <c r="AGY217" s="922"/>
      <c r="AGZ217" s="922"/>
      <c r="AHA217" s="922"/>
      <c r="AHB217" s="922"/>
      <c r="AHC217" s="922"/>
      <c r="AHD217" s="922"/>
      <c r="AHE217" s="922"/>
      <c r="AHF217" s="922"/>
      <c r="AHG217" s="922"/>
      <c r="AHH217" s="922"/>
      <c r="AHI217" s="922"/>
      <c r="AHJ217" s="922"/>
      <c r="AHK217" s="922"/>
      <c r="AHL217" s="922"/>
      <c r="AHM217" s="922"/>
      <c r="AHN217" s="922"/>
      <c r="AHO217" s="922"/>
      <c r="AHP217" s="922"/>
      <c r="AHQ217" s="922"/>
      <c r="AHR217" s="922"/>
      <c r="AHS217" s="922"/>
      <c r="AHT217" s="922"/>
      <c r="AHU217" s="922"/>
      <c r="AHV217" s="922"/>
      <c r="AHW217" s="922"/>
      <c r="AHX217" s="922"/>
      <c r="AHY217" s="922"/>
      <c r="AHZ217" s="922"/>
      <c r="AIA217" s="922"/>
      <c r="AIB217" s="922"/>
      <c r="AIC217" s="922"/>
      <c r="AID217" s="922"/>
      <c r="AIE217" s="922"/>
      <c r="AIF217" s="922"/>
      <c r="AIG217" s="922"/>
      <c r="AIH217" s="922"/>
      <c r="AII217" s="922"/>
      <c r="AIJ217" s="922"/>
      <c r="AIK217" s="922"/>
      <c r="AIL217" s="922"/>
      <c r="AIM217" s="922"/>
      <c r="AIN217" s="922"/>
      <c r="AIO217" s="922"/>
      <c r="AIP217" s="922"/>
      <c r="AIQ217" s="922"/>
      <c r="AIR217" s="922"/>
      <c r="AIS217" s="922"/>
      <c r="AIT217" s="922"/>
      <c r="AIU217" s="922"/>
      <c r="AIV217" s="922"/>
      <c r="AIW217" s="922"/>
      <c r="AIX217" s="922"/>
      <c r="AIY217" s="922"/>
      <c r="AIZ217" s="922"/>
      <c r="AJA217" s="922"/>
      <c r="AJB217" s="922"/>
      <c r="AJC217" s="922"/>
      <c r="AJD217" s="922"/>
      <c r="AJE217" s="922"/>
      <c r="AJF217" s="922"/>
      <c r="AJG217" s="922"/>
      <c r="AJH217" s="922"/>
      <c r="AJI217" s="922"/>
      <c r="AJJ217" s="922"/>
      <c r="AJK217" s="922"/>
      <c r="AJL217" s="922"/>
      <c r="AJM217" s="922"/>
      <c r="AJN217" s="922"/>
      <c r="AJO217" s="922"/>
      <c r="AJP217" s="922"/>
      <c r="AJQ217" s="922"/>
      <c r="AJR217" s="922"/>
      <c r="AJS217" s="922"/>
      <c r="AJT217" s="922"/>
      <c r="AJU217" s="922"/>
      <c r="AJV217" s="922"/>
      <c r="AJW217" s="922"/>
      <c r="AJX217" s="922"/>
      <c r="AJY217" s="922"/>
      <c r="AJZ217" s="922"/>
      <c r="AKA217" s="922"/>
      <c r="AKB217" s="922"/>
      <c r="AKC217" s="922"/>
      <c r="AKD217" s="922"/>
      <c r="AKE217" s="922"/>
      <c r="AKF217" s="922"/>
      <c r="AKG217" s="922"/>
      <c r="AKH217" s="922"/>
      <c r="AKI217" s="922"/>
      <c r="AKJ217" s="922"/>
      <c r="AKK217" s="922"/>
      <c r="AKL217" s="922"/>
      <c r="AKM217" s="922"/>
      <c r="AKN217" s="922"/>
      <c r="AKO217" s="922"/>
      <c r="AKP217" s="922"/>
      <c r="AKQ217" s="922"/>
      <c r="AKR217" s="922"/>
      <c r="AKS217" s="922"/>
      <c r="AKT217" s="922"/>
      <c r="AKU217" s="922"/>
      <c r="AKV217" s="922"/>
      <c r="AKW217" s="922"/>
      <c r="AKX217" s="922"/>
      <c r="AKY217" s="922"/>
      <c r="AKZ217" s="922"/>
      <c r="ALA217" s="922"/>
      <c r="ALB217" s="922"/>
      <c r="ALC217" s="922"/>
      <c r="ALD217" s="922"/>
      <c r="ALE217" s="922"/>
      <c r="ALF217" s="922"/>
      <c r="ALG217" s="922"/>
      <c r="ALH217" s="922"/>
      <c r="ALI217" s="922"/>
      <c r="ALJ217" s="922"/>
      <c r="ALK217" s="922"/>
      <c r="ALL217" s="922"/>
      <c r="ALM217" s="922"/>
      <c r="ALN217" s="922"/>
      <c r="ALO217" s="922"/>
      <c r="ALP217" s="922"/>
      <c r="ALQ217" s="922"/>
      <c r="ALR217" s="922"/>
      <c r="ALS217" s="922"/>
      <c r="ALT217" s="922"/>
      <c r="ALU217" s="922"/>
      <c r="ALV217" s="922"/>
      <c r="ALW217" s="922"/>
      <c r="ALX217" s="922"/>
      <c r="ALY217" s="922"/>
      <c r="ALZ217" s="922"/>
      <c r="AMA217" s="922"/>
      <c r="AMB217" s="922"/>
      <c r="AMC217" s="922"/>
      <c r="AMD217" s="922"/>
      <c r="AME217" s="922"/>
      <c r="AMF217" s="922"/>
      <c r="AMG217" s="922"/>
      <c r="AMH217" s="922"/>
      <c r="AMI217" s="922"/>
      <c r="AMJ217" s="922"/>
      <c r="AMK217" s="922"/>
      <c r="AML217" s="922"/>
      <c r="AMM217" s="922"/>
      <c r="AMN217" s="922"/>
      <c r="AMO217" s="922"/>
      <c r="AMP217" s="922"/>
      <c r="AMQ217" s="922"/>
      <c r="AMR217" s="922"/>
      <c r="AMS217" s="922"/>
      <c r="AMT217" s="922"/>
      <c r="AMU217" s="922"/>
      <c r="AMV217" s="922"/>
      <c r="AMW217" s="922"/>
      <c r="AMX217" s="922"/>
      <c r="AMY217" s="922"/>
      <c r="AMZ217" s="922"/>
      <c r="ANA217" s="922"/>
      <c r="ANB217" s="922"/>
      <c r="ANC217" s="922"/>
      <c r="AND217" s="922"/>
      <c r="ANE217" s="922"/>
      <c r="ANF217" s="922"/>
      <c r="ANG217" s="922"/>
      <c r="ANH217" s="922"/>
      <c r="ANI217" s="922"/>
      <c r="ANJ217" s="922"/>
      <c r="ANK217" s="922"/>
      <c r="ANL217" s="922"/>
      <c r="ANM217" s="922"/>
      <c r="ANN217" s="922"/>
      <c r="ANO217" s="922"/>
      <c r="ANP217" s="922"/>
      <c r="ANQ217" s="922"/>
      <c r="ANR217" s="922"/>
      <c r="ANS217" s="922"/>
      <c r="ANT217" s="922"/>
      <c r="ANU217" s="922"/>
      <c r="ANV217" s="922"/>
      <c r="ANW217" s="922"/>
      <c r="ANX217" s="922"/>
      <c r="ANY217" s="922"/>
      <c r="ANZ217" s="922"/>
      <c r="AOA217" s="922"/>
      <c r="AOB217" s="922"/>
      <c r="AOC217" s="922"/>
      <c r="AOD217" s="922"/>
      <c r="AOE217" s="922"/>
      <c r="AOF217" s="922"/>
      <c r="AOG217" s="922"/>
      <c r="AOH217" s="922"/>
      <c r="AOI217" s="922"/>
      <c r="AOJ217" s="922"/>
      <c r="AOK217" s="922"/>
      <c r="AOL217" s="922"/>
      <c r="AOM217" s="922"/>
      <c r="AON217" s="922"/>
      <c r="AOO217" s="922"/>
      <c r="AOP217" s="922"/>
      <c r="AOQ217" s="922"/>
      <c r="AOR217" s="922"/>
      <c r="AOS217" s="922"/>
      <c r="AOT217" s="922"/>
      <c r="AOU217" s="922"/>
      <c r="AOV217" s="922"/>
      <c r="AOW217" s="922"/>
      <c r="AOX217" s="922"/>
      <c r="AOY217" s="922"/>
      <c r="AOZ217" s="922"/>
      <c r="APA217" s="922"/>
      <c r="APB217" s="922"/>
      <c r="APC217" s="922"/>
      <c r="APD217" s="922"/>
      <c r="APE217" s="922"/>
      <c r="APF217" s="922"/>
      <c r="APG217" s="922"/>
      <c r="APH217" s="922"/>
      <c r="API217" s="922"/>
      <c r="APJ217" s="922"/>
      <c r="APK217" s="922"/>
      <c r="APL217" s="922"/>
      <c r="APM217" s="922"/>
      <c r="APN217" s="922"/>
      <c r="APO217" s="922"/>
      <c r="APP217" s="922"/>
      <c r="APQ217" s="922"/>
      <c r="APR217" s="922"/>
      <c r="APS217" s="922"/>
      <c r="APT217" s="922"/>
      <c r="APU217" s="922"/>
      <c r="APV217" s="922"/>
      <c r="APW217" s="922"/>
      <c r="APX217" s="922"/>
      <c r="APY217" s="922"/>
      <c r="APZ217" s="922"/>
      <c r="AQA217" s="922"/>
      <c r="AQB217" s="922"/>
      <c r="AQC217" s="922"/>
      <c r="AQD217" s="922"/>
      <c r="AQE217" s="922"/>
      <c r="AQF217" s="922"/>
      <c r="AQG217" s="922"/>
      <c r="AQH217" s="922"/>
      <c r="AQI217" s="922"/>
      <c r="AQJ217" s="922"/>
      <c r="AQK217" s="922"/>
      <c r="AQL217" s="922"/>
      <c r="AQM217" s="922"/>
      <c r="AQN217" s="922"/>
      <c r="AQO217" s="922"/>
      <c r="AQP217" s="922"/>
      <c r="AQQ217" s="922"/>
      <c r="AQR217" s="922"/>
      <c r="AQS217" s="922"/>
      <c r="AQT217" s="922"/>
      <c r="AQU217" s="922"/>
      <c r="AQV217" s="922"/>
      <c r="AQW217" s="922"/>
      <c r="AQX217" s="922"/>
      <c r="AQY217" s="922"/>
      <c r="AQZ217" s="922"/>
      <c r="ARA217" s="922"/>
      <c r="ARB217" s="922"/>
      <c r="ARC217" s="922"/>
      <c r="ARD217" s="922"/>
      <c r="ARE217" s="922"/>
      <c r="ARF217" s="922"/>
      <c r="ARG217" s="922"/>
      <c r="ARH217" s="922"/>
      <c r="ARI217" s="922"/>
      <c r="ARJ217" s="922"/>
      <c r="ARK217" s="922"/>
      <c r="ARL217" s="922"/>
      <c r="ARM217" s="922"/>
      <c r="ARN217" s="922"/>
      <c r="ARO217" s="922"/>
      <c r="ARP217" s="922"/>
      <c r="ARQ217" s="922"/>
      <c r="ARR217" s="922"/>
      <c r="ARS217" s="922"/>
      <c r="ART217" s="922"/>
      <c r="ARU217" s="922"/>
      <c r="ARV217" s="922"/>
      <c r="ARW217" s="922"/>
      <c r="ARX217" s="922"/>
      <c r="ARY217" s="922"/>
      <c r="ARZ217" s="922"/>
      <c r="ASA217" s="922"/>
      <c r="ASB217" s="922"/>
      <c r="ASC217" s="922"/>
    </row>
    <row r="218" spans="20:1173" hidden="1">
      <c r="T218" s="922"/>
      <c r="AN218" s="922"/>
      <c r="AO218" s="922"/>
      <c r="AP218" s="922"/>
      <c r="AQ218" s="922"/>
      <c r="AR218" s="922"/>
      <c r="AS218" s="922"/>
      <c r="AT218" s="922"/>
      <c r="AU218" s="922"/>
      <c r="AV218" s="922"/>
      <c r="AW218" s="922"/>
      <c r="AX218" s="922"/>
      <c r="AY218" s="922"/>
      <c r="AZ218" s="922"/>
      <c r="BA218" s="922"/>
      <c r="BB218" s="922"/>
      <c r="BC218" s="922"/>
      <c r="BD218" s="922"/>
      <c r="BE218" s="922"/>
      <c r="BF218" s="922"/>
      <c r="BG218" s="922"/>
      <c r="BH218" s="922"/>
      <c r="BI218" s="922"/>
      <c r="BJ218" s="922"/>
      <c r="BK218" s="922"/>
      <c r="BL218" s="922"/>
      <c r="BM218" s="922"/>
      <c r="BN218" s="922"/>
      <c r="BO218" s="922"/>
      <c r="BP218" s="922"/>
      <c r="BQ218" s="922"/>
      <c r="BR218" s="922"/>
      <c r="BS218" s="922"/>
      <c r="BT218" s="922"/>
      <c r="BU218" s="922"/>
      <c r="BV218" s="922"/>
      <c r="BW218" s="922"/>
      <c r="BX218" s="922"/>
      <c r="BY218" s="922"/>
      <c r="BZ218" s="922"/>
      <c r="CA218" s="922"/>
      <c r="CB218" s="922"/>
      <c r="CC218" s="922"/>
      <c r="CD218" s="922"/>
      <c r="CE218" s="922"/>
      <c r="CF218" s="922"/>
      <c r="CG218" s="922"/>
      <c r="CH218" s="922"/>
      <c r="CI218" s="922"/>
      <c r="CJ218" s="922"/>
      <c r="CK218" s="922"/>
      <c r="CL218" s="922"/>
      <c r="CM218" s="922"/>
      <c r="CN218" s="922"/>
      <c r="CO218" s="922"/>
      <c r="CP218" s="922"/>
      <c r="CQ218" s="922"/>
      <c r="CR218" s="922"/>
      <c r="CS218" s="922"/>
      <c r="CT218" s="922"/>
      <c r="CU218" s="922"/>
      <c r="CV218" s="922"/>
      <c r="CW218" s="922"/>
      <c r="CX218" s="922"/>
      <c r="CY218" s="922"/>
      <c r="CZ218" s="922"/>
      <c r="DA218" s="922"/>
      <c r="DB218" s="922"/>
      <c r="DC218" s="922"/>
      <c r="DD218" s="922"/>
      <c r="DE218" s="922"/>
      <c r="DF218" s="922"/>
      <c r="DG218" s="922"/>
      <c r="DH218" s="922"/>
      <c r="DI218" s="922"/>
      <c r="DJ218" s="922"/>
      <c r="DK218" s="922"/>
      <c r="DL218" s="922"/>
      <c r="DM218" s="922"/>
      <c r="DN218" s="922"/>
      <c r="DO218" s="922"/>
      <c r="DP218" s="922"/>
      <c r="DQ218" s="922"/>
      <c r="DR218" s="922"/>
      <c r="DS218" s="922"/>
      <c r="DT218" s="922"/>
      <c r="DU218" s="922"/>
      <c r="DV218" s="922"/>
      <c r="DW218" s="922"/>
      <c r="DX218" s="922"/>
      <c r="DY218" s="922"/>
      <c r="DZ218" s="922"/>
      <c r="EA218" s="922"/>
      <c r="EB218" s="922"/>
      <c r="EC218" s="922"/>
      <c r="ED218" s="922"/>
      <c r="EE218" s="922"/>
      <c r="EF218" s="922"/>
      <c r="EG218" s="922"/>
      <c r="EH218" s="922"/>
      <c r="EI218" s="922"/>
      <c r="EJ218" s="922"/>
      <c r="EK218" s="922"/>
      <c r="EL218" s="922"/>
      <c r="EM218" s="922"/>
      <c r="EN218" s="922"/>
      <c r="EO218" s="922"/>
      <c r="EP218" s="922"/>
      <c r="EQ218" s="922"/>
      <c r="ER218" s="922"/>
      <c r="ES218" s="922"/>
      <c r="ET218" s="922"/>
      <c r="EU218" s="922"/>
      <c r="EV218" s="922"/>
      <c r="EW218" s="922"/>
      <c r="EX218" s="922"/>
      <c r="EY218" s="922"/>
      <c r="EZ218" s="922"/>
      <c r="FA218" s="922"/>
      <c r="FB218" s="922"/>
      <c r="FC218" s="922"/>
      <c r="FD218" s="922"/>
      <c r="FE218" s="922"/>
      <c r="FF218" s="922"/>
      <c r="FG218" s="922"/>
      <c r="FH218" s="922"/>
      <c r="FI218" s="922"/>
      <c r="FJ218" s="922"/>
      <c r="FK218" s="922"/>
      <c r="FL218" s="922"/>
      <c r="FM218" s="922"/>
      <c r="FN218" s="922"/>
      <c r="FO218" s="922"/>
      <c r="FP218" s="922"/>
      <c r="FQ218" s="922"/>
      <c r="FR218" s="922"/>
      <c r="FS218" s="922"/>
      <c r="FT218" s="922"/>
      <c r="FU218" s="922"/>
      <c r="FV218" s="922"/>
      <c r="FW218" s="922"/>
      <c r="FX218" s="922"/>
      <c r="FY218" s="922"/>
      <c r="FZ218" s="922"/>
      <c r="GA218" s="922"/>
      <c r="GB218" s="922"/>
      <c r="GC218" s="922"/>
      <c r="GD218" s="922"/>
      <c r="GE218" s="922"/>
      <c r="GF218" s="922"/>
      <c r="GG218" s="922"/>
      <c r="GH218" s="922"/>
      <c r="GI218" s="922"/>
      <c r="GJ218" s="922"/>
      <c r="GK218" s="922"/>
      <c r="GL218" s="922"/>
      <c r="GM218" s="922"/>
      <c r="GN218" s="922"/>
      <c r="GO218" s="922"/>
      <c r="GP218" s="922"/>
      <c r="GQ218" s="922"/>
      <c r="GR218" s="922"/>
      <c r="GS218" s="922"/>
      <c r="GT218" s="922"/>
      <c r="GU218" s="922"/>
      <c r="GV218" s="922"/>
      <c r="GW218" s="922"/>
      <c r="GX218" s="922"/>
      <c r="GY218" s="922"/>
      <c r="GZ218" s="922"/>
      <c r="HA218" s="922"/>
      <c r="HB218" s="922"/>
      <c r="HC218" s="922"/>
      <c r="HD218" s="922"/>
      <c r="HE218" s="922"/>
      <c r="HF218" s="922"/>
      <c r="HG218" s="922"/>
      <c r="HH218" s="922"/>
      <c r="HI218" s="922"/>
      <c r="HJ218" s="922"/>
      <c r="HK218" s="922"/>
      <c r="HL218" s="922"/>
      <c r="HM218" s="922"/>
      <c r="HN218" s="922"/>
      <c r="HO218" s="922"/>
      <c r="HP218" s="922"/>
      <c r="HQ218" s="922"/>
      <c r="HR218" s="922"/>
      <c r="HS218" s="922"/>
      <c r="HT218" s="922"/>
      <c r="HU218" s="922"/>
      <c r="HV218" s="922"/>
      <c r="HW218" s="922"/>
      <c r="HX218" s="922"/>
      <c r="HY218" s="922"/>
      <c r="HZ218" s="922"/>
      <c r="IA218" s="922"/>
      <c r="IB218" s="922"/>
      <c r="IC218" s="922"/>
      <c r="ID218" s="922"/>
      <c r="IE218" s="922"/>
      <c r="IF218" s="922"/>
      <c r="IG218" s="922"/>
      <c r="IH218" s="922"/>
      <c r="II218" s="922"/>
      <c r="IJ218" s="922"/>
      <c r="IK218" s="922"/>
      <c r="IL218" s="922"/>
      <c r="IM218" s="922"/>
      <c r="IN218" s="922"/>
      <c r="IO218" s="922"/>
      <c r="IP218" s="922"/>
      <c r="IQ218" s="922"/>
      <c r="IR218" s="922"/>
      <c r="IS218" s="922"/>
      <c r="IT218" s="922"/>
      <c r="IU218" s="922"/>
      <c r="IV218" s="922"/>
      <c r="IW218" s="922"/>
      <c r="IX218" s="922"/>
      <c r="IY218" s="922"/>
      <c r="IZ218" s="922"/>
      <c r="JA218" s="922"/>
      <c r="JB218" s="922"/>
      <c r="JC218" s="922"/>
      <c r="JD218" s="922"/>
      <c r="JE218" s="922"/>
      <c r="JF218" s="922"/>
      <c r="JG218" s="922"/>
      <c r="JH218" s="922"/>
      <c r="JI218" s="922"/>
      <c r="JJ218" s="922"/>
      <c r="JK218" s="922"/>
      <c r="JL218" s="922"/>
      <c r="JM218" s="922"/>
      <c r="JN218" s="922"/>
      <c r="JO218" s="922"/>
      <c r="JP218" s="922"/>
      <c r="JQ218" s="922"/>
      <c r="JR218" s="922"/>
      <c r="JS218" s="922"/>
      <c r="JT218" s="922"/>
      <c r="JU218" s="922"/>
      <c r="JV218" s="922"/>
      <c r="JW218" s="922"/>
      <c r="JX218" s="922"/>
      <c r="JY218" s="922"/>
      <c r="JZ218" s="922"/>
      <c r="KA218" s="922"/>
      <c r="KB218" s="922"/>
      <c r="KC218" s="922"/>
      <c r="KD218" s="922"/>
      <c r="KE218" s="922"/>
      <c r="KF218" s="922"/>
      <c r="KG218" s="922"/>
      <c r="KH218" s="922"/>
      <c r="KI218" s="922"/>
      <c r="KJ218" s="922"/>
      <c r="KK218" s="922"/>
      <c r="KL218" s="922"/>
      <c r="KM218" s="922"/>
      <c r="KN218" s="922"/>
      <c r="KO218" s="922"/>
      <c r="KP218" s="922"/>
      <c r="KQ218" s="922"/>
      <c r="KR218" s="922"/>
      <c r="KS218" s="922"/>
      <c r="KT218" s="922"/>
      <c r="KU218" s="922"/>
      <c r="KV218" s="922"/>
      <c r="KW218" s="922"/>
      <c r="KX218" s="922"/>
      <c r="KY218" s="922"/>
      <c r="KZ218" s="922"/>
      <c r="LA218" s="922"/>
      <c r="LB218" s="922"/>
      <c r="LC218" s="922"/>
      <c r="LD218" s="922"/>
      <c r="LE218" s="922"/>
      <c r="LF218" s="922"/>
      <c r="LG218" s="922"/>
      <c r="LH218" s="922"/>
      <c r="LI218" s="922"/>
      <c r="LJ218" s="922"/>
      <c r="LK218" s="922"/>
      <c r="LL218" s="922"/>
      <c r="LM218" s="922"/>
      <c r="LN218" s="922"/>
      <c r="LO218" s="922"/>
      <c r="LP218" s="922"/>
      <c r="LQ218" s="922"/>
      <c r="LR218" s="922"/>
      <c r="LS218" s="922"/>
      <c r="LT218" s="922"/>
      <c r="LU218" s="922"/>
      <c r="LV218" s="922"/>
      <c r="LW218" s="922"/>
      <c r="LX218" s="922"/>
      <c r="LY218" s="922"/>
      <c r="LZ218" s="922"/>
      <c r="MA218" s="922"/>
      <c r="MB218" s="922"/>
      <c r="MC218" s="922"/>
      <c r="MD218" s="922"/>
      <c r="ME218" s="922"/>
      <c r="MF218" s="922"/>
      <c r="MG218" s="922"/>
      <c r="MH218" s="922"/>
      <c r="MI218" s="922"/>
      <c r="MJ218" s="922"/>
      <c r="MK218" s="922"/>
      <c r="ML218" s="922"/>
      <c r="MM218" s="922"/>
      <c r="MN218" s="922"/>
      <c r="MO218" s="922"/>
      <c r="MP218" s="922"/>
      <c r="MQ218" s="922"/>
      <c r="MR218" s="922"/>
      <c r="MS218" s="922"/>
      <c r="MT218" s="922"/>
      <c r="MU218" s="922"/>
      <c r="MV218" s="922"/>
      <c r="MW218" s="922"/>
      <c r="MX218" s="922"/>
      <c r="MY218" s="922"/>
      <c r="MZ218" s="922"/>
      <c r="NA218" s="922"/>
      <c r="NB218" s="922"/>
      <c r="NC218" s="922"/>
      <c r="ND218" s="922"/>
      <c r="NE218" s="922"/>
      <c r="NF218" s="922"/>
      <c r="NG218" s="922"/>
      <c r="NH218" s="922"/>
      <c r="NI218" s="922"/>
      <c r="NJ218" s="922"/>
      <c r="NK218" s="922"/>
      <c r="NL218" s="922"/>
      <c r="NM218" s="922"/>
      <c r="NN218" s="922"/>
      <c r="NO218" s="922"/>
      <c r="NP218" s="922"/>
      <c r="NQ218" s="922"/>
      <c r="NR218" s="922"/>
      <c r="NS218" s="922"/>
      <c r="NT218" s="922"/>
      <c r="NU218" s="922"/>
      <c r="NV218" s="922"/>
      <c r="NW218" s="922"/>
      <c r="NX218" s="922"/>
      <c r="NY218" s="922"/>
      <c r="NZ218" s="922"/>
      <c r="OA218" s="922"/>
      <c r="OB218" s="922"/>
      <c r="OC218" s="922"/>
      <c r="OD218" s="922"/>
      <c r="OE218" s="922"/>
      <c r="OF218" s="922"/>
      <c r="OG218" s="922"/>
      <c r="OH218" s="922"/>
      <c r="OI218" s="922"/>
      <c r="OJ218" s="922"/>
      <c r="OK218" s="922"/>
      <c r="OL218" s="922"/>
      <c r="OM218" s="922"/>
      <c r="ON218" s="922"/>
      <c r="OO218" s="922"/>
      <c r="OP218" s="922"/>
      <c r="OQ218" s="922"/>
      <c r="OR218" s="922"/>
      <c r="OS218" s="922"/>
      <c r="OT218" s="922"/>
      <c r="OU218" s="922"/>
      <c r="OV218" s="922"/>
      <c r="OW218" s="922"/>
      <c r="OX218" s="922"/>
      <c r="OY218" s="922"/>
      <c r="OZ218" s="922"/>
      <c r="PA218" s="922"/>
      <c r="PB218" s="922"/>
      <c r="PC218" s="922"/>
      <c r="PD218" s="922"/>
      <c r="PE218" s="922"/>
      <c r="PF218" s="922"/>
      <c r="PG218" s="922"/>
      <c r="PH218" s="922"/>
      <c r="PI218" s="922"/>
      <c r="PJ218" s="922"/>
      <c r="PK218" s="922"/>
      <c r="PL218" s="922"/>
      <c r="PM218" s="922"/>
      <c r="PN218" s="922"/>
      <c r="PO218" s="922"/>
      <c r="PP218" s="922"/>
      <c r="PQ218" s="922"/>
      <c r="PR218" s="922"/>
      <c r="PS218" s="922"/>
      <c r="PT218" s="922"/>
      <c r="PU218" s="922"/>
      <c r="PV218" s="922"/>
      <c r="PW218" s="922"/>
      <c r="PX218" s="922"/>
      <c r="PY218" s="922"/>
      <c r="PZ218" s="922"/>
      <c r="QA218" s="922"/>
      <c r="QB218" s="922"/>
      <c r="QC218" s="922"/>
      <c r="QD218" s="922"/>
      <c r="QE218" s="922"/>
      <c r="QF218" s="922"/>
      <c r="QG218" s="922"/>
      <c r="QH218" s="922"/>
      <c r="QI218" s="922"/>
      <c r="QJ218" s="922"/>
      <c r="QK218" s="922"/>
      <c r="QL218" s="922"/>
      <c r="QM218" s="922"/>
      <c r="QN218" s="922"/>
      <c r="QO218" s="922"/>
      <c r="QP218" s="922"/>
      <c r="QQ218" s="922"/>
      <c r="QR218" s="922"/>
      <c r="QS218" s="922"/>
      <c r="QT218" s="922"/>
      <c r="QU218" s="922"/>
      <c r="QV218" s="922"/>
      <c r="QW218" s="922"/>
      <c r="QX218" s="922"/>
      <c r="QY218" s="922"/>
      <c r="QZ218" s="922"/>
      <c r="RA218" s="922"/>
      <c r="RB218" s="922"/>
      <c r="RC218" s="922"/>
      <c r="RD218" s="922"/>
      <c r="RE218" s="922"/>
      <c r="RF218" s="922"/>
      <c r="RG218" s="922"/>
      <c r="RH218" s="922"/>
      <c r="RI218" s="922"/>
      <c r="RJ218" s="922"/>
      <c r="RK218" s="922"/>
      <c r="RL218" s="922"/>
      <c r="RM218" s="922"/>
      <c r="RN218" s="922"/>
      <c r="RO218" s="922"/>
      <c r="RP218" s="922"/>
      <c r="RQ218" s="922"/>
      <c r="RR218" s="922"/>
      <c r="RS218" s="922"/>
      <c r="RT218" s="922"/>
      <c r="RU218" s="922"/>
      <c r="RV218" s="922"/>
      <c r="RW218" s="922"/>
      <c r="RX218" s="922"/>
      <c r="RY218" s="922"/>
      <c r="RZ218" s="922"/>
      <c r="SA218" s="922"/>
      <c r="SB218" s="922"/>
      <c r="SC218" s="922"/>
      <c r="SD218" s="922"/>
      <c r="SE218" s="922"/>
      <c r="SF218" s="922"/>
      <c r="SG218" s="922"/>
      <c r="SH218" s="922"/>
      <c r="SI218" s="922"/>
      <c r="SJ218" s="922"/>
      <c r="SK218" s="922"/>
      <c r="SL218" s="922"/>
      <c r="SM218" s="922"/>
      <c r="SN218" s="922"/>
      <c r="SO218" s="922"/>
      <c r="SP218" s="922"/>
      <c r="SQ218" s="922"/>
      <c r="SR218" s="922"/>
      <c r="SS218" s="922"/>
      <c r="ST218" s="922"/>
      <c r="SU218" s="922"/>
      <c r="SV218" s="922"/>
      <c r="SW218" s="922"/>
      <c r="SX218" s="922"/>
      <c r="SY218" s="922"/>
      <c r="SZ218" s="922"/>
      <c r="TA218" s="922"/>
      <c r="TB218" s="922"/>
      <c r="TC218" s="922"/>
      <c r="TD218" s="922"/>
      <c r="TE218" s="922"/>
      <c r="TF218" s="922"/>
      <c r="TG218" s="922"/>
      <c r="TH218" s="922"/>
      <c r="TI218" s="922"/>
      <c r="TJ218" s="922"/>
      <c r="TK218" s="922"/>
      <c r="TL218" s="922"/>
      <c r="TM218" s="922"/>
      <c r="TN218" s="922"/>
      <c r="TO218" s="922"/>
      <c r="TP218" s="922"/>
      <c r="TQ218" s="922"/>
      <c r="TR218" s="922"/>
      <c r="TS218" s="922"/>
      <c r="TT218" s="922"/>
      <c r="TU218" s="922"/>
      <c r="TV218" s="922"/>
      <c r="TW218" s="922"/>
      <c r="TX218" s="922"/>
      <c r="TY218" s="922"/>
      <c r="TZ218" s="922"/>
      <c r="UA218" s="922"/>
      <c r="UB218" s="922"/>
      <c r="UC218" s="922"/>
      <c r="UD218" s="922"/>
      <c r="UE218" s="922"/>
      <c r="UF218" s="922"/>
      <c r="UG218" s="922"/>
      <c r="UH218" s="922"/>
      <c r="UI218" s="922"/>
      <c r="UJ218" s="922"/>
      <c r="UK218" s="922"/>
      <c r="UL218" s="922"/>
      <c r="UM218" s="922"/>
      <c r="UN218" s="922"/>
      <c r="UO218" s="922"/>
      <c r="UP218" s="922"/>
      <c r="UQ218" s="922"/>
      <c r="UR218" s="922"/>
      <c r="US218" s="922"/>
      <c r="UT218" s="922"/>
      <c r="UU218" s="922"/>
      <c r="UV218" s="922"/>
      <c r="UW218" s="922"/>
      <c r="UX218" s="922"/>
      <c r="UY218" s="922"/>
      <c r="UZ218" s="922"/>
      <c r="VA218" s="922"/>
      <c r="VB218" s="922"/>
      <c r="VC218" s="922"/>
      <c r="VD218" s="922"/>
      <c r="VE218" s="922"/>
      <c r="VF218" s="922"/>
      <c r="VG218" s="922"/>
      <c r="VH218" s="922"/>
      <c r="VI218" s="922"/>
      <c r="VJ218" s="922"/>
      <c r="VK218" s="922"/>
      <c r="VL218" s="922"/>
      <c r="VM218" s="922"/>
      <c r="VN218" s="922"/>
      <c r="VO218" s="922"/>
      <c r="VP218" s="922"/>
      <c r="VQ218" s="922"/>
      <c r="VR218" s="922"/>
      <c r="VS218" s="922"/>
      <c r="VT218" s="922"/>
      <c r="VU218" s="922"/>
      <c r="VV218" s="922"/>
      <c r="VW218" s="922"/>
      <c r="VX218" s="922"/>
      <c r="VY218" s="922"/>
      <c r="VZ218" s="922"/>
      <c r="WA218" s="922"/>
      <c r="WB218" s="922"/>
      <c r="WC218" s="922"/>
      <c r="WD218" s="922"/>
      <c r="WE218" s="922"/>
      <c r="WF218" s="922"/>
      <c r="WG218" s="922"/>
      <c r="WH218" s="922"/>
      <c r="WI218" s="922"/>
      <c r="WJ218" s="922"/>
      <c r="WK218" s="922"/>
      <c r="WL218" s="922"/>
      <c r="WM218" s="922"/>
      <c r="WN218" s="922"/>
      <c r="WO218" s="922"/>
      <c r="WP218" s="922"/>
      <c r="WQ218" s="922"/>
      <c r="WR218" s="922"/>
      <c r="WS218" s="922"/>
      <c r="WT218" s="922"/>
      <c r="WU218" s="922"/>
      <c r="WV218" s="922"/>
      <c r="WW218" s="922"/>
      <c r="WX218" s="922"/>
      <c r="WY218" s="922"/>
      <c r="WZ218" s="922"/>
      <c r="XA218" s="922"/>
      <c r="XB218" s="922"/>
      <c r="XC218" s="922"/>
      <c r="XD218" s="922"/>
      <c r="XE218" s="922"/>
      <c r="XF218" s="922"/>
      <c r="XG218" s="922"/>
      <c r="XH218" s="922"/>
      <c r="XI218" s="922"/>
      <c r="XJ218" s="922"/>
      <c r="XK218" s="922"/>
      <c r="XL218" s="922"/>
      <c r="XM218" s="922"/>
      <c r="XN218" s="922"/>
      <c r="XO218" s="922"/>
      <c r="XP218" s="922"/>
      <c r="XQ218" s="922"/>
      <c r="XR218" s="922"/>
      <c r="XS218" s="922"/>
      <c r="XT218" s="922"/>
      <c r="XU218" s="922"/>
      <c r="XV218" s="922"/>
      <c r="XW218" s="922"/>
      <c r="XX218" s="922"/>
      <c r="XY218" s="922"/>
      <c r="XZ218" s="922"/>
      <c r="YA218" s="922"/>
      <c r="YB218" s="922"/>
      <c r="YC218" s="922"/>
      <c r="YD218" s="922"/>
      <c r="YE218" s="922"/>
      <c r="YF218" s="922"/>
      <c r="YG218" s="922"/>
      <c r="YH218" s="922"/>
      <c r="YI218" s="922"/>
      <c r="YJ218" s="922"/>
      <c r="YK218" s="922"/>
      <c r="YL218" s="922"/>
      <c r="YM218" s="922"/>
      <c r="YN218" s="922"/>
      <c r="YO218" s="922"/>
      <c r="YP218" s="922"/>
      <c r="YQ218" s="922"/>
      <c r="YR218" s="922"/>
      <c r="YS218" s="922"/>
      <c r="YT218" s="922"/>
      <c r="YU218" s="922"/>
      <c r="YV218" s="922"/>
      <c r="YW218" s="922"/>
      <c r="YX218" s="922"/>
      <c r="YY218" s="922"/>
      <c r="YZ218" s="922"/>
      <c r="ZA218" s="922"/>
      <c r="ZB218" s="922"/>
      <c r="ZC218" s="922"/>
      <c r="ZD218" s="922"/>
      <c r="ZE218" s="922"/>
      <c r="ZF218" s="922"/>
      <c r="ZG218" s="922"/>
      <c r="ZH218" s="922"/>
      <c r="ZI218" s="922"/>
      <c r="ZJ218" s="922"/>
      <c r="ZK218" s="922"/>
      <c r="ZL218" s="922"/>
      <c r="ZM218" s="922"/>
      <c r="ZN218" s="922"/>
      <c r="ZO218" s="922"/>
      <c r="ZP218" s="922"/>
      <c r="ZQ218" s="922"/>
      <c r="ZR218" s="922"/>
      <c r="ZS218" s="922"/>
      <c r="ZT218" s="922"/>
      <c r="ZU218" s="922"/>
      <c r="ZV218" s="922"/>
      <c r="ZW218" s="922"/>
      <c r="ZX218" s="922"/>
      <c r="ZY218" s="922"/>
      <c r="ZZ218" s="922"/>
      <c r="AAA218" s="922"/>
      <c r="AAB218" s="922"/>
      <c r="AAC218" s="922"/>
      <c r="AAD218" s="922"/>
      <c r="AAE218" s="922"/>
      <c r="AAF218" s="922"/>
      <c r="AAG218" s="922"/>
      <c r="AAH218" s="922"/>
      <c r="AAI218" s="922"/>
      <c r="AAJ218" s="922"/>
      <c r="AAK218" s="922"/>
      <c r="AAL218" s="922"/>
      <c r="AAM218" s="922"/>
      <c r="AAN218" s="922"/>
      <c r="AAO218" s="922"/>
      <c r="AAP218" s="922"/>
      <c r="AAQ218" s="922"/>
      <c r="AAR218" s="922"/>
      <c r="AAS218" s="922"/>
      <c r="AAT218" s="922"/>
      <c r="AAU218" s="922"/>
      <c r="AAV218" s="922"/>
      <c r="AAW218" s="922"/>
      <c r="AAX218" s="922"/>
      <c r="AAY218" s="922"/>
      <c r="AAZ218" s="922"/>
      <c r="ABA218" s="922"/>
      <c r="ABB218" s="922"/>
      <c r="ABC218" s="922"/>
      <c r="ABD218" s="922"/>
      <c r="ABE218" s="922"/>
      <c r="ABF218" s="922"/>
      <c r="ABG218" s="922"/>
      <c r="ABH218" s="922"/>
      <c r="ABI218" s="922"/>
      <c r="ABJ218" s="922"/>
      <c r="ABK218" s="922"/>
      <c r="ABL218" s="922"/>
      <c r="ABM218" s="922"/>
      <c r="ABN218" s="922"/>
      <c r="ABO218" s="922"/>
      <c r="ABP218" s="922"/>
      <c r="ABQ218" s="922"/>
      <c r="ABR218" s="922"/>
      <c r="ABS218" s="922"/>
      <c r="ABT218" s="922"/>
      <c r="ABU218" s="922"/>
      <c r="ABV218" s="922"/>
      <c r="ABW218" s="922"/>
      <c r="ABX218" s="922"/>
      <c r="ABY218" s="922"/>
      <c r="ABZ218" s="922"/>
      <c r="ACA218" s="922"/>
      <c r="ACB218" s="922"/>
      <c r="ACC218" s="922"/>
      <c r="ACD218" s="922"/>
      <c r="ACE218" s="922"/>
      <c r="ACF218" s="922"/>
      <c r="ACG218" s="922"/>
      <c r="ACH218" s="922"/>
      <c r="ACI218" s="922"/>
      <c r="ACJ218" s="922"/>
      <c r="ACK218" s="922"/>
      <c r="ACL218" s="922"/>
      <c r="ACM218" s="922"/>
      <c r="ACN218" s="922"/>
      <c r="ACO218" s="922"/>
      <c r="ACP218" s="922"/>
      <c r="ACQ218" s="922"/>
      <c r="ACR218" s="922"/>
      <c r="ACS218" s="922"/>
      <c r="ACT218" s="922"/>
      <c r="ACU218" s="922"/>
      <c r="ACV218" s="922"/>
      <c r="ACW218" s="922"/>
      <c r="ACX218" s="922"/>
      <c r="ACY218" s="922"/>
      <c r="ACZ218" s="922"/>
      <c r="ADA218" s="922"/>
      <c r="ADB218" s="922"/>
      <c r="ADC218" s="922"/>
      <c r="ADD218" s="922"/>
      <c r="ADE218" s="922"/>
      <c r="ADF218" s="922"/>
      <c r="ADG218" s="922"/>
      <c r="ADH218" s="922"/>
      <c r="ADI218" s="922"/>
      <c r="ADJ218" s="922"/>
      <c r="ADK218" s="922"/>
      <c r="ADL218" s="922"/>
      <c r="ADM218" s="922"/>
      <c r="ADN218" s="922"/>
      <c r="ADO218" s="922"/>
      <c r="ADP218" s="922"/>
      <c r="ADQ218" s="922"/>
      <c r="ADR218" s="922"/>
      <c r="ADS218" s="922"/>
      <c r="ADT218" s="922"/>
      <c r="ADU218" s="922"/>
      <c r="ADV218" s="922"/>
      <c r="ADW218" s="922"/>
      <c r="ADX218" s="922"/>
      <c r="ADY218" s="922"/>
      <c r="ADZ218" s="922"/>
      <c r="AEA218" s="922"/>
      <c r="AEB218" s="922"/>
      <c r="AEC218" s="922"/>
      <c r="AED218" s="922"/>
      <c r="AEE218" s="922"/>
      <c r="AEF218" s="922"/>
      <c r="AEG218" s="922"/>
      <c r="AEH218" s="922"/>
      <c r="AEI218" s="922"/>
      <c r="AEJ218" s="922"/>
      <c r="AEK218" s="922"/>
      <c r="AEL218" s="922"/>
      <c r="AEM218" s="922"/>
      <c r="AEN218" s="922"/>
      <c r="AEO218" s="922"/>
      <c r="AEP218" s="922"/>
      <c r="AEQ218" s="922"/>
      <c r="AER218" s="922"/>
      <c r="AES218" s="922"/>
      <c r="AET218" s="922"/>
      <c r="AEU218" s="922"/>
      <c r="AEV218" s="922"/>
      <c r="AEW218" s="922"/>
      <c r="AEX218" s="922"/>
      <c r="AEY218" s="922"/>
      <c r="AEZ218" s="922"/>
      <c r="AFA218" s="922"/>
      <c r="AFB218" s="922"/>
      <c r="AFC218" s="922"/>
      <c r="AFD218" s="922"/>
      <c r="AFE218" s="922"/>
      <c r="AFF218" s="922"/>
      <c r="AFG218" s="922"/>
      <c r="AFH218" s="922"/>
      <c r="AFI218" s="922"/>
      <c r="AFJ218" s="922"/>
      <c r="AFK218" s="922"/>
      <c r="AFL218" s="922"/>
      <c r="AFM218" s="922"/>
      <c r="AFN218" s="922"/>
      <c r="AFO218" s="922"/>
      <c r="AFP218" s="922"/>
      <c r="AFQ218" s="922"/>
      <c r="AFR218" s="922"/>
      <c r="AFS218" s="922"/>
      <c r="AFT218" s="922"/>
      <c r="AFU218" s="922"/>
      <c r="AFV218" s="922"/>
      <c r="AFW218" s="922"/>
      <c r="AFX218" s="922"/>
      <c r="AFY218" s="922"/>
      <c r="AFZ218" s="922"/>
      <c r="AGA218" s="922"/>
      <c r="AGB218" s="922"/>
      <c r="AGC218" s="922"/>
      <c r="AGD218" s="922"/>
      <c r="AGE218" s="922"/>
      <c r="AGF218" s="922"/>
      <c r="AGG218" s="922"/>
      <c r="AGH218" s="922"/>
      <c r="AGI218" s="922"/>
      <c r="AGJ218" s="922"/>
      <c r="AGK218" s="922"/>
      <c r="AGL218" s="922"/>
      <c r="AGM218" s="922"/>
      <c r="AGN218" s="922"/>
      <c r="AGO218" s="922"/>
      <c r="AGP218" s="922"/>
      <c r="AGQ218" s="922"/>
      <c r="AGR218" s="922"/>
      <c r="AGS218" s="922"/>
      <c r="AGT218" s="922"/>
      <c r="AGU218" s="922"/>
      <c r="AGV218" s="922"/>
      <c r="AGW218" s="922"/>
      <c r="AGX218" s="922"/>
      <c r="AGY218" s="922"/>
      <c r="AGZ218" s="922"/>
      <c r="AHA218" s="922"/>
      <c r="AHB218" s="922"/>
      <c r="AHC218" s="922"/>
      <c r="AHD218" s="922"/>
      <c r="AHE218" s="922"/>
      <c r="AHF218" s="922"/>
      <c r="AHG218" s="922"/>
      <c r="AHH218" s="922"/>
      <c r="AHI218" s="922"/>
      <c r="AHJ218" s="922"/>
      <c r="AHK218" s="922"/>
      <c r="AHL218" s="922"/>
      <c r="AHM218" s="922"/>
      <c r="AHN218" s="922"/>
      <c r="AHO218" s="922"/>
      <c r="AHP218" s="922"/>
      <c r="AHQ218" s="922"/>
      <c r="AHR218" s="922"/>
      <c r="AHS218" s="922"/>
      <c r="AHT218" s="922"/>
      <c r="AHU218" s="922"/>
      <c r="AHV218" s="922"/>
      <c r="AHW218" s="922"/>
      <c r="AHX218" s="922"/>
      <c r="AHY218" s="922"/>
      <c r="AHZ218" s="922"/>
      <c r="AIA218" s="922"/>
      <c r="AIB218" s="922"/>
      <c r="AIC218" s="922"/>
      <c r="AID218" s="922"/>
      <c r="AIE218" s="922"/>
      <c r="AIF218" s="922"/>
      <c r="AIG218" s="922"/>
      <c r="AIH218" s="922"/>
      <c r="AII218" s="922"/>
      <c r="AIJ218" s="922"/>
      <c r="AIK218" s="922"/>
      <c r="AIL218" s="922"/>
      <c r="AIM218" s="922"/>
      <c r="AIN218" s="922"/>
      <c r="AIO218" s="922"/>
      <c r="AIP218" s="922"/>
      <c r="AIQ218" s="922"/>
      <c r="AIR218" s="922"/>
      <c r="AIS218" s="922"/>
      <c r="AIT218" s="922"/>
      <c r="AIU218" s="922"/>
      <c r="AIV218" s="922"/>
      <c r="AIW218" s="922"/>
      <c r="AIX218" s="922"/>
      <c r="AIY218" s="922"/>
      <c r="AIZ218" s="922"/>
      <c r="AJA218" s="922"/>
      <c r="AJB218" s="922"/>
      <c r="AJC218" s="922"/>
      <c r="AJD218" s="922"/>
      <c r="AJE218" s="922"/>
      <c r="AJF218" s="922"/>
      <c r="AJG218" s="922"/>
      <c r="AJH218" s="922"/>
      <c r="AJI218" s="922"/>
      <c r="AJJ218" s="922"/>
      <c r="AJK218" s="922"/>
      <c r="AJL218" s="922"/>
      <c r="AJM218" s="922"/>
      <c r="AJN218" s="922"/>
      <c r="AJO218" s="922"/>
      <c r="AJP218" s="922"/>
      <c r="AJQ218" s="922"/>
      <c r="AJR218" s="922"/>
      <c r="AJS218" s="922"/>
      <c r="AJT218" s="922"/>
      <c r="AJU218" s="922"/>
      <c r="AJV218" s="922"/>
      <c r="AJW218" s="922"/>
      <c r="AJX218" s="922"/>
      <c r="AJY218" s="922"/>
      <c r="AJZ218" s="922"/>
      <c r="AKA218" s="922"/>
      <c r="AKB218" s="922"/>
      <c r="AKC218" s="922"/>
      <c r="AKD218" s="922"/>
      <c r="AKE218" s="922"/>
      <c r="AKF218" s="922"/>
      <c r="AKG218" s="922"/>
      <c r="AKH218" s="922"/>
      <c r="AKI218" s="922"/>
      <c r="AKJ218" s="922"/>
      <c r="AKK218" s="922"/>
      <c r="AKL218" s="922"/>
      <c r="AKM218" s="922"/>
      <c r="AKN218" s="922"/>
      <c r="AKO218" s="922"/>
      <c r="AKP218" s="922"/>
      <c r="AKQ218" s="922"/>
      <c r="AKR218" s="922"/>
      <c r="AKS218" s="922"/>
      <c r="AKT218" s="922"/>
      <c r="AKU218" s="922"/>
      <c r="AKV218" s="922"/>
      <c r="AKW218" s="922"/>
      <c r="AKX218" s="922"/>
      <c r="AKY218" s="922"/>
      <c r="AKZ218" s="922"/>
      <c r="ALA218" s="922"/>
      <c r="ALB218" s="922"/>
      <c r="ALC218" s="922"/>
      <c r="ALD218" s="922"/>
      <c r="ALE218" s="922"/>
      <c r="ALF218" s="922"/>
      <c r="ALG218" s="922"/>
      <c r="ALH218" s="922"/>
      <c r="ALI218" s="922"/>
      <c r="ALJ218" s="922"/>
      <c r="ALK218" s="922"/>
      <c r="ALL218" s="922"/>
      <c r="ALM218" s="922"/>
      <c r="ALN218" s="922"/>
      <c r="ALO218" s="922"/>
      <c r="ALP218" s="922"/>
      <c r="ALQ218" s="922"/>
      <c r="ALR218" s="922"/>
      <c r="ALS218" s="922"/>
      <c r="ALT218" s="922"/>
      <c r="ALU218" s="922"/>
      <c r="ALV218" s="922"/>
      <c r="ALW218" s="922"/>
      <c r="ALX218" s="922"/>
      <c r="ALY218" s="922"/>
      <c r="ALZ218" s="922"/>
      <c r="AMA218" s="922"/>
      <c r="AMB218" s="922"/>
      <c r="AMC218" s="922"/>
      <c r="AMD218" s="922"/>
      <c r="AME218" s="922"/>
      <c r="AMF218" s="922"/>
      <c r="AMG218" s="922"/>
      <c r="AMH218" s="922"/>
      <c r="AMI218" s="922"/>
      <c r="AMJ218" s="922"/>
      <c r="AMK218" s="922"/>
      <c r="AML218" s="922"/>
      <c r="AMM218" s="922"/>
      <c r="AMN218" s="922"/>
      <c r="AMO218" s="922"/>
      <c r="AMP218" s="922"/>
      <c r="AMQ218" s="922"/>
      <c r="AMR218" s="922"/>
      <c r="AMS218" s="922"/>
      <c r="AMT218" s="922"/>
      <c r="AMU218" s="922"/>
      <c r="AMV218" s="922"/>
      <c r="AMW218" s="922"/>
      <c r="AMX218" s="922"/>
      <c r="AMY218" s="922"/>
      <c r="AMZ218" s="922"/>
      <c r="ANA218" s="922"/>
      <c r="ANB218" s="922"/>
      <c r="ANC218" s="922"/>
      <c r="AND218" s="922"/>
      <c r="ANE218" s="922"/>
      <c r="ANF218" s="922"/>
      <c r="ANG218" s="922"/>
      <c r="ANH218" s="922"/>
      <c r="ANI218" s="922"/>
      <c r="ANJ218" s="922"/>
      <c r="ANK218" s="922"/>
      <c r="ANL218" s="922"/>
      <c r="ANM218" s="922"/>
      <c r="ANN218" s="922"/>
      <c r="ANO218" s="922"/>
      <c r="ANP218" s="922"/>
      <c r="ANQ218" s="922"/>
      <c r="ANR218" s="922"/>
      <c r="ANS218" s="922"/>
      <c r="ANT218" s="922"/>
      <c r="ANU218" s="922"/>
      <c r="ANV218" s="922"/>
      <c r="ANW218" s="922"/>
      <c r="ANX218" s="922"/>
      <c r="ANY218" s="922"/>
      <c r="ANZ218" s="922"/>
      <c r="AOA218" s="922"/>
      <c r="AOB218" s="922"/>
      <c r="AOC218" s="922"/>
      <c r="AOD218" s="922"/>
      <c r="AOE218" s="922"/>
      <c r="AOF218" s="922"/>
      <c r="AOG218" s="922"/>
      <c r="AOH218" s="922"/>
      <c r="AOI218" s="922"/>
      <c r="AOJ218" s="922"/>
      <c r="AOK218" s="922"/>
      <c r="AOL218" s="922"/>
      <c r="AOM218" s="922"/>
      <c r="AON218" s="922"/>
      <c r="AOO218" s="922"/>
      <c r="AOP218" s="922"/>
      <c r="AOQ218" s="922"/>
      <c r="AOR218" s="922"/>
      <c r="AOS218" s="922"/>
      <c r="AOT218" s="922"/>
      <c r="AOU218" s="922"/>
      <c r="AOV218" s="922"/>
      <c r="AOW218" s="922"/>
      <c r="AOX218" s="922"/>
      <c r="AOY218" s="922"/>
      <c r="AOZ218" s="922"/>
      <c r="APA218" s="922"/>
      <c r="APB218" s="922"/>
      <c r="APC218" s="922"/>
      <c r="APD218" s="922"/>
      <c r="APE218" s="922"/>
      <c r="APF218" s="922"/>
      <c r="APG218" s="922"/>
      <c r="APH218" s="922"/>
      <c r="API218" s="922"/>
      <c r="APJ218" s="922"/>
      <c r="APK218" s="922"/>
      <c r="APL218" s="922"/>
      <c r="APM218" s="922"/>
      <c r="APN218" s="922"/>
      <c r="APO218" s="922"/>
      <c r="APP218" s="922"/>
      <c r="APQ218" s="922"/>
      <c r="APR218" s="922"/>
      <c r="APS218" s="922"/>
      <c r="APT218" s="922"/>
      <c r="APU218" s="922"/>
      <c r="APV218" s="922"/>
      <c r="APW218" s="922"/>
      <c r="APX218" s="922"/>
      <c r="APY218" s="922"/>
      <c r="APZ218" s="922"/>
      <c r="AQA218" s="922"/>
      <c r="AQB218" s="922"/>
      <c r="AQC218" s="922"/>
      <c r="AQD218" s="922"/>
      <c r="AQE218" s="922"/>
      <c r="AQF218" s="922"/>
      <c r="AQG218" s="922"/>
      <c r="AQH218" s="922"/>
      <c r="AQI218" s="922"/>
      <c r="AQJ218" s="922"/>
      <c r="AQK218" s="922"/>
      <c r="AQL218" s="922"/>
      <c r="AQM218" s="922"/>
      <c r="AQN218" s="922"/>
      <c r="AQO218" s="922"/>
      <c r="AQP218" s="922"/>
      <c r="AQQ218" s="922"/>
      <c r="AQR218" s="922"/>
      <c r="AQS218" s="922"/>
      <c r="AQT218" s="922"/>
      <c r="AQU218" s="922"/>
      <c r="AQV218" s="922"/>
      <c r="AQW218" s="922"/>
      <c r="AQX218" s="922"/>
      <c r="AQY218" s="922"/>
      <c r="AQZ218" s="922"/>
      <c r="ARA218" s="922"/>
      <c r="ARB218" s="922"/>
      <c r="ARC218" s="922"/>
      <c r="ARD218" s="922"/>
      <c r="ARE218" s="922"/>
      <c r="ARF218" s="922"/>
      <c r="ARG218" s="922"/>
      <c r="ARH218" s="922"/>
      <c r="ARI218" s="922"/>
      <c r="ARJ218" s="922"/>
      <c r="ARK218" s="922"/>
      <c r="ARL218" s="922"/>
      <c r="ARM218" s="922"/>
      <c r="ARN218" s="922"/>
      <c r="ARO218" s="922"/>
      <c r="ARP218" s="922"/>
      <c r="ARQ218" s="922"/>
      <c r="ARR218" s="922"/>
      <c r="ARS218" s="922"/>
      <c r="ART218" s="922"/>
      <c r="ARU218" s="922"/>
      <c r="ARV218" s="922"/>
      <c r="ARW218" s="922"/>
      <c r="ARX218" s="922"/>
      <c r="ARY218" s="922"/>
      <c r="ARZ218" s="922"/>
      <c r="ASA218" s="922"/>
      <c r="ASB218" s="922"/>
      <c r="ASC218" s="922"/>
    </row>
    <row r="219" spans="20:1173" hidden="1">
      <c r="T219" s="922"/>
      <c r="AN219" s="922"/>
      <c r="AO219" s="922"/>
      <c r="AP219" s="922"/>
      <c r="AQ219" s="922"/>
      <c r="AR219" s="922"/>
      <c r="AS219" s="922"/>
      <c r="AT219" s="922"/>
      <c r="AU219" s="922"/>
      <c r="AV219" s="922"/>
      <c r="AW219" s="922"/>
      <c r="AX219" s="922"/>
      <c r="AY219" s="922"/>
      <c r="AZ219" s="922"/>
      <c r="BA219" s="922"/>
      <c r="BB219" s="922"/>
      <c r="BC219" s="922"/>
      <c r="BD219" s="922"/>
      <c r="BE219" s="922"/>
      <c r="BF219" s="922"/>
      <c r="BG219" s="922"/>
      <c r="BH219" s="922"/>
      <c r="BI219" s="922"/>
      <c r="BJ219" s="922"/>
      <c r="BK219" s="922"/>
      <c r="BL219" s="922"/>
      <c r="BM219" s="922"/>
      <c r="BN219" s="922"/>
      <c r="BO219" s="922"/>
      <c r="BP219" s="922"/>
      <c r="BQ219" s="922"/>
      <c r="BR219" s="922"/>
      <c r="BS219" s="922"/>
      <c r="BT219" s="922"/>
      <c r="BU219" s="922"/>
      <c r="BV219" s="922"/>
      <c r="BW219" s="922"/>
      <c r="BX219" s="922"/>
      <c r="BY219" s="922"/>
      <c r="BZ219" s="922"/>
      <c r="CA219" s="922"/>
      <c r="CB219" s="922"/>
      <c r="CC219" s="922"/>
      <c r="CD219" s="922"/>
      <c r="CE219" s="922"/>
      <c r="CF219" s="922"/>
      <c r="CG219" s="922"/>
      <c r="CH219" s="922"/>
      <c r="CI219" s="922"/>
      <c r="CJ219" s="922"/>
      <c r="CK219" s="922"/>
      <c r="CL219" s="922"/>
      <c r="CM219" s="922"/>
      <c r="CN219" s="922"/>
      <c r="CO219" s="922"/>
      <c r="CP219" s="922"/>
      <c r="CQ219" s="922"/>
      <c r="CR219" s="922"/>
      <c r="CS219" s="922"/>
      <c r="CT219" s="922"/>
      <c r="CU219" s="922"/>
      <c r="CV219" s="922"/>
      <c r="CW219" s="922"/>
      <c r="CX219" s="922"/>
      <c r="CY219" s="922"/>
      <c r="CZ219" s="922"/>
      <c r="DA219" s="922"/>
      <c r="DB219" s="922"/>
      <c r="DC219" s="922"/>
      <c r="DD219" s="922"/>
      <c r="DE219" s="922"/>
      <c r="DF219" s="922"/>
      <c r="DG219" s="922"/>
      <c r="DH219" s="922"/>
      <c r="DI219" s="922"/>
      <c r="DJ219" s="922"/>
      <c r="DK219" s="922"/>
      <c r="DL219" s="922"/>
      <c r="DM219" s="922"/>
      <c r="DN219" s="922"/>
      <c r="DO219" s="922"/>
      <c r="DP219" s="922"/>
      <c r="DQ219" s="922"/>
      <c r="DR219" s="922"/>
      <c r="DS219" s="922"/>
      <c r="DT219" s="922"/>
      <c r="DU219" s="922"/>
      <c r="DV219" s="922"/>
      <c r="DW219" s="922"/>
      <c r="DX219" s="922"/>
      <c r="DY219" s="922"/>
      <c r="DZ219" s="922"/>
      <c r="EA219" s="922"/>
      <c r="EB219" s="922"/>
      <c r="EC219" s="922"/>
      <c r="ED219" s="922"/>
      <c r="EE219" s="922"/>
      <c r="EF219" s="922"/>
      <c r="EG219" s="922"/>
      <c r="EH219" s="922"/>
      <c r="EI219" s="922"/>
      <c r="EJ219" s="922"/>
      <c r="EK219" s="922"/>
      <c r="EL219" s="922"/>
      <c r="EM219" s="922"/>
      <c r="EN219" s="922"/>
      <c r="EO219" s="922"/>
      <c r="EP219" s="922"/>
      <c r="EQ219" s="922"/>
      <c r="ER219" s="922"/>
      <c r="ES219" s="922"/>
      <c r="ET219" s="922"/>
      <c r="EU219" s="922"/>
      <c r="EV219" s="922"/>
      <c r="EW219" s="922"/>
      <c r="EX219" s="922"/>
      <c r="EY219" s="922"/>
      <c r="EZ219" s="922"/>
      <c r="FA219" s="922"/>
      <c r="FB219" s="922"/>
      <c r="FC219" s="922"/>
      <c r="FD219" s="922"/>
      <c r="FE219" s="922"/>
      <c r="FF219" s="922"/>
      <c r="FG219" s="922"/>
      <c r="FH219" s="922"/>
      <c r="FI219" s="922"/>
      <c r="FJ219" s="922"/>
      <c r="FK219" s="922"/>
      <c r="FL219" s="922"/>
      <c r="FM219" s="922"/>
      <c r="FN219" s="922"/>
      <c r="FO219" s="922"/>
      <c r="FP219" s="922"/>
      <c r="FQ219" s="922"/>
      <c r="FR219" s="922"/>
      <c r="FS219" s="922"/>
      <c r="FT219" s="922"/>
      <c r="FU219" s="922"/>
      <c r="FV219" s="922"/>
      <c r="FW219" s="922"/>
      <c r="FX219" s="922"/>
      <c r="FY219" s="922"/>
      <c r="FZ219" s="922"/>
      <c r="GA219" s="922"/>
      <c r="GB219" s="922"/>
      <c r="GC219" s="922"/>
      <c r="GD219" s="922"/>
      <c r="GE219" s="922"/>
      <c r="GF219" s="922"/>
      <c r="GG219" s="922"/>
      <c r="GH219" s="922"/>
      <c r="GI219" s="922"/>
      <c r="GJ219" s="922"/>
      <c r="GK219" s="922"/>
      <c r="GL219" s="922"/>
      <c r="GM219" s="922"/>
      <c r="GN219" s="922"/>
      <c r="GO219" s="922"/>
      <c r="GP219" s="922"/>
      <c r="GQ219" s="922"/>
      <c r="GR219" s="922"/>
      <c r="GS219" s="922"/>
      <c r="GT219" s="922"/>
      <c r="GU219" s="922"/>
      <c r="GV219" s="922"/>
      <c r="GW219" s="922"/>
      <c r="GX219" s="922"/>
      <c r="GY219" s="922"/>
      <c r="GZ219" s="922"/>
      <c r="HA219" s="922"/>
      <c r="HB219" s="922"/>
      <c r="HC219" s="922"/>
      <c r="HD219" s="922"/>
      <c r="HE219" s="922"/>
      <c r="HF219" s="922"/>
      <c r="HG219" s="922"/>
      <c r="HH219" s="922"/>
      <c r="HI219" s="922"/>
      <c r="HJ219" s="922"/>
      <c r="HK219" s="922"/>
      <c r="HL219" s="922"/>
      <c r="HM219" s="922"/>
      <c r="HN219" s="922"/>
      <c r="HO219" s="922"/>
      <c r="HP219" s="922"/>
      <c r="HQ219" s="922"/>
      <c r="HR219" s="922"/>
      <c r="HS219" s="922"/>
      <c r="HT219" s="922"/>
      <c r="HU219" s="922"/>
      <c r="HV219" s="922"/>
      <c r="HW219" s="922"/>
      <c r="HX219" s="922"/>
      <c r="HY219" s="922"/>
      <c r="HZ219" s="922"/>
      <c r="IA219" s="922"/>
      <c r="IB219" s="922"/>
      <c r="IC219" s="922"/>
      <c r="ID219" s="922"/>
      <c r="IE219" s="922"/>
      <c r="IF219" s="922"/>
      <c r="IG219" s="922"/>
      <c r="IH219" s="922"/>
      <c r="II219" s="922"/>
      <c r="IJ219" s="922"/>
      <c r="IK219" s="922"/>
      <c r="IL219" s="922"/>
      <c r="IM219" s="922"/>
      <c r="IN219" s="922"/>
      <c r="IO219" s="922"/>
      <c r="IP219" s="922"/>
      <c r="IQ219" s="922"/>
      <c r="IR219" s="922"/>
      <c r="IS219" s="922"/>
      <c r="IT219" s="922"/>
      <c r="IU219" s="922"/>
      <c r="IV219" s="922"/>
      <c r="IW219" s="922"/>
      <c r="IX219" s="922"/>
      <c r="IY219" s="922"/>
      <c r="IZ219" s="922"/>
      <c r="JA219" s="922"/>
      <c r="JB219" s="922"/>
      <c r="JC219" s="922"/>
      <c r="JD219" s="922"/>
      <c r="JE219" s="922"/>
      <c r="JF219" s="922"/>
      <c r="JG219" s="922"/>
      <c r="JH219" s="922"/>
      <c r="JI219" s="922"/>
      <c r="JJ219" s="922"/>
      <c r="JK219" s="922"/>
      <c r="JL219" s="922"/>
      <c r="JM219" s="922"/>
      <c r="JN219" s="922"/>
      <c r="JO219" s="922"/>
      <c r="JP219" s="922"/>
      <c r="JQ219" s="922"/>
      <c r="JR219" s="922"/>
      <c r="JS219" s="922"/>
      <c r="JT219" s="922"/>
      <c r="JU219" s="922"/>
      <c r="JV219" s="922"/>
      <c r="JW219" s="922"/>
      <c r="JX219" s="922"/>
      <c r="JY219" s="922"/>
      <c r="JZ219" s="922"/>
      <c r="KA219" s="922"/>
      <c r="KB219" s="922"/>
      <c r="KC219" s="922"/>
      <c r="KD219" s="922"/>
      <c r="KE219" s="922"/>
      <c r="KF219" s="922"/>
      <c r="KG219" s="922"/>
      <c r="KH219" s="922"/>
      <c r="KI219" s="922"/>
      <c r="KJ219" s="922"/>
      <c r="KK219" s="922"/>
      <c r="KL219" s="922"/>
      <c r="KM219" s="922"/>
      <c r="KN219" s="922"/>
      <c r="KO219" s="922"/>
      <c r="KP219" s="922"/>
      <c r="KQ219" s="922"/>
      <c r="KR219" s="922"/>
      <c r="KS219" s="922"/>
      <c r="KT219" s="922"/>
      <c r="KU219" s="922"/>
      <c r="KV219" s="922"/>
      <c r="KW219" s="922"/>
      <c r="KX219" s="922"/>
      <c r="KY219" s="922"/>
      <c r="KZ219" s="922"/>
      <c r="LA219" s="922"/>
      <c r="LB219" s="922"/>
      <c r="LC219" s="922"/>
      <c r="LD219" s="922"/>
      <c r="LE219" s="922"/>
      <c r="LF219" s="922"/>
      <c r="LG219" s="922"/>
      <c r="LH219" s="922"/>
      <c r="LI219" s="922"/>
      <c r="LJ219" s="922"/>
      <c r="LK219" s="922"/>
      <c r="LL219" s="922"/>
      <c r="LM219" s="922"/>
      <c r="LN219" s="922"/>
      <c r="LO219" s="922"/>
      <c r="LP219" s="922"/>
      <c r="LQ219" s="922"/>
      <c r="LR219" s="922"/>
      <c r="LS219" s="922"/>
      <c r="LT219" s="922"/>
      <c r="LU219" s="922"/>
      <c r="LV219" s="922"/>
      <c r="LW219" s="922"/>
      <c r="LX219" s="922"/>
      <c r="LY219" s="922"/>
      <c r="LZ219" s="922"/>
      <c r="MA219" s="922"/>
      <c r="MB219" s="922"/>
      <c r="MC219" s="922"/>
      <c r="MD219" s="922"/>
      <c r="ME219" s="922"/>
      <c r="MF219" s="922"/>
      <c r="MG219" s="922"/>
      <c r="MH219" s="922"/>
      <c r="MI219" s="922"/>
      <c r="MJ219" s="922"/>
      <c r="MK219" s="922"/>
      <c r="ML219" s="922"/>
      <c r="MM219" s="922"/>
      <c r="MN219" s="922"/>
      <c r="MO219" s="922"/>
      <c r="MP219" s="922"/>
      <c r="MQ219" s="922"/>
      <c r="MR219" s="922"/>
      <c r="MS219" s="922"/>
      <c r="MT219" s="922"/>
      <c r="MU219" s="922"/>
      <c r="MV219" s="922"/>
      <c r="MW219" s="922"/>
      <c r="MX219" s="922"/>
      <c r="MY219" s="922"/>
      <c r="MZ219" s="922"/>
      <c r="NA219" s="922"/>
      <c r="NB219" s="922"/>
      <c r="NC219" s="922"/>
      <c r="ND219" s="922"/>
      <c r="NE219" s="922"/>
      <c r="NF219" s="922"/>
      <c r="NG219" s="922"/>
      <c r="NH219" s="922"/>
      <c r="NI219" s="922"/>
      <c r="NJ219" s="922"/>
      <c r="NK219" s="922"/>
      <c r="NL219" s="922"/>
      <c r="NM219" s="922"/>
      <c r="NN219" s="922"/>
      <c r="NO219" s="922"/>
      <c r="NP219" s="922"/>
      <c r="NQ219" s="922"/>
      <c r="NR219" s="922"/>
      <c r="NS219" s="922"/>
      <c r="NT219" s="922"/>
      <c r="NU219" s="922"/>
      <c r="NV219" s="922"/>
      <c r="NW219" s="922"/>
      <c r="NX219" s="922"/>
      <c r="NY219" s="922"/>
      <c r="NZ219" s="922"/>
      <c r="OA219" s="922"/>
      <c r="OB219" s="922"/>
      <c r="OC219" s="922"/>
      <c r="OD219" s="922"/>
      <c r="OE219" s="922"/>
      <c r="OF219" s="922"/>
      <c r="OG219" s="922"/>
      <c r="OH219" s="922"/>
      <c r="OI219" s="922"/>
      <c r="OJ219" s="922"/>
      <c r="OK219" s="922"/>
      <c r="OL219" s="922"/>
      <c r="OM219" s="922"/>
      <c r="ON219" s="922"/>
      <c r="OO219" s="922"/>
      <c r="OP219" s="922"/>
      <c r="OQ219" s="922"/>
      <c r="OR219" s="922"/>
      <c r="OS219" s="922"/>
      <c r="OT219" s="922"/>
      <c r="OU219" s="922"/>
      <c r="OV219" s="922"/>
      <c r="OW219" s="922"/>
      <c r="OX219" s="922"/>
      <c r="OY219" s="922"/>
      <c r="OZ219" s="922"/>
      <c r="PA219" s="922"/>
      <c r="PB219" s="922"/>
      <c r="PC219" s="922"/>
      <c r="PD219" s="922"/>
      <c r="PE219" s="922"/>
      <c r="PF219" s="922"/>
      <c r="PG219" s="922"/>
      <c r="PH219" s="922"/>
      <c r="PI219" s="922"/>
      <c r="PJ219" s="922"/>
      <c r="PK219" s="922"/>
      <c r="PL219" s="922"/>
      <c r="PM219" s="922"/>
      <c r="PN219" s="922"/>
      <c r="PO219" s="922"/>
      <c r="PP219" s="922"/>
      <c r="PQ219" s="922"/>
      <c r="PR219" s="922"/>
      <c r="PS219" s="922"/>
      <c r="PT219" s="922"/>
      <c r="PU219" s="922"/>
      <c r="PV219" s="922"/>
      <c r="PW219" s="922"/>
      <c r="PX219" s="922"/>
      <c r="PY219" s="922"/>
      <c r="PZ219" s="922"/>
      <c r="QA219" s="922"/>
      <c r="QB219" s="922"/>
      <c r="QC219" s="922"/>
      <c r="QD219" s="922"/>
      <c r="QE219" s="922"/>
      <c r="QF219" s="922"/>
      <c r="QG219" s="922"/>
      <c r="QH219" s="922"/>
      <c r="QI219" s="922"/>
      <c r="QJ219" s="922"/>
      <c r="QK219" s="922"/>
      <c r="QL219" s="922"/>
      <c r="QM219" s="922"/>
      <c r="QN219" s="922"/>
      <c r="QO219" s="922"/>
      <c r="QP219" s="922"/>
      <c r="QQ219" s="922"/>
      <c r="QR219" s="922"/>
      <c r="QS219" s="922"/>
      <c r="QT219" s="922"/>
      <c r="QU219" s="922"/>
      <c r="QV219" s="922"/>
      <c r="QW219" s="922"/>
      <c r="QX219" s="922"/>
      <c r="QY219" s="922"/>
      <c r="QZ219" s="922"/>
      <c r="RA219" s="922"/>
      <c r="RB219" s="922"/>
      <c r="RC219" s="922"/>
      <c r="RD219" s="922"/>
      <c r="RE219" s="922"/>
      <c r="RF219" s="922"/>
      <c r="RG219" s="922"/>
      <c r="RH219" s="922"/>
      <c r="RI219" s="922"/>
      <c r="RJ219" s="922"/>
      <c r="RK219" s="922"/>
      <c r="RL219" s="922"/>
      <c r="RM219" s="922"/>
      <c r="RN219" s="922"/>
      <c r="RO219" s="922"/>
      <c r="RP219" s="922"/>
      <c r="RQ219" s="922"/>
      <c r="RR219" s="922"/>
      <c r="RS219" s="922"/>
      <c r="RT219" s="922"/>
      <c r="RU219" s="922"/>
      <c r="RV219" s="922"/>
      <c r="RW219" s="922"/>
      <c r="RX219" s="922"/>
      <c r="RY219" s="922"/>
      <c r="RZ219" s="922"/>
      <c r="SA219" s="922"/>
      <c r="SB219" s="922"/>
      <c r="SC219" s="922"/>
      <c r="SD219" s="922"/>
      <c r="SE219" s="922"/>
      <c r="SF219" s="922"/>
      <c r="SG219" s="922"/>
      <c r="SH219" s="922"/>
      <c r="SI219" s="922"/>
      <c r="SJ219" s="922"/>
      <c r="SK219" s="922"/>
      <c r="SL219" s="922"/>
      <c r="SM219" s="922"/>
      <c r="SN219" s="922"/>
      <c r="SO219" s="922"/>
      <c r="SP219" s="922"/>
      <c r="SQ219" s="922"/>
      <c r="SR219" s="922"/>
      <c r="SS219" s="922"/>
      <c r="ST219" s="922"/>
      <c r="SU219" s="922"/>
      <c r="SV219" s="922"/>
      <c r="SW219" s="922"/>
      <c r="SX219" s="922"/>
      <c r="SY219" s="922"/>
      <c r="SZ219" s="922"/>
      <c r="TA219" s="922"/>
      <c r="TB219" s="922"/>
      <c r="TC219" s="922"/>
      <c r="TD219" s="922"/>
      <c r="TE219" s="922"/>
      <c r="TF219" s="922"/>
      <c r="TG219" s="922"/>
      <c r="TH219" s="922"/>
      <c r="TI219" s="922"/>
      <c r="TJ219" s="922"/>
      <c r="TK219" s="922"/>
      <c r="TL219" s="922"/>
      <c r="TM219" s="922"/>
      <c r="TN219" s="922"/>
      <c r="TO219" s="922"/>
      <c r="TP219" s="922"/>
      <c r="TQ219" s="922"/>
      <c r="TR219" s="922"/>
      <c r="TS219" s="922"/>
      <c r="TT219" s="922"/>
      <c r="TU219" s="922"/>
      <c r="TV219" s="922"/>
      <c r="TW219" s="922"/>
      <c r="TX219" s="922"/>
      <c r="TY219" s="922"/>
      <c r="TZ219" s="922"/>
      <c r="UA219" s="922"/>
      <c r="UB219" s="922"/>
      <c r="UC219" s="922"/>
      <c r="UD219" s="922"/>
      <c r="UE219" s="922"/>
      <c r="UF219" s="922"/>
      <c r="UG219" s="922"/>
      <c r="UH219" s="922"/>
      <c r="UI219" s="922"/>
      <c r="UJ219" s="922"/>
      <c r="UK219" s="922"/>
      <c r="UL219" s="922"/>
      <c r="UM219" s="922"/>
      <c r="UN219" s="922"/>
      <c r="UO219" s="922"/>
      <c r="UP219" s="922"/>
      <c r="UQ219" s="922"/>
      <c r="UR219" s="922"/>
      <c r="US219" s="922"/>
      <c r="UT219" s="922"/>
      <c r="UU219" s="922"/>
      <c r="UV219" s="922"/>
      <c r="UW219" s="922"/>
      <c r="UX219" s="922"/>
      <c r="UY219" s="922"/>
      <c r="UZ219" s="922"/>
      <c r="VA219" s="922"/>
      <c r="VB219" s="922"/>
      <c r="VC219" s="922"/>
      <c r="VD219" s="922"/>
      <c r="VE219" s="922"/>
      <c r="VF219" s="922"/>
      <c r="VG219" s="922"/>
      <c r="VH219" s="922"/>
      <c r="VI219" s="922"/>
      <c r="VJ219" s="922"/>
      <c r="VK219" s="922"/>
      <c r="VL219" s="922"/>
      <c r="VM219" s="922"/>
      <c r="VN219" s="922"/>
      <c r="VO219" s="922"/>
      <c r="VP219" s="922"/>
      <c r="VQ219" s="922"/>
      <c r="VR219" s="922"/>
      <c r="VS219" s="922"/>
      <c r="VT219" s="922"/>
      <c r="VU219" s="922"/>
      <c r="VV219" s="922"/>
      <c r="VW219" s="922"/>
      <c r="VX219" s="922"/>
      <c r="VY219" s="922"/>
      <c r="VZ219" s="922"/>
      <c r="WA219" s="922"/>
      <c r="WB219" s="922"/>
      <c r="WC219" s="922"/>
      <c r="WD219" s="922"/>
      <c r="WE219" s="922"/>
      <c r="WF219" s="922"/>
      <c r="WG219" s="922"/>
      <c r="WH219" s="922"/>
      <c r="WI219" s="922"/>
      <c r="WJ219" s="922"/>
      <c r="WK219" s="922"/>
      <c r="WL219" s="922"/>
      <c r="WM219" s="922"/>
      <c r="WN219" s="922"/>
      <c r="WO219" s="922"/>
      <c r="WP219" s="922"/>
      <c r="WQ219" s="922"/>
      <c r="WR219" s="922"/>
      <c r="WS219" s="922"/>
      <c r="WT219" s="922"/>
      <c r="WU219" s="922"/>
      <c r="WV219" s="922"/>
      <c r="WW219" s="922"/>
      <c r="WX219" s="922"/>
      <c r="WY219" s="922"/>
      <c r="WZ219" s="922"/>
      <c r="XA219" s="922"/>
      <c r="XB219" s="922"/>
      <c r="XC219" s="922"/>
      <c r="XD219" s="922"/>
      <c r="XE219" s="922"/>
      <c r="XF219" s="922"/>
      <c r="XG219" s="922"/>
      <c r="XH219" s="922"/>
      <c r="XI219" s="922"/>
      <c r="XJ219" s="922"/>
      <c r="XK219" s="922"/>
      <c r="XL219" s="922"/>
      <c r="XM219" s="922"/>
      <c r="XN219" s="922"/>
      <c r="XO219" s="922"/>
      <c r="XP219" s="922"/>
      <c r="XQ219" s="922"/>
      <c r="XR219" s="922"/>
      <c r="XS219" s="922"/>
      <c r="XT219" s="922"/>
      <c r="XU219" s="922"/>
      <c r="XV219" s="922"/>
      <c r="XW219" s="922"/>
      <c r="XX219" s="922"/>
      <c r="XY219" s="922"/>
      <c r="XZ219" s="922"/>
      <c r="YA219" s="922"/>
      <c r="YB219" s="922"/>
      <c r="YC219" s="922"/>
      <c r="YD219" s="922"/>
      <c r="YE219" s="922"/>
      <c r="YF219" s="922"/>
      <c r="YG219" s="922"/>
      <c r="YH219" s="922"/>
      <c r="YI219" s="922"/>
      <c r="YJ219" s="922"/>
      <c r="YK219" s="922"/>
      <c r="YL219" s="922"/>
      <c r="YM219" s="922"/>
      <c r="YN219" s="922"/>
      <c r="YO219" s="922"/>
      <c r="YP219" s="922"/>
      <c r="YQ219" s="922"/>
      <c r="YR219" s="922"/>
      <c r="YS219" s="922"/>
      <c r="YT219" s="922"/>
      <c r="YU219" s="922"/>
      <c r="YV219" s="922"/>
      <c r="YW219" s="922"/>
      <c r="YX219" s="922"/>
      <c r="YY219" s="922"/>
      <c r="YZ219" s="922"/>
      <c r="ZA219" s="922"/>
      <c r="ZB219" s="922"/>
      <c r="ZC219" s="922"/>
      <c r="ZD219" s="922"/>
      <c r="ZE219" s="922"/>
      <c r="ZF219" s="922"/>
      <c r="ZG219" s="922"/>
      <c r="ZH219" s="922"/>
      <c r="ZI219" s="922"/>
      <c r="ZJ219" s="922"/>
      <c r="ZK219" s="922"/>
      <c r="ZL219" s="922"/>
      <c r="ZM219" s="922"/>
      <c r="ZN219" s="922"/>
      <c r="ZO219" s="922"/>
      <c r="ZP219" s="922"/>
      <c r="ZQ219" s="922"/>
      <c r="ZR219" s="922"/>
      <c r="ZS219" s="922"/>
      <c r="ZT219" s="922"/>
      <c r="ZU219" s="922"/>
      <c r="ZV219" s="922"/>
      <c r="ZW219" s="922"/>
      <c r="ZX219" s="922"/>
      <c r="ZY219" s="922"/>
      <c r="ZZ219" s="922"/>
      <c r="AAA219" s="922"/>
      <c r="AAB219" s="922"/>
      <c r="AAC219" s="922"/>
      <c r="AAD219" s="922"/>
      <c r="AAE219" s="922"/>
      <c r="AAF219" s="922"/>
      <c r="AAG219" s="922"/>
      <c r="AAH219" s="922"/>
      <c r="AAI219" s="922"/>
      <c r="AAJ219" s="922"/>
      <c r="AAK219" s="922"/>
      <c r="AAL219" s="922"/>
      <c r="AAM219" s="922"/>
      <c r="AAN219" s="922"/>
      <c r="AAO219" s="922"/>
      <c r="AAP219" s="922"/>
      <c r="AAQ219" s="922"/>
      <c r="AAR219" s="922"/>
      <c r="AAS219" s="922"/>
      <c r="AAT219" s="922"/>
      <c r="AAU219" s="922"/>
      <c r="AAV219" s="922"/>
      <c r="AAW219" s="922"/>
      <c r="AAX219" s="922"/>
      <c r="AAY219" s="922"/>
      <c r="AAZ219" s="922"/>
      <c r="ABA219" s="922"/>
      <c r="ABB219" s="922"/>
      <c r="ABC219" s="922"/>
      <c r="ABD219" s="922"/>
      <c r="ABE219" s="922"/>
      <c r="ABF219" s="922"/>
      <c r="ABG219" s="922"/>
      <c r="ABH219" s="922"/>
      <c r="ABI219" s="922"/>
      <c r="ABJ219" s="922"/>
      <c r="ABK219" s="922"/>
      <c r="ABL219" s="922"/>
      <c r="ABM219" s="922"/>
      <c r="ABN219" s="922"/>
      <c r="ABO219" s="922"/>
      <c r="ABP219" s="922"/>
      <c r="ABQ219" s="922"/>
      <c r="ABR219" s="922"/>
      <c r="ABS219" s="922"/>
      <c r="ABT219" s="922"/>
      <c r="ABU219" s="922"/>
      <c r="ABV219" s="922"/>
      <c r="ABW219" s="922"/>
      <c r="ABX219" s="922"/>
      <c r="ABY219" s="922"/>
      <c r="ABZ219" s="922"/>
      <c r="ACA219" s="922"/>
      <c r="ACB219" s="922"/>
      <c r="ACC219" s="922"/>
      <c r="ACD219" s="922"/>
      <c r="ACE219" s="922"/>
      <c r="ACF219" s="922"/>
      <c r="ACG219" s="922"/>
      <c r="ACH219" s="922"/>
      <c r="ACI219" s="922"/>
      <c r="ACJ219" s="922"/>
      <c r="ACK219" s="922"/>
      <c r="ACL219" s="922"/>
      <c r="ACM219" s="922"/>
      <c r="ACN219" s="922"/>
      <c r="ACO219" s="922"/>
      <c r="ACP219" s="922"/>
      <c r="ACQ219" s="922"/>
      <c r="ACR219" s="922"/>
      <c r="ACS219" s="922"/>
      <c r="ACT219" s="922"/>
      <c r="ACU219" s="922"/>
      <c r="ACV219" s="922"/>
      <c r="ACW219" s="922"/>
      <c r="ACX219" s="922"/>
      <c r="ACY219" s="922"/>
      <c r="ACZ219" s="922"/>
      <c r="ADA219" s="922"/>
      <c r="ADB219" s="922"/>
      <c r="ADC219" s="922"/>
      <c r="ADD219" s="922"/>
      <c r="ADE219" s="922"/>
      <c r="ADF219" s="922"/>
      <c r="ADG219" s="922"/>
      <c r="ADH219" s="922"/>
      <c r="ADI219" s="922"/>
      <c r="ADJ219" s="922"/>
      <c r="ADK219" s="922"/>
      <c r="ADL219" s="922"/>
      <c r="ADM219" s="922"/>
      <c r="ADN219" s="922"/>
      <c r="ADO219" s="922"/>
      <c r="ADP219" s="922"/>
      <c r="ADQ219" s="922"/>
      <c r="ADR219" s="922"/>
      <c r="ADS219" s="922"/>
      <c r="ADT219" s="922"/>
      <c r="ADU219" s="922"/>
      <c r="ADV219" s="922"/>
      <c r="ADW219" s="922"/>
      <c r="ADX219" s="922"/>
      <c r="ADY219" s="922"/>
      <c r="ADZ219" s="922"/>
      <c r="AEA219" s="922"/>
      <c r="AEB219" s="922"/>
      <c r="AEC219" s="922"/>
      <c r="AED219" s="922"/>
      <c r="AEE219" s="922"/>
      <c r="AEF219" s="922"/>
      <c r="AEG219" s="922"/>
      <c r="AEH219" s="922"/>
      <c r="AEI219" s="922"/>
      <c r="AEJ219" s="922"/>
      <c r="AEK219" s="922"/>
      <c r="AEL219" s="922"/>
      <c r="AEM219" s="922"/>
      <c r="AEN219" s="922"/>
      <c r="AEO219" s="922"/>
      <c r="AEP219" s="922"/>
      <c r="AEQ219" s="922"/>
      <c r="AER219" s="922"/>
      <c r="AES219" s="922"/>
      <c r="AET219" s="922"/>
      <c r="AEU219" s="922"/>
      <c r="AEV219" s="922"/>
      <c r="AEW219" s="922"/>
      <c r="AEX219" s="922"/>
      <c r="AEY219" s="922"/>
      <c r="AEZ219" s="922"/>
      <c r="AFA219" s="922"/>
      <c r="AFB219" s="922"/>
      <c r="AFC219" s="922"/>
      <c r="AFD219" s="922"/>
      <c r="AFE219" s="922"/>
      <c r="AFF219" s="922"/>
      <c r="AFG219" s="922"/>
      <c r="AFH219" s="922"/>
      <c r="AFI219" s="922"/>
      <c r="AFJ219" s="922"/>
      <c r="AFK219" s="922"/>
      <c r="AFL219" s="922"/>
      <c r="AFM219" s="922"/>
      <c r="AFN219" s="922"/>
      <c r="AFO219" s="922"/>
      <c r="AFP219" s="922"/>
      <c r="AFQ219" s="922"/>
      <c r="AFR219" s="922"/>
      <c r="AFS219" s="922"/>
      <c r="AFT219" s="922"/>
      <c r="AFU219" s="922"/>
      <c r="AFV219" s="922"/>
      <c r="AFW219" s="922"/>
      <c r="AFX219" s="922"/>
      <c r="AFY219" s="922"/>
      <c r="AFZ219" s="922"/>
      <c r="AGA219" s="922"/>
      <c r="AGB219" s="922"/>
      <c r="AGC219" s="922"/>
      <c r="AGD219" s="922"/>
      <c r="AGE219" s="922"/>
      <c r="AGF219" s="922"/>
      <c r="AGG219" s="922"/>
      <c r="AGH219" s="922"/>
      <c r="AGI219" s="922"/>
      <c r="AGJ219" s="922"/>
      <c r="AGK219" s="922"/>
      <c r="AGL219" s="922"/>
      <c r="AGM219" s="922"/>
      <c r="AGN219" s="922"/>
      <c r="AGO219" s="922"/>
      <c r="AGP219" s="922"/>
      <c r="AGQ219" s="922"/>
      <c r="AGR219" s="922"/>
      <c r="AGS219" s="922"/>
      <c r="AGT219" s="922"/>
      <c r="AGU219" s="922"/>
      <c r="AGV219" s="922"/>
      <c r="AGW219" s="922"/>
      <c r="AGX219" s="922"/>
      <c r="AGY219" s="922"/>
      <c r="AGZ219" s="922"/>
      <c r="AHA219" s="922"/>
      <c r="AHB219" s="922"/>
      <c r="AHC219" s="922"/>
      <c r="AHD219" s="922"/>
      <c r="AHE219" s="922"/>
      <c r="AHF219" s="922"/>
      <c r="AHG219" s="922"/>
      <c r="AHH219" s="922"/>
      <c r="AHI219" s="922"/>
      <c r="AHJ219" s="922"/>
      <c r="AHK219" s="922"/>
      <c r="AHL219" s="922"/>
      <c r="AHM219" s="922"/>
      <c r="AHN219" s="922"/>
      <c r="AHO219" s="922"/>
      <c r="AHP219" s="922"/>
      <c r="AHQ219" s="922"/>
      <c r="AHR219" s="922"/>
      <c r="AHS219" s="922"/>
      <c r="AHT219" s="922"/>
      <c r="AHU219" s="922"/>
      <c r="AHV219" s="922"/>
      <c r="AHW219" s="922"/>
      <c r="AHX219" s="922"/>
      <c r="AHY219" s="922"/>
      <c r="AHZ219" s="922"/>
      <c r="AIA219" s="922"/>
      <c r="AIB219" s="922"/>
      <c r="AIC219" s="922"/>
      <c r="AID219" s="922"/>
      <c r="AIE219" s="922"/>
      <c r="AIF219" s="922"/>
      <c r="AIG219" s="922"/>
      <c r="AIH219" s="922"/>
      <c r="AII219" s="922"/>
      <c r="AIJ219" s="922"/>
      <c r="AIK219" s="922"/>
      <c r="AIL219" s="922"/>
      <c r="AIM219" s="922"/>
      <c r="AIN219" s="922"/>
      <c r="AIO219" s="922"/>
      <c r="AIP219" s="922"/>
      <c r="AIQ219" s="922"/>
      <c r="AIR219" s="922"/>
      <c r="AIS219" s="922"/>
      <c r="AIT219" s="922"/>
      <c r="AIU219" s="922"/>
      <c r="AIV219" s="922"/>
      <c r="AIW219" s="922"/>
      <c r="AIX219" s="922"/>
      <c r="AIY219" s="922"/>
      <c r="AIZ219" s="922"/>
      <c r="AJA219" s="922"/>
      <c r="AJB219" s="922"/>
      <c r="AJC219" s="922"/>
      <c r="AJD219" s="922"/>
      <c r="AJE219" s="922"/>
      <c r="AJF219" s="922"/>
      <c r="AJG219" s="922"/>
      <c r="AJH219" s="922"/>
      <c r="AJI219" s="922"/>
      <c r="AJJ219" s="922"/>
      <c r="AJK219" s="922"/>
      <c r="AJL219" s="922"/>
      <c r="AJM219" s="922"/>
      <c r="AJN219" s="922"/>
      <c r="AJO219" s="922"/>
      <c r="AJP219" s="922"/>
      <c r="AJQ219" s="922"/>
      <c r="AJR219" s="922"/>
      <c r="AJS219" s="922"/>
      <c r="AJT219" s="922"/>
      <c r="AJU219" s="922"/>
      <c r="AJV219" s="922"/>
      <c r="AJW219" s="922"/>
      <c r="AJX219" s="922"/>
      <c r="AJY219" s="922"/>
      <c r="AJZ219" s="922"/>
      <c r="AKA219" s="922"/>
      <c r="AKB219" s="922"/>
      <c r="AKC219" s="922"/>
      <c r="AKD219" s="922"/>
      <c r="AKE219" s="922"/>
      <c r="AKF219" s="922"/>
      <c r="AKG219" s="922"/>
      <c r="AKH219" s="922"/>
      <c r="AKI219" s="922"/>
      <c r="AKJ219" s="922"/>
      <c r="AKK219" s="922"/>
      <c r="AKL219" s="922"/>
      <c r="AKM219" s="922"/>
      <c r="AKN219" s="922"/>
      <c r="AKO219" s="922"/>
      <c r="AKP219" s="922"/>
      <c r="AKQ219" s="922"/>
      <c r="AKR219" s="922"/>
      <c r="AKS219" s="922"/>
      <c r="AKT219" s="922"/>
      <c r="AKU219" s="922"/>
      <c r="AKV219" s="922"/>
      <c r="AKW219" s="922"/>
      <c r="AKX219" s="922"/>
      <c r="AKY219" s="922"/>
      <c r="AKZ219" s="922"/>
      <c r="ALA219" s="922"/>
      <c r="ALB219" s="922"/>
      <c r="ALC219" s="922"/>
      <c r="ALD219" s="922"/>
      <c r="ALE219" s="922"/>
      <c r="ALF219" s="922"/>
      <c r="ALG219" s="922"/>
      <c r="ALH219" s="922"/>
      <c r="ALI219" s="922"/>
      <c r="ALJ219" s="922"/>
      <c r="ALK219" s="922"/>
      <c r="ALL219" s="922"/>
      <c r="ALM219" s="922"/>
      <c r="ALN219" s="922"/>
      <c r="ALO219" s="922"/>
      <c r="ALP219" s="922"/>
      <c r="ALQ219" s="922"/>
      <c r="ALR219" s="922"/>
      <c r="ALS219" s="922"/>
      <c r="ALT219" s="922"/>
      <c r="ALU219" s="922"/>
      <c r="ALV219" s="922"/>
      <c r="ALW219" s="922"/>
      <c r="ALX219" s="922"/>
      <c r="ALY219" s="922"/>
      <c r="ALZ219" s="922"/>
      <c r="AMA219" s="922"/>
      <c r="AMB219" s="922"/>
      <c r="AMC219" s="922"/>
      <c r="AMD219" s="922"/>
      <c r="AME219" s="922"/>
      <c r="AMF219" s="922"/>
      <c r="AMG219" s="922"/>
      <c r="AMH219" s="922"/>
      <c r="AMI219" s="922"/>
      <c r="AMJ219" s="922"/>
      <c r="AMK219" s="922"/>
      <c r="AML219" s="922"/>
      <c r="AMM219" s="922"/>
      <c r="AMN219" s="922"/>
      <c r="AMO219" s="922"/>
      <c r="AMP219" s="922"/>
      <c r="AMQ219" s="922"/>
      <c r="AMR219" s="922"/>
      <c r="AMS219" s="922"/>
      <c r="AMT219" s="922"/>
      <c r="AMU219" s="922"/>
      <c r="AMV219" s="922"/>
      <c r="AMW219" s="922"/>
      <c r="AMX219" s="922"/>
      <c r="AMY219" s="922"/>
      <c r="AMZ219" s="922"/>
      <c r="ANA219" s="922"/>
      <c r="ANB219" s="922"/>
      <c r="ANC219" s="922"/>
      <c r="AND219" s="922"/>
      <c r="ANE219" s="922"/>
      <c r="ANF219" s="922"/>
      <c r="ANG219" s="922"/>
      <c r="ANH219" s="922"/>
      <c r="ANI219" s="922"/>
      <c r="ANJ219" s="922"/>
      <c r="ANK219" s="922"/>
      <c r="ANL219" s="922"/>
      <c r="ANM219" s="922"/>
      <c r="ANN219" s="922"/>
      <c r="ANO219" s="922"/>
      <c r="ANP219" s="922"/>
      <c r="ANQ219" s="922"/>
      <c r="ANR219" s="922"/>
      <c r="ANS219" s="922"/>
      <c r="ANT219" s="922"/>
      <c r="ANU219" s="922"/>
      <c r="ANV219" s="922"/>
      <c r="ANW219" s="922"/>
      <c r="ANX219" s="922"/>
      <c r="ANY219" s="922"/>
      <c r="ANZ219" s="922"/>
      <c r="AOA219" s="922"/>
      <c r="AOB219" s="922"/>
      <c r="AOC219" s="922"/>
      <c r="AOD219" s="922"/>
      <c r="AOE219" s="922"/>
      <c r="AOF219" s="922"/>
      <c r="AOG219" s="922"/>
      <c r="AOH219" s="922"/>
      <c r="AOI219" s="922"/>
      <c r="AOJ219" s="922"/>
      <c r="AOK219" s="922"/>
      <c r="AOL219" s="922"/>
      <c r="AOM219" s="922"/>
      <c r="AON219" s="922"/>
      <c r="AOO219" s="922"/>
      <c r="AOP219" s="922"/>
      <c r="AOQ219" s="922"/>
      <c r="AOR219" s="922"/>
      <c r="AOS219" s="922"/>
      <c r="AOT219" s="922"/>
      <c r="AOU219" s="922"/>
      <c r="AOV219" s="922"/>
      <c r="AOW219" s="922"/>
      <c r="AOX219" s="922"/>
      <c r="AOY219" s="922"/>
      <c r="AOZ219" s="922"/>
      <c r="APA219" s="922"/>
      <c r="APB219" s="922"/>
      <c r="APC219" s="922"/>
      <c r="APD219" s="922"/>
      <c r="APE219" s="922"/>
      <c r="APF219" s="922"/>
      <c r="APG219" s="922"/>
      <c r="APH219" s="922"/>
      <c r="API219" s="922"/>
      <c r="APJ219" s="922"/>
      <c r="APK219" s="922"/>
      <c r="APL219" s="922"/>
      <c r="APM219" s="922"/>
      <c r="APN219" s="922"/>
      <c r="APO219" s="922"/>
      <c r="APP219" s="922"/>
      <c r="APQ219" s="922"/>
      <c r="APR219" s="922"/>
      <c r="APS219" s="922"/>
      <c r="APT219" s="922"/>
      <c r="APU219" s="922"/>
      <c r="APV219" s="922"/>
      <c r="APW219" s="922"/>
      <c r="APX219" s="922"/>
      <c r="APY219" s="922"/>
      <c r="APZ219" s="922"/>
      <c r="AQA219" s="922"/>
      <c r="AQB219" s="922"/>
      <c r="AQC219" s="922"/>
      <c r="AQD219" s="922"/>
      <c r="AQE219" s="922"/>
      <c r="AQF219" s="922"/>
      <c r="AQG219" s="922"/>
      <c r="AQH219" s="922"/>
      <c r="AQI219" s="922"/>
      <c r="AQJ219" s="922"/>
      <c r="AQK219" s="922"/>
      <c r="AQL219" s="922"/>
      <c r="AQM219" s="922"/>
      <c r="AQN219" s="922"/>
      <c r="AQO219" s="922"/>
      <c r="AQP219" s="922"/>
      <c r="AQQ219" s="922"/>
      <c r="AQR219" s="922"/>
      <c r="AQS219" s="922"/>
      <c r="AQT219" s="922"/>
      <c r="AQU219" s="922"/>
      <c r="AQV219" s="922"/>
      <c r="AQW219" s="922"/>
      <c r="AQX219" s="922"/>
      <c r="AQY219" s="922"/>
      <c r="AQZ219" s="922"/>
      <c r="ARA219" s="922"/>
      <c r="ARB219" s="922"/>
      <c r="ARC219" s="922"/>
      <c r="ARD219" s="922"/>
      <c r="ARE219" s="922"/>
      <c r="ARF219" s="922"/>
      <c r="ARG219" s="922"/>
      <c r="ARH219" s="922"/>
      <c r="ARI219" s="922"/>
      <c r="ARJ219" s="922"/>
      <c r="ARK219" s="922"/>
      <c r="ARL219" s="922"/>
      <c r="ARM219" s="922"/>
      <c r="ARN219" s="922"/>
      <c r="ARO219" s="922"/>
      <c r="ARP219" s="922"/>
      <c r="ARQ219" s="922"/>
      <c r="ARR219" s="922"/>
      <c r="ARS219" s="922"/>
      <c r="ART219" s="922"/>
      <c r="ARU219" s="922"/>
      <c r="ARV219" s="922"/>
      <c r="ARW219" s="922"/>
      <c r="ARX219" s="922"/>
      <c r="ARY219" s="922"/>
      <c r="ARZ219" s="922"/>
      <c r="ASA219" s="922"/>
      <c r="ASB219" s="922"/>
      <c r="ASC219" s="922"/>
    </row>
    <row r="220" spans="20:1173" hidden="1">
      <c r="T220" s="922"/>
      <c r="AN220" s="922"/>
      <c r="AO220" s="922"/>
      <c r="AP220" s="922"/>
      <c r="AQ220" s="922"/>
      <c r="AR220" s="922"/>
      <c r="AS220" s="922"/>
      <c r="AT220" s="922"/>
      <c r="AU220" s="922"/>
      <c r="AV220" s="922"/>
      <c r="AW220" s="922"/>
      <c r="AX220" s="922"/>
      <c r="AY220" s="922"/>
      <c r="AZ220" s="922"/>
      <c r="BA220" s="922"/>
      <c r="BB220" s="922"/>
      <c r="BC220" s="922"/>
      <c r="BD220" s="922"/>
      <c r="BE220" s="922"/>
      <c r="BF220" s="922"/>
      <c r="BG220" s="922"/>
      <c r="BH220" s="922"/>
      <c r="BI220" s="922"/>
      <c r="BJ220" s="922"/>
      <c r="BK220" s="922"/>
      <c r="BL220" s="922"/>
      <c r="BM220" s="922"/>
      <c r="BN220" s="922"/>
      <c r="BO220" s="922"/>
      <c r="BP220" s="922"/>
      <c r="BQ220" s="922"/>
      <c r="BR220" s="922"/>
      <c r="BS220" s="922"/>
      <c r="BT220" s="922"/>
      <c r="BU220" s="922"/>
      <c r="BV220" s="922"/>
      <c r="BW220" s="922"/>
      <c r="BX220" s="922"/>
      <c r="BY220" s="922"/>
      <c r="BZ220" s="922"/>
      <c r="CA220" s="922"/>
      <c r="CB220" s="922"/>
      <c r="CC220" s="922"/>
      <c r="CD220" s="922"/>
      <c r="CE220" s="922"/>
      <c r="CF220" s="922"/>
      <c r="CG220" s="922"/>
      <c r="CH220" s="922"/>
      <c r="CI220" s="922"/>
      <c r="CJ220" s="922"/>
      <c r="CK220" s="922"/>
      <c r="CL220" s="922"/>
      <c r="CM220" s="922"/>
      <c r="CN220" s="922"/>
      <c r="CO220" s="922"/>
      <c r="CP220" s="922"/>
      <c r="CQ220" s="922"/>
      <c r="CR220" s="922"/>
      <c r="CS220" s="922"/>
      <c r="CT220" s="922"/>
      <c r="CU220" s="922"/>
      <c r="CV220" s="922"/>
      <c r="CW220" s="922"/>
      <c r="CX220" s="922"/>
      <c r="CY220" s="922"/>
      <c r="CZ220" s="922"/>
      <c r="DA220" s="922"/>
      <c r="DB220" s="922"/>
      <c r="DC220" s="922"/>
      <c r="DD220" s="922"/>
      <c r="DE220" s="922"/>
      <c r="DF220" s="922"/>
      <c r="DG220" s="922"/>
      <c r="DH220" s="922"/>
      <c r="DI220" s="922"/>
      <c r="DJ220" s="922"/>
      <c r="DK220" s="922"/>
      <c r="DL220" s="922"/>
      <c r="DM220" s="922"/>
      <c r="DN220" s="922"/>
      <c r="DO220" s="922"/>
      <c r="DP220" s="922"/>
      <c r="DQ220" s="922"/>
      <c r="DR220" s="922"/>
      <c r="DS220" s="922"/>
      <c r="DT220" s="922"/>
      <c r="DU220" s="922"/>
      <c r="DV220" s="922"/>
      <c r="DW220" s="922"/>
      <c r="DX220" s="922"/>
      <c r="DY220" s="922"/>
      <c r="DZ220" s="922"/>
      <c r="EA220" s="922"/>
      <c r="EB220" s="922"/>
      <c r="EC220" s="922"/>
      <c r="ED220" s="922"/>
      <c r="EE220" s="922"/>
      <c r="EF220" s="922"/>
      <c r="EG220" s="922"/>
      <c r="EH220" s="922"/>
      <c r="EI220" s="922"/>
      <c r="EJ220" s="922"/>
      <c r="EK220" s="922"/>
      <c r="EL220" s="922"/>
      <c r="EM220" s="922"/>
      <c r="EN220" s="922"/>
      <c r="EO220" s="922"/>
      <c r="EP220" s="922"/>
      <c r="EQ220" s="922"/>
      <c r="ER220" s="922"/>
      <c r="ES220" s="922"/>
      <c r="ET220" s="922"/>
      <c r="EU220" s="922"/>
      <c r="EV220" s="922"/>
      <c r="EW220" s="922"/>
      <c r="EX220" s="922"/>
      <c r="EY220" s="922"/>
      <c r="EZ220" s="922"/>
      <c r="FA220" s="922"/>
      <c r="FB220" s="922"/>
      <c r="FC220" s="922"/>
      <c r="FD220" s="922"/>
      <c r="FE220" s="922"/>
      <c r="FF220" s="922"/>
      <c r="FG220" s="922"/>
      <c r="FH220" s="922"/>
      <c r="FI220" s="922"/>
      <c r="FJ220" s="922"/>
      <c r="FK220" s="922"/>
      <c r="FL220" s="922"/>
      <c r="FM220" s="922"/>
      <c r="FN220" s="922"/>
      <c r="FO220" s="922"/>
      <c r="FP220" s="922"/>
      <c r="FQ220" s="922"/>
      <c r="FR220" s="922"/>
      <c r="FS220" s="922"/>
      <c r="FT220" s="922"/>
      <c r="FU220" s="922"/>
      <c r="FV220" s="922"/>
      <c r="FW220" s="922"/>
      <c r="FX220" s="922"/>
      <c r="FY220" s="922"/>
      <c r="FZ220" s="922"/>
      <c r="GA220" s="922"/>
      <c r="GB220" s="922"/>
      <c r="GC220" s="922"/>
      <c r="GD220" s="922"/>
      <c r="GE220" s="922"/>
      <c r="GF220" s="922"/>
      <c r="GG220" s="922"/>
      <c r="GH220" s="922"/>
      <c r="GI220" s="922"/>
      <c r="GJ220" s="922"/>
      <c r="GK220" s="922"/>
      <c r="GL220" s="922"/>
      <c r="GM220" s="922"/>
      <c r="GN220" s="922"/>
      <c r="GO220" s="922"/>
      <c r="GP220" s="922"/>
      <c r="GQ220" s="922"/>
      <c r="GR220" s="922"/>
      <c r="GS220" s="922"/>
      <c r="GT220" s="922"/>
      <c r="GU220" s="922"/>
      <c r="GV220" s="922"/>
      <c r="GW220" s="922"/>
      <c r="GX220" s="922"/>
      <c r="GY220" s="922"/>
      <c r="GZ220" s="922"/>
      <c r="HA220" s="922"/>
      <c r="HB220" s="922"/>
      <c r="HC220" s="922"/>
      <c r="HD220" s="922"/>
      <c r="HE220" s="922"/>
      <c r="HF220" s="922"/>
      <c r="HG220" s="922"/>
      <c r="HH220" s="922"/>
      <c r="HI220" s="922"/>
      <c r="HJ220" s="922"/>
      <c r="HK220" s="922"/>
      <c r="HL220" s="922"/>
      <c r="HM220" s="922"/>
      <c r="HN220" s="922"/>
      <c r="HO220" s="922"/>
      <c r="HP220" s="922"/>
      <c r="HQ220" s="922"/>
      <c r="HR220" s="922"/>
      <c r="HS220" s="922"/>
      <c r="HT220" s="922"/>
      <c r="HU220" s="922"/>
      <c r="HV220" s="922"/>
      <c r="HW220" s="922"/>
      <c r="HX220" s="922"/>
      <c r="HY220" s="922"/>
      <c r="HZ220" s="922"/>
      <c r="IA220" s="922"/>
      <c r="IB220" s="922"/>
      <c r="IC220" s="922"/>
      <c r="ID220" s="922"/>
      <c r="IE220" s="922"/>
      <c r="IF220" s="922"/>
      <c r="IG220" s="922"/>
      <c r="IH220" s="922"/>
      <c r="II220" s="922"/>
      <c r="IJ220" s="922"/>
      <c r="IK220" s="922"/>
      <c r="IL220" s="922"/>
      <c r="IM220" s="922"/>
      <c r="IN220" s="922"/>
      <c r="IO220" s="922"/>
      <c r="IP220" s="922"/>
      <c r="IQ220" s="922"/>
      <c r="IR220" s="922"/>
      <c r="IS220" s="922"/>
      <c r="IT220" s="922"/>
      <c r="IU220" s="922"/>
      <c r="IV220" s="922"/>
      <c r="IW220" s="922"/>
      <c r="IX220" s="922"/>
      <c r="IY220" s="922"/>
      <c r="IZ220" s="922"/>
      <c r="JA220" s="922"/>
      <c r="JB220" s="922"/>
      <c r="JC220" s="922"/>
      <c r="JD220" s="922"/>
      <c r="JE220" s="922"/>
      <c r="JF220" s="922"/>
      <c r="JG220" s="922"/>
      <c r="JH220" s="922"/>
      <c r="JI220" s="922"/>
      <c r="JJ220" s="922"/>
      <c r="JK220" s="922"/>
      <c r="JL220" s="922"/>
      <c r="JM220" s="922"/>
      <c r="JN220" s="922"/>
      <c r="JO220" s="922"/>
      <c r="JP220" s="922"/>
      <c r="JQ220" s="922"/>
      <c r="JR220" s="922"/>
      <c r="JS220" s="922"/>
      <c r="JT220" s="922"/>
      <c r="JU220" s="922"/>
      <c r="JV220" s="922"/>
      <c r="JW220" s="922"/>
      <c r="JX220" s="922"/>
      <c r="JY220" s="922"/>
      <c r="JZ220" s="922"/>
      <c r="KA220" s="922"/>
      <c r="KB220" s="922"/>
      <c r="KC220" s="922"/>
      <c r="KD220" s="922"/>
      <c r="KE220" s="922"/>
      <c r="KF220" s="922"/>
      <c r="KG220" s="922"/>
      <c r="KH220" s="922"/>
      <c r="KI220" s="922"/>
      <c r="KJ220" s="922"/>
      <c r="KK220" s="922"/>
      <c r="KL220" s="922"/>
      <c r="KM220" s="922"/>
      <c r="KN220" s="922"/>
      <c r="KO220" s="922"/>
      <c r="KP220" s="922"/>
      <c r="KQ220" s="922"/>
      <c r="KR220" s="922"/>
      <c r="KS220" s="922"/>
      <c r="KT220" s="922"/>
      <c r="KU220" s="922"/>
      <c r="KV220" s="922"/>
      <c r="KW220" s="922"/>
      <c r="KX220" s="922"/>
      <c r="KY220" s="922"/>
      <c r="KZ220" s="922"/>
      <c r="LA220" s="922"/>
      <c r="LB220" s="922"/>
      <c r="LC220" s="922"/>
      <c r="LD220" s="922"/>
      <c r="LE220" s="922"/>
      <c r="LF220" s="922"/>
      <c r="LG220" s="922"/>
      <c r="LH220" s="922"/>
      <c r="LI220" s="922"/>
      <c r="LJ220" s="922"/>
      <c r="LK220" s="922"/>
      <c r="LL220" s="922"/>
      <c r="LM220" s="922"/>
      <c r="LN220" s="922"/>
      <c r="LO220" s="922"/>
      <c r="LP220" s="922"/>
      <c r="LQ220" s="922"/>
      <c r="LR220" s="922"/>
      <c r="LS220" s="922"/>
      <c r="LT220" s="922"/>
      <c r="LU220" s="922"/>
      <c r="LV220" s="922"/>
      <c r="LW220" s="922"/>
      <c r="LX220" s="922"/>
      <c r="LY220" s="922"/>
      <c r="LZ220" s="922"/>
      <c r="MA220" s="922"/>
      <c r="MB220" s="922"/>
      <c r="MC220" s="922"/>
      <c r="MD220" s="922"/>
      <c r="ME220" s="922"/>
      <c r="MF220" s="922"/>
      <c r="MG220" s="922"/>
      <c r="MH220" s="922"/>
      <c r="MI220" s="922"/>
      <c r="MJ220" s="922"/>
      <c r="MK220" s="922"/>
      <c r="ML220" s="922"/>
      <c r="MM220" s="922"/>
      <c r="MN220" s="922"/>
      <c r="MO220" s="922"/>
      <c r="MP220" s="922"/>
      <c r="MQ220" s="922"/>
      <c r="MR220" s="922"/>
      <c r="MS220" s="922"/>
      <c r="MT220" s="922"/>
      <c r="MU220" s="922"/>
      <c r="MV220" s="922"/>
      <c r="MW220" s="922"/>
      <c r="MX220" s="922"/>
      <c r="MY220" s="922"/>
      <c r="MZ220" s="922"/>
      <c r="NA220" s="922"/>
      <c r="NB220" s="922"/>
      <c r="NC220" s="922"/>
      <c r="ND220" s="922"/>
      <c r="NE220" s="922"/>
      <c r="NF220" s="922"/>
      <c r="NG220" s="922"/>
      <c r="NH220" s="922"/>
      <c r="NI220" s="922"/>
      <c r="NJ220" s="922"/>
      <c r="NK220" s="922"/>
      <c r="NL220" s="922"/>
      <c r="NM220" s="922"/>
      <c r="NN220" s="922"/>
      <c r="NO220" s="922"/>
      <c r="NP220" s="922"/>
      <c r="NQ220" s="922"/>
      <c r="NR220" s="922"/>
      <c r="NS220" s="922"/>
      <c r="NT220" s="922"/>
      <c r="NU220" s="922"/>
      <c r="NV220" s="922"/>
      <c r="NW220" s="922"/>
      <c r="NX220" s="922"/>
      <c r="NY220" s="922"/>
      <c r="NZ220" s="922"/>
      <c r="OA220" s="922"/>
      <c r="OB220" s="922"/>
      <c r="OC220" s="922"/>
      <c r="OD220" s="922"/>
      <c r="OE220" s="922"/>
      <c r="OF220" s="922"/>
      <c r="OG220" s="922"/>
      <c r="OH220" s="922"/>
      <c r="OI220" s="922"/>
      <c r="OJ220" s="922"/>
      <c r="OK220" s="922"/>
      <c r="OL220" s="922"/>
      <c r="OM220" s="922"/>
      <c r="ON220" s="922"/>
      <c r="OO220" s="922"/>
      <c r="OP220" s="922"/>
      <c r="OQ220" s="922"/>
      <c r="OR220" s="922"/>
      <c r="OS220" s="922"/>
      <c r="OT220" s="922"/>
      <c r="OU220" s="922"/>
      <c r="OV220" s="922"/>
      <c r="OW220" s="922"/>
      <c r="OX220" s="922"/>
      <c r="OY220" s="922"/>
      <c r="OZ220" s="922"/>
      <c r="PA220" s="922"/>
      <c r="PB220" s="922"/>
      <c r="PC220" s="922"/>
      <c r="PD220" s="922"/>
      <c r="PE220" s="922"/>
      <c r="PF220" s="922"/>
      <c r="PG220" s="922"/>
      <c r="PH220" s="922"/>
      <c r="PI220" s="922"/>
      <c r="PJ220" s="922"/>
      <c r="PK220" s="922"/>
      <c r="PL220" s="922"/>
      <c r="PM220" s="922"/>
      <c r="PN220" s="922"/>
      <c r="PO220" s="922"/>
      <c r="PP220" s="922"/>
      <c r="PQ220" s="922"/>
      <c r="PR220" s="922"/>
      <c r="PS220" s="922"/>
      <c r="PT220" s="922"/>
      <c r="PU220" s="922"/>
      <c r="PV220" s="922"/>
      <c r="PW220" s="922"/>
      <c r="PX220" s="922"/>
      <c r="PY220" s="922"/>
      <c r="PZ220" s="922"/>
      <c r="QA220" s="922"/>
      <c r="QB220" s="922"/>
      <c r="QC220" s="922"/>
      <c r="QD220" s="922"/>
      <c r="QE220" s="922"/>
      <c r="QF220" s="922"/>
      <c r="QG220" s="922"/>
      <c r="QH220" s="922"/>
      <c r="QI220" s="922"/>
      <c r="QJ220" s="922"/>
      <c r="QK220" s="922"/>
      <c r="QL220" s="922"/>
      <c r="QM220" s="922"/>
      <c r="QN220" s="922"/>
      <c r="QO220" s="922"/>
      <c r="QP220" s="922"/>
      <c r="QQ220" s="922"/>
      <c r="QR220" s="922"/>
      <c r="QS220" s="922"/>
      <c r="QT220" s="922"/>
      <c r="QU220" s="922"/>
      <c r="QV220" s="922"/>
      <c r="QW220" s="922"/>
      <c r="QX220" s="922"/>
      <c r="QY220" s="922"/>
      <c r="QZ220" s="922"/>
      <c r="RA220" s="922"/>
      <c r="RB220" s="922"/>
      <c r="RC220" s="922"/>
      <c r="RD220" s="922"/>
      <c r="RE220" s="922"/>
      <c r="RF220" s="922"/>
      <c r="RG220" s="922"/>
      <c r="RH220" s="922"/>
      <c r="RI220" s="922"/>
      <c r="RJ220" s="922"/>
      <c r="RK220" s="922"/>
      <c r="RL220" s="922"/>
      <c r="RM220" s="922"/>
      <c r="RN220" s="922"/>
      <c r="RO220" s="922"/>
      <c r="RP220" s="922"/>
      <c r="RQ220" s="922"/>
      <c r="RR220" s="922"/>
      <c r="RS220" s="922"/>
      <c r="RT220" s="922"/>
      <c r="RU220" s="922"/>
      <c r="RV220" s="922"/>
      <c r="RW220" s="922"/>
      <c r="RX220" s="922"/>
      <c r="RY220" s="922"/>
      <c r="RZ220" s="922"/>
      <c r="SA220" s="922"/>
      <c r="SB220" s="922"/>
      <c r="SC220" s="922"/>
      <c r="SD220" s="922"/>
      <c r="SE220" s="922"/>
      <c r="SF220" s="922"/>
      <c r="SG220" s="922"/>
      <c r="SH220" s="922"/>
      <c r="SI220" s="922"/>
      <c r="SJ220" s="922"/>
      <c r="SK220" s="922"/>
      <c r="SL220" s="922"/>
      <c r="SM220" s="922"/>
      <c r="SN220" s="922"/>
      <c r="SO220" s="922"/>
      <c r="SP220" s="922"/>
      <c r="SQ220" s="922"/>
      <c r="SR220" s="922"/>
      <c r="SS220" s="922"/>
      <c r="ST220" s="922"/>
      <c r="SU220" s="922"/>
      <c r="SV220" s="922"/>
      <c r="SW220" s="922"/>
      <c r="SX220" s="922"/>
      <c r="SY220" s="922"/>
      <c r="SZ220" s="922"/>
      <c r="TA220" s="922"/>
      <c r="TB220" s="922"/>
      <c r="TC220" s="922"/>
      <c r="TD220" s="922"/>
      <c r="TE220" s="922"/>
      <c r="TF220" s="922"/>
      <c r="TG220" s="922"/>
      <c r="TH220" s="922"/>
      <c r="TI220" s="922"/>
      <c r="TJ220" s="922"/>
      <c r="TK220" s="922"/>
      <c r="TL220" s="922"/>
      <c r="TM220" s="922"/>
      <c r="TN220" s="922"/>
      <c r="TO220" s="922"/>
      <c r="TP220" s="922"/>
      <c r="TQ220" s="922"/>
      <c r="TR220" s="922"/>
      <c r="TS220" s="922"/>
      <c r="TT220" s="922"/>
      <c r="TU220" s="922"/>
      <c r="TV220" s="922"/>
      <c r="TW220" s="922"/>
      <c r="TX220" s="922"/>
      <c r="TY220" s="922"/>
      <c r="TZ220" s="922"/>
      <c r="UA220" s="922"/>
      <c r="UB220" s="922"/>
      <c r="UC220" s="922"/>
      <c r="UD220" s="922"/>
      <c r="UE220" s="922"/>
      <c r="UF220" s="922"/>
      <c r="UG220" s="922"/>
      <c r="UH220" s="922"/>
      <c r="UI220" s="922"/>
      <c r="UJ220" s="922"/>
      <c r="UK220" s="922"/>
      <c r="UL220" s="922"/>
      <c r="UM220" s="922"/>
      <c r="UN220" s="922"/>
      <c r="UO220" s="922"/>
      <c r="UP220" s="922"/>
      <c r="UQ220" s="922"/>
      <c r="UR220" s="922"/>
      <c r="US220" s="922"/>
      <c r="UT220" s="922"/>
      <c r="UU220" s="922"/>
      <c r="UV220" s="922"/>
      <c r="UW220" s="922"/>
      <c r="UX220" s="922"/>
      <c r="UY220" s="922"/>
      <c r="UZ220" s="922"/>
      <c r="VA220" s="922"/>
      <c r="VB220" s="922"/>
      <c r="VC220" s="922"/>
      <c r="VD220" s="922"/>
      <c r="VE220" s="922"/>
      <c r="VF220" s="922"/>
      <c r="VG220" s="922"/>
      <c r="VH220" s="922"/>
      <c r="VI220" s="922"/>
      <c r="VJ220" s="922"/>
      <c r="VK220" s="922"/>
      <c r="VL220" s="922"/>
      <c r="VM220" s="922"/>
      <c r="VN220" s="922"/>
      <c r="VO220" s="922"/>
      <c r="VP220" s="922"/>
      <c r="VQ220" s="922"/>
      <c r="VR220" s="922"/>
      <c r="VS220" s="922"/>
      <c r="VT220" s="922"/>
      <c r="VU220" s="922"/>
      <c r="VV220" s="922"/>
      <c r="VW220" s="922"/>
      <c r="VX220" s="922"/>
      <c r="VY220" s="922"/>
      <c r="VZ220" s="922"/>
      <c r="WA220" s="922"/>
      <c r="WB220" s="922"/>
      <c r="WC220" s="922"/>
      <c r="WD220" s="922"/>
      <c r="WE220" s="922"/>
      <c r="WF220" s="922"/>
      <c r="WG220" s="922"/>
      <c r="WH220" s="922"/>
      <c r="WI220" s="922"/>
      <c r="WJ220" s="922"/>
      <c r="WK220" s="922"/>
      <c r="WL220" s="922"/>
      <c r="WM220" s="922"/>
      <c r="WN220" s="922"/>
      <c r="WO220" s="922"/>
      <c r="WP220" s="922"/>
      <c r="WQ220" s="922"/>
      <c r="WR220" s="922"/>
      <c r="WS220" s="922"/>
      <c r="WT220" s="922"/>
      <c r="WU220" s="922"/>
      <c r="WV220" s="922"/>
      <c r="WW220" s="922"/>
      <c r="WX220" s="922"/>
      <c r="WY220" s="922"/>
      <c r="WZ220" s="922"/>
      <c r="XA220" s="922"/>
      <c r="XB220" s="922"/>
      <c r="XC220" s="922"/>
      <c r="XD220" s="922"/>
      <c r="XE220" s="922"/>
      <c r="XF220" s="922"/>
      <c r="XG220" s="922"/>
      <c r="XH220" s="922"/>
      <c r="XI220" s="922"/>
      <c r="XJ220" s="922"/>
      <c r="XK220" s="922"/>
      <c r="XL220" s="922"/>
      <c r="XM220" s="922"/>
      <c r="XN220" s="922"/>
      <c r="XO220" s="922"/>
      <c r="XP220" s="922"/>
      <c r="XQ220" s="922"/>
      <c r="XR220" s="922"/>
      <c r="XS220" s="922"/>
      <c r="XT220" s="922"/>
      <c r="XU220" s="922"/>
      <c r="XV220" s="922"/>
      <c r="XW220" s="922"/>
      <c r="XX220" s="922"/>
      <c r="XY220" s="922"/>
      <c r="XZ220" s="922"/>
      <c r="YA220" s="922"/>
      <c r="YB220" s="922"/>
      <c r="YC220" s="922"/>
      <c r="YD220" s="922"/>
      <c r="YE220" s="922"/>
      <c r="YF220" s="922"/>
      <c r="YG220" s="922"/>
      <c r="YH220" s="922"/>
      <c r="YI220" s="922"/>
      <c r="YJ220" s="922"/>
      <c r="YK220" s="922"/>
      <c r="YL220" s="922"/>
      <c r="YM220" s="922"/>
      <c r="YN220" s="922"/>
      <c r="YO220" s="922"/>
      <c r="YP220" s="922"/>
      <c r="YQ220" s="922"/>
      <c r="YR220" s="922"/>
      <c r="YS220" s="922"/>
      <c r="YT220" s="922"/>
      <c r="YU220" s="922"/>
      <c r="YV220" s="922"/>
      <c r="YW220" s="922"/>
      <c r="YX220" s="922"/>
      <c r="YY220" s="922"/>
      <c r="YZ220" s="922"/>
      <c r="ZA220" s="922"/>
      <c r="ZB220" s="922"/>
      <c r="ZC220" s="922"/>
      <c r="ZD220" s="922"/>
      <c r="ZE220" s="922"/>
      <c r="ZF220" s="922"/>
      <c r="ZG220" s="922"/>
      <c r="ZH220" s="922"/>
      <c r="ZI220" s="922"/>
      <c r="ZJ220" s="922"/>
      <c r="ZK220" s="922"/>
      <c r="ZL220" s="922"/>
      <c r="ZM220" s="922"/>
      <c r="ZN220" s="922"/>
      <c r="ZO220" s="922"/>
      <c r="ZP220" s="922"/>
      <c r="ZQ220" s="922"/>
      <c r="ZR220" s="922"/>
      <c r="ZS220" s="922"/>
      <c r="ZT220" s="922"/>
      <c r="ZU220" s="922"/>
      <c r="ZV220" s="922"/>
      <c r="ZW220" s="922"/>
      <c r="ZX220" s="922"/>
      <c r="ZY220" s="922"/>
      <c r="ZZ220" s="922"/>
      <c r="AAA220" s="922"/>
      <c r="AAB220" s="922"/>
      <c r="AAC220" s="922"/>
      <c r="AAD220" s="922"/>
      <c r="AAE220" s="922"/>
      <c r="AAF220" s="922"/>
      <c r="AAG220" s="922"/>
      <c r="AAH220" s="922"/>
      <c r="AAI220" s="922"/>
      <c r="AAJ220" s="922"/>
      <c r="AAK220" s="922"/>
      <c r="AAL220" s="922"/>
      <c r="AAM220" s="922"/>
      <c r="AAN220" s="922"/>
      <c r="AAO220" s="922"/>
      <c r="AAP220" s="922"/>
      <c r="AAQ220" s="922"/>
      <c r="AAR220" s="922"/>
      <c r="AAS220" s="922"/>
      <c r="AAT220" s="922"/>
      <c r="AAU220" s="922"/>
      <c r="AAV220" s="922"/>
      <c r="AAW220" s="922"/>
      <c r="AAX220" s="922"/>
      <c r="AAY220" s="922"/>
      <c r="AAZ220" s="922"/>
      <c r="ABA220" s="922"/>
      <c r="ABB220" s="922"/>
      <c r="ABC220" s="922"/>
      <c r="ABD220" s="922"/>
      <c r="ABE220" s="922"/>
      <c r="ABF220" s="922"/>
      <c r="ABG220" s="922"/>
      <c r="ABH220" s="922"/>
      <c r="ABI220" s="922"/>
      <c r="ABJ220" s="922"/>
      <c r="ABK220" s="922"/>
      <c r="ABL220" s="922"/>
      <c r="ABM220" s="922"/>
      <c r="ABN220" s="922"/>
      <c r="ABO220" s="922"/>
      <c r="ABP220" s="922"/>
      <c r="ABQ220" s="922"/>
      <c r="ABR220" s="922"/>
      <c r="ABS220" s="922"/>
      <c r="ABT220" s="922"/>
      <c r="ABU220" s="922"/>
      <c r="ABV220" s="922"/>
      <c r="ABW220" s="922"/>
      <c r="ABX220" s="922"/>
      <c r="ABY220" s="922"/>
      <c r="ABZ220" s="922"/>
      <c r="ACA220" s="922"/>
      <c r="ACB220" s="922"/>
      <c r="ACC220" s="922"/>
      <c r="ACD220" s="922"/>
      <c r="ACE220" s="922"/>
      <c r="ACF220" s="922"/>
      <c r="ACG220" s="922"/>
      <c r="ACH220" s="922"/>
      <c r="ACI220" s="922"/>
      <c r="ACJ220" s="922"/>
      <c r="ACK220" s="922"/>
      <c r="ACL220" s="922"/>
      <c r="ACM220" s="922"/>
      <c r="ACN220" s="922"/>
      <c r="ACO220" s="922"/>
      <c r="ACP220" s="922"/>
      <c r="ACQ220" s="922"/>
      <c r="ACR220" s="922"/>
      <c r="ACS220" s="922"/>
      <c r="ACT220" s="922"/>
      <c r="ACU220" s="922"/>
      <c r="ACV220" s="922"/>
      <c r="ACW220" s="922"/>
      <c r="ACX220" s="922"/>
      <c r="ACY220" s="922"/>
      <c r="ACZ220" s="922"/>
      <c r="ADA220" s="922"/>
      <c r="ADB220" s="922"/>
      <c r="ADC220" s="922"/>
      <c r="ADD220" s="922"/>
      <c r="ADE220" s="922"/>
      <c r="ADF220" s="922"/>
      <c r="ADG220" s="922"/>
      <c r="ADH220" s="922"/>
      <c r="ADI220" s="922"/>
      <c r="ADJ220" s="922"/>
      <c r="ADK220" s="922"/>
      <c r="ADL220" s="922"/>
      <c r="ADM220" s="922"/>
      <c r="ADN220" s="922"/>
      <c r="ADO220" s="922"/>
      <c r="ADP220" s="922"/>
      <c r="ADQ220" s="922"/>
      <c r="ADR220" s="922"/>
      <c r="ADS220" s="922"/>
      <c r="ADT220" s="922"/>
      <c r="ADU220" s="922"/>
      <c r="ADV220" s="922"/>
      <c r="ADW220" s="922"/>
      <c r="ADX220" s="922"/>
      <c r="ADY220" s="922"/>
      <c r="ADZ220" s="922"/>
      <c r="AEA220" s="922"/>
      <c r="AEB220" s="922"/>
      <c r="AEC220" s="922"/>
      <c r="AED220" s="922"/>
      <c r="AEE220" s="922"/>
      <c r="AEF220" s="922"/>
      <c r="AEG220" s="922"/>
      <c r="AEH220" s="922"/>
      <c r="AEI220" s="922"/>
      <c r="AEJ220" s="922"/>
      <c r="AEK220" s="922"/>
      <c r="AEL220" s="922"/>
      <c r="AEM220" s="922"/>
      <c r="AEN220" s="922"/>
      <c r="AEO220" s="922"/>
      <c r="AEP220" s="922"/>
      <c r="AEQ220" s="922"/>
      <c r="AER220" s="922"/>
      <c r="AES220" s="922"/>
      <c r="AET220" s="922"/>
      <c r="AEU220" s="922"/>
      <c r="AEV220" s="922"/>
      <c r="AEW220" s="922"/>
      <c r="AEX220" s="922"/>
      <c r="AEY220" s="922"/>
      <c r="AEZ220" s="922"/>
      <c r="AFA220" s="922"/>
      <c r="AFB220" s="922"/>
      <c r="AFC220" s="922"/>
      <c r="AFD220" s="922"/>
      <c r="AFE220" s="922"/>
      <c r="AFF220" s="922"/>
      <c r="AFG220" s="922"/>
      <c r="AFH220" s="922"/>
      <c r="AFI220" s="922"/>
      <c r="AFJ220" s="922"/>
      <c r="AFK220" s="922"/>
      <c r="AFL220" s="922"/>
      <c r="AFM220" s="922"/>
      <c r="AFN220" s="922"/>
      <c r="AFO220" s="922"/>
      <c r="AFP220" s="922"/>
      <c r="AFQ220" s="922"/>
      <c r="AFR220" s="922"/>
      <c r="AFS220" s="922"/>
      <c r="AFT220" s="922"/>
      <c r="AFU220" s="922"/>
      <c r="AFV220" s="922"/>
      <c r="AFW220" s="922"/>
      <c r="AFX220" s="922"/>
      <c r="AFY220" s="922"/>
      <c r="AFZ220" s="922"/>
      <c r="AGA220" s="922"/>
      <c r="AGB220" s="922"/>
      <c r="AGC220" s="922"/>
      <c r="AGD220" s="922"/>
      <c r="AGE220" s="922"/>
      <c r="AGF220" s="922"/>
      <c r="AGG220" s="922"/>
      <c r="AGH220" s="922"/>
      <c r="AGI220" s="922"/>
      <c r="AGJ220" s="922"/>
      <c r="AGK220" s="922"/>
      <c r="AGL220" s="922"/>
      <c r="AGM220" s="922"/>
      <c r="AGN220" s="922"/>
      <c r="AGO220" s="922"/>
      <c r="AGP220" s="922"/>
      <c r="AGQ220" s="922"/>
      <c r="AGR220" s="922"/>
      <c r="AGS220" s="922"/>
      <c r="AGT220" s="922"/>
      <c r="AGU220" s="922"/>
      <c r="AGV220" s="922"/>
      <c r="AGW220" s="922"/>
      <c r="AGX220" s="922"/>
      <c r="AGY220" s="922"/>
      <c r="AGZ220" s="922"/>
      <c r="AHA220" s="922"/>
      <c r="AHB220" s="922"/>
      <c r="AHC220" s="922"/>
      <c r="AHD220" s="922"/>
      <c r="AHE220" s="922"/>
      <c r="AHF220" s="922"/>
      <c r="AHG220" s="922"/>
      <c r="AHH220" s="922"/>
      <c r="AHI220" s="922"/>
      <c r="AHJ220" s="922"/>
      <c r="AHK220" s="922"/>
      <c r="AHL220" s="922"/>
      <c r="AHM220" s="922"/>
      <c r="AHN220" s="922"/>
      <c r="AHO220" s="922"/>
      <c r="AHP220" s="922"/>
      <c r="AHQ220" s="922"/>
      <c r="AHR220" s="922"/>
      <c r="AHS220" s="922"/>
      <c r="AHT220" s="922"/>
      <c r="AHU220" s="922"/>
      <c r="AHV220" s="922"/>
      <c r="AHW220" s="922"/>
      <c r="AHX220" s="922"/>
      <c r="AHY220" s="922"/>
      <c r="AHZ220" s="922"/>
      <c r="AIA220" s="922"/>
      <c r="AIB220" s="922"/>
      <c r="AIC220" s="922"/>
      <c r="AID220" s="922"/>
      <c r="AIE220" s="922"/>
      <c r="AIF220" s="922"/>
      <c r="AIG220" s="922"/>
      <c r="AIH220" s="922"/>
      <c r="AII220" s="922"/>
      <c r="AIJ220" s="922"/>
      <c r="AIK220" s="922"/>
      <c r="AIL220" s="922"/>
      <c r="AIM220" s="922"/>
      <c r="AIN220" s="922"/>
      <c r="AIO220" s="922"/>
      <c r="AIP220" s="922"/>
      <c r="AIQ220" s="922"/>
      <c r="AIR220" s="922"/>
      <c r="AIS220" s="922"/>
      <c r="AIT220" s="922"/>
      <c r="AIU220" s="922"/>
      <c r="AIV220" s="922"/>
      <c r="AIW220" s="922"/>
      <c r="AIX220" s="922"/>
      <c r="AIY220" s="922"/>
      <c r="AIZ220" s="922"/>
      <c r="AJA220" s="922"/>
      <c r="AJB220" s="922"/>
      <c r="AJC220" s="922"/>
      <c r="AJD220" s="922"/>
      <c r="AJE220" s="922"/>
      <c r="AJF220" s="922"/>
      <c r="AJG220" s="922"/>
      <c r="AJH220" s="922"/>
      <c r="AJI220" s="922"/>
      <c r="AJJ220" s="922"/>
      <c r="AJK220" s="922"/>
      <c r="AJL220" s="922"/>
      <c r="AJM220" s="922"/>
      <c r="AJN220" s="922"/>
      <c r="AJO220" s="922"/>
      <c r="AJP220" s="922"/>
      <c r="AJQ220" s="922"/>
      <c r="AJR220" s="922"/>
      <c r="AJS220" s="922"/>
      <c r="AJT220" s="922"/>
      <c r="AJU220" s="922"/>
      <c r="AJV220" s="922"/>
      <c r="AJW220" s="922"/>
      <c r="AJX220" s="922"/>
      <c r="AJY220" s="922"/>
      <c r="AJZ220" s="922"/>
      <c r="AKA220" s="922"/>
      <c r="AKB220" s="922"/>
      <c r="AKC220" s="922"/>
      <c r="AKD220" s="922"/>
      <c r="AKE220" s="922"/>
      <c r="AKF220" s="922"/>
      <c r="AKG220" s="922"/>
      <c r="AKH220" s="922"/>
      <c r="AKI220" s="922"/>
      <c r="AKJ220" s="922"/>
      <c r="AKK220" s="922"/>
      <c r="AKL220" s="922"/>
      <c r="AKM220" s="922"/>
      <c r="AKN220" s="922"/>
      <c r="AKO220" s="922"/>
      <c r="AKP220" s="922"/>
      <c r="AKQ220" s="922"/>
      <c r="AKR220" s="922"/>
      <c r="AKS220" s="922"/>
      <c r="AKT220" s="922"/>
      <c r="AKU220" s="922"/>
      <c r="AKV220" s="922"/>
      <c r="AKW220" s="922"/>
      <c r="AKX220" s="922"/>
      <c r="AKY220" s="922"/>
      <c r="AKZ220" s="922"/>
      <c r="ALA220" s="922"/>
      <c r="ALB220" s="922"/>
      <c r="ALC220" s="922"/>
      <c r="ALD220" s="922"/>
      <c r="ALE220" s="922"/>
      <c r="ALF220" s="922"/>
      <c r="ALG220" s="922"/>
      <c r="ALH220" s="922"/>
      <c r="ALI220" s="922"/>
      <c r="ALJ220" s="922"/>
      <c r="ALK220" s="922"/>
      <c r="ALL220" s="922"/>
      <c r="ALM220" s="922"/>
      <c r="ALN220" s="922"/>
      <c r="ALO220" s="922"/>
      <c r="ALP220" s="922"/>
      <c r="ALQ220" s="922"/>
      <c r="ALR220" s="922"/>
      <c r="ALS220" s="922"/>
      <c r="ALT220" s="922"/>
      <c r="ALU220" s="922"/>
      <c r="ALV220" s="922"/>
      <c r="ALW220" s="922"/>
      <c r="ALX220" s="922"/>
      <c r="ALY220" s="922"/>
      <c r="ALZ220" s="922"/>
      <c r="AMA220" s="922"/>
      <c r="AMB220" s="922"/>
      <c r="AMC220" s="922"/>
      <c r="AMD220" s="922"/>
      <c r="AME220" s="922"/>
      <c r="AMF220" s="922"/>
      <c r="AMG220" s="922"/>
      <c r="AMH220" s="922"/>
      <c r="AMI220" s="922"/>
      <c r="AMJ220" s="922"/>
      <c r="AMK220" s="922"/>
      <c r="AML220" s="922"/>
      <c r="AMM220" s="922"/>
      <c r="AMN220" s="922"/>
      <c r="AMO220" s="922"/>
      <c r="AMP220" s="922"/>
      <c r="AMQ220" s="922"/>
      <c r="AMR220" s="922"/>
      <c r="AMS220" s="922"/>
      <c r="AMT220" s="922"/>
      <c r="AMU220" s="922"/>
      <c r="AMV220" s="922"/>
      <c r="AMW220" s="922"/>
      <c r="AMX220" s="922"/>
      <c r="AMY220" s="922"/>
      <c r="AMZ220" s="922"/>
      <c r="ANA220" s="922"/>
      <c r="ANB220" s="922"/>
      <c r="ANC220" s="922"/>
      <c r="AND220" s="922"/>
      <c r="ANE220" s="922"/>
      <c r="ANF220" s="922"/>
      <c r="ANG220" s="922"/>
      <c r="ANH220" s="922"/>
      <c r="ANI220" s="922"/>
      <c r="ANJ220" s="922"/>
      <c r="ANK220" s="922"/>
      <c r="ANL220" s="922"/>
      <c r="ANM220" s="922"/>
      <c r="ANN220" s="922"/>
      <c r="ANO220" s="922"/>
      <c r="ANP220" s="922"/>
      <c r="ANQ220" s="922"/>
      <c r="ANR220" s="922"/>
      <c r="ANS220" s="922"/>
      <c r="ANT220" s="922"/>
      <c r="ANU220" s="922"/>
      <c r="ANV220" s="922"/>
      <c r="ANW220" s="922"/>
      <c r="ANX220" s="922"/>
      <c r="ANY220" s="922"/>
      <c r="ANZ220" s="922"/>
      <c r="AOA220" s="922"/>
      <c r="AOB220" s="922"/>
      <c r="AOC220" s="922"/>
      <c r="AOD220" s="922"/>
      <c r="AOE220" s="922"/>
      <c r="AOF220" s="922"/>
      <c r="AOG220" s="922"/>
      <c r="AOH220" s="922"/>
      <c r="AOI220" s="922"/>
      <c r="AOJ220" s="922"/>
      <c r="AOK220" s="922"/>
      <c r="AOL220" s="922"/>
      <c r="AOM220" s="922"/>
      <c r="AON220" s="922"/>
      <c r="AOO220" s="922"/>
      <c r="AOP220" s="922"/>
      <c r="AOQ220" s="922"/>
      <c r="AOR220" s="922"/>
      <c r="AOS220" s="922"/>
      <c r="AOT220" s="922"/>
      <c r="AOU220" s="922"/>
      <c r="AOV220" s="922"/>
      <c r="AOW220" s="922"/>
      <c r="AOX220" s="922"/>
      <c r="AOY220" s="922"/>
      <c r="AOZ220" s="922"/>
      <c r="APA220" s="922"/>
      <c r="APB220" s="922"/>
      <c r="APC220" s="922"/>
      <c r="APD220" s="922"/>
      <c r="APE220" s="922"/>
      <c r="APF220" s="922"/>
      <c r="APG220" s="922"/>
      <c r="APH220" s="922"/>
      <c r="API220" s="922"/>
      <c r="APJ220" s="922"/>
      <c r="APK220" s="922"/>
      <c r="APL220" s="922"/>
      <c r="APM220" s="922"/>
      <c r="APN220" s="922"/>
      <c r="APO220" s="922"/>
      <c r="APP220" s="922"/>
      <c r="APQ220" s="922"/>
      <c r="APR220" s="922"/>
      <c r="APS220" s="922"/>
      <c r="APT220" s="922"/>
      <c r="APU220" s="922"/>
      <c r="APV220" s="922"/>
      <c r="APW220" s="922"/>
      <c r="APX220" s="922"/>
      <c r="APY220" s="922"/>
      <c r="APZ220" s="922"/>
      <c r="AQA220" s="922"/>
      <c r="AQB220" s="922"/>
      <c r="AQC220" s="922"/>
      <c r="AQD220" s="922"/>
      <c r="AQE220" s="922"/>
      <c r="AQF220" s="922"/>
      <c r="AQG220" s="922"/>
      <c r="AQH220" s="922"/>
      <c r="AQI220" s="922"/>
      <c r="AQJ220" s="922"/>
      <c r="AQK220" s="922"/>
      <c r="AQL220" s="922"/>
      <c r="AQM220" s="922"/>
      <c r="AQN220" s="922"/>
      <c r="AQO220" s="922"/>
      <c r="AQP220" s="922"/>
      <c r="AQQ220" s="922"/>
      <c r="AQR220" s="922"/>
      <c r="AQS220" s="922"/>
      <c r="AQT220" s="922"/>
      <c r="AQU220" s="922"/>
      <c r="AQV220" s="922"/>
      <c r="AQW220" s="922"/>
      <c r="AQX220" s="922"/>
      <c r="AQY220" s="922"/>
      <c r="AQZ220" s="922"/>
      <c r="ARA220" s="922"/>
      <c r="ARB220" s="922"/>
      <c r="ARC220" s="922"/>
      <c r="ARD220" s="922"/>
      <c r="ARE220" s="922"/>
      <c r="ARF220" s="922"/>
      <c r="ARG220" s="922"/>
      <c r="ARH220" s="922"/>
      <c r="ARI220" s="922"/>
      <c r="ARJ220" s="922"/>
      <c r="ARK220" s="922"/>
      <c r="ARL220" s="922"/>
      <c r="ARM220" s="922"/>
      <c r="ARN220" s="922"/>
      <c r="ARO220" s="922"/>
      <c r="ARP220" s="922"/>
      <c r="ARQ220" s="922"/>
      <c r="ARR220" s="922"/>
      <c r="ARS220" s="922"/>
      <c r="ART220" s="922"/>
      <c r="ARU220" s="922"/>
      <c r="ARV220" s="922"/>
      <c r="ARW220" s="922"/>
      <c r="ARX220" s="922"/>
      <c r="ARY220" s="922"/>
      <c r="ARZ220" s="922"/>
      <c r="ASA220" s="922"/>
      <c r="ASB220" s="922"/>
      <c r="ASC220" s="922"/>
    </row>
    <row r="221" spans="20:1173" hidden="1">
      <c r="T221" s="922"/>
      <c r="AN221" s="922"/>
      <c r="AO221" s="922"/>
      <c r="AP221" s="922"/>
      <c r="AQ221" s="922"/>
      <c r="AR221" s="922"/>
      <c r="AS221" s="922"/>
      <c r="AT221" s="922"/>
      <c r="AU221" s="922"/>
      <c r="AV221" s="922"/>
      <c r="AW221" s="922"/>
      <c r="AX221" s="922"/>
      <c r="AY221" s="922"/>
      <c r="AZ221" s="922"/>
      <c r="BA221" s="922"/>
      <c r="BB221" s="922"/>
      <c r="BC221" s="922"/>
      <c r="BD221" s="922"/>
      <c r="BE221" s="922"/>
      <c r="BF221" s="922"/>
      <c r="BG221" s="922"/>
      <c r="BH221" s="922"/>
      <c r="BI221" s="922"/>
      <c r="BJ221" s="922"/>
      <c r="BK221" s="922"/>
      <c r="BL221" s="922"/>
      <c r="BM221" s="922"/>
      <c r="BN221" s="922"/>
      <c r="BO221" s="922"/>
      <c r="BP221" s="922"/>
      <c r="BQ221" s="922"/>
      <c r="BR221" s="922"/>
      <c r="BS221" s="922"/>
      <c r="BT221" s="922"/>
      <c r="BU221" s="922"/>
      <c r="BV221" s="922"/>
      <c r="BW221" s="922"/>
      <c r="BX221" s="922"/>
      <c r="BY221" s="922"/>
      <c r="BZ221" s="922"/>
      <c r="CA221" s="922"/>
      <c r="CB221" s="922"/>
      <c r="CC221" s="922"/>
      <c r="CD221" s="922"/>
      <c r="CE221" s="922"/>
      <c r="CF221" s="922"/>
      <c r="CG221" s="922"/>
      <c r="CH221" s="922"/>
      <c r="CI221" s="922"/>
      <c r="CJ221" s="922"/>
      <c r="CK221" s="922"/>
      <c r="CL221" s="922"/>
      <c r="CM221" s="922"/>
      <c r="CN221" s="922"/>
      <c r="CO221" s="922"/>
      <c r="CP221" s="922"/>
      <c r="CQ221" s="922"/>
      <c r="CR221" s="922"/>
      <c r="CS221" s="922"/>
      <c r="CT221" s="922"/>
      <c r="CU221" s="922"/>
      <c r="CV221" s="922"/>
      <c r="CW221" s="922"/>
      <c r="CX221" s="922"/>
      <c r="CY221" s="922"/>
      <c r="CZ221" s="922"/>
      <c r="DA221" s="922"/>
      <c r="DB221" s="922"/>
      <c r="DC221" s="922"/>
      <c r="DD221" s="922"/>
      <c r="DE221" s="922"/>
      <c r="DF221" s="922"/>
      <c r="DG221" s="922"/>
      <c r="DH221" s="922"/>
      <c r="DI221" s="922"/>
      <c r="DJ221" s="922"/>
      <c r="DK221" s="922"/>
      <c r="DL221" s="922"/>
      <c r="DM221" s="922"/>
      <c r="DN221" s="922"/>
      <c r="DO221" s="922"/>
      <c r="DP221" s="922"/>
      <c r="DQ221" s="922"/>
      <c r="DR221" s="922"/>
      <c r="DS221" s="922"/>
      <c r="DT221" s="922"/>
      <c r="DU221" s="922"/>
      <c r="DV221" s="922"/>
      <c r="DW221" s="922"/>
      <c r="DX221" s="922"/>
      <c r="DY221" s="922"/>
      <c r="DZ221" s="922"/>
      <c r="EA221" s="922"/>
      <c r="EB221" s="922"/>
      <c r="EC221" s="922"/>
      <c r="ED221" s="922"/>
      <c r="EE221" s="922"/>
      <c r="EF221" s="922"/>
      <c r="EG221" s="922"/>
      <c r="EH221" s="922"/>
      <c r="EI221" s="922"/>
      <c r="EJ221" s="922"/>
      <c r="EK221" s="922"/>
      <c r="EL221" s="922"/>
      <c r="EM221" s="922"/>
      <c r="EN221" s="922"/>
      <c r="EO221" s="922"/>
      <c r="EP221" s="922"/>
      <c r="EQ221" s="922"/>
      <c r="ER221" s="922"/>
      <c r="ES221" s="922"/>
      <c r="ET221" s="922"/>
      <c r="EU221" s="922"/>
      <c r="EV221" s="922"/>
      <c r="EW221" s="922"/>
      <c r="EX221" s="922"/>
      <c r="EY221" s="922"/>
      <c r="EZ221" s="922"/>
      <c r="FA221" s="922"/>
      <c r="FB221" s="922"/>
      <c r="FC221" s="922"/>
      <c r="FD221" s="922"/>
      <c r="FE221" s="922"/>
      <c r="FF221" s="922"/>
      <c r="FG221" s="922"/>
      <c r="FH221" s="922"/>
      <c r="FI221" s="922"/>
      <c r="FJ221" s="922"/>
      <c r="FK221" s="922"/>
      <c r="FL221" s="922"/>
      <c r="FM221" s="922"/>
      <c r="FN221" s="922"/>
      <c r="FO221" s="922"/>
      <c r="FP221" s="922"/>
      <c r="FQ221" s="922"/>
      <c r="FR221" s="922"/>
      <c r="FS221" s="922"/>
      <c r="FT221" s="922"/>
      <c r="FU221" s="922"/>
      <c r="FV221" s="922"/>
      <c r="FW221" s="922"/>
      <c r="FX221" s="922"/>
      <c r="FY221" s="922"/>
      <c r="FZ221" s="922"/>
      <c r="GA221" s="922"/>
      <c r="GB221" s="922"/>
      <c r="GC221" s="922"/>
      <c r="GD221" s="922"/>
      <c r="GE221" s="922"/>
      <c r="GF221" s="922"/>
      <c r="GG221" s="922"/>
      <c r="GH221" s="922"/>
      <c r="GI221" s="922"/>
      <c r="GJ221" s="922"/>
      <c r="GK221" s="922"/>
      <c r="GL221" s="922"/>
      <c r="GM221" s="922"/>
      <c r="GN221" s="922"/>
      <c r="GO221" s="922"/>
      <c r="GP221" s="922"/>
      <c r="GQ221" s="922"/>
      <c r="GR221" s="922"/>
      <c r="GS221" s="922"/>
      <c r="GT221" s="922"/>
      <c r="GU221" s="922"/>
      <c r="GV221" s="922"/>
      <c r="GW221" s="922"/>
      <c r="GX221" s="922"/>
      <c r="GY221" s="922"/>
      <c r="GZ221" s="922"/>
      <c r="HA221" s="922"/>
      <c r="HB221" s="922"/>
      <c r="HC221" s="922"/>
      <c r="HD221" s="922"/>
      <c r="HE221" s="922"/>
      <c r="HF221" s="922"/>
      <c r="HG221" s="922"/>
      <c r="HH221" s="922"/>
      <c r="HI221" s="922"/>
      <c r="HJ221" s="922"/>
      <c r="HK221" s="922"/>
      <c r="HL221" s="922"/>
      <c r="HM221" s="922"/>
      <c r="HN221" s="922"/>
      <c r="HO221" s="922"/>
      <c r="HP221" s="922"/>
      <c r="HQ221" s="922"/>
      <c r="HR221" s="922"/>
      <c r="HS221" s="922"/>
      <c r="HT221" s="922"/>
      <c r="HU221" s="922"/>
      <c r="HV221" s="922"/>
      <c r="HW221" s="922"/>
      <c r="HX221" s="922"/>
      <c r="HY221" s="922"/>
      <c r="HZ221" s="922"/>
      <c r="IA221" s="922"/>
      <c r="IB221" s="922"/>
      <c r="IC221" s="922"/>
      <c r="ID221" s="922"/>
      <c r="IE221" s="922"/>
      <c r="IF221" s="922"/>
      <c r="IG221" s="922"/>
      <c r="IH221" s="922"/>
      <c r="II221" s="922"/>
      <c r="IJ221" s="922"/>
      <c r="IK221" s="922"/>
      <c r="IL221" s="922"/>
      <c r="IM221" s="922"/>
      <c r="IN221" s="922"/>
      <c r="IO221" s="922"/>
      <c r="IP221" s="922"/>
      <c r="IQ221" s="922"/>
      <c r="IR221" s="922"/>
      <c r="IS221" s="922"/>
      <c r="IT221" s="922"/>
      <c r="IU221" s="922"/>
      <c r="IV221" s="922"/>
      <c r="IW221" s="922"/>
      <c r="IX221" s="922"/>
      <c r="IY221" s="922"/>
      <c r="IZ221" s="922"/>
      <c r="JA221" s="922"/>
      <c r="JB221" s="922"/>
      <c r="JC221" s="922"/>
      <c r="JD221" s="922"/>
      <c r="JE221" s="922"/>
      <c r="JF221" s="922"/>
      <c r="JG221" s="922"/>
      <c r="JH221" s="922"/>
      <c r="JI221" s="922"/>
      <c r="JJ221" s="922"/>
      <c r="JK221" s="922"/>
      <c r="JL221" s="922"/>
      <c r="JM221" s="922"/>
      <c r="JN221" s="922"/>
      <c r="JO221" s="922"/>
      <c r="JP221" s="922"/>
      <c r="JQ221" s="922"/>
      <c r="JR221" s="922"/>
      <c r="JS221" s="922"/>
      <c r="JT221" s="922"/>
      <c r="JU221" s="922"/>
      <c r="JV221" s="922"/>
      <c r="JW221" s="922"/>
      <c r="JX221" s="922"/>
      <c r="JY221" s="922"/>
      <c r="JZ221" s="922"/>
      <c r="KA221" s="922"/>
      <c r="KB221" s="922"/>
      <c r="KC221" s="922"/>
      <c r="KD221" s="922"/>
      <c r="KE221" s="922"/>
      <c r="KF221" s="922"/>
      <c r="KG221" s="922"/>
      <c r="KH221" s="922"/>
      <c r="KI221" s="922"/>
      <c r="KJ221" s="922"/>
      <c r="KK221" s="922"/>
      <c r="KL221" s="922"/>
      <c r="KM221" s="922"/>
      <c r="KN221" s="922"/>
      <c r="KO221" s="922"/>
      <c r="KP221" s="922"/>
      <c r="KQ221" s="922"/>
      <c r="KR221" s="922"/>
      <c r="KS221" s="922"/>
      <c r="KT221" s="922"/>
      <c r="KU221" s="922"/>
      <c r="KV221" s="922"/>
      <c r="KW221" s="922"/>
      <c r="KX221" s="922"/>
      <c r="KY221" s="922"/>
      <c r="KZ221" s="922"/>
      <c r="LA221" s="922"/>
      <c r="LB221" s="922"/>
      <c r="LC221" s="922"/>
      <c r="LD221" s="922"/>
      <c r="LE221" s="922"/>
      <c r="LF221" s="922"/>
      <c r="LG221" s="922"/>
      <c r="LH221" s="922"/>
      <c r="LI221" s="922"/>
      <c r="LJ221" s="922"/>
      <c r="LK221" s="922"/>
      <c r="LL221" s="922"/>
      <c r="LM221" s="922"/>
      <c r="LN221" s="922"/>
      <c r="LO221" s="922"/>
      <c r="LP221" s="922"/>
      <c r="LQ221" s="922"/>
      <c r="LR221" s="922"/>
      <c r="LS221" s="922"/>
      <c r="LT221" s="922"/>
      <c r="LU221" s="922"/>
      <c r="LV221" s="922"/>
      <c r="LW221" s="922"/>
      <c r="LX221" s="922"/>
      <c r="LY221" s="922"/>
      <c r="LZ221" s="922"/>
      <c r="MA221" s="922"/>
      <c r="MB221" s="922"/>
      <c r="MC221" s="922"/>
      <c r="MD221" s="922"/>
      <c r="ME221" s="922"/>
      <c r="MF221" s="922"/>
      <c r="MG221" s="922"/>
      <c r="MH221" s="922"/>
      <c r="MI221" s="922"/>
      <c r="MJ221" s="922"/>
      <c r="MK221" s="922"/>
      <c r="ML221" s="922"/>
      <c r="MM221" s="922"/>
      <c r="MN221" s="922"/>
      <c r="MO221" s="922"/>
      <c r="MP221" s="922"/>
      <c r="MQ221" s="922"/>
      <c r="MR221" s="922"/>
      <c r="MS221" s="922"/>
      <c r="MT221" s="922"/>
      <c r="MU221" s="922"/>
      <c r="MV221" s="922"/>
      <c r="MW221" s="922"/>
      <c r="MX221" s="922"/>
      <c r="MY221" s="922"/>
      <c r="MZ221" s="922"/>
      <c r="NA221" s="922"/>
      <c r="NB221" s="922"/>
      <c r="NC221" s="922"/>
      <c r="ND221" s="922"/>
      <c r="NE221" s="922"/>
      <c r="NF221" s="922"/>
      <c r="NG221" s="922"/>
      <c r="NH221" s="922"/>
      <c r="NI221" s="922"/>
      <c r="NJ221" s="922"/>
      <c r="NK221" s="922"/>
      <c r="NL221" s="922"/>
      <c r="NM221" s="922"/>
      <c r="NN221" s="922"/>
      <c r="NO221" s="922"/>
      <c r="NP221" s="922"/>
      <c r="NQ221" s="922"/>
      <c r="NR221" s="922"/>
      <c r="NS221" s="922"/>
      <c r="NT221" s="922"/>
      <c r="NU221" s="922"/>
      <c r="NV221" s="922"/>
      <c r="NW221" s="922"/>
      <c r="NX221" s="922"/>
      <c r="NY221" s="922"/>
      <c r="NZ221" s="922"/>
      <c r="OA221" s="922"/>
      <c r="OB221" s="922"/>
      <c r="OC221" s="922"/>
      <c r="OD221" s="922"/>
      <c r="OE221" s="922"/>
      <c r="OF221" s="922"/>
      <c r="OG221" s="922"/>
      <c r="OH221" s="922"/>
      <c r="OI221" s="922"/>
      <c r="OJ221" s="922"/>
      <c r="OK221" s="922"/>
      <c r="OL221" s="922"/>
      <c r="OM221" s="922"/>
      <c r="ON221" s="922"/>
      <c r="OO221" s="922"/>
      <c r="OP221" s="922"/>
      <c r="OQ221" s="922"/>
      <c r="OR221" s="922"/>
      <c r="OS221" s="922"/>
      <c r="OT221" s="922"/>
      <c r="OU221" s="922"/>
      <c r="OV221" s="922"/>
      <c r="OW221" s="922"/>
      <c r="OX221" s="922"/>
      <c r="OY221" s="922"/>
      <c r="OZ221" s="922"/>
      <c r="PA221" s="922"/>
      <c r="PB221" s="922"/>
      <c r="PC221" s="922"/>
      <c r="PD221" s="922"/>
      <c r="PE221" s="922"/>
      <c r="PF221" s="922"/>
      <c r="PG221" s="922"/>
      <c r="PH221" s="922"/>
      <c r="PI221" s="922"/>
      <c r="PJ221" s="922"/>
      <c r="PK221" s="922"/>
      <c r="PL221" s="922"/>
      <c r="PM221" s="922"/>
      <c r="PN221" s="922"/>
      <c r="PO221" s="922"/>
      <c r="PP221" s="922"/>
      <c r="PQ221" s="922"/>
      <c r="PR221" s="922"/>
      <c r="PS221" s="922"/>
      <c r="PT221" s="922"/>
      <c r="PU221" s="922"/>
      <c r="PV221" s="922"/>
      <c r="PW221" s="922"/>
      <c r="PX221" s="922"/>
      <c r="PY221" s="922"/>
      <c r="PZ221" s="922"/>
      <c r="QA221" s="922"/>
      <c r="QB221" s="922"/>
      <c r="QC221" s="922"/>
      <c r="QD221" s="922"/>
      <c r="QE221" s="922"/>
      <c r="QF221" s="922"/>
      <c r="QG221" s="922"/>
      <c r="QH221" s="922"/>
      <c r="QI221" s="922"/>
      <c r="QJ221" s="922"/>
      <c r="QK221" s="922"/>
      <c r="QL221" s="922"/>
      <c r="QM221" s="922"/>
      <c r="QN221" s="922"/>
      <c r="QO221" s="922"/>
      <c r="QP221" s="922"/>
      <c r="QQ221" s="922"/>
      <c r="QR221" s="922"/>
      <c r="QS221" s="922"/>
      <c r="QT221" s="922"/>
      <c r="QU221" s="922"/>
      <c r="QV221" s="922"/>
      <c r="QW221" s="922"/>
      <c r="QX221" s="922"/>
      <c r="QY221" s="922"/>
      <c r="QZ221" s="922"/>
      <c r="RA221" s="922"/>
      <c r="RB221" s="922"/>
      <c r="RC221" s="922"/>
      <c r="RD221" s="922"/>
      <c r="RE221" s="922"/>
      <c r="RF221" s="922"/>
      <c r="RG221" s="922"/>
      <c r="RH221" s="922"/>
      <c r="RI221" s="922"/>
      <c r="RJ221" s="922"/>
      <c r="RK221" s="922"/>
      <c r="RL221" s="922"/>
      <c r="RM221" s="922"/>
      <c r="RN221" s="922"/>
      <c r="RO221" s="922"/>
      <c r="RP221" s="922"/>
      <c r="RQ221" s="922"/>
      <c r="RR221" s="922"/>
      <c r="RS221" s="922"/>
      <c r="RT221" s="922"/>
      <c r="RU221" s="922"/>
      <c r="RV221" s="922"/>
      <c r="RW221" s="922"/>
      <c r="RX221" s="922"/>
      <c r="RY221" s="922"/>
      <c r="RZ221" s="922"/>
      <c r="SA221" s="922"/>
      <c r="SB221" s="922"/>
      <c r="SC221" s="922"/>
      <c r="SD221" s="922"/>
      <c r="SE221" s="922"/>
      <c r="SF221" s="922"/>
      <c r="SG221" s="922"/>
      <c r="SH221" s="922"/>
      <c r="SI221" s="922"/>
      <c r="SJ221" s="922"/>
      <c r="SK221" s="922"/>
      <c r="SL221" s="922"/>
      <c r="SM221" s="922"/>
      <c r="SN221" s="922"/>
      <c r="SO221" s="922"/>
      <c r="SP221" s="922"/>
      <c r="SQ221" s="922"/>
      <c r="SR221" s="922"/>
      <c r="SS221" s="922"/>
      <c r="ST221" s="922"/>
      <c r="SU221" s="922"/>
      <c r="SV221" s="922"/>
      <c r="SW221" s="922"/>
      <c r="SX221" s="922"/>
      <c r="SY221" s="922"/>
      <c r="SZ221" s="922"/>
      <c r="TA221" s="922"/>
      <c r="TB221" s="922"/>
      <c r="TC221" s="922"/>
      <c r="TD221" s="922"/>
      <c r="TE221" s="922"/>
      <c r="TF221" s="922"/>
      <c r="TG221" s="922"/>
      <c r="TH221" s="922"/>
      <c r="TI221" s="922"/>
      <c r="TJ221" s="922"/>
      <c r="TK221" s="922"/>
      <c r="TL221" s="922"/>
      <c r="TM221" s="922"/>
      <c r="TN221" s="922"/>
      <c r="TO221" s="922"/>
      <c r="TP221" s="922"/>
      <c r="TQ221" s="922"/>
      <c r="TR221" s="922"/>
      <c r="TS221" s="922"/>
      <c r="TT221" s="922"/>
      <c r="TU221" s="922"/>
      <c r="TV221" s="922"/>
      <c r="TW221" s="922"/>
      <c r="TX221" s="922"/>
      <c r="TY221" s="922"/>
      <c r="TZ221" s="922"/>
      <c r="UA221" s="922"/>
      <c r="UB221" s="922"/>
      <c r="UC221" s="922"/>
      <c r="UD221" s="922"/>
      <c r="UE221" s="922"/>
      <c r="UF221" s="922"/>
      <c r="UG221" s="922"/>
      <c r="UH221" s="922"/>
      <c r="UI221" s="922"/>
      <c r="UJ221" s="922"/>
      <c r="UK221" s="922"/>
      <c r="UL221" s="922"/>
      <c r="UM221" s="922"/>
      <c r="UN221" s="922"/>
      <c r="UO221" s="922"/>
      <c r="UP221" s="922"/>
      <c r="UQ221" s="922"/>
      <c r="UR221" s="922"/>
      <c r="US221" s="922"/>
      <c r="UT221" s="922"/>
      <c r="UU221" s="922"/>
      <c r="UV221" s="922"/>
      <c r="UW221" s="922"/>
      <c r="UX221" s="922"/>
      <c r="UY221" s="922"/>
      <c r="UZ221" s="922"/>
      <c r="VA221" s="922"/>
      <c r="VB221" s="922"/>
      <c r="VC221" s="922"/>
      <c r="VD221" s="922"/>
      <c r="VE221" s="922"/>
      <c r="VF221" s="922"/>
      <c r="VG221" s="922"/>
      <c r="VH221" s="922"/>
      <c r="VI221" s="922"/>
      <c r="VJ221" s="922"/>
      <c r="VK221" s="922"/>
      <c r="VL221" s="922"/>
      <c r="VM221" s="922"/>
      <c r="VN221" s="922"/>
      <c r="VO221" s="922"/>
      <c r="VP221" s="922"/>
      <c r="VQ221" s="922"/>
      <c r="VR221" s="922"/>
      <c r="VS221" s="922"/>
      <c r="VT221" s="922"/>
      <c r="VU221" s="922"/>
      <c r="VV221" s="922"/>
      <c r="VW221" s="922"/>
      <c r="VX221" s="922"/>
      <c r="VY221" s="922"/>
      <c r="VZ221" s="922"/>
      <c r="WA221" s="922"/>
      <c r="WB221" s="922"/>
      <c r="WC221" s="922"/>
      <c r="WD221" s="922"/>
      <c r="WE221" s="922"/>
      <c r="WF221" s="922"/>
      <c r="WG221" s="922"/>
      <c r="WH221" s="922"/>
      <c r="WI221" s="922"/>
      <c r="WJ221" s="922"/>
      <c r="WK221" s="922"/>
      <c r="WL221" s="922"/>
      <c r="WM221" s="922"/>
      <c r="WN221" s="922"/>
      <c r="WO221" s="922"/>
      <c r="WP221" s="922"/>
      <c r="WQ221" s="922"/>
      <c r="WR221" s="922"/>
      <c r="WS221" s="922"/>
      <c r="WT221" s="922"/>
      <c r="WU221" s="922"/>
      <c r="WV221" s="922"/>
      <c r="WW221" s="922"/>
      <c r="WX221" s="922"/>
      <c r="WY221" s="922"/>
      <c r="WZ221" s="922"/>
      <c r="XA221" s="922"/>
      <c r="XB221" s="922"/>
      <c r="XC221" s="922"/>
      <c r="XD221" s="922"/>
      <c r="XE221" s="922"/>
      <c r="XF221" s="922"/>
      <c r="XG221" s="922"/>
      <c r="XH221" s="922"/>
      <c r="XI221" s="922"/>
      <c r="XJ221" s="922"/>
      <c r="XK221" s="922"/>
      <c r="XL221" s="922"/>
      <c r="XM221" s="922"/>
      <c r="XN221" s="922"/>
      <c r="XO221" s="922"/>
      <c r="XP221" s="922"/>
      <c r="XQ221" s="922"/>
      <c r="XR221" s="922"/>
      <c r="XS221" s="922"/>
      <c r="XT221" s="922"/>
      <c r="XU221" s="922"/>
      <c r="XV221" s="922"/>
      <c r="XW221" s="922"/>
      <c r="XX221" s="922"/>
      <c r="XY221" s="922"/>
      <c r="XZ221" s="922"/>
      <c r="YA221" s="922"/>
      <c r="YB221" s="922"/>
      <c r="YC221" s="922"/>
      <c r="YD221" s="922"/>
      <c r="YE221" s="922"/>
      <c r="YF221" s="922"/>
      <c r="YG221" s="922"/>
      <c r="YH221" s="922"/>
      <c r="YI221" s="922"/>
      <c r="YJ221" s="922"/>
      <c r="YK221" s="922"/>
      <c r="YL221" s="922"/>
      <c r="YM221" s="922"/>
      <c r="YN221" s="922"/>
      <c r="YO221" s="922"/>
      <c r="YP221" s="922"/>
      <c r="YQ221" s="922"/>
      <c r="YR221" s="922"/>
      <c r="YS221" s="922"/>
      <c r="YT221" s="922"/>
      <c r="YU221" s="922"/>
      <c r="YV221" s="922"/>
      <c r="YW221" s="922"/>
      <c r="YX221" s="922"/>
      <c r="YY221" s="922"/>
      <c r="YZ221" s="922"/>
      <c r="ZA221" s="922"/>
      <c r="ZB221" s="922"/>
      <c r="ZC221" s="922"/>
      <c r="ZD221" s="922"/>
      <c r="ZE221" s="922"/>
      <c r="ZF221" s="922"/>
      <c r="ZG221" s="922"/>
      <c r="ZH221" s="922"/>
      <c r="ZI221" s="922"/>
      <c r="ZJ221" s="922"/>
      <c r="ZK221" s="922"/>
      <c r="ZL221" s="922"/>
      <c r="ZM221" s="922"/>
      <c r="ZN221" s="922"/>
      <c r="ZO221" s="922"/>
      <c r="ZP221" s="922"/>
      <c r="ZQ221" s="922"/>
      <c r="ZR221" s="922"/>
      <c r="ZS221" s="922"/>
      <c r="ZT221" s="922"/>
      <c r="ZU221" s="922"/>
      <c r="ZV221" s="922"/>
      <c r="ZW221" s="922"/>
      <c r="ZX221" s="922"/>
      <c r="ZY221" s="922"/>
      <c r="ZZ221" s="922"/>
      <c r="AAA221" s="922"/>
      <c r="AAB221" s="922"/>
      <c r="AAC221" s="922"/>
      <c r="AAD221" s="922"/>
      <c r="AAE221" s="922"/>
      <c r="AAF221" s="922"/>
      <c r="AAG221" s="922"/>
      <c r="AAH221" s="922"/>
      <c r="AAI221" s="922"/>
      <c r="AAJ221" s="922"/>
      <c r="AAK221" s="922"/>
      <c r="AAL221" s="922"/>
      <c r="AAM221" s="922"/>
      <c r="AAN221" s="922"/>
      <c r="AAO221" s="922"/>
      <c r="AAP221" s="922"/>
      <c r="AAQ221" s="922"/>
      <c r="AAR221" s="922"/>
      <c r="AAS221" s="922"/>
      <c r="AAT221" s="922"/>
      <c r="AAU221" s="922"/>
      <c r="AAV221" s="922"/>
      <c r="AAW221" s="922"/>
      <c r="AAX221" s="922"/>
      <c r="AAY221" s="922"/>
      <c r="AAZ221" s="922"/>
      <c r="ABA221" s="922"/>
      <c r="ABB221" s="922"/>
      <c r="ABC221" s="922"/>
      <c r="ABD221" s="922"/>
      <c r="ABE221" s="922"/>
      <c r="ABF221" s="922"/>
      <c r="ABG221" s="922"/>
      <c r="ABH221" s="922"/>
      <c r="ABI221" s="922"/>
      <c r="ABJ221" s="922"/>
      <c r="ABK221" s="922"/>
      <c r="ABL221" s="922"/>
      <c r="ABM221" s="922"/>
      <c r="ABN221" s="922"/>
      <c r="ABO221" s="922"/>
      <c r="ABP221" s="922"/>
      <c r="ABQ221" s="922"/>
      <c r="ABR221" s="922"/>
      <c r="ABS221" s="922"/>
      <c r="ABT221" s="922"/>
      <c r="ABU221" s="922"/>
      <c r="ABV221" s="922"/>
      <c r="ABW221" s="922"/>
      <c r="ABX221" s="922"/>
      <c r="ABY221" s="922"/>
      <c r="ABZ221" s="922"/>
      <c r="ACA221" s="922"/>
      <c r="ACB221" s="922"/>
      <c r="ACC221" s="922"/>
      <c r="ACD221" s="922"/>
      <c r="ACE221" s="922"/>
      <c r="ACF221" s="922"/>
      <c r="ACG221" s="922"/>
      <c r="ACH221" s="922"/>
      <c r="ACI221" s="922"/>
      <c r="ACJ221" s="922"/>
      <c r="ACK221" s="922"/>
      <c r="ACL221" s="922"/>
      <c r="ACM221" s="922"/>
      <c r="ACN221" s="922"/>
      <c r="ACO221" s="922"/>
      <c r="ACP221" s="922"/>
      <c r="ACQ221" s="922"/>
      <c r="ACR221" s="922"/>
      <c r="ACS221" s="922"/>
      <c r="ACT221" s="922"/>
      <c r="ACU221" s="922"/>
      <c r="ACV221" s="922"/>
      <c r="ACW221" s="922"/>
      <c r="ACX221" s="922"/>
      <c r="ACY221" s="922"/>
      <c r="ACZ221" s="922"/>
      <c r="ADA221" s="922"/>
      <c r="ADB221" s="922"/>
      <c r="ADC221" s="922"/>
      <c r="ADD221" s="922"/>
      <c r="ADE221" s="922"/>
      <c r="ADF221" s="922"/>
      <c r="ADG221" s="922"/>
      <c r="ADH221" s="922"/>
      <c r="ADI221" s="922"/>
      <c r="ADJ221" s="922"/>
      <c r="ADK221" s="922"/>
      <c r="ADL221" s="922"/>
      <c r="ADM221" s="922"/>
      <c r="ADN221" s="922"/>
      <c r="ADO221" s="922"/>
      <c r="ADP221" s="922"/>
      <c r="ADQ221" s="922"/>
      <c r="ADR221" s="922"/>
      <c r="ADS221" s="922"/>
      <c r="ADT221" s="922"/>
      <c r="ADU221" s="922"/>
      <c r="ADV221" s="922"/>
      <c r="ADW221" s="922"/>
      <c r="ADX221" s="922"/>
      <c r="ADY221" s="922"/>
      <c r="ADZ221" s="922"/>
      <c r="AEA221" s="922"/>
      <c r="AEB221" s="922"/>
      <c r="AEC221" s="922"/>
      <c r="AED221" s="922"/>
      <c r="AEE221" s="922"/>
      <c r="AEF221" s="922"/>
      <c r="AEG221" s="922"/>
      <c r="AEH221" s="922"/>
      <c r="AEI221" s="922"/>
      <c r="AEJ221" s="922"/>
      <c r="AEK221" s="922"/>
      <c r="AEL221" s="922"/>
      <c r="AEM221" s="922"/>
      <c r="AEN221" s="922"/>
      <c r="AEO221" s="922"/>
      <c r="AEP221" s="922"/>
      <c r="AEQ221" s="922"/>
      <c r="AER221" s="922"/>
      <c r="AES221" s="922"/>
      <c r="AET221" s="922"/>
      <c r="AEU221" s="922"/>
      <c r="AEV221" s="922"/>
      <c r="AEW221" s="922"/>
      <c r="AEX221" s="922"/>
      <c r="AEY221" s="922"/>
      <c r="AEZ221" s="922"/>
      <c r="AFA221" s="922"/>
      <c r="AFB221" s="922"/>
      <c r="AFC221" s="922"/>
      <c r="AFD221" s="922"/>
      <c r="AFE221" s="922"/>
      <c r="AFF221" s="922"/>
      <c r="AFG221" s="922"/>
      <c r="AFH221" s="922"/>
      <c r="AFI221" s="922"/>
      <c r="AFJ221" s="922"/>
      <c r="AFK221" s="922"/>
      <c r="AFL221" s="922"/>
      <c r="AFM221" s="922"/>
      <c r="AFN221" s="922"/>
      <c r="AFO221" s="922"/>
      <c r="AFP221" s="922"/>
      <c r="AFQ221" s="922"/>
      <c r="AFR221" s="922"/>
      <c r="AFS221" s="922"/>
      <c r="AFT221" s="922"/>
      <c r="AFU221" s="922"/>
      <c r="AFV221" s="922"/>
      <c r="AFW221" s="922"/>
      <c r="AFX221" s="922"/>
      <c r="AFY221" s="922"/>
      <c r="AFZ221" s="922"/>
      <c r="AGA221" s="922"/>
      <c r="AGB221" s="922"/>
      <c r="AGC221" s="922"/>
      <c r="AGD221" s="922"/>
      <c r="AGE221" s="922"/>
      <c r="AGF221" s="922"/>
      <c r="AGG221" s="922"/>
      <c r="AGH221" s="922"/>
      <c r="AGI221" s="922"/>
      <c r="AGJ221" s="922"/>
      <c r="AGK221" s="922"/>
      <c r="AGL221" s="922"/>
      <c r="AGM221" s="922"/>
      <c r="AGN221" s="922"/>
      <c r="AGO221" s="922"/>
      <c r="AGP221" s="922"/>
      <c r="AGQ221" s="922"/>
      <c r="AGR221" s="922"/>
      <c r="AGS221" s="922"/>
      <c r="AGT221" s="922"/>
      <c r="AGU221" s="922"/>
      <c r="AGV221" s="922"/>
      <c r="AGW221" s="922"/>
      <c r="AGX221" s="922"/>
      <c r="AGY221" s="922"/>
      <c r="AGZ221" s="922"/>
      <c r="AHA221" s="922"/>
      <c r="AHB221" s="922"/>
      <c r="AHC221" s="922"/>
      <c r="AHD221" s="922"/>
      <c r="AHE221" s="922"/>
      <c r="AHF221" s="922"/>
      <c r="AHG221" s="922"/>
      <c r="AHH221" s="922"/>
      <c r="AHI221" s="922"/>
      <c r="AHJ221" s="922"/>
      <c r="AHK221" s="922"/>
      <c r="AHL221" s="922"/>
      <c r="AHM221" s="922"/>
      <c r="AHN221" s="922"/>
      <c r="AHO221" s="922"/>
      <c r="AHP221" s="922"/>
      <c r="AHQ221" s="922"/>
      <c r="AHR221" s="922"/>
      <c r="AHS221" s="922"/>
      <c r="AHT221" s="922"/>
      <c r="AHU221" s="922"/>
      <c r="AHV221" s="922"/>
      <c r="AHW221" s="922"/>
      <c r="AHX221" s="922"/>
      <c r="AHY221" s="922"/>
      <c r="AHZ221" s="922"/>
      <c r="AIA221" s="922"/>
      <c r="AIB221" s="922"/>
      <c r="AIC221" s="922"/>
      <c r="AID221" s="922"/>
      <c r="AIE221" s="922"/>
      <c r="AIF221" s="922"/>
      <c r="AIG221" s="922"/>
      <c r="AIH221" s="922"/>
      <c r="AII221" s="922"/>
      <c r="AIJ221" s="922"/>
      <c r="AIK221" s="922"/>
      <c r="AIL221" s="922"/>
      <c r="AIM221" s="922"/>
      <c r="AIN221" s="922"/>
      <c r="AIO221" s="922"/>
      <c r="AIP221" s="922"/>
      <c r="AIQ221" s="922"/>
      <c r="AIR221" s="922"/>
      <c r="AIS221" s="922"/>
      <c r="AIT221" s="922"/>
      <c r="AIU221" s="922"/>
      <c r="AIV221" s="922"/>
      <c r="AIW221" s="922"/>
      <c r="AIX221" s="922"/>
      <c r="AIY221" s="922"/>
      <c r="AIZ221" s="922"/>
      <c r="AJA221" s="922"/>
      <c r="AJB221" s="922"/>
      <c r="AJC221" s="922"/>
      <c r="AJD221" s="922"/>
      <c r="AJE221" s="922"/>
      <c r="AJF221" s="922"/>
      <c r="AJG221" s="922"/>
      <c r="AJH221" s="922"/>
      <c r="AJI221" s="922"/>
      <c r="AJJ221" s="922"/>
      <c r="AJK221" s="922"/>
      <c r="AJL221" s="922"/>
      <c r="AJM221" s="922"/>
      <c r="AJN221" s="922"/>
      <c r="AJO221" s="922"/>
      <c r="AJP221" s="922"/>
      <c r="AJQ221" s="922"/>
      <c r="AJR221" s="922"/>
      <c r="AJS221" s="922"/>
      <c r="AJT221" s="922"/>
      <c r="AJU221" s="922"/>
      <c r="AJV221" s="922"/>
      <c r="AJW221" s="922"/>
      <c r="AJX221" s="922"/>
      <c r="AJY221" s="922"/>
      <c r="AJZ221" s="922"/>
      <c r="AKA221" s="922"/>
      <c r="AKB221" s="922"/>
      <c r="AKC221" s="922"/>
      <c r="AKD221" s="922"/>
      <c r="AKE221" s="922"/>
      <c r="AKF221" s="922"/>
      <c r="AKG221" s="922"/>
      <c r="AKH221" s="922"/>
      <c r="AKI221" s="922"/>
      <c r="AKJ221" s="922"/>
      <c r="AKK221" s="922"/>
      <c r="AKL221" s="922"/>
      <c r="AKM221" s="922"/>
      <c r="AKN221" s="922"/>
      <c r="AKO221" s="922"/>
      <c r="AKP221" s="922"/>
      <c r="AKQ221" s="922"/>
      <c r="AKR221" s="922"/>
      <c r="AKS221" s="922"/>
      <c r="AKT221" s="922"/>
      <c r="AKU221" s="922"/>
      <c r="AKV221" s="922"/>
      <c r="AKW221" s="922"/>
      <c r="AKX221" s="922"/>
      <c r="AKY221" s="922"/>
      <c r="AKZ221" s="922"/>
      <c r="ALA221" s="922"/>
      <c r="ALB221" s="922"/>
      <c r="ALC221" s="922"/>
      <c r="ALD221" s="922"/>
      <c r="ALE221" s="922"/>
      <c r="ALF221" s="922"/>
      <c r="ALG221" s="922"/>
      <c r="ALH221" s="922"/>
      <c r="ALI221" s="922"/>
      <c r="ALJ221" s="922"/>
      <c r="ALK221" s="922"/>
      <c r="ALL221" s="922"/>
      <c r="ALM221" s="922"/>
      <c r="ALN221" s="922"/>
      <c r="ALO221" s="922"/>
      <c r="ALP221" s="922"/>
      <c r="ALQ221" s="922"/>
      <c r="ALR221" s="922"/>
      <c r="ALS221" s="922"/>
      <c r="ALT221" s="922"/>
      <c r="ALU221" s="922"/>
      <c r="ALV221" s="922"/>
      <c r="ALW221" s="922"/>
      <c r="ALX221" s="922"/>
      <c r="ALY221" s="922"/>
      <c r="ALZ221" s="922"/>
      <c r="AMA221" s="922"/>
      <c r="AMB221" s="922"/>
      <c r="AMC221" s="922"/>
      <c r="AMD221" s="922"/>
      <c r="AME221" s="922"/>
      <c r="AMF221" s="922"/>
      <c r="AMG221" s="922"/>
      <c r="AMH221" s="922"/>
      <c r="AMI221" s="922"/>
      <c r="AMJ221" s="922"/>
      <c r="AMK221" s="922"/>
      <c r="AML221" s="922"/>
      <c r="AMM221" s="922"/>
      <c r="AMN221" s="922"/>
      <c r="AMO221" s="922"/>
      <c r="AMP221" s="922"/>
      <c r="AMQ221" s="922"/>
      <c r="AMR221" s="922"/>
      <c r="AMS221" s="922"/>
      <c r="AMT221" s="922"/>
      <c r="AMU221" s="922"/>
      <c r="AMV221" s="922"/>
      <c r="AMW221" s="922"/>
      <c r="AMX221" s="922"/>
      <c r="AMY221" s="922"/>
      <c r="AMZ221" s="922"/>
      <c r="ANA221" s="922"/>
      <c r="ANB221" s="922"/>
      <c r="ANC221" s="922"/>
      <c r="AND221" s="922"/>
      <c r="ANE221" s="922"/>
      <c r="ANF221" s="922"/>
      <c r="ANG221" s="922"/>
      <c r="ANH221" s="922"/>
      <c r="ANI221" s="922"/>
      <c r="ANJ221" s="922"/>
      <c r="ANK221" s="922"/>
      <c r="ANL221" s="922"/>
      <c r="ANM221" s="922"/>
      <c r="ANN221" s="922"/>
      <c r="ANO221" s="922"/>
      <c r="ANP221" s="922"/>
      <c r="ANQ221" s="922"/>
      <c r="ANR221" s="922"/>
      <c r="ANS221" s="922"/>
      <c r="ANT221" s="922"/>
      <c r="ANU221" s="922"/>
      <c r="ANV221" s="922"/>
      <c r="ANW221" s="922"/>
      <c r="ANX221" s="922"/>
      <c r="ANY221" s="922"/>
      <c r="ANZ221" s="922"/>
      <c r="AOA221" s="922"/>
      <c r="AOB221" s="922"/>
      <c r="AOC221" s="922"/>
      <c r="AOD221" s="922"/>
      <c r="AOE221" s="922"/>
      <c r="AOF221" s="922"/>
      <c r="AOG221" s="922"/>
      <c r="AOH221" s="922"/>
      <c r="AOI221" s="922"/>
      <c r="AOJ221" s="922"/>
      <c r="AOK221" s="922"/>
      <c r="AOL221" s="922"/>
      <c r="AOM221" s="922"/>
      <c r="AON221" s="922"/>
      <c r="AOO221" s="922"/>
      <c r="AOP221" s="922"/>
      <c r="AOQ221" s="922"/>
      <c r="AOR221" s="922"/>
      <c r="AOS221" s="922"/>
      <c r="AOT221" s="922"/>
      <c r="AOU221" s="922"/>
      <c r="AOV221" s="922"/>
      <c r="AOW221" s="922"/>
      <c r="AOX221" s="922"/>
      <c r="AOY221" s="922"/>
      <c r="AOZ221" s="922"/>
      <c r="APA221" s="922"/>
      <c r="APB221" s="922"/>
      <c r="APC221" s="922"/>
      <c r="APD221" s="922"/>
      <c r="APE221" s="922"/>
      <c r="APF221" s="922"/>
      <c r="APG221" s="922"/>
      <c r="APH221" s="922"/>
      <c r="API221" s="922"/>
      <c r="APJ221" s="922"/>
      <c r="APK221" s="922"/>
      <c r="APL221" s="922"/>
      <c r="APM221" s="922"/>
      <c r="APN221" s="922"/>
      <c r="APO221" s="922"/>
      <c r="APP221" s="922"/>
      <c r="APQ221" s="922"/>
      <c r="APR221" s="922"/>
      <c r="APS221" s="922"/>
      <c r="APT221" s="922"/>
      <c r="APU221" s="922"/>
      <c r="APV221" s="922"/>
      <c r="APW221" s="922"/>
      <c r="APX221" s="922"/>
      <c r="APY221" s="922"/>
      <c r="APZ221" s="922"/>
      <c r="AQA221" s="922"/>
      <c r="AQB221" s="922"/>
      <c r="AQC221" s="922"/>
      <c r="AQD221" s="922"/>
      <c r="AQE221" s="922"/>
      <c r="AQF221" s="922"/>
      <c r="AQG221" s="922"/>
      <c r="AQH221" s="922"/>
      <c r="AQI221" s="922"/>
      <c r="AQJ221" s="922"/>
      <c r="AQK221" s="922"/>
      <c r="AQL221" s="922"/>
      <c r="AQM221" s="922"/>
      <c r="AQN221" s="922"/>
      <c r="AQO221" s="922"/>
      <c r="AQP221" s="922"/>
      <c r="AQQ221" s="922"/>
      <c r="AQR221" s="922"/>
      <c r="AQS221" s="922"/>
      <c r="AQT221" s="922"/>
      <c r="AQU221" s="922"/>
      <c r="AQV221" s="922"/>
      <c r="AQW221" s="922"/>
      <c r="AQX221" s="922"/>
      <c r="AQY221" s="922"/>
      <c r="AQZ221" s="922"/>
      <c r="ARA221" s="922"/>
      <c r="ARB221" s="922"/>
      <c r="ARC221" s="922"/>
      <c r="ARD221" s="922"/>
      <c r="ARE221" s="922"/>
      <c r="ARF221" s="922"/>
      <c r="ARG221" s="922"/>
      <c r="ARH221" s="922"/>
      <c r="ARI221" s="922"/>
      <c r="ARJ221" s="922"/>
      <c r="ARK221" s="922"/>
      <c r="ARL221" s="922"/>
      <c r="ARM221" s="922"/>
      <c r="ARN221" s="922"/>
      <c r="ARO221" s="922"/>
      <c r="ARP221" s="922"/>
      <c r="ARQ221" s="922"/>
      <c r="ARR221" s="922"/>
      <c r="ARS221" s="922"/>
      <c r="ART221" s="922"/>
      <c r="ARU221" s="922"/>
      <c r="ARV221" s="922"/>
      <c r="ARW221" s="922"/>
      <c r="ARX221" s="922"/>
      <c r="ARY221" s="922"/>
      <c r="ARZ221" s="922"/>
      <c r="ASA221" s="922"/>
      <c r="ASB221" s="922"/>
      <c r="ASC221" s="922"/>
    </row>
    <row r="222" spans="20:1173" hidden="1">
      <c r="T222" s="922"/>
      <c r="AN222" s="922"/>
      <c r="AO222" s="922"/>
      <c r="AP222" s="922"/>
      <c r="AQ222" s="922"/>
      <c r="AR222" s="922"/>
      <c r="AS222" s="922"/>
      <c r="AT222" s="922"/>
      <c r="AU222" s="922"/>
      <c r="AV222" s="922"/>
      <c r="AW222" s="922"/>
      <c r="AX222" s="922"/>
      <c r="AY222" s="922"/>
      <c r="AZ222" s="922"/>
      <c r="BA222" s="922"/>
      <c r="BB222" s="922"/>
      <c r="BC222" s="922"/>
      <c r="BD222" s="922"/>
      <c r="BE222" s="922"/>
      <c r="BF222" s="922"/>
      <c r="BG222" s="922"/>
      <c r="BH222" s="922"/>
      <c r="BI222" s="922"/>
      <c r="BJ222" s="922"/>
      <c r="BK222" s="922"/>
      <c r="BL222" s="922"/>
      <c r="BM222" s="922"/>
      <c r="BN222" s="922"/>
      <c r="BO222" s="922"/>
      <c r="BP222" s="922"/>
      <c r="BQ222" s="922"/>
      <c r="BR222" s="922"/>
      <c r="BS222" s="922"/>
      <c r="BT222" s="922"/>
      <c r="BU222" s="922"/>
      <c r="BV222" s="922"/>
      <c r="BW222" s="922"/>
      <c r="BX222" s="922"/>
      <c r="BY222" s="922"/>
      <c r="BZ222" s="922"/>
      <c r="CA222" s="922"/>
      <c r="CB222" s="922"/>
      <c r="CC222" s="922"/>
      <c r="CD222" s="922"/>
      <c r="CE222" s="922"/>
      <c r="CF222" s="922"/>
      <c r="CG222" s="922"/>
      <c r="CH222" s="922"/>
      <c r="CI222" s="922"/>
      <c r="CJ222" s="922"/>
      <c r="CK222" s="922"/>
      <c r="CL222" s="922"/>
      <c r="CM222" s="922"/>
      <c r="CN222" s="922"/>
      <c r="CO222" s="922"/>
      <c r="CP222" s="922"/>
      <c r="CQ222" s="922"/>
      <c r="CR222" s="922"/>
      <c r="CS222" s="922"/>
      <c r="CT222" s="922"/>
      <c r="CU222" s="922"/>
      <c r="CV222" s="922"/>
      <c r="CW222" s="922"/>
      <c r="CX222" s="922"/>
      <c r="CY222" s="922"/>
      <c r="CZ222" s="922"/>
      <c r="DA222" s="922"/>
      <c r="DB222" s="922"/>
      <c r="DC222" s="922"/>
      <c r="DD222" s="922"/>
      <c r="DE222" s="922"/>
      <c r="DF222" s="922"/>
      <c r="DG222" s="922"/>
      <c r="DH222" s="922"/>
      <c r="DI222" s="922"/>
      <c r="DJ222" s="922"/>
      <c r="DK222" s="922"/>
      <c r="DL222" s="922"/>
      <c r="DM222" s="922"/>
      <c r="DN222" s="922"/>
      <c r="DO222" s="922"/>
      <c r="DP222" s="922"/>
      <c r="DQ222" s="922"/>
      <c r="DR222" s="922"/>
      <c r="DS222" s="922"/>
      <c r="DT222" s="922"/>
      <c r="DU222" s="922"/>
      <c r="DV222" s="922"/>
      <c r="DW222" s="922"/>
      <c r="DX222" s="922"/>
      <c r="DY222" s="922"/>
      <c r="DZ222" s="922"/>
      <c r="EA222" s="922"/>
      <c r="EB222" s="922"/>
      <c r="EC222" s="922"/>
      <c r="ED222" s="922"/>
      <c r="EE222" s="922"/>
      <c r="EF222" s="922"/>
      <c r="EG222" s="922"/>
      <c r="EH222" s="922"/>
      <c r="EI222" s="922"/>
      <c r="EJ222" s="922"/>
      <c r="EK222" s="922"/>
      <c r="EL222" s="922"/>
      <c r="EM222" s="922"/>
      <c r="EN222" s="922"/>
      <c r="EO222" s="922"/>
      <c r="EP222" s="922"/>
      <c r="EQ222" s="922"/>
      <c r="ER222" s="922"/>
      <c r="ES222" s="922"/>
      <c r="ET222" s="922"/>
      <c r="EU222" s="922"/>
      <c r="EV222" s="922"/>
      <c r="EW222" s="922"/>
      <c r="EX222" s="922"/>
      <c r="EY222" s="922"/>
      <c r="EZ222" s="922"/>
      <c r="FA222" s="922"/>
      <c r="FB222" s="922"/>
      <c r="FC222" s="922"/>
      <c r="FD222" s="922"/>
      <c r="FE222" s="922"/>
      <c r="FF222" s="922"/>
      <c r="FG222" s="922"/>
      <c r="FH222" s="922"/>
      <c r="FI222" s="922"/>
      <c r="FJ222" s="922"/>
      <c r="FK222" s="922"/>
      <c r="FL222" s="922"/>
      <c r="FM222" s="922"/>
      <c r="FN222" s="922"/>
      <c r="FO222" s="922"/>
      <c r="FP222" s="922"/>
      <c r="FQ222" s="922"/>
      <c r="FR222" s="922"/>
      <c r="FS222" s="922"/>
      <c r="FT222" s="922"/>
      <c r="FU222" s="922"/>
      <c r="FV222" s="922"/>
      <c r="FW222" s="922"/>
      <c r="FX222" s="922"/>
      <c r="FY222" s="922"/>
      <c r="FZ222" s="922"/>
      <c r="GA222" s="922"/>
      <c r="GB222" s="922"/>
      <c r="GC222" s="922"/>
      <c r="GD222" s="922"/>
      <c r="GE222" s="922"/>
      <c r="GF222" s="922"/>
      <c r="GG222" s="922"/>
      <c r="GH222" s="922"/>
      <c r="GI222" s="922"/>
      <c r="GJ222" s="922"/>
      <c r="GK222" s="922"/>
      <c r="GL222" s="922"/>
      <c r="GM222" s="922"/>
      <c r="GN222" s="922"/>
      <c r="GO222" s="922"/>
      <c r="GP222" s="922"/>
      <c r="GQ222" s="922"/>
      <c r="GR222" s="922"/>
      <c r="GS222" s="922"/>
      <c r="GT222" s="922"/>
      <c r="GU222" s="922"/>
      <c r="GV222" s="922"/>
      <c r="GW222" s="922"/>
      <c r="GX222" s="922"/>
      <c r="GY222" s="922"/>
      <c r="GZ222" s="922"/>
      <c r="HA222" s="922"/>
      <c r="HB222" s="922"/>
      <c r="HC222" s="922"/>
      <c r="HD222" s="922"/>
      <c r="HE222" s="922"/>
      <c r="HF222" s="922"/>
      <c r="HG222" s="922"/>
      <c r="HH222" s="922"/>
      <c r="HI222" s="922"/>
      <c r="HJ222" s="922"/>
      <c r="HK222" s="922"/>
      <c r="HL222" s="922"/>
      <c r="HM222" s="922"/>
      <c r="HN222" s="922"/>
      <c r="HO222" s="922"/>
      <c r="HP222" s="922"/>
      <c r="HQ222" s="922"/>
      <c r="HR222" s="922"/>
      <c r="HS222" s="922"/>
      <c r="HT222" s="922"/>
      <c r="HU222" s="922"/>
      <c r="HV222" s="922"/>
      <c r="HW222" s="922"/>
      <c r="HX222" s="922"/>
      <c r="HY222" s="922"/>
      <c r="HZ222" s="922"/>
      <c r="IA222" s="922"/>
      <c r="IB222" s="922"/>
      <c r="IC222" s="922"/>
      <c r="ID222" s="922"/>
      <c r="IE222" s="922"/>
      <c r="IF222" s="922"/>
      <c r="IG222" s="922"/>
      <c r="IH222" s="922"/>
      <c r="II222" s="922"/>
      <c r="IJ222" s="922"/>
      <c r="IK222" s="922"/>
      <c r="IL222" s="922"/>
      <c r="IM222" s="922"/>
      <c r="IN222" s="922"/>
      <c r="IO222" s="922"/>
      <c r="IP222" s="922"/>
      <c r="IQ222" s="922"/>
      <c r="IR222" s="922"/>
      <c r="IS222" s="922"/>
      <c r="IT222" s="922"/>
      <c r="IU222" s="922"/>
      <c r="IV222" s="922"/>
      <c r="IW222" s="922"/>
      <c r="IX222" s="922"/>
      <c r="IY222" s="922"/>
      <c r="IZ222" s="922"/>
      <c r="JA222" s="922"/>
      <c r="JB222" s="922"/>
      <c r="JC222" s="922"/>
      <c r="JD222" s="922"/>
      <c r="JE222" s="922"/>
      <c r="JF222" s="922"/>
      <c r="JG222" s="922"/>
      <c r="JH222" s="922"/>
      <c r="JI222" s="922"/>
      <c r="JJ222" s="922"/>
      <c r="JK222" s="922"/>
      <c r="JL222" s="922"/>
      <c r="JM222" s="922"/>
      <c r="JN222" s="922"/>
      <c r="JO222" s="922"/>
      <c r="JP222" s="922"/>
      <c r="JQ222" s="922"/>
      <c r="JR222" s="922"/>
      <c r="JS222" s="922"/>
      <c r="JT222" s="922"/>
      <c r="JU222" s="922"/>
      <c r="JV222" s="922"/>
      <c r="JW222" s="922"/>
      <c r="JX222" s="922"/>
      <c r="JY222" s="922"/>
      <c r="JZ222" s="922"/>
      <c r="KA222" s="922"/>
      <c r="KB222" s="922"/>
      <c r="KC222" s="922"/>
      <c r="KD222" s="922"/>
      <c r="KE222" s="922"/>
      <c r="KF222" s="922"/>
      <c r="KG222" s="922"/>
      <c r="KH222" s="922"/>
      <c r="KI222" s="922"/>
      <c r="KJ222" s="922"/>
      <c r="KK222" s="922"/>
      <c r="KL222" s="922"/>
      <c r="KM222" s="922"/>
      <c r="KN222" s="922"/>
      <c r="KO222" s="922"/>
      <c r="KP222" s="922"/>
      <c r="KQ222" s="922"/>
      <c r="KR222" s="922"/>
      <c r="KS222" s="922"/>
      <c r="KT222" s="922"/>
      <c r="KU222" s="922"/>
      <c r="KV222" s="922"/>
      <c r="KW222" s="922"/>
      <c r="KX222" s="922"/>
      <c r="KY222" s="922"/>
      <c r="KZ222" s="922"/>
      <c r="LA222" s="922"/>
      <c r="LB222" s="922"/>
      <c r="LC222" s="922"/>
      <c r="LD222" s="922"/>
      <c r="LE222" s="922"/>
      <c r="LF222" s="922"/>
      <c r="LG222" s="922"/>
      <c r="LH222" s="922"/>
      <c r="LI222" s="922"/>
      <c r="LJ222" s="922"/>
      <c r="LK222" s="922"/>
      <c r="LL222" s="922"/>
      <c r="LM222" s="922"/>
      <c r="LN222" s="922"/>
      <c r="LO222" s="922"/>
      <c r="LP222" s="922"/>
      <c r="LQ222" s="922"/>
      <c r="LR222" s="922"/>
      <c r="LS222" s="922"/>
      <c r="LT222" s="922"/>
      <c r="LU222" s="922"/>
      <c r="LV222" s="922"/>
      <c r="LW222" s="922"/>
      <c r="LX222" s="922"/>
      <c r="LY222" s="922"/>
      <c r="LZ222" s="922"/>
      <c r="MA222" s="922"/>
      <c r="MB222" s="922"/>
      <c r="MC222" s="922"/>
      <c r="MD222" s="922"/>
      <c r="ME222" s="922"/>
      <c r="MF222" s="922"/>
      <c r="MG222" s="922"/>
      <c r="MH222" s="922"/>
      <c r="MI222" s="922"/>
      <c r="MJ222" s="922"/>
      <c r="MK222" s="922"/>
      <c r="ML222" s="922"/>
      <c r="MM222" s="922"/>
      <c r="MN222" s="922"/>
      <c r="MO222" s="922"/>
      <c r="MP222" s="922"/>
      <c r="MQ222" s="922"/>
      <c r="MR222" s="922"/>
      <c r="MS222" s="922"/>
      <c r="MT222" s="922"/>
      <c r="MU222" s="922"/>
      <c r="MV222" s="922"/>
      <c r="MW222" s="922"/>
      <c r="MX222" s="922"/>
      <c r="MY222" s="922"/>
      <c r="MZ222" s="922"/>
      <c r="NA222" s="922"/>
      <c r="NB222" s="922"/>
      <c r="NC222" s="922"/>
      <c r="ND222" s="922"/>
      <c r="NE222" s="922"/>
      <c r="NF222" s="922"/>
      <c r="NG222" s="922"/>
      <c r="NH222" s="922"/>
      <c r="NI222" s="922"/>
      <c r="NJ222" s="922"/>
      <c r="NK222" s="922"/>
      <c r="NL222" s="922"/>
      <c r="NM222" s="922"/>
      <c r="NN222" s="922"/>
      <c r="NO222" s="922"/>
      <c r="NP222" s="922"/>
      <c r="NQ222" s="922"/>
      <c r="NR222" s="922"/>
      <c r="NS222" s="922"/>
      <c r="NT222" s="922"/>
      <c r="NU222" s="922"/>
      <c r="NV222" s="922"/>
      <c r="NW222" s="922"/>
      <c r="NX222" s="922"/>
      <c r="NY222" s="922"/>
      <c r="NZ222" s="922"/>
      <c r="OA222" s="922"/>
      <c r="OB222" s="922"/>
      <c r="OC222" s="922"/>
      <c r="OD222" s="922"/>
      <c r="OE222" s="922"/>
      <c r="OF222" s="922"/>
      <c r="OG222" s="922"/>
      <c r="OH222" s="922"/>
      <c r="OI222" s="922"/>
      <c r="OJ222" s="922"/>
      <c r="OK222" s="922"/>
      <c r="OL222" s="922"/>
      <c r="OM222" s="922"/>
      <c r="ON222" s="922"/>
      <c r="OO222" s="922"/>
      <c r="OP222" s="922"/>
      <c r="OQ222" s="922"/>
      <c r="OR222" s="922"/>
      <c r="OS222" s="922"/>
      <c r="OT222" s="922"/>
      <c r="OU222" s="922"/>
      <c r="OV222" s="922"/>
      <c r="OW222" s="922"/>
      <c r="OX222" s="922"/>
      <c r="OY222" s="922"/>
      <c r="OZ222" s="922"/>
      <c r="PA222" s="922"/>
      <c r="PB222" s="922"/>
      <c r="PC222" s="922"/>
      <c r="PD222" s="922"/>
      <c r="PE222" s="922"/>
      <c r="PF222" s="922"/>
      <c r="PG222" s="922"/>
      <c r="PH222" s="922"/>
      <c r="PI222" s="922"/>
      <c r="PJ222" s="922"/>
      <c r="PK222" s="922"/>
      <c r="PL222" s="922"/>
      <c r="PM222" s="922"/>
      <c r="PN222" s="922"/>
      <c r="PO222" s="922"/>
      <c r="PP222" s="922"/>
      <c r="PQ222" s="922"/>
      <c r="PR222" s="922"/>
      <c r="PS222" s="922"/>
      <c r="PT222" s="922"/>
      <c r="PU222" s="922"/>
      <c r="PV222" s="922"/>
      <c r="PW222" s="922"/>
      <c r="PX222" s="922"/>
      <c r="PY222" s="922"/>
      <c r="PZ222" s="922"/>
      <c r="QA222" s="922"/>
      <c r="QB222" s="922"/>
      <c r="QC222" s="922"/>
      <c r="QD222" s="922"/>
      <c r="QE222" s="922"/>
      <c r="QF222" s="922"/>
      <c r="QG222" s="922"/>
      <c r="QH222" s="922"/>
      <c r="QI222" s="922"/>
      <c r="QJ222" s="922"/>
      <c r="QK222" s="922"/>
      <c r="QL222" s="922"/>
      <c r="QM222" s="922"/>
      <c r="QN222" s="922"/>
      <c r="QO222" s="922"/>
      <c r="QP222" s="922"/>
      <c r="QQ222" s="922"/>
      <c r="QR222" s="922"/>
      <c r="QS222" s="922"/>
      <c r="QT222" s="922"/>
      <c r="QU222" s="922"/>
      <c r="QV222" s="922"/>
      <c r="QW222" s="922"/>
      <c r="QX222" s="922"/>
      <c r="QY222" s="922"/>
      <c r="QZ222" s="922"/>
      <c r="RA222" s="922"/>
      <c r="RB222" s="922"/>
      <c r="RC222" s="922"/>
      <c r="RD222" s="922"/>
      <c r="RE222" s="922"/>
      <c r="RF222" s="922"/>
      <c r="RG222" s="922"/>
      <c r="RH222" s="922"/>
      <c r="RI222" s="922"/>
      <c r="RJ222" s="922"/>
      <c r="RK222" s="922"/>
      <c r="RL222" s="922"/>
      <c r="RM222" s="922"/>
      <c r="RN222" s="922"/>
      <c r="RO222" s="922"/>
      <c r="RP222" s="922"/>
      <c r="RQ222" s="922"/>
      <c r="RR222" s="922"/>
      <c r="RS222" s="922"/>
      <c r="RT222" s="922"/>
      <c r="RU222" s="922"/>
      <c r="RV222" s="922"/>
      <c r="RW222" s="922"/>
      <c r="RX222" s="922"/>
      <c r="RY222" s="922"/>
      <c r="RZ222" s="922"/>
      <c r="SA222" s="922"/>
      <c r="SB222" s="922"/>
      <c r="SC222" s="922"/>
      <c r="SD222" s="922"/>
      <c r="SE222" s="922"/>
      <c r="SF222" s="922"/>
      <c r="SG222" s="922"/>
      <c r="SH222" s="922"/>
      <c r="SI222" s="922"/>
      <c r="SJ222" s="922"/>
      <c r="SK222" s="922"/>
      <c r="SL222" s="922"/>
      <c r="SM222" s="922"/>
      <c r="SN222" s="922"/>
      <c r="SO222" s="922"/>
      <c r="SP222" s="922"/>
      <c r="SQ222" s="922"/>
      <c r="SR222" s="922"/>
      <c r="SS222" s="922"/>
      <c r="ST222" s="922"/>
      <c r="SU222" s="922"/>
      <c r="SV222" s="922"/>
      <c r="SW222" s="922"/>
      <c r="SX222" s="922"/>
      <c r="SY222" s="922"/>
      <c r="SZ222" s="922"/>
      <c r="TA222" s="922"/>
      <c r="TB222" s="922"/>
      <c r="TC222" s="922"/>
      <c r="TD222" s="922"/>
      <c r="TE222" s="922"/>
      <c r="TF222" s="922"/>
      <c r="TG222" s="922"/>
      <c r="TH222" s="922"/>
      <c r="TI222" s="922"/>
      <c r="TJ222" s="922"/>
      <c r="TK222" s="922"/>
      <c r="TL222" s="922"/>
      <c r="TM222" s="922"/>
      <c r="TN222" s="922"/>
      <c r="TO222" s="922"/>
      <c r="TP222" s="922"/>
      <c r="TQ222" s="922"/>
      <c r="TR222" s="922"/>
      <c r="TS222" s="922"/>
      <c r="TT222" s="922"/>
      <c r="TU222" s="922"/>
      <c r="TV222" s="922"/>
      <c r="TW222" s="922"/>
      <c r="TX222" s="922"/>
      <c r="TY222" s="922"/>
      <c r="TZ222" s="922"/>
      <c r="UA222" s="922"/>
      <c r="UB222" s="922"/>
      <c r="UC222" s="922"/>
      <c r="UD222" s="922"/>
      <c r="UE222" s="922"/>
      <c r="UF222" s="922"/>
      <c r="UG222" s="922"/>
      <c r="UH222" s="922"/>
      <c r="UI222" s="922"/>
      <c r="UJ222" s="922"/>
      <c r="UK222" s="922"/>
      <c r="UL222" s="922"/>
      <c r="UM222" s="922"/>
      <c r="UN222" s="922"/>
      <c r="UO222" s="922"/>
      <c r="UP222" s="922"/>
      <c r="UQ222" s="922"/>
      <c r="UR222" s="922"/>
      <c r="US222" s="922"/>
      <c r="UT222" s="922"/>
      <c r="UU222" s="922"/>
      <c r="UV222" s="922"/>
      <c r="UW222" s="922"/>
      <c r="UX222" s="922"/>
      <c r="UY222" s="922"/>
      <c r="UZ222" s="922"/>
      <c r="VA222" s="922"/>
      <c r="VB222" s="922"/>
      <c r="VC222" s="922"/>
      <c r="VD222" s="922"/>
      <c r="VE222" s="922"/>
      <c r="VF222" s="922"/>
      <c r="VG222" s="922"/>
      <c r="VH222" s="922"/>
      <c r="VI222" s="922"/>
      <c r="VJ222" s="922"/>
      <c r="VK222" s="922"/>
      <c r="VL222" s="922"/>
      <c r="VM222" s="922"/>
      <c r="VN222" s="922"/>
      <c r="VO222" s="922"/>
      <c r="VP222" s="922"/>
      <c r="VQ222" s="922"/>
      <c r="VR222" s="922"/>
      <c r="VS222" s="922"/>
      <c r="VT222" s="922"/>
      <c r="VU222" s="922"/>
      <c r="VV222" s="922"/>
      <c r="VW222" s="922"/>
      <c r="VX222" s="922"/>
      <c r="VY222" s="922"/>
      <c r="VZ222" s="922"/>
      <c r="WA222" s="922"/>
      <c r="WB222" s="922"/>
      <c r="WC222" s="922"/>
      <c r="WD222" s="922"/>
      <c r="WE222" s="922"/>
      <c r="WF222" s="922"/>
      <c r="WG222" s="922"/>
      <c r="WH222" s="922"/>
      <c r="WI222" s="922"/>
      <c r="WJ222" s="922"/>
      <c r="WK222" s="922"/>
      <c r="WL222" s="922"/>
      <c r="WM222" s="922"/>
      <c r="WN222" s="922"/>
      <c r="WO222" s="922"/>
      <c r="WP222" s="922"/>
      <c r="WQ222" s="922"/>
      <c r="WR222" s="922"/>
      <c r="WS222" s="922"/>
      <c r="WT222" s="922"/>
      <c r="WU222" s="922"/>
      <c r="WV222" s="922"/>
      <c r="WW222" s="922"/>
      <c r="WX222" s="922"/>
      <c r="WY222" s="922"/>
      <c r="WZ222" s="922"/>
      <c r="XA222" s="922"/>
      <c r="XB222" s="922"/>
      <c r="XC222" s="922"/>
      <c r="XD222" s="922"/>
      <c r="XE222" s="922"/>
      <c r="XF222" s="922"/>
      <c r="XG222" s="922"/>
      <c r="XH222" s="922"/>
      <c r="XI222" s="922"/>
      <c r="XJ222" s="922"/>
      <c r="XK222" s="922"/>
      <c r="XL222" s="922"/>
      <c r="XM222" s="922"/>
      <c r="XN222" s="922"/>
      <c r="XO222" s="922"/>
      <c r="XP222" s="922"/>
      <c r="XQ222" s="922"/>
      <c r="XR222" s="922"/>
      <c r="XS222" s="922"/>
      <c r="XT222" s="922"/>
      <c r="XU222" s="922"/>
      <c r="XV222" s="922"/>
      <c r="XW222" s="922"/>
      <c r="XX222" s="922"/>
      <c r="XY222" s="922"/>
      <c r="XZ222" s="922"/>
      <c r="YA222" s="922"/>
      <c r="YB222" s="922"/>
      <c r="YC222" s="922"/>
      <c r="YD222" s="922"/>
      <c r="YE222" s="922"/>
      <c r="YF222" s="922"/>
      <c r="YG222" s="922"/>
      <c r="YH222" s="922"/>
      <c r="YI222" s="922"/>
      <c r="YJ222" s="922"/>
      <c r="YK222" s="922"/>
      <c r="YL222" s="922"/>
      <c r="YM222" s="922"/>
      <c r="YN222" s="922"/>
      <c r="YO222" s="922"/>
      <c r="YP222" s="922"/>
      <c r="YQ222" s="922"/>
      <c r="YR222" s="922"/>
      <c r="YS222" s="922"/>
      <c r="YT222" s="922"/>
      <c r="YU222" s="922"/>
      <c r="YV222" s="922"/>
      <c r="YW222" s="922"/>
      <c r="YX222" s="922"/>
      <c r="YY222" s="922"/>
      <c r="YZ222" s="922"/>
      <c r="ZA222" s="922"/>
      <c r="ZB222" s="922"/>
      <c r="ZC222" s="922"/>
      <c r="ZD222" s="922"/>
      <c r="ZE222" s="922"/>
      <c r="ZF222" s="922"/>
      <c r="ZG222" s="922"/>
      <c r="ZH222" s="922"/>
      <c r="ZI222" s="922"/>
      <c r="ZJ222" s="922"/>
      <c r="ZK222" s="922"/>
      <c r="ZL222" s="922"/>
      <c r="ZM222" s="922"/>
      <c r="ZN222" s="922"/>
      <c r="ZO222" s="922"/>
      <c r="ZP222" s="922"/>
      <c r="ZQ222" s="922"/>
      <c r="ZR222" s="922"/>
      <c r="ZS222" s="922"/>
      <c r="ZT222" s="922"/>
      <c r="ZU222" s="922"/>
      <c r="ZV222" s="922"/>
      <c r="ZW222" s="922"/>
      <c r="ZX222" s="922"/>
      <c r="ZY222" s="922"/>
      <c r="ZZ222" s="922"/>
      <c r="AAA222" s="922"/>
      <c r="AAB222" s="922"/>
      <c r="AAC222" s="922"/>
      <c r="AAD222" s="922"/>
      <c r="AAE222" s="922"/>
      <c r="AAF222" s="922"/>
      <c r="AAG222" s="922"/>
      <c r="AAH222" s="922"/>
      <c r="AAI222" s="922"/>
      <c r="AAJ222" s="922"/>
      <c r="AAK222" s="922"/>
      <c r="AAL222" s="922"/>
      <c r="AAM222" s="922"/>
      <c r="AAN222" s="922"/>
      <c r="AAO222" s="922"/>
      <c r="AAP222" s="922"/>
      <c r="AAQ222" s="922"/>
      <c r="AAR222" s="922"/>
      <c r="AAS222" s="922"/>
      <c r="AAT222" s="922"/>
      <c r="AAU222" s="922"/>
      <c r="AAV222" s="922"/>
      <c r="AAW222" s="922"/>
      <c r="AAX222" s="922"/>
      <c r="AAY222" s="922"/>
      <c r="AAZ222" s="922"/>
      <c r="ABA222" s="922"/>
      <c r="ABB222" s="922"/>
      <c r="ABC222" s="922"/>
      <c r="ABD222" s="922"/>
      <c r="ABE222" s="922"/>
      <c r="ABF222" s="922"/>
      <c r="ABG222" s="922"/>
      <c r="ABH222" s="922"/>
      <c r="ABI222" s="922"/>
      <c r="ABJ222" s="922"/>
      <c r="ABK222" s="922"/>
      <c r="ABL222" s="922"/>
      <c r="ABM222" s="922"/>
      <c r="ABN222" s="922"/>
      <c r="ABO222" s="922"/>
      <c r="ABP222" s="922"/>
      <c r="ABQ222" s="922"/>
      <c r="ABR222" s="922"/>
      <c r="ABS222" s="922"/>
      <c r="ABT222" s="922"/>
      <c r="ABU222" s="922"/>
      <c r="ABV222" s="922"/>
      <c r="ABW222" s="922"/>
      <c r="ABX222" s="922"/>
      <c r="ABY222" s="922"/>
      <c r="ABZ222" s="922"/>
      <c r="ACA222" s="922"/>
      <c r="ACB222" s="922"/>
      <c r="ACC222" s="922"/>
      <c r="ACD222" s="922"/>
      <c r="ACE222" s="922"/>
      <c r="ACF222" s="922"/>
      <c r="ACG222" s="922"/>
      <c r="ACH222" s="922"/>
      <c r="ACI222" s="922"/>
      <c r="ACJ222" s="922"/>
      <c r="ACK222" s="922"/>
      <c r="ACL222" s="922"/>
      <c r="ACM222" s="922"/>
      <c r="ACN222" s="922"/>
      <c r="ACO222" s="922"/>
      <c r="ACP222" s="922"/>
      <c r="ACQ222" s="922"/>
      <c r="ACR222" s="922"/>
      <c r="ACS222" s="922"/>
      <c r="ACT222" s="922"/>
      <c r="ACU222" s="922"/>
      <c r="ACV222" s="922"/>
      <c r="ACW222" s="922"/>
      <c r="ACX222" s="922"/>
      <c r="ACY222" s="922"/>
      <c r="ACZ222" s="922"/>
      <c r="ADA222" s="922"/>
      <c r="ADB222" s="922"/>
      <c r="ADC222" s="922"/>
      <c r="ADD222" s="922"/>
      <c r="ADE222" s="922"/>
      <c r="ADF222" s="922"/>
      <c r="ADG222" s="922"/>
      <c r="ADH222" s="922"/>
      <c r="ADI222" s="922"/>
      <c r="ADJ222" s="922"/>
      <c r="ADK222" s="922"/>
      <c r="ADL222" s="922"/>
      <c r="ADM222" s="922"/>
      <c r="ADN222" s="922"/>
      <c r="ADO222" s="922"/>
      <c r="ADP222" s="922"/>
      <c r="ADQ222" s="922"/>
      <c r="ADR222" s="922"/>
      <c r="ADS222" s="922"/>
      <c r="ADT222" s="922"/>
      <c r="ADU222" s="922"/>
      <c r="ADV222" s="922"/>
      <c r="ADW222" s="922"/>
      <c r="ADX222" s="922"/>
      <c r="ADY222" s="922"/>
      <c r="ADZ222" s="922"/>
      <c r="AEA222" s="922"/>
      <c r="AEB222" s="922"/>
      <c r="AEC222" s="922"/>
      <c r="AED222" s="922"/>
      <c r="AEE222" s="922"/>
      <c r="AEF222" s="922"/>
      <c r="AEG222" s="922"/>
      <c r="AEH222" s="922"/>
      <c r="AEI222" s="922"/>
      <c r="AEJ222" s="922"/>
      <c r="AEK222" s="922"/>
      <c r="AEL222" s="922"/>
      <c r="AEM222" s="922"/>
      <c r="AEN222" s="922"/>
      <c r="AEO222" s="922"/>
      <c r="AEP222" s="922"/>
      <c r="AEQ222" s="922"/>
      <c r="AER222" s="922"/>
      <c r="AES222" s="922"/>
      <c r="AET222" s="922"/>
      <c r="AEU222" s="922"/>
      <c r="AEV222" s="922"/>
      <c r="AEW222" s="922"/>
      <c r="AEX222" s="922"/>
      <c r="AEY222" s="922"/>
      <c r="AEZ222" s="922"/>
      <c r="AFA222" s="922"/>
      <c r="AFB222" s="922"/>
      <c r="AFC222" s="922"/>
      <c r="AFD222" s="922"/>
      <c r="AFE222" s="922"/>
      <c r="AFF222" s="922"/>
      <c r="AFG222" s="922"/>
      <c r="AFH222" s="922"/>
      <c r="AFI222" s="922"/>
      <c r="AFJ222" s="922"/>
      <c r="AFK222" s="922"/>
      <c r="AFL222" s="922"/>
      <c r="AFM222" s="922"/>
      <c r="AFN222" s="922"/>
      <c r="AFO222" s="922"/>
      <c r="AFP222" s="922"/>
      <c r="AFQ222" s="922"/>
      <c r="AFR222" s="922"/>
      <c r="AFS222" s="922"/>
      <c r="AFT222" s="922"/>
      <c r="AFU222" s="922"/>
      <c r="AFV222" s="922"/>
      <c r="AFW222" s="922"/>
      <c r="AFX222" s="922"/>
      <c r="AFY222" s="922"/>
      <c r="AFZ222" s="922"/>
      <c r="AGA222" s="922"/>
      <c r="AGB222" s="922"/>
      <c r="AGC222" s="922"/>
      <c r="AGD222" s="922"/>
      <c r="AGE222" s="922"/>
      <c r="AGF222" s="922"/>
      <c r="AGG222" s="922"/>
      <c r="AGH222" s="922"/>
      <c r="AGI222" s="922"/>
      <c r="AGJ222" s="922"/>
      <c r="AGK222" s="922"/>
      <c r="AGL222" s="922"/>
      <c r="AGM222" s="922"/>
      <c r="AGN222" s="922"/>
      <c r="AGO222" s="922"/>
      <c r="AGP222" s="922"/>
      <c r="AGQ222" s="922"/>
      <c r="AGR222" s="922"/>
      <c r="AGS222" s="922"/>
      <c r="AGT222" s="922"/>
      <c r="AGU222" s="922"/>
      <c r="AGV222" s="922"/>
      <c r="AGW222" s="922"/>
      <c r="AGX222" s="922"/>
      <c r="AGY222" s="922"/>
      <c r="AGZ222" s="922"/>
      <c r="AHA222" s="922"/>
      <c r="AHB222" s="922"/>
      <c r="AHC222" s="922"/>
      <c r="AHD222" s="922"/>
      <c r="AHE222" s="922"/>
      <c r="AHF222" s="922"/>
      <c r="AHG222" s="922"/>
      <c r="AHH222" s="922"/>
      <c r="AHI222" s="922"/>
      <c r="AHJ222" s="922"/>
      <c r="AHK222" s="922"/>
      <c r="AHL222" s="922"/>
      <c r="AHM222" s="922"/>
      <c r="AHN222" s="922"/>
      <c r="AHO222" s="922"/>
      <c r="AHP222" s="922"/>
      <c r="AHQ222" s="922"/>
      <c r="AHR222" s="922"/>
      <c r="AHS222" s="922"/>
      <c r="AHT222" s="922"/>
      <c r="AHU222" s="922"/>
      <c r="AHV222" s="922"/>
      <c r="AHW222" s="922"/>
      <c r="AHX222" s="922"/>
      <c r="AHY222" s="922"/>
      <c r="AHZ222" s="922"/>
      <c r="AIA222" s="922"/>
      <c r="AIB222" s="922"/>
      <c r="AIC222" s="922"/>
      <c r="AID222" s="922"/>
      <c r="AIE222" s="922"/>
      <c r="AIF222" s="922"/>
      <c r="AIG222" s="922"/>
      <c r="AIH222" s="922"/>
      <c r="AII222" s="922"/>
      <c r="AIJ222" s="922"/>
      <c r="AIK222" s="922"/>
      <c r="AIL222" s="922"/>
      <c r="AIM222" s="922"/>
      <c r="AIN222" s="922"/>
      <c r="AIO222" s="922"/>
      <c r="AIP222" s="922"/>
      <c r="AIQ222" s="922"/>
      <c r="AIR222" s="922"/>
      <c r="AIS222" s="922"/>
      <c r="AIT222" s="922"/>
      <c r="AIU222" s="922"/>
      <c r="AIV222" s="922"/>
      <c r="AIW222" s="922"/>
      <c r="AIX222" s="922"/>
      <c r="AIY222" s="922"/>
      <c r="AIZ222" s="922"/>
      <c r="AJA222" s="922"/>
      <c r="AJB222" s="922"/>
      <c r="AJC222" s="922"/>
      <c r="AJD222" s="922"/>
      <c r="AJE222" s="922"/>
      <c r="AJF222" s="922"/>
      <c r="AJG222" s="922"/>
      <c r="AJH222" s="922"/>
      <c r="AJI222" s="922"/>
      <c r="AJJ222" s="922"/>
      <c r="AJK222" s="922"/>
      <c r="AJL222" s="922"/>
      <c r="AJM222" s="922"/>
      <c r="AJN222" s="922"/>
      <c r="AJO222" s="922"/>
      <c r="AJP222" s="922"/>
      <c r="AJQ222" s="922"/>
      <c r="AJR222" s="922"/>
      <c r="AJS222" s="922"/>
      <c r="AJT222" s="922"/>
      <c r="AJU222" s="922"/>
      <c r="AJV222" s="922"/>
      <c r="AJW222" s="922"/>
      <c r="AJX222" s="922"/>
      <c r="AJY222" s="922"/>
      <c r="AJZ222" s="922"/>
      <c r="AKA222" s="922"/>
      <c r="AKB222" s="922"/>
      <c r="AKC222" s="922"/>
      <c r="AKD222" s="922"/>
      <c r="AKE222" s="922"/>
      <c r="AKF222" s="922"/>
      <c r="AKG222" s="922"/>
      <c r="AKH222" s="922"/>
      <c r="AKI222" s="922"/>
      <c r="AKJ222" s="922"/>
      <c r="AKK222" s="922"/>
      <c r="AKL222" s="922"/>
      <c r="AKM222" s="922"/>
      <c r="AKN222" s="922"/>
      <c r="AKO222" s="922"/>
      <c r="AKP222" s="922"/>
      <c r="AKQ222" s="922"/>
      <c r="AKR222" s="922"/>
      <c r="AKS222" s="922"/>
      <c r="AKT222" s="922"/>
      <c r="AKU222" s="922"/>
      <c r="AKV222" s="922"/>
      <c r="AKW222" s="922"/>
      <c r="AKX222" s="922"/>
      <c r="AKY222" s="922"/>
      <c r="AKZ222" s="922"/>
      <c r="ALA222" s="922"/>
      <c r="ALB222" s="922"/>
      <c r="ALC222" s="922"/>
      <c r="ALD222" s="922"/>
      <c r="ALE222" s="922"/>
      <c r="ALF222" s="922"/>
      <c r="ALG222" s="922"/>
      <c r="ALH222" s="922"/>
      <c r="ALI222" s="922"/>
      <c r="ALJ222" s="922"/>
      <c r="ALK222" s="922"/>
      <c r="ALL222" s="922"/>
      <c r="ALM222" s="922"/>
      <c r="ALN222" s="922"/>
      <c r="ALO222" s="922"/>
      <c r="ALP222" s="922"/>
      <c r="ALQ222" s="922"/>
      <c r="ALR222" s="922"/>
      <c r="ALS222" s="922"/>
      <c r="ALT222" s="922"/>
      <c r="ALU222" s="922"/>
      <c r="ALV222" s="922"/>
      <c r="ALW222" s="922"/>
      <c r="ALX222" s="922"/>
      <c r="ALY222" s="922"/>
      <c r="ALZ222" s="922"/>
      <c r="AMA222" s="922"/>
      <c r="AMB222" s="922"/>
      <c r="AMC222" s="922"/>
      <c r="AMD222" s="922"/>
      <c r="AME222" s="922"/>
      <c r="AMF222" s="922"/>
      <c r="AMG222" s="922"/>
      <c r="AMH222" s="922"/>
      <c r="AMI222" s="922"/>
      <c r="AMJ222" s="922"/>
      <c r="AMK222" s="922"/>
      <c r="AML222" s="922"/>
      <c r="AMM222" s="922"/>
      <c r="AMN222" s="922"/>
      <c r="AMO222" s="922"/>
      <c r="AMP222" s="922"/>
      <c r="AMQ222" s="922"/>
      <c r="AMR222" s="922"/>
      <c r="AMS222" s="922"/>
      <c r="AMT222" s="922"/>
      <c r="AMU222" s="922"/>
      <c r="AMV222" s="922"/>
      <c r="AMW222" s="922"/>
      <c r="AMX222" s="922"/>
      <c r="AMY222" s="922"/>
      <c r="AMZ222" s="922"/>
      <c r="ANA222" s="922"/>
      <c r="ANB222" s="922"/>
      <c r="ANC222" s="922"/>
      <c r="AND222" s="922"/>
      <c r="ANE222" s="922"/>
      <c r="ANF222" s="922"/>
      <c r="ANG222" s="922"/>
      <c r="ANH222" s="922"/>
      <c r="ANI222" s="922"/>
      <c r="ANJ222" s="922"/>
      <c r="ANK222" s="922"/>
      <c r="ANL222" s="922"/>
      <c r="ANM222" s="922"/>
      <c r="ANN222" s="922"/>
      <c r="ANO222" s="922"/>
      <c r="ANP222" s="922"/>
      <c r="ANQ222" s="922"/>
      <c r="ANR222" s="922"/>
      <c r="ANS222" s="922"/>
      <c r="ANT222" s="922"/>
      <c r="ANU222" s="922"/>
      <c r="ANV222" s="922"/>
      <c r="ANW222" s="922"/>
      <c r="ANX222" s="922"/>
      <c r="ANY222" s="922"/>
      <c r="ANZ222" s="922"/>
      <c r="AOA222" s="922"/>
      <c r="AOB222" s="922"/>
      <c r="AOC222" s="922"/>
      <c r="AOD222" s="922"/>
      <c r="AOE222" s="922"/>
      <c r="AOF222" s="922"/>
      <c r="AOG222" s="922"/>
      <c r="AOH222" s="922"/>
      <c r="AOI222" s="922"/>
      <c r="AOJ222" s="922"/>
      <c r="AOK222" s="922"/>
      <c r="AOL222" s="922"/>
      <c r="AOM222" s="922"/>
      <c r="AON222" s="922"/>
      <c r="AOO222" s="922"/>
      <c r="AOP222" s="922"/>
      <c r="AOQ222" s="922"/>
      <c r="AOR222" s="922"/>
      <c r="AOS222" s="922"/>
      <c r="AOT222" s="922"/>
      <c r="AOU222" s="922"/>
      <c r="AOV222" s="922"/>
      <c r="AOW222" s="922"/>
      <c r="AOX222" s="922"/>
      <c r="AOY222" s="922"/>
      <c r="AOZ222" s="922"/>
      <c r="APA222" s="922"/>
      <c r="APB222" s="922"/>
      <c r="APC222" s="922"/>
      <c r="APD222" s="922"/>
      <c r="APE222" s="922"/>
      <c r="APF222" s="922"/>
      <c r="APG222" s="922"/>
      <c r="APH222" s="922"/>
      <c r="API222" s="922"/>
      <c r="APJ222" s="922"/>
      <c r="APK222" s="922"/>
      <c r="APL222" s="922"/>
      <c r="APM222" s="922"/>
      <c r="APN222" s="922"/>
      <c r="APO222" s="922"/>
      <c r="APP222" s="922"/>
      <c r="APQ222" s="922"/>
      <c r="APR222" s="922"/>
      <c r="APS222" s="922"/>
      <c r="APT222" s="922"/>
      <c r="APU222" s="922"/>
      <c r="APV222" s="922"/>
      <c r="APW222" s="922"/>
      <c r="APX222" s="922"/>
      <c r="APY222" s="922"/>
      <c r="APZ222" s="922"/>
      <c r="AQA222" s="922"/>
      <c r="AQB222" s="922"/>
      <c r="AQC222" s="922"/>
      <c r="AQD222" s="922"/>
      <c r="AQE222" s="922"/>
      <c r="AQF222" s="922"/>
      <c r="AQG222" s="922"/>
      <c r="AQH222" s="922"/>
      <c r="AQI222" s="922"/>
      <c r="AQJ222" s="922"/>
      <c r="AQK222" s="922"/>
      <c r="AQL222" s="922"/>
      <c r="AQM222" s="922"/>
      <c r="AQN222" s="922"/>
      <c r="AQO222" s="922"/>
      <c r="AQP222" s="922"/>
      <c r="AQQ222" s="922"/>
      <c r="AQR222" s="922"/>
      <c r="AQS222" s="922"/>
      <c r="AQT222" s="922"/>
      <c r="AQU222" s="922"/>
      <c r="AQV222" s="922"/>
      <c r="AQW222" s="922"/>
      <c r="AQX222" s="922"/>
      <c r="AQY222" s="922"/>
      <c r="AQZ222" s="922"/>
      <c r="ARA222" s="922"/>
      <c r="ARB222" s="922"/>
      <c r="ARC222" s="922"/>
      <c r="ARD222" s="922"/>
      <c r="ARE222" s="922"/>
      <c r="ARF222" s="922"/>
      <c r="ARG222" s="922"/>
      <c r="ARH222" s="922"/>
      <c r="ARI222" s="922"/>
      <c r="ARJ222" s="922"/>
      <c r="ARK222" s="922"/>
      <c r="ARL222" s="922"/>
      <c r="ARM222" s="922"/>
      <c r="ARN222" s="922"/>
      <c r="ARO222" s="922"/>
      <c r="ARP222" s="922"/>
      <c r="ARQ222" s="922"/>
      <c r="ARR222" s="922"/>
      <c r="ARS222" s="922"/>
      <c r="ART222" s="922"/>
      <c r="ARU222" s="922"/>
      <c r="ARV222" s="922"/>
      <c r="ARW222" s="922"/>
      <c r="ARX222" s="922"/>
      <c r="ARY222" s="922"/>
      <c r="ARZ222" s="922"/>
      <c r="ASA222" s="922"/>
      <c r="ASB222" s="922"/>
      <c r="ASC222" s="922"/>
    </row>
    <row r="223" spans="20:1173" hidden="1">
      <c r="T223" s="922"/>
      <c r="AN223" s="922"/>
      <c r="AO223" s="922"/>
      <c r="AP223" s="922"/>
      <c r="AQ223" s="922"/>
      <c r="AR223" s="922"/>
      <c r="AS223" s="922"/>
      <c r="AT223" s="922"/>
      <c r="AU223" s="922"/>
      <c r="AV223" s="922"/>
      <c r="AW223" s="922"/>
      <c r="AX223" s="922"/>
      <c r="AY223" s="922"/>
      <c r="AZ223" s="922"/>
      <c r="BA223" s="922"/>
      <c r="BB223" s="922"/>
      <c r="BC223" s="922"/>
      <c r="BD223" s="922"/>
      <c r="BE223" s="922"/>
      <c r="BF223" s="922"/>
      <c r="BG223" s="922"/>
      <c r="BH223" s="922"/>
      <c r="BI223" s="922"/>
      <c r="BJ223" s="922"/>
      <c r="BK223" s="922"/>
      <c r="BL223" s="922"/>
      <c r="BM223" s="922"/>
      <c r="BN223" s="922"/>
      <c r="BO223" s="922"/>
      <c r="BP223" s="922"/>
      <c r="BQ223" s="922"/>
      <c r="BR223" s="922"/>
      <c r="BS223" s="922"/>
      <c r="BT223" s="922"/>
      <c r="BU223" s="922"/>
      <c r="BV223" s="922"/>
      <c r="BW223" s="922"/>
      <c r="BX223" s="922"/>
      <c r="BY223" s="922"/>
      <c r="BZ223" s="922"/>
      <c r="CA223" s="922"/>
      <c r="CB223" s="922"/>
      <c r="CC223" s="922"/>
      <c r="CD223" s="922"/>
      <c r="CE223" s="922"/>
      <c r="CF223" s="922"/>
      <c r="CG223" s="922"/>
      <c r="CH223" s="922"/>
      <c r="CI223" s="922"/>
      <c r="CJ223" s="922"/>
      <c r="CK223" s="922"/>
      <c r="CL223" s="922"/>
      <c r="CM223" s="922"/>
      <c r="CN223" s="922"/>
      <c r="CO223" s="922"/>
      <c r="CP223" s="922"/>
      <c r="CQ223" s="922"/>
      <c r="CR223" s="922"/>
      <c r="CS223" s="922"/>
      <c r="CT223" s="922"/>
      <c r="CU223" s="922"/>
      <c r="CV223" s="922"/>
      <c r="CW223" s="922"/>
      <c r="CX223" s="922"/>
      <c r="CY223" s="922"/>
      <c r="CZ223" s="922"/>
      <c r="DA223" s="922"/>
      <c r="DB223" s="922"/>
      <c r="DC223" s="922"/>
      <c r="DD223" s="922"/>
      <c r="DE223" s="922"/>
      <c r="DF223" s="922"/>
      <c r="DG223" s="922"/>
      <c r="DH223" s="922"/>
      <c r="DI223" s="922"/>
      <c r="DJ223" s="922"/>
      <c r="DK223" s="922"/>
      <c r="DL223" s="922"/>
      <c r="DM223" s="922"/>
      <c r="DN223" s="922"/>
      <c r="DO223" s="922"/>
      <c r="DP223" s="922"/>
      <c r="DQ223" s="922"/>
      <c r="DR223" s="922"/>
      <c r="DS223" s="922"/>
      <c r="DT223" s="922"/>
      <c r="DU223" s="922"/>
      <c r="DV223" s="922"/>
      <c r="DW223" s="922"/>
      <c r="DX223" s="922"/>
      <c r="DY223" s="922"/>
      <c r="DZ223" s="922"/>
      <c r="EA223" s="922"/>
      <c r="EB223" s="922"/>
      <c r="EC223" s="922"/>
      <c r="ED223" s="922"/>
      <c r="EE223" s="922"/>
      <c r="EF223" s="922"/>
      <c r="EG223" s="922"/>
      <c r="EH223" s="922"/>
      <c r="EI223" s="922"/>
      <c r="EJ223" s="922"/>
      <c r="EK223" s="922"/>
      <c r="EL223" s="922"/>
      <c r="EM223" s="922"/>
      <c r="EN223" s="922"/>
      <c r="EO223" s="922"/>
      <c r="EP223" s="922"/>
      <c r="EQ223" s="922"/>
      <c r="ER223" s="922"/>
      <c r="ES223" s="922"/>
      <c r="ET223" s="922"/>
      <c r="EU223" s="922"/>
      <c r="EV223" s="922"/>
      <c r="EW223" s="922"/>
      <c r="EX223" s="922"/>
      <c r="EY223" s="922"/>
      <c r="EZ223" s="922"/>
      <c r="FA223" s="922"/>
      <c r="FB223" s="922"/>
      <c r="FC223" s="922"/>
      <c r="FD223" s="922"/>
      <c r="FE223" s="922"/>
      <c r="FF223" s="922"/>
      <c r="FG223" s="922"/>
      <c r="FH223" s="922"/>
      <c r="FI223" s="922"/>
      <c r="FJ223" s="922"/>
      <c r="FK223" s="922"/>
      <c r="FL223" s="922"/>
      <c r="FM223" s="922"/>
      <c r="FN223" s="922"/>
      <c r="FO223" s="922"/>
      <c r="FP223" s="922"/>
      <c r="FQ223" s="922"/>
      <c r="FR223" s="922"/>
      <c r="FS223" s="922"/>
      <c r="FT223" s="922"/>
      <c r="FU223" s="922"/>
      <c r="FV223" s="922"/>
      <c r="FW223" s="922"/>
      <c r="FX223" s="922"/>
      <c r="FY223" s="922"/>
      <c r="FZ223" s="922"/>
      <c r="GA223" s="922"/>
      <c r="GB223" s="922"/>
      <c r="GC223" s="922"/>
      <c r="GD223" s="922"/>
      <c r="GE223" s="922"/>
      <c r="GF223" s="922"/>
      <c r="GG223" s="922"/>
      <c r="GH223" s="922"/>
      <c r="GI223" s="922"/>
      <c r="GJ223" s="922"/>
      <c r="GK223" s="922"/>
      <c r="GL223" s="922"/>
      <c r="GM223" s="922"/>
      <c r="GN223" s="922"/>
      <c r="GO223" s="922"/>
      <c r="GP223" s="922"/>
      <c r="GQ223" s="922"/>
      <c r="GR223" s="922"/>
      <c r="GS223" s="922"/>
      <c r="GT223" s="922"/>
      <c r="GU223" s="922"/>
      <c r="GV223" s="922"/>
      <c r="GW223" s="922"/>
      <c r="GX223" s="922"/>
      <c r="GY223" s="922"/>
      <c r="GZ223" s="922"/>
      <c r="HA223" s="922"/>
      <c r="HB223" s="922"/>
      <c r="HC223" s="922"/>
      <c r="HD223" s="922"/>
      <c r="HE223" s="922"/>
      <c r="HF223" s="922"/>
      <c r="HG223" s="922"/>
      <c r="HH223" s="922"/>
      <c r="HI223" s="922"/>
      <c r="HJ223" s="922"/>
      <c r="HK223" s="922"/>
      <c r="HL223" s="922"/>
      <c r="HM223" s="922"/>
      <c r="HN223" s="922"/>
      <c r="HO223" s="922"/>
      <c r="HP223" s="922"/>
      <c r="HQ223" s="922"/>
      <c r="HR223" s="922"/>
      <c r="HS223" s="922"/>
      <c r="HT223" s="922"/>
      <c r="HU223" s="922"/>
      <c r="HV223" s="922"/>
      <c r="HW223" s="922"/>
      <c r="HX223" s="922"/>
      <c r="HY223" s="922"/>
      <c r="HZ223" s="922"/>
      <c r="IA223" s="922"/>
      <c r="IB223" s="922"/>
      <c r="IC223" s="922"/>
      <c r="ID223" s="922"/>
      <c r="IE223" s="922"/>
      <c r="IF223" s="922"/>
      <c r="IG223" s="922"/>
      <c r="IH223" s="922"/>
      <c r="II223" s="922"/>
      <c r="IJ223" s="922"/>
      <c r="IK223" s="922"/>
      <c r="IL223" s="922"/>
      <c r="IM223" s="922"/>
      <c r="IN223" s="922"/>
      <c r="IO223" s="922"/>
      <c r="IP223" s="922"/>
      <c r="IQ223" s="922"/>
      <c r="IR223" s="922"/>
      <c r="IS223" s="922"/>
      <c r="IT223" s="922"/>
      <c r="IU223" s="922"/>
      <c r="IV223" s="922"/>
      <c r="IW223" s="922"/>
      <c r="IX223" s="922"/>
      <c r="IY223" s="922"/>
      <c r="IZ223" s="922"/>
      <c r="JA223" s="922"/>
      <c r="JB223" s="922"/>
      <c r="JC223" s="922"/>
      <c r="JD223" s="922"/>
      <c r="JE223" s="922"/>
      <c r="JF223" s="922"/>
      <c r="JG223" s="922"/>
      <c r="JH223" s="922"/>
      <c r="JI223" s="922"/>
      <c r="JJ223" s="922"/>
      <c r="JK223" s="922"/>
      <c r="JL223" s="922"/>
      <c r="JM223" s="922"/>
      <c r="JN223" s="922"/>
      <c r="JO223" s="922"/>
      <c r="JP223" s="922"/>
      <c r="JQ223" s="922"/>
      <c r="JR223" s="922"/>
      <c r="JS223" s="922"/>
      <c r="JT223" s="922"/>
      <c r="JU223" s="922"/>
      <c r="JV223" s="922"/>
      <c r="JW223" s="922"/>
      <c r="JX223" s="922"/>
      <c r="JY223" s="922"/>
      <c r="JZ223" s="922"/>
      <c r="KA223" s="922"/>
      <c r="KB223" s="922"/>
      <c r="KC223" s="922"/>
      <c r="KD223" s="922"/>
      <c r="KE223" s="922"/>
      <c r="KF223" s="922"/>
      <c r="KG223" s="922"/>
      <c r="KH223" s="922"/>
      <c r="KI223" s="922"/>
      <c r="KJ223" s="922"/>
      <c r="KK223" s="922"/>
      <c r="KL223" s="922"/>
      <c r="KM223" s="922"/>
      <c r="KN223" s="922"/>
      <c r="KO223" s="922"/>
      <c r="KP223" s="922"/>
      <c r="KQ223" s="922"/>
      <c r="KR223" s="922"/>
      <c r="KS223" s="922"/>
      <c r="KT223" s="922"/>
      <c r="KU223" s="922"/>
      <c r="KV223" s="922"/>
      <c r="KW223" s="922"/>
      <c r="KX223" s="922"/>
      <c r="KY223" s="922"/>
      <c r="KZ223" s="922"/>
      <c r="LA223" s="922"/>
      <c r="LB223" s="922"/>
      <c r="LC223" s="922"/>
      <c r="LD223" s="922"/>
      <c r="LE223" s="922"/>
      <c r="LF223" s="922"/>
      <c r="LG223" s="922"/>
      <c r="LH223" s="922"/>
      <c r="LI223" s="922"/>
      <c r="LJ223" s="922"/>
      <c r="LK223" s="922"/>
      <c r="LL223" s="922"/>
      <c r="LM223" s="922"/>
      <c r="LN223" s="922"/>
      <c r="LO223" s="922"/>
      <c r="LP223" s="922"/>
      <c r="LQ223" s="922"/>
      <c r="LR223" s="922"/>
      <c r="LS223" s="922"/>
      <c r="LT223" s="922"/>
      <c r="LU223" s="922"/>
      <c r="LV223" s="922"/>
      <c r="LW223" s="922"/>
      <c r="LX223" s="922"/>
      <c r="LY223" s="922"/>
      <c r="LZ223" s="922"/>
      <c r="MA223" s="922"/>
      <c r="MB223" s="922"/>
      <c r="MC223" s="922"/>
      <c r="MD223" s="922"/>
      <c r="ME223" s="922"/>
      <c r="MF223" s="922"/>
      <c r="MG223" s="922"/>
      <c r="MH223" s="922"/>
      <c r="MI223" s="922"/>
      <c r="MJ223" s="922"/>
      <c r="MK223" s="922"/>
      <c r="ML223" s="922"/>
      <c r="MM223" s="922"/>
      <c r="MN223" s="922"/>
      <c r="MO223" s="922"/>
      <c r="MP223" s="922"/>
      <c r="MQ223" s="922"/>
      <c r="MR223" s="922"/>
      <c r="MS223" s="922"/>
      <c r="MT223" s="922"/>
      <c r="MU223" s="922"/>
      <c r="MV223" s="922"/>
      <c r="MW223" s="922"/>
      <c r="MX223" s="922"/>
      <c r="MY223" s="922"/>
      <c r="MZ223" s="922"/>
      <c r="NA223" s="922"/>
      <c r="NB223" s="922"/>
      <c r="NC223" s="922"/>
      <c r="ND223" s="922"/>
      <c r="NE223" s="922"/>
      <c r="NF223" s="922"/>
      <c r="NG223" s="922"/>
      <c r="NH223" s="922"/>
      <c r="NI223" s="922"/>
      <c r="NJ223" s="922"/>
      <c r="NK223" s="922"/>
      <c r="NL223" s="922"/>
      <c r="NM223" s="922"/>
      <c r="NN223" s="922"/>
      <c r="NO223" s="922"/>
      <c r="NP223" s="922"/>
      <c r="NQ223" s="922"/>
      <c r="NR223" s="922"/>
      <c r="NS223" s="922"/>
      <c r="NT223" s="922"/>
      <c r="NU223" s="922"/>
      <c r="NV223" s="922"/>
      <c r="NW223" s="922"/>
      <c r="NX223" s="922"/>
      <c r="NY223" s="922"/>
      <c r="NZ223" s="922"/>
      <c r="OA223" s="922"/>
      <c r="OB223" s="922"/>
      <c r="OC223" s="922"/>
      <c r="OD223" s="922"/>
      <c r="OE223" s="922"/>
      <c r="OF223" s="922"/>
      <c r="OG223" s="922"/>
      <c r="OH223" s="922"/>
      <c r="OI223" s="922"/>
      <c r="OJ223" s="922"/>
      <c r="OK223" s="922"/>
      <c r="OL223" s="922"/>
      <c r="OM223" s="922"/>
      <c r="ON223" s="922"/>
      <c r="OO223" s="922"/>
      <c r="OP223" s="922"/>
      <c r="OQ223" s="922"/>
      <c r="OR223" s="922"/>
      <c r="OS223" s="922"/>
      <c r="OT223" s="922"/>
      <c r="OU223" s="922"/>
      <c r="OV223" s="922"/>
      <c r="OW223" s="922"/>
      <c r="OX223" s="922"/>
      <c r="OY223" s="922"/>
      <c r="OZ223" s="922"/>
      <c r="PA223" s="922"/>
      <c r="PB223" s="922"/>
      <c r="PC223" s="922"/>
      <c r="PD223" s="922"/>
      <c r="PE223" s="922"/>
      <c r="PF223" s="922"/>
      <c r="PG223" s="922"/>
      <c r="PH223" s="922"/>
      <c r="PI223" s="922"/>
      <c r="PJ223" s="922"/>
      <c r="PK223" s="922"/>
      <c r="PL223" s="922"/>
      <c r="PM223" s="922"/>
      <c r="PN223" s="922"/>
      <c r="PO223" s="922"/>
      <c r="PP223" s="922"/>
      <c r="PQ223" s="922"/>
      <c r="PR223" s="922"/>
      <c r="PS223" s="922"/>
      <c r="PT223" s="922"/>
      <c r="PU223" s="922"/>
      <c r="PV223" s="922"/>
      <c r="PW223" s="922"/>
      <c r="PX223" s="922"/>
      <c r="PY223" s="922"/>
      <c r="PZ223" s="922"/>
      <c r="QA223" s="922"/>
      <c r="QB223" s="922"/>
      <c r="QC223" s="922"/>
      <c r="QD223" s="922"/>
      <c r="QE223" s="922"/>
      <c r="QF223" s="922"/>
      <c r="QG223" s="922"/>
      <c r="QH223" s="922"/>
      <c r="QI223" s="922"/>
      <c r="QJ223" s="922"/>
      <c r="QK223" s="922"/>
      <c r="QL223" s="922"/>
      <c r="QM223" s="922"/>
      <c r="QN223" s="922"/>
      <c r="QO223" s="922"/>
      <c r="QP223" s="922"/>
      <c r="QQ223" s="922"/>
      <c r="QR223" s="922"/>
      <c r="QS223" s="922"/>
      <c r="QT223" s="922"/>
      <c r="QU223" s="922"/>
      <c r="QV223" s="922"/>
      <c r="QW223" s="922"/>
      <c r="QX223" s="922"/>
      <c r="QY223" s="922"/>
      <c r="QZ223" s="922"/>
      <c r="RA223" s="922"/>
      <c r="RB223" s="922"/>
      <c r="RC223" s="922"/>
      <c r="RD223" s="922"/>
      <c r="RE223" s="922"/>
      <c r="RF223" s="922"/>
      <c r="RG223" s="922"/>
      <c r="RH223" s="922"/>
      <c r="RI223" s="922"/>
      <c r="RJ223" s="922"/>
      <c r="RK223" s="922"/>
      <c r="RL223" s="922"/>
      <c r="RM223" s="922"/>
      <c r="RN223" s="922"/>
      <c r="RO223" s="922"/>
      <c r="RP223" s="922"/>
      <c r="RQ223" s="922"/>
      <c r="RR223" s="922"/>
      <c r="RS223" s="922"/>
      <c r="RT223" s="922"/>
      <c r="RU223" s="922"/>
      <c r="RV223" s="922"/>
      <c r="RW223" s="922"/>
      <c r="RX223" s="922"/>
      <c r="RY223" s="922"/>
      <c r="RZ223" s="922"/>
      <c r="SA223" s="922"/>
      <c r="SB223" s="922"/>
      <c r="SC223" s="922"/>
      <c r="SD223" s="922"/>
      <c r="SE223" s="922"/>
      <c r="SF223" s="922"/>
      <c r="SG223" s="922"/>
      <c r="SH223" s="922"/>
      <c r="SI223" s="922"/>
      <c r="SJ223" s="922"/>
      <c r="SK223" s="922"/>
      <c r="SL223" s="922"/>
      <c r="SM223" s="922"/>
      <c r="SN223" s="922"/>
      <c r="SO223" s="922"/>
      <c r="SP223" s="922"/>
      <c r="SQ223" s="922"/>
      <c r="SR223" s="922"/>
      <c r="SS223" s="922"/>
      <c r="ST223" s="922"/>
      <c r="SU223" s="922"/>
      <c r="SV223" s="922"/>
      <c r="SW223" s="922"/>
      <c r="SX223" s="922"/>
      <c r="SY223" s="922"/>
      <c r="SZ223" s="922"/>
      <c r="TA223" s="922"/>
      <c r="TB223" s="922"/>
      <c r="TC223" s="922"/>
      <c r="TD223" s="922"/>
      <c r="TE223" s="922"/>
      <c r="TF223" s="922"/>
      <c r="TG223" s="922"/>
      <c r="TH223" s="922"/>
      <c r="TI223" s="922"/>
      <c r="TJ223" s="922"/>
      <c r="TK223" s="922"/>
      <c r="TL223" s="922"/>
      <c r="TM223" s="922"/>
      <c r="TN223" s="922"/>
      <c r="TO223" s="922"/>
      <c r="TP223" s="922"/>
      <c r="TQ223" s="922"/>
      <c r="TR223" s="922"/>
      <c r="TS223" s="922"/>
      <c r="TT223" s="922"/>
      <c r="TU223" s="922"/>
      <c r="TV223" s="922"/>
      <c r="TW223" s="922"/>
      <c r="TX223" s="922"/>
      <c r="TY223" s="922"/>
      <c r="TZ223" s="922"/>
      <c r="UA223" s="922"/>
      <c r="UB223" s="922"/>
      <c r="UC223" s="922"/>
      <c r="UD223" s="922"/>
      <c r="UE223" s="922"/>
      <c r="UF223" s="922"/>
      <c r="UG223" s="922"/>
      <c r="UH223" s="922"/>
      <c r="UI223" s="922"/>
      <c r="UJ223" s="922"/>
      <c r="UK223" s="922"/>
      <c r="UL223" s="922"/>
      <c r="UM223" s="922"/>
      <c r="UN223" s="922"/>
      <c r="UO223" s="922"/>
      <c r="UP223" s="922"/>
      <c r="UQ223" s="922"/>
      <c r="UR223" s="922"/>
      <c r="US223" s="922"/>
      <c r="UT223" s="922"/>
      <c r="UU223" s="922"/>
      <c r="UV223" s="922"/>
      <c r="UW223" s="922"/>
      <c r="UX223" s="922"/>
      <c r="UY223" s="922"/>
      <c r="UZ223" s="922"/>
      <c r="VA223" s="922"/>
      <c r="VB223" s="922"/>
      <c r="VC223" s="922"/>
      <c r="VD223" s="922"/>
      <c r="VE223" s="922"/>
      <c r="VF223" s="922"/>
      <c r="VG223" s="922"/>
      <c r="VH223" s="922"/>
      <c r="VI223" s="922"/>
      <c r="VJ223" s="922"/>
      <c r="VK223" s="922"/>
      <c r="VL223" s="922"/>
      <c r="VM223" s="922"/>
      <c r="VN223" s="922"/>
      <c r="VO223" s="922"/>
      <c r="VP223" s="922"/>
      <c r="VQ223" s="922"/>
      <c r="VR223" s="922"/>
      <c r="VS223" s="922"/>
      <c r="VT223" s="922"/>
      <c r="VU223" s="922"/>
      <c r="VV223" s="922"/>
      <c r="VW223" s="922"/>
      <c r="VX223" s="922"/>
      <c r="VY223" s="922"/>
      <c r="VZ223" s="922"/>
      <c r="WA223" s="922"/>
      <c r="WB223" s="922"/>
      <c r="WC223" s="922"/>
      <c r="WD223" s="922"/>
      <c r="WE223" s="922"/>
      <c r="WF223" s="922"/>
      <c r="WG223" s="922"/>
      <c r="WH223" s="922"/>
      <c r="WI223" s="922"/>
      <c r="WJ223" s="922"/>
      <c r="WK223" s="922"/>
      <c r="WL223" s="922"/>
      <c r="WM223" s="922"/>
      <c r="WN223" s="922"/>
      <c r="WO223" s="922"/>
      <c r="WP223" s="922"/>
      <c r="WQ223" s="922"/>
      <c r="WR223" s="922"/>
      <c r="WS223" s="922"/>
      <c r="WT223" s="922"/>
      <c r="WU223" s="922"/>
      <c r="WV223" s="922"/>
      <c r="WW223" s="922"/>
      <c r="WX223" s="922"/>
      <c r="WY223" s="922"/>
      <c r="WZ223" s="922"/>
      <c r="XA223" s="922"/>
      <c r="XB223" s="922"/>
      <c r="XC223" s="922"/>
      <c r="XD223" s="922"/>
      <c r="XE223" s="922"/>
      <c r="XF223" s="922"/>
      <c r="XG223" s="922"/>
      <c r="XH223" s="922"/>
      <c r="XI223" s="922"/>
      <c r="XJ223" s="922"/>
      <c r="XK223" s="922"/>
      <c r="XL223" s="922"/>
      <c r="XM223" s="922"/>
      <c r="XN223" s="922"/>
      <c r="XO223" s="922"/>
      <c r="XP223" s="922"/>
      <c r="XQ223" s="922"/>
      <c r="XR223" s="922"/>
      <c r="XS223" s="922"/>
      <c r="XT223" s="922"/>
      <c r="XU223" s="922"/>
      <c r="XV223" s="922"/>
      <c r="XW223" s="922"/>
      <c r="XX223" s="922"/>
      <c r="XY223" s="922"/>
      <c r="XZ223" s="922"/>
      <c r="YA223" s="922"/>
      <c r="YB223" s="922"/>
      <c r="YC223" s="922"/>
      <c r="YD223" s="922"/>
      <c r="YE223" s="922"/>
      <c r="YF223" s="922"/>
      <c r="YG223" s="922"/>
      <c r="YH223" s="922"/>
      <c r="YI223" s="922"/>
      <c r="YJ223" s="922"/>
      <c r="YK223" s="922"/>
      <c r="YL223" s="922"/>
      <c r="YM223" s="922"/>
      <c r="YN223" s="922"/>
      <c r="YO223" s="922"/>
      <c r="YP223" s="922"/>
      <c r="YQ223" s="922"/>
      <c r="YR223" s="922"/>
      <c r="YS223" s="922"/>
      <c r="YT223" s="922"/>
      <c r="YU223" s="922"/>
      <c r="YV223" s="922"/>
      <c r="YW223" s="922"/>
      <c r="YX223" s="922"/>
      <c r="YY223" s="922"/>
      <c r="YZ223" s="922"/>
      <c r="ZA223" s="922"/>
      <c r="ZB223" s="922"/>
      <c r="ZC223" s="922"/>
      <c r="ZD223" s="922"/>
      <c r="ZE223" s="922"/>
      <c r="ZF223" s="922"/>
      <c r="ZG223" s="922"/>
      <c r="ZH223" s="922"/>
      <c r="ZI223" s="922"/>
      <c r="ZJ223" s="922"/>
      <c r="ZK223" s="922"/>
      <c r="ZL223" s="922"/>
      <c r="ZM223" s="922"/>
      <c r="ZN223" s="922"/>
      <c r="ZO223" s="922"/>
      <c r="ZP223" s="922"/>
      <c r="ZQ223" s="922"/>
      <c r="ZR223" s="922"/>
      <c r="ZS223" s="922"/>
      <c r="ZT223" s="922"/>
      <c r="ZU223" s="922"/>
      <c r="ZV223" s="922"/>
      <c r="ZW223" s="922"/>
      <c r="ZX223" s="922"/>
      <c r="ZY223" s="922"/>
      <c r="ZZ223" s="922"/>
      <c r="AAA223" s="922"/>
      <c r="AAB223" s="922"/>
      <c r="AAC223" s="922"/>
      <c r="AAD223" s="922"/>
      <c r="AAE223" s="922"/>
      <c r="AAF223" s="922"/>
      <c r="AAG223" s="922"/>
      <c r="AAH223" s="922"/>
      <c r="AAI223" s="922"/>
      <c r="AAJ223" s="922"/>
      <c r="AAK223" s="922"/>
      <c r="AAL223" s="922"/>
      <c r="AAM223" s="922"/>
      <c r="AAN223" s="922"/>
      <c r="AAO223" s="922"/>
      <c r="AAP223" s="922"/>
      <c r="AAQ223" s="922"/>
      <c r="AAR223" s="922"/>
      <c r="AAS223" s="922"/>
      <c r="AAT223" s="922"/>
      <c r="AAU223" s="922"/>
      <c r="AAV223" s="922"/>
      <c r="AAW223" s="922"/>
      <c r="AAX223" s="922"/>
      <c r="AAY223" s="922"/>
      <c r="AAZ223" s="922"/>
      <c r="ABA223" s="922"/>
      <c r="ABB223" s="922"/>
      <c r="ABC223" s="922"/>
      <c r="ABD223" s="922"/>
      <c r="ABE223" s="922"/>
      <c r="ABF223" s="922"/>
      <c r="ABG223" s="922"/>
      <c r="ABH223" s="922"/>
      <c r="ABI223" s="922"/>
      <c r="ABJ223" s="922"/>
      <c r="ABK223" s="922"/>
      <c r="ABL223" s="922"/>
      <c r="ABM223" s="922"/>
      <c r="ABN223" s="922"/>
      <c r="ABO223" s="922"/>
      <c r="ABP223" s="922"/>
      <c r="ABQ223" s="922"/>
      <c r="ABR223" s="922"/>
      <c r="ABS223" s="922"/>
      <c r="ABT223" s="922"/>
      <c r="ABU223" s="922"/>
      <c r="ABV223" s="922"/>
      <c r="ABW223" s="922"/>
      <c r="ABX223" s="922"/>
      <c r="ABY223" s="922"/>
      <c r="ABZ223" s="922"/>
      <c r="ACA223" s="922"/>
      <c r="ACB223" s="922"/>
      <c r="ACC223" s="922"/>
      <c r="ACD223" s="922"/>
      <c r="ACE223" s="922"/>
      <c r="ACF223" s="922"/>
      <c r="ACG223" s="922"/>
      <c r="ACH223" s="922"/>
      <c r="ACI223" s="922"/>
      <c r="ACJ223" s="922"/>
      <c r="ACK223" s="922"/>
      <c r="ACL223" s="922"/>
      <c r="ACM223" s="922"/>
      <c r="ACN223" s="922"/>
      <c r="ACO223" s="922"/>
      <c r="ACP223" s="922"/>
      <c r="ACQ223" s="922"/>
      <c r="ACR223" s="922"/>
      <c r="ACS223" s="922"/>
      <c r="ACT223" s="922"/>
      <c r="ACU223" s="922"/>
      <c r="ACV223" s="922"/>
      <c r="ACW223" s="922"/>
      <c r="ACX223" s="922"/>
      <c r="ACY223" s="922"/>
      <c r="ACZ223" s="922"/>
      <c r="ADA223" s="922"/>
      <c r="ADB223" s="922"/>
      <c r="ADC223" s="922"/>
      <c r="ADD223" s="922"/>
      <c r="ADE223" s="922"/>
      <c r="ADF223" s="922"/>
      <c r="ADG223" s="922"/>
      <c r="ADH223" s="922"/>
      <c r="ADI223" s="922"/>
      <c r="ADJ223" s="922"/>
      <c r="ADK223" s="922"/>
      <c r="ADL223" s="922"/>
      <c r="ADM223" s="922"/>
      <c r="ADN223" s="922"/>
      <c r="ADO223" s="922"/>
      <c r="ADP223" s="922"/>
      <c r="ADQ223" s="922"/>
      <c r="ADR223" s="922"/>
      <c r="ADS223" s="922"/>
      <c r="ADT223" s="922"/>
      <c r="ADU223" s="922"/>
      <c r="ADV223" s="922"/>
      <c r="ADW223" s="922"/>
      <c r="ADX223" s="922"/>
      <c r="ADY223" s="922"/>
      <c r="ADZ223" s="922"/>
      <c r="AEA223" s="922"/>
      <c r="AEB223" s="922"/>
      <c r="AEC223" s="922"/>
      <c r="AED223" s="922"/>
      <c r="AEE223" s="922"/>
      <c r="AEF223" s="922"/>
      <c r="AEG223" s="922"/>
      <c r="AEH223" s="922"/>
      <c r="AEI223" s="922"/>
      <c r="AEJ223" s="922"/>
      <c r="AEK223" s="922"/>
      <c r="AEL223" s="922"/>
      <c r="AEM223" s="922"/>
      <c r="AEN223" s="922"/>
      <c r="AEO223" s="922"/>
      <c r="AEP223" s="922"/>
      <c r="AEQ223" s="922"/>
      <c r="AER223" s="922"/>
      <c r="AES223" s="922"/>
      <c r="AET223" s="922"/>
      <c r="AEU223" s="922"/>
      <c r="AEV223" s="922"/>
      <c r="AEW223" s="922"/>
      <c r="AEX223" s="922"/>
      <c r="AEY223" s="922"/>
      <c r="AEZ223" s="922"/>
      <c r="AFA223" s="922"/>
      <c r="AFB223" s="922"/>
      <c r="AFC223" s="922"/>
      <c r="AFD223" s="922"/>
      <c r="AFE223" s="922"/>
      <c r="AFF223" s="922"/>
      <c r="AFG223" s="922"/>
      <c r="AFH223" s="922"/>
      <c r="AFI223" s="922"/>
      <c r="AFJ223" s="922"/>
      <c r="AFK223" s="922"/>
      <c r="AFL223" s="922"/>
      <c r="AFM223" s="922"/>
      <c r="AFN223" s="922"/>
      <c r="AFO223" s="922"/>
      <c r="AFP223" s="922"/>
      <c r="AFQ223" s="922"/>
      <c r="AFR223" s="922"/>
      <c r="AFS223" s="922"/>
      <c r="AFT223" s="922"/>
      <c r="AFU223" s="922"/>
      <c r="AFV223" s="922"/>
      <c r="AFW223" s="922"/>
      <c r="AFX223" s="922"/>
      <c r="AFY223" s="922"/>
      <c r="AFZ223" s="922"/>
      <c r="AGA223" s="922"/>
      <c r="AGB223" s="922"/>
      <c r="AGC223" s="922"/>
      <c r="AGD223" s="922"/>
      <c r="AGE223" s="922"/>
      <c r="AGF223" s="922"/>
      <c r="AGG223" s="922"/>
      <c r="AGH223" s="922"/>
      <c r="AGI223" s="922"/>
      <c r="AGJ223" s="922"/>
      <c r="AGK223" s="922"/>
      <c r="AGL223" s="922"/>
      <c r="AGM223" s="922"/>
      <c r="AGN223" s="922"/>
      <c r="AGO223" s="922"/>
      <c r="AGP223" s="922"/>
      <c r="AGQ223" s="922"/>
      <c r="AGR223" s="922"/>
      <c r="AGS223" s="922"/>
      <c r="AGT223" s="922"/>
      <c r="AGU223" s="922"/>
      <c r="AGV223" s="922"/>
      <c r="AGW223" s="922"/>
      <c r="AGX223" s="922"/>
      <c r="AGY223" s="922"/>
      <c r="AGZ223" s="922"/>
      <c r="AHA223" s="922"/>
      <c r="AHB223" s="922"/>
      <c r="AHC223" s="922"/>
      <c r="AHD223" s="922"/>
      <c r="AHE223" s="922"/>
      <c r="AHF223" s="922"/>
      <c r="AHG223" s="922"/>
      <c r="AHH223" s="922"/>
      <c r="AHI223" s="922"/>
      <c r="AHJ223" s="922"/>
      <c r="AHK223" s="922"/>
      <c r="AHL223" s="922"/>
      <c r="AHM223" s="922"/>
      <c r="AHN223" s="922"/>
      <c r="AHO223" s="922"/>
      <c r="AHP223" s="922"/>
      <c r="AHQ223" s="922"/>
      <c r="AHR223" s="922"/>
      <c r="AHS223" s="922"/>
      <c r="AHT223" s="922"/>
      <c r="AHU223" s="922"/>
      <c r="AHV223" s="922"/>
      <c r="AHW223" s="922"/>
      <c r="AHX223" s="922"/>
      <c r="AHY223" s="922"/>
      <c r="AHZ223" s="922"/>
      <c r="AIA223" s="922"/>
      <c r="AIB223" s="922"/>
      <c r="AIC223" s="922"/>
      <c r="AID223" s="922"/>
      <c r="AIE223" s="922"/>
      <c r="AIF223" s="922"/>
      <c r="AIG223" s="922"/>
      <c r="AIH223" s="922"/>
      <c r="AII223" s="922"/>
      <c r="AIJ223" s="922"/>
      <c r="AIK223" s="922"/>
      <c r="AIL223" s="922"/>
      <c r="AIM223" s="922"/>
      <c r="AIN223" s="922"/>
      <c r="AIO223" s="922"/>
      <c r="AIP223" s="922"/>
      <c r="AIQ223" s="922"/>
      <c r="AIR223" s="922"/>
      <c r="AIS223" s="922"/>
      <c r="AIT223" s="922"/>
      <c r="AIU223" s="922"/>
      <c r="AIV223" s="922"/>
      <c r="AIW223" s="922"/>
      <c r="AIX223" s="922"/>
      <c r="AIY223" s="922"/>
      <c r="AIZ223" s="922"/>
      <c r="AJA223" s="922"/>
      <c r="AJB223" s="922"/>
      <c r="AJC223" s="922"/>
      <c r="AJD223" s="922"/>
      <c r="AJE223" s="922"/>
      <c r="AJF223" s="922"/>
      <c r="AJG223" s="922"/>
      <c r="AJH223" s="922"/>
      <c r="AJI223" s="922"/>
      <c r="AJJ223" s="922"/>
      <c r="AJK223" s="922"/>
      <c r="AJL223" s="922"/>
      <c r="AJM223" s="922"/>
      <c r="AJN223" s="922"/>
      <c r="AJO223" s="922"/>
      <c r="AJP223" s="922"/>
      <c r="AJQ223" s="922"/>
      <c r="AJR223" s="922"/>
      <c r="AJS223" s="922"/>
      <c r="AJT223" s="922"/>
      <c r="AJU223" s="922"/>
      <c r="AJV223" s="922"/>
      <c r="AJW223" s="922"/>
      <c r="AJX223" s="922"/>
      <c r="AJY223" s="922"/>
      <c r="AJZ223" s="922"/>
      <c r="AKA223" s="922"/>
      <c r="AKB223" s="922"/>
      <c r="AKC223" s="922"/>
      <c r="AKD223" s="922"/>
      <c r="AKE223" s="922"/>
      <c r="AKF223" s="922"/>
      <c r="AKG223" s="922"/>
      <c r="AKH223" s="922"/>
      <c r="AKI223" s="922"/>
      <c r="AKJ223" s="922"/>
      <c r="AKK223" s="922"/>
      <c r="AKL223" s="922"/>
      <c r="AKM223" s="922"/>
      <c r="AKN223" s="922"/>
      <c r="AKO223" s="922"/>
      <c r="AKP223" s="922"/>
      <c r="AKQ223" s="922"/>
      <c r="AKR223" s="922"/>
      <c r="AKS223" s="922"/>
      <c r="AKT223" s="922"/>
      <c r="AKU223" s="922"/>
      <c r="AKV223" s="922"/>
      <c r="AKW223" s="922"/>
      <c r="AKX223" s="922"/>
      <c r="AKY223" s="922"/>
      <c r="AKZ223" s="922"/>
      <c r="ALA223" s="922"/>
      <c r="ALB223" s="922"/>
      <c r="ALC223" s="922"/>
      <c r="ALD223" s="922"/>
      <c r="ALE223" s="922"/>
      <c r="ALF223" s="922"/>
      <c r="ALG223" s="922"/>
      <c r="ALH223" s="922"/>
      <c r="ALI223" s="922"/>
      <c r="ALJ223" s="922"/>
      <c r="ALK223" s="922"/>
      <c r="ALL223" s="922"/>
      <c r="ALM223" s="922"/>
      <c r="ALN223" s="922"/>
      <c r="ALO223" s="922"/>
      <c r="ALP223" s="922"/>
      <c r="ALQ223" s="922"/>
      <c r="ALR223" s="922"/>
      <c r="ALS223" s="922"/>
      <c r="ALT223" s="922"/>
      <c r="ALU223" s="922"/>
      <c r="ALV223" s="922"/>
      <c r="ALW223" s="922"/>
      <c r="ALX223" s="922"/>
      <c r="ALY223" s="922"/>
      <c r="ALZ223" s="922"/>
      <c r="AMA223" s="922"/>
      <c r="AMB223" s="922"/>
      <c r="AMC223" s="922"/>
      <c r="AMD223" s="922"/>
      <c r="AME223" s="922"/>
      <c r="AMF223" s="922"/>
      <c r="AMG223" s="922"/>
      <c r="AMH223" s="922"/>
      <c r="AMI223" s="922"/>
      <c r="AMJ223" s="922"/>
      <c r="AMK223" s="922"/>
      <c r="AML223" s="922"/>
      <c r="AMM223" s="922"/>
      <c r="AMN223" s="922"/>
      <c r="AMO223" s="922"/>
      <c r="AMP223" s="922"/>
      <c r="AMQ223" s="922"/>
      <c r="AMR223" s="922"/>
      <c r="AMS223" s="922"/>
      <c r="AMT223" s="922"/>
      <c r="AMU223" s="922"/>
      <c r="AMV223" s="922"/>
      <c r="AMW223" s="922"/>
      <c r="AMX223" s="922"/>
      <c r="AMY223" s="922"/>
      <c r="AMZ223" s="922"/>
      <c r="ANA223" s="922"/>
      <c r="ANB223" s="922"/>
      <c r="ANC223" s="922"/>
      <c r="AND223" s="922"/>
      <c r="ANE223" s="922"/>
      <c r="ANF223" s="922"/>
      <c r="ANG223" s="922"/>
      <c r="ANH223" s="922"/>
      <c r="ANI223" s="922"/>
      <c r="ANJ223" s="922"/>
      <c r="ANK223" s="922"/>
      <c r="ANL223" s="922"/>
      <c r="ANM223" s="922"/>
      <c r="ANN223" s="922"/>
      <c r="ANO223" s="922"/>
      <c r="ANP223" s="922"/>
      <c r="ANQ223" s="922"/>
      <c r="ANR223" s="922"/>
      <c r="ANS223" s="922"/>
      <c r="ANT223" s="922"/>
      <c r="ANU223" s="922"/>
      <c r="ANV223" s="922"/>
      <c r="ANW223" s="922"/>
      <c r="ANX223" s="922"/>
      <c r="ANY223" s="922"/>
      <c r="ANZ223" s="922"/>
      <c r="AOA223" s="922"/>
      <c r="AOB223" s="922"/>
      <c r="AOC223" s="922"/>
      <c r="AOD223" s="922"/>
      <c r="AOE223" s="922"/>
      <c r="AOF223" s="922"/>
      <c r="AOG223" s="922"/>
      <c r="AOH223" s="922"/>
      <c r="AOI223" s="922"/>
      <c r="AOJ223" s="922"/>
      <c r="AOK223" s="922"/>
      <c r="AOL223" s="922"/>
      <c r="AOM223" s="922"/>
      <c r="AON223" s="922"/>
      <c r="AOO223" s="922"/>
      <c r="AOP223" s="922"/>
      <c r="AOQ223" s="922"/>
      <c r="AOR223" s="922"/>
      <c r="AOS223" s="922"/>
      <c r="AOT223" s="922"/>
      <c r="AOU223" s="922"/>
      <c r="AOV223" s="922"/>
      <c r="AOW223" s="922"/>
      <c r="AOX223" s="922"/>
      <c r="AOY223" s="922"/>
      <c r="AOZ223" s="922"/>
      <c r="APA223" s="922"/>
      <c r="APB223" s="922"/>
      <c r="APC223" s="922"/>
      <c r="APD223" s="922"/>
      <c r="APE223" s="922"/>
      <c r="APF223" s="922"/>
      <c r="APG223" s="922"/>
      <c r="APH223" s="922"/>
      <c r="API223" s="922"/>
      <c r="APJ223" s="922"/>
      <c r="APK223" s="922"/>
      <c r="APL223" s="922"/>
      <c r="APM223" s="922"/>
      <c r="APN223" s="922"/>
      <c r="APO223" s="922"/>
      <c r="APP223" s="922"/>
      <c r="APQ223" s="922"/>
      <c r="APR223" s="922"/>
      <c r="APS223" s="922"/>
      <c r="APT223" s="922"/>
      <c r="APU223" s="922"/>
      <c r="APV223" s="922"/>
      <c r="APW223" s="922"/>
      <c r="APX223" s="922"/>
      <c r="APY223" s="922"/>
      <c r="APZ223" s="922"/>
      <c r="AQA223" s="922"/>
      <c r="AQB223" s="922"/>
      <c r="AQC223" s="922"/>
      <c r="AQD223" s="922"/>
      <c r="AQE223" s="922"/>
      <c r="AQF223" s="922"/>
      <c r="AQG223" s="922"/>
      <c r="AQH223" s="922"/>
      <c r="AQI223" s="922"/>
      <c r="AQJ223" s="922"/>
      <c r="AQK223" s="922"/>
      <c r="AQL223" s="922"/>
      <c r="AQM223" s="922"/>
      <c r="AQN223" s="922"/>
      <c r="AQO223" s="922"/>
      <c r="AQP223" s="922"/>
      <c r="AQQ223" s="922"/>
      <c r="AQR223" s="922"/>
      <c r="AQS223" s="922"/>
      <c r="AQT223" s="922"/>
      <c r="AQU223" s="922"/>
      <c r="AQV223" s="922"/>
      <c r="AQW223" s="922"/>
      <c r="AQX223" s="922"/>
      <c r="AQY223" s="922"/>
      <c r="AQZ223" s="922"/>
      <c r="ARA223" s="922"/>
      <c r="ARB223" s="922"/>
      <c r="ARC223" s="922"/>
      <c r="ARD223" s="922"/>
      <c r="ARE223" s="922"/>
      <c r="ARF223" s="922"/>
      <c r="ARG223" s="922"/>
      <c r="ARH223" s="922"/>
      <c r="ARI223" s="922"/>
      <c r="ARJ223" s="922"/>
      <c r="ARK223" s="922"/>
      <c r="ARL223" s="922"/>
      <c r="ARM223" s="922"/>
      <c r="ARN223" s="922"/>
      <c r="ARO223" s="922"/>
      <c r="ARP223" s="922"/>
      <c r="ARQ223" s="922"/>
      <c r="ARR223" s="922"/>
      <c r="ARS223" s="922"/>
      <c r="ART223" s="922"/>
      <c r="ARU223" s="922"/>
      <c r="ARV223" s="922"/>
      <c r="ARW223" s="922"/>
      <c r="ARX223" s="922"/>
      <c r="ARY223" s="922"/>
      <c r="ARZ223" s="922"/>
      <c r="ASA223" s="922"/>
      <c r="ASB223" s="922"/>
      <c r="ASC223" s="922"/>
    </row>
    <row r="224" spans="20:1173" hidden="1">
      <c r="T224" s="922"/>
      <c r="AN224" s="922"/>
      <c r="AO224" s="922"/>
      <c r="AP224" s="922"/>
      <c r="AQ224" s="922"/>
      <c r="AR224" s="922"/>
      <c r="AS224" s="922"/>
      <c r="AT224" s="922"/>
      <c r="AU224" s="922"/>
      <c r="AV224" s="922"/>
      <c r="AW224" s="922"/>
      <c r="AX224" s="922"/>
      <c r="AY224" s="922"/>
      <c r="AZ224" s="922"/>
      <c r="BA224" s="922"/>
      <c r="BB224" s="922"/>
      <c r="BC224" s="922"/>
      <c r="BD224" s="922"/>
      <c r="BE224" s="922"/>
      <c r="BF224" s="922"/>
      <c r="BG224" s="922"/>
      <c r="BH224" s="922"/>
      <c r="BI224" s="922"/>
      <c r="BJ224" s="922"/>
      <c r="BK224" s="922"/>
      <c r="BL224" s="922"/>
      <c r="BM224" s="922"/>
      <c r="BN224" s="922"/>
      <c r="BO224" s="922"/>
      <c r="BP224" s="922"/>
      <c r="BQ224" s="922"/>
      <c r="BR224" s="922"/>
      <c r="BS224" s="922"/>
      <c r="BT224" s="922"/>
      <c r="BU224" s="922"/>
      <c r="BV224" s="922"/>
      <c r="BW224" s="922"/>
      <c r="BX224" s="922"/>
      <c r="BY224" s="922"/>
      <c r="BZ224" s="922"/>
      <c r="CA224" s="922"/>
      <c r="CB224" s="922"/>
      <c r="CC224" s="922"/>
      <c r="CD224" s="922"/>
      <c r="CE224" s="922"/>
      <c r="CF224" s="922"/>
      <c r="CG224" s="922"/>
      <c r="CH224" s="922"/>
      <c r="CI224" s="922"/>
      <c r="CJ224" s="922"/>
      <c r="CK224" s="922"/>
      <c r="CL224" s="922"/>
      <c r="CM224" s="922"/>
      <c r="CN224" s="922"/>
      <c r="CO224" s="922"/>
      <c r="CP224" s="922"/>
      <c r="CQ224" s="922"/>
      <c r="CR224" s="922"/>
      <c r="CS224" s="922"/>
      <c r="CT224" s="922"/>
      <c r="CU224" s="922"/>
      <c r="CV224" s="922"/>
      <c r="CW224" s="922"/>
      <c r="CX224" s="922"/>
      <c r="CY224" s="922"/>
      <c r="CZ224" s="922"/>
      <c r="DA224" s="922"/>
      <c r="DB224" s="922"/>
      <c r="DC224" s="922"/>
      <c r="DD224" s="922"/>
      <c r="DE224" s="922"/>
      <c r="DF224" s="922"/>
      <c r="DG224" s="922"/>
      <c r="DH224" s="922"/>
      <c r="DI224" s="922"/>
      <c r="DJ224" s="922"/>
      <c r="DK224" s="922"/>
      <c r="DL224" s="922"/>
      <c r="DM224" s="922"/>
      <c r="DN224" s="922"/>
      <c r="DO224" s="922"/>
      <c r="DP224" s="922"/>
      <c r="DQ224" s="922"/>
      <c r="DR224" s="922"/>
      <c r="DS224" s="922"/>
      <c r="DT224" s="922"/>
      <c r="DU224" s="922"/>
      <c r="DV224" s="922"/>
      <c r="DW224" s="922"/>
      <c r="DX224" s="922"/>
      <c r="DY224" s="922"/>
      <c r="DZ224" s="922"/>
      <c r="EA224" s="922"/>
      <c r="EB224" s="922"/>
      <c r="EC224" s="922"/>
      <c r="ED224" s="922"/>
      <c r="EE224" s="922"/>
      <c r="EF224" s="922"/>
      <c r="EG224" s="922"/>
      <c r="EH224" s="922"/>
      <c r="EI224" s="922"/>
      <c r="EJ224" s="922"/>
      <c r="EK224" s="922"/>
      <c r="EL224" s="922"/>
      <c r="EM224" s="922"/>
      <c r="EN224" s="922"/>
      <c r="EO224" s="922"/>
      <c r="EP224" s="922"/>
      <c r="EQ224" s="922"/>
      <c r="ER224" s="922"/>
      <c r="ES224" s="922"/>
      <c r="ET224" s="922"/>
      <c r="EU224" s="922"/>
      <c r="EV224" s="922"/>
      <c r="EW224" s="922"/>
      <c r="EX224" s="922"/>
      <c r="EY224" s="922"/>
      <c r="EZ224" s="922"/>
      <c r="FA224" s="922"/>
      <c r="FB224" s="922"/>
      <c r="FC224" s="922"/>
      <c r="FD224" s="922"/>
      <c r="FE224" s="922"/>
      <c r="FF224" s="922"/>
      <c r="FG224" s="922"/>
      <c r="FH224" s="922"/>
      <c r="FI224" s="922"/>
      <c r="FJ224" s="922"/>
      <c r="FK224" s="922"/>
      <c r="FL224" s="922"/>
      <c r="FM224" s="922"/>
      <c r="FN224" s="922"/>
      <c r="FO224" s="922"/>
      <c r="FP224" s="922"/>
      <c r="FQ224" s="922"/>
      <c r="FR224" s="922"/>
      <c r="FS224" s="922"/>
      <c r="FT224" s="922"/>
      <c r="FU224" s="922"/>
      <c r="FV224" s="922"/>
      <c r="FW224" s="922"/>
      <c r="FX224" s="922"/>
      <c r="FY224" s="922"/>
      <c r="FZ224" s="922"/>
      <c r="GA224" s="922"/>
      <c r="GB224" s="922"/>
      <c r="GC224" s="922"/>
      <c r="GD224" s="922"/>
      <c r="GE224" s="922"/>
      <c r="GF224" s="922"/>
      <c r="GG224" s="922"/>
      <c r="GH224" s="922"/>
      <c r="GI224" s="922"/>
      <c r="GJ224" s="922"/>
      <c r="GK224" s="922"/>
      <c r="GL224" s="922"/>
      <c r="GM224" s="922"/>
      <c r="GN224" s="922"/>
      <c r="GO224" s="922"/>
      <c r="GP224" s="922"/>
      <c r="GQ224" s="922"/>
      <c r="GR224" s="922"/>
      <c r="GS224" s="922"/>
      <c r="GT224" s="922"/>
      <c r="GU224" s="922"/>
      <c r="GV224" s="922"/>
      <c r="GW224" s="922"/>
      <c r="GX224" s="922"/>
      <c r="GY224" s="922"/>
      <c r="GZ224" s="922"/>
      <c r="HA224" s="922"/>
      <c r="HB224" s="922"/>
      <c r="HC224" s="922"/>
      <c r="HD224" s="922"/>
      <c r="HE224" s="922"/>
      <c r="HF224" s="922"/>
      <c r="HG224" s="922"/>
      <c r="HH224" s="922"/>
      <c r="HI224" s="922"/>
      <c r="HJ224" s="922"/>
      <c r="HK224" s="922"/>
      <c r="HL224" s="922"/>
      <c r="HM224" s="922"/>
      <c r="HN224" s="922"/>
      <c r="HO224" s="922"/>
      <c r="HP224" s="922"/>
      <c r="HQ224" s="922"/>
      <c r="HR224" s="922"/>
      <c r="HS224" s="922"/>
      <c r="HT224" s="922"/>
      <c r="HU224" s="922"/>
      <c r="HV224" s="922"/>
      <c r="HW224" s="922"/>
      <c r="HX224" s="922"/>
      <c r="HY224" s="922"/>
      <c r="HZ224" s="922"/>
      <c r="IA224" s="922"/>
      <c r="IB224" s="922"/>
      <c r="IC224" s="922"/>
      <c r="ID224" s="922"/>
      <c r="IE224" s="922"/>
      <c r="IF224" s="922"/>
      <c r="IG224" s="922"/>
      <c r="IH224" s="922"/>
      <c r="II224" s="922"/>
      <c r="IJ224" s="922"/>
      <c r="IK224" s="922"/>
      <c r="IL224" s="922"/>
      <c r="IM224" s="922"/>
      <c r="IN224" s="922"/>
      <c r="IO224" s="922"/>
      <c r="IP224" s="922"/>
      <c r="IQ224" s="922"/>
      <c r="IR224" s="922"/>
      <c r="IS224" s="922"/>
      <c r="IT224" s="922"/>
      <c r="IU224" s="922"/>
      <c r="IV224" s="922"/>
      <c r="IW224" s="922"/>
      <c r="IX224" s="922"/>
      <c r="IY224" s="922"/>
      <c r="IZ224" s="922"/>
      <c r="JA224" s="922"/>
      <c r="JB224" s="922"/>
      <c r="JC224" s="922"/>
      <c r="JD224" s="922"/>
      <c r="JE224" s="922"/>
      <c r="JF224" s="922"/>
      <c r="JG224" s="922"/>
      <c r="JH224" s="922"/>
      <c r="JI224" s="922"/>
      <c r="JJ224" s="922"/>
      <c r="JK224" s="922"/>
      <c r="JL224" s="922"/>
      <c r="JM224" s="922"/>
      <c r="JN224" s="922"/>
      <c r="JO224" s="922"/>
      <c r="JP224" s="922"/>
      <c r="JQ224" s="922"/>
      <c r="JR224" s="922"/>
      <c r="JS224" s="922"/>
      <c r="JT224" s="922"/>
      <c r="JU224" s="922"/>
      <c r="JV224" s="922"/>
      <c r="JW224" s="922"/>
      <c r="JX224" s="922"/>
      <c r="JY224" s="922"/>
      <c r="JZ224" s="922"/>
      <c r="KA224" s="922"/>
      <c r="KB224" s="922"/>
      <c r="KC224" s="922"/>
      <c r="KD224" s="922"/>
      <c r="KE224" s="922"/>
      <c r="KF224" s="922"/>
      <c r="KG224" s="922"/>
      <c r="KH224" s="922"/>
      <c r="KI224" s="922"/>
      <c r="KJ224" s="922"/>
      <c r="KK224" s="922"/>
      <c r="KL224" s="922"/>
      <c r="KM224" s="922"/>
      <c r="KN224" s="922"/>
      <c r="KO224" s="922"/>
      <c r="KP224" s="922"/>
      <c r="KQ224" s="922"/>
      <c r="KR224" s="922"/>
      <c r="KS224" s="922"/>
      <c r="KT224" s="922"/>
      <c r="KU224" s="922"/>
      <c r="KV224" s="922"/>
      <c r="KW224" s="922"/>
      <c r="KX224" s="922"/>
      <c r="KY224" s="922"/>
      <c r="KZ224" s="922"/>
      <c r="LA224" s="922"/>
      <c r="LB224" s="922"/>
      <c r="LC224" s="922"/>
      <c r="LD224" s="922"/>
      <c r="LE224" s="922"/>
      <c r="LF224" s="922"/>
      <c r="LG224" s="922"/>
      <c r="LH224" s="922"/>
      <c r="LI224" s="922"/>
      <c r="LJ224" s="922"/>
      <c r="LK224" s="922"/>
      <c r="LL224" s="922"/>
      <c r="LM224" s="922"/>
      <c r="LN224" s="922"/>
      <c r="LO224" s="922"/>
      <c r="LP224" s="922"/>
      <c r="LQ224" s="922"/>
      <c r="LR224" s="922"/>
      <c r="LS224" s="922"/>
      <c r="LT224" s="922"/>
      <c r="LU224" s="922"/>
      <c r="LV224" s="922"/>
      <c r="LW224" s="922"/>
      <c r="LX224" s="922"/>
      <c r="LY224" s="922"/>
      <c r="LZ224" s="922"/>
      <c r="MA224" s="922"/>
      <c r="MB224" s="922"/>
      <c r="MC224" s="922"/>
      <c r="MD224" s="922"/>
      <c r="ME224" s="922"/>
      <c r="MF224" s="922"/>
      <c r="MG224" s="922"/>
      <c r="MH224" s="922"/>
      <c r="MI224" s="922"/>
      <c r="MJ224" s="922"/>
      <c r="MK224" s="922"/>
      <c r="ML224" s="922"/>
      <c r="MM224" s="922"/>
      <c r="MN224" s="922"/>
      <c r="MO224" s="922"/>
      <c r="MP224" s="922"/>
      <c r="MQ224" s="922"/>
      <c r="MR224" s="922"/>
      <c r="MS224" s="922"/>
      <c r="MT224" s="922"/>
      <c r="MU224" s="922"/>
      <c r="MV224" s="922"/>
      <c r="MW224" s="922"/>
      <c r="MX224" s="922"/>
      <c r="MY224" s="922"/>
      <c r="MZ224" s="922"/>
      <c r="NA224" s="922"/>
      <c r="NB224" s="922"/>
      <c r="NC224" s="922"/>
      <c r="ND224" s="922"/>
      <c r="NE224" s="922"/>
      <c r="NF224" s="922"/>
      <c r="NG224" s="922"/>
      <c r="NH224" s="922"/>
      <c r="NI224" s="922"/>
      <c r="NJ224" s="922"/>
      <c r="NK224" s="922"/>
      <c r="NL224" s="922"/>
      <c r="NM224" s="922"/>
      <c r="NN224" s="922"/>
      <c r="NO224" s="922"/>
      <c r="NP224" s="922"/>
      <c r="NQ224" s="922"/>
      <c r="NR224" s="922"/>
      <c r="NS224" s="922"/>
      <c r="NT224" s="922"/>
      <c r="NU224" s="922"/>
      <c r="NV224" s="922"/>
      <c r="NW224" s="922"/>
      <c r="NX224" s="922"/>
      <c r="NY224" s="922"/>
      <c r="NZ224" s="922"/>
      <c r="OA224" s="922"/>
      <c r="OB224" s="922"/>
      <c r="OC224" s="922"/>
      <c r="OD224" s="922"/>
      <c r="OE224" s="922"/>
      <c r="OF224" s="922"/>
      <c r="OG224" s="922"/>
      <c r="OH224" s="922"/>
      <c r="OI224" s="922"/>
      <c r="OJ224" s="922"/>
      <c r="OK224" s="922"/>
      <c r="OL224" s="922"/>
      <c r="OM224" s="922"/>
      <c r="ON224" s="922"/>
      <c r="OO224" s="922"/>
      <c r="OP224" s="922"/>
      <c r="OQ224" s="922"/>
      <c r="OR224" s="922"/>
      <c r="OS224" s="922"/>
      <c r="OT224" s="922"/>
      <c r="OU224" s="922"/>
      <c r="OV224" s="922"/>
      <c r="OW224" s="922"/>
      <c r="OX224" s="922"/>
      <c r="OY224" s="922"/>
      <c r="OZ224" s="922"/>
      <c r="PA224" s="922"/>
      <c r="PB224" s="922"/>
      <c r="PC224" s="922"/>
      <c r="PD224" s="922"/>
      <c r="PE224" s="922"/>
      <c r="PF224" s="922"/>
      <c r="PG224" s="922"/>
      <c r="PH224" s="922"/>
      <c r="PI224" s="922"/>
      <c r="PJ224" s="922"/>
      <c r="PK224" s="922"/>
      <c r="PL224" s="922"/>
      <c r="PM224" s="922"/>
      <c r="PN224" s="922"/>
      <c r="PO224" s="922"/>
      <c r="PP224" s="922"/>
      <c r="PQ224" s="922"/>
      <c r="PR224" s="922"/>
      <c r="PS224" s="922"/>
      <c r="PT224" s="922"/>
      <c r="PU224" s="922"/>
      <c r="PV224" s="922"/>
      <c r="PW224" s="922"/>
      <c r="PX224" s="922"/>
      <c r="PY224" s="922"/>
      <c r="PZ224" s="922"/>
      <c r="QA224" s="922"/>
      <c r="QB224" s="922"/>
      <c r="QC224" s="922"/>
      <c r="QD224" s="922"/>
      <c r="QE224" s="922"/>
      <c r="QF224" s="922"/>
      <c r="QG224" s="922"/>
      <c r="QH224" s="922"/>
      <c r="QI224" s="922"/>
      <c r="QJ224" s="922"/>
      <c r="QK224" s="922"/>
      <c r="QL224" s="922"/>
      <c r="QM224" s="922"/>
      <c r="QN224" s="922"/>
      <c r="QO224" s="922"/>
      <c r="QP224" s="922"/>
      <c r="QQ224" s="922"/>
      <c r="QR224" s="922"/>
      <c r="QS224" s="922"/>
      <c r="QT224" s="922"/>
      <c r="QU224" s="922"/>
      <c r="QV224" s="922"/>
      <c r="QW224" s="922"/>
      <c r="QX224" s="922"/>
      <c r="QY224" s="922"/>
      <c r="QZ224" s="922"/>
      <c r="RA224" s="922"/>
      <c r="RB224" s="922"/>
      <c r="RC224" s="922"/>
      <c r="RD224" s="922"/>
      <c r="RE224" s="922"/>
      <c r="RF224" s="922"/>
      <c r="RG224" s="922"/>
      <c r="RH224" s="922"/>
      <c r="RI224" s="922"/>
      <c r="RJ224" s="922"/>
      <c r="RK224" s="922"/>
      <c r="RL224" s="922"/>
      <c r="RM224" s="922"/>
      <c r="RN224" s="922"/>
      <c r="RO224" s="922"/>
      <c r="RP224" s="922"/>
      <c r="RQ224" s="922"/>
      <c r="RR224" s="922"/>
      <c r="RS224" s="922"/>
      <c r="RT224" s="922"/>
      <c r="RU224" s="922"/>
      <c r="RV224" s="922"/>
      <c r="RW224" s="922"/>
      <c r="RX224" s="922"/>
      <c r="RY224" s="922"/>
      <c r="RZ224" s="922"/>
      <c r="SA224" s="922"/>
      <c r="SB224" s="922"/>
      <c r="SC224" s="922"/>
      <c r="SD224" s="922"/>
      <c r="SE224" s="922"/>
      <c r="SF224" s="922"/>
      <c r="SG224" s="922"/>
      <c r="SH224" s="922"/>
      <c r="SI224" s="922"/>
      <c r="SJ224" s="922"/>
      <c r="SK224" s="922"/>
      <c r="SL224" s="922"/>
      <c r="SM224" s="922"/>
      <c r="SN224" s="922"/>
      <c r="SO224" s="922"/>
      <c r="SP224" s="922"/>
      <c r="SQ224" s="922"/>
      <c r="SR224" s="922"/>
      <c r="SS224" s="922"/>
      <c r="ST224" s="922"/>
      <c r="SU224" s="922"/>
      <c r="SV224" s="922"/>
      <c r="SW224" s="922"/>
      <c r="SX224" s="922"/>
      <c r="SY224" s="922"/>
      <c r="SZ224" s="922"/>
      <c r="TA224" s="922"/>
      <c r="TB224" s="922"/>
      <c r="TC224" s="922"/>
      <c r="TD224" s="922"/>
      <c r="TE224" s="922"/>
      <c r="TF224" s="922"/>
      <c r="TG224" s="922"/>
      <c r="TH224" s="922"/>
      <c r="TI224" s="922"/>
      <c r="TJ224" s="922"/>
      <c r="TK224" s="922"/>
      <c r="TL224" s="922"/>
      <c r="TM224" s="922"/>
      <c r="TN224" s="922"/>
      <c r="TO224" s="922"/>
      <c r="TP224" s="922"/>
      <c r="TQ224" s="922"/>
      <c r="TR224" s="922"/>
      <c r="TS224" s="922"/>
      <c r="TT224" s="922"/>
      <c r="TU224" s="922"/>
      <c r="TV224" s="922"/>
      <c r="TW224" s="922"/>
      <c r="TX224" s="922"/>
      <c r="TY224" s="922"/>
      <c r="TZ224" s="922"/>
      <c r="UA224" s="922"/>
      <c r="UB224" s="922"/>
      <c r="UC224" s="922"/>
      <c r="UD224" s="922"/>
      <c r="UE224" s="922"/>
      <c r="UF224" s="922"/>
      <c r="UG224" s="922"/>
      <c r="UH224" s="922"/>
      <c r="UI224" s="922"/>
      <c r="UJ224" s="922"/>
      <c r="UK224" s="922"/>
      <c r="UL224" s="922"/>
      <c r="UM224" s="922"/>
      <c r="UN224" s="922"/>
      <c r="UO224" s="922"/>
      <c r="UP224" s="922"/>
      <c r="UQ224" s="922"/>
      <c r="UR224" s="922"/>
      <c r="US224" s="922"/>
      <c r="UT224" s="922"/>
      <c r="UU224" s="922"/>
      <c r="UV224" s="922"/>
      <c r="UW224" s="922"/>
      <c r="UX224" s="922"/>
      <c r="UY224" s="922"/>
      <c r="UZ224" s="922"/>
      <c r="VA224" s="922"/>
      <c r="VB224" s="922"/>
      <c r="VC224" s="922"/>
      <c r="VD224" s="922"/>
      <c r="VE224" s="922"/>
      <c r="VF224" s="922"/>
      <c r="VG224" s="922"/>
      <c r="VH224" s="922"/>
      <c r="VI224" s="922"/>
      <c r="VJ224" s="922"/>
      <c r="VK224" s="922"/>
      <c r="VL224" s="922"/>
      <c r="VM224" s="922"/>
      <c r="VN224" s="922"/>
      <c r="VO224" s="922"/>
      <c r="VP224" s="922"/>
      <c r="VQ224" s="922"/>
      <c r="VR224" s="922"/>
      <c r="VS224" s="922"/>
      <c r="VT224" s="922"/>
      <c r="VU224" s="922"/>
      <c r="VV224" s="922"/>
      <c r="VW224" s="922"/>
      <c r="VX224" s="922"/>
      <c r="VY224" s="922"/>
      <c r="VZ224" s="922"/>
      <c r="WA224" s="922"/>
      <c r="WB224" s="922"/>
      <c r="WC224" s="922"/>
      <c r="WD224" s="922"/>
      <c r="WE224" s="922"/>
      <c r="WF224" s="922"/>
      <c r="WG224" s="922"/>
      <c r="WH224" s="922"/>
      <c r="WI224" s="922"/>
      <c r="WJ224" s="922"/>
      <c r="WK224" s="922"/>
      <c r="WL224" s="922"/>
      <c r="WM224" s="922"/>
      <c r="WN224" s="922"/>
      <c r="WO224" s="922"/>
      <c r="WP224" s="922"/>
      <c r="WQ224" s="922"/>
      <c r="WR224" s="922"/>
      <c r="WS224" s="922"/>
      <c r="WT224" s="922"/>
      <c r="WU224" s="922"/>
      <c r="WV224" s="922"/>
      <c r="WW224" s="922"/>
      <c r="WX224" s="922"/>
      <c r="WY224" s="922"/>
      <c r="WZ224" s="922"/>
      <c r="XA224" s="922"/>
      <c r="XB224" s="922"/>
      <c r="XC224" s="922"/>
      <c r="XD224" s="922"/>
      <c r="XE224" s="922"/>
      <c r="XF224" s="922"/>
      <c r="XG224" s="922"/>
      <c r="XH224" s="922"/>
      <c r="XI224" s="922"/>
      <c r="XJ224" s="922"/>
      <c r="XK224" s="922"/>
      <c r="XL224" s="922"/>
      <c r="XM224" s="922"/>
      <c r="XN224" s="922"/>
      <c r="XO224" s="922"/>
      <c r="XP224" s="922"/>
      <c r="XQ224" s="922"/>
      <c r="XR224" s="922"/>
      <c r="XS224" s="922"/>
      <c r="XT224" s="922"/>
      <c r="XU224" s="922"/>
      <c r="XV224" s="922"/>
      <c r="XW224" s="922"/>
      <c r="XX224" s="922"/>
      <c r="XY224" s="922"/>
      <c r="XZ224" s="922"/>
      <c r="YA224" s="922"/>
      <c r="YB224" s="922"/>
      <c r="YC224" s="922"/>
      <c r="YD224" s="922"/>
      <c r="YE224" s="922"/>
      <c r="YF224" s="922"/>
      <c r="YG224" s="922"/>
      <c r="YH224" s="922"/>
      <c r="YI224" s="922"/>
      <c r="YJ224" s="922"/>
      <c r="YK224" s="922"/>
      <c r="YL224" s="922"/>
      <c r="YM224" s="922"/>
      <c r="YN224" s="922"/>
      <c r="YO224" s="922"/>
      <c r="YP224" s="922"/>
      <c r="YQ224" s="922"/>
      <c r="YR224" s="922"/>
      <c r="YS224" s="922"/>
      <c r="YT224" s="922"/>
      <c r="YU224" s="922"/>
      <c r="YV224" s="922"/>
      <c r="YW224" s="922"/>
      <c r="YX224" s="922"/>
      <c r="YY224" s="922"/>
      <c r="YZ224" s="922"/>
      <c r="ZA224" s="922"/>
      <c r="ZB224" s="922"/>
      <c r="ZC224" s="922"/>
      <c r="ZD224" s="922"/>
      <c r="ZE224" s="922"/>
      <c r="ZF224" s="922"/>
      <c r="ZG224" s="922"/>
      <c r="ZH224" s="922"/>
      <c r="ZI224" s="922"/>
      <c r="ZJ224" s="922"/>
      <c r="ZK224" s="922"/>
      <c r="ZL224" s="922"/>
      <c r="ZM224" s="922"/>
      <c r="ZN224" s="922"/>
      <c r="ZO224" s="922"/>
      <c r="ZP224" s="922"/>
      <c r="ZQ224" s="922"/>
      <c r="ZR224" s="922"/>
      <c r="ZS224" s="922"/>
      <c r="ZT224" s="922"/>
      <c r="ZU224" s="922"/>
      <c r="ZV224" s="922"/>
      <c r="ZW224" s="922"/>
      <c r="ZX224" s="922"/>
      <c r="ZY224" s="922"/>
      <c r="ZZ224" s="922"/>
      <c r="AAA224" s="922"/>
      <c r="AAB224" s="922"/>
      <c r="AAC224" s="922"/>
      <c r="AAD224" s="922"/>
      <c r="AAE224" s="922"/>
      <c r="AAF224" s="922"/>
      <c r="AAG224" s="922"/>
      <c r="AAH224" s="922"/>
      <c r="AAI224" s="922"/>
      <c r="AAJ224" s="922"/>
      <c r="AAK224" s="922"/>
      <c r="AAL224" s="922"/>
      <c r="AAM224" s="922"/>
      <c r="AAN224" s="922"/>
      <c r="AAO224" s="922"/>
      <c r="AAP224" s="922"/>
      <c r="AAQ224" s="922"/>
      <c r="AAR224" s="922"/>
      <c r="AAS224" s="922"/>
      <c r="AAT224" s="922"/>
      <c r="AAU224" s="922"/>
      <c r="AAV224" s="922"/>
      <c r="AAW224" s="922"/>
      <c r="AAX224" s="922"/>
      <c r="AAY224" s="922"/>
      <c r="AAZ224" s="922"/>
      <c r="ABA224" s="922"/>
      <c r="ABB224" s="922"/>
      <c r="ABC224" s="922"/>
      <c r="ABD224" s="922"/>
      <c r="ABE224" s="922"/>
      <c r="ABF224" s="922"/>
      <c r="ABG224" s="922"/>
      <c r="ABH224" s="922"/>
      <c r="ABI224" s="922"/>
      <c r="ABJ224" s="922"/>
      <c r="ABK224" s="922"/>
      <c r="ABL224" s="922"/>
      <c r="ABM224" s="922"/>
      <c r="ABN224" s="922"/>
      <c r="ABO224" s="922"/>
      <c r="ABP224" s="922"/>
      <c r="ABQ224" s="922"/>
      <c r="ABR224" s="922"/>
      <c r="ABS224" s="922"/>
      <c r="ABT224" s="922"/>
      <c r="ABU224" s="922"/>
      <c r="ABV224" s="922"/>
      <c r="ABW224" s="922"/>
      <c r="ABX224" s="922"/>
      <c r="ABY224" s="922"/>
      <c r="ABZ224" s="922"/>
      <c r="ACA224" s="922"/>
      <c r="ACB224" s="922"/>
      <c r="ACC224" s="922"/>
      <c r="ACD224" s="922"/>
      <c r="ACE224" s="922"/>
      <c r="ACF224" s="922"/>
      <c r="ACG224" s="922"/>
      <c r="ACH224" s="922"/>
      <c r="ACI224" s="922"/>
      <c r="ACJ224" s="922"/>
      <c r="ACK224" s="922"/>
      <c r="ACL224" s="922"/>
      <c r="ACM224" s="922"/>
      <c r="ACN224" s="922"/>
      <c r="ACO224" s="922"/>
      <c r="ACP224" s="922"/>
      <c r="ACQ224" s="922"/>
      <c r="ACR224" s="922"/>
      <c r="ACS224" s="922"/>
      <c r="ACT224" s="922"/>
      <c r="ACU224" s="922"/>
      <c r="ACV224" s="922"/>
      <c r="ACW224" s="922"/>
      <c r="ACX224" s="922"/>
      <c r="ACY224" s="922"/>
      <c r="ACZ224" s="922"/>
      <c r="ADA224" s="922"/>
      <c r="ADB224" s="922"/>
      <c r="ADC224" s="922"/>
      <c r="ADD224" s="922"/>
      <c r="ADE224" s="922"/>
      <c r="ADF224" s="922"/>
      <c r="ADG224" s="922"/>
      <c r="ADH224" s="922"/>
      <c r="ADI224" s="922"/>
      <c r="ADJ224" s="922"/>
      <c r="ADK224" s="922"/>
      <c r="ADL224" s="922"/>
      <c r="ADM224" s="922"/>
      <c r="ADN224" s="922"/>
      <c r="ADO224" s="922"/>
      <c r="ADP224" s="922"/>
      <c r="ADQ224" s="922"/>
      <c r="ADR224" s="922"/>
      <c r="ADS224" s="922"/>
      <c r="ADT224" s="922"/>
      <c r="ADU224" s="922"/>
      <c r="ADV224" s="922"/>
      <c r="ADW224" s="922"/>
      <c r="ADX224" s="922"/>
      <c r="ADY224" s="922"/>
      <c r="ADZ224" s="922"/>
      <c r="AEA224" s="922"/>
      <c r="AEB224" s="922"/>
      <c r="AEC224" s="922"/>
      <c r="AED224" s="922"/>
      <c r="AEE224" s="922"/>
      <c r="AEF224" s="922"/>
      <c r="AEG224" s="922"/>
      <c r="AEH224" s="922"/>
      <c r="AEI224" s="922"/>
      <c r="AEJ224" s="922"/>
      <c r="AEK224" s="922"/>
      <c r="AEL224" s="922"/>
      <c r="AEM224" s="922"/>
      <c r="AEN224" s="922"/>
      <c r="AEO224" s="922"/>
      <c r="AEP224" s="922"/>
      <c r="AEQ224" s="922"/>
      <c r="AER224" s="922"/>
      <c r="AES224" s="922"/>
      <c r="AET224" s="922"/>
      <c r="AEU224" s="922"/>
      <c r="AEV224" s="922"/>
      <c r="AEW224" s="922"/>
      <c r="AEX224" s="922"/>
      <c r="AEY224" s="922"/>
      <c r="AEZ224" s="922"/>
      <c r="AFA224" s="922"/>
      <c r="AFB224" s="922"/>
      <c r="AFC224" s="922"/>
      <c r="AFD224" s="922"/>
      <c r="AFE224" s="922"/>
      <c r="AFF224" s="922"/>
      <c r="AFG224" s="922"/>
      <c r="AFH224" s="922"/>
      <c r="AFI224" s="922"/>
      <c r="AFJ224" s="922"/>
      <c r="AFK224" s="922"/>
      <c r="AFL224" s="922"/>
      <c r="AFM224" s="922"/>
      <c r="AFN224" s="922"/>
      <c r="AFO224" s="922"/>
      <c r="AFP224" s="922"/>
      <c r="AFQ224" s="922"/>
      <c r="AFR224" s="922"/>
      <c r="AFS224" s="922"/>
      <c r="AFT224" s="922"/>
      <c r="AFU224" s="922"/>
      <c r="AFV224" s="922"/>
      <c r="AFW224" s="922"/>
      <c r="AFX224" s="922"/>
      <c r="AFY224" s="922"/>
      <c r="AFZ224" s="922"/>
      <c r="AGA224" s="922"/>
      <c r="AGB224" s="922"/>
      <c r="AGC224" s="922"/>
      <c r="AGD224" s="922"/>
      <c r="AGE224" s="922"/>
      <c r="AGF224" s="922"/>
      <c r="AGG224" s="922"/>
      <c r="AGH224" s="922"/>
      <c r="AGI224" s="922"/>
      <c r="AGJ224" s="922"/>
      <c r="AGK224" s="922"/>
      <c r="AGL224" s="922"/>
      <c r="AGM224" s="922"/>
      <c r="AGN224" s="922"/>
      <c r="AGO224" s="922"/>
      <c r="AGP224" s="922"/>
      <c r="AGQ224" s="922"/>
      <c r="AGR224" s="922"/>
      <c r="AGS224" s="922"/>
      <c r="AGT224" s="922"/>
      <c r="AGU224" s="922"/>
      <c r="AGV224" s="922"/>
      <c r="AGW224" s="922"/>
      <c r="AGX224" s="922"/>
      <c r="AGY224" s="922"/>
      <c r="AGZ224" s="922"/>
      <c r="AHA224" s="922"/>
      <c r="AHB224" s="922"/>
      <c r="AHC224" s="922"/>
      <c r="AHD224" s="922"/>
      <c r="AHE224" s="922"/>
      <c r="AHF224" s="922"/>
      <c r="AHG224" s="922"/>
      <c r="AHH224" s="922"/>
      <c r="AHI224" s="922"/>
      <c r="AHJ224" s="922"/>
      <c r="AHK224" s="922"/>
      <c r="AHL224" s="922"/>
      <c r="AHM224" s="922"/>
      <c r="AHN224" s="922"/>
      <c r="AHO224" s="922"/>
      <c r="AHP224" s="922"/>
      <c r="AHQ224" s="922"/>
      <c r="AHR224" s="922"/>
      <c r="AHS224" s="922"/>
      <c r="AHT224" s="922"/>
      <c r="AHU224" s="922"/>
      <c r="AHV224" s="922"/>
      <c r="AHW224" s="922"/>
      <c r="AHX224" s="922"/>
      <c r="AHY224" s="922"/>
      <c r="AHZ224" s="922"/>
      <c r="AIA224" s="922"/>
      <c r="AIB224" s="922"/>
      <c r="AIC224" s="922"/>
      <c r="AID224" s="922"/>
      <c r="AIE224" s="922"/>
      <c r="AIF224" s="922"/>
      <c r="AIG224" s="922"/>
      <c r="AIH224" s="922"/>
      <c r="AII224" s="922"/>
      <c r="AIJ224" s="922"/>
      <c r="AIK224" s="922"/>
      <c r="AIL224" s="922"/>
      <c r="AIM224" s="922"/>
      <c r="AIN224" s="922"/>
      <c r="AIO224" s="922"/>
      <c r="AIP224" s="922"/>
      <c r="AIQ224" s="922"/>
      <c r="AIR224" s="922"/>
      <c r="AIS224" s="922"/>
      <c r="AIT224" s="922"/>
      <c r="AIU224" s="922"/>
      <c r="AIV224" s="922"/>
      <c r="AIW224" s="922"/>
      <c r="AIX224" s="922"/>
      <c r="AIY224" s="922"/>
      <c r="AIZ224" s="922"/>
      <c r="AJA224" s="922"/>
      <c r="AJB224" s="922"/>
      <c r="AJC224" s="922"/>
      <c r="AJD224" s="922"/>
      <c r="AJE224" s="922"/>
      <c r="AJF224" s="922"/>
      <c r="AJG224" s="922"/>
      <c r="AJH224" s="922"/>
      <c r="AJI224" s="922"/>
      <c r="AJJ224" s="922"/>
      <c r="AJK224" s="922"/>
      <c r="AJL224" s="922"/>
      <c r="AJM224" s="922"/>
      <c r="AJN224" s="922"/>
      <c r="AJO224" s="922"/>
      <c r="AJP224" s="922"/>
      <c r="AJQ224" s="922"/>
      <c r="AJR224" s="922"/>
      <c r="AJS224" s="922"/>
      <c r="AJT224" s="922"/>
      <c r="AJU224" s="922"/>
      <c r="AJV224" s="922"/>
      <c r="AJW224" s="922"/>
      <c r="AJX224" s="922"/>
      <c r="AJY224" s="922"/>
      <c r="AJZ224" s="922"/>
      <c r="AKA224" s="922"/>
      <c r="AKB224" s="922"/>
      <c r="AKC224" s="922"/>
      <c r="AKD224" s="922"/>
      <c r="AKE224" s="922"/>
      <c r="AKF224" s="922"/>
      <c r="AKG224" s="922"/>
      <c r="AKH224" s="922"/>
      <c r="AKI224" s="922"/>
      <c r="AKJ224" s="922"/>
      <c r="AKK224" s="922"/>
      <c r="AKL224" s="922"/>
      <c r="AKM224" s="922"/>
      <c r="AKN224" s="922"/>
      <c r="AKO224" s="922"/>
      <c r="AKP224" s="922"/>
      <c r="AKQ224" s="922"/>
      <c r="AKR224" s="922"/>
      <c r="AKS224" s="922"/>
      <c r="AKT224" s="922"/>
      <c r="AKU224" s="922"/>
      <c r="AKV224" s="922"/>
      <c r="AKW224" s="922"/>
      <c r="AKX224" s="922"/>
      <c r="AKY224" s="922"/>
      <c r="AKZ224" s="922"/>
      <c r="ALA224" s="922"/>
      <c r="ALB224" s="922"/>
      <c r="ALC224" s="922"/>
      <c r="ALD224" s="922"/>
      <c r="ALE224" s="922"/>
      <c r="ALF224" s="922"/>
      <c r="ALG224" s="922"/>
      <c r="ALH224" s="922"/>
      <c r="ALI224" s="922"/>
      <c r="ALJ224" s="922"/>
      <c r="ALK224" s="922"/>
      <c r="ALL224" s="922"/>
      <c r="ALM224" s="922"/>
      <c r="ALN224" s="922"/>
      <c r="ALO224" s="922"/>
      <c r="ALP224" s="922"/>
      <c r="ALQ224" s="922"/>
      <c r="ALR224" s="922"/>
      <c r="ALS224" s="922"/>
      <c r="ALT224" s="922"/>
      <c r="ALU224" s="922"/>
      <c r="ALV224" s="922"/>
      <c r="ALW224" s="922"/>
      <c r="ALX224" s="922"/>
      <c r="ALY224" s="922"/>
      <c r="ALZ224" s="922"/>
      <c r="AMA224" s="922"/>
      <c r="AMB224" s="922"/>
      <c r="AMC224" s="922"/>
      <c r="AMD224" s="922"/>
      <c r="AME224" s="922"/>
      <c r="AMF224" s="922"/>
      <c r="AMG224" s="922"/>
      <c r="AMH224" s="922"/>
      <c r="AMI224" s="922"/>
      <c r="AMJ224" s="922"/>
      <c r="AMK224" s="922"/>
      <c r="AML224" s="922"/>
      <c r="AMM224" s="922"/>
      <c r="AMN224" s="922"/>
      <c r="AMO224" s="922"/>
      <c r="AMP224" s="922"/>
      <c r="AMQ224" s="922"/>
      <c r="AMR224" s="922"/>
      <c r="AMS224" s="922"/>
      <c r="AMT224" s="922"/>
      <c r="AMU224" s="922"/>
      <c r="AMV224" s="922"/>
      <c r="AMW224" s="922"/>
      <c r="AMX224" s="922"/>
      <c r="AMY224" s="922"/>
      <c r="AMZ224" s="922"/>
      <c r="ANA224" s="922"/>
      <c r="ANB224" s="922"/>
      <c r="ANC224" s="922"/>
      <c r="AND224" s="922"/>
      <c r="ANE224" s="922"/>
      <c r="ANF224" s="922"/>
      <c r="ANG224" s="922"/>
      <c r="ANH224" s="922"/>
      <c r="ANI224" s="922"/>
      <c r="ANJ224" s="922"/>
      <c r="ANK224" s="922"/>
      <c r="ANL224" s="922"/>
      <c r="ANM224" s="922"/>
      <c r="ANN224" s="922"/>
      <c r="ANO224" s="922"/>
      <c r="ANP224" s="922"/>
      <c r="ANQ224" s="922"/>
      <c r="ANR224" s="922"/>
      <c r="ANS224" s="922"/>
      <c r="ANT224" s="922"/>
      <c r="ANU224" s="922"/>
      <c r="ANV224" s="922"/>
      <c r="ANW224" s="922"/>
      <c r="ANX224" s="922"/>
      <c r="ANY224" s="922"/>
      <c r="ANZ224" s="922"/>
      <c r="AOA224" s="922"/>
      <c r="AOB224" s="922"/>
      <c r="AOC224" s="922"/>
      <c r="AOD224" s="922"/>
      <c r="AOE224" s="922"/>
      <c r="AOF224" s="922"/>
      <c r="AOG224" s="922"/>
      <c r="AOH224" s="922"/>
      <c r="AOI224" s="922"/>
      <c r="AOJ224" s="922"/>
      <c r="AOK224" s="922"/>
      <c r="AOL224" s="922"/>
      <c r="AOM224" s="922"/>
      <c r="AON224" s="922"/>
      <c r="AOO224" s="922"/>
      <c r="AOP224" s="922"/>
      <c r="AOQ224" s="922"/>
      <c r="AOR224" s="922"/>
      <c r="AOS224" s="922"/>
      <c r="AOT224" s="922"/>
      <c r="AOU224" s="922"/>
      <c r="AOV224" s="922"/>
      <c r="AOW224" s="922"/>
      <c r="AOX224" s="922"/>
      <c r="AOY224" s="922"/>
      <c r="AOZ224" s="922"/>
      <c r="APA224" s="922"/>
      <c r="APB224" s="922"/>
      <c r="APC224" s="922"/>
      <c r="APD224" s="922"/>
      <c r="APE224" s="922"/>
      <c r="APF224" s="922"/>
      <c r="APG224" s="922"/>
      <c r="APH224" s="922"/>
      <c r="API224" s="922"/>
      <c r="APJ224" s="922"/>
      <c r="APK224" s="922"/>
      <c r="APL224" s="922"/>
      <c r="APM224" s="922"/>
      <c r="APN224" s="922"/>
      <c r="APO224" s="922"/>
      <c r="APP224" s="922"/>
      <c r="APQ224" s="922"/>
      <c r="APR224" s="922"/>
      <c r="APS224" s="922"/>
      <c r="APT224" s="922"/>
      <c r="APU224" s="922"/>
      <c r="APV224" s="922"/>
      <c r="APW224" s="922"/>
      <c r="APX224" s="922"/>
      <c r="APY224" s="922"/>
      <c r="APZ224" s="922"/>
      <c r="AQA224" s="922"/>
      <c r="AQB224" s="922"/>
      <c r="AQC224" s="922"/>
      <c r="AQD224" s="922"/>
      <c r="AQE224" s="922"/>
      <c r="AQF224" s="922"/>
      <c r="AQG224" s="922"/>
      <c r="AQH224" s="922"/>
      <c r="AQI224" s="922"/>
      <c r="AQJ224" s="922"/>
      <c r="AQK224" s="922"/>
      <c r="AQL224" s="922"/>
      <c r="AQM224" s="922"/>
      <c r="AQN224" s="922"/>
      <c r="AQO224" s="922"/>
      <c r="AQP224" s="922"/>
      <c r="AQQ224" s="922"/>
      <c r="AQR224" s="922"/>
      <c r="AQS224" s="922"/>
      <c r="AQT224" s="922"/>
      <c r="AQU224" s="922"/>
      <c r="AQV224" s="922"/>
      <c r="AQW224" s="922"/>
      <c r="AQX224" s="922"/>
      <c r="AQY224" s="922"/>
      <c r="AQZ224" s="922"/>
      <c r="ARA224" s="922"/>
      <c r="ARB224" s="922"/>
      <c r="ARC224" s="922"/>
      <c r="ARD224" s="922"/>
      <c r="ARE224" s="922"/>
      <c r="ARF224" s="922"/>
      <c r="ARG224" s="922"/>
      <c r="ARH224" s="922"/>
      <c r="ARI224" s="922"/>
      <c r="ARJ224" s="922"/>
      <c r="ARK224" s="922"/>
      <c r="ARL224" s="922"/>
      <c r="ARM224" s="922"/>
      <c r="ARN224" s="922"/>
      <c r="ARO224" s="922"/>
      <c r="ARP224" s="922"/>
      <c r="ARQ224" s="922"/>
      <c r="ARR224" s="922"/>
      <c r="ARS224" s="922"/>
      <c r="ART224" s="922"/>
      <c r="ARU224" s="922"/>
      <c r="ARV224" s="922"/>
      <c r="ARW224" s="922"/>
      <c r="ARX224" s="922"/>
      <c r="ARY224" s="922"/>
      <c r="ARZ224" s="922"/>
      <c r="ASA224" s="922"/>
      <c r="ASB224" s="922"/>
      <c r="ASC224" s="922"/>
    </row>
    <row r="225" spans="20:1173" hidden="1">
      <c r="T225" s="922"/>
      <c r="AN225" s="922"/>
      <c r="AO225" s="922"/>
      <c r="AP225" s="922"/>
      <c r="AQ225" s="922"/>
      <c r="AR225" s="922"/>
      <c r="AS225" s="922"/>
      <c r="AT225" s="922"/>
      <c r="AU225" s="922"/>
      <c r="AV225" s="922"/>
      <c r="AW225" s="922"/>
      <c r="AX225" s="922"/>
      <c r="AY225" s="922"/>
      <c r="AZ225" s="922"/>
      <c r="BA225" s="922"/>
      <c r="BB225" s="922"/>
      <c r="BC225" s="922"/>
      <c r="BD225" s="922"/>
      <c r="BE225" s="922"/>
      <c r="BF225" s="922"/>
      <c r="BG225" s="922"/>
      <c r="BH225" s="922"/>
      <c r="BI225" s="922"/>
      <c r="BJ225" s="922"/>
      <c r="BK225" s="922"/>
      <c r="BL225" s="922"/>
      <c r="BM225" s="922"/>
      <c r="BN225" s="922"/>
      <c r="BO225" s="922"/>
      <c r="BP225" s="922"/>
      <c r="BQ225" s="922"/>
      <c r="BR225" s="922"/>
      <c r="BS225" s="922"/>
      <c r="BT225" s="922"/>
      <c r="BU225" s="922"/>
      <c r="BV225" s="922"/>
      <c r="BW225" s="922"/>
      <c r="BX225" s="922"/>
      <c r="BY225" s="922"/>
      <c r="BZ225" s="922"/>
      <c r="CA225" s="922"/>
      <c r="CB225" s="922"/>
      <c r="CC225" s="922"/>
      <c r="CD225" s="922"/>
      <c r="CE225" s="922"/>
      <c r="CF225" s="922"/>
      <c r="CG225" s="922"/>
      <c r="CH225" s="922"/>
      <c r="CI225" s="922"/>
      <c r="CJ225" s="922"/>
      <c r="CK225" s="922"/>
      <c r="CL225" s="922"/>
      <c r="CM225" s="922"/>
      <c r="CN225" s="922"/>
      <c r="CO225" s="922"/>
      <c r="CP225" s="922"/>
      <c r="CQ225" s="922"/>
      <c r="CR225" s="922"/>
      <c r="CS225" s="922"/>
      <c r="CT225" s="922"/>
      <c r="CU225" s="922"/>
      <c r="CV225" s="922"/>
      <c r="CW225" s="922"/>
      <c r="CX225" s="922"/>
      <c r="CY225" s="922"/>
      <c r="CZ225" s="922"/>
      <c r="DA225" s="922"/>
      <c r="DB225" s="922"/>
      <c r="DC225" s="922"/>
      <c r="DD225" s="922"/>
      <c r="DE225" s="922"/>
      <c r="DF225" s="922"/>
      <c r="DG225" s="922"/>
      <c r="DH225" s="922"/>
      <c r="DI225" s="922"/>
      <c r="DJ225" s="922"/>
      <c r="DK225" s="922"/>
      <c r="DL225" s="922"/>
      <c r="DM225" s="922"/>
      <c r="DN225" s="922"/>
      <c r="DO225" s="922"/>
      <c r="DP225" s="922"/>
      <c r="DQ225" s="922"/>
      <c r="DR225" s="922"/>
      <c r="DS225" s="922"/>
      <c r="DT225" s="922"/>
      <c r="DU225" s="922"/>
      <c r="DV225" s="922"/>
      <c r="DW225" s="922"/>
      <c r="DX225" s="922"/>
      <c r="DY225" s="922"/>
      <c r="DZ225" s="922"/>
      <c r="EA225" s="922"/>
      <c r="EB225" s="922"/>
      <c r="EC225" s="922"/>
      <c r="ED225" s="922"/>
      <c r="EE225" s="922"/>
      <c r="EF225" s="922"/>
      <c r="EG225" s="922"/>
      <c r="EH225" s="922"/>
      <c r="EI225" s="922"/>
      <c r="EJ225" s="922"/>
      <c r="EK225" s="922"/>
      <c r="EL225" s="922"/>
      <c r="EM225" s="922"/>
      <c r="EN225" s="922"/>
      <c r="EO225" s="922"/>
      <c r="EP225" s="922"/>
      <c r="EQ225" s="922"/>
      <c r="ER225" s="922"/>
      <c r="ES225" s="922"/>
      <c r="ET225" s="922"/>
      <c r="EU225" s="922"/>
      <c r="EV225" s="922"/>
      <c r="EW225" s="922"/>
      <c r="EX225" s="922"/>
      <c r="EY225" s="922"/>
      <c r="EZ225" s="922"/>
      <c r="FA225" s="922"/>
      <c r="FB225" s="922"/>
      <c r="FC225" s="922"/>
      <c r="FD225" s="922"/>
      <c r="FE225" s="922"/>
      <c r="FF225" s="922"/>
      <c r="FG225" s="922"/>
      <c r="FH225" s="922"/>
      <c r="FI225" s="922"/>
      <c r="FJ225" s="922"/>
      <c r="FK225" s="922"/>
      <c r="FL225" s="922"/>
      <c r="FM225" s="922"/>
      <c r="FN225" s="922"/>
      <c r="FO225" s="922"/>
      <c r="FP225" s="922"/>
      <c r="FQ225" s="922"/>
      <c r="FR225" s="922"/>
      <c r="FS225" s="922"/>
      <c r="FT225" s="922"/>
      <c r="FU225" s="922"/>
      <c r="FV225" s="922"/>
      <c r="FW225" s="922"/>
      <c r="FX225" s="922"/>
      <c r="FY225" s="922"/>
      <c r="FZ225" s="922"/>
      <c r="GA225" s="922"/>
      <c r="GB225" s="922"/>
      <c r="GC225" s="922"/>
      <c r="GD225" s="922"/>
      <c r="GE225" s="922"/>
      <c r="GF225" s="922"/>
      <c r="GG225" s="922"/>
      <c r="GH225" s="922"/>
      <c r="GI225" s="922"/>
      <c r="GJ225" s="922"/>
      <c r="GK225" s="922"/>
      <c r="GL225" s="922"/>
      <c r="GM225" s="922"/>
      <c r="GN225" s="922"/>
      <c r="GO225" s="922"/>
      <c r="GP225" s="922"/>
      <c r="GQ225" s="922"/>
      <c r="GR225" s="922"/>
      <c r="GS225" s="922"/>
      <c r="GT225" s="922"/>
      <c r="GU225" s="922"/>
      <c r="GV225" s="922"/>
      <c r="GW225" s="922"/>
      <c r="GX225" s="922"/>
      <c r="GY225" s="922"/>
      <c r="GZ225" s="922"/>
      <c r="HA225" s="922"/>
      <c r="HB225" s="922"/>
      <c r="HC225" s="922"/>
      <c r="HD225" s="922"/>
      <c r="HE225" s="922"/>
      <c r="HF225" s="922"/>
      <c r="HG225" s="922"/>
      <c r="HH225" s="922"/>
      <c r="HI225" s="922"/>
      <c r="HJ225" s="922"/>
      <c r="HK225" s="922"/>
      <c r="HL225" s="922"/>
      <c r="HM225" s="922"/>
      <c r="HN225" s="922"/>
      <c r="HO225" s="922"/>
      <c r="HP225" s="922"/>
      <c r="HQ225" s="922"/>
      <c r="HR225" s="922"/>
      <c r="HS225" s="922"/>
      <c r="HT225" s="922"/>
      <c r="HU225" s="922"/>
      <c r="HV225" s="922"/>
      <c r="HW225" s="922"/>
      <c r="HX225" s="922"/>
      <c r="HY225" s="922"/>
      <c r="HZ225" s="922"/>
      <c r="IA225" s="922"/>
      <c r="IB225" s="922"/>
      <c r="IC225" s="922"/>
      <c r="ID225" s="922"/>
      <c r="IE225" s="922"/>
      <c r="IF225" s="922"/>
      <c r="IG225" s="922"/>
      <c r="IH225" s="922"/>
      <c r="II225" s="922"/>
      <c r="IJ225" s="922"/>
      <c r="IK225" s="922"/>
      <c r="IL225" s="922"/>
      <c r="IM225" s="922"/>
      <c r="IN225" s="922"/>
      <c r="IO225" s="922"/>
      <c r="IP225" s="922"/>
      <c r="IQ225" s="922"/>
      <c r="IR225" s="922"/>
      <c r="IS225" s="922"/>
      <c r="IT225" s="922"/>
      <c r="IU225" s="922"/>
      <c r="IV225" s="922"/>
      <c r="IW225" s="922"/>
      <c r="IX225" s="922"/>
      <c r="IY225" s="922"/>
      <c r="IZ225" s="922"/>
      <c r="JA225" s="922"/>
      <c r="JB225" s="922"/>
      <c r="JC225" s="922"/>
      <c r="JD225" s="922"/>
      <c r="JE225" s="922"/>
      <c r="JF225" s="922"/>
      <c r="JG225" s="922"/>
      <c r="JH225" s="922"/>
      <c r="JI225" s="922"/>
      <c r="JJ225" s="922"/>
      <c r="JK225" s="922"/>
      <c r="JL225" s="922"/>
      <c r="JM225" s="922"/>
      <c r="JN225" s="922"/>
      <c r="JO225" s="922"/>
      <c r="JP225" s="922"/>
      <c r="JQ225" s="922"/>
      <c r="JR225" s="922"/>
      <c r="JS225" s="922"/>
      <c r="JT225" s="922"/>
      <c r="JU225" s="922"/>
      <c r="JV225" s="922"/>
      <c r="JW225" s="922"/>
      <c r="JX225" s="922"/>
      <c r="JY225" s="922"/>
      <c r="JZ225" s="922"/>
      <c r="KA225" s="922"/>
      <c r="KB225" s="922"/>
      <c r="KC225" s="922"/>
      <c r="KD225" s="922"/>
      <c r="KE225" s="922"/>
      <c r="KF225" s="922"/>
      <c r="KG225" s="922"/>
      <c r="KH225" s="922"/>
      <c r="KI225" s="922"/>
      <c r="KJ225" s="922"/>
      <c r="KK225" s="922"/>
      <c r="KL225" s="922"/>
      <c r="KM225" s="922"/>
      <c r="KN225" s="922"/>
      <c r="KO225" s="922"/>
      <c r="KP225" s="922"/>
      <c r="KQ225" s="922"/>
      <c r="KR225" s="922"/>
      <c r="KS225" s="922"/>
      <c r="KT225" s="922"/>
      <c r="KU225" s="922"/>
      <c r="KV225" s="922"/>
      <c r="KW225" s="922"/>
      <c r="KX225" s="922"/>
      <c r="KY225" s="922"/>
      <c r="KZ225" s="922"/>
      <c r="LA225" s="922"/>
      <c r="LB225" s="922"/>
      <c r="LC225" s="922"/>
      <c r="LD225" s="922"/>
      <c r="LE225" s="922"/>
      <c r="LF225" s="922"/>
      <c r="LG225" s="922"/>
      <c r="LH225" s="922"/>
      <c r="LI225" s="922"/>
      <c r="LJ225" s="922"/>
      <c r="LK225" s="922"/>
      <c r="LL225" s="922"/>
      <c r="LM225" s="922"/>
      <c r="LN225" s="922"/>
      <c r="LO225" s="922"/>
      <c r="LP225" s="922"/>
      <c r="LQ225" s="922"/>
      <c r="LR225" s="922"/>
      <c r="LS225" s="922"/>
      <c r="LT225" s="922"/>
      <c r="LU225" s="922"/>
      <c r="LV225" s="922"/>
      <c r="LW225" s="922"/>
      <c r="LX225" s="922"/>
      <c r="LY225" s="922"/>
      <c r="LZ225" s="922"/>
      <c r="MA225" s="922"/>
      <c r="MB225" s="922"/>
      <c r="MC225" s="922"/>
      <c r="MD225" s="922"/>
      <c r="ME225" s="922"/>
      <c r="MF225" s="922"/>
      <c r="MG225" s="922"/>
      <c r="MH225" s="922"/>
      <c r="MI225" s="922"/>
      <c r="MJ225" s="922"/>
      <c r="MK225" s="922"/>
      <c r="ML225" s="922"/>
      <c r="MM225" s="922"/>
      <c r="MN225" s="922"/>
      <c r="MO225" s="922"/>
      <c r="MP225" s="922"/>
      <c r="MQ225" s="922"/>
      <c r="MR225" s="922"/>
      <c r="MS225" s="922"/>
      <c r="MT225" s="922"/>
      <c r="MU225" s="922"/>
      <c r="MV225" s="922"/>
      <c r="MW225" s="922"/>
      <c r="MX225" s="922"/>
      <c r="MY225" s="922"/>
      <c r="MZ225" s="922"/>
      <c r="NA225" s="922"/>
      <c r="NB225" s="922"/>
      <c r="NC225" s="922"/>
      <c r="ND225" s="922"/>
      <c r="NE225" s="922"/>
      <c r="NF225" s="922"/>
      <c r="NG225" s="922"/>
      <c r="NH225" s="922"/>
      <c r="NI225" s="922"/>
      <c r="NJ225" s="922"/>
      <c r="NK225" s="922"/>
      <c r="NL225" s="922"/>
      <c r="NM225" s="922"/>
      <c r="NN225" s="922"/>
      <c r="NO225" s="922"/>
      <c r="NP225" s="922"/>
      <c r="NQ225" s="922"/>
      <c r="NR225" s="922"/>
      <c r="NS225" s="922"/>
      <c r="NT225" s="922"/>
      <c r="NU225" s="922"/>
      <c r="NV225" s="922"/>
      <c r="NW225" s="922"/>
      <c r="NX225" s="922"/>
      <c r="NY225" s="922"/>
      <c r="NZ225" s="922"/>
      <c r="OA225" s="922"/>
      <c r="OB225" s="922"/>
      <c r="OC225" s="922"/>
      <c r="OD225" s="922"/>
      <c r="OE225" s="922"/>
      <c r="OF225" s="922"/>
      <c r="OG225" s="922"/>
      <c r="OH225" s="922"/>
      <c r="OI225" s="922"/>
      <c r="OJ225" s="922"/>
      <c r="OK225" s="922"/>
      <c r="OL225" s="922"/>
      <c r="OM225" s="922"/>
      <c r="ON225" s="922"/>
      <c r="OO225" s="922"/>
      <c r="OP225" s="922"/>
      <c r="OQ225" s="922"/>
      <c r="OR225" s="922"/>
      <c r="OS225" s="922"/>
      <c r="OT225" s="922"/>
      <c r="OU225" s="922"/>
      <c r="OV225" s="922"/>
      <c r="OW225" s="922"/>
      <c r="OX225" s="922"/>
      <c r="OY225" s="922"/>
      <c r="OZ225" s="922"/>
      <c r="PA225" s="922"/>
      <c r="PB225" s="922"/>
      <c r="PC225" s="922"/>
      <c r="PD225" s="922"/>
      <c r="PE225" s="922"/>
      <c r="PF225" s="922"/>
      <c r="PG225" s="922"/>
      <c r="PH225" s="922"/>
      <c r="PI225" s="922"/>
      <c r="PJ225" s="922"/>
      <c r="PK225" s="922"/>
      <c r="PL225" s="922"/>
      <c r="PM225" s="922"/>
      <c r="PN225" s="922"/>
      <c r="PO225" s="922"/>
      <c r="PP225" s="922"/>
      <c r="PQ225" s="922"/>
      <c r="PR225" s="922"/>
      <c r="PS225" s="922"/>
      <c r="PT225" s="922"/>
      <c r="PU225" s="922"/>
      <c r="PV225" s="922"/>
      <c r="PW225" s="922"/>
      <c r="PX225" s="922"/>
      <c r="PY225" s="922"/>
      <c r="PZ225" s="922"/>
      <c r="QA225" s="922"/>
      <c r="QB225" s="922"/>
      <c r="QC225" s="922"/>
      <c r="QD225" s="922"/>
      <c r="QE225" s="922"/>
      <c r="QF225" s="922"/>
      <c r="QG225" s="922"/>
      <c r="QH225" s="922"/>
      <c r="QI225" s="922"/>
      <c r="QJ225" s="922"/>
      <c r="QK225" s="922"/>
      <c r="QL225" s="922"/>
      <c r="QM225" s="922"/>
      <c r="QN225" s="922"/>
      <c r="QO225" s="922"/>
      <c r="QP225" s="922"/>
      <c r="QQ225" s="922"/>
      <c r="QR225" s="922"/>
      <c r="QS225" s="922"/>
      <c r="QT225" s="922"/>
      <c r="QU225" s="922"/>
      <c r="QV225" s="922"/>
      <c r="QW225" s="922"/>
      <c r="QX225" s="922"/>
      <c r="QY225" s="922"/>
      <c r="QZ225" s="922"/>
      <c r="RA225" s="922"/>
      <c r="RB225" s="922"/>
      <c r="RC225" s="922"/>
      <c r="RD225" s="922"/>
      <c r="RE225" s="922"/>
      <c r="RF225" s="922"/>
      <c r="RG225" s="922"/>
      <c r="RH225" s="922"/>
      <c r="RI225" s="922"/>
      <c r="RJ225" s="922"/>
      <c r="RK225" s="922"/>
      <c r="RL225" s="922"/>
      <c r="RM225" s="922"/>
      <c r="RN225" s="922"/>
      <c r="RO225" s="922"/>
      <c r="RP225" s="922"/>
      <c r="RQ225" s="922"/>
      <c r="RR225" s="922"/>
      <c r="RS225" s="922"/>
      <c r="RT225" s="922"/>
      <c r="RU225" s="922"/>
      <c r="RV225" s="922"/>
      <c r="RW225" s="922"/>
      <c r="RX225" s="922"/>
      <c r="RY225" s="922"/>
      <c r="RZ225" s="922"/>
      <c r="SA225" s="922"/>
      <c r="SB225" s="922"/>
      <c r="SC225" s="922"/>
      <c r="SD225" s="922"/>
      <c r="SE225" s="922"/>
      <c r="SF225" s="922"/>
      <c r="SG225" s="922"/>
      <c r="SH225" s="922"/>
      <c r="SI225" s="922"/>
      <c r="SJ225" s="922"/>
      <c r="SK225" s="922"/>
      <c r="SL225" s="922"/>
      <c r="SM225" s="922"/>
      <c r="SN225" s="922"/>
      <c r="SO225" s="922"/>
      <c r="SP225" s="922"/>
      <c r="SQ225" s="922"/>
      <c r="SR225" s="922"/>
      <c r="SS225" s="922"/>
      <c r="ST225" s="922"/>
      <c r="SU225" s="922"/>
      <c r="SV225" s="922"/>
      <c r="SW225" s="922"/>
      <c r="SX225" s="922"/>
      <c r="SY225" s="922"/>
      <c r="SZ225" s="922"/>
      <c r="TA225" s="922"/>
      <c r="TB225" s="922"/>
      <c r="TC225" s="922"/>
      <c r="TD225" s="922"/>
      <c r="TE225" s="922"/>
      <c r="TF225" s="922"/>
      <c r="TG225" s="922"/>
      <c r="TH225" s="922"/>
      <c r="TI225" s="922"/>
      <c r="TJ225" s="922"/>
      <c r="TK225" s="922"/>
      <c r="TL225" s="922"/>
      <c r="TM225" s="922"/>
      <c r="TN225" s="922"/>
      <c r="TO225" s="922"/>
      <c r="TP225" s="922"/>
      <c r="TQ225" s="922"/>
      <c r="TR225" s="922"/>
      <c r="TS225" s="922"/>
      <c r="TT225" s="922"/>
      <c r="TU225" s="922"/>
      <c r="TV225" s="922"/>
      <c r="TW225" s="922"/>
      <c r="TX225" s="922"/>
      <c r="TY225" s="922"/>
      <c r="TZ225" s="922"/>
      <c r="UA225" s="922"/>
      <c r="UB225" s="922"/>
      <c r="UC225" s="922"/>
      <c r="UD225" s="922"/>
      <c r="UE225" s="922"/>
      <c r="UF225" s="922"/>
      <c r="UG225" s="922"/>
      <c r="UH225" s="922"/>
      <c r="UI225" s="922"/>
      <c r="UJ225" s="922"/>
      <c r="UK225" s="922"/>
      <c r="UL225" s="922"/>
      <c r="UM225" s="922"/>
      <c r="UN225" s="922"/>
      <c r="UO225" s="922"/>
      <c r="UP225" s="922"/>
      <c r="UQ225" s="922"/>
      <c r="UR225" s="922"/>
      <c r="US225" s="922"/>
      <c r="UT225" s="922"/>
      <c r="UU225" s="922"/>
      <c r="UV225" s="922"/>
      <c r="UW225" s="922"/>
      <c r="UX225" s="922"/>
      <c r="UY225" s="922"/>
      <c r="UZ225" s="922"/>
      <c r="VA225" s="922"/>
      <c r="VB225" s="922"/>
      <c r="VC225" s="922"/>
      <c r="VD225" s="922"/>
      <c r="VE225" s="922"/>
      <c r="VF225" s="922"/>
      <c r="VG225" s="922"/>
      <c r="VH225" s="922"/>
      <c r="VI225" s="922"/>
      <c r="VJ225" s="922"/>
      <c r="VK225" s="922"/>
      <c r="VL225" s="922"/>
      <c r="VM225" s="922"/>
      <c r="VN225" s="922"/>
      <c r="VO225" s="922"/>
      <c r="VP225" s="922"/>
      <c r="VQ225" s="922"/>
      <c r="VR225" s="922"/>
      <c r="VS225" s="922"/>
      <c r="VT225" s="922"/>
      <c r="VU225" s="922"/>
      <c r="VV225" s="922"/>
      <c r="VW225" s="922"/>
      <c r="VX225" s="922"/>
      <c r="VY225" s="922"/>
      <c r="VZ225" s="922"/>
      <c r="WA225" s="922"/>
      <c r="WB225" s="922"/>
      <c r="WC225" s="922"/>
      <c r="WD225" s="922"/>
      <c r="WE225" s="922"/>
      <c r="WF225" s="922"/>
      <c r="WG225" s="922"/>
      <c r="WH225" s="922"/>
      <c r="WI225" s="922"/>
      <c r="WJ225" s="922"/>
      <c r="WK225" s="922"/>
      <c r="WL225" s="922"/>
      <c r="WM225" s="922"/>
      <c r="WN225" s="922"/>
      <c r="WO225" s="922"/>
      <c r="WP225" s="922"/>
      <c r="WQ225" s="922"/>
      <c r="WR225" s="922"/>
      <c r="WS225" s="922"/>
      <c r="WT225" s="922"/>
      <c r="WU225" s="922"/>
      <c r="WV225" s="922"/>
      <c r="WW225" s="922"/>
      <c r="WX225" s="922"/>
      <c r="WY225" s="922"/>
      <c r="WZ225" s="922"/>
      <c r="XA225" s="922"/>
      <c r="XB225" s="922"/>
      <c r="XC225" s="922"/>
      <c r="XD225" s="922"/>
      <c r="XE225" s="922"/>
      <c r="XF225" s="922"/>
      <c r="XG225" s="922"/>
      <c r="XH225" s="922"/>
      <c r="XI225" s="922"/>
      <c r="XJ225" s="922"/>
      <c r="XK225" s="922"/>
      <c r="XL225" s="922"/>
      <c r="XM225" s="922"/>
      <c r="XN225" s="922"/>
      <c r="XO225" s="922"/>
      <c r="XP225" s="922"/>
      <c r="XQ225" s="922"/>
      <c r="XR225" s="922"/>
      <c r="XS225" s="922"/>
      <c r="XT225" s="922"/>
      <c r="XU225" s="922"/>
      <c r="XV225" s="922"/>
      <c r="XW225" s="922"/>
      <c r="XX225" s="922"/>
      <c r="XY225" s="922"/>
      <c r="XZ225" s="922"/>
      <c r="YA225" s="922"/>
      <c r="YB225" s="922"/>
      <c r="YC225" s="922"/>
      <c r="YD225" s="922"/>
      <c r="YE225" s="922"/>
      <c r="YF225" s="922"/>
      <c r="YG225" s="922"/>
      <c r="YH225" s="922"/>
      <c r="YI225" s="922"/>
      <c r="YJ225" s="922"/>
      <c r="YK225" s="922"/>
      <c r="YL225" s="922"/>
      <c r="YM225" s="922"/>
      <c r="YN225" s="922"/>
      <c r="YO225" s="922"/>
      <c r="YP225" s="922"/>
      <c r="YQ225" s="922"/>
      <c r="YR225" s="922"/>
      <c r="YS225" s="922"/>
      <c r="YT225" s="922"/>
      <c r="YU225" s="922"/>
      <c r="YV225" s="922"/>
      <c r="YW225" s="922"/>
      <c r="YX225" s="922"/>
      <c r="YY225" s="922"/>
      <c r="YZ225" s="922"/>
      <c r="ZA225" s="922"/>
      <c r="ZB225" s="922"/>
      <c r="ZC225" s="922"/>
      <c r="ZD225" s="922"/>
      <c r="ZE225" s="922"/>
      <c r="ZF225" s="922"/>
      <c r="ZG225" s="922"/>
      <c r="ZH225" s="922"/>
      <c r="ZI225" s="922"/>
      <c r="ZJ225" s="922"/>
      <c r="ZK225" s="922"/>
      <c r="ZL225" s="922"/>
      <c r="ZM225" s="922"/>
      <c r="ZN225" s="922"/>
      <c r="ZO225" s="922"/>
      <c r="ZP225" s="922"/>
      <c r="ZQ225" s="922"/>
      <c r="ZR225" s="922"/>
      <c r="ZS225" s="922"/>
      <c r="ZT225" s="922"/>
      <c r="ZU225" s="922"/>
      <c r="ZV225" s="922"/>
      <c r="ZW225" s="922"/>
      <c r="ZX225" s="922"/>
      <c r="ZY225" s="922"/>
      <c r="ZZ225" s="922"/>
      <c r="AAA225" s="922"/>
      <c r="AAB225" s="922"/>
      <c r="AAC225" s="922"/>
      <c r="AAD225" s="922"/>
      <c r="AAE225" s="922"/>
      <c r="AAF225" s="922"/>
      <c r="AAG225" s="922"/>
      <c r="AAH225" s="922"/>
      <c r="AAI225" s="922"/>
      <c r="AAJ225" s="922"/>
      <c r="AAK225" s="922"/>
      <c r="AAL225" s="922"/>
      <c r="AAM225" s="922"/>
      <c r="AAN225" s="922"/>
      <c r="AAO225" s="922"/>
      <c r="AAP225" s="922"/>
      <c r="AAQ225" s="922"/>
      <c r="AAR225" s="922"/>
      <c r="AAS225" s="922"/>
      <c r="AAT225" s="922"/>
      <c r="AAU225" s="922"/>
      <c r="AAV225" s="922"/>
      <c r="AAW225" s="922"/>
      <c r="AAX225" s="922"/>
      <c r="AAY225" s="922"/>
      <c r="AAZ225" s="922"/>
      <c r="ABA225" s="922"/>
      <c r="ABB225" s="922"/>
      <c r="ABC225" s="922"/>
      <c r="ABD225" s="922"/>
      <c r="ABE225" s="922"/>
      <c r="ABF225" s="922"/>
      <c r="ABG225" s="922"/>
      <c r="ABH225" s="922"/>
      <c r="ABI225" s="922"/>
      <c r="ABJ225" s="922"/>
      <c r="ABK225" s="922"/>
      <c r="ABL225" s="922"/>
      <c r="ABM225" s="922"/>
      <c r="ABN225" s="922"/>
      <c r="ABO225" s="922"/>
      <c r="ABP225" s="922"/>
      <c r="ABQ225" s="922"/>
      <c r="ABR225" s="922"/>
      <c r="ABS225" s="922"/>
      <c r="ABT225" s="922"/>
      <c r="ABU225" s="922"/>
      <c r="ABV225" s="922"/>
      <c r="ABW225" s="922"/>
      <c r="ABX225" s="922"/>
      <c r="ABY225" s="922"/>
      <c r="ABZ225" s="922"/>
      <c r="ACA225" s="922"/>
      <c r="ACB225" s="922"/>
      <c r="ACC225" s="922"/>
      <c r="ACD225" s="922"/>
      <c r="ACE225" s="922"/>
      <c r="ACF225" s="922"/>
      <c r="ACG225" s="922"/>
      <c r="ACH225" s="922"/>
      <c r="ACI225" s="922"/>
      <c r="ACJ225" s="922"/>
      <c r="ACK225" s="922"/>
      <c r="ACL225" s="922"/>
      <c r="ACM225" s="922"/>
      <c r="ACN225" s="922"/>
      <c r="ACO225" s="922"/>
      <c r="ACP225" s="922"/>
      <c r="ACQ225" s="922"/>
      <c r="ACR225" s="922"/>
      <c r="ACS225" s="922"/>
      <c r="ACT225" s="922"/>
      <c r="ACU225" s="922"/>
      <c r="ACV225" s="922"/>
      <c r="ACW225" s="922"/>
      <c r="ACX225" s="922"/>
      <c r="ACY225" s="922"/>
      <c r="ACZ225" s="922"/>
      <c r="ADA225" s="922"/>
      <c r="ADB225" s="922"/>
      <c r="ADC225" s="922"/>
      <c r="ADD225" s="922"/>
      <c r="ADE225" s="922"/>
      <c r="ADF225" s="922"/>
      <c r="ADG225" s="922"/>
      <c r="ADH225" s="922"/>
      <c r="ADI225" s="922"/>
      <c r="ADJ225" s="922"/>
      <c r="ADK225" s="922"/>
      <c r="ADL225" s="922"/>
      <c r="ADM225" s="922"/>
      <c r="ADN225" s="922"/>
      <c r="ADO225" s="922"/>
      <c r="ADP225" s="922"/>
      <c r="ADQ225" s="922"/>
      <c r="ADR225" s="922"/>
      <c r="ADS225" s="922"/>
      <c r="ADT225" s="922"/>
      <c r="ADU225" s="922"/>
      <c r="ADV225" s="922"/>
      <c r="ADW225" s="922"/>
      <c r="ADX225" s="922"/>
      <c r="ADY225" s="922"/>
      <c r="ADZ225" s="922"/>
      <c r="AEA225" s="922"/>
      <c r="AEB225" s="922"/>
      <c r="AEC225" s="922"/>
      <c r="AED225" s="922"/>
      <c r="AEE225" s="922"/>
      <c r="AEF225" s="922"/>
      <c r="AEG225" s="922"/>
      <c r="AEH225" s="922"/>
      <c r="AEI225" s="922"/>
      <c r="AEJ225" s="922"/>
      <c r="AEK225" s="922"/>
      <c r="AEL225" s="922"/>
      <c r="AEM225" s="922"/>
      <c r="AEN225" s="922"/>
      <c r="AEO225" s="922"/>
      <c r="AEP225" s="922"/>
      <c r="AEQ225" s="922"/>
      <c r="AER225" s="922"/>
      <c r="AES225" s="922"/>
      <c r="AET225" s="922"/>
      <c r="AEU225" s="922"/>
      <c r="AEV225" s="922"/>
      <c r="AEW225" s="922"/>
      <c r="AEX225" s="922"/>
      <c r="AEY225" s="922"/>
      <c r="AEZ225" s="922"/>
      <c r="AFA225" s="922"/>
      <c r="AFB225" s="922"/>
      <c r="AFC225" s="922"/>
      <c r="AFD225" s="922"/>
      <c r="AFE225" s="922"/>
      <c r="AFF225" s="922"/>
      <c r="AFG225" s="922"/>
      <c r="AFH225" s="922"/>
      <c r="AFI225" s="922"/>
      <c r="AFJ225" s="922"/>
      <c r="AFK225" s="922"/>
      <c r="AFL225" s="922"/>
      <c r="AFM225" s="922"/>
      <c r="AFN225" s="922"/>
      <c r="AFO225" s="922"/>
      <c r="AFP225" s="922"/>
      <c r="AFQ225" s="922"/>
      <c r="AFR225" s="922"/>
      <c r="AFS225" s="922"/>
      <c r="AFT225" s="922"/>
      <c r="AFU225" s="922"/>
      <c r="AFV225" s="922"/>
      <c r="AFW225" s="922"/>
      <c r="AFX225" s="922"/>
      <c r="AFY225" s="922"/>
      <c r="AFZ225" s="922"/>
      <c r="AGA225" s="922"/>
      <c r="AGB225" s="922"/>
      <c r="AGC225" s="922"/>
      <c r="AGD225" s="922"/>
      <c r="AGE225" s="922"/>
      <c r="AGF225" s="922"/>
      <c r="AGG225" s="922"/>
      <c r="AGH225" s="922"/>
      <c r="AGI225" s="922"/>
      <c r="AGJ225" s="922"/>
      <c r="AGK225" s="922"/>
      <c r="AGL225" s="922"/>
      <c r="AGM225" s="922"/>
      <c r="AGN225" s="922"/>
      <c r="AGO225" s="922"/>
      <c r="AGP225" s="922"/>
      <c r="AGQ225" s="922"/>
      <c r="AGR225" s="922"/>
      <c r="AGS225" s="922"/>
      <c r="AGT225" s="922"/>
      <c r="AGU225" s="922"/>
      <c r="AGV225" s="922"/>
      <c r="AGW225" s="922"/>
      <c r="AGX225" s="922"/>
      <c r="AGY225" s="922"/>
      <c r="AGZ225" s="922"/>
      <c r="AHA225" s="922"/>
      <c r="AHB225" s="922"/>
      <c r="AHC225" s="922"/>
      <c r="AHD225" s="922"/>
      <c r="AHE225" s="922"/>
      <c r="AHF225" s="922"/>
      <c r="AHG225" s="922"/>
      <c r="AHH225" s="922"/>
      <c r="AHI225" s="922"/>
      <c r="AHJ225" s="922"/>
      <c r="AHK225" s="922"/>
      <c r="AHL225" s="922"/>
      <c r="AHM225" s="922"/>
      <c r="AHN225" s="922"/>
      <c r="AHO225" s="922"/>
      <c r="AHP225" s="922"/>
      <c r="AHQ225" s="922"/>
      <c r="AHR225" s="922"/>
      <c r="AHS225" s="922"/>
      <c r="AHT225" s="922"/>
      <c r="AHU225" s="922"/>
      <c r="AHV225" s="922"/>
      <c r="AHW225" s="922"/>
      <c r="AHX225" s="922"/>
      <c r="AHY225" s="922"/>
      <c r="AHZ225" s="922"/>
      <c r="AIA225" s="922"/>
      <c r="AIB225" s="922"/>
      <c r="AIC225" s="922"/>
      <c r="AID225" s="922"/>
      <c r="AIE225" s="922"/>
      <c r="AIF225" s="922"/>
      <c r="AIG225" s="922"/>
      <c r="AIH225" s="922"/>
      <c r="AII225" s="922"/>
      <c r="AIJ225" s="922"/>
      <c r="AIK225" s="922"/>
      <c r="AIL225" s="922"/>
      <c r="AIM225" s="922"/>
      <c r="AIN225" s="922"/>
      <c r="AIO225" s="922"/>
      <c r="AIP225" s="922"/>
      <c r="AIQ225" s="922"/>
      <c r="AIR225" s="922"/>
      <c r="AIS225" s="922"/>
      <c r="AIT225" s="922"/>
      <c r="AIU225" s="922"/>
      <c r="AIV225" s="922"/>
      <c r="AIW225" s="922"/>
      <c r="AIX225" s="922"/>
      <c r="AIY225" s="922"/>
      <c r="AIZ225" s="922"/>
      <c r="AJA225" s="922"/>
      <c r="AJB225" s="922"/>
      <c r="AJC225" s="922"/>
      <c r="AJD225" s="922"/>
      <c r="AJE225" s="922"/>
      <c r="AJF225" s="922"/>
      <c r="AJG225" s="922"/>
      <c r="AJH225" s="922"/>
      <c r="AJI225" s="922"/>
      <c r="AJJ225" s="922"/>
      <c r="AJK225" s="922"/>
      <c r="AJL225" s="922"/>
      <c r="AJM225" s="922"/>
      <c r="AJN225" s="922"/>
      <c r="AJO225" s="922"/>
      <c r="AJP225" s="922"/>
      <c r="AJQ225" s="922"/>
      <c r="AJR225" s="922"/>
      <c r="AJS225" s="922"/>
      <c r="AJT225" s="922"/>
      <c r="AJU225" s="922"/>
      <c r="AJV225" s="922"/>
      <c r="AJW225" s="922"/>
      <c r="AJX225" s="922"/>
      <c r="AJY225" s="922"/>
      <c r="AJZ225" s="922"/>
      <c r="AKA225" s="922"/>
      <c r="AKB225" s="922"/>
      <c r="AKC225" s="922"/>
      <c r="AKD225" s="922"/>
      <c r="AKE225" s="922"/>
      <c r="AKF225" s="922"/>
      <c r="AKG225" s="922"/>
      <c r="AKH225" s="922"/>
      <c r="AKI225" s="922"/>
      <c r="AKJ225" s="922"/>
      <c r="AKK225" s="922"/>
      <c r="AKL225" s="922"/>
      <c r="AKM225" s="922"/>
      <c r="AKN225" s="922"/>
      <c r="AKO225" s="922"/>
      <c r="AKP225" s="922"/>
      <c r="AKQ225" s="922"/>
      <c r="AKR225" s="922"/>
      <c r="AKS225" s="922"/>
      <c r="AKT225" s="922"/>
      <c r="AKU225" s="922"/>
      <c r="AKV225" s="922"/>
      <c r="AKW225" s="922"/>
      <c r="AKX225" s="922"/>
      <c r="AKY225" s="922"/>
      <c r="AKZ225" s="922"/>
      <c r="ALA225" s="922"/>
      <c r="ALB225" s="922"/>
      <c r="ALC225" s="922"/>
      <c r="ALD225" s="922"/>
      <c r="ALE225" s="922"/>
      <c r="ALF225" s="922"/>
      <c r="ALG225" s="922"/>
      <c r="ALH225" s="922"/>
      <c r="ALI225" s="922"/>
      <c r="ALJ225" s="922"/>
      <c r="ALK225" s="922"/>
      <c r="ALL225" s="922"/>
      <c r="ALM225" s="922"/>
      <c r="ALN225" s="922"/>
      <c r="ALO225" s="922"/>
      <c r="ALP225" s="922"/>
      <c r="ALQ225" s="922"/>
      <c r="ALR225" s="922"/>
      <c r="ALS225" s="922"/>
      <c r="ALT225" s="922"/>
      <c r="ALU225" s="922"/>
      <c r="ALV225" s="922"/>
      <c r="ALW225" s="922"/>
      <c r="ALX225" s="922"/>
      <c r="ALY225" s="922"/>
      <c r="ALZ225" s="922"/>
      <c r="AMA225" s="922"/>
      <c r="AMB225" s="922"/>
      <c r="AMC225" s="922"/>
      <c r="AMD225" s="922"/>
      <c r="AME225" s="922"/>
      <c r="AMF225" s="922"/>
      <c r="AMG225" s="922"/>
      <c r="AMH225" s="922"/>
      <c r="AMI225" s="922"/>
      <c r="AMJ225" s="922"/>
      <c r="AMK225" s="922"/>
      <c r="AML225" s="922"/>
      <c r="AMM225" s="922"/>
      <c r="AMN225" s="922"/>
      <c r="AMO225" s="922"/>
      <c r="AMP225" s="922"/>
      <c r="AMQ225" s="922"/>
      <c r="AMR225" s="922"/>
      <c r="AMS225" s="922"/>
      <c r="AMT225" s="922"/>
      <c r="AMU225" s="922"/>
      <c r="AMV225" s="922"/>
      <c r="AMW225" s="922"/>
      <c r="AMX225" s="922"/>
      <c r="AMY225" s="922"/>
      <c r="AMZ225" s="922"/>
      <c r="ANA225" s="922"/>
      <c r="ANB225" s="922"/>
      <c r="ANC225" s="922"/>
      <c r="AND225" s="922"/>
      <c r="ANE225" s="922"/>
      <c r="ANF225" s="922"/>
      <c r="ANG225" s="922"/>
      <c r="ANH225" s="922"/>
      <c r="ANI225" s="922"/>
      <c r="ANJ225" s="922"/>
      <c r="ANK225" s="922"/>
      <c r="ANL225" s="922"/>
      <c r="ANM225" s="922"/>
      <c r="ANN225" s="922"/>
      <c r="ANO225" s="922"/>
      <c r="ANP225" s="922"/>
      <c r="ANQ225" s="922"/>
      <c r="ANR225" s="922"/>
      <c r="ANS225" s="922"/>
      <c r="ANT225" s="922"/>
      <c r="ANU225" s="922"/>
      <c r="ANV225" s="922"/>
      <c r="ANW225" s="922"/>
      <c r="ANX225" s="922"/>
      <c r="ANY225" s="922"/>
      <c r="ANZ225" s="922"/>
      <c r="AOA225" s="922"/>
      <c r="AOB225" s="922"/>
      <c r="AOC225" s="922"/>
      <c r="AOD225" s="922"/>
      <c r="AOE225" s="922"/>
      <c r="AOF225" s="922"/>
      <c r="AOG225" s="922"/>
      <c r="AOH225" s="922"/>
      <c r="AOI225" s="922"/>
      <c r="AOJ225" s="922"/>
      <c r="AOK225" s="922"/>
      <c r="AOL225" s="922"/>
      <c r="AOM225" s="922"/>
      <c r="AON225" s="922"/>
      <c r="AOO225" s="922"/>
      <c r="AOP225" s="922"/>
      <c r="AOQ225" s="922"/>
      <c r="AOR225" s="922"/>
      <c r="AOS225" s="922"/>
      <c r="AOT225" s="922"/>
      <c r="AOU225" s="922"/>
      <c r="AOV225" s="922"/>
      <c r="AOW225" s="922"/>
      <c r="AOX225" s="922"/>
      <c r="AOY225" s="922"/>
      <c r="AOZ225" s="922"/>
      <c r="APA225" s="922"/>
      <c r="APB225" s="922"/>
      <c r="APC225" s="922"/>
      <c r="APD225" s="922"/>
      <c r="APE225" s="922"/>
      <c r="APF225" s="922"/>
      <c r="APG225" s="922"/>
      <c r="APH225" s="922"/>
      <c r="API225" s="922"/>
      <c r="APJ225" s="922"/>
      <c r="APK225" s="922"/>
      <c r="APL225" s="922"/>
      <c r="APM225" s="922"/>
      <c r="APN225" s="922"/>
      <c r="APO225" s="922"/>
      <c r="APP225" s="922"/>
      <c r="APQ225" s="922"/>
      <c r="APR225" s="922"/>
      <c r="APS225" s="922"/>
      <c r="APT225" s="922"/>
      <c r="APU225" s="922"/>
      <c r="APV225" s="922"/>
      <c r="APW225" s="922"/>
      <c r="APX225" s="922"/>
      <c r="APY225" s="922"/>
      <c r="APZ225" s="922"/>
      <c r="AQA225" s="922"/>
      <c r="AQB225" s="922"/>
      <c r="AQC225" s="922"/>
      <c r="AQD225" s="922"/>
      <c r="AQE225" s="922"/>
      <c r="AQF225" s="922"/>
      <c r="AQG225" s="922"/>
      <c r="AQH225" s="922"/>
      <c r="AQI225" s="922"/>
      <c r="AQJ225" s="922"/>
      <c r="AQK225" s="922"/>
      <c r="AQL225" s="922"/>
      <c r="AQM225" s="922"/>
      <c r="AQN225" s="922"/>
      <c r="AQO225" s="922"/>
      <c r="AQP225" s="922"/>
      <c r="AQQ225" s="922"/>
      <c r="AQR225" s="922"/>
      <c r="AQS225" s="922"/>
      <c r="AQT225" s="922"/>
      <c r="AQU225" s="922"/>
      <c r="AQV225" s="922"/>
      <c r="AQW225" s="922"/>
      <c r="AQX225" s="922"/>
      <c r="AQY225" s="922"/>
      <c r="AQZ225" s="922"/>
      <c r="ARA225" s="922"/>
      <c r="ARB225" s="922"/>
      <c r="ARC225" s="922"/>
      <c r="ARD225" s="922"/>
      <c r="ARE225" s="922"/>
      <c r="ARF225" s="922"/>
      <c r="ARG225" s="922"/>
      <c r="ARH225" s="922"/>
      <c r="ARI225" s="922"/>
      <c r="ARJ225" s="922"/>
      <c r="ARK225" s="922"/>
      <c r="ARL225" s="922"/>
      <c r="ARM225" s="922"/>
      <c r="ARN225" s="922"/>
      <c r="ARO225" s="922"/>
      <c r="ARP225" s="922"/>
      <c r="ARQ225" s="922"/>
      <c r="ARR225" s="922"/>
      <c r="ARS225" s="922"/>
      <c r="ART225" s="922"/>
      <c r="ARU225" s="922"/>
      <c r="ARV225" s="922"/>
      <c r="ARW225" s="922"/>
      <c r="ARX225" s="922"/>
      <c r="ARY225" s="922"/>
      <c r="ARZ225" s="922"/>
      <c r="ASA225" s="922"/>
      <c r="ASB225" s="922"/>
      <c r="ASC225" s="922"/>
    </row>
    <row r="226" spans="20:1173" hidden="1">
      <c r="T226" s="922"/>
      <c r="AN226" s="922"/>
      <c r="AO226" s="922"/>
      <c r="AP226" s="922"/>
      <c r="AQ226" s="922"/>
      <c r="AR226" s="922"/>
      <c r="AS226" s="922"/>
      <c r="AT226" s="922"/>
      <c r="AU226" s="922"/>
      <c r="AV226" s="922"/>
      <c r="AW226" s="922"/>
      <c r="AX226" s="922"/>
      <c r="AY226" s="922"/>
      <c r="AZ226" s="922"/>
      <c r="BA226" s="922"/>
      <c r="BB226" s="922"/>
      <c r="BC226" s="922"/>
      <c r="BD226" s="922"/>
      <c r="BE226" s="922"/>
      <c r="BF226" s="922"/>
      <c r="BG226" s="922"/>
      <c r="BH226" s="922"/>
      <c r="BI226" s="922"/>
      <c r="BJ226" s="922"/>
      <c r="BK226" s="922"/>
      <c r="BL226" s="922"/>
      <c r="BM226" s="922"/>
      <c r="BN226" s="922"/>
      <c r="BO226" s="922"/>
      <c r="BP226" s="922"/>
      <c r="BQ226" s="922"/>
      <c r="BR226" s="922"/>
      <c r="BS226" s="922"/>
      <c r="BT226" s="922"/>
      <c r="BU226" s="922"/>
      <c r="BV226" s="922"/>
      <c r="BW226" s="922"/>
      <c r="BX226" s="922"/>
      <c r="BY226" s="922"/>
      <c r="BZ226" s="922"/>
      <c r="CA226" s="922"/>
      <c r="CB226" s="922"/>
      <c r="CC226" s="922"/>
      <c r="CD226" s="922"/>
      <c r="CE226" s="922"/>
      <c r="CF226" s="922"/>
      <c r="CG226" s="922"/>
      <c r="CH226" s="922"/>
      <c r="CI226" s="922"/>
      <c r="CJ226" s="922"/>
      <c r="CK226" s="922"/>
      <c r="CL226" s="922"/>
      <c r="CM226" s="922"/>
      <c r="CN226" s="922"/>
      <c r="CO226" s="922"/>
      <c r="CP226" s="922"/>
      <c r="CQ226" s="922"/>
      <c r="CR226" s="922"/>
      <c r="CS226" s="922"/>
      <c r="CT226" s="922"/>
      <c r="CU226" s="922"/>
      <c r="CV226" s="922"/>
      <c r="CW226" s="922"/>
      <c r="CX226" s="922"/>
      <c r="CY226" s="922"/>
      <c r="CZ226" s="922"/>
      <c r="DA226" s="922"/>
      <c r="DB226" s="922"/>
      <c r="DC226" s="922"/>
      <c r="DD226" s="922"/>
      <c r="DE226" s="922"/>
      <c r="DF226" s="922"/>
      <c r="DG226" s="922"/>
      <c r="DH226" s="922"/>
      <c r="DI226" s="922"/>
      <c r="DJ226" s="922"/>
      <c r="DK226" s="922"/>
      <c r="DL226" s="922"/>
      <c r="DM226" s="922"/>
      <c r="DN226" s="922"/>
      <c r="DO226" s="922"/>
      <c r="DP226" s="922"/>
      <c r="DQ226" s="922"/>
      <c r="DR226" s="922"/>
      <c r="DS226" s="922"/>
      <c r="DT226" s="922"/>
      <c r="DU226" s="922"/>
      <c r="DV226" s="922"/>
      <c r="DW226" s="922"/>
      <c r="DX226" s="922"/>
      <c r="DY226" s="922"/>
      <c r="DZ226" s="922"/>
      <c r="EA226" s="922"/>
      <c r="EB226" s="922"/>
      <c r="EC226" s="922"/>
      <c r="ED226" s="922"/>
      <c r="EE226" s="922"/>
      <c r="EF226" s="922"/>
      <c r="EG226" s="922"/>
      <c r="EH226" s="922"/>
      <c r="EI226" s="922"/>
      <c r="EJ226" s="922"/>
      <c r="EK226" s="922"/>
      <c r="EL226" s="922"/>
      <c r="EM226" s="922"/>
      <c r="EN226" s="922"/>
      <c r="EO226" s="922"/>
      <c r="EP226" s="922"/>
      <c r="EQ226" s="922"/>
      <c r="ER226" s="922"/>
      <c r="ES226" s="922"/>
      <c r="ET226" s="922"/>
      <c r="EU226" s="922"/>
      <c r="EV226" s="922"/>
      <c r="EW226" s="922"/>
      <c r="EX226" s="922"/>
      <c r="EY226" s="922"/>
      <c r="EZ226" s="922"/>
      <c r="FA226" s="922"/>
      <c r="FB226" s="922"/>
      <c r="FC226" s="922"/>
      <c r="FD226" s="922"/>
      <c r="FE226" s="922"/>
      <c r="FF226" s="922"/>
      <c r="FG226" s="922"/>
      <c r="FH226" s="922"/>
      <c r="FI226" s="922"/>
      <c r="FJ226" s="922"/>
      <c r="FK226" s="922"/>
      <c r="FL226" s="922"/>
      <c r="FM226" s="922"/>
      <c r="FN226" s="922"/>
      <c r="FO226" s="922"/>
      <c r="FP226" s="922"/>
      <c r="FQ226" s="922"/>
      <c r="FR226" s="922"/>
      <c r="FS226" s="922"/>
      <c r="FT226" s="922"/>
      <c r="FU226" s="922"/>
      <c r="FV226" s="922"/>
      <c r="FW226" s="922"/>
      <c r="FX226" s="922"/>
      <c r="FY226" s="922"/>
      <c r="FZ226" s="922"/>
      <c r="GA226" s="922"/>
      <c r="GB226" s="922"/>
      <c r="GC226" s="922"/>
      <c r="GD226" s="922"/>
      <c r="GE226" s="922"/>
      <c r="GF226" s="922"/>
      <c r="GG226" s="922"/>
      <c r="GH226" s="922"/>
      <c r="GI226" s="922"/>
      <c r="GJ226" s="922"/>
      <c r="GK226" s="922"/>
      <c r="GL226" s="922"/>
      <c r="GM226" s="922"/>
      <c r="GN226" s="922"/>
      <c r="GO226" s="922"/>
      <c r="GP226" s="922"/>
      <c r="GQ226" s="922"/>
      <c r="GR226" s="922"/>
      <c r="GS226" s="922"/>
      <c r="GT226" s="922"/>
      <c r="GU226" s="922"/>
      <c r="GV226" s="922"/>
      <c r="GW226" s="922"/>
      <c r="GX226" s="922"/>
      <c r="GY226" s="922"/>
      <c r="GZ226" s="922"/>
      <c r="HA226" s="922"/>
      <c r="HB226" s="922"/>
      <c r="HC226" s="922"/>
      <c r="HD226" s="922"/>
      <c r="HE226" s="922"/>
      <c r="HF226" s="922"/>
      <c r="HG226" s="922"/>
      <c r="HH226" s="922"/>
      <c r="HI226" s="922"/>
      <c r="HJ226" s="922"/>
      <c r="HK226" s="922"/>
      <c r="HL226" s="922"/>
      <c r="HM226" s="922"/>
      <c r="HN226" s="922"/>
      <c r="HO226" s="922"/>
      <c r="HP226" s="922"/>
      <c r="HQ226" s="922"/>
      <c r="HR226" s="922"/>
      <c r="HS226" s="922"/>
      <c r="HT226" s="922"/>
      <c r="HU226" s="922"/>
      <c r="HV226" s="922"/>
      <c r="HW226" s="922"/>
      <c r="HX226" s="922"/>
      <c r="HY226" s="922"/>
      <c r="HZ226" s="922"/>
      <c r="IA226" s="922"/>
      <c r="IB226" s="922"/>
      <c r="IC226" s="922"/>
      <c r="ID226" s="922"/>
      <c r="IE226" s="922"/>
      <c r="IF226" s="922"/>
      <c r="IG226" s="922"/>
      <c r="IH226" s="922"/>
      <c r="II226" s="922"/>
      <c r="IJ226" s="922"/>
      <c r="IK226" s="922"/>
      <c r="IL226" s="922"/>
      <c r="IM226" s="922"/>
      <c r="IN226" s="922"/>
      <c r="IO226" s="922"/>
      <c r="IP226" s="922"/>
      <c r="IQ226" s="922"/>
      <c r="IR226" s="922"/>
      <c r="IS226" s="922"/>
      <c r="IT226" s="922"/>
      <c r="IU226" s="922"/>
      <c r="IV226" s="922"/>
      <c r="IW226" s="922"/>
      <c r="IX226" s="922"/>
      <c r="IY226" s="922"/>
      <c r="IZ226" s="922"/>
      <c r="JA226" s="922"/>
      <c r="JB226" s="922"/>
      <c r="JC226" s="922"/>
      <c r="JD226" s="922"/>
      <c r="JE226" s="922"/>
      <c r="JF226" s="922"/>
      <c r="JG226" s="922"/>
      <c r="JH226" s="922"/>
      <c r="JI226" s="922"/>
      <c r="JJ226" s="922"/>
      <c r="JK226" s="922"/>
      <c r="JL226" s="922"/>
      <c r="JM226" s="922"/>
      <c r="JN226" s="922"/>
      <c r="JO226" s="922"/>
      <c r="JP226" s="922"/>
      <c r="JQ226" s="922"/>
      <c r="JR226" s="922"/>
      <c r="JS226" s="922"/>
      <c r="JT226" s="922"/>
      <c r="JU226" s="922"/>
      <c r="JV226" s="922"/>
      <c r="JW226" s="922"/>
      <c r="JX226" s="922"/>
      <c r="JY226" s="922"/>
      <c r="JZ226" s="922"/>
      <c r="KA226" s="922"/>
      <c r="KB226" s="922"/>
      <c r="KC226" s="922"/>
      <c r="KD226" s="922"/>
      <c r="KE226" s="922"/>
      <c r="KF226" s="922"/>
      <c r="KG226" s="922"/>
      <c r="KH226" s="922"/>
      <c r="KI226" s="922"/>
      <c r="KJ226" s="922"/>
      <c r="KK226" s="922"/>
      <c r="KL226" s="922"/>
      <c r="KM226" s="922"/>
      <c r="KN226" s="922"/>
      <c r="KO226" s="922"/>
      <c r="KP226" s="922"/>
      <c r="KQ226" s="922"/>
      <c r="KR226" s="922"/>
      <c r="KS226" s="922"/>
      <c r="KT226" s="922"/>
      <c r="KU226" s="922"/>
      <c r="KV226" s="922"/>
      <c r="KW226" s="922"/>
      <c r="KX226" s="922"/>
      <c r="KY226" s="922"/>
      <c r="KZ226" s="922"/>
      <c r="LA226" s="922"/>
      <c r="LB226" s="922"/>
      <c r="LC226" s="922"/>
      <c r="LD226" s="922"/>
      <c r="LE226" s="922"/>
      <c r="LF226" s="922"/>
      <c r="LG226" s="922"/>
      <c r="LH226" s="922"/>
      <c r="LI226" s="922"/>
      <c r="LJ226" s="922"/>
      <c r="LK226" s="922"/>
      <c r="LL226" s="922"/>
      <c r="LM226" s="922"/>
      <c r="LN226" s="922"/>
      <c r="LO226" s="922"/>
      <c r="LP226" s="922"/>
      <c r="LQ226" s="922"/>
      <c r="LR226" s="922"/>
      <c r="LS226" s="922"/>
      <c r="LT226" s="922"/>
      <c r="LU226" s="922"/>
      <c r="LV226" s="922"/>
      <c r="LW226" s="922"/>
      <c r="LX226" s="922"/>
      <c r="LY226" s="922"/>
      <c r="LZ226" s="922"/>
      <c r="MA226" s="922"/>
      <c r="MB226" s="922"/>
      <c r="MC226" s="922"/>
      <c r="MD226" s="922"/>
      <c r="ME226" s="922"/>
      <c r="MF226" s="922"/>
      <c r="MG226" s="922"/>
      <c r="MH226" s="922"/>
      <c r="MI226" s="922"/>
      <c r="MJ226" s="922"/>
      <c r="MK226" s="922"/>
      <c r="ML226" s="922"/>
      <c r="MM226" s="922"/>
      <c r="MN226" s="922"/>
      <c r="MO226" s="922"/>
      <c r="MP226" s="922"/>
      <c r="MQ226" s="922"/>
      <c r="MR226" s="922"/>
      <c r="MS226" s="922"/>
      <c r="MT226" s="922"/>
      <c r="MU226" s="922"/>
      <c r="MV226" s="922"/>
      <c r="MW226" s="922"/>
      <c r="MX226" s="922"/>
      <c r="MY226" s="922"/>
      <c r="MZ226" s="922"/>
      <c r="NA226" s="922"/>
      <c r="NB226" s="922"/>
      <c r="NC226" s="922"/>
      <c r="ND226" s="922"/>
      <c r="NE226" s="922"/>
      <c r="NF226" s="922"/>
      <c r="NG226" s="922"/>
      <c r="NH226" s="922"/>
      <c r="NI226" s="922"/>
      <c r="NJ226" s="922"/>
      <c r="NK226" s="922"/>
      <c r="NL226" s="922"/>
      <c r="NM226" s="922"/>
      <c r="NN226" s="922"/>
      <c r="NO226" s="922"/>
      <c r="NP226" s="922"/>
      <c r="NQ226" s="922"/>
      <c r="NR226" s="922"/>
      <c r="NS226" s="922"/>
      <c r="NT226" s="922"/>
      <c r="NU226" s="922"/>
      <c r="NV226" s="922"/>
      <c r="NW226" s="922"/>
      <c r="NX226" s="922"/>
      <c r="NY226" s="922"/>
      <c r="NZ226" s="922"/>
      <c r="OA226" s="922"/>
      <c r="OB226" s="922"/>
      <c r="OC226" s="922"/>
      <c r="OD226" s="922"/>
      <c r="OE226" s="922"/>
      <c r="OF226" s="922"/>
      <c r="OG226" s="922"/>
      <c r="OH226" s="922"/>
      <c r="OI226" s="922"/>
      <c r="OJ226" s="922"/>
      <c r="OK226" s="922"/>
      <c r="OL226" s="922"/>
      <c r="OM226" s="922"/>
      <c r="ON226" s="922"/>
      <c r="OO226" s="922"/>
      <c r="OP226" s="922"/>
      <c r="OQ226" s="922"/>
      <c r="OR226" s="922"/>
      <c r="OS226" s="922"/>
      <c r="OT226" s="922"/>
      <c r="OU226" s="922"/>
      <c r="OV226" s="922"/>
      <c r="OW226" s="922"/>
      <c r="OX226" s="922"/>
      <c r="OY226" s="922"/>
      <c r="OZ226" s="922"/>
      <c r="PA226" s="922"/>
      <c r="PB226" s="922"/>
      <c r="PC226" s="922"/>
      <c r="PD226" s="922"/>
      <c r="PE226" s="922"/>
      <c r="PF226" s="922"/>
      <c r="PG226" s="922"/>
      <c r="PH226" s="922"/>
      <c r="PI226" s="922"/>
      <c r="PJ226" s="922"/>
      <c r="PK226" s="922"/>
      <c r="PL226" s="922"/>
      <c r="PM226" s="922"/>
      <c r="PN226" s="922"/>
      <c r="PO226" s="922"/>
      <c r="PP226" s="922"/>
      <c r="PQ226" s="922"/>
      <c r="PR226" s="922"/>
      <c r="PS226" s="922"/>
      <c r="PT226" s="922"/>
      <c r="PU226" s="922"/>
      <c r="PV226" s="922"/>
      <c r="PW226" s="922"/>
      <c r="PX226" s="922"/>
      <c r="PY226" s="922"/>
      <c r="PZ226" s="922"/>
      <c r="QA226" s="922"/>
      <c r="QB226" s="922"/>
      <c r="QC226" s="922"/>
      <c r="QD226" s="922"/>
      <c r="QE226" s="922"/>
      <c r="QF226" s="922"/>
      <c r="QG226" s="922"/>
      <c r="QH226" s="922"/>
      <c r="QI226" s="922"/>
      <c r="QJ226" s="922"/>
      <c r="QK226" s="922"/>
      <c r="QL226" s="922"/>
      <c r="QM226" s="922"/>
      <c r="QN226" s="922"/>
      <c r="QO226" s="922"/>
      <c r="QP226" s="922"/>
      <c r="QQ226" s="922"/>
      <c r="QR226" s="922"/>
      <c r="QS226" s="922"/>
      <c r="QT226" s="922"/>
      <c r="QU226" s="922"/>
      <c r="QV226" s="922"/>
      <c r="QW226" s="922"/>
      <c r="QX226" s="922"/>
      <c r="QY226" s="922"/>
      <c r="QZ226" s="922"/>
      <c r="RA226" s="922"/>
      <c r="RB226" s="922"/>
      <c r="RC226" s="922"/>
      <c r="RD226" s="922"/>
      <c r="RE226" s="922"/>
      <c r="RF226" s="922"/>
      <c r="RG226" s="922"/>
      <c r="RH226" s="922"/>
      <c r="RI226" s="922"/>
      <c r="RJ226" s="922"/>
      <c r="RK226" s="922"/>
      <c r="RL226" s="922"/>
      <c r="RM226" s="922"/>
      <c r="RN226" s="922"/>
      <c r="RO226" s="922"/>
      <c r="RP226" s="922"/>
      <c r="RQ226" s="922"/>
      <c r="RR226" s="922"/>
      <c r="RS226" s="922"/>
      <c r="RT226" s="922"/>
      <c r="RU226" s="922"/>
      <c r="RV226" s="922"/>
      <c r="RW226" s="922"/>
      <c r="RX226" s="922"/>
      <c r="RY226" s="922"/>
      <c r="RZ226" s="922"/>
      <c r="SA226" s="922"/>
      <c r="SB226" s="922"/>
      <c r="SC226" s="922"/>
      <c r="SD226" s="922"/>
      <c r="SE226" s="922"/>
      <c r="SF226" s="922"/>
      <c r="SG226" s="922"/>
      <c r="SH226" s="922"/>
      <c r="SI226" s="922"/>
      <c r="SJ226" s="922"/>
      <c r="SK226" s="922"/>
      <c r="SL226" s="922"/>
      <c r="SM226" s="922"/>
      <c r="SN226" s="922"/>
      <c r="SO226" s="922"/>
      <c r="SP226" s="922"/>
      <c r="SQ226" s="922"/>
      <c r="SR226" s="922"/>
      <c r="SS226" s="922"/>
      <c r="ST226" s="922"/>
      <c r="SU226" s="922"/>
      <c r="SV226" s="922"/>
      <c r="SW226" s="922"/>
      <c r="SX226" s="922"/>
      <c r="SY226" s="922"/>
      <c r="SZ226" s="922"/>
      <c r="TA226" s="922"/>
      <c r="TB226" s="922"/>
      <c r="TC226" s="922"/>
      <c r="TD226" s="922"/>
      <c r="TE226" s="922"/>
      <c r="TF226" s="922"/>
      <c r="TG226" s="922"/>
      <c r="TH226" s="922"/>
      <c r="TI226" s="922"/>
      <c r="TJ226" s="922"/>
      <c r="TK226" s="922"/>
      <c r="TL226" s="922"/>
      <c r="TM226" s="922"/>
      <c r="TN226" s="922"/>
      <c r="TO226" s="922"/>
      <c r="TP226" s="922"/>
      <c r="TQ226" s="922"/>
      <c r="TR226" s="922"/>
      <c r="TS226" s="922"/>
      <c r="TT226" s="922"/>
      <c r="TU226" s="922"/>
      <c r="TV226" s="922"/>
      <c r="TW226" s="922"/>
      <c r="TX226" s="922"/>
      <c r="TY226" s="922"/>
      <c r="TZ226" s="922"/>
      <c r="UA226" s="922"/>
      <c r="UB226" s="922"/>
      <c r="UC226" s="922"/>
      <c r="UD226" s="922"/>
      <c r="UE226" s="922"/>
      <c r="UF226" s="922"/>
      <c r="UG226" s="922"/>
      <c r="UH226" s="922"/>
      <c r="UI226" s="922"/>
      <c r="UJ226" s="922"/>
      <c r="UK226" s="922"/>
      <c r="UL226" s="922"/>
      <c r="UM226" s="922"/>
      <c r="UN226" s="922"/>
      <c r="UO226" s="922"/>
      <c r="UP226" s="922"/>
      <c r="UQ226" s="922"/>
      <c r="UR226" s="922"/>
      <c r="US226" s="922"/>
      <c r="UT226" s="922"/>
      <c r="UU226" s="922"/>
      <c r="UV226" s="922"/>
      <c r="UW226" s="922"/>
      <c r="UX226" s="922"/>
      <c r="UY226" s="922"/>
      <c r="UZ226" s="922"/>
      <c r="VA226" s="922"/>
      <c r="VB226" s="922"/>
      <c r="VC226" s="922"/>
      <c r="VD226" s="922"/>
      <c r="VE226" s="922"/>
      <c r="VF226" s="922"/>
      <c r="VG226" s="922"/>
      <c r="VH226" s="922"/>
      <c r="VI226" s="922"/>
      <c r="VJ226" s="922"/>
      <c r="VK226" s="922"/>
      <c r="VL226" s="922"/>
      <c r="VM226" s="922"/>
      <c r="VN226" s="922"/>
      <c r="VO226" s="922"/>
      <c r="VP226" s="922"/>
      <c r="VQ226" s="922"/>
      <c r="VR226" s="922"/>
      <c r="VS226" s="922"/>
      <c r="VT226" s="922"/>
      <c r="VU226" s="922"/>
      <c r="VV226" s="922"/>
      <c r="VW226" s="922"/>
      <c r="VX226" s="922"/>
      <c r="VY226" s="922"/>
      <c r="VZ226" s="922"/>
      <c r="WA226" s="922"/>
      <c r="WB226" s="922"/>
      <c r="WC226" s="922"/>
      <c r="WD226" s="922"/>
      <c r="WE226" s="922"/>
      <c r="WF226" s="922"/>
      <c r="WG226" s="922"/>
      <c r="WH226" s="922"/>
      <c r="WI226" s="922"/>
      <c r="WJ226" s="922"/>
      <c r="WK226" s="922"/>
      <c r="WL226" s="922"/>
      <c r="WM226" s="922"/>
      <c r="WN226" s="922"/>
      <c r="WO226" s="922"/>
      <c r="WP226" s="922"/>
      <c r="WQ226" s="922"/>
      <c r="WR226" s="922"/>
      <c r="WS226" s="922"/>
      <c r="WT226" s="922"/>
      <c r="WU226" s="922"/>
      <c r="WV226" s="922"/>
      <c r="WW226" s="922"/>
      <c r="WX226" s="922"/>
      <c r="WY226" s="922"/>
      <c r="WZ226" s="922"/>
      <c r="XA226" s="922"/>
      <c r="XB226" s="922"/>
      <c r="XC226" s="922"/>
      <c r="XD226" s="922"/>
      <c r="XE226" s="922"/>
      <c r="XF226" s="922"/>
      <c r="XG226" s="922"/>
      <c r="XH226" s="922"/>
      <c r="XI226" s="922"/>
      <c r="XJ226" s="922"/>
      <c r="XK226" s="922"/>
      <c r="XL226" s="922"/>
      <c r="XM226" s="922"/>
      <c r="XN226" s="922"/>
      <c r="XO226" s="922"/>
      <c r="XP226" s="922"/>
      <c r="XQ226" s="922"/>
      <c r="XR226" s="922"/>
      <c r="XS226" s="922"/>
      <c r="XT226" s="922"/>
      <c r="XU226" s="922"/>
      <c r="XV226" s="922"/>
      <c r="XW226" s="922"/>
      <c r="XX226" s="922"/>
      <c r="XY226" s="922"/>
      <c r="XZ226" s="922"/>
      <c r="YA226" s="922"/>
      <c r="YB226" s="922"/>
      <c r="YC226" s="922"/>
      <c r="YD226" s="922"/>
      <c r="YE226" s="922"/>
      <c r="YF226" s="922"/>
      <c r="YG226" s="922"/>
      <c r="YH226" s="922"/>
      <c r="YI226" s="922"/>
      <c r="YJ226" s="922"/>
      <c r="YK226" s="922"/>
      <c r="YL226" s="922"/>
      <c r="YM226" s="922"/>
      <c r="YN226" s="922"/>
      <c r="YO226" s="922"/>
      <c r="YP226" s="922"/>
      <c r="YQ226" s="922"/>
      <c r="YR226" s="922"/>
      <c r="YS226" s="922"/>
      <c r="YT226" s="922"/>
      <c r="YU226" s="922"/>
      <c r="YV226" s="922"/>
      <c r="YW226" s="922"/>
      <c r="YX226" s="922"/>
      <c r="YY226" s="922"/>
      <c r="YZ226" s="922"/>
      <c r="ZA226" s="922"/>
      <c r="ZB226" s="922"/>
      <c r="ZC226" s="922"/>
      <c r="ZD226" s="922"/>
      <c r="ZE226" s="922"/>
      <c r="ZF226" s="922"/>
      <c r="ZG226" s="922"/>
      <c r="ZH226" s="922"/>
      <c r="ZI226" s="922"/>
      <c r="ZJ226" s="922"/>
      <c r="ZK226" s="922"/>
      <c r="ZL226" s="922"/>
      <c r="ZM226" s="922"/>
      <c r="ZN226" s="922"/>
      <c r="ZO226" s="922"/>
      <c r="ZP226" s="922"/>
      <c r="ZQ226" s="922"/>
      <c r="ZR226" s="922"/>
      <c r="ZS226" s="922"/>
      <c r="ZT226" s="922"/>
      <c r="ZU226" s="922"/>
      <c r="ZV226" s="922"/>
      <c r="ZW226" s="922"/>
      <c r="ZX226" s="922"/>
      <c r="ZY226" s="922"/>
      <c r="ZZ226" s="922"/>
      <c r="AAA226" s="922"/>
      <c r="AAB226" s="922"/>
      <c r="AAC226" s="922"/>
      <c r="AAD226" s="922"/>
      <c r="AAE226" s="922"/>
      <c r="AAF226" s="922"/>
      <c r="AAG226" s="922"/>
      <c r="AAH226" s="922"/>
      <c r="AAI226" s="922"/>
      <c r="AAJ226" s="922"/>
      <c r="AAK226" s="922"/>
      <c r="AAL226" s="922"/>
      <c r="AAM226" s="922"/>
      <c r="AAN226" s="922"/>
      <c r="AAO226" s="922"/>
      <c r="AAP226" s="922"/>
      <c r="AAQ226" s="922"/>
      <c r="AAR226" s="922"/>
      <c r="AAS226" s="922"/>
      <c r="AAT226" s="922"/>
      <c r="AAU226" s="922"/>
      <c r="AAV226" s="922"/>
      <c r="AAW226" s="922"/>
      <c r="AAX226" s="922"/>
      <c r="AAY226" s="922"/>
      <c r="AAZ226" s="922"/>
      <c r="ABA226" s="922"/>
      <c r="ABB226" s="922"/>
      <c r="ABC226" s="922"/>
      <c r="ABD226" s="922"/>
      <c r="ABE226" s="922"/>
      <c r="ABF226" s="922"/>
      <c r="ABG226" s="922"/>
      <c r="ABH226" s="922"/>
      <c r="ABI226" s="922"/>
      <c r="ABJ226" s="922"/>
      <c r="ABK226" s="922"/>
      <c r="ABL226" s="922"/>
      <c r="ABM226" s="922"/>
      <c r="ABN226" s="922"/>
      <c r="ABO226" s="922"/>
      <c r="ABP226" s="922"/>
      <c r="ABQ226" s="922"/>
      <c r="ABR226" s="922"/>
      <c r="ABS226" s="922"/>
      <c r="ABT226" s="922"/>
      <c r="ABU226" s="922"/>
      <c r="ABV226" s="922"/>
      <c r="ABW226" s="922"/>
      <c r="ABX226" s="922"/>
      <c r="ABY226" s="922"/>
      <c r="ABZ226" s="922"/>
      <c r="ACA226" s="922"/>
      <c r="ACB226" s="922"/>
      <c r="ACC226" s="922"/>
      <c r="ACD226" s="922"/>
      <c r="ACE226" s="922"/>
      <c r="ACF226" s="922"/>
      <c r="ACG226" s="922"/>
      <c r="ACH226" s="922"/>
      <c r="ACI226" s="922"/>
      <c r="ACJ226" s="922"/>
      <c r="ACK226" s="922"/>
      <c r="ACL226" s="922"/>
      <c r="ACM226" s="922"/>
      <c r="ACN226" s="922"/>
      <c r="ACO226" s="922"/>
      <c r="ACP226" s="922"/>
      <c r="ACQ226" s="922"/>
      <c r="ACR226" s="922"/>
      <c r="ACS226" s="922"/>
      <c r="ACT226" s="922"/>
      <c r="ACU226" s="922"/>
      <c r="ACV226" s="922"/>
      <c r="ACW226" s="922"/>
      <c r="ACX226" s="922"/>
      <c r="ACY226" s="922"/>
      <c r="ACZ226" s="922"/>
      <c r="ADA226" s="922"/>
      <c r="ADB226" s="922"/>
      <c r="ADC226" s="922"/>
      <c r="ADD226" s="922"/>
      <c r="ADE226" s="922"/>
      <c r="ADF226" s="922"/>
      <c r="ADG226" s="922"/>
      <c r="ADH226" s="922"/>
      <c r="ADI226" s="922"/>
      <c r="ADJ226" s="922"/>
      <c r="ADK226" s="922"/>
      <c r="ADL226" s="922"/>
      <c r="ADM226" s="922"/>
      <c r="ADN226" s="922"/>
      <c r="ADO226" s="922"/>
      <c r="ADP226" s="922"/>
      <c r="ADQ226" s="922"/>
      <c r="ADR226" s="922"/>
      <c r="ADS226" s="922"/>
      <c r="ADT226" s="922"/>
      <c r="ADU226" s="922"/>
      <c r="ADV226" s="922"/>
      <c r="ADW226" s="922"/>
      <c r="ADX226" s="922"/>
      <c r="ADY226" s="922"/>
      <c r="ADZ226" s="922"/>
      <c r="AEA226" s="922"/>
      <c r="AEB226" s="922"/>
      <c r="AEC226" s="922"/>
      <c r="AED226" s="922"/>
      <c r="AEE226" s="922"/>
      <c r="AEF226" s="922"/>
      <c r="AEG226" s="922"/>
      <c r="AEH226" s="922"/>
      <c r="AEI226" s="922"/>
      <c r="AEJ226" s="922"/>
      <c r="AEK226" s="922"/>
      <c r="AEL226" s="922"/>
      <c r="AEM226" s="922"/>
      <c r="AEN226" s="922"/>
      <c r="AEO226" s="922"/>
      <c r="AEP226" s="922"/>
      <c r="AEQ226" s="922"/>
      <c r="AER226" s="922"/>
      <c r="AES226" s="922"/>
      <c r="AET226" s="922"/>
      <c r="AEU226" s="922"/>
      <c r="AEV226" s="922"/>
      <c r="AEW226" s="922"/>
      <c r="AEX226" s="922"/>
      <c r="AEY226" s="922"/>
      <c r="AEZ226" s="922"/>
      <c r="AFA226" s="922"/>
      <c r="AFB226" s="922"/>
      <c r="AFC226" s="922"/>
      <c r="AFD226" s="922"/>
      <c r="AFE226" s="922"/>
      <c r="AFF226" s="922"/>
      <c r="AFG226" s="922"/>
      <c r="AFH226" s="922"/>
      <c r="AFI226" s="922"/>
      <c r="AFJ226" s="922"/>
      <c r="AFK226" s="922"/>
      <c r="AFL226" s="922"/>
      <c r="AFM226" s="922"/>
      <c r="AFN226" s="922"/>
      <c r="AFO226" s="922"/>
      <c r="AFP226" s="922"/>
      <c r="AFQ226" s="922"/>
      <c r="AFR226" s="922"/>
      <c r="AFS226" s="922"/>
      <c r="AFT226" s="922"/>
      <c r="AFU226" s="922"/>
      <c r="AFV226" s="922"/>
      <c r="AFW226" s="922"/>
      <c r="AFX226" s="922"/>
      <c r="AFY226" s="922"/>
      <c r="AFZ226" s="922"/>
      <c r="AGA226" s="922"/>
      <c r="AGB226" s="922"/>
      <c r="AGC226" s="922"/>
      <c r="AGD226" s="922"/>
      <c r="AGE226" s="922"/>
      <c r="AGF226" s="922"/>
      <c r="AGG226" s="922"/>
      <c r="AGH226" s="922"/>
      <c r="AGI226" s="922"/>
      <c r="AGJ226" s="922"/>
      <c r="AGK226" s="922"/>
      <c r="AGL226" s="922"/>
      <c r="AGM226" s="922"/>
      <c r="AGN226" s="922"/>
      <c r="AGO226" s="922"/>
      <c r="AGP226" s="922"/>
      <c r="AGQ226" s="922"/>
      <c r="AGR226" s="922"/>
      <c r="AGS226" s="922"/>
      <c r="AGT226" s="922"/>
      <c r="AGU226" s="922"/>
      <c r="AGV226" s="922"/>
      <c r="AGW226" s="922"/>
      <c r="AGX226" s="922"/>
      <c r="AGY226" s="922"/>
      <c r="AGZ226" s="922"/>
      <c r="AHA226" s="922"/>
      <c r="AHB226" s="922"/>
      <c r="AHC226" s="922"/>
      <c r="AHD226" s="922"/>
      <c r="AHE226" s="922"/>
      <c r="AHF226" s="922"/>
      <c r="AHG226" s="922"/>
      <c r="AHH226" s="922"/>
      <c r="AHI226" s="922"/>
      <c r="AHJ226" s="922"/>
      <c r="AHK226" s="922"/>
      <c r="AHL226" s="922"/>
      <c r="AHM226" s="922"/>
      <c r="AHN226" s="922"/>
      <c r="AHO226" s="922"/>
      <c r="AHP226" s="922"/>
      <c r="AHQ226" s="922"/>
      <c r="AHR226" s="922"/>
      <c r="AHS226" s="922"/>
      <c r="AHT226" s="922"/>
      <c r="AHU226" s="922"/>
      <c r="AHV226" s="922"/>
      <c r="AHW226" s="922"/>
      <c r="AHX226" s="922"/>
      <c r="AHY226" s="922"/>
      <c r="AHZ226" s="922"/>
      <c r="AIA226" s="922"/>
      <c r="AIB226" s="922"/>
      <c r="AIC226" s="922"/>
      <c r="AID226" s="922"/>
      <c r="AIE226" s="922"/>
      <c r="AIF226" s="922"/>
      <c r="AIG226" s="922"/>
      <c r="AIH226" s="922"/>
      <c r="AII226" s="922"/>
      <c r="AIJ226" s="922"/>
      <c r="AIK226" s="922"/>
      <c r="AIL226" s="922"/>
      <c r="AIM226" s="922"/>
      <c r="AIN226" s="922"/>
      <c r="AIO226" s="922"/>
      <c r="AIP226" s="922"/>
      <c r="AIQ226" s="922"/>
      <c r="AIR226" s="922"/>
      <c r="AIS226" s="922"/>
      <c r="AIT226" s="922"/>
      <c r="AIU226" s="922"/>
      <c r="AIV226" s="922"/>
      <c r="AIW226" s="922"/>
      <c r="AIX226" s="922"/>
      <c r="AIY226" s="922"/>
      <c r="AIZ226" s="922"/>
      <c r="AJA226" s="922"/>
      <c r="AJB226" s="922"/>
      <c r="AJC226" s="922"/>
      <c r="AJD226" s="922"/>
      <c r="AJE226" s="922"/>
      <c r="AJF226" s="922"/>
      <c r="AJG226" s="922"/>
      <c r="AJH226" s="922"/>
      <c r="AJI226" s="922"/>
      <c r="AJJ226" s="922"/>
      <c r="AJK226" s="922"/>
      <c r="AJL226" s="922"/>
      <c r="AJM226" s="922"/>
      <c r="AJN226" s="922"/>
      <c r="AJO226" s="922"/>
      <c r="AJP226" s="922"/>
      <c r="AJQ226" s="922"/>
      <c r="AJR226" s="922"/>
      <c r="AJS226" s="922"/>
      <c r="AJT226" s="922"/>
      <c r="AJU226" s="922"/>
      <c r="AJV226" s="922"/>
      <c r="AJW226" s="922"/>
      <c r="AJX226" s="922"/>
      <c r="AJY226" s="922"/>
      <c r="AJZ226" s="922"/>
      <c r="AKA226" s="922"/>
      <c r="AKB226" s="922"/>
      <c r="AKC226" s="922"/>
      <c r="AKD226" s="922"/>
      <c r="AKE226" s="922"/>
      <c r="AKF226" s="922"/>
      <c r="AKG226" s="922"/>
      <c r="AKH226" s="922"/>
      <c r="AKI226" s="922"/>
      <c r="AKJ226" s="922"/>
      <c r="AKK226" s="922"/>
      <c r="AKL226" s="922"/>
      <c r="AKM226" s="922"/>
      <c r="AKN226" s="922"/>
      <c r="AKO226" s="922"/>
      <c r="AKP226" s="922"/>
      <c r="AKQ226" s="922"/>
      <c r="AKR226" s="922"/>
      <c r="AKS226" s="922"/>
      <c r="AKT226" s="922"/>
      <c r="AKU226" s="922"/>
      <c r="AKV226" s="922"/>
      <c r="AKW226" s="922"/>
      <c r="AKX226" s="922"/>
      <c r="AKY226" s="922"/>
      <c r="AKZ226" s="922"/>
      <c r="ALA226" s="922"/>
      <c r="ALB226" s="922"/>
      <c r="ALC226" s="922"/>
      <c r="ALD226" s="922"/>
      <c r="ALE226" s="922"/>
      <c r="ALF226" s="922"/>
      <c r="ALG226" s="922"/>
      <c r="ALH226" s="922"/>
      <c r="ALI226" s="922"/>
      <c r="ALJ226" s="922"/>
      <c r="ALK226" s="922"/>
      <c r="ALL226" s="922"/>
      <c r="ALM226" s="922"/>
      <c r="ALN226" s="922"/>
      <c r="ALO226" s="922"/>
      <c r="ALP226" s="922"/>
      <c r="ALQ226" s="922"/>
      <c r="ALR226" s="922"/>
      <c r="ALS226" s="922"/>
      <c r="ALT226" s="922"/>
      <c r="ALU226" s="922"/>
      <c r="ALV226" s="922"/>
      <c r="ALW226" s="922"/>
      <c r="ALX226" s="922"/>
      <c r="ALY226" s="922"/>
      <c r="ALZ226" s="922"/>
      <c r="AMA226" s="922"/>
      <c r="AMB226" s="922"/>
      <c r="AMC226" s="922"/>
      <c r="AMD226" s="922"/>
      <c r="AME226" s="922"/>
      <c r="AMF226" s="922"/>
      <c r="AMG226" s="922"/>
      <c r="AMH226" s="922"/>
      <c r="AMI226" s="922"/>
      <c r="AMJ226" s="922"/>
      <c r="AMK226" s="922"/>
      <c r="AML226" s="922"/>
      <c r="AMM226" s="922"/>
      <c r="AMN226" s="922"/>
      <c r="AMO226" s="922"/>
      <c r="AMP226" s="922"/>
      <c r="AMQ226" s="922"/>
      <c r="AMR226" s="922"/>
      <c r="AMS226" s="922"/>
      <c r="AMT226" s="922"/>
      <c r="AMU226" s="922"/>
      <c r="AMV226" s="922"/>
      <c r="AMW226" s="922"/>
      <c r="AMX226" s="922"/>
      <c r="AMY226" s="922"/>
      <c r="AMZ226" s="922"/>
      <c r="ANA226" s="922"/>
      <c r="ANB226" s="922"/>
      <c r="ANC226" s="922"/>
      <c r="AND226" s="922"/>
      <c r="ANE226" s="922"/>
      <c r="ANF226" s="922"/>
      <c r="ANG226" s="922"/>
      <c r="ANH226" s="922"/>
      <c r="ANI226" s="922"/>
      <c r="ANJ226" s="922"/>
      <c r="ANK226" s="922"/>
      <c r="ANL226" s="922"/>
      <c r="ANM226" s="922"/>
      <c r="ANN226" s="922"/>
      <c r="ANO226" s="922"/>
      <c r="ANP226" s="922"/>
      <c r="ANQ226" s="922"/>
      <c r="ANR226" s="922"/>
      <c r="ANS226" s="922"/>
      <c r="ANT226" s="922"/>
      <c r="ANU226" s="922"/>
      <c r="ANV226" s="922"/>
      <c r="ANW226" s="922"/>
      <c r="ANX226" s="922"/>
      <c r="ANY226" s="922"/>
      <c r="ANZ226" s="922"/>
      <c r="AOA226" s="922"/>
      <c r="AOB226" s="922"/>
      <c r="AOC226" s="922"/>
      <c r="AOD226" s="922"/>
      <c r="AOE226" s="922"/>
      <c r="AOF226" s="922"/>
      <c r="AOG226" s="922"/>
      <c r="AOH226" s="922"/>
      <c r="AOI226" s="922"/>
      <c r="AOJ226" s="922"/>
      <c r="AOK226" s="922"/>
      <c r="AOL226" s="922"/>
      <c r="AOM226" s="922"/>
      <c r="AON226" s="922"/>
      <c r="AOO226" s="922"/>
      <c r="AOP226" s="922"/>
      <c r="AOQ226" s="922"/>
      <c r="AOR226" s="922"/>
      <c r="AOS226" s="922"/>
      <c r="AOT226" s="922"/>
      <c r="AOU226" s="922"/>
      <c r="AOV226" s="922"/>
      <c r="AOW226" s="922"/>
      <c r="AOX226" s="922"/>
      <c r="AOY226" s="922"/>
      <c r="AOZ226" s="922"/>
      <c r="APA226" s="922"/>
      <c r="APB226" s="922"/>
      <c r="APC226" s="922"/>
      <c r="APD226" s="922"/>
      <c r="APE226" s="922"/>
      <c r="APF226" s="922"/>
      <c r="APG226" s="922"/>
      <c r="APH226" s="922"/>
      <c r="API226" s="922"/>
      <c r="APJ226" s="922"/>
      <c r="APK226" s="922"/>
      <c r="APL226" s="922"/>
      <c r="APM226" s="922"/>
      <c r="APN226" s="922"/>
      <c r="APO226" s="922"/>
      <c r="APP226" s="922"/>
      <c r="APQ226" s="922"/>
      <c r="APR226" s="922"/>
      <c r="APS226" s="922"/>
      <c r="APT226" s="922"/>
      <c r="APU226" s="922"/>
      <c r="APV226" s="922"/>
      <c r="APW226" s="922"/>
      <c r="APX226" s="922"/>
      <c r="APY226" s="922"/>
      <c r="APZ226" s="922"/>
      <c r="AQA226" s="922"/>
      <c r="AQB226" s="922"/>
      <c r="AQC226" s="922"/>
      <c r="AQD226" s="922"/>
      <c r="AQE226" s="922"/>
      <c r="AQF226" s="922"/>
      <c r="AQG226" s="922"/>
      <c r="AQH226" s="922"/>
      <c r="AQI226" s="922"/>
      <c r="AQJ226" s="922"/>
      <c r="AQK226" s="922"/>
      <c r="AQL226" s="922"/>
      <c r="AQM226" s="922"/>
      <c r="AQN226" s="922"/>
      <c r="AQO226" s="922"/>
      <c r="AQP226" s="922"/>
      <c r="AQQ226" s="922"/>
      <c r="AQR226" s="922"/>
      <c r="AQS226" s="922"/>
      <c r="AQT226" s="922"/>
      <c r="AQU226" s="922"/>
      <c r="AQV226" s="922"/>
      <c r="AQW226" s="922"/>
      <c r="AQX226" s="922"/>
      <c r="AQY226" s="922"/>
      <c r="AQZ226" s="922"/>
      <c r="ARA226" s="922"/>
      <c r="ARB226" s="922"/>
      <c r="ARC226" s="922"/>
      <c r="ARD226" s="922"/>
      <c r="ARE226" s="922"/>
      <c r="ARF226" s="922"/>
      <c r="ARG226" s="922"/>
      <c r="ARH226" s="922"/>
      <c r="ARI226" s="922"/>
      <c r="ARJ226" s="922"/>
      <c r="ARK226" s="922"/>
      <c r="ARL226" s="922"/>
      <c r="ARM226" s="922"/>
      <c r="ARN226" s="922"/>
      <c r="ARO226" s="922"/>
      <c r="ARP226" s="922"/>
      <c r="ARQ226" s="922"/>
      <c r="ARR226" s="922"/>
      <c r="ARS226" s="922"/>
      <c r="ART226" s="922"/>
      <c r="ARU226" s="922"/>
      <c r="ARV226" s="922"/>
      <c r="ARW226" s="922"/>
      <c r="ARX226" s="922"/>
      <c r="ARY226" s="922"/>
      <c r="ARZ226" s="922"/>
      <c r="ASA226" s="922"/>
      <c r="ASB226" s="922"/>
      <c r="ASC226" s="922"/>
    </row>
    <row r="227" spans="20:1173" hidden="1">
      <c r="T227" s="922"/>
      <c r="AN227" s="922"/>
      <c r="AO227" s="922"/>
      <c r="AP227" s="922"/>
      <c r="AQ227" s="922"/>
      <c r="AR227" s="922"/>
      <c r="AS227" s="922"/>
      <c r="AT227" s="922"/>
      <c r="AU227" s="922"/>
      <c r="AV227" s="922"/>
      <c r="AW227" s="922"/>
      <c r="AX227" s="922"/>
      <c r="AY227" s="922"/>
      <c r="AZ227" s="922"/>
      <c r="BA227" s="922"/>
      <c r="BB227" s="922"/>
      <c r="BC227" s="922"/>
      <c r="BD227" s="922"/>
      <c r="BE227" s="922"/>
      <c r="BF227" s="922"/>
      <c r="BG227" s="922"/>
      <c r="BH227" s="922"/>
      <c r="BI227" s="922"/>
      <c r="BJ227" s="922"/>
      <c r="BK227" s="922"/>
      <c r="BL227" s="922"/>
      <c r="BM227" s="922"/>
      <c r="BN227" s="922"/>
      <c r="BO227" s="922"/>
      <c r="BP227" s="922"/>
      <c r="BQ227" s="922"/>
      <c r="BR227" s="922"/>
      <c r="BS227" s="922"/>
      <c r="BT227" s="922"/>
      <c r="BU227" s="922"/>
      <c r="BV227" s="922"/>
      <c r="BW227" s="922"/>
      <c r="BX227" s="922"/>
      <c r="BY227" s="922"/>
      <c r="BZ227" s="922"/>
      <c r="CA227" s="922"/>
      <c r="CB227" s="922"/>
      <c r="CC227" s="922"/>
      <c r="CD227" s="922"/>
      <c r="CE227" s="922"/>
      <c r="CF227" s="922"/>
      <c r="CG227" s="922"/>
      <c r="CH227" s="922"/>
      <c r="CI227" s="922"/>
      <c r="CJ227" s="922"/>
      <c r="CK227" s="922"/>
      <c r="CL227" s="922"/>
      <c r="CM227" s="922"/>
      <c r="CN227" s="922"/>
      <c r="CO227" s="922"/>
      <c r="CP227" s="922"/>
      <c r="CQ227" s="922"/>
      <c r="CR227" s="922"/>
      <c r="CS227" s="922"/>
      <c r="CT227" s="922"/>
      <c r="CU227" s="922"/>
      <c r="CV227" s="922"/>
      <c r="CW227" s="922"/>
      <c r="CX227" s="922"/>
      <c r="CY227" s="922"/>
      <c r="CZ227" s="922"/>
      <c r="DA227" s="922"/>
      <c r="DB227" s="922"/>
      <c r="DC227" s="922"/>
      <c r="DD227" s="922"/>
      <c r="DE227" s="922"/>
      <c r="DF227" s="922"/>
      <c r="DG227" s="922"/>
      <c r="DH227" s="922"/>
      <c r="DI227" s="922"/>
      <c r="DJ227" s="922"/>
      <c r="DK227" s="922"/>
      <c r="DL227" s="922"/>
      <c r="DM227" s="922"/>
      <c r="DN227" s="922"/>
      <c r="DO227" s="922"/>
      <c r="DP227" s="922"/>
      <c r="DQ227" s="922"/>
      <c r="DR227" s="922"/>
      <c r="DS227" s="922"/>
      <c r="DT227" s="922"/>
      <c r="DU227" s="922"/>
      <c r="DV227" s="922"/>
      <c r="DW227" s="922"/>
      <c r="DX227" s="922"/>
      <c r="DY227" s="922"/>
      <c r="DZ227" s="922"/>
      <c r="EA227" s="922"/>
      <c r="EB227" s="922"/>
      <c r="EC227" s="922"/>
      <c r="ED227" s="922"/>
      <c r="EE227" s="922"/>
      <c r="EF227" s="922"/>
      <c r="EG227" s="922"/>
      <c r="EH227" s="922"/>
      <c r="EI227" s="922"/>
      <c r="EJ227" s="922"/>
      <c r="EK227" s="922"/>
      <c r="EL227" s="922"/>
      <c r="EM227" s="922"/>
      <c r="EN227" s="922"/>
      <c r="EO227" s="922"/>
      <c r="EP227" s="922"/>
      <c r="EQ227" s="922"/>
      <c r="ER227" s="922"/>
      <c r="ES227" s="922"/>
      <c r="ET227" s="922"/>
      <c r="EU227" s="922"/>
      <c r="EV227" s="922"/>
      <c r="EW227" s="922"/>
      <c r="EX227" s="922"/>
      <c r="EY227" s="922"/>
      <c r="EZ227" s="922"/>
      <c r="FA227" s="922"/>
      <c r="FB227" s="922"/>
      <c r="FC227" s="922"/>
      <c r="FD227" s="922"/>
      <c r="FE227" s="922"/>
      <c r="FF227" s="922"/>
      <c r="FG227" s="922"/>
      <c r="FH227" s="922"/>
      <c r="FI227" s="922"/>
      <c r="FJ227" s="922"/>
      <c r="FK227" s="922"/>
      <c r="FL227" s="922"/>
      <c r="FM227" s="922"/>
      <c r="FN227" s="922"/>
      <c r="FO227" s="922"/>
      <c r="FP227" s="922"/>
      <c r="FQ227" s="922"/>
      <c r="FR227" s="922"/>
      <c r="FS227" s="922"/>
      <c r="FT227" s="922"/>
      <c r="FU227" s="922"/>
      <c r="FV227" s="922"/>
      <c r="FW227" s="922"/>
      <c r="FX227" s="922"/>
      <c r="FY227" s="922"/>
      <c r="FZ227" s="922"/>
      <c r="GA227" s="922"/>
      <c r="GB227" s="922"/>
      <c r="GC227" s="922"/>
      <c r="GD227" s="922"/>
      <c r="GE227" s="922"/>
      <c r="GF227" s="922"/>
      <c r="GG227" s="922"/>
      <c r="GH227" s="922"/>
      <c r="GI227" s="922"/>
      <c r="GJ227" s="922"/>
      <c r="GK227" s="922"/>
      <c r="GL227" s="922"/>
      <c r="GM227" s="922"/>
      <c r="GN227" s="922"/>
      <c r="GO227" s="922"/>
      <c r="GP227" s="922"/>
      <c r="GQ227" s="922"/>
      <c r="GR227" s="922"/>
      <c r="GS227" s="922"/>
      <c r="GT227" s="922"/>
      <c r="GU227" s="922"/>
      <c r="GV227" s="922"/>
      <c r="GW227" s="922"/>
      <c r="GX227" s="922"/>
      <c r="GY227" s="922"/>
      <c r="GZ227" s="922"/>
      <c r="HA227" s="922"/>
      <c r="HB227" s="922"/>
      <c r="HC227" s="922"/>
      <c r="HD227" s="922"/>
      <c r="HE227" s="922"/>
      <c r="HF227" s="922"/>
      <c r="HG227" s="922"/>
      <c r="HH227" s="922"/>
      <c r="HI227" s="922"/>
      <c r="HJ227" s="922"/>
      <c r="HK227" s="922"/>
      <c r="HL227" s="922"/>
      <c r="HM227" s="922"/>
      <c r="HN227" s="922"/>
      <c r="HO227" s="922"/>
      <c r="HP227" s="922"/>
      <c r="HQ227" s="922"/>
      <c r="HR227" s="922"/>
      <c r="HS227" s="922"/>
      <c r="HT227" s="922"/>
      <c r="HU227" s="922"/>
      <c r="HV227" s="922"/>
      <c r="HW227" s="922"/>
      <c r="HX227" s="922"/>
      <c r="HY227" s="922"/>
      <c r="HZ227" s="922"/>
      <c r="IA227" s="922"/>
      <c r="IB227" s="922"/>
      <c r="IC227" s="922"/>
      <c r="ID227" s="922"/>
      <c r="IE227" s="922"/>
      <c r="IF227" s="922"/>
      <c r="IG227" s="922"/>
      <c r="IH227" s="922"/>
      <c r="II227" s="922"/>
      <c r="IJ227" s="922"/>
      <c r="IK227" s="922"/>
      <c r="IL227" s="922"/>
      <c r="IM227" s="922"/>
      <c r="IN227" s="922"/>
      <c r="IO227" s="922"/>
      <c r="IP227" s="922"/>
      <c r="IQ227" s="922"/>
      <c r="IR227" s="922"/>
      <c r="IS227" s="922"/>
      <c r="IT227" s="922"/>
      <c r="IU227" s="922"/>
      <c r="IV227" s="922"/>
      <c r="IW227" s="922"/>
      <c r="IX227" s="922"/>
      <c r="IY227" s="922"/>
      <c r="IZ227" s="922"/>
      <c r="JA227" s="922"/>
      <c r="JB227" s="922"/>
      <c r="JC227" s="922"/>
      <c r="JD227" s="922"/>
      <c r="JE227" s="922"/>
      <c r="JF227" s="922"/>
      <c r="JG227" s="922"/>
      <c r="JH227" s="922"/>
      <c r="JI227" s="922"/>
      <c r="JJ227" s="922"/>
      <c r="JK227" s="922"/>
      <c r="JL227" s="922"/>
      <c r="JM227" s="922"/>
      <c r="JN227" s="922"/>
      <c r="JO227" s="922"/>
      <c r="JP227" s="922"/>
      <c r="JQ227" s="922"/>
      <c r="JR227" s="922"/>
      <c r="JS227" s="922"/>
      <c r="JT227" s="922"/>
      <c r="JU227" s="922"/>
      <c r="JV227" s="922"/>
      <c r="JW227" s="922"/>
      <c r="JX227" s="922"/>
      <c r="JY227" s="922"/>
      <c r="JZ227" s="922"/>
      <c r="KA227" s="922"/>
      <c r="KB227" s="922"/>
      <c r="KC227" s="922"/>
      <c r="KD227" s="922"/>
      <c r="KE227" s="922"/>
      <c r="KF227" s="922"/>
      <c r="KG227" s="922"/>
      <c r="KH227" s="922"/>
      <c r="KI227" s="922"/>
      <c r="KJ227" s="922"/>
      <c r="KK227" s="922"/>
      <c r="KL227" s="922"/>
      <c r="KM227" s="922"/>
      <c r="KN227" s="922"/>
      <c r="KO227" s="922"/>
      <c r="KP227" s="922"/>
      <c r="KQ227" s="922"/>
      <c r="KR227" s="922"/>
      <c r="KS227" s="922"/>
      <c r="KT227" s="922"/>
      <c r="KU227" s="922"/>
      <c r="KV227" s="922"/>
      <c r="KW227" s="922"/>
      <c r="KX227" s="922"/>
      <c r="KY227" s="922"/>
      <c r="KZ227" s="922"/>
      <c r="LA227" s="922"/>
      <c r="LB227" s="922"/>
      <c r="LC227" s="922"/>
      <c r="LD227" s="922"/>
      <c r="LE227" s="922"/>
      <c r="LF227" s="922"/>
      <c r="LG227" s="922"/>
      <c r="LH227" s="922"/>
      <c r="LI227" s="922"/>
      <c r="LJ227" s="922"/>
      <c r="LK227" s="922"/>
      <c r="LL227" s="922"/>
      <c r="LM227" s="922"/>
      <c r="LN227" s="922"/>
      <c r="LO227" s="922"/>
      <c r="LP227" s="922"/>
      <c r="LQ227" s="922"/>
      <c r="LR227" s="922"/>
      <c r="LS227" s="922"/>
      <c r="LT227" s="922"/>
      <c r="LU227" s="922"/>
      <c r="LV227" s="922"/>
      <c r="LW227" s="922"/>
      <c r="LX227" s="922"/>
      <c r="LY227" s="922"/>
      <c r="LZ227" s="922"/>
      <c r="MA227" s="922"/>
      <c r="MB227" s="922"/>
      <c r="MC227" s="922"/>
      <c r="MD227" s="922"/>
      <c r="ME227" s="922"/>
      <c r="MF227" s="922"/>
      <c r="MG227" s="922"/>
      <c r="MH227" s="922"/>
      <c r="MI227" s="922"/>
      <c r="MJ227" s="922"/>
      <c r="MK227" s="922"/>
      <c r="ML227" s="922"/>
      <c r="MM227" s="922"/>
      <c r="MN227" s="922"/>
      <c r="MO227" s="922"/>
      <c r="MP227" s="922"/>
      <c r="MQ227" s="922"/>
      <c r="MR227" s="922"/>
      <c r="MS227" s="922"/>
      <c r="MT227" s="922"/>
      <c r="MU227" s="922"/>
      <c r="MV227" s="922"/>
      <c r="MW227" s="922"/>
      <c r="MX227" s="922"/>
      <c r="MY227" s="922"/>
      <c r="MZ227" s="922"/>
      <c r="NA227" s="922"/>
      <c r="NB227" s="922"/>
      <c r="NC227" s="922"/>
      <c r="ND227" s="922"/>
      <c r="NE227" s="922"/>
      <c r="NF227" s="922"/>
      <c r="NG227" s="922"/>
      <c r="NH227" s="922"/>
      <c r="NI227" s="922"/>
      <c r="NJ227" s="922"/>
      <c r="NK227" s="922"/>
      <c r="NL227" s="922"/>
      <c r="NM227" s="922"/>
      <c r="NN227" s="922"/>
      <c r="NO227" s="922"/>
      <c r="NP227" s="922"/>
      <c r="NQ227" s="922"/>
      <c r="NR227" s="922"/>
      <c r="NS227" s="922"/>
      <c r="NT227" s="922"/>
      <c r="NU227" s="922"/>
      <c r="NV227" s="922"/>
      <c r="NW227" s="922"/>
      <c r="NX227" s="922"/>
      <c r="NY227" s="922"/>
      <c r="NZ227" s="922"/>
      <c r="OA227" s="922"/>
      <c r="OB227" s="922"/>
      <c r="OC227" s="922"/>
      <c r="OD227" s="922"/>
      <c r="OE227" s="922"/>
      <c r="OF227" s="922"/>
      <c r="OG227" s="922"/>
      <c r="OH227" s="922"/>
      <c r="OI227" s="922"/>
      <c r="OJ227" s="922"/>
      <c r="OK227" s="922"/>
      <c r="OL227" s="922"/>
      <c r="OM227" s="922"/>
      <c r="ON227" s="922"/>
      <c r="OO227" s="922"/>
      <c r="OP227" s="922"/>
      <c r="OQ227" s="922"/>
      <c r="OR227" s="922"/>
      <c r="OS227" s="922"/>
      <c r="OT227" s="922"/>
      <c r="OU227" s="922"/>
      <c r="OV227" s="922"/>
      <c r="OW227" s="922"/>
      <c r="OX227" s="922"/>
      <c r="OY227" s="922"/>
      <c r="OZ227" s="922"/>
      <c r="PA227" s="922"/>
      <c r="PB227" s="922"/>
      <c r="PC227" s="922"/>
      <c r="PD227" s="922"/>
      <c r="PE227" s="922"/>
      <c r="PF227" s="922"/>
      <c r="PG227" s="922"/>
      <c r="PH227" s="922"/>
      <c r="PI227" s="922"/>
      <c r="PJ227" s="922"/>
      <c r="PK227" s="922"/>
      <c r="PL227" s="922"/>
      <c r="PM227" s="922"/>
      <c r="PN227" s="922"/>
      <c r="PO227" s="922"/>
      <c r="PP227" s="922"/>
      <c r="PQ227" s="922"/>
      <c r="PR227" s="922"/>
      <c r="PS227" s="922"/>
      <c r="PT227" s="922"/>
      <c r="PU227" s="922"/>
      <c r="PV227" s="922"/>
      <c r="PW227" s="922"/>
      <c r="PX227" s="922"/>
      <c r="PY227" s="922"/>
      <c r="PZ227" s="922"/>
      <c r="QA227" s="922"/>
      <c r="QB227" s="922"/>
      <c r="QC227" s="922"/>
      <c r="QD227" s="922"/>
      <c r="QE227" s="922"/>
      <c r="QF227" s="922"/>
      <c r="QG227" s="922"/>
      <c r="QH227" s="922"/>
      <c r="QI227" s="922"/>
      <c r="QJ227" s="922"/>
      <c r="QK227" s="922"/>
      <c r="QL227" s="922"/>
      <c r="QM227" s="922"/>
      <c r="QN227" s="922"/>
      <c r="QO227" s="922"/>
      <c r="QP227" s="922"/>
      <c r="QQ227" s="922"/>
      <c r="QR227" s="922"/>
      <c r="QS227" s="922"/>
      <c r="QT227" s="922"/>
      <c r="QU227" s="922"/>
      <c r="QV227" s="922"/>
      <c r="QW227" s="922"/>
      <c r="QX227" s="922"/>
      <c r="QY227" s="922"/>
      <c r="QZ227" s="922"/>
      <c r="RA227" s="922"/>
      <c r="RB227" s="922"/>
      <c r="RC227" s="922"/>
      <c r="RD227" s="922"/>
      <c r="RE227" s="922"/>
      <c r="RF227" s="922"/>
      <c r="RG227" s="922"/>
      <c r="RH227" s="922"/>
      <c r="RI227" s="922"/>
      <c r="RJ227" s="922"/>
      <c r="RK227" s="922"/>
      <c r="RL227" s="922"/>
      <c r="RM227" s="922"/>
      <c r="RN227" s="922"/>
      <c r="RO227" s="922"/>
      <c r="RP227" s="922"/>
      <c r="RQ227" s="922"/>
      <c r="RR227" s="922"/>
      <c r="RS227" s="922"/>
      <c r="RT227" s="922"/>
      <c r="RU227" s="922"/>
      <c r="RV227" s="922"/>
      <c r="RW227" s="922"/>
      <c r="RX227" s="922"/>
      <c r="RY227" s="922"/>
      <c r="RZ227" s="922"/>
      <c r="SA227" s="922"/>
      <c r="SB227" s="922"/>
      <c r="SC227" s="922"/>
      <c r="SD227" s="922"/>
      <c r="SE227" s="922"/>
      <c r="SF227" s="922"/>
      <c r="SG227" s="922"/>
      <c r="SH227" s="922"/>
      <c r="SI227" s="922"/>
      <c r="SJ227" s="922"/>
      <c r="SK227" s="922"/>
      <c r="SL227" s="922"/>
      <c r="SM227" s="922"/>
      <c r="SN227" s="922"/>
      <c r="SO227" s="922"/>
      <c r="SP227" s="922"/>
      <c r="SQ227" s="922"/>
      <c r="SR227" s="922"/>
      <c r="SS227" s="922"/>
      <c r="ST227" s="922"/>
      <c r="SU227" s="922"/>
      <c r="SV227" s="922"/>
      <c r="SW227" s="922"/>
      <c r="SX227" s="922"/>
      <c r="SY227" s="922"/>
      <c r="SZ227" s="922"/>
      <c r="TA227" s="922"/>
      <c r="TB227" s="922"/>
      <c r="TC227" s="922"/>
      <c r="TD227" s="922"/>
      <c r="TE227" s="922"/>
      <c r="TF227" s="922"/>
      <c r="TG227" s="922"/>
      <c r="TH227" s="922"/>
      <c r="TI227" s="922"/>
      <c r="TJ227" s="922"/>
      <c r="TK227" s="922"/>
      <c r="TL227" s="922"/>
      <c r="TM227" s="922"/>
      <c r="TN227" s="922"/>
      <c r="TO227" s="922"/>
      <c r="TP227" s="922"/>
      <c r="TQ227" s="922"/>
      <c r="TR227" s="922"/>
      <c r="TS227" s="922"/>
      <c r="TT227" s="922"/>
      <c r="TU227" s="922"/>
      <c r="TV227" s="922"/>
      <c r="TW227" s="922"/>
      <c r="TX227" s="922"/>
      <c r="TY227" s="922"/>
      <c r="TZ227" s="922"/>
      <c r="UA227" s="922"/>
      <c r="UB227" s="922"/>
      <c r="UC227" s="922"/>
      <c r="UD227" s="922"/>
      <c r="UE227" s="922"/>
      <c r="UF227" s="922"/>
      <c r="UG227" s="922"/>
      <c r="UH227" s="922"/>
      <c r="UI227" s="922"/>
      <c r="UJ227" s="922"/>
      <c r="UK227" s="922"/>
      <c r="UL227" s="922"/>
      <c r="UM227" s="922"/>
      <c r="UN227" s="922"/>
      <c r="UO227" s="922"/>
      <c r="UP227" s="922"/>
      <c r="UQ227" s="922"/>
      <c r="UR227" s="922"/>
      <c r="US227" s="922"/>
      <c r="UT227" s="922"/>
      <c r="UU227" s="922"/>
      <c r="UV227" s="922"/>
      <c r="UW227" s="922"/>
      <c r="UX227" s="922"/>
      <c r="UY227" s="922"/>
      <c r="UZ227" s="922"/>
      <c r="VA227" s="922"/>
      <c r="VB227" s="922"/>
      <c r="VC227" s="922"/>
      <c r="VD227" s="922"/>
      <c r="VE227" s="922"/>
      <c r="VF227" s="922"/>
      <c r="VG227" s="922"/>
      <c r="VH227" s="922"/>
      <c r="VI227" s="922"/>
      <c r="VJ227" s="922"/>
      <c r="VK227" s="922"/>
      <c r="VL227" s="922"/>
      <c r="VM227" s="922"/>
      <c r="VN227" s="922"/>
      <c r="VO227" s="922"/>
      <c r="VP227" s="922"/>
      <c r="VQ227" s="922"/>
      <c r="VR227" s="922"/>
      <c r="VS227" s="922"/>
      <c r="VT227" s="922"/>
      <c r="VU227" s="922"/>
      <c r="VV227" s="922"/>
      <c r="VW227" s="922"/>
      <c r="VX227" s="922"/>
      <c r="VY227" s="922"/>
      <c r="VZ227" s="922"/>
      <c r="WA227" s="922"/>
      <c r="WB227" s="922"/>
      <c r="WC227" s="922"/>
      <c r="WD227" s="922"/>
      <c r="WE227" s="922"/>
      <c r="WF227" s="922"/>
      <c r="WG227" s="922"/>
      <c r="WH227" s="922"/>
      <c r="WI227" s="922"/>
      <c r="WJ227" s="922"/>
      <c r="WK227" s="922"/>
      <c r="WL227" s="922"/>
      <c r="WM227" s="922"/>
      <c r="WN227" s="922"/>
      <c r="WO227" s="922"/>
      <c r="WP227" s="922"/>
      <c r="WQ227" s="922"/>
      <c r="WR227" s="922"/>
      <c r="WS227" s="922"/>
      <c r="WT227" s="922"/>
      <c r="WU227" s="922"/>
      <c r="WV227" s="922"/>
      <c r="WW227" s="922"/>
      <c r="WX227" s="922"/>
      <c r="WY227" s="922"/>
      <c r="WZ227" s="922"/>
      <c r="XA227" s="922"/>
      <c r="XB227" s="922"/>
      <c r="XC227" s="922"/>
      <c r="XD227" s="922"/>
      <c r="XE227" s="922"/>
      <c r="XF227" s="922"/>
      <c r="XG227" s="922"/>
      <c r="XH227" s="922"/>
      <c r="XI227" s="922"/>
      <c r="XJ227" s="922"/>
      <c r="XK227" s="922"/>
      <c r="XL227" s="922"/>
      <c r="XM227" s="922"/>
      <c r="XN227" s="922"/>
      <c r="XO227" s="922"/>
      <c r="XP227" s="922"/>
      <c r="XQ227" s="922"/>
      <c r="XR227" s="922"/>
      <c r="XS227" s="922"/>
      <c r="XT227" s="922"/>
      <c r="XU227" s="922"/>
      <c r="XV227" s="922"/>
      <c r="XW227" s="922"/>
      <c r="XX227" s="922"/>
      <c r="XY227" s="922"/>
      <c r="XZ227" s="922"/>
      <c r="YA227" s="922"/>
      <c r="YB227" s="922"/>
      <c r="YC227" s="922"/>
      <c r="YD227" s="922"/>
      <c r="YE227" s="922"/>
      <c r="YF227" s="922"/>
      <c r="YG227" s="922"/>
      <c r="YH227" s="922"/>
      <c r="YI227" s="922"/>
      <c r="YJ227" s="922"/>
      <c r="YK227" s="922"/>
      <c r="YL227" s="922"/>
      <c r="YM227" s="922"/>
      <c r="YN227" s="922"/>
      <c r="YO227" s="922"/>
      <c r="YP227" s="922"/>
      <c r="YQ227" s="922"/>
      <c r="YR227" s="922"/>
      <c r="YS227" s="922"/>
      <c r="YT227" s="922"/>
      <c r="YU227" s="922"/>
      <c r="YV227" s="922"/>
      <c r="YW227" s="922"/>
      <c r="YX227" s="922"/>
      <c r="YY227" s="922"/>
      <c r="YZ227" s="922"/>
      <c r="ZA227" s="922"/>
      <c r="ZB227" s="922"/>
      <c r="ZC227" s="922"/>
      <c r="ZD227" s="922"/>
      <c r="ZE227" s="922"/>
      <c r="ZF227" s="922"/>
      <c r="ZG227" s="922"/>
      <c r="ZH227" s="922"/>
      <c r="ZI227" s="922"/>
      <c r="ZJ227" s="922"/>
      <c r="ZK227" s="922"/>
      <c r="ZL227" s="922"/>
      <c r="ZM227" s="922"/>
      <c r="ZN227" s="922"/>
      <c r="ZO227" s="922"/>
      <c r="ZP227" s="922"/>
      <c r="ZQ227" s="922"/>
      <c r="ZR227" s="922"/>
      <c r="ZS227" s="922"/>
      <c r="ZT227" s="922"/>
      <c r="ZU227" s="922"/>
      <c r="ZV227" s="922"/>
      <c r="ZW227" s="922"/>
      <c r="ZX227" s="922"/>
      <c r="ZY227" s="922"/>
      <c r="ZZ227" s="922"/>
      <c r="AAA227" s="922"/>
      <c r="AAB227" s="922"/>
      <c r="AAC227" s="922"/>
      <c r="AAD227" s="922"/>
      <c r="AAE227" s="922"/>
      <c r="AAF227" s="922"/>
      <c r="AAG227" s="922"/>
      <c r="AAH227" s="922"/>
      <c r="AAI227" s="922"/>
      <c r="AAJ227" s="922"/>
      <c r="AAK227" s="922"/>
      <c r="AAL227" s="922"/>
      <c r="AAM227" s="922"/>
      <c r="AAN227" s="922"/>
      <c r="AAO227" s="922"/>
      <c r="AAP227" s="922"/>
      <c r="AAQ227" s="922"/>
      <c r="AAR227" s="922"/>
      <c r="AAS227" s="922"/>
      <c r="AAT227" s="922"/>
      <c r="AAU227" s="922"/>
      <c r="AAV227" s="922"/>
      <c r="AAW227" s="922"/>
      <c r="AAX227" s="922"/>
      <c r="AAY227" s="922"/>
      <c r="AAZ227" s="922"/>
      <c r="ABA227" s="922"/>
      <c r="ABB227" s="922"/>
      <c r="ABC227" s="922"/>
      <c r="ABD227" s="922"/>
      <c r="ABE227" s="922"/>
      <c r="ABF227" s="922"/>
      <c r="ABG227" s="922"/>
      <c r="ABH227" s="922"/>
      <c r="ABI227" s="922"/>
      <c r="ABJ227" s="922"/>
      <c r="ABK227" s="922"/>
      <c r="ABL227" s="922"/>
      <c r="ABM227" s="922"/>
      <c r="ABN227" s="922"/>
      <c r="ABO227" s="922"/>
      <c r="ABP227" s="922"/>
      <c r="ABQ227" s="922"/>
      <c r="ABR227" s="922"/>
      <c r="ABS227" s="922"/>
      <c r="ABT227" s="922"/>
      <c r="ABU227" s="922"/>
      <c r="ABV227" s="922"/>
      <c r="ABW227" s="922"/>
      <c r="ABX227" s="922"/>
      <c r="ABY227" s="922"/>
      <c r="ABZ227" s="922"/>
      <c r="ACA227" s="922"/>
      <c r="ACB227" s="922"/>
      <c r="ACC227" s="922"/>
      <c r="ACD227" s="922"/>
      <c r="ACE227" s="922"/>
      <c r="ACF227" s="922"/>
      <c r="ACG227" s="922"/>
      <c r="ACH227" s="922"/>
      <c r="ACI227" s="922"/>
      <c r="ACJ227" s="922"/>
      <c r="ACK227" s="922"/>
      <c r="ACL227" s="922"/>
      <c r="ACM227" s="922"/>
      <c r="ACN227" s="922"/>
      <c r="ACO227" s="922"/>
      <c r="ACP227" s="922"/>
      <c r="ACQ227" s="922"/>
      <c r="ACR227" s="922"/>
      <c r="ACS227" s="922"/>
      <c r="ACT227" s="922"/>
      <c r="ACU227" s="922"/>
      <c r="ACV227" s="922"/>
      <c r="ACW227" s="922"/>
      <c r="ACX227" s="922"/>
      <c r="ACY227" s="922"/>
      <c r="ACZ227" s="922"/>
      <c r="ADA227" s="922"/>
      <c r="ADB227" s="922"/>
      <c r="ADC227" s="922"/>
      <c r="ADD227" s="922"/>
      <c r="ADE227" s="922"/>
      <c r="ADF227" s="922"/>
      <c r="ADG227" s="922"/>
      <c r="ADH227" s="922"/>
      <c r="ADI227" s="922"/>
      <c r="ADJ227" s="922"/>
      <c r="ADK227" s="922"/>
      <c r="ADL227" s="922"/>
      <c r="ADM227" s="922"/>
      <c r="ADN227" s="922"/>
      <c r="ADO227" s="922"/>
      <c r="ADP227" s="922"/>
      <c r="ADQ227" s="922"/>
      <c r="ADR227" s="922"/>
      <c r="ADS227" s="922"/>
      <c r="ADT227" s="922"/>
      <c r="ADU227" s="922"/>
      <c r="ADV227" s="922"/>
      <c r="ADW227" s="922"/>
      <c r="ADX227" s="922"/>
      <c r="ADY227" s="922"/>
      <c r="ADZ227" s="922"/>
      <c r="AEA227" s="922"/>
      <c r="AEB227" s="922"/>
      <c r="AEC227" s="922"/>
      <c r="AED227" s="922"/>
      <c r="AEE227" s="922"/>
      <c r="AEF227" s="922"/>
      <c r="AEG227" s="922"/>
      <c r="AEH227" s="922"/>
      <c r="AEI227" s="922"/>
      <c r="AEJ227" s="922"/>
      <c r="AEK227" s="922"/>
      <c r="AEL227" s="922"/>
      <c r="AEM227" s="922"/>
      <c r="AEN227" s="922"/>
      <c r="AEO227" s="922"/>
      <c r="AEP227" s="922"/>
      <c r="AEQ227" s="922"/>
      <c r="AER227" s="922"/>
      <c r="AES227" s="922"/>
      <c r="AET227" s="922"/>
      <c r="AEU227" s="922"/>
      <c r="AEV227" s="922"/>
      <c r="AEW227" s="922"/>
      <c r="AEX227" s="922"/>
      <c r="AEY227" s="922"/>
      <c r="AEZ227" s="922"/>
      <c r="AFA227" s="922"/>
      <c r="AFB227" s="922"/>
      <c r="AFC227" s="922"/>
      <c r="AFD227" s="922"/>
      <c r="AFE227" s="922"/>
      <c r="AFF227" s="922"/>
      <c r="AFG227" s="922"/>
      <c r="AFH227" s="922"/>
      <c r="AFI227" s="922"/>
      <c r="AFJ227" s="922"/>
      <c r="AFK227" s="922"/>
      <c r="AFL227" s="922"/>
      <c r="AFM227" s="922"/>
      <c r="AFN227" s="922"/>
      <c r="AFO227" s="922"/>
      <c r="AFP227" s="922"/>
      <c r="AFQ227" s="922"/>
      <c r="AFR227" s="922"/>
      <c r="AFS227" s="922"/>
      <c r="AFT227" s="922"/>
      <c r="AFU227" s="922"/>
      <c r="AFV227" s="922"/>
      <c r="AFW227" s="922"/>
      <c r="AFX227" s="922"/>
      <c r="AFY227" s="922"/>
      <c r="AFZ227" s="922"/>
      <c r="AGA227" s="922"/>
      <c r="AGB227" s="922"/>
      <c r="AGC227" s="922"/>
      <c r="AGD227" s="922"/>
      <c r="AGE227" s="922"/>
      <c r="AGF227" s="922"/>
      <c r="AGG227" s="922"/>
      <c r="AGH227" s="922"/>
      <c r="AGI227" s="922"/>
      <c r="AGJ227" s="922"/>
      <c r="AGK227" s="922"/>
      <c r="AGL227" s="922"/>
      <c r="AGM227" s="922"/>
      <c r="AGN227" s="922"/>
      <c r="AGO227" s="922"/>
      <c r="AGP227" s="922"/>
      <c r="AGQ227" s="922"/>
      <c r="AGR227" s="922"/>
      <c r="AGS227" s="922"/>
      <c r="AGT227" s="922"/>
      <c r="AGU227" s="922"/>
      <c r="AGV227" s="922"/>
      <c r="AGW227" s="922"/>
      <c r="AGX227" s="922"/>
      <c r="AGY227" s="922"/>
      <c r="AGZ227" s="922"/>
      <c r="AHA227" s="922"/>
      <c r="AHB227" s="922"/>
      <c r="AHC227" s="922"/>
      <c r="AHD227" s="922"/>
      <c r="AHE227" s="922"/>
      <c r="AHF227" s="922"/>
      <c r="AHG227" s="922"/>
      <c r="AHH227" s="922"/>
      <c r="AHI227" s="922"/>
      <c r="AHJ227" s="922"/>
      <c r="AHK227" s="922"/>
      <c r="AHL227" s="922"/>
      <c r="AHM227" s="922"/>
      <c r="AHN227" s="922"/>
      <c r="AHO227" s="922"/>
      <c r="AHP227" s="922"/>
      <c r="AHQ227" s="922"/>
      <c r="AHR227" s="922"/>
      <c r="AHS227" s="922"/>
      <c r="AHT227" s="922"/>
      <c r="AHU227" s="922"/>
      <c r="AHV227" s="922"/>
      <c r="AHW227" s="922"/>
      <c r="AHX227" s="922"/>
      <c r="AHY227" s="922"/>
      <c r="AHZ227" s="922"/>
      <c r="AIA227" s="922"/>
      <c r="AIB227" s="922"/>
      <c r="AIC227" s="922"/>
      <c r="AID227" s="922"/>
      <c r="AIE227" s="922"/>
      <c r="AIF227" s="922"/>
      <c r="AIG227" s="922"/>
      <c r="AIH227" s="922"/>
      <c r="AII227" s="922"/>
      <c r="AIJ227" s="922"/>
      <c r="AIK227" s="922"/>
      <c r="AIL227" s="922"/>
      <c r="AIM227" s="922"/>
      <c r="AIN227" s="922"/>
      <c r="AIO227" s="922"/>
      <c r="AIP227" s="922"/>
      <c r="AIQ227" s="922"/>
      <c r="AIR227" s="922"/>
      <c r="AIS227" s="922"/>
      <c r="AIT227" s="922"/>
      <c r="AIU227" s="922"/>
      <c r="AIV227" s="922"/>
      <c r="AIW227" s="922"/>
      <c r="AIX227" s="922"/>
      <c r="AIY227" s="922"/>
      <c r="AIZ227" s="922"/>
      <c r="AJA227" s="922"/>
      <c r="AJB227" s="922"/>
      <c r="AJC227" s="922"/>
      <c r="AJD227" s="922"/>
      <c r="AJE227" s="922"/>
      <c r="AJF227" s="922"/>
      <c r="AJG227" s="922"/>
      <c r="AJH227" s="922"/>
      <c r="AJI227" s="922"/>
      <c r="AJJ227" s="922"/>
      <c r="AJK227" s="922"/>
      <c r="AJL227" s="922"/>
      <c r="AJM227" s="922"/>
      <c r="AJN227" s="922"/>
      <c r="AJO227" s="922"/>
      <c r="AJP227" s="922"/>
      <c r="AJQ227" s="922"/>
      <c r="AJR227" s="922"/>
      <c r="AJS227" s="922"/>
      <c r="AJT227" s="922"/>
      <c r="AJU227" s="922"/>
      <c r="AJV227" s="922"/>
      <c r="AJW227" s="922"/>
      <c r="AJX227" s="922"/>
      <c r="AJY227" s="922"/>
      <c r="AJZ227" s="922"/>
      <c r="AKA227" s="922"/>
      <c r="AKB227" s="922"/>
      <c r="AKC227" s="922"/>
      <c r="AKD227" s="922"/>
      <c r="AKE227" s="922"/>
      <c r="AKF227" s="922"/>
      <c r="AKG227" s="922"/>
      <c r="AKH227" s="922"/>
      <c r="AKI227" s="922"/>
      <c r="AKJ227" s="922"/>
      <c r="AKK227" s="922"/>
      <c r="AKL227" s="922"/>
      <c r="AKM227" s="922"/>
      <c r="AKN227" s="922"/>
      <c r="AKO227" s="922"/>
      <c r="AKP227" s="922"/>
      <c r="AKQ227" s="922"/>
      <c r="AKR227" s="922"/>
      <c r="AKS227" s="922"/>
      <c r="AKT227" s="922"/>
      <c r="AKU227" s="922"/>
      <c r="AKV227" s="922"/>
      <c r="AKW227" s="922"/>
      <c r="AKX227" s="922"/>
      <c r="AKY227" s="922"/>
      <c r="AKZ227" s="922"/>
      <c r="ALA227" s="922"/>
      <c r="ALB227" s="922"/>
      <c r="ALC227" s="922"/>
      <c r="ALD227" s="922"/>
      <c r="ALE227" s="922"/>
      <c r="ALF227" s="922"/>
      <c r="ALG227" s="922"/>
      <c r="ALH227" s="922"/>
      <c r="ALI227" s="922"/>
      <c r="ALJ227" s="922"/>
      <c r="ALK227" s="922"/>
      <c r="ALL227" s="922"/>
      <c r="ALM227" s="922"/>
      <c r="ALN227" s="922"/>
      <c r="ALO227" s="922"/>
      <c r="ALP227" s="922"/>
      <c r="ALQ227" s="922"/>
      <c r="ALR227" s="922"/>
      <c r="ALS227" s="922"/>
      <c r="ALT227" s="922"/>
      <c r="ALU227" s="922"/>
      <c r="ALV227" s="922"/>
      <c r="ALW227" s="922"/>
      <c r="ALX227" s="922"/>
      <c r="ALY227" s="922"/>
      <c r="ALZ227" s="922"/>
      <c r="AMA227" s="922"/>
      <c r="AMB227" s="922"/>
      <c r="AMC227" s="922"/>
      <c r="AMD227" s="922"/>
      <c r="AME227" s="922"/>
      <c r="AMF227" s="922"/>
      <c r="AMG227" s="922"/>
      <c r="AMH227" s="922"/>
      <c r="AMI227" s="922"/>
      <c r="AMJ227" s="922"/>
      <c r="AMK227" s="922"/>
      <c r="AML227" s="922"/>
      <c r="AMM227" s="922"/>
      <c r="AMN227" s="922"/>
      <c r="AMO227" s="922"/>
      <c r="AMP227" s="922"/>
      <c r="AMQ227" s="922"/>
      <c r="AMR227" s="922"/>
      <c r="AMS227" s="922"/>
      <c r="AMT227" s="922"/>
      <c r="AMU227" s="922"/>
      <c r="AMV227" s="922"/>
      <c r="AMW227" s="922"/>
      <c r="AMX227" s="922"/>
      <c r="AMY227" s="922"/>
      <c r="AMZ227" s="922"/>
      <c r="ANA227" s="922"/>
      <c r="ANB227" s="922"/>
      <c r="ANC227" s="922"/>
      <c r="AND227" s="922"/>
      <c r="ANE227" s="922"/>
      <c r="ANF227" s="922"/>
      <c r="ANG227" s="922"/>
      <c r="ANH227" s="922"/>
      <c r="ANI227" s="922"/>
      <c r="ANJ227" s="922"/>
      <c r="ANK227" s="922"/>
      <c r="ANL227" s="922"/>
      <c r="ANM227" s="922"/>
      <c r="ANN227" s="922"/>
      <c r="ANO227" s="922"/>
      <c r="ANP227" s="922"/>
      <c r="ANQ227" s="922"/>
      <c r="ANR227" s="922"/>
      <c r="ANS227" s="922"/>
      <c r="ANT227" s="922"/>
      <c r="ANU227" s="922"/>
      <c r="ANV227" s="922"/>
      <c r="ANW227" s="922"/>
      <c r="ANX227" s="922"/>
      <c r="ANY227" s="922"/>
      <c r="ANZ227" s="922"/>
      <c r="AOA227" s="922"/>
      <c r="AOB227" s="922"/>
      <c r="AOC227" s="922"/>
      <c r="AOD227" s="922"/>
      <c r="AOE227" s="922"/>
      <c r="AOF227" s="922"/>
      <c r="AOG227" s="922"/>
      <c r="AOH227" s="922"/>
      <c r="AOI227" s="922"/>
      <c r="AOJ227" s="922"/>
      <c r="AOK227" s="922"/>
      <c r="AOL227" s="922"/>
      <c r="AOM227" s="922"/>
      <c r="AON227" s="922"/>
      <c r="AOO227" s="922"/>
      <c r="AOP227" s="922"/>
      <c r="AOQ227" s="922"/>
      <c r="AOR227" s="922"/>
      <c r="AOS227" s="922"/>
      <c r="AOT227" s="922"/>
      <c r="AOU227" s="922"/>
      <c r="AOV227" s="922"/>
      <c r="AOW227" s="922"/>
      <c r="AOX227" s="922"/>
      <c r="AOY227" s="922"/>
      <c r="AOZ227" s="922"/>
      <c r="APA227" s="922"/>
      <c r="APB227" s="922"/>
      <c r="APC227" s="922"/>
      <c r="APD227" s="922"/>
      <c r="APE227" s="922"/>
      <c r="APF227" s="922"/>
      <c r="APG227" s="922"/>
      <c r="APH227" s="922"/>
      <c r="API227" s="922"/>
      <c r="APJ227" s="922"/>
      <c r="APK227" s="922"/>
      <c r="APL227" s="922"/>
      <c r="APM227" s="922"/>
      <c r="APN227" s="922"/>
      <c r="APO227" s="922"/>
      <c r="APP227" s="922"/>
      <c r="APQ227" s="922"/>
      <c r="APR227" s="922"/>
      <c r="APS227" s="922"/>
      <c r="APT227" s="922"/>
      <c r="APU227" s="922"/>
      <c r="APV227" s="922"/>
      <c r="APW227" s="922"/>
      <c r="APX227" s="922"/>
      <c r="APY227" s="922"/>
      <c r="APZ227" s="922"/>
      <c r="AQA227" s="922"/>
      <c r="AQB227" s="922"/>
      <c r="AQC227" s="922"/>
      <c r="AQD227" s="922"/>
      <c r="AQE227" s="922"/>
      <c r="AQF227" s="922"/>
      <c r="AQG227" s="922"/>
      <c r="AQH227" s="922"/>
      <c r="AQI227" s="922"/>
      <c r="AQJ227" s="922"/>
      <c r="AQK227" s="922"/>
      <c r="AQL227" s="922"/>
      <c r="AQM227" s="922"/>
      <c r="AQN227" s="922"/>
      <c r="AQO227" s="922"/>
      <c r="AQP227" s="922"/>
      <c r="AQQ227" s="922"/>
      <c r="AQR227" s="922"/>
      <c r="AQS227" s="922"/>
      <c r="AQT227" s="922"/>
      <c r="AQU227" s="922"/>
      <c r="AQV227" s="922"/>
      <c r="AQW227" s="922"/>
      <c r="AQX227" s="922"/>
      <c r="AQY227" s="922"/>
      <c r="AQZ227" s="922"/>
      <c r="ARA227" s="922"/>
      <c r="ARB227" s="922"/>
      <c r="ARC227" s="922"/>
      <c r="ARD227" s="922"/>
      <c r="ARE227" s="922"/>
      <c r="ARF227" s="922"/>
      <c r="ARG227" s="922"/>
      <c r="ARH227" s="922"/>
      <c r="ARI227" s="922"/>
      <c r="ARJ227" s="922"/>
      <c r="ARK227" s="922"/>
      <c r="ARL227" s="922"/>
      <c r="ARM227" s="922"/>
      <c r="ARN227" s="922"/>
      <c r="ARO227" s="922"/>
      <c r="ARP227" s="922"/>
      <c r="ARQ227" s="922"/>
      <c r="ARR227" s="922"/>
      <c r="ARS227" s="922"/>
      <c r="ART227" s="922"/>
      <c r="ARU227" s="922"/>
      <c r="ARV227" s="922"/>
      <c r="ARW227" s="922"/>
      <c r="ARX227" s="922"/>
      <c r="ARY227" s="922"/>
      <c r="ARZ227" s="922"/>
      <c r="ASA227" s="922"/>
      <c r="ASB227" s="922"/>
      <c r="ASC227" s="922"/>
    </row>
    <row r="228" spans="20:1173" hidden="1">
      <c r="T228" s="922"/>
      <c r="AN228" s="922"/>
      <c r="AO228" s="922"/>
      <c r="AP228" s="922"/>
      <c r="AQ228" s="922"/>
      <c r="AR228" s="922"/>
      <c r="AS228" s="922"/>
      <c r="AT228" s="922"/>
      <c r="AU228" s="922"/>
      <c r="AV228" s="922"/>
      <c r="AW228" s="922"/>
      <c r="AX228" s="922"/>
      <c r="AY228" s="922"/>
      <c r="AZ228" s="922"/>
      <c r="BA228" s="922"/>
      <c r="BB228" s="922"/>
      <c r="BC228" s="922"/>
      <c r="BD228" s="922"/>
      <c r="BE228" s="922"/>
      <c r="BF228" s="922"/>
      <c r="BG228" s="922"/>
      <c r="BH228" s="922"/>
      <c r="BI228" s="922"/>
      <c r="BJ228" s="922"/>
      <c r="BK228" s="922"/>
      <c r="BL228" s="922"/>
      <c r="BM228" s="922"/>
      <c r="BN228" s="922"/>
      <c r="BO228" s="922"/>
      <c r="BP228" s="922"/>
      <c r="BQ228" s="922"/>
      <c r="BR228" s="922"/>
      <c r="BS228" s="922"/>
      <c r="BT228" s="922"/>
      <c r="BU228" s="922"/>
      <c r="BV228" s="922"/>
      <c r="BW228" s="922"/>
      <c r="BX228" s="922"/>
      <c r="BY228" s="922"/>
      <c r="BZ228" s="922"/>
      <c r="CA228" s="922"/>
      <c r="CB228" s="922"/>
      <c r="CC228" s="922"/>
      <c r="CD228" s="922"/>
      <c r="CE228" s="922"/>
      <c r="CF228" s="922"/>
      <c r="CG228" s="922"/>
      <c r="CH228" s="922"/>
      <c r="CI228" s="922"/>
      <c r="CJ228" s="922"/>
      <c r="CK228" s="922"/>
      <c r="CL228" s="922"/>
      <c r="CM228" s="922"/>
      <c r="CN228" s="922"/>
      <c r="CO228" s="922"/>
      <c r="CP228" s="922"/>
      <c r="CQ228" s="922"/>
      <c r="CR228" s="922"/>
      <c r="CS228" s="922"/>
      <c r="CT228" s="922"/>
      <c r="CU228" s="922"/>
      <c r="CV228" s="922"/>
      <c r="CW228" s="922"/>
      <c r="CX228" s="922"/>
      <c r="CY228" s="922"/>
      <c r="CZ228" s="922"/>
      <c r="DA228" s="922"/>
      <c r="DB228" s="922"/>
      <c r="DC228" s="922"/>
      <c r="DD228" s="922"/>
      <c r="DE228" s="922"/>
      <c r="DF228" s="922"/>
      <c r="DG228" s="922"/>
      <c r="DH228" s="922"/>
      <c r="DI228" s="922"/>
      <c r="DJ228" s="922"/>
      <c r="DK228" s="922"/>
      <c r="DL228" s="922"/>
      <c r="DM228" s="922"/>
      <c r="DN228" s="922"/>
      <c r="DO228" s="922"/>
      <c r="DP228" s="922"/>
      <c r="DQ228" s="922"/>
      <c r="DR228" s="922"/>
      <c r="DS228" s="922"/>
      <c r="DT228" s="922"/>
      <c r="DU228" s="922"/>
      <c r="DV228" s="922"/>
      <c r="DW228" s="922"/>
      <c r="DX228" s="922"/>
      <c r="DY228" s="922"/>
      <c r="DZ228" s="922"/>
      <c r="EA228" s="922"/>
      <c r="EB228" s="922"/>
      <c r="EC228" s="922"/>
      <c r="ED228" s="922"/>
      <c r="EE228" s="922"/>
      <c r="EF228" s="922"/>
      <c r="EG228" s="922"/>
      <c r="EH228" s="922"/>
      <c r="EI228" s="922"/>
      <c r="EJ228" s="922"/>
      <c r="EK228" s="922"/>
      <c r="EL228" s="922"/>
      <c r="EM228" s="922"/>
      <c r="EN228" s="922"/>
      <c r="EO228" s="922"/>
      <c r="EP228" s="922"/>
      <c r="EQ228" s="922"/>
      <c r="ER228" s="922"/>
      <c r="ES228" s="922"/>
      <c r="ET228" s="922"/>
      <c r="EU228" s="922"/>
      <c r="EV228" s="922"/>
      <c r="EW228" s="922"/>
      <c r="EX228" s="922"/>
      <c r="EY228" s="922"/>
      <c r="EZ228" s="922"/>
      <c r="FA228" s="922"/>
      <c r="FB228" s="922"/>
      <c r="FC228" s="922"/>
      <c r="FD228" s="922"/>
      <c r="FE228" s="922"/>
      <c r="FF228" s="922"/>
      <c r="FG228" s="922"/>
      <c r="FH228" s="922"/>
      <c r="FI228" s="922"/>
      <c r="FJ228" s="922"/>
      <c r="FK228" s="922"/>
      <c r="FL228" s="922"/>
      <c r="FM228" s="922"/>
      <c r="FN228" s="922"/>
      <c r="FO228" s="922"/>
      <c r="FP228" s="922"/>
      <c r="FQ228" s="922"/>
      <c r="FR228" s="922"/>
      <c r="FS228" s="922"/>
      <c r="FT228" s="922"/>
      <c r="FU228" s="922"/>
      <c r="FV228" s="922"/>
      <c r="FW228" s="922"/>
      <c r="FX228" s="922"/>
      <c r="FY228" s="922"/>
      <c r="FZ228" s="922"/>
      <c r="GA228" s="922"/>
      <c r="GB228" s="922"/>
      <c r="GC228" s="922"/>
      <c r="GD228" s="922"/>
      <c r="GE228" s="922"/>
      <c r="GF228" s="922"/>
      <c r="GG228" s="922"/>
      <c r="GH228" s="922"/>
      <c r="GI228" s="922"/>
      <c r="GJ228" s="922"/>
      <c r="GK228" s="922"/>
      <c r="GL228" s="922"/>
      <c r="GM228" s="922"/>
      <c r="GN228" s="922"/>
      <c r="GO228" s="922"/>
      <c r="GP228" s="922"/>
      <c r="GQ228" s="922"/>
      <c r="GR228" s="922"/>
      <c r="GS228" s="922"/>
      <c r="GT228" s="922"/>
      <c r="GU228" s="922"/>
      <c r="GV228" s="922"/>
      <c r="GW228" s="922"/>
      <c r="GX228" s="922"/>
      <c r="GY228" s="922"/>
      <c r="GZ228" s="922"/>
      <c r="HA228" s="922"/>
      <c r="HB228" s="922"/>
      <c r="HC228" s="922"/>
      <c r="HD228" s="922"/>
      <c r="HE228" s="922"/>
      <c r="HF228" s="922"/>
      <c r="HG228" s="922"/>
      <c r="HH228" s="922"/>
      <c r="HI228" s="922"/>
      <c r="HJ228" s="922"/>
      <c r="HK228" s="922"/>
      <c r="HL228" s="922"/>
      <c r="HM228" s="922"/>
      <c r="HN228" s="922"/>
      <c r="HO228" s="922"/>
      <c r="HP228" s="922"/>
      <c r="HQ228" s="922"/>
      <c r="HR228" s="922"/>
      <c r="HS228" s="922"/>
      <c r="HT228" s="922"/>
      <c r="HU228" s="922"/>
      <c r="HV228" s="922"/>
      <c r="HW228" s="922"/>
      <c r="HX228" s="922"/>
      <c r="HY228" s="922"/>
      <c r="HZ228" s="922"/>
      <c r="IA228" s="922"/>
      <c r="IB228" s="922"/>
      <c r="IC228" s="922"/>
      <c r="ID228" s="922"/>
      <c r="IE228" s="922"/>
      <c r="IF228" s="922"/>
      <c r="IG228" s="922"/>
      <c r="IH228" s="922"/>
      <c r="II228" s="922"/>
      <c r="IJ228" s="922"/>
      <c r="IK228" s="922"/>
      <c r="IL228" s="922"/>
      <c r="IM228" s="922"/>
      <c r="IN228" s="922"/>
      <c r="IO228" s="922"/>
      <c r="IP228" s="922"/>
      <c r="IQ228" s="922"/>
      <c r="IR228" s="922"/>
      <c r="IS228" s="922"/>
      <c r="IT228" s="922"/>
      <c r="IU228" s="922"/>
      <c r="IV228" s="922"/>
      <c r="IW228" s="922"/>
      <c r="IX228" s="922"/>
      <c r="IY228" s="922"/>
      <c r="IZ228" s="922"/>
      <c r="JA228" s="922"/>
      <c r="JB228" s="922"/>
      <c r="JC228" s="922"/>
      <c r="JD228" s="922"/>
      <c r="JE228" s="922"/>
      <c r="JF228" s="922"/>
      <c r="JG228" s="922"/>
      <c r="JH228" s="922"/>
      <c r="JI228" s="922"/>
      <c r="JJ228" s="922"/>
      <c r="JK228" s="922"/>
      <c r="JL228" s="922"/>
      <c r="JM228" s="922"/>
      <c r="JN228" s="922"/>
      <c r="JO228" s="922"/>
      <c r="JP228" s="922"/>
      <c r="JQ228" s="922"/>
      <c r="JR228" s="922"/>
      <c r="JS228" s="922"/>
      <c r="JT228" s="922"/>
      <c r="JU228" s="922"/>
      <c r="JV228" s="922"/>
      <c r="JW228" s="922"/>
      <c r="JX228" s="922"/>
      <c r="JY228" s="922"/>
      <c r="JZ228" s="922"/>
      <c r="KA228" s="922"/>
      <c r="KB228" s="922"/>
      <c r="KC228" s="922"/>
      <c r="KD228" s="922"/>
      <c r="KE228" s="922"/>
      <c r="KF228" s="922"/>
      <c r="KG228" s="922"/>
      <c r="KH228" s="922"/>
      <c r="KI228" s="922"/>
      <c r="KJ228" s="922"/>
      <c r="KK228" s="922"/>
      <c r="KL228" s="922"/>
      <c r="KM228" s="922"/>
      <c r="KN228" s="922"/>
      <c r="KO228" s="922"/>
      <c r="KP228" s="922"/>
      <c r="KQ228" s="922"/>
      <c r="KR228" s="922"/>
      <c r="KS228" s="922"/>
      <c r="KT228" s="922"/>
      <c r="KU228" s="922"/>
      <c r="KV228" s="922"/>
      <c r="KW228" s="922"/>
      <c r="KX228" s="922"/>
      <c r="KY228" s="922"/>
      <c r="KZ228" s="922"/>
      <c r="LA228" s="922"/>
      <c r="LB228" s="922"/>
      <c r="LC228" s="922"/>
      <c r="LD228" s="922"/>
      <c r="LE228" s="922"/>
      <c r="LF228" s="922"/>
      <c r="LG228" s="922"/>
      <c r="LH228" s="922"/>
      <c r="LI228" s="922"/>
      <c r="LJ228" s="922"/>
      <c r="LK228" s="922"/>
      <c r="LL228" s="922"/>
      <c r="LM228" s="922"/>
      <c r="LN228" s="922"/>
      <c r="LO228" s="922"/>
      <c r="LP228" s="922"/>
      <c r="LQ228" s="922"/>
      <c r="LR228" s="922"/>
      <c r="LS228" s="922"/>
      <c r="LT228" s="922"/>
      <c r="LU228" s="922"/>
      <c r="LV228" s="922"/>
      <c r="LW228" s="922"/>
      <c r="LX228" s="922"/>
      <c r="LY228" s="922"/>
      <c r="LZ228" s="922"/>
      <c r="MA228" s="922"/>
      <c r="MB228" s="922"/>
      <c r="MC228" s="922"/>
      <c r="MD228" s="922"/>
      <c r="ME228" s="922"/>
      <c r="MF228" s="922"/>
      <c r="MG228" s="922"/>
      <c r="MH228" s="922"/>
      <c r="MI228" s="922"/>
      <c r="MJ228" s="922"/>
      <c r="MK228" s="922"/>
      <c r="ML228" s="922"/>
      <c r="MM228" s="922"/>
      <c r="MN228" s="922"/>
      <c r="MO228" s="922"/>
      <c r="MP228" s="922"/>
      <c r="MQ228" s="922"/>
      <c r="MR228" s="922"/>
      <c r="MS228" s="922"/>
      <c r="MT228" s="922"/>
      <c r="MU228" s="922"/>
      <c r="MV228" s="922"/>
      <c r="MW228" s="922"/>
      <c r="MX228" s="922"/>
      <c r="MY228" s="922"/>
      <c r="MZ228" s="922"/>
      <c r="NA228" s="922"/>
      <c r="NB228" s="922"/>
      <c r="NC228" s="922"/>
      <c r="ND228" s="922"/>
      <c r="NE228" s="922"/>
      <c r="NF228" s="922"/>
      <c r="NG228" s="922"/>
      <c r="NH228" s="922"/>
      <c r="NI228" s="922"/>
      <c r="NJ228" s="922"/>
      <c r="NK228" s="922"/>
      <c r="NL228" s="922"/>
      <c r="NM228" s="922"/>
      <c r="NN228" s="922"/>
      <c r="NO228" s="922"/>
      <c r="NP228" s="922"/>
      <c r="NQ228" s="922"/>
      <c r="NR228" s="922"/>
      <c r="NS228" s="922"/>
      <c r="NT228" s="922"/>
      <c r="NU228" s="922"/>
      <c r="NV228" s="922"/>
      <c r="NW228" s="922"/>
      <c r="NX228" s="922"/>
      <c r="NY228" s="922"/>
      <c r="NZ228" s="922"/>
      <c r="OA228" s="922"/>
      <c r="OB228" s="922"/>
      <c r="OC228" s="922"/>
      <c r="OD228" s="922"/>
      <c r="OE228" s="922"/>
      <c r="OF228" s="922"/>
      <c r="OG228" s="922"/>
      <c r="OH228" s="922"/>
      <c r="OI228" s="922"/>
      <c r="OJ228" s="922"/>
      <c r="OK228" s="922"/>
      <c r="OL228" s="922"/>
      <c r="OM228" s="922"/>
      <c r="ON228" s="922"/>
      <c r="OO228" s="922"/>
      <c r="OP228" s="922"/>
      <c r="OQ228" s="922"/>
      <c r="OR228" s="922"/>
      <c r="OS228" s="922"/>
      <c r="OT228" s="922"/>
      <c r="OU228" s="922"/>
      <c r="OV228" s="922"/>
      <c r="OW228" s="922"/>
      <c r="OX228" s="922"/>
      <c r="OY228" s="922"/>
      <c r="OZ228" s="922"/>
      <c r="PA228" s="922"/>
      <c r="PB228" s="922"/>
      <c r="PC228" s="922"/>
      <c r="PD228" s="922"/>
      <c r="PE228" s="922"/>
      <c r="PF228" s="922"/>
      <c r="PG228" s="922"/>
      <c r="PH228" s="922"/>
      <c r="PI228" s="922"/>
      <c r="PJ228" s="922"/>
      <c r="PK228" s="922"/>
      <c r="PL228" s="922"/>
      <c r="PM228" s="922"/>
      <c r="PN228" s="922"/>
      <c r="PO228" s="922"/>
      <c r="PP228" s="922"/>
      <c r="PQ228" s="922"/>
      <c r="PR228" s="922"/>
      <c r="PS228" s="922"/>
      <c r="PT228" s="922"/>
      <c r="PU228" s="922"/>
      <c r="PV228" s="922"/>
      <c r="PW228" s="922"/>
      <c r="PX228" s="922"/>
      <c r="PY228" s="922"/>
      <c r="PZ228" s="922"/>
      <c r="QA228" s="922"/>
      <c r="QB228" s="922"/>
      <c r="QC228" s="922"/>
      <c r="QD228" s="922"/>
      <c r="QE228" s="922"/>
      <c r="QF228" s="922"/>
      <c r="QG228" s="922"/>
      <c r="QH228" s="922"/>
      <c r="QI228" s="922"/>
      <c r="QJ228" s="922"/>
      <c r="QK228" s="922"/>
      <c r="QL228" s="922"/>
      <c r="QM228" s="922"/>
      <c r="QN228" s="922"/>
      <c r="QO228" s="922"/>
      <c r="QP228" s="922"/>
      <c r="QQ228" s="922"/>
      <c r="QR228" s="922"/>
      <c r="QS228" s="922"/>
      <c r="QT228" s="922"/>
      <c r="QU228" s="922"/>
      <c r="QV228" s="922"/>
      <c r="QW228" s="922"/>
      <c r="QX228" s="922"/>
      <c r="QY228" s="922"/>
      <c r="QZ228" s="922"/>
      <c r="RA228" s="922"/>
      <c r="RB228" s="922"/>
      <c r="RC228" s="922"/>
      <c r="RD228" s="922"/>
      <c r="RE228" s="922"/>
      <c r="RF228" s="922"/>
      <c r="RG228" s="922"/>
      <c r="RH228" s="922"/>
      <c r="RI228" s="922"/>
      <c r="RJ228" s="922"/>
      <c r="RK228" s="922"/>
      <c r="RL228" s="922"/>
      <c r="RM228" s="922"/>
      <c r="RN228" s="922"/>
      <c r="RO228" s="922"/>
      <c r="RP228" s="922"/>
      <c r="RQ228" s="922"/>
      <c r="RR228" s="922"/>
      <c r="RS228" s="922"/>
      <c r="RT228" s="922"/>
      <c r="RU228" s="922"/>
      <c r="RV228" s="922"/>
      <c r="RW228" s="922"/>
      <c r="RX228" s="922"/>
      <c r="RY228" s="922"/>
      <c r="RZ228" s="922"/>
      <c r="SA228" s="922"/>
      <c r="SB228" s="922"/>
      <c r="SC228" s="922"/>
      <c r="SD228" s="922"/>
      <c r="SE228" s="922"/>
      <c r="SF228" s="922"/>
      <c r="SG228" s="922"/>
      <c r="SH228" s="922"/>
      <c r="SI228" s="922"/>
      <c r="SJ228" s="922"/>
      <c r="SK228" s="922"/>
      <c r="SL228" s="922"/>
      <c r="SM228" s="922"/>
      <c r="SN228" s="922"/>
      <c r="SO228" s="922"/>
      <c r="SP228" s="922"/>
      <c r="SQ228" s="922"/>
      <c r="SR228" s="922"/>
      <c r="SS228" s="922"/>
      <c r="ST228" s="922"/>
      <c r="SU228" s="922"/>
      <c r="SV228" s="922"/>
      <c r="SW228" s="922"/>
      <c r="SX228" s="922"/>
      <c r="SY228" s="922"/>
      <c r="SZ228" s="922"/>
      <c r="TA228" s="922"/>
      <c r="TB228" s="922"/>
      <c r="TC228" s="922"/>
      <c r="TD228" s="922"/>
      <c r="TE228" s="922"/>
      <c r="TF228" s="922"/>
      <c r="TG228" s="922"/>
      <c r="TH228" s="922"/>
      <c r="TI228" s="922"/>
      <c r="TJ228" s="922"/>
      <c r="TK228" s="922"/>
      <c r="TL228" s="922"/>
      <c r="TM228" s="922"/>
      <c r="TN228" s="922"/>
      <c r="TO228" s="922"/>
      <c r="TP228" s="922"/>
      <c r="TQ228" s="922"/>
      <c r="TR228" s="922"/>
      <c r="TS228" s="922"/>
      <c r="TT228" s="922"/>
      <c r="TU228" s="922"/>
      <c r="TV228" s="922"/>
      <c r="TW228" s="922"/>
      <c r="TX228" s="922"/>
      <c r="TY228" s="922"/>
      <c r="TZ228" s="922"/>
      <c r="UA228" s="922"/>
      <c r="UB228" s="922"/>
      <c r="UC228" s="922"/>
      <c r="UD228" s="922"/>
      <c r="UE228" s="922"/>
      <c r="UF228" s="922"/>
      <c r="UG228" s="922"/>
      <c r="UH228" s="922"/>
      <c r="UI228" s="922"/>
      <c r="UJ228" s="922"/>
      <c r="UK228" s="922"/>
      <c r="UL228" s="922"/>
      <c r="UM228" s="922"/>
      <c r="UN228" s="922"/>
      <c r="UO228" s="922"/>
      <c r="UP228" s="922"/>
      <c r="UQ228" s="922"/>
      <c r="UR228" s="922"/>
      <c r="US228" s="922"/>
      <c r="UT228" s="922"/>
      <c r="UU228" s="922"/>
      <c r="UV228" s="922"/>
      <c r="UW228" s="922"/>
      <c r="UX228" s="922"/>
      <c r="UY228" s="922"/>
      <c r="UZ228" s="922"/>
      <c r="VA228" s="922"/>
      <c r="VB228" s="922"/>
      <c r="VC228" s="922"/>
      <c r="VD228" s="922"/>
      <c r="VE228" s="922"/>
      <c r="VF228" s="922"/>
      <c r="VG228" s="922"/>
      <c r="VH228" s="922"/>
      <c r="VI228" s="922"/>
      <c r="VJ228" s="922"/>
      <c r="VK228" s="922"/>
      <c r="VL228" s="922"/>
      <c r="VM228" s="922"/>
      <c r="VN228" s="922"/>
      <c r="VO228" s="922"/>
      <c r="VP228" s="922"/>
      <c r="VQ228" s="922"/>
      <c r="VR228" s="922"/>
      <c r="VS228" s="922"/>
      <c r="VT228" s="922"/>
      <c r="VU228" s="922"/>
      <c r="VV228" s="922"/>
      <c r="VW228" s="922"/>
      <c r="VX228" s="922"/>
      <c r="VY228" s="922"/>
      <c r="VZ228" s="922"/>
      <c r="WA228" s="922"/>
      <c r="WB228" s="922"/>
      <c r="WC228" s="922"/>
      <c r="WD228" s="922"/>
      <c r="WE228" s="922"/>
      <c r="WF228" s="922"/>
      <c r="WG228" s="922"/>
      <c r="WH228" s="922"/>
      <c r="WI228" s="922"/>
      <c r="WJ228" s="922"/>
      <c r="WK228" s="922"/>
      <c r="WL228" s="922"/>
      <c r="WM228" s="922"/>
      <c r="WN228" s="922"/>
      <c r="WO228" s="922"/>
      <c r="WP228" s="922"/>
      <c r="WQ228" s="922"/>
      <c r="WR228" s="922"/>
      <c r="WS228" s="922"/>
      <c r="WT228" s="922"/>
      <c r="WU228" s="922"/>
      <c r="WV228" s="922"/>
      <c r="WW228" s="922"/>
      <c r="WX228" s="922"/>
      <c r="WY228" s="922"/>
      <c r="WZ228" s="922"/>
      <c r="XA228" s="922"/>
      <c r="XB228" s="922"/>
      <c r="XC228" s="922"/>
      <c r="XD228" s="922"/>
      <c r="XE228" s="922"/>
      <c r="XF228" s="922"/>
      <c r="XG228" s="922"/>
      <c r="XH228" s="922"/>
      <c r="XI228" s="922"/>
      <c r="XJ228" s="922"/>
      <c r="XK228" s="922"/>
      <c r="XL228" s="922"/>
      <c r="XM228" s="922"/>
      <c r="XN228" s="922"/>
      <c r="XO228" s="922"/>
      <c r="XP228" s="922"/>
      <c r="XQ228" s="922"/>
      <c r="XR228" s="922"/>
      <c r="XS228" s="922"/>
      <c r="XT228" s="922"/>
      <c r="XU228" s="922"/>
      <c r="XV228" s="922"/>
      <c r="XW228" s="922"/>
      <c r="XX228" s="922"/>
      <c r="XY228" s="922"/>
      <c r="XZ228" s="922"/>
      <c r="YA228" s="922"/>
      <c r="YB228" s="922"/>
      <c r="YC228" s="922"/>
      <c r="YD228" s="922"/>
      <c r="YE228" s="922"/>
      <c r="YF228" s="922"/>
      <c r="YG228" s="922"/>
      <c r="YH228" s="922"/>
      <c r="YI228" s="922"/>
      <c r="YJ228" s="922"/>
      <c r="YK228" s="922"/>
      <c r="YL228" s="922"/>
      <c r="YM228" s="922"/>
      <c r="YN228" s="922"/>
      <c r="YO228" s="922"/>
      <c r="YP228" s="922"/>
      <c r="YQ228" s="922"/>
      <c r="YR228" s="922"/>
      <c r="YS228" s="922"/>
      <c r="YT228" s="922"/>
      <c r="YU228" s="922"/>
      <c r="YV228" s="922"/>
      <c r="YW228" s="922"/>
      <c r="YX228" s="922"/>
      <c r="YY228" s="922"/>
      <c r="YZ228" s="922"/>
      <c r="ZA228" s="922"/>
      <c r="ZB228" s="922"/>
      <c r="ZC228" s="922"/>
      <c r="ZD228" s="922"/>
      <c r="ZE228" s="922"/>
      <c r="ZF228" s="922"/>
      <c r="ZG228" s="922"/>
      <c r="ZH228" s="922"/>
      <c r="ZI228" s="922"/>
      <c r="ZJ228" s="922"/>
      <c r="ZK228" s="922"/>
      <c r="ZL228" s="922"/>
      <c r="ZM228" s="922"/>
      <c r="ZN228" s="922"/>
      <c r="ZO228" s="922"/>
      <c r="ZP228" s="922"/>
      <c r="ZQ228" s="922"/>
      <c r="ZR228" s="922"/>
      <c r="ZS228" s="922"/>
      <c r="ZT228" s="922"/>
      <c r="ZU228" s="922"/>
      <c r="ZV228" s="922"/>
      <c r="ZW228" s="922"/>
      <c r="ZX228" s="922"/>
      <c r="ZY228" s="922"/>
      <c r="ZZ228" s="922"/>
      <c r="AAA228" s="922"/>
      <c r="AAB228" s="922"/>
      <c r="AAC228" s="922"/>
      <c r="AAD228" s="922"/>
      <c r="AAE228" s="922"/>
      <c r="AAF228" s="922"/>
      <c r="AAG228" s="922"/>
      <c r="AAH228" s="922"/>
      <c r="AAI228" s="922"/>
      <c r="AAJ228" s="922"/>
      <c r="AAK228" s="922"/>
      <c r="AAL228" s="922"/>
      <c r="AAM228" s="922"/>
      <c r="AAN228" s="922"/>
      <c r="AAO228" s="922"/>
      <c r="AAP228" s="922"/>
      <c r="AAQ228" s="922"/>
      <c r="AAR228" s="922"/>
      <c r="AAS228" s="922"/>
      <c r="AAT228" s="922"/>
      <c r="AAU228" s="922"/>
      <c r="AAV228" s="922"/>
      <c r="AAW228" s="922"/>
      <c r="AAX228" s="922"/>
      <c r="AAY228" s="922"/>
      <c r="AAZ228" s="922"/>
      <c r="ABA228" s="922"/>
      <c r="ABB228" s="922"/>
      <c r="ABC228" s="922"/>
      <c r="ABD228" s="922"/>
      <c r="ABE228" s="922"/>
      <c r="ABF228" s="922"/>
      <c r="ABG228" s="922"/>
      <c r="ABH228" s="922"/>
      <c r="ABI228" s="922"/>
      <c r="ABJ228" s="922"/>
      <c r="ABK228" s="922"/>
      <c r="ABL228" s="922"/>
      <c r="ABM228" s="922"/>
      <c r="ABN228" s="922"/>
      <c r="ABO228" s="922"/>
      <c r="ABP228" s="922"/>
      <c r="ABQ228" s="922"/>
      <c r="ABR228" s="922"/>
      <c r="ABS228" s="922"/>
      <c r="ABT228" s="922"/>
      <c r="ABU228" s="922"/>
      <c r="ABV228" s="922"/>
      <c r="ABW228" s="922"/>
      <c r="ABX228" s="922"/>
      <c r="ABY228" s="922"/>
      <c r="ABZ228" s="922"/>
      <c r="ACA228" s="922"/>
      <c r="ACB228" s="922"/>
      <c r="ACC228" s="922"/>
      <c r="ACD228" s="922"/>
      <c r="ACE228" s="922"/>
      <c r="ACF228" s="922"/>
      <c r="ACG228" s="922"/>
      <c r="ACH228" s="922"/>
      <c r="ACI228" s="922"/>
      <c r="ACJ228" s="922"/>
      <c r="ACK228" s="922"/>
      <c r="ACL228" s="922"/>
      <c r="ACM228" s="922"/>
      <c r="ACN228" s="922"/>
      <c r="ACO228" s="922"/>
      <c r="ACP228" s="922"/>
      <c r="ACQ228" s="922"/>
      <c r="ACR228" s="922"/>
      <c r="ACS228" s="922"/>
      <c r="ACT228" s="922"/>
      <c r="ACU228" s="922"/>
      <c r="ACV228" s="922"/>
      <c r="ACW228" s="922"/>
      <c r="ACX228" s="922"/>
      <c r="ACY228" s="922"/>
      <c r="ACZ228" s="922"/>
      <c r="ADA228" s="922"/>
      <c r="ADB228" s="922"/>
      <c r="ADC228" s="922"/>
      <c r="ADD228" s="922"/>
      <c r="ADE228" s="922"/>
      <c r="ADF228" s="922"/>
      <c r="ADG228" s="922"/>
      <c r="ADH228" s="922"/>
      <c r="ADI228" s="922"/>
      <c r="ADJ228" s="922"/>
      <c r="ADK228" s="922"/>
      <c r="ADL228" s="922"/>
      <c r="ADM228" s="922"/>
      <c r="ADN228" s="922"/>
      <c r="ADO228" s="922"/>
      <c r="ADP228" s="922"/>
      <c r="ADQ228" s="922"/>
      <c r="ADR228" s="922"/>
      <c r="ADS228" s="922"/>
      <c r="ADT228" s="922"/>
      <c r="ADU228" s="922"/>
      <c r="ADV228" s="922"/>
      <c r="ADW228" s="922"/>
      <c r="ADX228" s="922"/>
      <c r="ADY228" s="922"/>
      <c r="ADZ228" s="922"/>
      <c r="AEA228" s="922"/>
      <c r="AEB228" s="922"/>
      <c r="AEC228" s="922"/>
      <c r="AED228" s="922"/>
      <c r="AEE228" s="922"/>
      <c r="AEF228" s="922"/>
      <c r="AEG228" s="922"/>
      <c r="AEH228" s="922"/>
      <c r="AEI228" s="922"/>
      <c r="AEJ228" s="922"/>
      <c r="AEK228" s="922"/>
      <c r="AEL228" s="922"/>
      <c r="AEM228" s="922"/>
      <c r="AEN228" s="922"/>
      <c r="AEO228" s="922"/>
      <c r="AEP228" s="922"/>
      <c r="AEQ228" s="922"/>
      <c r="AER228" s="922"/>
      <c r="AES228" s="922"/>
      <c r="AET228" s="922"/>
      <c r="AEU228" s="922"/>
      <c r="AEV228" s="922"/>
      <c r="AEW228" s="922"/>
      <c r="AEX228" s="922"/>
      <c r="AEY228" s="922"/>
      <c r="AEZ228" s="922"/>
      <c r="AFA228" s="922"/>
      <c r="AFB228" s="922"/>
      <c r="AFC228" s="922"/>
      <c r="AFD228" s="922"/>
      <c r="AFE228" s="922"/>
      <c r="AFF228" s="922"/>
      <c r="AFG228" s="922"/>
      <c r="AFH228" s="922"/>
      <c r="AFI228" s="922"/>
      <c r="AFJ228" s="922"/>
      <c r="AFK228" s="922"/>
      <c r="AFL228" s="922"/>
      <c r="AFM228" s="922"/>
      <c r="AFN228" s="922"/>
      <c r="AFO228" s="922"/>
      <c r="AFP228" s="922"/>
      <c r="AFQ228" s="922"/>
      <c r="AFR228" s="922"/>
      <c r="AFS228" s="922"/>
      <c r="AFT228" s="922"/>
      <c r="AFU228" s="922"/>
      <c r="AFV228" s="922"/>
      <c r="AFW228" s="922"/>
      <c r="AFX228" s="922"/>
      <c r="AFY228" s="922"/>
      <c r="AFZ228" s="922"/>
      <c r="AGA228" s="922"/>
      <c r="AGB228" s="922"/>
      <c r="AGC228" s="922"/>
      <c r="AGD228" s="922"/>
      <c r="AGE228" s="922"/>
      <c r="AGF228" s="922"/>
      <c r="AGG228" s="922"/>
      <c r="AGH228" s="922"/>
      <c r="AGI228" s="922"/>
      <c r="AGJ228" s="922"/>
      <c r="AGK228" s="922"/>
      <c r="AGL228" s="922"/>
      <c r="AGM228" s="922"/>
      <c r="AGN228" s="922"/>
      <c r="AGO228" s="922"/>
      <c r="AGP228" s="922"/>
      <c r="AGQ228" s="922"/>
      <c r="AGR228" s="922"/>
      <c r="AGS228" s="922"/>
      <c r="AGT228" s="922"/>
      <c r="AGU228" s="922"/>
      <c r="AGV228" s="922"/>
      <c r="AGW228" s="922"/>
      <c r="AGX228" s="922"/>
      <c r="AGY228" s="922"/>
      <c r="AGZ228" s="922"/>
      <c r="AHA228" s="922"/>
      <c r="AHB228" s="922"/>
      <c r="AHC228" s="922"/>
      <c r="AHD228" s="922"/>
      <c r="AHE228" s="922"/>
      <c r="AHF228" s="922"/>
      <c r="AHG228" s="922"/>
      <c r="AHH228" s="922"/>
      <c r="AHI228" s="922"/>
      <c r="AHJ228" s="922"/>
      <c r="AHK228" s="922"/>
      <c r="AHL228" s="922"/>
      <c r="AHM228" s="922"/>
      <c r="AHN228" s="922"/>
      <c r="AHO228" s="922"/>
      <c r="AHP228" s="922"/>
      <c r="AHQ228" s="922"/>
      <c r="AHR228" s="922"/>
      <c r="AHS228" s="922"/>
      <c r="AHT228" s="922"/>
      <c r="AHU228" s="922"/>
      <c r="AHV228" s="922"/>
      <c r="AHW228" s="922"/>
      <c r="AHX228" s="922"/>
      <c r="AHY228" s="922"/>
      <c r="AHZ228" s="922"/>
      <c r="AIA228" s="922"/>
      <c r="AIB228" s="922"/>
      <c r="AIC228" s="922"/>
      <c r="AID228" s="922"/>
      <c r="AIE228" s="922"/>
      <c r="AIF228" s="922"/>
      <c r="AIG228" s="922"/>
      <c r="AIH228" s="922"/>
      <c r="AII228" s="922"/>
      <c r="AIJ228" s="922"/>
      <c r="AIK228" s="922"/>
      <c r="AIL228" s="922"/>
      <c r="AIM228" s="922"/>
      <c r="AIN228" s="922"/>
      <c r="AIO228" s="922"/>
      <c r="AIP228" s="922"/>
      <c r="AIQ228" s="922"/>
      <c r="AIR228" s="922"/>
      <c r="AIS228" s="922"/>
      <c r="AIT228" s="922"/>
      <c r="AIU228" s="922"/>
      <c r="AIV228" s="922"/>
      <c r="AIW228" s="922"/>
      <c r="AIX228" s="922"/>
      <c r="AIY228" s="922"/>
      <c r="AIZ228" s="922"/>
      <c r="AJA228" s="922"/>
      <c r="AJB228" s="922"/>
      <c r="AJC228" s="922"/>
      <c r="AJD228" s="922"/>
      <c r="AJE228" s="922"/>
      <c r="AJF228" s="922"/>
      <c r="AJG228" s="922"/>
      <c r="AJH228" s="922"/>
      <c r="AJI228" s="922"/>
      <c r="AJJ228" s="922"/>
      <c r="AJK228" s="922"/>
      <c r="AJL228" s="922"/>
      <c r="AJM228" s="922"/>
      <c r="AJN228" s="922"/>
      <c r="AJO228" s="922"/>
      <c r="AJP228" s="922"/>
      <c r="AJQ228" s="922"/>
      <c r="AJR228" s="922"/>
      <c r="AJS228" s="922"/>
      <c r="AJT228" s="922"/>
      <c r="AJU228" s="922"/>
      <c r="AJV228" s="922"/>
      <c r="AJW228" s="922"/>
      <c r="AJX228" s="922"/>
      <c r="AJY228" s="922"/>
      <c r="AJZ228" s="922"/>
      <c r="AKA228" s="922"/>
      <c r="AKB228" s="922"/>
      <c r="AKC228" s="922"/>
      <c r="AKD228" s="922"/>
      <c r="AKE228" s="922"/>
      <c r="AKF228" s="922"/>
      <c r="AKG228" s="922"/>
      <c r="AKH228" s="922"/>
      <c r="AKI228" s="922"/>
      <c r="AKJ228" s="922"/>
      <c r="AKK228" s="922"/>
      <c r="AKL228" s="922"/>
      <c r="AKM228" s="922"/>
      <c r="AKN228" s="922"/>
      <c r="AKO228" s="922"/>
      <c r="AKP228" s="922"/>
      <c r="AKQ228" s="922"/>
      <c r="AKR228" s="922"/>
      <c r="AKS228" s="922"/>
      <c r="AKT228" s="922"/>
      <c r="AKU228" s="922"/>
      <c r="AKV228" s="922"/>
      <c r="AKW228" s="922"/>
      <c r="AKX228" s="922"/>
      <c r="AKY228" s="922"/>
      <c r="AKZ228" s="922"/>
      <c r="ALA228" s="922"/>
      <c r="ALB228" s="922"/>
      <c r="ALC228" s="922"/>
      <c r="ALD228" s="922"/>
      <c r="ALE228" s="922"/>
      <c r="ALF228" s="922"/>
      <c r="ALG228" s="922"/>
      <c r="ALH228" s="922"/>
      <c r="ALI228" s="922"/>
      <c r="ALJ228" s="922"/>
      <c r="ALK228" s="922"/>
      <c r="ALL228" s="922"/>
      <c r="ALM228" s="922"/>
      <c r="ALN228" s="922"/>
      <c r="ALO228" s="922"/>
      <c r="ALP228" s="922"/>
      <c r="ALQ228" s="922"/>
      <c r="ALR228" s="922"/>
      <c r="ALS228" s="922"/>
      <c r="ALT228" s="922"/>
      <c r="ALU228" s="922"/>
      <c r="ALV228" s="922"/>
      <c r="ALW228" s="922"/>
      <c r="ALX228" s="922"/>
      <c r="ALY228" s="922"/>
      <c r="ALZ228" s="922"/>
      <c r="AMA228" s="922"/>
      <c r="AMB228" s="922"/>
      <c r="AMC228" s="922"/>
      <c r="AMD228" s="922"/>
      <c r="AME228" s="922"/>
      <c r="AMF228" s="922"/>
      <c r="AMG228" s="922"/>
      <c r="AMH228" s="922"/>
      <c r="AMI228" s="922"/>
      <c r="AMJ228" s="922"/>
      <c r="AMK228" s="922"/>
      <c r="AML228" s="922"/>
      <c r="AMM228" s="922"/>
      <c r="AMN228" s="922"/>
      <c r="AMO228" s="922"/>
      <c r="AMP228" s="922"/>
      <c r="AMQ228" s="922"/>
      <c r="AMR228" s="922"/>
      <c r="AMS228" s="922"/>
      <c r="AMT228" s="922"/>
      <c r="AMU228" s="922"/>
      <c r="AMV228" s="922"/>
      <c r="AMW228" s="922"/>
      <c r="AMX228" s="922"/>
      <c r="AMY228" s="922"/>
      <c r="AMZ228" s="922"/>
      <c r="ANA228" s="922"/>
      <c r="ANB228" s="922"/>
      <c r="ANC228" s="922"/>
      <c r="AND228" s="922"/>
      <c r="ANE228" s="922"/>
      <c r="ANF228" s="922"/>
      <c r="ANG228" s="922"/>
      <c r="ANH228" s="922"/>
      <c r="ANI228" s="922"/>
      <c r="ANJ228" s="922"/>
      <c r="ANK228" s="922"/>
      <c r="ANL228" s="922"/>
      <c r="ANM228" s="922"/>
      <c r="ANN228" s="922"/>
      <c r="ANO228" s="922"/>
      <c r="ANP228" s="922"/>
      <c r="ANQ228" s="922"/>
      <c r="ANR228" s="922"/>
      <c r="ANS228" s="922"/>
      <c r="ANT228" s="922"/>
      <c r="ANU228" s="922"/>
      <c r="ANV228" s="922"/>
      <c r="ANW228" s="922"/>
      <c r="ANX228" s="922"/>
      <c r="ANY228" s="922"/>
      <c r="ANZ228" s="922"/>
      <c r="AOA228" s="922"/>
      <c r="AOB228" s="922"/>
      <c r="AOC228" s="922"/>
      <c r="AOD228" s="922"/>
      <c r="AOE228" s="922"/>
      <c r="AOF228" s="922"/>
      <c r="AOG228" s="922"/>
      <c r="AOH228" s="922"/>
      <c r="AOI228" s="922"/>
      <c r="AOJ228" s="922"/>
      <c r="AOK228" s="922"/>
      <c r="AOL228" s="922"/>
      <c r="AOM228" s="922"/>
      <c r="AON228" s="922"/>
      <c r="AOO228" s="922"/>
      <c r="AOP228" s="922"/>
      <c r="AOQ228" s="922"/>
      <c r="AOR228" s="922"/>
      <c r="AOS228" s="922"/>
      <c r="AOT228" s="922"/>
      <c r="AOU228" s="922"/>
      <c r="AOV228" s="922"/>
      <c r="AOW228" s="922"/>
      <c r="AOX228" s="922"/>
      <c r="AOY228" s="922"/>
      <c r="AOZ228" s="922"/>
      <c r="APA228" s="922"/>
      <c r="APB228" s="922"/>
      <c r="APC228" s="922"/>
      <c r="APD228" s="922"/>
      <c r="APE228" s="922"/>
      <c r="APF228" s="922"/>
      <c r="APG228" s="922"/>
      <c r="APH228" s="922"/>
      <c r="API228" s="922"/>
      <c r="APJ228" s="922"/>
      <c r="APK228" s="922"/>
      <c r="APL228" s="922"/>
      <c r="APM228" s="922"/>
      <c r="APN228" s="922"/>
      <c r="APO228" s="922"/>
      <c r="APP228" s="922"/>
      <c r="APQ228" s="922"/>
      <c r="APR228" s="922"/>
      <c r="APS228" s="922"/>
      <c r="APT228" s="922"/>
      <c r="APU228" s="922"/>
      <c r="APV228" s="922"/>
      <c r="APW228" s="922"/>
      <c r="APX228" s="922"/>
      <c r="APY228" s="922"/>
      <c r="APZ228" s="922"/>
      <c r="AQA228" s="922"/>
      <c r="AQB228" s="922"/>
      <c r="AQC228" s="922"/>
      <c r="AQD228" s="922"/>
      <c r="AQE228" s="922"/>
      <c r="AQF228" s="922"/>
      <c r="AQG228" s="922"/>
      <c r="AQH228" s="922"/>
      <c r="AQI228" s="922"/>
      <c r="AQJ228" s="922"/>
      <c r="AQK228" s="922"/>
      <c r="AQL228" s="922"/>
      <c r="AQM228" s="922"/>
      <c r="AQN228" s="922"/>
      <c r="AQO228" s="922"/>
      <c r="AQP228" s="922"/>
      <c r="AQQ228" s="922"/>
      <c r="AQR228" s="922"/>
      <c r="AQS228" s="922"/>
      <c r="AQT228" s="922"/>
      <c r="AQU228" s="922"/>
      <c r="AQV228" s="922"/>
      <c r="AQW228" s="922"/>
      <c r="AQX228" s="922"/>
      <c r="AQY228" s="922"/>
      <c r="AQZ228" s="922"/>
      <c r="ARA228" s="922"/>
      <c r="ARB228" s="922"/>
      <c r="ARC228" s="922"/>
      <c r="ARD228" s="922"/>
      <c r="ARE228" s="922"/>
      <c r="ARF228" s="922"/>
      <c r="ARG228" s="922"/>
      <c r="ARH228" s="922"/>
      <c r="ARI228" s="922"/>
      <c r="ARJ228" s="922"/>
      <c r="ARK228" s="922"/>
      <c r="ARL228" s="922"/>
      <c r="ARM228" s="922"/>
      <c r="ARN228" s="922"/>
      <c r="ARO228" s="922"/>
      <c r="ARP228" s="922"/>
      <c r="ARQ228" s="922"/>
      <c r="ARR228" s="922"/>
      <c r="ARS228" s="922"/>
      <c r="ART228" s="922"/>
      <c r="ARU228" s="922"/>
      <c r="ARV228" s="922"/>
      <c r="ARW228" s="922"/>
      <c r="ARX228" s="922"/>
      <c r="ARY228" s="922"/>
      <c r="ARZ228" s="922"/>
      <c r="ASA228" s="922"/>
      <c r="ASB228" s="922"/>
      <c r="ASC228" s="922"/>
    </row>
    <row r="229" spans="20:1173" hidden="1">
      <c r="T229" s="922"/>
      <c r="AN229" s="922"/>
      <c r="AO229" s="922"/>
      <c r="AP229" s="922"/>
      <c r="AQ229" s="922"/>
      <c r="AR229" s="922"/>
      <c r="AS229" s="922"/>
      <c r="AT229" s="922"/>
      <c r="AU229" s="922"/>
      <c r="AV229" s="922"/>
      <c r="AW229" s="922"/>
      <c r="AX229" s="922"/>
      <c r="AY229" s="922"/>
      <c r="AZ229" s="922"/>
      <c r="BA229" s="922"/>
      <c r="BB229" s="922"/>
      <c r="BC229" s="922"/>
      <c r="BD229" s="922"/>
      <c r="BE229" s="922"/>
      <c r="BF229" s="922"/>
      <c r="BG229" s="922"/>
      <c r="BH229" s="922"/>
      <c r="BI229" s="922"/>
      <c r="BJ229" s="922"/>
      <c r="BK229" s="922"/>
      <c r="BL229" s="922"/>
      <c r="BM229" s="922"/>
      <c r="BN229" s="922"/>
      <c r="BO229" s="922"/>
      <c r="BP229" s="922"/>
      <c r="BQ229" s="922"/>
      <c r="BR229" s="922"/>
      <c r="BS229" s="922"/>
      <c r="BT229" s="922"/>
      <c r="BU229" s="922"/>
      <c r="BV229" s="922"/>
      <c r="BW229" s="922"/>
      <c r="BX229" s="922"/>
      <c r="BY229" s="922"/>
      <c r="BZ229" s="922"/>
      <c r="CA229" s="922"/>
      <c r="CB229" s="922"/>
      <c r="CC229" s="922"/>
      <c r="CD229" s="922"/>
      <c r="CE229" s="922"/>
      <c r="CF229" s="922"/>
      <c r="CG229" s="922"/>
      <c r="CH229" s="922"/>
      <c r="CI229" s="922"/>
      <c r="CJ229" s="922"/>
      <c r="CK229" s="922"/>
      <c r="CL229" s="922"/>
      <c r="CM229" s="922"/>
      <c r="CN229" s="922"/>
      <c r="CO229" s="922"/>
      <c r="CP229" s="922"/>
      <c r="CQ229" s="922"/>
      <c r="CR229" s="922"/>
      <c r="CS229" s="922"/>
      <c r="CT229" s="922"/>
      <c r="CU229" s="922"/>
      <c r="CV229" s="922"/>
      <c r="CW229" s="922"/>
      <c r="CX229" s="922"/>
      <c r="CY229" s="922"/>
      <c r="CZ229" s="922"/>
      <c r="DA229" s="922"/>
      <c r="DB229" s="922"/>
      <c r="DC229" s="922"/>
      <c r="DD229" s="922"/>
      <c r="DE229" s="922"/>
      <c r="DF229" s="922"/>
      <c r="DG229" s="922"/>
      <c r="DH229" s="922"/>
      <c r="DI229" s="922"/>
      <c r="DJ229" s="922"/>
      <c r="DK229" s="922"/>
      <c r="DL229" s="922"/>
      <c r="DM229" s="922"/>
      <c r="DN229" s="922"/>
      <c r="DO229" s="922"/>
      <c r="DP229" s="922"/>
      <c r="DQ229" s="922"/>
      <c r="DR229" s="922"/>
      <c r="DS229" s="922"/>
      <c r="DT229" s="922"/>
      <c r="DU229" s="922"/>
      <c r="DV229" s="922"/>
      <c r="DW229" s="922"/>
      <c r="DX229" s="922"/>
      <c r="DY229" s="922"/>
      <c r="DZ229" s="922"/>
      <c r="EA229" s="922"/>
      <c r="EB229" s="922"/>
      <c r="EC229" s="922"/>
      <c r="ED229" s="922"/>
      <c r="EE229" s="922"/>
      <c r="EF229" s="922"/>
      <c r="EG229" s="922"/>
      <c r="EH229" s="922"/>
      <c r="EI229" s="922"/>
      <c r="EJ229" s="922"/>
      <c r="EK229" s="922"/>
      <c r="EL229" s="922"/>
      <c r="EM229" s="922"/>
      <c r="EN229" s="922"/>
      <c r="EO229" s="922"/>
      <c r="EP229" s="922"/>
      <c r="EQ229" s="922"/>
      <c r="ER229" s="922"/>
      <c r="ES229" s="922"/>
      <c r="ET229" s="922"/>
      <c r="EU229" s="922"/>
      <c r="EV229" s="922"/>
      <c r="EW229" s="922"/>
      <c r="EX229" s="922"/>
      <c r="EY229" s="922"/>
      <c r="EZ229" s="922"/>
      <c r="FA229" s="922"/>
      <c r="FB229" s="922"/>
      <c r="FC229" s="922"/>
      <c r="FD229" s="922"/>
      <c r="FE229" s="922"/>
      <c r="FF229" s="922"/>
      <c r="FG229" s="922"/>
      <c r="FH229" s="922"/>
      <c r="FI229" s="922"/>
      <c r="FJ229" s="922"/>
      <c r="FK229" s="922"/>
      <c r="FL229" s="922"/>
      <c r="FM229" s="922"/>
      <c r="FN229" s="922"/>
      <c r="FO229" s="922"/>
      <c r="FP229" s="922"/>
      <c r="FQ229" s="922"/>
      <c r="FR229" s="922"/>
      <c r="FS229" s="922"/>
      <c r="FT229" s="922"/>
      <c r="FU229" s="922"/>
      <c r="FV229" s="922"/>
      <c r="FW229" s="922"/>
      <c r="FX229" s="922"/>
      <c r="FY229" s="922"/>
      <c r="FZ229" s="922"/>
      <c r="GA229" s="922"/>
      <c r="GB229" s="922"/>
      <c r="GC229" s="922"/>
      <c r="GD229" s="922"/>
      <c r="GE229" s="922"/>
      <c r="GF229" s="922"/>
      <c r="GG229" s="922"/>
      <c r="GH229" s="922"/>
      <c r="GI229" s="922"/>
      <c r="GJ229" s="922"/>
      <c r="GK229" s="922"/>
      <c r="GL229" s="922"/>
      <c r="GM229" s="922"/>
      <c r="GN229" s="922"/>
      <c r="GO229" s="922"/>
      <c r="GP229" s="922"/>
      <c r="GQ229" s="922"/>
      <c r="GR229" s="922"/>
      <c r="GS229" s="922"/>
      <c r="GT229" s="922"/>
      <c r="GU229" s="922"/>
      <c r="GV229" s="922"/>
      <c r="GW229" s="922"/>
      <c r="GX229" s="922"/>
      <c r="GY229" s="922"/>
      <c r="GZ229" s="922"/>
      <c r="HA229" s="922"/>
      <c r="HB229" s="922"/>
      <c r="HC229" s="922"/>
      <c r="HD229" s="922"/>
      <c r="HE229" s="922"/>
      <c r="HF229" s="922"/>
      <c r="HG229" s="922"/>
      <c r="HH229" s="922"/>
      <c r="HI229" s="922"/>
      <c r="HJ229" s="922"/>
      <c r="HK229" s="922"/>
      <c r="HL229" s="922"/>
      <c r="HM229" s="922"/>
      <c r="HN229" s="922"/>
      <c r="HO229" s="922"/>
      <c r="HP229" s="922"/>
      <c r="HQ229" s="922"/>
      <c r="HR229" s="922"/>
      <c r="HS229" s="922"/>
      <c r="HT229" s="922"/>
      <c r="HU229" s="922"/>
      <c r="HV229" s="922"/>
      <c r="HW229" s="922"/>
      <c r="HX229" s="922"/>
      <c r="HY229" s="922"/>
      <c r="HZ229" s="922"/>
      <c r="IA229" s="922"/>
      <c r="IB229" s="922"/>
      <c r="IC229" s="922"/>
      <c r="ID229" s="922"/>
      <c r="IE229" s="922"/>
      <c r="IF229" s="922"/>
      <c r="IG229" s="922"/>
      <c r="IH229" s="922"/>
      <c r="II229" s="922"/>
      <c r="IJ229" s="922"/>
      <c r="IK229" s="922"/>
      <c r="IL229" s="922"/>
      <c r="IM229" s="922"/>
      <c r="IN229" s="922"/>
      <c r="IO229" s="922"/>
      <c r="IP229" s="922"/>
      <c r="IQ229" s="922"/>
      <c r="IR229" s="922"/>
      <c r="IS229" s="922"/>
      <c r="IT229" s="922"/>
      <c r="IU229" s="922"/>
      <c r="IV229" s="922"/>
      <c r="IW229" s="922"/>
      <c r="IX229" s="922"/>
      <c r="IY229" s="922"/>
      <c r="IZ229" s="922"/>
      <c r="JA229" s="922"/>
      <c r="JB229" s="922"/>
      <c r="JC229" s="922"/>
      <c r="JD229" s="922"/>
      <c r="JE229" s="922"/>
      <c r="JF229" s="922"/>
      <c r="JG229" s="922"/>
      <c r="JH229" s="922"/>
      <c r="JI229" s="922"/>
      <c r="JJ229" s="922"/>
      <c r="JK229" s="922"/>
      <c r="JL229" s="922"/>
      <c r="JM229" s="922"/>
      <c r="JN229" s="922"/>
      <c r="JO229" s="922"/>
      <c r="JP229" s="922"/>
      <c r="JQ229" s="922"/>
      <c r="JR229" s="922"/>
      <c r="JS229" s="922"/>
      <c r="JT229" s="922"/>
      <c r="JU229" s="922"/>
      <c r="JV229" s="922"/>
      <c r="JW229" s="922"/>
      <c r="JX229" s="922"/>
      <c r="JY229" s="922"/>
      <c r="JZ229" s="922"/>
      <c r="KA229" s="922"/>
      <c r="KB229" s="922"/>
      <c r="KC229" s="922"/>
      <c r="KD229" s="922"/>
      <c r="KE229" s="922"/>
      <c r="KF229" s="922"/>
      <c r="KG229" s="922"/>
      <c r="KH229" s="922"/>
      <c r="KI229" s="922"/>
      <c r="KJ229" s="922"/>
      <c r="KK229" s="922"/>
      <c r="KL229" s="922"/>
      <c r="KM229" s="922"/>
      <c r="KN229" s="922"/>
      <c r="KO229" s="922"/>
      <c r="KP229" s="922"/>
      <c r="KQ229" s="922"/>
      <c r="KR229" s="922"/>
      <c r="KS229" s="922"/>
      <c r="KT229" s="922"/>
      <c r="KU229" s="922"/>
      <c r="KV229" s="922"/>
      <c r="KW229" s="922"/>
      <c r="KX229" s="922"/>
      <c r="KY229" s="922"/>
      <c r="KZ229" s="922"/>
      <c r="LA229" s="922"/>
      <c r="LB229" s="922"/>
      <c r="LC229" s="922"/>
      <c r="LD229" s="922"/>
      <c r="LE229" s="922"/>
      <c r="LF229" s="922"/>
      <c r="LG229" s="922"/>
      <c r="LH229" s="922"/>
      <c r="LI229" s="922"/>
      <c r="LJ229" s="922"/>
      <c r="LK229" s="922"/>
      <c r="LL229" s="922"/>
      <c r="LM229" s="922"/>
      <c r="LN229" s="922"/>
      <c r="LO229" s="922"/>
      <c r="LP229" s="922"/>
      <c r="LQ229" s="922"/>
      <c r="LR229" s="922"/>
      <c r="LS229" s="922"/>
      <c r="LT229" s="922"/>
      <c r="LU229" s="922"/>
      <c r="LV229" s="922"/>
      <c r="LW229" s="922"/>
      <c r="LX229" s="922"/>
      <c r="LY229" s="922"/>
      <c r="LZ229" s="922"/>
      <c r="MA229" s="922"/>
      <c r="MB229" s="922"/>
      <c r="MC229" s="922"/>
      <c r="MD229" s="922"/>
      <c r="ME229" s="922"/>
      <c r="MF229" s="922"/>
      <c r="MG229" s="922"/>
      <c r="MH229" s="922"/>
      <c r="MI229" s="922"/>
      <c r="MJ229" s="922"/>
      <c r="MK229" s="922"/>
      <c r="ML229" s="922"/>
      <c r="MM229" s="922"/>
      <c r="MN229" s="922"/>
      <c r="MO229" s="922"/>
      <c r="MP229" s="922"/>
      <c r="MQ229" s="922"/>
      <c r="MR229" s="922"/>
      <c r="MS229" s="922"/>
      <c r="MT229" s="922"/>
      <c r="MU229" s="922"/>
      <c r="MV229" s="922"/>
      <c r="MW229" s="922"/>
      <c r="MX229" s="922"/>
      <c r="MY229" s="922"/>
      <c r="MZ229" s="922"/>
      <c r="NA229" s="922"/>
      <c r="NB229" s="922"/>
      <c r="NC229" s="922"/>
      <c r="ND229" s="922"/>
      <c r="NE229" s="922"/>
      <c r="NF229" s="922"/>
      <c r="NG229" s="922"/>
      <c r="NH229" s="922"/>
      <c r="NI229" s="922"/>
      <c r="NJ229" s="922"/>
      <c r="NK229" s="922"/>
      <c r="NL229" s="922"/>
      <c r="NM229" s="922"/>
      <c r="NN229" s="922"/>
      <c r="NO229" s="922"/>
      <c r="NP229" s="922"/>
      <c r="NQ229" s="922"/>
      <c r="NR229" s="922"/>
      <c r="NS229" s="922"/>
      <c r="NT229" s="922"/>
      <c r="NU229" s="922"/>
      <c r="NV229" s="922"/>
      <c r="NW229" s="922"/>
      <c r="NX229" s="922"/>
      <c r="NY229" s="922"/>
      <c r="NZ229" s="922"/>
      <c r="OA229" s="922"/>
      <c r="OB229" s="922"/>
      <c r="OC229" s="922"/>
      <c r="OD229" s="922"/>
      <c r="OE229" s="922"/>
      <c r="OF229" s="922"/>
      <c r="OG229" s="922"/>
      <c r="OH229" s="922"/>
      <c r="OI229" s="922"/>
      <c r="OJ229" s="922"/>
      <c r="OK229" s="922"/>
      <c r="OL229" s="922"/>
      <c r="OM229" s="922"/>
      <c r="ON229" s="922"/>
      <c r="OO229" s="922"/>
      <c r="OP229" s="922"/>
      <c r="OQ229" s="922"/>
      <c r="OR229" s="922"/>
      <c r="OS229" s="922"/>
      <c r="OT229" s="922"/>
      <c r="OU229" s="922"/>
      <c r="OV229" s="922"/>
      <c r="OW229" s="922"/>
      <c r="OX229" s="922"/>
      <c r="OY229" s="922"/>
      <c r="OZ229" s="922"/>
      <c r="PA229" s="922"/>
      <c r="PB229" s="922"/>
      <c r="PC229" s="922"/>
      <c r="PD229" s="922"/>
      <c r="PE229" s="922"/>
      <c r="PF229" s="922"/>
      <c r="PG229" s="922"/>
      <c r="PH229" s="922"/>
      <c r="PI229" s="922"/>
      <c r="PJ229" s="922"/>
      <c r="PK229" s="922"/>
      <c r="PL229" s="922"/>
      <c r="PM229" s="922"/>
      <c r="PN229" s="922"/>
      <c r="PO229" s="922"/>
      <c r="PP229" s="922"/>
      <c r="PQ229" s="922"/>
      <c r="PR229" s="922"/>
      <c r="PS229" s="922"/>
      <c r="PT229" s="922"/>
      <c r="PU229" s="922"/>
      <c r="PV229" s="922"/>
      <c r="PW229" s="922"/>
      <c r="PX229" s="922"/>
      <c r="PY229" s="922"/>
      <c r="PZ229" s="922"/>
      <c r="QA229" s="922"/>
      <c r="QB229" s="922"/>
      <c r="QC229" s="922"/>
      <c r="QD229" s="922"/>
      <c r="QE229" s="922"/>
      <c r="QF229" s="922"/>
      <c r="QG229" s="922"/>
      <c r="QH229" s="922"/>
      <c r="QI229" s="922"/>
      <c r="QJ229" s="922"/>
      <c r="QK229" s="922"/>
      <c r="QL229" s="922"/>
      <c r="QM229" s="922"/>
      <c r="QN229" s="922"/>
      <c r="QO229" s="922"/>
      <c r="QP229" s="922"/>
      <c r="QQ229" s="922"/>
      <c r="QR229" s="922"/>
      <c r="QS229" s="922"/>
      <c r="QT229" s="922"/>
      <c r="QU229" s="922"/>
      <c r="QV229" s="922"/>
      <c r="QW229" s="922"/>
      <c r="QX229" s="922"/>
      <c r="QY229" s="922"/>
      <c r="QZ229" s="922"/>
      <c r="RA229" s="922"/>
      <c r="RB229" s="922"/>
      <c r="RC229" s="922"/>
      <c r="RD229" s="922"/>
      <c r="RE229" s="922"/>
      <c r="RF229" s="922"/>
      <c r="RG229" s="922"/>
      <c r="RH229" s="922"/>
      <c r="RI229" s="922"/>
      <c r="RJ229" s="922"/>
      <c r="RK229" s="922"/>
      <c r="RL229" s="922"/>
      <c r="RM229" s="922"/>
      <c r="RN229" s="922"/>
      <c r="RO229" s="922"/>
      <c r="RP229" s="922"/>
      <c r="RQ229" s="922"/>
      <c r="RR229" s="922"/>
      <c r="RS229" s="922"/>
      <c r="RT229" s="922"/>
      <c r="RU229" s="922"/>
      <c r="RV229" s="922"/>
      <c r="RW229" s="922"/>
      <c r="RX229" s="922"/>
      <c r="RY229" s="922"/>
      <c r="RZ229" s="922"/>
      <c r="SA229" s="922"/>
      <c r="SB229" s="922"/>
      <c r="SC229" s="922"/>
      <c r="SD229" s="922"/>
      <c r="SE229" s="922"/>
      <c r="SF229" s="922"/>
      <c r="SG229" s="922"/>
      <c r="SH229" s="922"/>
      <c r="SI229" s="922"/>
      <c r="SJ229" s="922"/>
      <c r="SK229" s="922"/>
      <c r="SL229" s="922"/>
      <c r="SM229" s="922"/>
      <c r="SN229" s="922"/>
      <c r="SO229" s="922"/>
      <c r="SP229" s="922"/>
      <c r="SQ229" s="922"/>
      <c r="SR229" s="922"/>
      <c r="SS229" s="922"/>
      <c r="ST229" s="922"/>
      <c r="SU229" s="922"/>
      <c r="SV229" s="922"/>
      <c r="SW229" s="922"/>
      <c r="SX229" s="922"/>
      <c r="SY229" s="922"/>
      <c r="SZ229" s="922"/>
      <c r="TA229" s="922"/>
      <c r="TB229" s="922"/>
      <c r="TC229" s="922"/>
      <c r="TD229" s="922"/>
      <c r="TE229" s="922"/>
      <c r="TF229" s="922"/>
      <c r="TG229" s="922"/>
      <c r="TH229" s="922"/>
      <c r="TI229" s="922"/>
      <c r="TJ229" s="922"/>
      <c r="TK229" s="922"/>
      <c r="TL229" s="922"/>
      <c r="TM229" s="922"/>
      <c r="TN229" s="922"/>
      <c r="TO229" s="922"/>
      <c r="TP229" s="922"/>
      <c r="TQ229" s="922"/>
      <c r="TR229" s="922"/>
      <c r="TS229" s="922"/>
      <c r="TT229" s="922"/>
      <c r="TU229" s="922"/>
      <c r="TV229" s="922"/>
      <c r="TW229" s="922"/>
      <c r="TX229" s="922"/>
      <c r="TY229" s="922"/>
      <c r="TZ229" s="922"/>
      <c r="UA229" s="922"/>
      <c r="UB229" s="922"/>
      <c r="UC229" s="922"/>
      <c r="UD229" s="922"/>
      <c r="UE229" s="922"/>
      <c r="UF229" s="922"/>
      <c r="UG229" s="922"/>
      <c r="UH229" s="922"/>
      <c r="UI229" s="922"/>
      <c r="UJ229" s="922"/>
      <c r="UK229" s="922"/>
      <c r="UL229" s="922"/>
      <c r="UM229" s="922"/>
      <c r="UN229" s="922"/>
      <c r="UO229" s="922"/>
      <c r="UP229" s="922"/>
      <c r="UQ229" s="922"/>
      <c r="UR229" s="922"/>
      <c r="US229" s="922"/>
      <c r="UT229" s="922"/>
      <c r="UU229" s="922"/>
      <c r="UV229" s="922"/>
      <c r="UW229" s="922"/>
      <c r="UX229" s="922"/>
      <c r="UY229" s="922"/>
      <c r="UZ229" s="922"/>
      <c r="VA229" s="922"/>
      <c r="VB229" s="922"/>
      <c r="VC229" s="922"/>
      <c r="VD229" s="922"/>
      <c r="VE229" s="922"/>
      <c r="VF229" s="922"/>
      <c r="VG229" s="922"/>
      <c r="VH229" s="922"/>
      <c r="VI229" s="922"/>
      <c r="VJ229" s="922"/>
      <c r="VK229" s="922"/>
      <c r="VL229" s="922"/>
      <c r="VM229" s="922"/>
      <c r="VN229" s="922"/>
      <c r="VO229" s="922"/>
      <c r="VP229" s="922"/>
      <c r="VQ229" s="922"/>
      <c r="VR229" s="922"/>
      <c r="VS229" s="922"/>
      <c r="VT229" s="922"/>
      <c r="VU229" s="922"/>
      <c r="VV229" s="922"/>
      <c r="VW229" s="922"/>
      <c r="VX229" s="922"/>
      <c r="VY229" s="922"/>
      <c r="VZ229" s="922"/>
      <c r="WA229" s="922"/>
      <c r="WB229" s="922"/>
      <c r="WC229" s="922"/>
      <c r="WD229" s="922"/>
      <c r="WE229" s="922"/>
      <c r="WF229" s="922"/>
      <c r="WG229" s="922"/>
      <c r="WH229" s="922"/>
      <c r="WI229" s="922"/>
      <c r="WJ229" s="922"/>
      <c r="WK229" s="922"/>
      <c r="WL229" s="922"/>
      <c r="WM229" s="922"/>
      <c r="WN229" s="922"/>
      <c r="WO229" s="922"/>
      <c r="WP229" s="922"/>
      <c r="WQ229" s="922"/>
      <c r="WR229" s="922"/>
      <c r="WS229" s="922"/>
      <c r="WT229" s="922"/>
      <c r="WU229" s="922"/>
      <c r="WV229" s="922"/>
      <c r="WW229" s="922"/>
      <c r="WX229" s="922"/>
      <c r="WY229" s="922"/>
      <c r="WZ229" s="922"/>
      <c r="XA229" s="922"/>
      <c r="XB229" s="922"/>
      <c r="XC229" s="922"/>
      <c r="XD229" s="922"/>
      <c r="XE229" s="922"/>
      <c r="XF229" s="922"/>
      <c r="XG229" s="922"/>
      <c r="XH229" s="922"/>
      <c r="XI229" s="922"/>
      <c r="XJ229" s="922"/>
      <c r="XK229" s="922"/>
      <c r="XL229" s="922"/>
      <c r="XM229" s="922"/>
      <c r="XN229" s="922"/>
      <c r="XO229" s="922"/>
      <c r="XP229" s="922"/>
      <c r="XQ229" s="922"/>
      <c r="XR229" s="922"/>
      <c r="XS229" s="922"/>
      <c r="XT229" s="922"/>
      <c r="XU229" s="922"/>
      <c r="XV229" s="922"/>
      <c r="XW229" s="922"/>
      <c r="XX229" s="922"/>
      <c r="XY229" s="922"/>
      <c r="XZ229" s="922"/>
      <c r="YA229" s="922"/>
      <c r="YB229" s="922"/>
      <c r="YC229" s="922"/>
      <c r="YD229" s="922"/>
      <c r="YE229" s="922"/>
      <c r="YF229" s="922"/>
      <c r="YG229" s="922"/>
      <c r="YH229" s="922"/>
      <c r="YI229" s="922"/>
      <c r="YJ229" s="922"/>
      <c r="YK229" s="922"/>
      <c r="YL229" s="922"/>
      <c r="YM229" s="922"/>
      <c r="YN229" s="922"/>
      <c r="YO229" s="922"/>
      <c r="YP229" s="922"/>
      <c r="YQ229" s="922"/>
      <c r="YR229" s="922"/>
      <c r="YS229" s="922"/>
      <c r="YT229" s="922"/>
      <c r="YU229" s="922"/>
      <c r="YV229" s="922"/>
      <c r="YW229" s="922"/>
      <c r="YX229" s="922"/>
      <c r="YY229" s="922"/>
      <c r="YZ229" s="922"/>
      <c r="ZA229" s="922"/>
      <c r="ZB229" s="922"/>
      <c r="ZC229" s="922"/>
      <c r="ZD229" s="922"/>
      <c r="ZE229" s="922"/>
      <c r="ZF229" s="922"/>
      <c r="ZG229" s="922"/>
      <c r="ZH229" s="922"/>
      <c r="ZI229" s="922"/>
      <c r="ZJ229" s="922"/>
      <c r="ZK229" s="922"/>
      <c r="ZL229" s="922"/>
      <c r="ZM229" s="922"/>
      <c r="ZN229" s="922"/>
      <c r="ZO229" s="922"/>
      <c r="ZP229" s="922"/>
      <c r="ZQ229" s="922"/>
      <c r="ZR229" s="922"/>
      <c r="ZS229" s="922"/>
      <c r="ZT229" s="922"/>
      <c r="ZU229" s="922"/>
      <c r="ZV229" s="922"/>
      <c r="ZW229" s="922"/>
      <c r="ZX229" s="922"/>
      <c r="ZY229" s="922"/>
      <c r="ZZ229" s="922"/>
      <c r="AAA229" s="922"/>
      <c r="AAB229" s="922"/>
      <c r="AAC229" s="922"/>
      <c r="AAD229" s="922"/>
      <c r="AAE229" s="922"/>
      <c r="AAF229" s="922"/>
      <c r="AAG229" s="922"/>
      <c r="AAH229" s="922"/>
      <c r="AAI229" s="922"/>
      <c r="AAJ229" s="922"/>
      <c r="AAK229" s="922"/>
      <c r="AAL229" s="922"/>
      <c r="AAM229" s="922"/>
      <c r="AAN229" s="922"/>
      <c r="AAO229" s="922"/>
      <c r="AAP229" s="922"/>
      <c r="AAQ229" s="922"/>
      <c r="AAR229" s="922"/>
      <c r="AAS229" s="922"/>
      <c r="AAT229" s="922"/>
      <c r="AAU229" s="922"/>
      <c r="AAV229" s="922"/>
      <c r="AAW229" s="922"/>
      <c r="AAX229" s="922"/>
      <c r="AAY229" s="922"/>
      <c r="AAZ229" s="922"/>
      <c r="ABA229" s="922"/>
      <c r="ABB229" s="922"/>
      <c r="ABC229" s="922"/>
      <c r="ABD229" s="922"/>
      <c r="ABE229" s="922"/>
      <c r="ABF229" s="922"/>
      <c r="ABG229" s="922"/>
      <c r="ABH229" s="922"/>
      <c r="ABI229" s="922"/>
      <c r="ABJ229" s="922"/>
      <c r="ABK229" s="922"/>
      <c r="ABL229" s="922"/>
      <c r="ABM229" s="922"/>
      <c r="ABN229" s="922"/>
      <c r="ABO229" s="922"/>
      <c r="ABP229" s="922"/>
      <c r="ABQ229" s="922"/>
      <c r="ABR229" s="922"/>
      <c r="ABS229" s="922"/>
      <c r="ABT229" s="922"/>
      <c r="ABU229" s="922"/>
      <c r="ABV229" s="922"/>
      <c r="ABW229" s="922"/>
      <c r="ABX229" s="922"/>
      <c r="ABY229" s="922"/>
      <c r="ABZ229" s="922"/>
      <c r="ACA229" s="922"/>
      <c r="ACB229" s="922"/>
      <c r="ACC229" s="922"/>
      <c r="ACD229" s="922"/>
      <c r="ACE229" s="922"/>
      <c r="ACF229" s="922"/>
      <c r="ACG229" s="922"/>
      <c r="ACH229" s="922"/>
      <c r="ACI229" s="922"/>
      <c r="ACJ229" s="922"/>
      <c r="ACK229" s="922"/>
      <c r="ACL229" s="922"/>
      <c r="ACM229" s="922"/>
      <c r="ACN229" s="922"/>
      <c r="ACO229" s="922"/>
      <c r="ACP229" s="922"/>
      <c r="ACQ229" s="922"/>
      <c r="ACR229" s="922"/>
      <c r="ACS229" s="922"/>
      <c r="ACT229" s="922"/>
      <c r="ACU229" s="922"/>
      <c r="ACV229" s="922"/>
      <c r="ACW229" s="922"/>
      <c r="ACX229" s="922"/>
      <c r="ACY229" s="922"/>
      <c r="ACZ229" s="922"/>
      <c r="ADA229" s="922"/>
      <c r="ADB229" s="922"/>
      <c r="ADC229" s="922"/>
      <c r="ADD229" s="922"/>
      <c r="ADE229" s="922"/>
      <c r="ADF229" s="922"/>
      <c r="ADG229" s="922"/>
      <c r="ADH229" s="922"/>
      <c r="ADI229" s="922"/>
      <c r="ADJ229" s="922"/>
      <c r="ADK229" s="922"/>
      <c r="ADL229" s="922"/>
      <c r="ADM229" s="922"/>
      <c r="ADN229" s="922"/>
      <c r="ADO229" s="922"/>
      <c r="ADP229" s="922"/>
      <c r="ADQ229" s="922"/>
      <c r="ADR229" s="922"/>
      <c r="ADS229" s="922"/>
      <c r="ADT229" s="922"/>
      <c r="ADU229" s="922"/>
      <c r="ADV229" s="922"/>
      <c r="ADW229" s="922"/>
      <c r="ADX229" s="922"/>
      <c r="ADY229" s="922"/>
      <c r="ADZ229" s="922"/>
      <c r="AEA229" s="922"/>
      <c r="AEB229" s="922"/>
      <c r="AEC229" s="922"/>
      <c r="AED229" s="922"/>
      <c r="AEE229" s="922"/>
      <c r="AEF229" s="922"/>
      <c r="AEG229" s="922"/>
      <c r="AEH229" s="922"/>
      <c r="AEI229" s="922"/>
      <c r="AEJ229" s="922"/>
      <c r="AEK229" s="922"/>
      <c r="AEL229" s="922"/>
      <c r="AEM229" s="922"/>
      <c r="AEN229" s="922"/>
      <c r="AEO229" s="922"/>
      <c r="AEP229" s="922"/>
      <c r="AEQ229" s="922"/>
      <c r="AER229" s="922"/>
      <c r="AES229" s="922"/>
      <c r="AET229" s="922"/>
      <c r="AEU229" s="922"/>
      <c r="AEV229" s="922"/>
      <c r="AEW229" s="922"/>
      <c r="AEX229" s="922"/>
      <c r="AEY229" s="922"/>
      <c r="AEZ229" s="922"/>
      <c r="AFA229" s="922"/>
      <c r="AFB229" s="922"/>
      <c r="AFC229" s="922"/>
      <c r="AFD229" s="922"/>
      <c r="AFE229" s="922"/>
      <c r="AFF229" s="922"/>
      <c r="AFG229" s="922"/>
      <c r="AFH229" s="922"/>
      <c r="AFI229" s="922"/>
      <c r="AFJ229" s="922"/>
      <c r="AFK229" s="922"/>
      <c r="AFL229" s="922"/>
      <c r="AFM229" s="922"/>
      <c r="AFN229" s="922"/>
      <c r="AFO229" s="922"/>
      <c r="AFP229" s="922"/>
      <c r="AFQ229" s="922"/>
      <c r="AFR229" s="922"/>
      <c r="AFS229" s="922"/>
      <c r="AFT229" s="922"/>
      <c r="AFU229" s="922"/>
      <c r="AFV229" s="922"/>
      <c r="AFW229" s="922"/>
      <c r="AFX229" s="922"/>
      <c r="AFY229" s="922"/>
      <c r="AFZ229" s="922"/>
      <c r="AGA229" s="922"/>
      <c r="AGB229" s="922"/>
      <c r="AGC229" s="922"/>
      <c r="AGD229" s="922"/>
      <c r="AGE229" s="922"/>
      <c r="AGF229" s="922"/>
      <c r="AGG229" s="922"/>
      <c r="AGH229" s="922"/>
      <c r="AGI229" s="922"/>
      <c r="AGJ229" s="922"/>
      <c r="AGK229" s="922"/>
      <c r="AGL229" s="922"/>
      <c r="AGM229" s="922"/>
      <c r="AGN229" s="922"/>
      <c r="AGO229" s="922"/>
      <c r="AGP229" s="922"/>
      <c r="AGQ229" s="922"/>
      <c r="AGR229" s="922"/>
      <c r="AGS229" s="922"/>
      <c r="AGT229" s="922"/>
      <c r="AGU229" s="922"/>
      <c r="AGV229" s="922"/>
      <c r="AGW229" s="922"/>
      <c r="AGX229" s="922"/>
      <c r="AGY229" s="922"/>
      <c r="AGZ229" s="922"/>
      <c r="AHA229" s="922"/>
      <c r="AHB229" s="922"/>
      <c r="AHC229" s="922"/>
      <c r="AHD229" s="922"/>
      <c r="AHE229" s="922"/>
      <c r="AHF229" s="922"/>
      <c r="AHG229" s="922"/>
      <c r="AHH229" s="922"/>
      <c r="AHI229" s="922"/>
      <c r="AHJ229" s="922"/>
      <c r="AHK229" s="922"/>
      <c r="AHL229" s="922"/>
      <c r="AHM229" s="922"/>
      <c r="AHN229" s="922"/>
      <c r="AHO229" s="922"/>
      <c r="AHP229" s="922"/>
      <c r="AHQ229" s="922"/>
      <c r="AHR229" s="922"/>
      <c r="AHS229" s="922"/>
      <c r="AHT229" s="922"/>
      <c r="AHU229" s="922"/>
      <c r="AHV229" s="922"/>
      <c r="AHW229" s="922"/>
      <c r="AHX229" s="922"/>
      <c r="AHY229" s="922"/>
      <c r="AHZ229" s="922"/>
      <c r="AIA229" s="922"/>
      <c r="AIB229" s="922"/>
      <c r="AIC229" s="922"/>
      <c r="AID229" s="922"/>
      <c r="AIE229" s="922"/>
      <c r="AIF229" s="922"/>
      <c r="AIG229" s="922"/>
      <c r="AIH229" s="922"/>
      <c r="AII229" s="922"/>
      <c r="AIJ229" s="922"/>
      <c r="AIK229" s="922"/>
      <c r="AIL229" s="922"/>
      <c r="AIM229" s="922"/>
      <c r="AIN229" s="922"/>
      <c r="AIO229" s="922"/>
      <c r="AIP229" s="922"/>
      <c r="AIQ229" s="922"/>
      <c r="AIR229" s="922"/>
      <c r="AIS229" s="922"/>
      <c r="AIT229" s="922"/>
      <c r="AIU229" s="922"/>
      <c r="AIV229" s="922"/>
      <c r="AIW229" s="922"/>
      <c r="AIX229" s="922"/>
      <c r="AIY229" s="922"/>
      <c r="AIZ229" s="922"/>
      <c r="AJA229" s="922"/>
      <c r="AJB229" s="922"/>
      <c r="AJC229" s="922"/>
      <c r="AJD229" s="922"/>
      <c r="AJE229" s="922"/>
      <c r="AJF229" s="922"/>
      <c r="AJG229" s="922"/>
      <c r="AJH229" s="922"/>
      <c r="AJI229" s="922"/>
      <c r="AJJ229" s="922"/>
      <c r="AJK229" s="922"/>
      <c r="AJL229" s="922"/>
      <c r="AJM229" s="922"/>
      <c r="AJN229" s="922"/>
      <c r="AJO229" s="922"/>
      <c r="AJP229" s="922"/>
      <c r="AJQ229" s="922"/>
      <c r="AJR229" s="922"/>
      <c r="AJS229" s="922"/>
      <c r="AJT229" s="922"/>
      <c r="AJU229" s="922"/>
      <c r="AJV229" s="922"/>
      <c r="AJW229" s="922"/>
      <c r="AJX229" s="922"/>
      <c r="AJY229" s="922"/>
      <c r="AJZ229" s="922"/>
      <c r="AKA229" s="922"/>
      <c r="AKB229" s="922"/>
      <c r="AKC229" s="922"/>
      <c r="AKD229" s="922"/>
      <c r="AKE229" s="922"/>
      <c r="AKF229" s="922"/>
      <c r="AKG229" s="922"/>
      <c r="AKH229" s="922"/>
      <c r="AKI229" s="922"/>
      <c r="AKJ229" s="922"/>
      <c r="AKK229" s="922"/>
      <c r="AKL229" s="922"/>
      <c r="AKM229" s="922"/>
      <c r="AKN229" s="922"/>
      <c r="AKO229" s="922"/>
      <c r="AKP229" s="922"/>
      <c r="AKQ229" s="922"/>
      <c r="AKR229" s="922"/>
      <c r="AKS229" s="922"/>
      <c r="AKT229" s="922"/>
      <c r="AKU229" s="922"/>
      <c r="AKV229" s="922"/>
      <c r="AKW229" s="922"/>
      <c r="AKX229" s="922"/>
      <c r="AKY229" s="922"/>
      <c r="AKZ229" s="922"/>
      <c r="ALA229" s="922"/>
      <c r="ALB229" s="922"/>
      <c r="ALC229" s="922"/>
      <c r="ALD229" s="922"/>
      <c r="ALE229" s="922"/>
      <c r="ALF229" s="922"/>
      <c r="ALG229" s="922"/>
      <c r="ALH229" s="922"/>
      <c r="ALI229" s="922"/>
      <c r="ALJ229" s="922"/>
      <c r="ALK229" s="922"/>
      <c r="ALL229" s="922"/>
      <c r="ALM229" s="922"/>
      <c r="ALN229" s="922"/>
      <c r="ALO229" s="922"/>
      <c r="ALP229" s="922"/>
      <c r="ALQ229" s="922"/>
      <c r="ALR229" s="922"/>
      <c r="ALS229" s="922"/>
      <c r="ALT229" s="922"/>
      <c r="ALU229" s="922"/>
      <c r="ALV229" s="922"/>
      <c r="ALW229" s="922"/>
      <c r="ALX229" s="922"/>
      <c r="ALY229" s="922"/>
      <c r="ALZ229" s="922"/>
      <c r="AMA229" s="922"/>
      <c r="AMB229" s="922"/>
      <c r="AMC229" s="922"/>
      <c r="AMD229" s="922"/>
      <c r="AME229" s="922"/>
      <c r="AMF229" s="922"/>
      <c r="AMG229" s="922"/>
      <c r="AMH229" s="922"/>
      <c r="AMI229" s="922"/>
      <c r="AMJ229" s="922"/>
      <c r="AMK229" s="922"/>
      <c r="AML229" s="922"/>
      <c r="AMM229" s="922"/>
      <c r="AMN229" s="922"/>
      <c r="AMO229" s="922"/>
      <c r="AMP229" s="922"/>
      <c r="AMQ229" s="922"/>
      <c r="AMR229" s="922"/>
      <c r="AMS229" s="922"/>
      <c r="AMT229" s="922"/>
      <c r="AMU229" s="922"/>
      <c r="AMV229" s="922"/>
      <c r="AMW229" s="922"/>
      <c r="AMX229" s="922"/>
      <c r="AMY229" s="922"/>
      <c r="AMZ229" s="922"/>
      <c r="ANA229" s="922"/>
      <c r="ANB229" s="922"/>
      <c r="ANC229" s="922"/>
      <c r="AND229" s="922"/>
      <c r="ANE229" s="922"/>
      <c r="ANF229" s="922"/>
      <c r="ANG229" s="922"/>
      <c r="ANH229" s="922"/>
      <c r="ANI229" s="922"/>
      <c r="ANJ229" s="922"/>
      <c r="ANK229" s="922"/>
      <c r="ANL229" s="922"/>
      <c r="ANM229" s="922"/>
      <c r="ANN229" s="922"/>
      <c r="ANO229" s="922"/>
      <c r="ANP229" s="922"/>
      <c r="ANQ229" s="922"/>
      <c r="ANR229" s="922"/>
      <c r="ANS229" s="922"/>
      <c r="ANT229" s="922"/>
      <c r="ANU229" s="922"/>
      <c r="ANV229" s="922"/>
      <c r="ANW229" s="922"/>
      <c r="ANX229" s="922"/>
      <c r="ANY229" s="922"/>
      <c r="ANZ229" s="922"/>
      <c r="AOA229" s="922"/>
      <c r="AOB229" s="922"/>
      <c r="AOC229" s="922"/>
      <c r="AOD229" s="922"/>
      <c r="AOE229" s="922"/>
      <c r="AOF229" s="922"/>
      <c r="AOG229" s="922"/>
      <c r="AOH229" s="922"/>
      <c r="AOI229" s="922"/>
      <c r="AOJ229" s="922"/>
      <c r="AOK229" s="922"/>
      <c r="AOL229" s="922"/>
      <c r="AOM229" s="922"/>
      <c r="AON229" s="922"/>
      <c r="AOO229" s="922"/>
      <c r="AOP229" s="922"/>
      <c r="AOQ229" s="922"/>
      <c r="AOR229" s="922"/>
      <c r="AOS229" s="922"/>
      <c r="AOT229" s="922"/>
      <c r="AOU229" s="922"/>
      <c r="AOV229" s="922"/>
      <c r="AOW229" s="922"/>
      <c r="AOX229" s="922"/>
      <c r="AOY229" s="922"/>
      <c r="AOZ229" s="922"/>
      <c r="APA229" s="922"/>
      <c r="APB229" s="922"/>
      <c r="APC229" s="922"/>
      <c r="APD229" s="922"/>
      <c r="APE229" s="922"/>
      <c r="APF229" s="922"/>
      <c r="APG229" s="922"/>
      <c r="APH229" s="922"/>
      <c r="API229" s="922"/>
      <c r="APJ229" s="922"/>
      <c r="APK229" s="922"/>
      <c r="APL229" s="922"/>
      <c r="APM229" s="922"/>
      <c r="APN229" s="922"/>
      <c r="APO229" s="922"/>
      <c r="APP229" s="922"/>
      <c r="APQ229" s="922"/>
      <c r="APR229" s="922"/>
      <c r="APS229" s="922"/>
      <c r="APT229" s="922"/>
      <c r="APU229" s="922"/>
      <c r="APV229" s="922"/>
      <c r="APW229" s="922"/>
      <c r="APX229" s="922"/>
      <c r="APY229" s="922"/>
      <c r="APZ229" s="922"/>
      <c r="AQA229" s="922"/>
      <c r="AQB229" s="922"/>
      <c r="AQC229" s="922"/>
      <c r="AQD229" s="922"/>
      <c r="AQE229" s="922"/>
      <c r="AQF229" s="922"/>
      <c r="AQG229" s="922"/>
      <c r="AQH229" s="922"/>
      <c r="AQI229" s="922"/>
      <c r="AQJ229" s="922"/>
      <c r="AQK229" s="922"/>
      <c r="AQL229" s="922"/>
      <c r="AQM229" s="922"/>
      <c r="AQN229" s="922"/>
      <c r="AQO229" s="922"/>
      <c r="AQP229" s="922"/>
      <c r="AQQ229" s="922"/>
      <c r="AQR229" s="922"/>
      <c r="AQS229" s="922"/>
      <c r="AQT229" s="922"/>
      <c r="AQU229" s="922"/>
      <c r="AQV229" s="922"/>
      <c r="AQW229" s="922"/>
      <c r="AQX229" s="922"/>
      <c r="AQY229" s="922"/>
      <c r="AQZ229" s="922"/>
      <c r="ARA229" s="922"/>
      <c r="ARB229" s="922"/>
      <c r="ARC229" s="922"/>
      <c r="ARD229" s="922"/>
      <c r="ARE229" s="922"/>
      <c r="ARF229" s="922"/>
      <c r="ARG229" s="922"/>
      <c r="ARH229" s="922"/>
      <c r="ARI229" s="922"/>
      <c r="ARJ229" s="922"/>
      <c r="ARK229" s="922"/>
      <c r="ARL229" s="922"/>
      <c r="ARM229" s="922"/>
      <c r="ARN229" s="922"/>
      <c r="ARO229" s="922"/>
      <c r="ARP229" s="922"/>
      <c r="ARQ229" s="922"/>
      <c r="ARR229" s="922"/>
      <c r="ARS229" s="922"/>
      <c r="ART229" s="922"/>
      <c r="ARU229" s="922"/>
      <c r="ARV229" s="922"/>
      <c r="ARW229" s="922"/>
      <c r="ARX229" s="922"/>
      <c r="ARY229" s="922"/>
      <c r="ARZ229" s="922"/>
      <c r="ASA229" s="922"/>
      <c r="ASB229" s="922"/>
      <c r="ASC229" s="922"/>
    </row>
    <row r="230" spans="20:1173" hidden="1">
      <c r="T230" s="922"/>
      <c r="AN230" s="922"/>
      <c r="AO230" s="922"/>
      <c r="AP230" s="922"/>
      <c r="AQ230" s="922"/>
      <c r="AR230" s="922"/>
      <c r="AS230" s="922"/>
      <c r="AT230" s="922"/>
      <c r="AU230" s="922"/>
      <c r="AV230" s="922"/>
      <c r="AW230" s="922"/>
      <c r="AX230" s="922"/>
      <c r="AY230" s="922"/>
      <c r="AZ230" s="922"/>
      <c r="BA230" s="922"/>
      <c r="BB230" s="922"/>
      <c r="BC230" s="922"/>
      <c r="BD230" s="922"/>
      <c r="BE230" s="922"/>
      <c r="BF230" s="922"/>
      <c r="BG230" s="922"/>
      <c r="BH230" s="922"/>
      <c r="BI230" s="922"/>
      <c r="BJ230" s="922"/>
      <c r="BK230" s="922"/>
      <c r="BL230" s="922"/>
      <c r="BM230" s="922"/>
      <c r="BN230" s="922"/>
      <c r="BO230" s="922"/>
      <c r="BP230" s="922"/>
      <c r="BQ230" s="922"/>
      <c r="BR230" s="922"/>
      <c r="BS230" s="922"/>
      <c r="BT230" s="922"/>
      <c r="BU230" s="922"/>
      <c r="BV230" s="922"/>
      <c r="BW230" s="922"/>
      <c r="BX230" s="922"/>
      <c r="BY230" s="922"/>
      <c r="BZ230" s="922"/>
      <c r="CA230" s="922"/>
      <c r="CB230" s="922"/>
      <c r="CC230" s="922"/>
      <c r="CD230" s="922"/>
      <c r="CE230" s="922"/>
      <c r="CF230" s="922"/>
      <c r="CG230" s="922"/>
      <c r="CH230" s="922"/>
      <c r="CI230" s="922"/>
      <c r="CJ230" s="922"/>
      <c r="CK230" s="922"/>
      <c r="CL230" s="922"/>
      <c r="CM230" s="922"/>
      <c r="CN230" s="922"/>
      <c r="CO230" s="922"/>
      <c r="CP230" s="922"/>
      <c r="CQ230" s="922"/>
      <c r="CR230" s="922"/>
      <c r="CS230" s="922"/>
      <c r="CT230" s="922"/>
      <c r="CU230" s="922"/>
      <c r="CV230" s="922"/>
      <c r="CW230" s="922"/>
      <c r="CX230" s="922"/>
      <c r="CY230" s="922"/>
      <c r="CZ230" s="922"/>
      <c r="DA230" s="922"/>
      <c r="DB230" s="922"/>
      <c r="DC230" s="922"/>
      <c r="DD230" s="922"/>
      <c r="DE230" s="922"/>
      <c r="DF230" s="922"/>
      <c r="DG230" s="922"/>
      <c r="DH230" s="922"/>
      <c r="DI230" s="922"/>
      <c r="DJ230" s="922"/>
      <c r="DK230" s="922"/>
      <c r="DL230" s="922"/>
      <c r="DM230" s="922"/>
      <c r="DN230" s="922"/>
      <c r="DO230" s="922"/>
      <c r="DP230" s="922"/>
      <c r="DQ230" s="922"/>
      <c r="DR230" s="922"/>
      <c r="DS230" s="922"/>
      <c r="DT230" s="922"/>
      <c r="DU230" s="922"/>
      <c r="DV230" s="922"/>
      <c r="DW230" s="922"/>
      <c r="DX230" s="922"/>
      <c r="DY230" s="922"/>
      <c r="DZ230" s="922"/>
      <c r="EA230" s="922"/>
      <c r="EB230" s="922"/>
      <c r="EC230" s="922"/>
      <c r="ED230" s="922"/>
      <c r="EE230" s="922"/>
      <c r="EF230" s="922"/>
      <c r="EG230" s="922"/>
      <c r="EH230" s="922"/>
      <c r="EI230" s="922"/>
      <c r="EJ230" s="922"/>
      <c r="EK230" s="922"/>
      <c r="EL230" s="922"/>
      <c r="EM230" s="922"/>
      <c r="EN230" s="922"/>
      <c r="EO230" s="922"/>
      <c r="EP230" s="922"/>
      <c r="EQ230" s="922"/>
      <c r="ER230" s="922"/>
      <c r="ES230" s="922"/>
      <c r="ET230" s="922"/>
      <c r="EU230" s="922"/>
      <c r="EV230" s="922"/>
      <c r="EW230" s="922"/>
      <c r="EX230" s="922"/>
      <c r="EY230" s="922"/>
      <c r="EZ230" s="922"/>
      <c r="FA230" s="922"/>
      <c r="FB230" s="922"/>
      <c r="FC230" s="922"/>
      <c r="FD230" s="922"/>
      <c r="FE230" s="922"/>
      <c r="FF230" s="922"/>
      <c r="FG230" s="922"/>
      <c r="FH230" s="922"/>
      <c r="FI230" s="922"/>
      <c r="FJ230" s="922"/>
      <c r="FK230" s="922"/>
      <c r="FL230" s="922"/>
      <c r="FM230" s="922"/>
      <c r="FN230" s="922"/>
      <c r="FO230" s="922"/>
      <c r="FP230" s="922"/>
      <c r="FQ230" s="922"/>
      <c r="FR230" s="922"/>
      <c r="FS230" s="922"/>
      <c r="FT230" s="922"/>
      <c r="FU230" s="922"/>
      <c r="FV230" s="922"/>
      <c r="FW230" s="922"/>
      <c r="FX230" s="922"/>
      <c r="FY230" s="922"/>
      <c r="FZ230" s="922"/>
      <c r="GA230" s="922"/>
      <c r="GB230" s="922"/>
      <c r="GC230" s="922"/>
      <c r="GD230" s="922"/>
      <c r="GE230" s="922"/>
      <c r="GF230" s="922"/>
      <c r="GG230" s="922"/>
      <c r="GH230" s="922"/>
      <c r="GI230" s="922"/>
      <c r="GJ230" s="922"/>
      <c r="GK230" s="922"/>
      <c r="GL230" s="922"/>
      <c r="GM230" s="922"/>
      <c r="GN230" s="922"/>
      <c r="GO230" s="922"/>
      <c r="GP230" s="922"/>
      <c r="GQ230" s="922"/>
      <c r="GR230" s="922"/>
      <c r="GS230" s="922"/>
      <c r="GT230" s="922"/>
      <c r="GU230" s="922"/>
      <c r="GV230" s="922"/>
      <c r="GW230" s="922"/>
      <c r="GX230" s="922"/>
      <c r="GY230" s="922"/>
      <c r="GZ230" s="922"/>
      <c r="HA230" s="922"/>
      <c r="HB230" s="922"/>
      <c r="HC230" s="922"/>
      <c r="HD230" s="922"/>
      <c r="HE230" s="922"/>
      <c r="HF230" s="922"/>
      <c r="HG230" s="922"/>
      <c r="HH230" s="922"/>
      <c r="HI230" s="922"/>
      <c r="HJ230" s="922"/>
      <c r="HK230" s="922"/>
      <c r="HL230" s="922"/>
      <c r="HM230" s="922"/>
      <c r="HN230" s="922"/>
      <c r="HO230" s="922"/>
      <c r="HP230" s="922"/>
      <c r="HQ230" s="922"/>
      <c r="HR230" s="922"/>
      <c r="HS230" s="922"/>
      <c r="HT230" s="922"/>
      <c r="HU230" s="922"/>
      <c r="HV230" s="922"/>
      <c r="HW230" s="922"/>
      <c r="HX230" s="922"/>
      <c r="HY230" s="922"/>
      <c r="HZ230" s="922"/>
      <c r="IA230" s="922"/>
      <c r="IB230" s="922"/>
      <c r="IC230" s="922"/>
      <c r="ID230" s="922"/>
      <c r="IE230" s="922"/>
      <c r="IF230" s="922"/>
      <c r="IG230" s="922"/>
      <c r="IH230" s="922"/>
      <c r="II230" s="922"/>
      <c r="IJ230" s="922"/>
      <c r="IK230" s="922"/>
      <c r="IL230" s="922"/>
      <c r="IM230" s="922"/>
      <c r="IN230" s="922"/>
      <c r="IO230" s="922"/>
      <c r="IP230" s="922"/>
      <c r="IQ230" s="922"/>
      <c r="IR230" s="922"/>
      <c r="IS230" s="922"/>
      <c r="IT230" s="922"/>
      <c r="IU230" s="922"/>
      <c r="IV230" s="922"/>
      <c r="IW230" s="922"/>
      <c r="IX230" s="922"/>
      <c r="IY230" s="922"/>
      <c r="IZ230" s="922"/>
      <c r="JA230" s="922"/>
      <c r="JB230" s="922"/>
      <c r="JC230" s="922"/>
      <c r="JD230" s="922"/>
      <c r="JE230" s="922"/>
      <c r="JF230" s="922"/>
      <c r="JG230" s="922"/>
      <c r="JH230" s="922"/>
      <c r="JI230" s="922"/>
      <c r="JJ230" s="922"/>
      <c r="JK230" s="922"/>
      <c r="JL230" s="922"/>
      <c r="JM230" s="922"/>
      <c r="JN230" s="922"/>
      <c r="JO230" s="922"/>
      <c r="JP230" s="922"/>
      <c r="JQ230" s="922"/>
      <c r="JR230" s="922"/>
      <c r="JS230" s="922"/>
      <c r="JT230" s="922"/>
      <c r="JU230" s="922"/>
      <c r="JV230" s="922"/>
      <c r="JW230" s="922"/>
      <c r="JX230" s="922"/>
      <c r="JY230" s="922"/>
      <c r="JZ230" s="922"/>
      <c r="KA230" s="922"/>
      <c r="KB230" s="922"/>
      <c r="KC230" s="922"/>
      <c r="KD230" s="922"/>
      <c r="KE230" s="922"/>
      <c r="KF230" s="922"/>
      <c r="KG230" s="922"/>
      <c r="KH230" s="922"/>
      <c r="KI230" s="922"/>
      <c r="KJ230" s="922"/>
      <c r="KK230" s="922"/>
      <c r="KL230" s="922"/>
      <c r="KM230" s="922"/>
      <c r="KN230" s="922"/>
      <c r="KO230" s="922"/>
      <c r="KP230" s="922"/>
      <c r="KQ230" s="922"/>
      <c r="KR230" s="922"/>
      <c r="KS230" s="922"/>
      <c r="KT230" s="922"/>
      <c r="KU230" s="922"/>
      <c r="KV230" s="922"/>
      <c r="KW230" s="922"/>
      <c r="KX230" s="922"/>
      <c r="KY230" s="922"/>
      <c r="KZ230" s="922"/>
      <c r="LA230" s="922"/>
      <c r="LB230" s="922"/>
      <c r="LC230" s="922"/>
      <c r="LD230" s="922"/>
      <c r="LE230" s="922"/>
      <c r="LF230" s="922"/>
      <c r="LG230" s="922"/>
      <c r="LH230" s="922"/>
      <c r="LI230" s="922"/>
      <c r="LJ230" s="922"/>
      <c r="LK230" s="922"/>
      <c r="LL230" s="922"/>
      <c r="LM230" s="922"/>
      <c r="LN230" s="922"/>
      <c r="LO230" s="922"/>
      <c r="LP230" s="922"/>
      <c r="LQ230" s="922"/>
      <c r="LR230" s="922"/>
      <c r="LS230" s="922"/>
      <c r="LT230" s="922"/>
      <c r="LU230" s="922"/>
      <c r="LV230" s="922"/>
      <c r="LW230" s="922"/>
      <c r="LX230" s="922"/>
      <c r="LY230" s="922"/>
      <c r="LZ230" s="922"/>
      <c r="MA230" s="922"/>
      <c r="MB230" s="922"/>
      <c r="MC230" s="922"/>
      <c r="MD230" s="922"/>
      <c r="ME230" s="922"/>
      <c r="MF230" s="922"/>
      <c r="MG230" s="922"/>
      <c r="MH230" s="922"/>
      <c r="MI230" s="922"/>
      <c r="MJ230" s="922"/>
      <c r="MK230" s="922"/>
      <c r="ML230" s="922"/>
      <c r="MM230" s="922"/>
      <c r="MN230" s="922"/>
      <c r="MO230" s="922"/>
      <c r="MP230" s="922"/>
      <c r="MQ230" s="922"/>
      <c r="MR230" s="922"/>
      <c r="MS230" s="922"/>
      <c r="MT230" s="922"/>
      <c r="MU230" s="922"/>
      <c r="MV230" s="922"/>
      <c r="MW230" s="922"/>
      <c r="MX230" s="922"/>
      <c r="MY230" s="922"/>
      <c r="MZ230" s="922"/>
      <c r="NA230" s="922"/>
      <c r="NB230" s="922"/>
      <c r="NC230" s="922"/>
      <c r="ND230" s="922"/>
      <c r="NE230" s="922"/>
      <c r="NF230" s="922"/>
      <c r="NG230" s="922"/>
      <c r="NH230" s="922"/>
      <c r="NI230" s="922"/>
      <c r="NJ230" s="922"/>
      <c r="NK230" s="922"/>
      <c r="NL230" s="922"/>
      <c r="NM230" s="922"/>
      <c r="NN230" s="922"/>
      <c r="NO230" s="922"/>
      <c r="NP230" s="922"/>
      <c r="NQ230" s="922"/>
      <c r="NR230" s="922"/>
      <c r="NS230" s="922"/>
      <c r="NT230" s="922"/>
      <c r="NU230" s="922"/>
      <c r="NV230" s="922"/>
      <c r="NW230" s="922"/>
      <c r="NX230" s="922"/>
      <c r="NY230" s="922"/>
      <c r="NZ230" s="922"/>
      <c r="OA230" s="922"/>
      <c r="OB230" s="922"/>
      <c r="OC230" s="922"/>
      <c r="OD230" s="922"/>
      <c r="OE230" s="922"/>
      <c r="OF230" s="922"/>
      <c r="OG230" s="922"/>
      <c r="OH230" s="922"/>
      <c r="OI230" s="922"/>
      <c r="OJ230" s="922"/>
      <c r="OK230" s="922"/>
      <c r="OL230" s="922"/>
      <c r="OM230" s="922"/>
      <c r="ON230" s="922"/>
      <c r="OO230" s="922"/>
      <c r="OP230" s="922"/>
      <c r="OQ230" s="922"/>
      <c r="OR230" s="922"/>
      <c r="OS230" s="922"/>
      <c r="OT230" s="922"/>
      <c r="OU230" s="922"/>
      <c r="OV230" s="922"/>
      <c r="OW230" s="922"/>
      <c r="OX230" s="922"/>
      <c r="OY230" s="922"/>
      <c r="OZ230" s="922"/>
      <c r="PA230" s="922"/>
      <c r="PB230" s="922"/>
      <c r="PC230" s="922"/>
      <c r="PD230" s="922"/>
      <c r="PE230" s="922"/>
      <c r="PF230" s="922"/>
      <c r="PG230" s="922"/>
      <c r="PH230" s="922"/>
      <c r="PI230" s="922"/>
      <c r="PJ230" s="922"/>
      <c r="PK230" s="922"/>
      <c r="PL230" s="922"/>
      <c r="PM230" s="922"/>
      <c r="PN230" s="922"/>
      <c r="PO230" s="922"/>
      <c r="PP230" s="922"/>
      <c r="PQ230" s="922"/>
      <c r="PR230" s="922"/>
      <c r="PS230" s="922"/>
      <c r="PT230" s="922"/>
      <c r="PU230" s="922"/>
      <c r="PV230" s="922"/>
      <c r="PW230" s="922"/>
      <c r="PX230" s="922"/>
      <c r="PY230" s="922"/>
      <c r="PZ230" s="922"/>
      <c r="QA230" s="922"/>
      <c r="QB230" s="922"/>
      <c r="QC230" s="922"/>
      <c r="QD230" s="922"/>
      <c r="QE230" s="922"/>
      <c r="QF230" s="922"/>
      <c r="QG230" s="922"/>
      <c r="QH230" s="922"/>
      <c r="QI230" s="922"/>
      <c r="QJ230" s="922"/>
      <c r="QK230" s="922"/>
      <c r="QL230" s="922"/>
      <c r="QM230" s="922"/>
      <c r="QN230" s="922"/>
      <c r="QO230" s="922"/>
      <c r="QP230" s="922"/>
      <c r="QQ230" s="922"/>
      <c r="QR230" s="922"/>
      <c r="QS230" s="922"/>
      <c r="QT230" s="922"/>
      <c r="QU230" s="922"/>
      <c r="QV230" s="922"/>
      <c r="QW230" s="922"/>
      <c r="QX230" s="922"/>
      <c r="QY230" s="922"/>
      <c r="QZ230" s="922"/>
      <c r="RA230" s="922"/>
      <c r="RB230" s="922"/>
      <c r="RC230" s="922"/>
      <c r="RD230" s="922"/>
      <c r="RE230" s="922"/>
      <c r="RF230" s="922"/>
      <c r="RG230" s="922"/>
      <c r="RH230" s="922"/>
      <c r="RI230" s="922"/>
      <c r="RJ230" s="922"/>
      <c r="RK230" s="922"/>
      <c r="RL230" s="922"/>
      <c r="RM230" s="922"/>
      <c r="RN230" s="922"/>
      <c r="RO230" s="922"/>
      <c r="RP230" s="922"/>
      <c r="RQ230" s="922"/>
      <c r="RR230" s="922"/>
      <c r="RS230" s="922"/>
      <c r="RT230" s="922"/>
      <c r="RU230" s="922"/>
      <c r="RV230" s="922"/>
      <c r="RW230" s="922"/>
      <c r="RX230" s="922"/>
      <c r="RY230" s="922"/>
      <c r="RZ230" s="922"/>
      <c r="SA230" s="922"/>
      <c r="SB230" s="922"/>
      <c r="SC230" s="922"/>
      <c r="SD230" s="922"/>
      <c r="SE230" s="922"/>
      <c r="SF230" s="922"/>
      <c r="SG230" s="922"/>
      <c r="SH230" s="922"/>
      <c r="SI230" s="922"/>
      <c r="SJ230" s="922"/>
      <c r="SK230" s="922"/>
      <c r="SL230" s="922"/>
      <c r="SM230" s="922"/>
      <c r="SN230" s="922"/>
      <c r="SO230" s="922"/>
      <c r="SP230" s="922"/>
      <c r="SQ230" s="922"/>
      <c r="SR230" s="922"/>
      <c r="SS230" s="922"/>
      <c r="ST230" s="922"/>
      <c r="SU230" s="922"/>
      <c r="SV230" s="922"/>
      <c r="SW230" s="922"/>
      <c r="SX230" s="922"/>
      <c r="SY230" s="922"/>
      <c r="SZ230" s="922"/>
      <c r="TA230" s="922"/>
      <c r="TB230" s="922"/>
      <c r="TC230" s="922"/>
      <c r="TD230" s="922"/>
      <c r="TE230" s="922"/>
      <c r="TF230" s="922"/>
      <c r="TG230" s="922"/>
      <c r="TH230" s="922"/>
      <c r="TI230" s="922"/>
      <c r="TJ230" s="922"/>
      <c r="TK230" s="922"/>
      <c r="TL230" s="922"/>
      <c r="TM230" s="922"/>
      <c r="TN230" s="922"/>
      <c r="TO230" s="922"/>
      <c r="TP230" s="922"/>
      <c r="TQ230" s="922"/>
      <c r="TR230" s="922"/>
      <c r="TS230" s="922"/>
      <c r="TT230" s="922"/>
      <c r="TU230" s="922"/>
      <c r="TV230" s="922"/>
      <c r="TW230" s="922"/>
      <c r="TX230" s="922"/>
      <c r="TY230" s="922"/>
      <c r="TZ230" s="922"/>
      <c r="UA230" s="922"/>
      <c r="UB230" s="922"/>
      <c r="UC230" s="922"/>
      <c r="UD230" s="922"/>
      <c r="UE230" s="922"/>
      <c r="UF230" s="922"/>
      <c r="UG230" s="922"/>
      <c r="UH230" s="922"/>
      <c r="UI230" s="922"/>
      <c r="UJ230" s="922"/>
      <c r="UK230" s="922"/>
      <c r="UL230" s="922"/>
      <c r="UM230" s="922"/>
      <c r="UN230" s="922"/>
      <c r="UO230" s="922"/>
      <c r="UP230" s="922"/>
      <c r="UQ230" s="922"/>
      <c r="UR230" s="922"/>
      <c r="US230" s="922"/>
      <c r="UT230" s="922"/>
      <c r="UU230" s="922"/>
      <c r="UV230" s="922"/>
      <c r="UW230" s="922"/>
      <c r="UX230" s="922"/>
      <c r="UY230" s="922"/>
      <c r="UZ230" s="922"/>
      <c r="VA230" s="922"/>
      <c r="VB230" s="922"/>
      <c r="VC230" s="922"/>
      <c r="VD230" s="922"/>
      <c r="VE230" s="922"/>
      <c r="VF230" s="922"/>
      <c r="VG230" s="922"/>
      <c r="VH230" s="922"/>
      <c r="VI230" s="922"/>
      <c r="VJ230" s="922"/>
      <c r="VK230" s="922"/>
      <c r="VL230" s="922"/>
      <c r="VM230" s="922"/>
      <c r="VN230" s="922"/>
      <c r="VO230" s="922"/>
      <c r="VP230" s="922"/>
      <c r="VQ230" s="922"/>
      <c r="VR230" s="922"/>
      <c r="VS230" s="922"/>
      <c r="VT230" s="922"/>
      <c r="VU230" s="922"/>
      <c r="VV230" s="922"/>
      <c r="VW230" s="922"/>
      <c r="VX230" s="922"/>
      <c r="VY230" s="922"/>
      <c r="VZ230" s="922"/>
      <c r="WA230" s="922"/>
      <c r="WB230" s="922"/>
      <c r="WC230" s="922"/>
      <c r="WD230" s="922"/>
      <c r="WE230" s="922"/>
      <c r="WF230" s="922"/>
      <c r="WG230" s="922"/>
      <c r="WH230" s="922"/>
      <c r="WI230" s="922"/>
      <c r="WJ230" s="922"/>
      <c r="WK230" s="922"/>
      <c r="WL230" s="922"/>
      <c r="WM230" s="922"/>
      <c r="WN230" s="922"/>
      <c r="WO230" s="922"/>
      <c r="WP230" s="922"/>
      <c r="WQ230" s="922"/>
      <c r="WR230" s="922"/>
      <c r="WS230" s="922"/>
      <c r="WT230" s="922"/>
      <c r="WU230" s="922"/>
      <c r="WV230" s="922"/>
      <c r="WW230" s="922"/>
      <c r="WX230" s="922"/>
      <c r="WY230" s="922"/>
      <c r="WZ230" s="922"/>
      <c r="XA230" s="922"/>
      <c r="XB230" s="922"/>
      <c r="XC230" s="922"/>
      <c r="XD230" s="922"/>
      <c r="XE230" s="922"/>
      <c r="XF230" s="922"/>
      <c r="XG230" s="922"/>
      <c r="XH230" s="922"/>
      <c r="XI230" s="922"/>
      <c r="XJ230" s="922"/>
      <c r="XK230" s="922"/>
      <c r="XL230" s="922"/>
      <c r="XM230" s="922"/>
      <c r="XN230" s="922"/>
      <c r="XO230" s="922"/>
      <c r="XP230" s="922"/>
      <c r="XQ230" s="922"/>
      <c r="XR230" s="922"/>
      <c r="XS230" s="922"/>
      <c r="XT230" s="922"/>
      <c r="XU230" s="922"/>
      <c r="XV230" s="922"/>
      <c r="XW230" s="922"/>
      <c r="XX230" s="922"/>
      <c r="XY230" s="922"/>
      <c r="XZ230" s="922"/>
      <c r="YA230" s="922"/>
      <c r="YB230" s="922"/>
      <c r="YC230" s="922"/>
      <c r="YD230" s="922"/>
      <c r="YE230" s="922"/>
      <c r="YF230" s="922"/>
      <c r="YG230" s="922"/>
      <c r="YH230" s="922"/>
      <c r="YI230" s="922"/>
      <c r="YJ230" s="922"/>
      <c r="YK230" s="922"/>
      <c r="YL230" s="922"/>
      <c r="YM230" s="922"/>
      <c r="YN230" s="922"/>
      <c r="YO230" s="922"/>
      <c r="YP230" s="922"/>
      <c r="YQ230" s="922"/>
      <c r="YR230" s="922"/>
      <c r="YS230" s="922"/>
      <c r="YT230" s="922"/>
      <c r="YU230" s="922"/>
      <c r="YV230" s="922"/>
      <c r="YW230" s="922"/>
      <c r="YX230" s="922"/>
      <c r="YY230" s="922"/>
      <c r="YZ230" s="922"/>
      <c r="ZA230" s="922"/>
      <c r="ZB230" s="922"/>
      <c r="ZC230" s="922"/>
      <c r="ZD230" s="922"/>
      <c r="ZE230" s="922"/>
      <c r="ZF230" s="922"/>
      <c r="ZG230" s="922"/>
      <c r="ZH230" s="922"/>
      <c r="ZI230" s="922"/>
      <c r="ZJ230" s="922"/>
      <c r="ZK230" s="922"/>
      <c r="ZL230" s="922"/>
      <c r="ZM230" s="922"/>
      <c r="ZN230" s="922"/>
      <c r="ZO230" s="922"/>
      <c r="ZP230" s="922"/>
      <c r="ZQ230" s="922"/>
      <c r="ZR230" s="922"/>
      <c r="ZS230" s="922"/>
      <c r="ZT230" s="922"/>
      <c r="ZU230" s="922"/>
      <c r="ZV230" s="922"/>
      <c r="ZW230" s="922"/>
      <c r="ZX230" s="922"/>
      <c r="ZY230" s="922"/>
      <c r="ZZ230" s="922"/>
      <c r="AAA230" s="922"/>
      <c r="AAB230" s="922"/>
      <c r="AAC230" s="922"/>
      <c r="AAD230" s="922"/>
      <c r="AAE230" s="922"/>
      <c r="AAF230" s="922"/>
      <c r="AAG230" s="922"/>
      <c r="AAH230" s="922"/>
      <c r="AAI230" s="922"/>
      <c r="AAJ230" s="922"/>
      <c r="AAK230" s="922"/>
      <c r="AAL230" s="922"/>
      <c r="AAM230" s="922"/>
      <c r="AAN230" s="922"/>
      <c r="AAO230" s="922"/>
      <c r="AAP230" s="922"/>
      <c r="AAQ230" s="922"/>
      <c r="AAR230" s="922"/>
      <c r="AAS230" s="922"/>
      <c r="AAT230" s="922"/>
      <c r="AAU230" s="922"/>
      <c r="AAV230" s="922"/>
      <c r="AAW230" s="922"/>
      <c r="AAX230" s="922"/>
      <c r="AAY230" s="922"/>
      <c r="AAZ230" s="922"/>
      <c r="ABA230" s="922"/>
      <c r="ABB230" s="922"/>
      <c r="ABC230" s="922"/>
      <c r="ABD230" s="922"/>
      <c r="ABE230" s="922"/>
      <c r="ABF230" s="922"/>
      <c r="ABG230" s="922"/>
      <c r="ABH230" s="922"/>
      <c r="ABI230" s="922"/>
      <c r="ABJ230" s="922"/>
      <c r="ABK230" s="922"/>
      <c r="ABL230" s="922"/>
      <c r="ABM230" s="922"/>
      <c r="ABN230" s="922"/>
      <c r="ABO230" s="922"/>
      <c r="ABP230" s="922"/>
      <c r="ABQ230" s="922"/>
      <c r="ABR230" s="922"/>
      <c r="ABS230" s="922"/>
      <c r="ABT230" s="922"/>
      <c r="ABU230" s="922"/>
      <c r="ABV230" s="922"/>
      <c r="ABW230" s="922"/>
      <c r="ABX230" s="922"/>
      <c r="ABY230" s="922"/>
      <c r="ABZ230" s="922"/>
      <c r="ACA230" s="922"/>
      <c r="ACB230" s="922"/>
      <c r="ACC230" s="922"/>
      <c r="ACD230" s="922"/>
      <c r="ACE230" s="922"/>
      <c r="ACF230" s="922"/>
      <c r="ACG230" s="922"/>
      <c r="ACH230" s="922"/>
      <c r="ACI230" s="922"/>
      <c r="ACJ230" s="922"/>
      <c r="ACK230" s="922"/>
      <c r="ACL230" s="922"/>
      <c r="ACM230" s="922"/>
      <c r="ACN230" s="922"/>
      <c r="ACO230" s="922"/>
      <c r="ACP230" s="922"/>
      <c r="ACQ230" s="922"/>
      <c r="ACR230" s="922"/>
      <c r="ACS230" s="922"/>
      <c r="ACT230" s="922"/>
      <c r="ACU230" s="922"/>
      <c r="ACV230" s="922"/>
      <c r="ACW230" s="922"/>
      <c r="ACX230" s="922"/>
      <c r="ACY230" s="922"/>
      <c r="ACZ230" s="922"/>
      <c r="ADA230" s="922"/>
      <c r="ADB230" s="922"/>
      <c r="ADC230" s="922"/>
      <c r="ADD230" s="922"/>
      <c r="ADE230" s="922"/>
      <c r="ADF230" s="922"/>
      <c r="ADG230" s="922"/>
      <c r="ADH230" s="922"/>
      <c r="ADI230" s="922"/>
      <c r="ADJ230" s="922"/>
      <c r="ADK230" s="922"/>
      <c r="ADL230" s="922"/>
      <c r="ADM230" s="922"/>
      <c r="ADN230" s="922"/>
      <c r="ADO230" s="922"/>
      <c r="ADP230" s="922"/>
      <c r="ADQ230" s="922"/>
      <c r="ADR230" s="922"/>
      <c r="ADS230" s="922"/>
      <c r="ADT230" s="922"/>
      <c r="ADU230" s="922"/>
      <c r="ADV230" s="922"/>
      <c r="ADW230" s="922"/>
      <c r="ADX230" s="922"/>
      <c r="ADY230" s="922"/>
      <c r="ADZ230" s="922"/>
      <c r="AEA230" s="922"/>
      <c r="AEB230" s="922"/>
      <c r="AEC230" s="922"/>
      <c r="AED230" s="922"/>
      <c r="AEE230" s="922"/>
      <c r="AEF230" s="922"/>
      <c r="AEG230" s="922"/>
      <c r="AEH230" s="922"/>
      <c r="AEI230" s="922"/>
      <c r="AEJ230" s="922"/>
      <c r="AEK230" s="922"/>
      <c r="AEL230" s="922"/>
      <c r="AEM230" s="922"/>
      <c r="AEN230" s="922"/>
      <c r="AEO230" s="922"/>
      <c r="AEP230" s="922"/>
      <c r="AEQ230" s="922"/>
      <c r="AER230" s="922"/>
      <c r="AES230" s="922"/>
      <c r="AET230" s="922"/>
      <c r="AEU230" s="922"/>
      <c r="AEV230" s="922"/>
      <c r="AEW230" s="922"/>
      <c r="AEX230" s="922"/>
      <c r="AEY230" s="922"/>
      <c r="AEZ230" s="922"/>
      <c r="AFA230" s="922"/>
      <c r="AFB230" s="922"/>
      <c r="AFC230" s="922"/>
      <c r="AFD230" s="922"/>
      <c r="AFE230" s="922"/>
      <c r="AFF230" s="922"/>
      <c r="AFG230" s="922"/>
      <c r="AFH230" s="922"/>
      <c r="AFI230" s="922"/>
      <c r="AFJ230" s="922"/>
      <c r="AFK230" s="922"/>
      <c r="AFL230" s="922"/>
      <c r="AFM230" s="922"/>
      <c r="AFN230" s="922"/>
      <c r="AFO230" s="922"/>
      <c r="AFP230" s="922"/>
      <c r="AFQ230" s="922"/>
      <c r="AFR230" s="922"/>
      <c r="AFS230" s="922"/>
      <c r="AFT230" s="922"/>
      <c r="AFU230" s="922"/>
      <c r="AFV230" s="922"/>
      <c r="AFW230" s="922"/>
      <c r="AFX230" s="922"/>
      <c r="AFY230" s="922"/>
      <c r="AFZ230" s="922"/>
      <c r="AGA230" s="922"/>
      <c r="AGB230" s="922"/>
      <c r="AGC230" s="922"/>
      <c r="AGD230" s="922"/>
      <c r="AGE230" s="922"/>
      <c r="AGF230" s="922"/>
      <c r="AGG230" s="922"/>
      <c r="AGH230" s="922"/>
      <c r="AGI230" s="922"/>
      <c r="AGJ230" s="922"/>
      <c r="AGK230" s="922"/>
      <c r="AGL230" s="922"/>
      <c r="AGM230" s="922"/>
      <c r="AGN230" s="922"/>
      <c r="AGO230" s="922"/>
      <c r="AGP230" s="922"/>
      <c r="AGQ230" s="922"/>
      <c r="AGR230" s="922"/>
      <c r="AGS230" s="922"/>
      <c r="AGT230" s="922"/>
      <c r="AGU230" s="922"/>
      <c r="AGV230" s="922"/>
      <c r="AGW230" s="922"/>
      <c r="AGX230" s="922"/>
      <c r="AGY230" s="922"/>
      <c r="AGZ230" s="922"/>
      <c r="AHA230" s="922"/>
      <c r="AHB230" s="922"/>
      <c r="AHC230" s="922"/>
      <c r="AHD230" s="922"/>
      <c r="AHE230" s="922"/>
      <c r="AHF230" s="922"/>
      <c r="AHG230" s="922"/>
      <c r="AHH230" s="922"/>
      <c r="AHI230" s="922"/>
      <c r="AHJ230" s="922"/>
      <c r="AHK230" s="922"/>
      <c r="AHL230" s="922"/>
      <c r="AHM230" s="922"/>
      <c r="AHN230" s="922"/>
      <c r="AHO230" s="922"/>
      <c r="AHP230" s="922"/>
      <c r="AHQ230" s="922"/>
      <c r="AHR230" s="922"/>
      <c r="AHS230" s="922"/>
      <c r="AHT230" s="922"/>
      <c r="AHU230" s="922"/>
      <c r="AHV230" s="922"/>
      <c r="AHW230" s="922"/>
      <c r="AHX230" s="922"/>
      <c r="AHY230" s="922"/>
      <c r="AHZ230" s="922"/>
      <c r="AIA230" s="922"/>
      <c r="AIB230" s="922"/>
      <c r="AIC230" s="922"/>
      <c r="AID230" s="922"/>
      <c r="AIE230" s="922"/>
      <c r="AIF230" s="922"/>
      <c r="AIG230" s="922"/>
      <c r="AIH230" s="922"/>
      <c r="AII230" s="922"/>
      <c r="AIJ230" s="922"/>
      <c r="AIK230" s="922"/>
      <c r="AIL230" s="922"/>
      <c r="AIM230" s="922"/>
      <c r="AIN230" s="922"/>
      <c r="AIO230" s="922"/>
      <c r="AIP230" s="922"/>
      <c r="AIQ230" s="922"/>
      <c r="AIR230" s="922"/>
      <c r="AIS230" s="922"/>
      <c r="AIT230" s="922"/>
      <c r="AIU230" s="922"/>
      <c r="AIV230" s="922"/>
      <c r="AIW230" s="922"/>
      <c r="AIX230" s="922"/>
      <c r="AIY230" s="922"/>
      <c r="AIZ230" s="922"/>
      <c r="AJA230" s="922"/>
      <c r="AJB230" s="922"/>
      <c r="AJC230" s="922"/>
      <c r="AJD230" s="922"/>
      <c r="AJE230" s="922"/>
      <c r="AJF230" s="922"/>
      <c r="AJG230" s="922"/>
      <c r="AJH230" s="922"/>
      <c r="AJI230" s="922"/>
      <c r="AJJ230" s="922"/>
      <c r="AJK230" s="922"/>
      <c r="AJL230" s="922"/>
      <c r="AJM230" s="922"/>
      <c r="AJN230" s="922"/>
      <c r="AJO230" s="922"/>
      <c r="AJP230" s="922"/>
      <c r="AJQ230" s="922"/>
      <c r="AJR230" s="922"/>
      <c r="AJS230" s="922"/>
      <c r="AJT230" s="922"/>
      <c r="AJU230" s="922"/>
      <c r="AJV230" s="922"/>
      <c r="AJW230" s="922"/>
      <c r="AJX230" s="922"/>
      <c r="AJY230" s="922"/>
      <c r="AJZ230" s="922"/>
      <c r="AKA230" s="922"/>
      <c r="AKB230" s="922"/>
      <c r="AKC230" s="922"/>
      <c r="AKD230" s="922"/>
      <c r="AKE230" s="922"/>
      <c r="AKF230" s="922"/>
      <c r="AKG230" s="922"/>
      <c r="AKH230" s="922"/>
      <c r="AKI230" s="922"/>
      <c r="AKJ230" s="922"/>
      <c r="AKK230" s="922"/>
      <c r="AKL230" s="922"/>
      <c r="AKM230" s="922"/>
      <c r="AKN230" s="922"/>
      <c r="AKO230" s="922"/>
      <c r="AKP230" s="922"/>
      <c r="AKQ230" s="922"/>
      <c r="AKR230" s="922"/>
      <c r="AKS230" s="922"/>
      <c r="AKT230" s="922"/>
      <c r="AKU230" s="922"/>
      <c r="AKV230" s="922"/>
      <c r="AKW230" s="922"/>
      <c r="AKX230" s="922"/>
      <c r="AKY230" s="922"/>
      <c r="AKZ230" s="922"/>
      <c r="ALA230" s="922"/>
      <c r="ALB230" s="922"/>
      <c r="ALC230" s="922"/>
      <c r="ALD230" s="922"/>
      <c r="ALE230" s="922"/>
      <c r="ALF230" s="922"/>
      <c r="ALG230" s="922"/>
      <c r="ALH230" s="922"/>
      <c r="ALI230" s="922"/>
      <c r="ALJ230" s="922"/>
      <c r="ALK230" s="922"/>
      <c r="ALL230" s="922"/>
      <c r="ALM230" s="922"/>
      <c r="ALN230" s="922"/>
      <c r="ALO230" s="922"/>
      <c r="ALP230" s="922"/>
      <c r="ALQ230" s="922"/>
      <c r="ALR230" s="922"/>
      <c r="ALS230" s="922"/>
      <c r="ALT230" s="922"/>
      <c r="ALU230" s="922"/>
      <c r="ALV230" s="922"/>
      <c r="ALW230" s="922"/>
      <c r="ALX230" s="922"/>
      <c r="ALY230" s="922"/>
      <c r="ALZ230" s="922"/>
      <c r="AMA230" s="922"/>
      <c r="AMB230" s="922"/>
      <c r="AMC230" s="922"/>
      <c r="AMD230" s="922"/>
      <c r="AME230" s="922"/>
      <c r="AMF230" s="922"/>
      <c r="AMG230" s="922"/>
      <c r="AMH230" s="922"/>
      <c r="AMI230" s="922"/>
      <c r="AMJ230" s="922"/>
      <c r="AMK230" s="922"/>
      <c r="AML230" s="922"/>
      <c r="AMM230" s="922"/>
      <c r="AMN230" s="922"/>
      <c r="AMO230" s="922"/>
      <c r="AMP230" s="922"/>
      <c r="AMQ230" s="922"/>
      <c r="AMR230" s="922"/>
      <c r="AMS230" s="922"/>
      <c r="AMT230" s="922"/>
      <c r="AMU230" s="922"/>
      <c r="AMV230" s="922"/>
      <c r="AMW230" s="922"/>
      <c r="AMX230" s="922"/>
      <c r="AMY230" s="922"/>
      <c r="AMZ230" s="922"/>
      <c r="ANA230" s="922"/>
      <c r="ANB230" s="922"/>
      <c r="ANC230" s="922"/>
      <c r="AND230" s="922"/>
      <c r="ANE230" s="922"/>
      <c r="ANF230" s="922"/>
      <c r="ANG230" s="922"/>
      <c r="ANH230" s="922"/>
      <c r="ANI230" s="922"/>
      <c r="ANJ230" s="922"/>
      <c r="ANK230" s="922"/>
      <c r="ANL230" s="922"/>
      <c r="ANM230" s="922"/>
      <c r="ANN230" s="922"/>
      <c r="ANO230" s="922"/>
      <c r="ANP230" s="922"/>
      <c r="ANQ230" s="922"/>
      <c r="ANR230" s="922"/>
      <c r="ANS230" s="922"/>
      <c r="ANT230" s="922"/>
      <c r="ANU230" s="922"/>
      <c r="ANV230" s="922"/>
      <c r="ANW230" s="922"/>
      <c r="ANX230" s="922"/>
      <c r="ANY230" s="922"/>
      <c r="ANZ230" s="922"/>
      <c r="AOA230" s="922"/>
      <c r="AOB230" s="922"/>
      <c r="AOC230" s="922"/>
      <c r="AOD230" s="922"/>
      <c r="AOE230" s="922"/>
      <c r="AOF230" s="922"/>
      <c r="AOG230" s="922"/>
      <c r="AOH230" s="922"/>
      <c r="AOI230" s="922"/>
      <c r="AOJ230" s="922"/>
      <c r="AOK230" s="922"/>
      <c r="AOL230" s="922"/>
      <c r="AOM230" s="922"/>
      <c r="AON230" s="922"/>
      <c r="AOO230" s="922"/>
      <c r="AOP230" s="922"/>
      <c r="AOQ230" s="922"/>
      <c r="AOR230" s="922"/>
      <c r="AOS230" s="922"/>
      <c r="AOT230" s="922"/>
      <c r="AOU230" s="922"/>
      <c r="AOV230" s="922"/>
      <c r="AOW230" s="922"/>
      <c r="AOX230" s="922"/>
      <c r="AOY230" s="922"/>
      <c r="AOZ230" s="922"/>
      <c r="APA230" s="922"/>
      <c r="APB230" s="922"/>
      <c r="APC230" s="922"/>
      <c r="APD230" s="922"/>
      <c r="APE230" s="922"/>
      <c r="APF230" s="922"/>
      <c r="APG230" s="922"/>
      <c r="APH230" s="922"/>
      <c r="API230" s="922"/>
      <c r="APJ230" s="922"/>
      <c r="APK230" s="922"/>
      <c r="APL230" s="922"/>
      <c r="APM230" s="922"/>
      <c r="APN230" s="922"/>
      <c r="APO230" s="922"/>
      <c r="APP230" s="922"/>
      <c r="APQ230" s="922"/>
      <c r="APR230" s="922"/>
      <c r="APS230" s="922"/>
      <c r="APT230" s="922"/>
      <c r="APU230" s="922"/>
      <c r="APV230" s="922"/>
      <c r="APW230" s="922"/>
      <c r="APX230" s="922"/>
      <c r="APY230" s="922"/>
      <c r="APZ230" s="922"/>
      <c r="AQA230" s="922"/>
      <c r="AQB230" s="922"/>
      <c r="AQC230" s="922"/>
      <c r="AQD230" s="922"/>
      <c r="AQE230" s="922"/>
      <c r="AQF230" s="922"/>
      <c r="AQG230" s="922"/>
      <c r="AQH230" s="922"/>
      <c r="AQI230" s="922"/>
      <c r="AQJ230" s="922"/>
      <c r="AQK230" s="922"/>
      <c r="AQL230" s="922"/>
      <c r="AQM230" s="922"/>
      <c r="AQN230" s="922"/>
      <c r="AQO230" s="922"/>
      <c r="AQP230" s="922"/>
      <c r="AQQ230" s="922"/>
      <c r="AQR230" s="922"/>
      <c r="AQS230" s="922"/>
      <c r="AQT230" s="922"/>
      <c r="AQU230" s="922"/>
      <c r="AQV230" s="922"/>
      <c r="AQW230" s="922"/>
      <c r="AQX230" s="922"/>
      <c r="AQY230" s="922"/>
      <c r="AQZ230" s="922"/>
      <c r="ARA230" s="922"/>
      <c r="ARB230" s="922"/>
      <c r="ARC230" s="922"/>
      <c r="ARD230" s="922"/>
      <c r="ARE230" s="922"/>
      <c r="ARF230" s="922"/>
      <c r="ARG230" s="922"/>
      <c r="ARH230" s="922"/>
      <c r="ARI230" s="922"/>
      <c r="ARJ230" s="922"/>
      <c r="ARK230" s="922"/>
      <c r="ARL230" s="922"/>
      <c r="ARM230" s="922"/>
      <c r="ARN230" s="922"/>
      <c r="ARO230" s="922"/>
      <c r="ARP230" s="922"/>
      <c r="ARQ230" s="922"/>
      <c r="ARR230" s="922"/>
      <c r="ARS230" s="922"/>
      <c r="ART230" s="922"/>
      <c r="ARU230" s="922"/>
      <c r="ARV230" s="922"/>
      <c r="ARW230" s="922"/>
      <c r="ARX230" s="922"/>
      <c r="ARY230" s="922"/>
      <c r="ARZ230" s="922"/>
      <c r="ASA230" s="922"/>
      <c r="ASB230" s="922"/>
      <c r="ASC230" s="922"/>
    </row>
    <row r="231" spans="20:1173" hidden="1">
      <c r="T231" s="922"/>
      <c r="AN231" s="922"/>
      <c r="AO231" s="922"/>
      <c r="AP231" s="922"/>
      <c r="AQ231" s="922"/>
      <c r="AR231" s="922"/>
      <c r="AS231" s="922"/>
      <c r="AT231" s="922"/>
      <c r="AU231" s="922"/>
      <c r="AV231" s="922"/>
      <c r="AW231" s="922"/>
      <c r="AX231" s="922"/>
      <c r="AY231" s="922"/>
      <c r="AZ231" s="922"/>
      <c r="BA231" s="922"/>
      <c r="BB231" s="922"/>
      <c r="BC231" s="922"/>
      <c r="BD231" s="922"/>
      <c r="BE231" s="922"/>
      <c r="BF231" s="922"/>
      <c r="BG231" s="922"/>
      <c r="BH231" s="922"/>
      <c r="BI231" s="922"/>
      <c r="BJ231" s="922"/>
      <c r="BK231" s="922"/>
      <c r="BL231" s="922"/>
      <c r="BM231" s="922"/>
      <c r="BN231" s="922"/>
      <c r="BO231" s="922"/>
      <c r="BP231" s="922"/>
      <c r="BQ231" s="922"/>
      <c r="BR231" s="922"/>
      <c r="BS231" s="922"/>
      <c r="BT231" s="922"/>
      <c r="BU231" s="922"/>
      <c r="BV231" s="922"/>
      <c r="BW231" s="922"/>
      <c r="BX231" s="922"/>
      <c r="BY231" s="922"/>
      <c r="BZ231" s="922"/>
      <c r="CA231" s="922"/>
      <c r="CB231" s="922"/>
      <c r="CC231" s="922"/>
      <c r="CD231" s="922"/>
      <c r="CE231" s="922"/>
      <c r="CF231" s="922"/>
      <c r="CG231" s="922"/>
      <c r="CH231" s="922"/>
      <c r="CI231" s="922"/>
      <c r="CJ231" s="922"/>
      <c r="CK231" s="922"/>
      <c r="CL231" s="922"/>
      <c r="CM231" s="922"/>
      <c r="CN231" s="922"/>
      <c r="CO231" s="922"/>
      <c r="CP231" s="922"/>
      <c r="CQ231" s="922"/>
      <c r="CR231" s="922"/>
      <c r="CS231" s="922"/>
      <c r="CT231" s="922"/>
      <c r="CU231" s="922"/>
      <c r="CV231" s="922"/>
      <c r="CW231" s="922"/>
      <c r="CX231" s="922"/>
      <c r="CY231" s="922"/>
      <c r="CZ231" s="922"/>
      <c r="DA231" s="922"/>
      <c r="DB231" s="922"/>
      <c r="DC231" s="922"/>
      <c r="DD231" s="922"/>
      <c r="DE231" s="922"/>
      <c r="DF231" s="922"/>
      <c r="DG231" s="922"/>
      <c r="DH231" s="922"/>
      <c r="DI231" s="922"/>
      <c r="DJ231" s="922"/>
      <c r="DK231" s="922"/>
      <c r="DL231" s="922"/>
      <c r="DM231" s="922"/>
      <c r="DN231" s="922"/>
      <c r="DO231" s="922"/>
      <c r="DP231" s="922"/>
      <c r="DQ231" s="922"/>
      <c r="DR231" s="922"/>
      <c r="DS231" s="922"/>
      <c r="DT231" s="922"/>
      <c r="DU231" s="922"/>
      <c r="DV231" s="922"/>
      <c r="DW231" s="922"/>
      <c r="DX231" s="922"/>
      <c r="DY231" s="922"/>
      <c r="DZ231" s="922"/>
      <c r="EA231" s="922"/>
      <c r="EB231" s="922"/>
      <c r="EC231" s="922"/>
      <c r="ED231" s="922"/>
      <c r="EE231" s="922"/>
      <c r="EF231" s="922"/>
      <c r="EG231" s="922"/>
      <c r="EH231" s="922"/>
      <c r="EI231" s="922"/>
      <c r="EJ231" s="922"/>
      <c r="EK231" s="922"/>
      <c r="EL231" s="922"/>
      <c r="EM231" s="922"/>
      <c r="EN231" s="922"/>
      <c r="EO231" s="922"/>
      <c r="EP231" s="922"/>
      <c r="EQ231" s="922"/>
      <c r="ER231" s="922"/>
      <c r="ES231" s="922"/>
      <c r="ET231" s="922"/>
      <c r="EU231" s="922"/>
      <c r="EV231" s="922"/>
      <c r="EW231" s="922"/>
      <c r="EX231" s="922"/>
      <c r="EY231" s="922"/>
      <c r="EZ231" s="922"/>
      <c r="FA231" s="922"/>
      <c r="FB231" s="922"/>
      <c r="FC231" s="922"/>
      <c r="FD231" s="922"/>
      <c r="FE231" s="922"/>
      <c r="FF231" s="922"/>
      <c r="FG231" s="922"/>
      <c r="FH231" s="922"/>
      <c r="FI231" s="922"/>
      <c r="FJ231" s="922"/>
      <c r="FK231" s="922"/>
      <c r="FL231" s="922"/>
      <c r="FM231" s="922"/>
      <c r="FN231" s="922"/>
      <c r="FO231" s="922"/>
      <c r="FP231" s="922"/>
      <c r="FQ231" s="922"/>
      <c r="FR231" s="922"/>
      <c r="FS231" s="922"/>
      <c r="FT231" s="922"/>
      <c r="FU231" s="922"/>
      <c r="FV231" s="922"/>
      <c r="FW231" s="922"/>
      <c r="FX231" s="922"/>
      <c r="FY231" s="922"/>
      <c r="FZ231" s="922"/>
      <c r="GA231" s="922"/>
      <c r="GB231" s="922"/>
      <c r="GC231" s="922"/>
      <c r="GD231" s="922"/>
      <c r="GE231" s="922"/>
      <c r="GF231" s="922"/>
      <c r="GG231" s="922"/>
      <c r="GH231" s="922"/>
      <c r="GI231" s="922"/>
      <c r="GJ231" s="922"/>
      <c r="GK231" s="922"/>
      <c r="GL231" s="922"/>
      <c r="GM231" s="922"/>
      <c r="GN231" s="922"/>
      <c r="GO231" s="922"/>
      <c r="GP231" s="922"/>
      <c r="GQ231" s="922"/>
      <c r="GR231" s="922"/>
      <c r="GS231" s="922"/>
      <c r="GT231" s="922"/>
      <c r="GU231" s="922"/>
      <c r="GV231" s="922"/>
      <c r="GW231" s="922"/>
      <c r="GX231" s="922"/>
      <c r="GY231" s="922"/>
      <c r="GZ231" s="922"/>
      <c r="HA231" s="922"/>
      <c r="HB231" s="922"/>
      <c r="HC231" s="922"/>
      <c r="HD231" s="922"/>
      <c r="HE231" s="922"/>
      <c r="HF231" s="922"/>
      <c r="HG231" s="922"/>
      <c r="HH231" s="922"/>
      <c r="HI231" s="922"/>
      <c r="HJ231" s="922"/>
      <c r="HK231" s="922"/>
      <c r="HL231" s="922"/>
      <c r="HM231" s="922"/>
      <c r="HN231" s="922"/>
      <c r="HO231" s="922"/>
      <c r="HP231" s="922"/>
      <c r="HQ231" s="922"/>
      <c r="HR231" s="922"/>
      <c r="HS231" s="922"/>
      <c r="HT231" s="922"/>
      <c r="HU231" s="922"/>
      <c r="HV231" s="922"/>
      <c r="HW231" s="922"/>
      <c r="HX231" s="922"/>
      <c r="HY231" s="922"/>
      <c r="HZ231" s="922"/>
      <c r="IA231" s="922"/>
      <c r="IB231" s="922"/>
      <c r="IC231" s="922"/>
      <c r="ID231" s="922"/>
      <c r="IE231" s="922"/>
      <c r="IF231" s="922"/>
      <c r="IG231" s="922"/>
      <c r="IH231" s="922"/>
      <c r="II231" s="922"/>
      <c r="IJ231" s="922"/>
      <c r="IK231" s="922"/>
      <c r="IL231" s="922"/>
      <c r="IM231" s="922"/>
      <c r="IN231" s="922"/>
      <c r="IO231" s="922"/>
      <c r="IP231" s="922"/>
      <c r="IQ231" s="922"/>
      <c r="IR231" s="922"/>
      <c r="IS231" s="922"/>
      <c r="IT231" s="922"/>
      <c r="IU231" s="922"/>
      <c r="IV231" s="922"/>
      <c r="IW231" s="922"/>
      <c r="IX231" s="922"/>
      <c r="IY231" s="922"/>
      <c r="IZ231" s="922"/>
      <c r="JA231" s="922"/>
      <c r="JB231" s="922"/>
      <c r="JC231" s="922"/>
      <c r="JD231" s="922"/>
      <c r="JE231" s="922"/>
      <c r="JF231" s="922"/>
      <c r="JG231" s="922"/>
      <c r="JH231" s="922"/>
      <c r="JI231" s="922"/>
      <c r="JJ231" s="922"/>
      <c r="JK231" s="922"/>
      <c r="JL231" s="922"/>
      <c r="JM231" s="922"/>
      <c r="JN231" s="922"/>
      <c r="JO231" s="922"/>
      <c r="JP231" s="922"/>
      <c r="JQ231" s="922"/>
      <c r="JR231" s="922"/>
      <c r="JS231" s="922"/>
      <c r="JT231" s="922"/>
      <c r="JU231" s="922"/>
      <c r="JV231" s="922"/>
      <c r="JW231" s="922"/>
      <c r="JX231" s="922"/>
      <c r="JY231" s="922"/>
      <c r="JZ231" s="922"/>
      <c r="KA231" s="922"/>
      <c r="KB231" s="922"/>
      <c r="KC231" s="922"/>
      <c r="KD231" s="922"/>
      <c r="KE231" s="922"/>
      <c r="KF231" s="922"/>
      <c r="KG231" s="922"/>
      <c r="KH231" s="922"/>
      <c r="KI231" s="922"/>
      <c r="KJ231" s="922"/>
      <c r="KK231" s="922"/>
      <c r="KL231" s="922"/>
      <c r="KM231" s="922"/>
      <c r="KN231" s="922"/>
      <c r="KO231" s="922"/>
      <c r="KP231" s="922"/>
      <c r="KQ231" s="922"/>
      <c r="KR231" s="922"/>
      <c r="KS231" s="922"/>
      <c r="KT231" s="922"/>
      <c r="KU231" s="922"/>
      <c r="KV231" s="922"/>
      <c r="KW231" s="922"/>
      <c r="KX231" s="922"/>
      <c r="KY231" s="922"/>
      <c r="KZ231" s="922"/>
      <c r="LA231" s="922"/>
      <c r="LB231" s="922"/>
      <c r="LC231" s="922"/>
      <c r="LD231" s="922"/>
      <c r="LE231" s="922"/>
      <c r="LF231" s="922"/>
      <c r="LG231" s="922"/>
      <c r="LH231" s="922"/>
      <c r="LI231" s="922"/>
      <c r="LJ231" s="922"/>
      <c r="LK231" s="922"/>
      <c r="LL231" s="922"/>
      <c r="LM231" s="922"/>
      <c r="LN231" s="922"/>
      <c r="LO231" s="922"/>
      <c r="LP231" s="922"/>
      <c r="LQ231" s="922"/>
      <c r="LR231" s="922"/>
      <c r="LS231" s="922"/>
      <c r="LT231" s="922"/>
      <c r="LU231" s="922"/>
      <c r="LV231" s="922"/>
      <c r="LW231" s="922"/>
      <c r="LX231" s="922"/>
      <c r="LY231" s="922"/>
      <c r="LZ231" s="922"/>
      <c r="MA231" s="922"/>
      <c r="MB231" s="922"/>
      <c r="MC231" s="922"/>
      <c r="MD231" s="922"/>
      <c r="ME231" s="922"/>
      <c r="MF231" s="922"/>
      <c r="MG231" s="922"/>
      <c r="MH231" s="922"/>
      <c r="MI231" s="922"/>
      <c r="MJ231" s="922"/>
      <c r="MK231" s="922"/>
      <c r="ML231" s="922"/>
      <c r="MM231" s="922"/>
      <c r="MN231" s="922"/>
      <c r="MO231" s="922"/>
      <c r="MP231" s="922"/>
      <c r="MQ231" s="922"/>
      <c r="MR231" s="922"/>
      <c r="MS231" s="922"/>
      <c r="MT231" s="922"/>
      <c r="MU231" s="922"/>
      <c r="MV231" s="922"/>
      <c r="MW231" s="922"/>
      <c r="MX231" s="922"/>
      <c r="MY231" s="922"/>
      <c r="MZ231" s="922"/>
      <c r="NA231" s="922"/>
      <c r="NB231" s="922"/>
      <c r="NC231" s="922"/>
      <c r="ND231" s="922"/>
      <c r="NE231" s="922"/>
      <c r="NF231" s="922"/>
      <c r="NG231" s="922"/>
      <c r="NH231" s="922"/>
      <c r="NI231" s="922"/>
      <c r="NJ231" s="922"/>
      <c r="NK231" s="922"/>
      <c r="NL231" s="922"/>
      <c r="NM231" s="922"/>
      <c r="NN231" s="922"/>
      <c r="NO231" s="922"/>
      <c r="NP231" s="922"/>
      <c r="NQ231" s="922"/>
      <c r="NR231" s="922"/>
      <c r="NS231" s="922"/>
      <c r="NT231" s="922"/>
      <c r="NU231" s="922"/>
      <c r="NV231" s="922"/>
      <c r="NW231" s="922"/>
      <c r="NX231" s="922"/>
      <c r="NY231" s="922"/>
      <c r="NZ231" s="922"/>
      <c r="OA231" s="922"/>
      <c r="OB231" s="922"/>
      <c r="OC231" s="922"/>
      <c r="OD231" s="922"/>
      <c r="OE231" s="922"/>
      <c r="OF231" s="922"/>
      <c r="OG231" s="922"/>
      <c r="OH231" s="922"/>
      <c r="OI231" s="922"/>
      <c r="OJ231" s="922"/>
      <c r="OK231" s="922"/>
      <c r="OL231" s="922"/>
      <c r="OM231" s="922"/>
      <c r="ON231" s="922"/>
      <c r="OO231" s="922"/>
      <c r="OP231" s="922"/>
      <c r="OQ231" s="922"/>
      <c r="OR231" s="922"/>
      <c r="OS231" s="922"/>
      <c r="OT231" s="922"/>
      <c r="OU231" s="922"/>
      <c r="OV231" s="922"/>
      <c r="OW231" s="922"/>
      <c r="OX231" s="922"/>
      <c r="OY231" s="922"/>
      <c r="OZ231" s="922"/>
      <c r="PA231" s="922"/>
      <c r="PB231" s="922"/>
      <c r="PC231" s="922"/>
      <c r="PD231" s="922"/>
      <c r="PE231" s="922"/>
      <c r="PF231" s="922"/>
      <c r="PG231" s="922"/>
      <c r="PH231" s="922"/>
      <c r="PI231" s="922"/>
      <c r="PJ231" s="922"/>
      <c r="PK231" s="922"/>
      <c r="PL231" s="922"/>
      <c r="PM231" s="922"/>
      <c r="PN231" s="922"/>
      <c r="PO231" s="922"/>
      <c r="PP231" s="922"/>
      <c r="PQ231" s="922"/>
      <c r="PR231" s="922"/>
      <c r="PS231" s="922"/>
      <c r="PT231" s="922"/>
      <c r="PU231" s="922"/>
      <c r="PV231" s="922"/>
      <c r="PW231" s="922"/>
      <c r="PX231" s="922"/>
      <c r="PY231" s="922"/>
      <c r="PZ231" s="922"/>
      <c r="QA231" s="922"/>
      <c r="QB231" s="922"/>
      <c r="QC231" s="922"/>
      <c r="QD231" s="922"/>
      <c r="QE231" s="922"/>
      <c r="QF231" s="922"/>
      <c r="QG231" s="922"/>
      <c r="QH231" s="922"/>
      <c r="QI231" s="922"/>
      <c r="QJ231" s="922"/>
      <c r="QK231" s="922"/>
      <c r="QL231" s="922"/>
      <c r="QM231" s="922"/>
      <c r="QN231" s="922"/>
      <c r="QO231" s="922"/>
      <c r="QP231" s="922"/>
      <c r="QQ231" s="922"/>
      <c r="QR231" s="922"/>
      <c r="QS231" s="922"/>
      <c r="QT231" s="922"/>
      <c r="QU231" s="922"/>
      <c r="QV231" s="922"/>
      <c r="QW231" s="922"/>
      <c r="QX231" s="922"/>
      <c r="QY231" s="922"/>
      <c r="QZ231" s="922"/>
      <c r="RA231" s="922"/>
      <c r="RB231" s="922"/>
      <c r="RC231" s="922"/>
      <c r="RD231" s="922"/>
      <c r="RE231" s="922"/>
      <c r="RF231" s="922"/>
      <c r="RG231" s="922"/>
      <c r="RH231" s="922"/>
      <c r="RI231" s="922"/>
      <c r="RJ231" s="922"/>
      <c r="RK231" s="922"/>
      <c r="RL231" s="922"/>
      <c r="RM231" s="922"/>
      <c r="RN231" s="922"/>
      <c r="RO231" s="922"/>
      <c r="RP231" s="922"/>
      <c r="RQ231" s="922"/>
      <c r="RR231" s="922"/>
      <c r="RS231" s="922"/>
      <c r="RT231" s="922"/>
      <c r="RU231" s="922"/>
      <c r="RV231" s="922"/>
      <c r="RW231" s="922"/>
      <c r="RX231" s="922"/>
      <c r="RY231" s="922"/>
      <c r="RZ231" s="922"/>
      <c r="SA231" s="922"/>
      <c r="SB231" s="922"/>
      <c r="SC231" s="922"/>
      <c r="SD231" s="922"/>
      <c r="SE231" s="922"/>
      <c r="SF231" s="922"/>
      <c r="SG231" s="922"/>
      <c r="SH231" s="922"/>
      <c r="SI231" s="922"/>
      <c r="SJ231" s="922"/>
      <c r="SK231" s="922"/>
      <c r="SL231" s="922"/>
      <c r="SM231" s="922"/>
      <c r="SN231" s="922"/>
      <c r="SO231" s="922"/>
      <c r="SP231" s="922"/>
      <c r="SQ231" s="922"/>
      <c r="SR231" s="922"/>
      <c r="SS231" s="922"/>
      <c r="ST231" s="922"/>
      <c r="SU231" s="922"/>
      <c r="SV231" s="922"/>
      <c r="SW231" s="922"/>
      <c r="SX231" s="922"/>
      <c r="SY231" s="922"/>
      <c r="SZ231" s="922"/>
      <c r="TA231" s="922"/>
      <c r="TB231" s="922"/>
      <c r="TC231" s="922"/>
      <c r="TD231" s="922"/>
      <c r="TE231" s="922"/>
      <c r="TF231" s="922"/>
      <c r="TG231" s="922"/>
      <c r="TH231" s="922"/>
      <c r="TI231" s="922"/>
      <c r="TJ231" s="922"/>
      <c r="TK231" s="922"/>
      <c r="TL231" s="922"/>
      <c r="TM231" s="922"/>
      <c r="TN231" s="922"/>
      <c r="TO231" s="922"/>
      <c r="TP231" s="922"/>
      <c r="TQ231" s="922"/>
      <c r="TR231" s="922"/>
      <c r="TS231" s="922"/>
      <c r="TT231" s="922"/>
      <c r="TU231" s="922"/>
      <c r="TV231" s="922"/>
      <c r="TW231" s="922"/>
      <c r="TX231" s="922"/>
      <c r="TY231" s="922"/>
      <c r="TZ231" s="922"/>
      <c r="UA231" s="922"/>
      <c r="UB231" s="922"/>
      <c r="UC231" s="922"/>
      <c r="UD231" s="922"/>
      <c r="UE231" s="922"/>
      <c r="UF231" s="922"/>
      <c r="UG231" s="922"/>
      <c r="UH231" s="922"/>
      <c r="UI231" s="922"/>
      <c r="UJ231" s="922"/>
      <c r="UK231" s="922"/>
      <c r="UL231" s="922"/>
      <c r="UM231" s="922"/>
      <c r="UN231" s="922"/>
      <c r="UO231" s="922"/>
      <c r="UP231" s="922"/>
      <c r="UQ231" s="922"/>
      <c r="UR231" s="922"/>
      <c r="US231" s="922"/>
      <c r="UT231" s="922"/>
      <c r="UU231" s="922"/>
      <c r="UV231" s="922"/>
      <c r="UW231" s="922"/>
      <c r="UX231" s="922"/>
      <c r="UY231" s="922"/>
      <c r="UZ231" s="922"/>
      <c r="VA231" s="922"/>
      <c r="VB231" s="922"/>
      <c r="VC231" s="922"/>
      <c r="VD231" s="922"/>
      <c r="VE231" s="922"/>
      <c r="VF231" s="922"/>
      <c r="VG231" s="922"/>
      <c r="VH231" s="922"/>
      <c r="VI231" s="922"/>
      <c r="VJ231" s="922"/>
      <c r="VK231" s="922"/>
      <c r="VL231" s="922"/>
      <c r="VM231" s="922"/>
      <c r="VN231" s="922"/>
      <c r="VO231" s="922"/>
      <c r="VP231" s="922"/>
      <c r="VQ231" s="922"/>
      <c r="VR231" s="922"/>
      <c r="VS231" s="922"/>
      <c r="VT231" s="922"/>
      <c r="VU231" s="922"/>
      <c r="VV231" s="922"/>
      <c r="VW231" s="922"/>
      <c r="VX231" s="922"/>
      <c r="VY231" s="922"/>
      <c r="VZ231" s="922"/>
      <c r="WA231" s="922"/>
      <c r="WB231" s="922"/>
      <c r="WC231" s="922"/>
      <c r="WD231" s="922"/>
      <c r="WE231" s="922"/>
      <c r="WF231" s="922"/>
      <c r="WG231" s="922"/>
      <c r="WH231" s="922"/>
      <c r="WI231" s="922"/>
      <c r="WJ231" s="922"/>
      <c r="WK231" s="922"/>
      <c r="WL231" s="922"/>
      <c r="WM231" s="922"/>
      <c r="WN231" s="922"/>
      <c r="WO231" s="922"/>
      <c r="WP231" s="922"/>
      <c r="WQ231" s="922"/>
      <c r="WR231" s="922"/>
      <c r="WS231" s="922"/>
      <c r="WT231" s="922"/>
      <c r="WU231" s="922"/>
      <c r="WV231" s="922"/>
      <c r="WW231" s="922"/>
      <c r="WX231" s="922"/>
      <c r="WY231" s="922"/>
      <c r="WZ231" s="922"/>
      <c r="XA231" s="922"/>
      <c r="XB231" s="922"/>
      <c r="XC231" s="922"/>
      <c r="XD231" s="922"/>
      <c r="XE231" s="922"/>
      <c r="XF231" s="922"/>
      <c r="XG231" s="922"/>
      <c r="XH231" s="922"/>
      <c r="XI231" s="922"/>
      <c r="XJ231" s="922"/>
      <c r="XK231" s="922"/>
      <c r="XL231" s="922"/>
      <c r="XM231" s="922"/>
      <c r="XN231" s="922"/>
      <c r="XO231" s="922"/>
      <c r="XP231" s="922"/>
      <c r="XQ231" s="922"/>
      <c r="XR231" s="922"/>
      <c r="XS231" s="922"/>
      <c r="XT231" s="922"/>
      <c r="XU231" s="922"/>
      <c r="XV231" s="922"/>
      <c r="XW231" s="922"/>
      <c r="XX231" s="922"/>
      <c r="XY231" s="922"/>
      <c r="XZ231" s="922"/>
      <c r="YA231" s="922"/>
      <c r="YB231" s="922"/>
      <c r="YC231" s="922"/>
      <c r="YD231" s="922"/>
      <c r="YE231" s="922"/>
      <c r="YF231" s="922"/>
      <c r="YG231" s="922"/>
      <c r="YH231" s="922"/>
      <c r="YI231" s="922"/>
      <c r="YJ231" s="922"/>
      <c r="YK231" s="922"/>
      <c r="YL231" s="922"/>
      <c r="YM231" s="922"/>
      <c r="YN231" s="922"/>
      <c r="YO231" s="922"/>
      <c r="YP231" s="922"/>
      <c r="YQ231" s="922"/>
      <c r="YR231" s="922"/>
      <c r="YS231" s="922"/>
      <c r="YT231" s="922"/>
      <c r="YU231" s="922"/>
      <c r="YV231" s="922"/>
      <c r="YW231" s="922"/>
      <c r="YX231" s="922"/>
      <c r="YY231" s="922"/>
      <c r="YZ231" s="922"/>
      <c r="ZA231" s="922"/>
      <c r="ZB231" s="922"/>
      <c r="ZC231" s="922"/>
      <c r="ZD231" s="922"/>
      <c r="ZE231" s="922"/>
      <c r="ZF231" s="922"/>
      <c r="ZG231" s="922"/>
      <c r="ZH231" s="922"/>
      <c r="ZI231" s="922"/>
      <c r="ZJ231" s="922"/>
      <c r="ZK231" s="922"/>
      <c r="ZL231" s="922"/>
      <c r="ZM231" s="922"/>
      <c r="ZN231" s="922"/>
      <c r="ZO231" s="922"/>
      <c r="ZP231" s="922"/>
      <c r="ZQ231" s="922"/>
      <c r="ZR231" s="922"/>
      <c r="ZS231" s="922"/>
      <c r="ZT231" s="922"/>
      <c r="ZU231" s="922"/>
      <c r="ZV231" s="922"/>
      <c r="ZW231" s="922"/>
      <c r="ZX231" s="922"/>
      <c r="ZY231" s="922"/>
      <c r="ZZ231" s="922"/>
      <c r="AAA231" s="922"/>
      <c r="AAB231" s="922"/>
      <c r="AAC231" s="922"/>
      <c r="AAD231" s="922"/>
      <c r="AAE231" s="922"/>
      <c r="AAF231" s="922"/>
      <c r="AAG231" s="922"/>
      <c r="AAH231" s="922"/>
      <c r="AAI231" s="922"/>
      <c r="AAJ231" s="922"/>
      <c r="AAK231" s="922"/>
      <c r="AAL231" s="922"/>
      <c r="AAM231" s="922"/>
      <c r="AAN231" s="922"/>
      <c r="AAO231" s="922"/>
      <c r="AAP231" s="922"/>
      <c r="AAQ231" s="922"/>
      <c r="AAR231" s="922"/>
      <c r="AAS231" s="922"/>
      <c r="AAT231" s="922"/>
      <c r="AAU231" s="922"/>
      <c r="AAV231" s="922"/>
      <c r="AAW231" s="922"/>
      <c r="AAX231" s="922"/>
      <c r="AAY231" s="922"/>
      <c r="AAZ231" s="922"/>
      <c r="ABA231" s="922"/>
      <c r="ABB231" s="922"/>
      <c r="ABC231" s="922"/>
      <c r="ABD231" s="922"/>
      <c r="ABE231" s="922"/>
      <c r="ABF231" s="922"/>
      <c r="ABG231" s="922"/>
      <c r="ABH231" s="922"/>
      <c r="ABI231" s="922"/>
      <c r="ABJ231" s="922"/>
      <c r="ABK231" s="922"/>
      <c r="ABL231" s="922"/>
      <c r="ABM231" s="922"/>
      <c r="ABN231" s="922"/>
      <c r="ABO231" s="922"/>
      <c r="ABP231" s="922"/>
      <c r="ABQ231" s="922"/>
      <c r="ABR231" s="922"/>
      <c r="ABS231" s="922"/>
      <c r="ABT231" s="922"/>
      <c r="ABU231" s="922"/>
      <c r="ABV231" s="922"/>
      <c r="ABW231" s="922"/>
      <c r="ABX231" s="922"/>
      <c r="ABY231" s="922"/>
      <c r="ABZ231" s="922"/>
      <c r="ACA231" s="922"/>
      <c r="ACB231" s="922"/>
      <c r="ACC231" s="922"/>
      <c r="ACD231" s="922"/>
      <c r="ACE231" s="922"/>
      <c r="ACF231" s="922"/>
      <c r="ACG231" s="922"/>
      <c r="ACH231" s="922"/>
      <c r="ACI231" s="922"/>
      <c r="ACJ231" s="922"/>
      <c r="ACK231" s="922"/>
      <c r="ACL231" s="922"/>
      <c r="ACM231" s="922"/>
      <c r="ACN231" s="922"/>
      <c r="ACO231" s="922"/>
      <c r="ACP231" s="922"/>
      <c r="ACQ231" s="922"/>
      <c r="ACR231" s="922"/>
      <c r="ACS231" s="922"/>
      <c r="ACT231" s="922"/>
      <c r="ACU231" s="922"/>
      <c r="ACV231" s="922"/>
      <c r="ACW231" s="922"/>
      <c r="ACX231" s="922"/>
      <c r="ACY231" s="922"/>
      <c r="ACZ231" s="922"/>
      <c r="ADA231" s="922"/>
      <c r="ADB231" s="922"/>
      <c r="ADC231" s="922"/>
      <c r="ADD231" s="922"/>
      <c r="ADE231" s="922"/>
      <c r="ADF231" s="922"/>
      <c r="ADG231" s="922"/>
      <c r="ADH231" s="922"/>
      <c r="ADI231" s="922"/>
      <c r="ADJ231" s="922"/>
      <c r="ADK231" s="922"/>
      <c r="ADL231" s="922"/>
      <c r="ADM231" s="922"/>
      <c r="ADN231" s="922"/>
      <c r="ADO231" s="922"/>
      <c r="ADP231" s="922"/>
      <c r="ADQ231" s="922"/>
      <c r="ADR231" s="922"/>
      <c r="ADS231" s="922"/>
      <c r="ADT231" s="922"/>
      <c r="ADU231" s="922"/>
      <c r="ADV231" s="922"/>
      <c r="ADW231" s="922"/>
      <c r="ADX231" s="922"/>
      <c r="ADY231" s="922"/>
      <c r="ADZ231" s="922"/>
      <c r="AEA231" s="922"/>
      <c r="AEB231" s="922"/>
      <c r="AEC231" s="922"/>
      <c r="AED231" s="922"/>
      <c r="AEE231" s="922"/>
      <c r="AEF231" s="922"/>
      <c r="AEG231" s="922"/>
      <c r="AEH231" s="922"/>
      <c r="AEI231" s="922"/>
      <c r="AEJ231" s="922"/>
      <c r="AEK231" s="922"/>
      <c r="AEL231" s="922"/>
      <c r="AEM231" s="922"/>
      <c r="AEN231" s="922"/>
      <c r="AEO231" s="922"/>
      <c r="AEP231" s="922"/>
      <c r="AEQ231" s="922"/>
      <c r="AER231" s="922"/>
      <c r="AES231" s="922"/>
      <c r="AET231" s="922"/>
      <c r="AEU231" s="922"/>
      <c r="AEV231" s="922"/>
      <c r="AEW231" s="922"/>
      <c r="AEX231" s="922"/>
      <c r="AEY231" s="922"/>
      <c r="AEZ231" s="922"/>
      <c r="AFA231" s="922"/>
      <c r="AFB231" s="922"/>
      <c r="AFC231" s="922"/>
      <c r="AFD231" s="922"/>
      <c r="AFE231" s="922"/>
      <c r="AFF231" s="922"/>
      <c r="AFG231" s="922"/>
      <c r="AFH231" s="922"/>
      <c r="AFI231" s="922"/>
      <c r="AFJ231" s="922"/>
      <c r="AFK231" s="922"/>
      <c r="AFL231" s="922"/>
      <c r="AFM231" s="922"/>
      <c r="AFN231" s="922"/>
      <c r="AFO231" s="922"/>
      <c r="AFP231" s="922"/>
      <c r="AFQ231" s="922"/>
      <c r="AFR231" s="922"/>
      <c r="AFS231" s="922"/>
      <c r="AFT231" s="922"/>
      <c r="AFU231" s="922"/>
      <c r="AFV231" s="922"/>
      <c r="AFW231" s="922"/>
      <c r="AFX231" s="922"/>
      <c r="AFY231" s="922"/>
      <c r="AFZ231" s="922"/>
      <c r="AGA231" s="922"/>
      <c r="AGB231" s="922"/>
      <c r="AGC231" s="922"/>
      <c r="AGD231" s="922"/>
      <c r="AGE231" s="922"/>
      <c r="AGF231" s="922"/>
      <c r="AGG231" s="922"/>
      <c r="AGH231" s="922"/>
      <c r="AGI231" s="922"/>
      <c r="AGJ231" s="922"/>
      <c r="AGK231" s="922"/>
      <c r="AGL231" s="922"/>
      <c r="AGM231" s="922"/>
      <c r="AGN231" s="922"/>
      <c r="AGO231" s="922"/>
      <c r="AGP231" s="922"/>
      <c r="AGQ231" s="922"/>
      <c r="AGR231" s="922"/>
      <c r="AGS231" s="922"/>
      <c r="AGT231" s="922"/>
      <c r="AGU231" s="922"/>
      <c r="AGV231" s="922"/>
      <c r="AGW231" s="922"/>
      <c r="AGX231" s="922"/>
      <c r="AGY231" s="922"/>
      <c r="AGZ231" s="922"/>
      <c r="AHA231" s="922"/>
      <c r="AHB231" s="922"/>
      <c r="AHC231" s="922"/>
      <c r="AHD231" s="922"/>
      <c r="AHE231" s="922"/>
      <c r="AHF231" s="922"/>
      <c r="AHG231" s="922"/>
      <c r="AHH231" s="922"/>
      <c r="AHI231" s="922"/>
      <c r="AHJ231" s="922"/>
      <c r="AHK231" s="922"/>
      <c r="AHL231" s="922"/>
      <c r="AHM231" s="922"/>
      <c r="AHN231" s="922"/>
      <c r="AHO231" s="922"/>
      <c r="AHP231" s="922"/>
      <c r="AHQ231" s="922"/>
      <c r="AHR231" s="922"/>
      <c r="AHS231" s="922"/>
      <c r="AHT231" s="922"/>
      <c r="AHU231" s="922"/>
      <c r="AHV231" s="922"/>
      <c r="AHW231" s="922"/>
      <c r="AHX231" s="922"/>
      <c r="AHY231" s="922"/>
      <c r="AHZ231" s="922"/>
      <c r="AIA231" s="922"/>
      <c r="AIB231" s="922"/>
      <c r="AIC231" s="922"/>
      <c r="AID231" s="922"/>
      <c r="AIE231" s="922"/>
      <c r="AIF231" s="922"/>
      <c r="AIG231" s="922"/>
      <c r="AIH231" s="922"/>
      <c r="AII231" s="922"/>
      <c r="AIJ231" s="922"/>
      <c r="AIK231" s="922"/>
      <c r="AIL231" s="922"/>
      <c r="AIM231" s="922"/>
      <c r="AIN231" s="922"/>
      <c r="AIO231" s="922"/>
      <c r="AIP231" s="922"/>
      <c r="AIQ231" s="922"/>
      <c r="AIR231" s="922"/>
      <c r="AIS231" s="922"/>
      <c r="AIT231" s="922"/>
      <c r="AIU231" s="922"/>
      <c r="AIV231" s="922"/>
      <c r="AIW231" s="922"/>
      <c r="AIX231" s="922"/>
      <c r="AIY231" s="922"/>
      <c r="AIZ231" s="922"/>
      <c r="AJA231" s="922"/>
      <c r="AJB231" s="922"/>
      <c r="AJC231" s="922"/>
      <c r="AJD231" s="922"/>
      <c r="AJE231" s="922"/>
      <c r="AJF231" s="922"/>
      <c r="AJG231" s="922"/>
      <c r="AJH231" s="922"/>
      <c r="AJI231" s="922"/>
      <c r="AJJ231" s="922"/>
      <c r="AJK231" s="922"/>
      <c r="AJL231" s="922"/>
      <c r="AJM231" s="922"/>
      <c r="AJN231" s="922"/>
      <c r="AJO231" s="922"/>
      <c r="AJP231" s="922"/>
      <c r="AJQ231" s="922"/>
      <c r="AJR231" s="922"/>
      <c r="AJS231" s="922"/>
      <c r="AJT231" s="922"/>
      <c r="AJU231" s="922"/>
      <c r="AJV231" s="922"/>
      <c r="AJW231" s="922"/>
      <c r="AJX231" s="922"/>
      <c r="AJY231" s="922"/>
      <c r="AJZ231" s="922"/>
      <c r="AKA231" s="922"/>
      <c r="AKB231" s="922"/>
      <c r="AKC231" s="922"/>
      <c r="AKD231" s="922"/>
      <c r="AKE231" s="922"/>
      <c r="AKF231" s="922"/>
      <c r="AKG231" s="922"/>
      <c r="AKH231" s="922"/>
      <c r="AKI231" s="922"/>
      <c r="AKJ231" s="922"/>
      <c r="AKK231" s="922"/>
      <c r="AKL231" s="922"/>
      <c r="AKM231" s="922"/>
      <c r="AKN231" s="922"/>
      <c r="AKO231" s="922"/>
      <c r="AKP231" s="922"/>
      <c r="AKQ231" s="922"/>
      <c r="AKR231" s="922"/>
      <c r="AKS231" s="922"/>
      <c r="AKT231" s="922"/>
      <c r="AKU231" s="922"/>
      <c r="AKV231" s="922"/>
      <c r="AKW231" s="922"/>
      <c r="AKX231" s="922"/>
      <c r="AKY231" s="922"/>
      <c r="AKZ231" s="922"/>
      <c r="ALA231" s="922"/>
      <c r="ALB231" s="922"/>
      <c r="ALC231" s="922"/>
      <c r="ALD231" s="922"/>
      <c r="ALE231" s="922"/>
      <c r="ALF231" s="922"/>
      <c r="ALG231" s="922"/>
      <c r="ALH231" s="922"/>
      <c r="ALI231" s="922"/>
      <c r="ALJ231" s="922"/>
      <c r="ALK231" s="922"/>
      <c r="ALL231" s="922"/>
      <c r="ALM231" s="922"/>
      <c r="ALN231" s="922"/>
      <c r="ALO231" s="922"/>
      <c r="ALP231" s="922"/>
      <c r="ALQ231" s="922"/>
      <c r="ALR231" s="922"/>
      <c r="ALS231" s="922"/>
      <c r="ALT231" s="922"/>
      <c r="ALU231" s="922"/>
      <c r="ALV231" s="922"/>
      <c r="ALW231" s="922"/>
      <c r="ALX231" s="922"/>
      <c r="ALY231" s="922"/>
      <c r="ALZ231" s="922"/>
      <c r="AMA231" s="922"/>
      <c r="AMB231" s="922"/>
      <c r="AMC231" s="922"/>
      <c r="AMD231" s="922"/>
      <c r="AME231" s="922"/>
      <c r="AMF231" s="922"/>
      <c r="AMG231" s="922"/>
      <c r="AMH231" s="922"/>
      <c r="AMI231" s="922"/>
      <c r="AMJ231" s="922"/>
      <c r="AMK231" s="922"/>
      <c r="AML231" s="922"/>
      <c r="AMM231" s="922"/>
      <c r="AMN231" s="922"/>
      <c r="AMO231" s="922"/>
      <c r="AMP231" s="922"/>
      <c r="AMQ231" s="922"/>
      <c r="AMR231" s="922"/>
      <c r="AMS231" s="922"/>
      <c r="AMT231" s="922"/>
      <c r="AMU231" s="922"/>
      <c r="AMV231" s="922"/>
      <c r="AMW231" s="922"/>
      <c r="AMX231" s="922"/>
      <c r="AMY231" s="922"/>
      <c r="AMZ231" s="922"/>
      <c r="ANA231" s="922"/>
      <c r="ANB231" s="922"/>
      <c r="ANC231" s="922"/>
      <c r="AND231" s="922"/>
      <c r="ANE231" s="922"/>
      <c r="ANF231" s="922"/>
      <c r="ANG231" s="922"/>
      <c r="ANH231" s="922"/>
      <c r="ANI231" s="922"/>
      <c r="ANJ231" s="922"/>
      <c r="ANK231" s="922"/>
      <c r="ANL231" s="922"/>
      <c r="ANM231" s="922"/>
      <c r="ANN231" s="922"/>
      <c r="ANO231" s="922"/>
      <c r="ANP231" s="922"/>
      <c r="ANQ231" s="922"/>
      <c r="ANR231" s="922"/>
      <c r="ANS231" s="922"/>
      <c r="ANT231" s="922"/>
      <c r="ANU231" s="922"/>
      <c r="ANV231" s="922"/>
      <c r="ANW231" s="922"/>
      <c r="ANX231" s="922"/>
      <c r="ANY231" s="922"/>
      <c r="ANZ231" s="922"/>
      <c r="AOA231" s="922"/>
      <c r="AOB231" s="922"/>
      <c r="AOC231" s="922"/>
      <c r="AOD231" s="922"/>
      <c r="AOE231" s="922"/>
      <c r="AOF231" s="922"/>
      <c r="AOG231" s="922"/>
      <c r="AOH231" s="922"/>
      <c r="AOI231" s="922"/>
      <c r="AOJ231" s="922"/>
      <c r="AOK231" s="922"/>
      <c r="AOL231" s="922"/>
      <c r="AOM231" s="922"/>
      <c r="AON231" s="922"/>
      <c r="AOO231" s="922"/>
      <c r="AOP231" s="922"/>
      <c r="AOQ231" s="922"/>
      <c r="AOR231" s="922"/>
      <c r="AOS231" s="922"/>
      <c r="AOT231" s="922"/>
      <c r="AOU231" s="922"/>
      <c r="AOV231" s="922"/>
      <c r="AOW231" s="922"/>
      <c r="AOX231" s="922"/>
      <c r="AOY231" s="922"/>
      <c r="AOZ231" s="922"/>
      <c r="APA231" s="922"/>
      <c r="APB231" s="922"/>
      <c r="APC231" s="922"/>
      <c r="APD231" s="922"/>
      <c r="APE231" s="922"/>
      <c r="APF231" s="922"/>
      <c r="APG231" s="922"/>
      <c r="APH231" s="922"/>
      <c r="API231" s="922"/>
      <c r="APJ231" s="922"/>
      <c r="APK231" s="922"/>
      <c r="APL231" s="922"/>
      <c r="APM231" s="922"/>
      <c r="APN231" s="922"/>
      <c r="APO231" s="922"/>
      <c r="APP231" s="922"/>
      <c r="APQ231" s="922"/>
      <c r="APR231" s="922"/>
      <c r="APS231" s="922"/>
      <c r="APT231" s="922"/>
      <c r="APU231" s="922"/>
      <c r="APV231" s="922"/>
      <c r="APW231" s="922"/>
      <c r="APX231" s="922"/>
      <c r="APY231" s="922"/>
      <c r="APZ231" s="922"/>
      <c r="AQA231" s="922"/>
      <c r="AQB231" s="922"/>
      <c r="AQC231" s="922"/>
      <c r="AQD231" s="922"/>
      <c r="AQE231" s="922"/>
      <c r="AQF231" s="922"/>
      <c r="AQG231" s="922"/>
      <c r="AQH231" s="922"/>
      <c r="AQI231" s="922"/>
      <c r="AQJ231" s="922"/>
      <c r="AQK231" s="922"/>
      <c r="AQL231" s="922"/>
      <c r="AQM231" s="922"/>
      <c r="AQN231" s="922"/>
      <c r="AQO231" s="922"/>
      <c r="AQP231" s="922"/>
      <c r="AQQ231" s="922"/>
      <c r="AQR231" s="922"/>
      <c r="AQS231" s="922"/>
      <c r="AQT231" s="922"/>
      <c r="AQU231" s="922"/>
      <c r="AQV231" s="922"/>
      <c r="AQW231" s="922"/>
      <c r="AQX231" s="922"/>
      <c r="AQY231" s="922"/>
      <c r="AQZ231" s="922"/>
      <c r="ARA231" s="922"/>
      <c r="ARB231" s="922"/>
      <c r="ARC231" s="922"/>
      <c r="ARD231" s="922"/>
      <c r="ARE231" s="922"/>
      <c r="ARF231" s="922"/>
      <c r="ARG231" s="922"/>
      <c r="ARH231" s="922"/>
      <c r="ARI231" s="922"/>
      <c r="ARJ231" s="922"/>
      <c r="ARK231" s="922"/>
      <c r="ARL231" s="922"/>
      <c r="ARM231" s="922"/>
      <c r="ARN231" s="922"/>
      <c r="ARO231" s="922"/>
      <c r="ARP231" s="922"/>
      <c r="ARQ231" s="922"/>
      <c r="ARR231" s="922"/>
      <c r="ARS231" s="922"/>
      <c r="ART231" s="922"/>
      <c r="ARU231" s="922"/>
      <c r="ARV231" s="922"/>
      <c r="ARW231" s="922"/>
      <c r="ARX231" s="922"/>
      <c r="ARY231" s="922"/>
      <c r="ARZ231" s="922"/>
      <c r="ASA231" s="922"/>
      <c r="ASB231" s="922"/>
      <c r="ASC231" s="922"/>
    </row>
    <row r="232" spans="20:1173" hidden="1">
      <c r="T232" s="922"/>
      <c r="AN232" s="922"/>
      <c r="AO232" s="922"/>
      <c r="AP232" s="922"/>
      <c r="AQ232" s="922"/>
      <c r="AR232" s="922"/>
      <c r="AS232" s="922"/>
      <c r="AT232" s="922"/>
      <c r="AU232" s="922"/>
      <c r="AV232" s="922"/>
      <c r="AW232" s="922"/>
      <c r="AX232" s="922"/>
      <c r="AY232" s="922"/>
      <c r="AZ232" s="922"/>
      <c r="BA232" s="922"/>
      <c r="BB232" s="922"/>
      <c r="BC232" s="922"/>
      <c r="BD232" s="922"/>
      <c r="BE232" s="922"/>
      <c r="BF232" s="922"/>
      <c r="BG232" s="922"/>
      <c r="BH232" s="922"/>
      <c r="BI232" s="922"/>
      <c r="BJ232" s="922"/>
      <c r="BK232" s="922"/>
      <c r="BL232" s="922"/>
      <c r="BM232" s="922"/>
      <c r="BN232" s="922"/>
      <c r="BO232" s="922"/>
      <c r="BP232" s="922"/>
      <c r="BQ232" s="922"/>
      <c r="BR232" s="922"/>
      <c r="BS232" s="922"/>
      <c r="BT232" s="922"/>
      <c r="BU232" s="922"/>
      <c r="BV232" s="922"/>
      <c r="BW232" s="922"/>
      <c r="BX232" s="922"/>
      <c r="BY232" s="922"/>
      <c r="BZ232" s="922"/>
      <c r="CA232" s="922"/>
      <c r="CB232" s="922"/>
      <c r="CC232" s="922"/>
      <c r="CD232" s="922"/>
      <c r="CE232" s="922"/>
      <c r="CF232" s="922"/>
      <c r="CG232" s="922"/>
      <c r="CH232" s="922"/>
      <c r="CI232" s="922"/>
      <c r="CJ232" s="922"/>
      <c r="CK232" s="922"/>
      <c r="CL232" s="922"/>
      <c r="CM232" s="922"/>
      <c r="CN232" s="922"/>
      <c r="CO232" s="922"/>
      <c r="CP232" s="922"/>
      <c r="CQ232" s="922"/>
      <c r="CR232" s="922"/>
      <c r="CS232" s="922"/>
      <c r="CT232" s="922"/>
      <c r="CU232" s="922"/>
      <c r="CV232" s="922"/>
      <c r="CW232" s="922"/>
      <c r="CX232" s="922"/>
      <c r="CY232" s="922"/>
      <c r="CZ232" s="922"/>
      <c r="DA232" s="922"/>
      <c r="DB232" s="922"/>
      <c r="DC232" s="922"/>
      <c r="DD232" s="922"/>
      <c r="DE232" s="922"/>
      <c r="DF232" s="922"/>
      <c r="DG232" s="922"/>
      <c r="DH232" s="922"/>
      <c r="DI232" s="922"/>
      <c r="DJ232" s="922"/>
      <c r="DK232" s="922"/>
      <c r="DL232" s="922"/>
      <c r="DM232" s="922"/>
      <c r="DN232" s="922"/>
      <c r="DO232" s="922"/>
      <c r="DP232" s="922"/>
      <c r="DQ232" s="922"/>
      <c r="DR232" s="922"/>
      <c r="DS232" s="922"/>
      <c r="DT232" s="922"/>
      <c r="DU232" s="922"/>
      <c r="DV232" s="922"/>
      <c r="DW232" s="922"/>
      <c r="DX232" s="922"/>
      <c r="DY232" s="922"/>
      <c r="DZ232" s="922"/>
      <c r="EA232" s="922"/>
      <c r="EB232" s="922"/>
      <c r="EC232" s="922"/>
      <c r="ED232" s="922"/>
      <c r="EE232" s="922"/>
      <c r="EF232" s="922"/>
      <c r="EG232" s="922"/>
      <c r="EH232" s="922"/>
      <c r="EI232" s="922"/>
      <c r="EJ232" s="922"/>
      <c r="EK232" s="922"/>
      <c r="EL232" s="922"/>
      <c r="EM232" s="922"/>
      <c r="EN232" s="922"/>
      <c r="EO232" s="922"/>
      <c r="EP232" s="922"/>
      <c r="EQ232" s="922"/>
      <c r="ER232" s="922"/>
      <c r="ES232" s="922"/>
      <c r="ET232" s="922"/>
      <c r="EU232" s="922"/>
      <c r="EV232" s="922"/>
      <c r="EW232" s="922"/>
      <c r="EX232" s="922"/>
      <c r="EY232" s="922"/>
      <c r="EZ232" s="922"/>
      <c r="FA232" s="922"/>
      <c r="FB232" s="922"/>
      <c r="FC232" s="922"/>
      <c r="FD232" s="922"/>
      <c r="FE232" s="922"/>
      <c r="FF232" s="922"/>
      <c r="FG232" s="922"/>
      <c r="FH232" s="922"/>
      <c r="FI232" s="922"/>
      <c r="FJ232" s="922"/>
      <c r="FK232" s="922"/>
      <c r="FL232" s="922"/>
      <c r="FM232" s="922"/>
      <c r="FN232" s="922"/>
      <c r="FO232" s="922"/>
      <c r="FP232" s="922"/>
      <c r="FQ232" s="922"/>
      <c r="FR232" s="922"/>
      <c r="FS232" s="922"/>
      <c r="FT232" s="922"/>
      <c r="FU232" s="922"/>
      <c r="FV232" s="922"/>
      <c r="FW232" s="922"/>
      <c r="FX232" s="922"/>
      <c r="FY232" s="922"/>
      <c r="FZ232" s="922"/>
      <c r="GA232" s="922"/>
      <c r="GB232" s="922"/>
      <c r="GC232" s="922"/>
      <c r="GD232" s="922"/>
      <c r="GE232" s="922"/>
      <c r="GF232" s="922"/>
      <c r="GG232" s="922"/>
      <c r="GH232" s="922"/>
      <c r="GI232" s="922"/>
      <c r="GJ232" s="922"/>
      <c r="GK232" s="922"/>
      <c r="GL232" s="922"/>
      <c r="GM232" s="922"/>
      <c r="GN232" s="922"/>
      <c r="GO232" s="922"/>
      <c r="GP232" s="922"/>
      <c r="GQ232" s="922"/>
      <c r="GR232" s="922"/>
      <c r="GS232" s="922"/>
      <c r="GT232" s="922"/>
      <c r="GU232" s="922"/>
      <c r="GV232" s="922"/>
      <c r="GW232" s="922"/>
      <c r="GX232" s="922"/>
      <c r="GY232" s="922"/>
      <c r="GZ232" s="922"/>
      <c r="HA232" s="922"/>
      <c r="HB232" s="922"/>
      <c r="HC232" s="922"/>
      <c r="HD232" s="922"/>
      <c r="HE232" s="922"/>
      <c r="HF232" s="922"/>
      <c r="HG232" s="922"/>
      <c r="HH232" s="922"/>
      <c r="HI232" s="922"/>
      <c r="HJ232" s="922"/>
      <c r="HK232" s="922"/>
      <c r="HL232" s="922"/>
      <c r="HM232" s="922"/>
      <c r="HN232" s="922"/>
      <c r="HO232" s="922"/>
      <c r="HP232" s="922"/>
      <c r="HQ232" s="922"/>
      <c r="HR232" s="922"/>
      <c r="HS232" s="922"/>
      <c r="HT232" s="922"/>
      <c r="HU232" s="922"/>
      <c r="HV232" s="922"/>
      <c r="HW232" s="922"/>
      <c r="HX232" s="922"/>
      <c r="HY232" s="922"/>
      <c r="HZ232" s="922"/>
      <c r="IA232" s="922"/>
      <c r="IB232" s="922"/>
      <c r="IC232" s="922"/>
      <c r="ID232" s="922"/>
      <c r="IE232" s="922"/>
      <c r="IF232" s="922"/>
      <c r="IG232" s="922"/>
      <c r="IH232" s="922"/>
      <c r="II232" s="922"/>
      <c r="IJ232" s="922"/>
      <c r="IK232" s="922"/>
      <c r="IL232" s="922"/>
      <c r="IM232" s="922"/>
      <c r="IN232" s="922"/>
      <c r="IO232" s="922"/>
      <c r="IP232" s="922"/>
      <c r="IQ232" s="922"/>
      <c r="IR232" s="922"/>
      <c r="IS232" s="922"/>
      <c r="IT232" s="922"/>
      <c r="IU232" s="922"/>
      <c r="IV232" s="922"/>
      <c r="IW232" s="922"/>
      <c r="IX232" s="922"/>
      <c r="IY232" s="922"/>
      <c r="IZ232" s="922"/>
      <c r="JA232" s="922"/>
      <c r="JB232" s="922"/>
      <c r="JC232" s="922"/>
      <c r="JD232" s="922"/>
      <c r="JE232" s="922"/>
      <c r="JF232" s="922"/>
      <c r="JG232" s="922"/>
      <c r="JH232" s="922"/>
      <c r="JI232" s="922"/>
      <c r="JJ232" s="922"/>
      <c r="JK232" s="922"/>
      <c r="JL232" s="922"/>
      <c r="JM232" s="922"/>
      <c r="JN232" s="922"/>
      <c r="JO232" s="922"/>
      <c r="JP232" s="922"/>
      <c r="JQ232" s="922"/>
      <c r="JR232" s="922"/>
      <c r="JS232" s="922"/>
      <c r="JT232" s="922"/>
      <c r="JU232" s="922"/>
      <c r="JV232" s="922"/>
      <c r="JW232" s="922"/>
      <c r="JX232" s="922"/>
      <c r="JY232" s="922"/>
      <c r="JZ232" s="922"/>
      <c r="KA232" s="922"/>
      <c r="KB232" s="922"/>
      <c r="KC232" s="922"/>
      <c r="KD232" s="922"/>
      <c r="KE232" s="922"/>
      <c r="KF232" s="922"/>
      <c r="KG232" s="922"/>
      <c r="KH232" s="922"/>
      <c r="KI232" s="922"/>
      <c r="KJ232" s="922"/>
      <c r="KK232" s="922"/>
      <c r="KL232" s="922"/>
      <c r="KM232" s="922"/>
      <c r="KN232" s="922"/>
      <c r="KO232" s="922"/>
      <c r="KP232" s="922"/>
      <c r="KQ232" s="922"/>
      <c r="KR232" s="922"/>
      <c r="KS232" s="922"/>
      <c r="KT232" s="922"/>
      <c r="KU232" s="922"/>
      <c r="KV232" s="922"/>
      <c r="KW232" s="922"/>
      <c r="KX232" s="922"/>
      <c r="KY232" s="922"/>
      <c r="KZ232" s="922"/>
      <c r="LA232" s="922"/>
      <c r="LB232" s="922"/>
      <c r="LC232" s="922"/>
      <c r="LD232" s="922"/>
      <c r="LE232" s="922"/>
      <c r="LF232" s="922"/>
      <c r="LG232" s="922"/>
      <c r="LH232" s="922"/>
      <c r="LI232" s="922"/>
      <c r="LJ232" s="922"/>
      <c r="LK232" s="922"/>
      <c r="LL232" s="922"/>
      <c r="LM232" s="922"/>
      <c r="LN232" s="922"/>
      <c r="LO232" s="922"/>
      <c r="LP232" s="922"/>
      <c r="LQ232" s="922"/>
      <c r="LR232" s="922"/>
      <c r="LS232" s="922"/>
      <c r="LT232" s="922"/>
      <c r="LU232" s="922"/>
      <c r="LV232" s="922"/>
      <c r="LW232" s="922"/>
      <c r="LX232" s="922"/>
      <c r="LY232" s="922"/>
      <c r="LZ232" s="922"/>
      <c r="MA232" s="922"/>
      <c r="MB232" s="922"/>
      <c r="MC232" s="922"/>
      <c r="MD232" s="922"/>
      <c r="ME232" s="922"/>
      <c r="MF232" s="922"/>
      <c r="MG232" s="922"/>
      <c r="MH232" s="922"/>
      <c r="MI232" s="922"/>
      <c r="MJ232" s="922"/>
      <c r="MK232" s="922"/>
      <c r="ML232" s="922"/>
      <c r="MM232" s="922"/>
      <c r="MN232" s="922"/>
      <c r="MO232" s="922"/>
      <c r="MP232" s="922"/>
      <c r="MQ232" s="922"/>
      <c r="MR232" s="922"/>
      <c r="MS232" s="922"/>
      <c r="MT232" s="922"/>
      <c r="MU232" s="922"/>
      <c r="MV232" s="922"/>
      <c r="MW232" s="922"/>
      <c r="MX232" s="922"/>
      <c r="MY232" s="922"/>
      <c r="MZ232" s="922"/>
      <c r="NA232" s="922"/>
      <c r="NB232" s="922"/>
      <c r="NC232" s="922"/>
      <c r="ND232" s="922"/>
      <c r="NE232" s="922"/>
      <c r="NF232" s="922"/>
      <c r="NG232" s="922"/>
      <c r="NH232" s="922"/>
      <c r="NI232" s="922"/>
      <c r="NJ232" s="922"/>
      <c r="NK232" s="922"/>
      <c r="NL232" s="922"/>
      <c r="NM232" s="922"/>
      <c r="NN232" s="922"/>
      <c r="NO232" s="922"/>
      <c r="NP232" s="922"/>
      <c r="NQ232" s="922"/>
      <c r="NR232" s="922"/>
      <c r="NS232" s="922"/>
      <c r="NT232" s="922"/>
      <c r="NU232" s="922"/>
      <c r="NV232" s="922"/>
      <c r="NW232" s="922"/>
      <c r="NX232" s="922"/>
      <c r="NY232" s="922"/>
      <c r="NZ232" s="922"/>
      <c r="OA232" s="922"/>
      <c r="OB232" s="922"/>
      <c r="OC232" s="922"/>
      <c r="OD232" s="922"/>
      <c r="OE232" s="922"/>
      <c r="OF232" s="922"/>
      <c r="OG232" s="922"/>
      <c r="OH232" s="922"/>
      <c r="OI232" s="922"/>
      <c r="OJ232" s="922"/>
      <c r="OK232" s="922"/>
      <c r="OL232" s="922"/>
      <c r="OM232" s="922"/>
      <c r="ON232" s="922"/>
      <c r="OO232" s="922"/>
      <c r="OP232" s="922"/>
      <c r="OQ232" s="922"/>
      <c r="OR232" s="922"/>
      <c r="OS232" s="922"/>
      <c r="OT232" s="922"/>
      <c r="OU232" s="922"/>
      <c r="OV232" s="922"/>
      <c r="OW232" s="922"/>
      <c r="OX232" s="922"/>
      <c r="OY232" s="922"/>
      <c r="OZ232" s="922"/>
      <c r="PA232" s="922"/>
      <c r="PB232" s="922"/>
      <c r="PC232" s="922"/>
      <c r="PD232" s="922"/>
      <c r="PE232" s="922"/>
      <c r="PF232" s="922"/>
      <c r="PG232" s="922"/>
      <c r="PH232" s="922"/>
      <c r="PI232" s="922"/>
      <c r="PJ232" s="922"/>
      <c r="PK232" s="922"/>
      <c r="PL232" s="922"/>
      <c r="PM232" s="922"/>
      <c r="PN232" s="922"/>
      <c r="PO232" s="922"/>
      <c r="PP232" s="922"/>
      <c r="PQ232" s="922"/>
      <c r="PR232" s="922"/>
      <c r="PS232" s="922"/>
      <c r="PT232" s="922"/>
      <c r="PU232" s="922"/>
      <c r="PV232" s="922"/>
      <c r="PW232" s="922"/>
      <c r="PX232" s="922"/>
      <c r="PY232" s="922"/>
      <c r="PZ232" s="922"/>
      <c r="QA232" s="922"/>
      <c r="QB232" s="922"/>
      <c r="QC232" s="922"/>
      <c r="QD232" s="922"/>
      <c r="QE232" s="922"/>
      <c r="QF232" s="922"/>
      <c r="QG232" s="922"/>
      <c r="QH232" s="922"/>
      <c r="QI232" s="922"/>
      <c r="QJ232" s="922"/>
      <c r="QK232" s="922"/>
      <c r="QL232" s="922"/>
      <c r="QM232" s="922"/>
      <c r="QN232" s="922"/>
      <c r="QO232" s="922"/>
      <c r="QP232" s="922"/>
      <c r="QQ232" s="922"/>
      <c r="QR232" s="922"/>
      <c r="QS232" s="922"/>
      <c r="QT232" s="922"/>
      <c r="QU232" s="922"/>
      <c r="QV232" s="922"/>
      <c r="QW232" s="922"/>
      <c r="QX232" s="922"/>
      <c r="QY232" s="922"/>
      <c r="QZ232" s="922"/>
      <c r="RA232" s="922"/>
      <c r="RB232" s="922"/>
      <c r="RC232" s="922"/>
      <c r="RD232" s="922"/>
      <c r="RE232" s="922"/>
      <c r="RF232" s="922"/>
      <c r="RG232" s="922"/>
      <c r="RH232" s="922"/>
      <c r="RI232" s="922"/>
      <c r="RJ232" s="922"/>
      <c r="RK232" s="922"/>
      <c r="RL232" s="922"/>
      <c r="RM232" s="922"/>
      <c r="RN232" s="922"/>
      <c r="RO232" s="922"/>
      <c r="RP232" s="922"/>
      <c r="RQ232" s="922"/>
      <c r="RR232" s="922"/>
      <c r="RS232" s="922"/>
      <c r="RT232" s="922"/>
      <c r="RU232" s="922"/>
      <c r="RV232" s="922"/>
      <c r="RW232" s="922"/>
      <c r="RX232" s="922"/>
      <c r="RY232" s="922"/>
      <c r="RZ232" s="922"/>
      <c r="SA232" s="922"/>
      <c r="SB232" s="922"/>
      <c r="SC232" s="922"/>
      <c r="SD232" s="922"/>
      <c r="SE232" s="922"/>
      <c r="SF232" s="922"/>
      <c r="SG232" s="922"/>
      <c r="SH232" s="922"/>
      <c r="SI232" s="922"/>
      <c r="SJ232" s="922"/>
      <c r="SK232" s="922"/>
      <c r="SL232" s="922"/>
      <c r="SM232" s="922"/>
      <c r="SN232" s="922"/>
      <c r="SO232" s="922"/>
      <c r="SP232" s="922"/>
      <c r="SQ232" s="922"/>
      <c r="SR232" s="922"/>
      <c r="SS232" s="922"/>
      <c r="ST232" s="922"/>
      <c r="SU232" s="922"/>
      <c r="SV232" s="922"/>
      <c r="SW232" s="922"/>
      <c r="SX232" s="922"/>
      <c r="SY232" s="922"/>
      <c r="SZ232" s="922"/>
      <c r="TA232" s="922"/>
      <c r="TB232" s="922"/>
      <c r="TC232" s="922"/>
      <c r="TD232" s="922"/>
      <c r="TE232" s="922"/>
      <c r="TF232" s="922"/>
      <c r="TG232" s="922"/>
      <c r="TH232" s="922"/>
      <c r="TI232" s="922"/>
      <c r="TJ232" s="922"/>
      <c r="TK232" s="922"/>
      <c r="TL232" s="922"/>
      <c r="TM232" s="922"/>
      <c r="TN232" s="922"/>
      <c r="TO232" s="922"/>
      <c r="TP232" s="922"/>
      <c r="TQ232" s="922"/>
      <c r="TR232" s="922"/>
      <c r="TS232" s="922"/>
      <c r="TT232" s="922"/>
      <c r="TU232" s="922"/>
      <c r="TV232" s="922"/>
      <c r="TW232" s="922"/>
      <c r="TX232" s="922"/>
      <c r="TY232" s="922"/>
      <c r="TZ232" s="922"/>
      <c r="UA232" s="922"/>
      <c r="UB232" s="922"/>
      <c r="UC232" s="922"/>
      <c r="UD232" s="922"/>
      <c r="UE232" s="922"/>
      <c r="UF232" s="922"/>
      <c r="UG232" s="922"/>
      <c r="UH232" s="922"/>
      <c r="UI232" s="922"/>
      <c r="UJ232" s="922"/>
      <c r="UK232" s="922"/>
      <c r="UL232" s="922"/>
      <c r="UM232" s="922"/>
      <c r="UN232" s="922"/>
      <c r="UO232" s="922"/>
      <c r="UP232" s="922"/>
      <c r="UQ232" s="922"/>
      <c r="UR232" s="922"/>
      <c r="US232" s="922"/>
      <c r="UT232" s="922"/>
      <c r="UU232" s="922"/>
      <c r="UV232" s="922"/>
      <c r="UW232" s="922"/>
      <c r="UX232" s="922"/>
      <c r="UY232" s="922"/>
      <c r="UZ232" s="922"/>
      <c r="VA232" s="922"/>
      <c r="VB232" s="922"/>
      <c r="VC232" s="922"/>
      <c r="VD232" s="922"/>
      <c r="VE232" s="922"/>
      <c r="VF232" s="922"/>
      <c r="VG232" s="922"/>
      <c r="VH232" s="922"/>
      <c r="VI232" s="922"/>
      <c r="VJ232" s="922"/>
      <c r="VK232" s="922"/>
      <c r="VL232" s="922"/>
      <c r="VM232" s="922"/>
      <c r="VN232" s="922"/>
      <c r="VO232" s="922"/>
      <c r="VP232" s="922"/>
      <c r="VQ232" s="922"/>
      <c r="VR232" s="922"/>
      <c r="VS232" s="922"/>
      <c r="VT232" s="922"/>
      <c r="VU232" s="922"/>
      <c r="VV232" s="922"/>
      <c r="VW232" s="922"/>
      <c r="VX232" s="922"/>
      <c r="VY232" s="922"/>
      <c r="VZ232" s="922"/>
      <c r="WA232" s="922"/>
      <c r="WB232" s="922"/>
      <c r="WC232" s="922"/>
      <c r="WD232" s="922"/>
      <c r="WE232" s="922"/>
      <c r="WF232" s="922"/>
      <c r="WG232" s="922"/>
      <c r="WH232" s="922"/>
      <c r="WI232" s="922"/>
      <c r="WJ232" s="922"/>
      <c r="WK232" s="922"/>
      <c r="WL232" s="922"/>
      <c r="WM232" s="922"/>
      <c r="WN232" s="922"/>
      <c r="WO232" s="922"/>
      <c r="WP232" s="922"/>
      <c r="WQ232" s="922"/>
      <c r="WR232" s="922"/>
      <c r="WS232" s="922"/>
      <c r="WT232" s="922"/>
      <c r="WU232" s="922"/>
      <c r="WV232" s="922"/>
      <c r="WW232" s="922"/>
      <c r="WX232" s="922"/>
      <c r="WY232" s="922"/>
      <c r="WZ232" s="922"/>
      <c r="XA232" s="922"/>
      <c r="XB232" s="922"/>
      <c r="XC232" s="922"/>
      <c r="XD232" s="922"/>
      <c r="XE232" s="922"/>
      <c r="XF232" s="922"/>
      <c r="XG232" s="922"/>
      <c r="XH232" s="922"/>
      <c r="XI232" s="922"/>
      <c r="XJ232" s="922"/>
      <c r="XK232" s="922"/>
      <c r="XL232" s="922"/>
      <c r="XM232" s="922"/>
      <c r="XN232" s="922"/>
      <c r="XO232" s="922"/>
      <c r="XP232" s="922"/>
      <c r="XQ232" s="922"/>
      <c r="XR232" s="922"/>
      <c r="XS232" s="922"/>
      <c r="XT232" s="922"/>
      <c r="XU232" s="922"/>
      <c r="XV232" s="922"/>
      <c r="XW232" s="922"/>
      <c r="XX232" s="922"/>
      <c r="XY232" s="922"/>
      <c r="XZ232" s="922"/>
      <c r="YA232" s="922"/>
      <c r="YB232" s="922"/>
      <c r="YC232" s="922"/>
      <c r="YD232" s="922"/>
      <c r="YE232" s="922"/>
      <c r="YF232" s="922"/>
      <c r="YG232" s="922"/>
      <c r="YH232" s="922"/>
      <c r="YI232" s="922"/>
      <c r="YJ232" s="922"/>
      <c r="YK232" s="922"/>
      <c r="YL232" s="922"/>
      <c r="YM232" s="922"/>
      <c r="YN232" s="922"/>
      <c r="YO232" s="922"/>
      <c r="YP232" s="922"/>
      <c r="YQ232" s="922"/>
      <c r="YR232" s="922"/>
      <c r="YS232" s="922"/>
      <c r="YT232" s="922"/>
      <c r="YU232" s="922"/>
      <c r="YV232" s="922"/>
      <c r="YW232" s="922"/>
      <c r="YX232" s="922"/>
      <c r="YY232" s="922"/>
      <c r="YZ232" s="922"/>
      <c r="ZA232" s="922"/>
      <c r="ZB232" s="922"/>
      <c r="ZC232" s="922"/>
      <c r="ZD232" s="922"/>
      <c r="ZE232" s="922"/>
      <c r="ZF232" s="922"/>
      <c r="ZG232" s="922"/>
      <c r="ZH232" s="922"/>
      <c r="ZI232" s="922"/>
      <c r="ZJ232" s="922"/>
      <c r="ZK232" s="922"/>
      <c r="ZL232" s="922"/>
      <c r="ZM232" s="922"/>
      <c r="ZN232" s="922"/>
      <c r="ZO232" s="922"/>
      <c r="ZP232" s="922"/>
      <c r="ZQ232" s="922"/>
      <c r="ZR232" s="922"/>
      <c r="ZS232" s="922"/>
      <c r="ZT232" s="922"/>
      <c r="ZU232" s="922"/>
      <c r="ZV232" s="922"/>
      <c r="ZW232" s="922"/>
      <c r="ZX232" s="922"/>
      <c r="ZY232" s="922"/>
      <c r="ZZ232" s="922"/>
      <c r="AAA232" s="922"/>
      <c r="AAB232" s="922"/>
      <c r="AAC232" s="922"/>
      <c r="AAD232" s="922"/>
      <c r="AAE232" s="922"/>
      <c r="AAF232" s="922"/>
      <c r="AAG232" s="922"/>
      <c r="AAH232" s="922"/>
      <c r="AAI232" s="922"/>
      <c r="AAJ232" s="922"/>
      <c r="AAK232" s="922"/>
      <c r="AAL232" s="922"/>
      <c r="AAM232" s="922"/>
      <c r="AAN232" s="922"/>
      <c r="AAO232" s="922"/>
      <c r="AAP232" s="922"/>
      <c r="AAQ232" s="922"/>
      <c r="AAR232" s="922"/>
      <c r="AAS232" s="922"/>
      <c r="AAT232" s="922"/>
      <c r="AAU232" s="922"/>
      <c r="AAV232" s="922"/>
      <c r="AAW232" s="922"/>
      <c r="AAX232" s="922"/>
      <c r="AAY232" s="922"/>
      <c r="AAZ232" s="922"/>
      <c r="ABA232" s="922"/>
      <c r="ABB232" s="922"/>
      <c r="ABC232" s="922"/>
      <c r="ABD232" s="922"/>
      <c r="ABE232" s="922"/>
      <c r="ABF232" s="922"/>
      <c r="ABG232" s="922"/>
      <c r="ABH232" s="922"/>
      <c r="ABI232" s="922"/>
      <c r="ABJ232" s="922"/>
      <c r="ABK232" s="922"/>
      <c r="ABL232" s="922"/>
      <c r="ABM232" s="922"/>
      <c r="ABN232" s="922"/>
      <c r="ABO232" s="922"/>
      <c r="ABP232" s="922"/>
      <c r="ABQ232" s="922"/>
      <c r="ABR232" s="922"/>
      <c r="ABS232" s="922"/>
      <c r="ABT232" s="922"/>
      <c r="ABU232" s="922"/>
      <c r="ABV232" s="922"/>
      <c r="ABW232" s="922"/>
      <c r="ABX232" s="922"/>
      <c r="ABY232" s="922"/>
      <c r="ABZ232" s="922"/>
      <c r="ACA232" s="922"/>
      <c r="ACB232" s="922"/>
      <c r="ACC232" s="922"/>
      <c r="ACD232" s="922"/>
      <c r="ACE232" s="922"/>
      <c r="ACF232" s="922"/>
      <c r="ACG232" s="922"/>
      <c r="ACH232" s="922"/>
      <c r="ACI232" s="922"/>
      <c r="ACJ232" s="922"/>
      <c r="ACK232" s="922"/>
      <c r="ACL232" s="922"/>
      <c r="ACM232" s="922"/>
      <c r="ACN232" s="922"/>
      <c r="ACO232" s="922"/>
      <c r="ACP232" s="922"/>
      <c r="ACQ232" s="922"/>
      <c r="ACR232" s="922"/>
      <c r="ACS232" s="922"/>
      <c r="ACT232" s="922"/>
      <c r="ACU232" s="922"/>
      <c r="ACV232" s="922"/>
      <c r="ACW232" s="922"/>
      <c r="ACX232" s="922"/>
      <c r="ACY232" s="922"/>
      <c r="ACZ232" s="922"/>
      <c r="ADA232" s="922"/>
      <c r="ADB232" s="922"/>
      <c r="ADC232" s="922"/>
      <c r="ADD232" s="922"/>
      <c r="ADE232" s="922"/>
      <c r="ADF232" s="922"/>
      <c r="ADG232" s="922"/>
      <c r="ADH232" s="922"/>
      <c r="ADI232" s="922"/>
      <c r="ADJ232" s="922"/>
      <c r="ADK232" s="922"/>
      <c r="ADL232" s="922"/>
      <c r="ADM232" s="922"/>
      <c r="ADN232" s="922"/>
      <c r="ADO232" s="922"/>
      <c r="ADP232" s="922"/>
      <c r="ADQ232" s="922"/>
      <c r="ADR232" s="922"/>
      <c r="ADS232" s="922"/>
      <c r="ADT232" s="922"/>
      <c r="ADU232" s="922"/>
      <c r="ADV232" s="922"/>
      <c r="ADW232" s="922"/>
      <c r="ADX232" s="922"/>
      <c r="ADY232" s="922"/>
      <c r="ADZ232" s="922"/>
      <c r="AEA232" s="922"/>
      <c r="AEB232" s="922"/>
      <c r="AEC232" s="922"/>
      <c r="AED232" s="922"/>
      <c r="AEE232" s="922"/>
      <c r="AEF232" s="922"/>
      <c r="AEG232" s="922"/>
      <c r="AEH232" s="922"/>
      <c r="AEI232" s="922"/>
      <c r="AEJ232" s="922"/>
      <c r="AEK232" s="922"/>
      <c r="AEL232" s="922"/>
      <c r="AEM232" s="922"/>
      <c r="AEN232" s="922"/>
      <c r="AEO232" s="922"/>
      <c r="AEP232" s="922"/>
      <c r="AEQ232" s="922"/>
      <c r="AER232" s="922"/>
      <c r="AES232" s="922"/>
      <c r="AET232" s="922"/>
      <c r="AEU232" s="922"/>
      <c r="AEV232" s="922"/>
      <c r="AEW232" s="922"/>
      <c r="AEX232" s="922"/>
      <c r="AEY232" s="922"/>
      <c r="AEZ232" s="922"/>
      <c r="AFA232" s="922"/>
      <c r="AFB232" s="922"/>
      <c r="AFC232" s="922"/>
      <c r="AFD232" s="922"/>
      <c r="AFE232" s="922"/>
      <c r="AFF232" s="922"/>
      <c r="AFG232" s="922"/>
      <c r="AFH232" s="922"/>
      <c r="AFI232" s="922"/>
      <c r="AFJ232" s="922"/>
      <c r="AFK232" s="922"/>
      <c r="AFL232" s="922"/>
      <c r="AFM232" s="922"/>
      <c r="AFN232" s="922"/>
      <c r="AFO232" s="922"/>
      <c r="AFP232" s="922"/>
      <c r="AFQ232" s="922"/>
      <c r="AFR232" s="922"/>
      <c r="AFS232" s="922"/>
      <c r="AFT232" s="922"/>
      <c r="AFU232" s="922"/>
      <c r="AFV232" s="922"/>
      <c r="AFW232" s="922"/>
      <c r="AFX232" s="922"/>
      <c r="AFY232" s="922"/>
      <c r="AFZ232" s="922"/>
      <c r="AGA232" s="922"/>
      <c r="AGB232" s="922"/>
      <c r="AGC232" s="922"/>
      <c r="AGD232" s="922"/>
      <c r="AGE232" s="922"/>
      <c r="AGF232" s="922"/>
      <c r="AGG232" s="922"/>
      <c r="AGH232" s="922"/>
      <c r="AGI232" s="922"/>
      <c r="AGJ232" s="922"/>
      <c r="AGK232" s="922"/>
      <c r="AGL232" s="922"/>
      <c r="AGM232" s="922"/>
      <c r="AGN232" s="922"/>
      <c r="AGO232" s="922"/>
      <c r="AGP232" s="922"/>
      <c r="AGQ232" s="922"/>
      <c r="AGR232" s="922"/>
      <c r="AGS232" s="922"/>
      <c r="AGT232" s="922"/>
      <c r="AGU232" s="922"/>
      <c r="AGV232" s="922"/>
      <c r="AGW232" s="922"/>
      <c r="AGX232" s="922"/>
      <c r="AGY232" s="922"/>
      <c r="AGZ232" s="922"/>
      <c r="AHA232" s="922"/>
      <c r="AHB232" s="922"/>
      <c r="AHC232" s="922"/>
      <c r="AHD232" s="922"/>
      <c r="AHE232" s="922"/>
      <c r="AHF232" s="922"/>
      <c r="AHG232" s="922"/>
      <c r="AHH232" s="922"/>
      <c r="AHI232" s="922"/>
      <c r="AHJ232" s="922"/>
      <c r="AHK232" s="922"/>
      <c r="AHL232" s="922"/>
      <c r="AHM232" s="922"/>
      <c r="AHN232" s="922"/>
      <c r="AHO232" s="922"/>
      <c r="AHP232" s="922"/>
      <c r="AHQ232" s="922"/>
      <c r="AHR232" s="922"/>
      <c r="AHS232" s="922"/>
      <c r="AHT232" s="922"/>
      <c r="AHU232" s="922"/>
      <c r="AHV232" s="922"/>
      <c r="AHW232" s="922"/>
      <c r="AHX232" s="922"/>
      <c r="AHY232" s="922"/>
      <c r="AHZ232" s="922"/>
      <c r="AIA232" s="922"/>
      <c r="AIB232" s="922"/>
      <c r="AIC232" s="922"/>
      <c r="AID232" s="922"/>
      <c r="AIE232" s="922"/>
      <c r="AIF232" s="922"/>
      <c r="AIG232" s="922"/>
      <c r="AIH232" s="922"/>
      <c r="AII232" s="922"/>
      <c r="AIJ232" s="922"/>
      <c r="AIK232" s="922"/>
      <c r="AIL232" s="922"/>
      <c r="AIM232" s="922"/>
      <c r="AIN232" s="922"/>
      <c r="AIO232" s="922"/>
      <c r="AIP232" s="922"/>
      <c r="AIQ232" s="922"/>
      <c r="AIR232" s="922"/>
      <c r="AIS232" s="922"/>
      <c r="AIT232" s="922"/>
      <c r="AIU232" s="922"/>
      <c r="AIV232" s="922"/>
      <c r="AIW232" s="922"/>
      <c r="AIX232" s="922"/>
      <c r="AIY232" s="922"/>
      <c r="AIZ232" s="922"/>
      <c r="AJA232" s="922"/>
      <c r="AJB232" s="922"/>
      <c r="AJC232" s="922"/>
      <c r="AJD232" s="922"/>
      <c r="AJE232" s="922"/>
      <c r="AJF232" s="922"/>
      <c r="AJG232" s="922"/>
      <c r="AJH232" s="922"/>
      <c r="AJI232" s="922"/>
      <c r="AJJ232" s="922"/>
      <c r="AJK232" s="922"/>
      <c r="AJL232" s="922"/>
      <c r="AJM232" s="922"/>
      <c r="AJN232" s="922"/>
      <c r="AJO232" s="922"/>
      <c r="AJP232" s="922"/>
      <c r="AJQ232" s="922"/>
      <c r="AJR232" s="922"/>
      <c r="AJS232" s="922"/>
      <c r="AJT232" s="922"/>
      <c r="AJU232" s="922"/>
      <c r="AJV232" s="922"/>
      <c r="AJW232" s="922"/>
      <c r="AJX232" s="922"/>
      <c r="AJY232" s="922"/>
      <c r="AJZ232" s="922"/>
      <c r="AKA232" s="922"/>
      <c r="AKB232" s="922"/>
      <c r="AKC232" s="922"/>
      <c r="AKD232" s="922"/>
      <c r="AKE232" s="922"/>
      <c r="AKF232" s="922"/>
      <c r="AKG232" s="922"/>
      <c r="AKH232" s="922"/>
      <c r="AKI232" s="922"/>
      <c r="AKJ232" s="922"/>
      <c r="AKK232" s="922"/>
      <c r="AKL232" s="922"/>
      <c r="AKM232" s="922"/>
      <c r="AKN232" s="922"/>
      <c r="AKO232" s="922"/>
      <c r="AKP232" s="922"/>
      <c r="AKQ232" s="922"/>
      <c r="AKR232" s="922"/>
      <c r="AKS232" s="922"/>
      <c r="AKT232" s="922"/>
      <c r="AKU232" s="922"/>
      <c r="AKV232" s="922"/>
      <c r="AKW232" s="922"/>
      <c r="AKX232" s="922"/>
      <c r="AKY232" s="922"/>
      <c r="AKZ232" s="922"/>
      <c r="ALA232" s="922"/>
      <c r="ALB232" s="922"/>
      <c r="ALC232" s="922"/>
      <c r="ALD232" s="922"/>
      <c r="ALE232" s="922"/>
      <c r="ALF232" s="922"/>
      <c r="ALG232" s="922"/>
      <c r="ALH232" s="922"/>
      <c r="ALI232" s="922"/>
      <c r="ALJ232" s="922"/>
      <c r="ALK232" s="922"/>
      <c r="ALL232" s="922"/>
      <c r="ALM232" s="922"/>
      <c r="ALN232" s="922"/>
      <c r="ALO232" s="922"/>
      <c r="ALP232" s="922"/>
      <c r="ALQ232" s="922"/>
      <c r="ALR232" s="922"/>
      <c r="ALS232" s="922"/>
      <c r="ALT232" s="922"/>
      <c r="ALU232" s="922"/>
      <c r="ALV232" s="922"/>
      <c r="ALW232" s="922"/>
      <c r="ALX232" s="922"/>
      <c r="ALY232" s="922"/>
      <c r="ALZ232" s="922"/>
      <c r="AMA232" s="922"/>
      <c r="AMB232" s="922"/>
      <c r="AMC232" s="922"/>
      <c r="AMD232" s="922"/>
      <c r="AME232" s="922"/>
      <c r="AMF232" s="922"/>
      <c r="AMG232" s="922"/>
      <c r="AMH232" s="922"/>
      <c r="AMI232" s="922"/>
      <c r="AMJ232" s="922"/>
      <c r="AMK232" s="922"/>
      <c r="AML232" s="922"/>
      <c r="AMM232" s="922"/>
      <c r="AMN232" s="922"/>
      <c r="AMO232" s="922"/>
      <c r="AMP232" s="922"/>
      <c r="AMQ232" s="922"/>
      <c r="AMR232" s="922"/>
      <c r="AMS232" s="922"/>
      <c r="AMT232" s="922"/>
      <c r="AMU232" s="922"/>
      <c r="AMV232" s="922"/>
      <c r="AMW232" s="922"/>
      <c r="AMX232" s="922"/>
      <c r="AMY232" s="922"/>
      <c r="AMZ232" s="922"/>
      <c r="ANA232" s="922"/>
      <c r="ANB232" s="922"/>
      <c r="ANC232" s="922"/>
      <c r="AND232" s="922"/>
      <c r="ANE232" s="922"/>
      <c r="ANF232" s="922"/>
      <c r="ANG232" s="922"/>
      <c r="ANH232" s="922"/>
      <c r="ANI232" s="922"/>
      <c r="ANJ232" s="922"/>
      <c r="ANK232" s="922"/>
      <c r="ANL232" s="922"/>
      <c r="ANM232" s="922"/>
      <c r="ANN232" s="922"/>
      <c r="ANO232" s="922"/>
      <c r="ANP232" s="922"/>
      <c r="ANQ232" s="922"/>
      <c r="ANR232" s="922"/>
      <c r="ANS232" s="922"/>
      <c r="ANT232" s="922"/>
      <c r="ANU232" s="922"/>
      <c r="ANV232" s="922"/>
      <c r="ANW232" s="922"/>
      <c r="ANX232" s="922"/>
      <c r="ANY232" s="922"/>
      <c r="ANZ232" s="922"/>
      <c r="AOA232" s="922"/>
      <c r="AOB232" s="922"/>
      <c r="AOC232" s="922"/>
      <c r="AOD232" s="922"/>
      <c r="AOE232" s="922"/>
      <c r="AOF232" s="922"/>
      <c r="AOG232" s="922"/>
      <c r="AOH232" s="922"/>
      <c r="AOI232" s="922"/>
      <c r="AOJ232" s="922"/>
      <c r="AOK232" s="922"/>
      <c r="AOL232" s="922"/>
      <c r="AOM232" s="922"/>
      <c r="AON232" s="922"/>
      <c r="AOO232" s="922"/>
      <c r="AOP232" s="922"/>
      <c r="AOQ232" s="922"/>
      <c r="AOR232" s="922"/>
      <c r="AOS232" s="922"/>
      <c r="AOT232" s="922"/>
      <c r="AOU232" s="922"/>
      <c r="AOV232" s="922"/>
      <c r="AOW232" s="922"/>
      <c r="AOX232" s="922"/>
      <c r="AOY232" s="922"/>
      <c r="AOZ232" s="922"/>
      <c r="APA232" s="922"/>
      <c r="APB232" s="922"/>
      <c r="APC232" s="922"/>
      <c r="APD232" s="922"/>
      <c r="APE232" s="922"/>
      <c r="APF232" s="922"/>
      <c r="APG232" s="922"/>
      <c r="APH232" s="922"/>
      <c r="API232" s="922"/>
      <c r="APJ232" s="922"/>
      <c r="APK232" s="922"/>
      <c r="APL232" s="922"/>
      <c r="APM232" s="922"/>
      <c r="APN232" s="922"/>
      <c r="APO232" s="922"/>
      <c r="APP232" s="922"/>
      <c r="APQ232" s="922"/>
      <c r="APR232" s="922"/>
      <c r="APS232" s="922"/>
      <c r="APT232" s="922"/>
      <c r="APU232" s="922"/>
      <c r="APV232" s="922"/>
      <c r="APW232" s="922"/>
      <c r="APX232" s="922"/>
      <c r="APY232" s="922"/>
      <c r="APZ232" s="922"/>
      <c r="AQA232" s="922"/>
      <c r="AQB232" s="922"/>
      <c r="AQC232" s="922"/>
      <c r="AQD232" s="922"/>
      <c r="AQE232" s="922"/>
      <c r="AQF232" s="922"/>
      <c r="AQG232" s="922"/>
      <c r="AQH232" s="922"/>
      <c r="AQI232" s="922"/>
      <c r="AQJ232" s="922"/>
      <c r="AQK232" s="922"/>
      <c r="AQL232" s="922"/>
      <c r="AQM232" s="922"/>
      <c r="AQN232" s="922"/>
      <c r="AQO232" s="922"/>
      <c r="AQP232" s="922"/>
      <c r="AQQ232" s="922"/>
      <c r="AQR232" s="922"/>
      <c r="AQS232" s="922"/>
      <c r="AQT232" s="922"/>
      <c r="AQU232" s="922"/>
      <c r="AQV232" s="922"/>
      <c r="AQW232" s="922"/>
      <c r="AQX232" s="922"/>
      <c r="AQY232" s="922"/>
      <c r="AQZ232" s="922"/>
      <c r="ARA232" s="922"/>
      <c r="ARB232" s="922"/>
      <c r="ARC232" s="922"/>
      <c r="ARD232" s="922"/>
      <c r="ARE232" s="922"/>
      <c r="ARF232" s="922"/>
      <c r="ARG232" s="922"/>
      <c r="ARH232" s="922"/>
      <c r="ARI232" s="922"/>
      <c r="ARJ232" s="922"/>
      <c r="ARK232" s="922"/>
      <c r="ARL232" s="922"/>
      <c r="ARM232" s="922"/>
      <c r="ARN232" s="922"/>
      <c r="ARO232" s="922"/>
      <c r="ARP232" s="922"/>
      <c r="ARQ232" s="922"/>
      <c r="ARR232" s="922"/>
      <c r="ARS232" s="922"/>
      <c r="ART232" s="922"/>
      <c r="ARU232" s="922"/>
      <c r="ARV232" s="922"/>
      <c r="ARW232" s="922"/>
      <c r="ARX232" s="922"/>
      <c r="ARY232" s="922"/>
      <c r="ARZ232" s="922"/>
      <c r="ASA232" s="922"/>
      <c r="ASB232" s="922"/>
      <c r="ASC232" s="922"/>
    </row>
    <row r="233" spans="20:1173" hidden="1">
      <c r="T233" s="922"/>
      <c r="AN233" s="922"/>
      <c r="AO233" s="922"/>
      <c r="AP233" s="922"/>
      <c r="AQ233" s="922"/>
      <c r="AR233" s="922"/>
      <c r="AS233" s="922"/>
      <c r="AT233" s="922"/>
      <c r="AU233" s="922"/>
      <c r="AV233" s="922"/>
      <c r="AW233" s="922"/>
      <c r="AX233" s="922"/>
      <c r="AY233" s="922"/>
      <c r="AZ233" s="922"/>
      <c r="BA233" s="922"/>
      <c r="BB233" s="922"/>
      <c r="BC233" s="922"/>
      <c r="BD233" s="922"/>
      <c r="BE233" s="922"/>
      <c r="BF233" s="922"/>
      <c r="BG233" s="922"/>
      <c r="BH233" s="922"/>
      <c r="BI233" s="922"/>
      <c r="BJ233" s="922"/>
      <c r="BK233" s="922"/>
      <c r="BL233" s="922"/>
      <c r="BM233" s="922"/>
      <c r="BN233" s="922"/>
      <c r="BO233" s="922"/>
      <c r="BP233" s="922"/>
      <c r="BQ233" s="922"/>
      <c r="BR233" s="922"/>
      <c r="BS233" s="922"/>
      <c r="BT233" s="922"/>
      <c r="BU233" s="922"/>
      <c r="BV233" s="922"/>
      <c r="BW233" s="922"/>
      <c r="BX233" s="922"/>
      <c r="BY233" s="922"/>
      <c r="BZ233" s="922"/>
      <c r="CA233" s="922"/>
      <c r="CB233" s="922"/>
      <c r="CC233" s="922"/>
      <c r="CD233" s="922"/>
      <c r="CE233" s="922"/>
      <c r="CF233" s="922"/>
      <c r="CG233" s="922"/>
      <c r="CH233" s="922"/>
      <c r="CI233" s="922"/>
      <c r="CJ233" s="922"/>
      <c r="CK233" s="922"/>
      <c r="CL233" s="922"/>
      <c r="CM233" s="922"/>
      <c r="CN233" s="922"/>
      <c r="CO233" s="922"/>
      <c r="CP233" s="922"/>
      <c r="CQ233" s="922"/>
      <c r="CR233" s="922"/>
      <c r="CS233" s="922"/>
      <c r="CT233" s="922"/>
      <c r="CU233" s="922"/>
      <c r="CV233" s="922"/>
      <c r="CW233" s="922"/>
      <c r="CX233" s="922"/>
      <c r="CY233" s="922"/>
      <c r="CZ233" s="922"/>
      <c r="DA233" s="922"/>
      <c r="DB233" s="922"/>
      <c r="DC233" s="922"/>
      <c r="DD233" s="922"/>
      <c r="DE233" s="922"/>
      <c r="DF233" s="922"/>
      <c r="DG233" s="922"/>
      <c r="DH233" s="922"/>
      <c r="DI233" s="922"/>
      <c r="DJ233" s="922"/>
      <c r="DK233" s="922"/>
      <c r="DL233" s="922"/>
      <c r="DM233" s="922"/>
      <c r="DN233" s="922"/>
      <c r="DO233" s="922"/>
      <c r="DP233" s="922"/>
      <c r="DQ233" s="922"/>
      <c r="DR233" s="922"/>
      <c r="DS233" s="922"/>
      <c r="DT233" s="922"/>
      <c r="DU233" s="922"/>
      <c r="DV233" s="922"/>
      <c r="DW233" s="922"/>
      <c r="DX233" s="922"/>
      <c r="DY233" s="922"/>
      <c r="DZ233" s="922"/>
      <c r="EA233" s="922"/>
      <c r="EB233" s="922"/>
      <c r="EC233" s="922"/>
      <c r="ED233" s="922"/>
      <c r="EE233" s="922"/>
      <c r="EF233" s="922"/>
      <c r="EG233" s="922"/>
      <c r="EH233" s="922"/>
      <c r="EI233" s="922"/>
      <c r="EJ233" s="922"/>
      <c r="EK233" s="922"/>
      <c r="EL233" s="922"/>
      <c r="EM233" s="922"/>
      <c r="EN233" s="922"/>
      <c r="EO233" s="922"/>
      <c r="EP233" s="922"/>
      <c r="EQ233" s="922"/>
      <c r="ER233" s="922"/>
      <c r="ES233" s="922"/>
      <c r="ET233" s="922"/>
      <c r="EU233" s="922"/>
      <c r="EV233" s="922"/>
      <c r="EW233" s="922"/>
      <c r="EX233" s="922"/>
      <c r="EY233" s="922"/>
      <c r="EZ233" s="922"/>
      <c r="FA233" s="922"/>
      <c r="FB233" s="922"/>
      <c r="FC233" s="922"/>
      <c r="FD233" s="922"/>
      <c r="FE233" s="922"/>
      <c r="FF233" s="922"/>
      <c r="FG233" s="922"/>
      <c r="FH233" s="922"/>
      <c r="FI233" s="922"/>
      <c r="FJ233" s="922"/>
      <c r="FK233" s="922"/>
      <c r="FL233" s="922"/>
      <c r="FM233" s="922"/>
      <c r="FN233" s="922"/>
      <c r="FO233" s="922"/>
      <c r="FP233" s="922"/>
      <c r="FQ233" s="922"/>
      <c r="FR233" s="922"/>
      <c r="FS233" s="922"/>
      <c r="FT233" s="922"/>
      <c r="FU233" s="922"/>
      <c r="FV233" s="922"/>
      <c r="FW233" s="922"/>
      <c r="FX233" s="922"/>
      <c r="FY233" s="922"/>
      <c r="FZ233" s="922"/>
      <c r="GA233" s="922"/>
      <c r="GB233" s="922"/>
      <c r="GC233" s="922"/>
      <c r="GD233" s="922"/>
      <c r="GE233" s="922"/>
      <c r="GF233" s="922"/>
      <c r="GG233" s="922"/>
      <c r="GH233" s="922"/>
      <c r="GI233" s="922"/>
      <c r="GJ233" s="922"/>
      <c r="GK233" s="922"/>
      <c r="GL233" s="922"/>
      <c r="GM233" s="922"/>
      <c r="GN233" s="922"/>
      <c r="GO233" s="922"/>
      <c r="GP233" s="922"/>
      <c r="GQ233" s="922"/>
      <c r="GR233" s="922"/>
      <c r="GS233" s="922"/>
      <c r="GT233" s="922"/>
      <c r="GU233" s="922"/>
      <c r="GV233" s="922"/>
      <c r="GW233" s="922"/>
      <c r="GX233" s="922"/>
      <c r="GY233" s="922"/>
      <c r="GZ233" s="922"/>
      <c r="HA233" s="922"/>
      <c r="HB233" s="922"/>
      <c r="HC233" s="922"/>
      <c r="HD233" s="922"/>
      <c r="HE233" s="922"/>
      <c r="HF233" s="922"/>
      <c r="HG233" s="922"/>
      <c r="HH233" s="922"/>
      <c r="HI233" s="922"/>
      <c r="HJ233" s="922"/>
      <c r="HK233" s="922"/>
      <c r="HL233" s="922"/>
      <c r="HM233" s="922"/>
      <c r="HN233" s="922"/>
      <c r="HO233" s="922"/>
      <c r="HP233" s="922"/>
      <c r="HQ233" s="922"/>
      <c r="HR233" s="922"/>
      <c r="HS233" s="922"/>
      <c r="HT233" s="922"/>
      <c r="HU233" s="922"/>
      <c r="HV233" s="922"/>
      <c r="HW233" s="922"/>
      <c r="HX233" s="922"/>
      <c r="HY233" s="922"/>
      <c r="HZ233" s="922"/>
      <c r="IA233" s="922"/>
      <c r="IB233" s="922"/>
      <c r="IC233" s="922"/>
      <c r="ID233" s="922"/>
      <c r="IE233" s="922"/>
      <c r="IF233" s="922"/>
      <c r="IG233" s="922"/>
      <c r="IH233" s="922"/>
      <c r="II233" s="922"/>
      <c r="IJ233" s="922"/>
      <c r="IK233" s="922"/>
      <c r="IL233" s="922"/>
      <c r="IM233" s="922"/>
      <c r="IN233" s="922"/>
      <c r="IO233" s="922"/>
      <c r="IP233" s="922"/>
      <c r="IQ233" s="922"/>
      <c r="IR233" s="922"/>
      <c r="IS233" s="922"/>
      <c r="IT233" s="922"/>
      <c r="IU233" s="922"/>
      <c r="IV233" s="922"/>
      <c r="IW233" s="922"/>
      <c r="IX233" s="922"/>
      <c r="IY233" s="922"/>
      <c r="IZ233" s="922"/>
      <c r="JA233" s="922"/>
      <c r="JB233" s="922"/>
      <c r="JC233" s="922"/>
      <c r="JD233" s="922"/>
      <c r="JE233" s="922"/>
      <c r="JF233" s="922"/>
      <c r="JG233" s="922"/>
      <c r="JH233" s="922"/>
      <c r="JI233" s="922"/>
      <c r="JJ233" s="922"/>
      <c r="JK233" s="922"/>
      <c r="JL233" s="922"/>
      <c r="JM233" s="922"/>
      <c r="JN233" s="922"/>
      <c r="JO233" s="922"/>
      <c r="JP233" s="922"/>
      <c r="JQ233" s="922"/>
      <c r="JR233" s="922"/>
      <c r="JS233" s="922"/>
      <c r="JT233" s="922"/>
      <c r="JU233" s="922"/>
      <c r="JV233" s="922"/>
      <c r="JW233" s="922"/>
      <c r="JX233" s="922"/>
      <c r="JY233" s="922"/>
      <c r="JZ233" s="922"/>
      <c r="KA233" s="922"/>
      <c r="KB233" s="922"/>
      <c r="KC233" s="922"/>
      <c r="KD233" s="922"/>
      <c r="KE233" s="922"/>
      <c r="KF233" s="922"/>
      <c r="KG233" s="922"/>
      <c r="KH233" s="922"/>
      <c r="KI233" s="922"/>
      <c r="KJ233" s="922"/>
      <c r="KK233" s="922"/>
      <c r="KL233" s="922"/>
      <c r="KM233" s="922"/>
      <c r="KN233" s="922"/>
      <c r="KO233" s="922"/>
      <c r="KP233" s="922"/>
      <c r="KQ233" s="922"/>
      <c r="KR233" s="922"/>
      <c r="KS233" s="922"/>
      <c r="KT233" s="922"/>
      <c r="KU233" s="922"/>
      <c r="KV233" s="922"/>
      <c r="KW233" s="922"/>
      <c r="KX233" s="922"/>
      <c r="KY233" s="922"/>
      <c r="KZ233" s="922"/>
      <c r="LA233" s="922"/>
      <c r="LB233" s="922"/>
      <c r="LC233" s="922"/>
      <c r="LD233" s="922"/>
      <c r="LE233" s="922"/>
      <c r="LF233" s="922"/>
      <c r="LG233" s="922"/>
      <c r="LH233" s="922"/>
      <c r="LI233" s="922"/>
      <c r="LJ233" s="922"/>
      <c r="LK233" s="922"/>
      <c r="LL233" s="922"/>
      <c r="LM233" s="922"/>
      <c r="LN233" s="922"/>
      <c r="LO233" s="922"/>
      <c r="LP233" s="922"/>
      <c r="LQ233" s="922"/>
      <c r="LR233" s="922"/>
      <c r="LS233" s="922"/>
      <c r="LT233" s="922"/>
      <c r="LU233" s="922"/>
      <c r="LV233" s="922"/>
      <c r="LW233" s="922"/>
      <c r="LX233" s="922"/>
      <c r="LY233" s="922"/>
      <c r="LZ233" s="922"/>
      <c r="MA233" s="922"/>
      <c r="MB233" s="922"/>
      <c r="MC233" s="922"/>
      <c r="MD233" s="922"/>
      <c r="ME233" s="922"/>
      <c r="MF233" s="922"/>
      <c r="MG233" s="922"/>
      <c r="MH233" s="922"/>
      <c r="MI233" s="922"/>
      <c r="MJ233" s="922"/>
      <c r="MK233" s="922"/>
      <c r="ML233" s="922"/>
      <c r="MM233" s="922"/>
      <c r="MN233" s="922"/>
      <c r="MO233" s="922"/>
      <c r="MP233" s="922"/>
      <c r="MQ233" s="922"/>
      <c r="MR233" s="922"/>
      <c r="MS233" s="922"/>
      <c r="MT233" s="922"/>
      <c r="MU233" s="922"/>
      <c r="MV233" s="922"/>
      <c r="MW233" s="922"/>
      <c r="MX233" s="922"/>
      <c r="MY233" s="922"/>
      <c r="MZ233" s="922"/>
      <c r="NA233" s="922"/>
      <c r="NB233" s="922"/>
      <c r="NC233" s="922"/>
      <c r="ND233" s="922"/>
      <c r="NE233" s="922"/>
      <c r="NF233" s="922"/>
      <c r="NG233" s="922"/>
      <c r="NH233" s="922"/>
      <c r="NI233" s="922"/>
      <c r="NJ233" s="922"/>
      <c r="NK233" s="922"/>
      <c r="NL233" s="922"/>
      <c r="NM233" s="922"/>
      <c r="NN233" s="922"/>
      <c r="NO233" s="922"/>
      <c r="NP233" s="922"/>
      <c r="NQ233" s="922"/>
      <c r="NR233" s="922"/>
      <c r="NS233" s="922"/>
      <c r="NT233" s="922"/>
      <c r="NU233" s="922"/>
      <c r="NV233" s="922"/>
      <c r="NW233" s="922"/>
      <c r="NX233" s="922"/>
      <c r="NY233" s="922"/>
      <c r="NZ233" s="922"/>
      <c r="OA233" s="922"/>
      <c r="OB233" s="922"/>
      <c r="OC233" s="922"/>
      <c r="OD233" s="922"/>
      <c r="OE233" s="922"/>
      <c r="OF233" s="922"/>
      <c r="OG233" s="922"/>
      <c r="OH233" s="922"/>
      <c r="OI233" s="922"/>
      <c r="OJ233" s="922"/>
      <c r="OK233" s="922"/>
      <c r="OL233" s="922"/>
      <c r="OM233" s="922"/>
      <c r="ON233" s="922"/>
      <c r="OO233" s="922"/>
      <c r="OP233" s="922"/>
      <c r="OQ233" s="922"/>
      <c r="OR233" s="922"/>
      <c r="OS233" s="922"/>
      <c r="OT233" s="922"/>
      <c r="OU233" s="922"/>
      <c r="OV233" s="922"/>
      <c r="OW233" s="922"/>
      <c r="OX233" s="922"/>
      <c r="OY233" s="922"/>
      <c r="OZ233" s="922"/>
      <c r="PA233" s="922"/>
      <c r="PB233" s="922"/>
      <c r="PC233" s="922"/>
      <c r="PD233" s="922"/>
      <c r="PE233" s="922"/>
      <c r="PF233" s="922"/>
      <c r="PG233" s="922"/>
      <c r="PH233" s="922"/>
      <c r="PI233" s="922"/>
      <c r="PJ233" s="922"/>
      <c r="PK233" s="922"/>
      <c r="PL233" s="922"/>
      <c r="PM233" s="922"/>
      <c r="PN233" s="922"/>
      <c r="PO233" s="922"/>
      <c r="PP233" s="922"/>
      <c r="PQ233" s="922"/>
      <c r="PR233" s="922"/>
      <c r="PS233" s="922"/>
      <c r="PT233" s="922"/>
      <c r="PU233" s="922"/>
      <c r="PV233" s="922"/>
      <c r="PW233" s="922"/>
      <c r="PX233" s="922"/>
      <c r="PY233" s="922"/>
      <c r="PZ233" s="922"/>
      <c r="QA233" s="922"/>
      <c r="QB233" s="922"/>
      <c r="QC233" s="922"/>
      <c r="QD233" s="922"/>
      <c r="QE233" s="922"/>
      <c r="QF233" s="922"/>
      <c r="QG233" s="922"/>
      <c r="QH233" s="922"/>
      <c r="QI233" s="922"/>
      <c r="QJ233" s="922"/>
      <c r="QK233" s="922"/>
      <c r="QL233" s="922"/>
      <c r="QM233" s="922"/>
      <c r="QN233" s="922"/>
      <c r="QO233" s="922"/>
      <c r="QP233" s="922"/>
      <c r="QQ233" s="922"/>
      <c r="QR233" s="922"/>
      <c r="QS233" s="922"/>
      <c r="QT233" s="922"/>
      <c r="QU233" s="922"/>
      <c r="QV233" s="922"/>
      <c r="QW233" s="922"/>
      <c r="QX233" s="922"/>
      <c r="QY233" s="922"/>
      <c r="QZ233" s="922"/>
      <c r="RA233" s="922"/>
      <c r="RB233" s="922"/>
      <c r="RC233" s="922"/>
      <c r="RD233" s="922"/>
      <c r="RE233" s="922"/>
      <c r="RF233" s="922"/>
      <c r="RG233" s="922"/>
      <c r="RH233" s="922"/>
      <c r="RI233" s="922"/>
      <c r="RJ233" s="922"/>
      <c r="RK233" s="922"/>
      <c r="RL233" s="922"/>
      <c r="RM233" s="922"/>
      <c r="RN233" s="922"/>
      <c r="RO233" s="922"/>
      <c r="RP233" s="922"/>
      <c r="RQ233" s="922"/>
      <c r="RR233" s="922"/>
      <c r="RS233" s="922"/>
      <c r="RT233" s="922"/>
      <c r="RU233" s="922"/>
      <c r="RV233" s="922"/>
      <c r="RW233" s="922"/>
      <c r="RX233" s="922"/>
      <c r="RY233" s="922"/>
      <c r="RZ233" s="922"/>
      <c r="SA233" s="922"/>
      <c r="SB233" s="922"/>
      <c r="SC233" s="922"/>
      <c r="SD233" s="922"/>
      <c r="SE233" s="922"/>
      <c r="SF233" s="922"/>
      <c r="SG233" s="922"/>
      <c r="SH233" s="922"/>
      <c r="SI233" s="922"/>
      <c r="SJ233" s="922"/>
      <c r="SK233" s="922"/>
      <c r="SL233" s="922"/>
      <c r="SM233" s="922"/>
      <c r="SN233" s="922"/>
      <c r="SO233" s="922"/>
      <c r="SP233" s="922"/>
      <c r="SQ233" s="922"/>
      <c r="SR233" s="922"/>
      <c r="SS233" s="922"/>
      <c r="ST233" s="922"/>
      <c r="SU233" s="922"/>
      <c r="SV233" s="922"/>
      <c r="SW233" s="922"/>
      <c r="SX233" s="922"/>
      <c r="SY233" s="922"/>
      <c r="SZ233" s="922"/>
      <c r="TA233" s="922"/>
      <c r="TB233" s="922"/>
      <c r="TC233" s="922"/>
      <c r="TD233" s="922"/>
      <c r="TE233" s="922"/>
      <c r="TF233" s="922"/>
      <c r="TG233" s="922"/>
      <c r="TH233" s="922"/>
      <c r="TI233" s="922"/>
      <c r="TJ233" s="922"/>
      <c r="TK233" s="922"/>
      <c r="TL233" s="922"/>
      <c r="TM233" s="922"/>
      <c r="TN233" s="922"/>
      <c r="TO233" s="922"/>
      <c r="TP233" s="922"/>
      <c r="TQ233" s="922"/>
      <c r="TR233" s="922"/>
      <c r="TS233" s="922"/>
      <c r="TT233" s="922"/>
      <c r="TU233" s="922"/>
      <c r="TV233" s="922"/>
      <c r="TW233" s="922"/>
      <c r="TX233" s="922"/>
      <c r="TY233" s="922"/>
      <c r="TZ233" s="922"/>
      <c r="UA233" s="922"/>
      <c r="UB233" s="922"/>
      <c r="UC233" s="922"/>
      <c r="UD233" s="922"/>
      <c r="UE233" s="922"/>
      <c r="UF233" s="922"/>
      <c r="UG233" s="922"/>
      <c r="UH233" s="922"/>
      <c r="UI233" s="922"/>
      <c r="UJ233" s="922"/>
      <c r="UK233" s="922"/>
      <c r="UL233" s="922"/>
      <c r="UM233" s="922"/>
      <c r="UN233" s="922"/>
      <c r="UO233" s="922"/>
      <c r="UP233" s="922"/>
      <c r="UQ233" s="922"/>
      <c r="UR233" s="922"/>
      <c r="US233" s="922"/>
      <c r="UT233" s="922"/>
      <c r="UU233" s="922"/>
      <c r="UV233" s="922"/>
      <c r="UW233" s="922"/>
      <c r="UX233" s="922"/>
      <c r="UY233" s="922"/>
      <c r="UZ233" s="922"/>
      <c r="VA233" s="922"/>
      <c r="VB233" s="922"/>
      <c r="VC233" s="922"/>
      <c r="VD233" s="922"/>
      <c r="VE233" s="922"/>
      <c r="VF233" s="922"/>
      <c r="VG233" s="922"/>
      <c r="VH233" s="922"/>
      <c r="VI233" s="922"/>
      <c r="VJ233" s="922"/>
      <c r="VK233" s="922"/>
      <c r="VL233" s="922"/>
      <c r="VM233" s="922"/>
      <c r="VN233" s="922"/>
      <c r="VO233" s="922"/>
      <c r="VP233" s="922"/>
      <c r="VQ233" s="922"/>
      <c r="VR233" s="922"/>
      <c r="VS233" s="922"/>
      <c r="VT233" s="922"/>
      <c r="VU233" s="922"/>
      <c r="VV233" s="922"/>
      <c r="VW233" s="922"/>
      <c r="VX233" s="922"/>
      <c r="VY233" s="922"/>
      <c r="VZ233" s="922"/>
      <c r="WA233" s="922"/>
      <c r="WB233" s="922"/>
      <c r="WC233" s="922"/>
      <c r="WD233" s="922"/>
      <c r="WE233" s="922"/>
      <c r="WF233" s="922"/>
      <c r="WG233" s="922"/>
      <c r="WH233" s="922"/>
      <c r="WI233" s="922"/>
      <c r="WJ233" s="922"/>
      <c r="WK233" s="922"/>
      <c r="WL233" s="922"/>
      <c r="WM233" s="922"/>
      <c r="WN233" s="922"/>
      <c r="WO233" s="922"/>
      <c r="WP233" s="922"/>
      <c r="WQ233" s="922"/>
      <c r="WR233" s="922"/>
      <c r="WS233" s="922"/>
      <c r="WT233" s="922"/>
      <c r="WU233" s="922"/>
      <c r="WV233" s="922"/>
      <c r="WW233" s="922"/>
      <c r="WX233" s="922"/>
      <c r="WY233" s="922"/>
      <c r="WZ233" s="922"/>
      <c r="XA233" s="922"/>
      <c r="XB233" s="922"/>
      <c r="XC233" s="922"/>
      <c r="XD233" s="922"/>
      <c r="XE233" s="922"/>
      <c r="XF233" s="922"/>
      <c r="XG233" s="922"/>
      <c r="XH233" s="922"/>
      <c r="XI233" s="922"/>
      <c r="XJ233" s="922"/>
      <c r="XK233" s="922"/>
      <c r="XL233" s="922"/>
      <c r="XM233" s="922"/>
      <c r="XN233" s="922"/>
      <c r="XO233" s="922"/>
      <c r="XP233" s="922"/>
      <c r="XQ233" s="922"/>
      <c r="XR233" s="922"/>
      <c r="XS233" s="922"/>
      <c r="XT233" s="922"/>
      <c r="XU233" s="922"/>
      <c r="XV233" s="922"/>
      <c r="XW233" s="922"/>
      <c r="XX233" s="922"/>
      <c r="XY233" s="922"/>
      <c r="XZ233" s="922"/>
      <c r="YA233" s="922"/>
      <c r="YB233" s="922"/>
      <c r="YC233" s="922"/>
      <c r="YD233" s="922"/>
      <c r="YE233" s="922"/>
      <c r="YF233" s="922"/>
      <c r="YG233" s="922"/>
      <c r="YH233" s="922"/>
      <c r="YI233" s="922"/>
      <c r="YJ233" s="922"/>
      <c r="YK233" s="922"/>
      <c r="YL233" s="922"/>
      <c r="YM233" s="922"/>
      <c r="YN233" s="922"/>
      <c r="YO233" s="922"/>
      <c r="YP233" s="922"/>
      <c r="YQ233" s="922"/>
      <c r="YR233" s="922"/>
      <c r="YS233" s="922"/>
      <c r="YT233" s="922"/>
      <c r="YU233" s="922"/>
      <c r="YV233" s="922"/>
      <c r="YW233" s="922"/>
      <c r="YX233" s="922"/>
      <c r="YY233" s="922"/>
      <c r="YZ233" s="922"/>
      <c r="ZA233" s="922"/>
      <c r="ZB233" s="922"/>
      <c r="ZC233" s="922"/>
      <c r="ZD233" s="922"/>
      <c r="ZE233" s="922"/>
      <c r="ZF233" s="922"/>
      <c r="ZG233" s="922"/>
      <c r="ZH233" s="922"/>
      <c r="ZI233" s="922"/>
      <c r="ZJ233" s="922"/>
      <c r="ZK233" s="922"/>
      <c r="ZL233" s="922"/>
      <c r="ZM233" s="922"/>
      <c r="ZN233" s="922"/>
      <c r="ZO233" s="922"/>
      <c r="ZP233" s="922"/>
      <c r="ZQ233" s="922"/>
      <c r="ZR233" s="922"/>
      <c r="ZS233" s="922"/>
      <c r="ZT233" s="922"/>
      <c r="ZU233" s="922"/>
      <c r="ZV233" s="922"/>
      <c r="ZW233" s="922"/>
      <c r="ZX233" s="922"/>
      <c r="ZY233" s="922"/>
      <c r="ZZ233" s="922"/>
      <c r="AAA233" s="922"/>
      <c r="AAB233" s="922"/>
      <c r="AAC233" s="922"/>
      <c r="AAD233" s="922"/>
      <c r="AAE233" s="922"/>
      <c r="AAF233" s="922"/>
      <c r="AAG233" s="922"/>
      <c r="AAH233" s="922"/>
      <c r="AAI233" s="922"/>
      <c r="AAJ233" s="922"/>
      <c r="AAK233" s="922"/>
      <c r="AAL233" s="922"/>
      <c r="AAM233" s="922"/>
      <c r="AAN233" s="922"/>
      <c r="AAO233" s="922"/>
      <c r="AAP233" s="922"/>
      <c r="AAQ233" s="922"/>
      <c r="AAR233" s="922"/>
      <c r="AAS233" s="922"/>
      <c r="AAT233" s="922"/>
      <c r="AAU233" s="922"/>
      <c r="AAV233" s="922"/>
      <c r="AAW233" s="922"/>
      <c r="AAX233" s="922"/>
      <c r="AAY233" s="922"/>
      <c r="AAZ233" s="922"/>
      <c r="ABA233" s="922"/>
      <c r="ABB233" s="922"/>
      <c r="ABC233" s="922"/>
      <c r="ABD233" s="922"/>
      <c r="ABE233" s="922"/>
      <c r="ABF233" s="922"/>
      <c r="ABG233" s="922"/>
      <c r="ABH233" s="922"/>
      <c r="ABI233" s="922"/>
      <c r="ABJ233" s="922"/>
      <c r="ABK233" s="922"/>
      <c r="ABL233" s="922"/>
      <c r="ABM233" s="922"/>
      <c r="ABN233" s="922"/>
      <c r="ABO233" s="922"/>
      <c r="ABP233" s="922"/>
      <c r="ABQ233" s="922"/>
      <c r="ABR233" s="922"/>
      <c r="ABS233" s="922"/>
      <c r="ABT233" s="922"/>
      <c r="ABU233" s="922"/>
      <c r="ABV233" s="922"/>
      <c r="ABW233" s="922"/>
      <c r="ABX233" s="922"/>
      <c r="ABY233" s="922"/>
      <c r="ABZ233" s="922"/>
      <c r="ACA233" s="922"/>
      <c r="ACB233" s="922"/>
      <c r="ACC233" s="922"/>
      <c r="ACD233" s="922"/>
      <c r="ACE233" s="922"/>
      <c r="ACF233" s="922"/>
      <c r="ACG233" s="922"/>
      <c r="ACH233" s="922"/>
      <c r="ACI233" s="922"/>
      <c r="ACJ233" s="922"/>
      <c r="ACK233" s="922"/>
      <c r="ACL233" s="922"/>
      <c r="ACM233" s="922"/>
      <c r="ACN233" s="922"/>
      <c r="ACO233" s="922"/>
      <c r="ACP233" s="922"/>
      <c r="ACQ233" s="922"/>
      <c r="ACR233" s="922"/>
      <c r="ACS233" s="922"/>
      <c r="ACT233" s="922"/>
      <c r="ACU233" s="922"/>
      <c r="ACV233" s="922"/>
      <c r="ACW233" s="922"/>
      <c r="ACX233" s="922"/>
      <c r="ACY233" s="922"/>
      <c r="ACZ233" s="922"/>
      <c r="ADA233" s="922"/>
      <c r="ADB233" s="922"/>
      <c r="ADC233" s="922"/>
      <c r="ADD233" s="922"/>
      <c r="ADE233" s="922"/>
      <c r="ADF233" s="922"/>
      <c r="ADG233" s="922"/>
      <c r="ADH233" s="922"/>
      <c r="ADI233" s="922"/>
      <c r="ADJ233" s="922"/>
      <c r="ADK233" s="922"/>
      <c r="ADL233" s="922"/>
      <c r="ADM233" s="922"/>
      <c r="ADN233" s="922"/>
      <c r="ADO233" s="922"/>
      <c r="ADP233" s="922"/>
      <c r="ADQ233" s="922"/>
      <c r="ADR233" s="922"/>
      <c r="ADS233" s="922"/>
      <c r="ADT233" s="922"/>
      <c r="ADU233" s="922"/>
      <c r="ADV233" s="922"/>
      <c r="ADW233" s="922"/>
      <c r="ADX233" s="922"/>
      <c r="ADY233" s="922"/>
      <c r="ADZ233" s="922"/>
      <c r="AEA233" s="922"/>
      <c r="AEB233" s="922"/>
      <c r="AEC233" s="922"/>
      <c r="AED233" s="922"/>
      <c r="AEE233" s="922"/>
      <c r="AEF233" s="922"/>
      <c r="AEG233" s="922"/>
      <c r="AEH233" s="922"/>
      <c r="AEI233" s="922"/>
      <c r="AEJ233" s="922"/>
      <c r="AEK233" s="922"/>
      <c r="AEL233" s="922"/>
      <c r="AEM233" s="922"/>
      <c r="AEN233" s="922"/>
      <c r="AEO233" s="922"/>
      <c r="AEP233" s="922"/>
      <c r="AEQ233" s="922"/>
      <c r="AER233" s="922"/>
      <c r="AES233" s="922"/>
      <c r="AET233" s="922"/>
      <c r="AEU233" s="922"/>
      <c r="AEV233" s="922"/>
      <c r="AEW233" s="922"/>
      <c r="AEX233" s="922"/>
      <c r="AEY233" s="922"/>
      <c r="AEZ233" s="922"/>
      <c r="AFA233" s="922"/>
      <c r="AFB233" s="922"/>
      <c r="AFC233" s="922"/>
      <c r="AFD233" s="922"/>
      <c r="AFE233" s="922"/>
      <c r="AFF233" s="922"/>
      <c r="AFG233" s="922"/>
      <c r="AFH233" s="922"/>
      <c r="AFI233" s="922"/>
      <c r="AFJ233" s="922"/>
      <c r="AFK233" s="922"/>
      <c r="AFL233" s="922"/>
      <c r="AFM233" s="922"/>
      <c r="AFN233" s="922"/>
      <c r="AFO233" s="922"/>
      <c r="AFP233" s="922"/>
      <c r="AFQ233" s="922"/>
      <c r="AFR233" s="922"/>
      <c r="AFS233" s="922"/>
      <c r="AFT233" s="922"/>
      <c r="AFU233" s="922"/>
      <c r="AFV233" s="922"/>
      <c r="AFW233" s="922"/>
      <c r="AFX233" s="922"/>
      <c r="AFY233" s="922"/>
      <c r="AFZ233" s="922"/>
      <c r="AGA233" s="922"/>
      <c r="AGB233" s="922"/>
      <c r="AGC233" s="922"/>
      <c r="AGD233" s="922"/>
      <c r="AGE233" s="922"/>
      <c r="AGF233" s="922"/>
      <c r="AGG233" s="922"/>
      <c r="AGH233" s="922"/>
      <c r="AGI233" s="922"/>
      <c r="AGJ233" s="922"/>
      <c r="AGK233" s="922"/>
      <c r="AGL233" s="922"/>
      <c r="AGM233" s="922"/>
      <c r="AGN233" s="922"/>
      <c r="AGO233" s="922"/>
      <c r="AGP233" s="922"/>
      <c r="AGQ233" s="922"/>
      <c r="AGR233" s="922"/>
      <c r="AGS233" s="922"/>
      <c r="AGT233" s="922"/>
      <c r="AGU233" s="922"/>
      <c r="AGV233" s="922"/>
      <c r="AGW233" s="922"/>
      <c r="AGX233" s="922"/>
      <c r="AGY233" s="922"/>
      <c r="AGZ233" s="922"/>
      <c r="AHA233" s="922"/>
      <c r="AHB233" s="922"/>
      <c r="AHC233" s="922"/>
      <c r="AHD233" s="922"/>
      <c r="AHE233" s="922"/>
      <c r="AHF233" s="922"/>
      <c r="AHG233" s="922"/>
      <c r="AHH233" s="922"/>
      <c r="AHI233" s="922"/>
      <c r="AHJ233" s="922"/>
      <c r="AHK233" s="922"/>
      <c r="AHL233" s="922"/>
      <c r="AHM233" s="922"/>
      <c r="AHN233" s="922"/>
      <c r="AHO233" s="922"/>
      <c r="AHP233" s="922"/>
      <c r="AHQ233" s="922"/>
      <c r="AHR233" s="922"/>
      <c r="AHS233" s="922"/>
      <c r="AHT233" s="922"/>
      <c r="AHU233" s="922"/>
      <c r="AHV233" s="922"/>
      <c r="AHW233" s="922"/>
      <c r="AHX233" s="922"/>
      <c r="AHY233" s="922"/>
      <c r="AHZ233" s="922"/>
      <c r="AIA233" s="922"/>
      <c r="AIB233" s="922"/>
      <c r="AIC233" s="922"/>
      <c r="AID233" s="922"/>
      <c r="AIE233" s="922"/>
      <c r="AIF233" s="922"/>
      <c r="AIG233" s="922"/>
      <c r="AIH233" s="922"/>
      <c r="AII233" s="922"/>
      <c r="AIJ233" s="922"/>
      <c r="AIK233" s="922"/>
      <c r="AIL233" s="922"/>
      <c r="AIM233" s="922"/>
      <c r="AIN233" s="922"/>
      <c r="AIO233" s="922"/>
      <c r="AIP233" s="922"/>
      <c r="AIQ233" s="922"/>
      <c r="AIR233" s="922"/>
      <c r="AIS233" s="922"/>
      <c r="AIT233" s="922"/>
      <c r="AIU233" s="922"/>
      <c r="AIV233" s="922"/>
      <c r="AIW233" s="922"/>
      <c r="AIX233" s="922"/>
      <c r="AIY233" s="922"/>
      <c r="AIZ233" s="922"/>
      <c r="AJA233" s="922"/>
      <c r="AJB233" s="922"/>
      <c r="AJC233" s="922"/>
      <c r="AJD233" s="922"/>
      <c r="AJE233" s="922"/>
      <c r="AJF233" s="922"/>
      <c r="AJG233" s="922"/>
      <c r="AJH233" s="922"/>
      <c r="AJI233" s="922"/>
      <c r="AJJ233" s="922"/>
      <c r="AJK233" s="922"/>
      <c r="AJL233" s="922"/>
      <c r="AJM233" s="922"/>
      <c r="AJN233" s="922"/>
      <c r="AJO233" s="922"/>
      <c r="AJP233" s="922"/>
      <c r="AJQ233" s="922"/>
      <c r="AJR233" s="922"/>
      <c r="AJS233" s="922"/>
      <c r="AJT233" s="922"/>
      <c r="AJU233" s="922"/>
      <c r="AJV233" s="922"/>
      <c r="AJW233" s="922"/>
      <c r="AJX233" s="922"/>
      <c r="AJY233" s="922"/>
      <c r="AJZ233" s="922"/>
      <c r="AKA233" s="922"/>
      <c r="AKB233" s="922"/>
      <c r="AKC233" s="922"/>
      <c r="AKD233" s="922"/>
      <c r="AKE233" s="922"/>
      <c r="AKF233" s="922"/>
      <c r="AKG233" s="922"/>
      <c r="AKH233" s="922"/>
      <c r="AKI233" s="922"/>
      <c r="AKJ233" s="922"/>
      <c r="AKK233" s="922"/>
      <c r="AKL233" s="922"/>
      <c r="AKM233" s="922"/>
      <c r="AKN233" s="922"/>
      <c r="AKO233" s="922"/>
      <c r="AKP233" s="922"/>
      <c r="AKQ233" s="922"/>
      <c r="AKR233" s="922"/>
      <c r="AKS233" s="922"/>
      <c r="AKT233" s="922"/>
      <c r="AKU233" s="922"/>
      <c r="AKV233" s="922"/>
      <c r="AKW233" s="922"/>
      <c r="AKX233" s="922"/>
      <c r="AKY233" s="922"/>
      <c r="AKZ233" s="922"/>
      <c r="ALA233" s="922"/>
      <c r="ALB233" s="922"/>
      <c r="ALC233" s="922"/>
      <c r="ALD233" s="922"/>
      <c r="ALE233" s="922"/>
      <c r="ALF233" s="922"/>
      <c r="ALG233" s="922"/>
      <c r="ALH233" s="922"/>
      <c r="ALI233" s="922"/>
      <c r="ALJ233" s="922"/>
      <c r="ALK233" s="922"/>
      <c r="ALL233" s="922"/>
      <c r="ALM233" s="922"/>
      <c r="ALN233" s="922"/>
      <c r="ALO233" s="922"/>
      <c r="ALP233" s="922"/>
      <c r="ALQ233" s="922"/>
      <c r="ALR233" s="922"/>
      <c r="ALS233" s="922"/>
      <c r="ALT233" s="922"/>
      <c r="ALU233" s="922"/>
      <c r="ALV233" s="922"/>
      <c r="ALW233" s="922"/>
      <c r="ALX233" s="922"/>
      <c r="ALY233" s="922"/>
      <c r="ALZ233" s="922"/>
      <c r="AMA233" s="922"/>
      <c r="AMB233" s="922"/>
      <c r="AMC233" s="922"/>
      <c r="AMD233" s="922"/>
      <c r="AME233" s="922"/>
      <c r="AMF233" s="922"/>
      <c r="AMG233" s="922"/>
      <c r="AMH233" s="922"/>
      <c r="AMI233" s="922"/>
      <c r="AMJ233" s="922"/>
      <c r="AMK233" s="922"/>
      <c r="AML233" s="922"/>
      <c r="AMM233" s="922"/>
      <c r="AMN233" s="922"/>
      <c r="AMO233" s="922"/>
      <c r="AMP233" s="922"/>
      <c r="AMQ233" s="922"/>
      <c r="AMR233" s="922"/>
      <c r="AMS233" s="922"/>
      <c r="AMT233" s="922"/>
      <c r="AMU233" s="922"/>
      <c r="AMV233" s="922"/>
      <c r="AMW233" s="922"/>
      <c r="AMX233" s="922"/>
      <c r="AMY233" s="922"/>
      <c r="AMZ233" s="922"/>
      <c r="ANA233" s="922"/>
      <c r="ANB233" s="922"/>
      <c r="ANC233" s="922"/>
      <c r="AND233" s="922"/>
      <c r="ANE233" s="922"/>
      <c r="ANF233" s="922"/>
      <c r="ANG233" s="922"/>
      <c r="ANH233" s="922"/>
      <c r="ANI233" s="922"/>
      <c r="ANJ233" s="922"/>
      <c r="ANK233" s="922"/>
      <c r="ANL233" s="922"/>
      <c r="ANM233" s="922"/>
      <c r="ANN233" s="922"/>
      <c r="ANO233" s="922"/>
      <c r="ANP233" s="922"/>
      <c r="ANQ233" s="922"/>
      <c r="ANR233" s="922"/>
      <c r="ANS233" s="922"/>
      <c r="ANT233" s="922"/>
      <c r="ANU233" s="922"/>
      <c r="ANV233" s="922"/>
      <c r="ANW233" s="922"/>
      <c r="ANX233" s="922"/>
      <c r="ANY233" s="922"/>
      <c r="ANZ233" s="922"/>
      <c r="AOA233" s="922"/>
      <c r="AOB233" s="922"/>
      <c r="AOC233" s="922"/>
      <c r="AOD233" s="922"/>
      <c r="AOE233" s="922"/>
      <c r="AOF233" s="922"/>
      <c r="AOG233" s="922"/>
      <c r="AOH233" s="922"/>
      <c r="AOI233" s="922"/>
      <c r="AOJ233" s="922"/>
      <c r="AOK233" s="922"/>
      <c r="AOL233" s="922"/>
      <c r="AOM233" s="922"/>
      <c r="AON233" s="922"/>
      <c r="AOO233" s="922"/>
      <c r="AOP233" s="922"/>
      <c r="AOQ233" s="922"/>
      <c r="AOR233" s="922"/>
      <c r="AOS233" s="922"/>
      <c r="AOT233" s="922"/>
      <c r="AOU233" s="922"/>
      <c r="AOV233" s="922"/>
      <c r="AOW233" s="922"/>
      <c r="AOX233" s="922"/>
      <c r="AOY233" s="922"/>
      <c r="AOZ233" s="922"/>
      <c r="APA233" s="922"/>
      <c r="APB233" s="922"/>
      <c r="APC233" s="922"/>
      <c r="APD233" s="922"/>
      <c r="APE233" s="922"/>
      <c r="APF233" s="922"/>
      <c r="APG233" s="922"/>
      <c r="APH233" s="922"/>
      <c r="API233" s="922"/>
      <c r="APJ233" s="922"/>
      <c r="APK233" s="922"/>
      <c r="APL233" s="922"/>
      <c r="APM233" s="922"/>
      <c r="APN233" s="922"/>
      <c r="APO233" s="922"/>
      <c r="APP233" s="922"/>
      <c r="APQ233" s="922"/>
      <c r="APR233" s="922"/>
      <c r="APS233" s="922"/>
      <c r="APT233" s="922"/>
      <c r="APU233" s="922"/>
      <c r="APV233" s="922"/>
      <c r="APW233" s="922"/>
      <c r="APX233" s="922"/>
      <c r="APY233" s="922"/>
      <c r="APZ233" s="922"/>
      <c r="AQA233" s="922"/>
      <c r="AQB233" s="922"/>
      <c r="AQC233" s="922"/>
      <c r="AQD233" s="922"/>
      <c r="AQE233" s="922"/>
      <c r="AQF233" s="922"/>
      <c r="AQG233" s="922"/>
      <c r="AQH233" s="922"/>
      <c r="AQI233" s="922"/>
      <c r="AQJ233" s="922"/>
      <c r="AQK233" s="922"/>
      <c r="AQL233" s="922"/>
      <c r="AQM233" s="922"/>
      <c r="AQN233" s="922"/>
      <c r="AQO233" s="922"/>
      <c r="AQP233" s="922"/>
      <c r="AQQ233" s="922"/>
      <c r="AQR233" s="922"/>
      <c r="AQS233" s="922"/>
      <c r="AQT233" s="922"/>
      <c r="AQU233" s="922"/>
      <c r="AQV233" s="922"/>
      <c r="AQW233" s="922"/>
      <c r="AQX233" s="922"/>
      <c r="AQY233" s="922"/>
      <c r="AQZ233" s="922"/>
      <c r="ARA233" s="922"/>
      <c r="ARB233" s="922"/>
      <c r="ARC233" s="922"/>
      <c r="ARD233" s="922"/>
      <c r="ARE233" s="922"/>
      <c r="ARF233" s="922"/>
      <c r="ARG233" s="922"/>
      <c r="ARH233" s="922"/>
      <c r="ARI233" s="922"/>
      <c r="ARJ233" s="922"/>
      <c r="ARK233" s="922"/>
      <c r="ARL233" s="922"/>
      <c r="ARM233" s="922"/>
      <c r="ARN233" s="922"/>
      <c r="ARO233" s="922"/>
      <c r="ARP233" s="922"/>
      <c r="ARQ233" s="922"/>
      <c r="ARR233" s="922"/>
      <c r="ARS233" s="922"/>
      <c r="ART233" s="922"/>
      <c r="ARU233" s="922"/>
      <c r="ARV233" s="922"/>
      <c r="ARW233" s="922"/>
      <c r="ARX233" s="922"/>
      <c r="ARY233" s="922"/>
      <c r="ARZ233" s="922"/>
      <c r="ASA233" s="922"/>
      <c r="ASB233" s="922"/>
      <c r="ASC233" s="922"/>
    </row>
    <row r="234" spans="20:1173" hidden="1">
      <c r="T234" s="922"/>
    </row>
    <row r="235" spans="20:1173" hidden="1">
      <c r="T235" s="922"/>
    </row>
    <row r="236" spans="20:1173" hidden="1">
      <c r="T236" s="922"/>
    </row>
    <row r="237" spans="20:1173" hidden="1">
      <c r="T237" s="922"/>
    </row>
    <row r="238" spans="20:1173" hidden="1">
      <c r="T238" s="922"/>
    </row>
    <row r="239" spans="20:1173" hidden="1">
      <c r="T239" s="922"/>
    </row>
    <row r="240" spans="20:1173" hidden="1">
      <c r="T240" s="922"/>
    </row>
    <row r="241" spans="20:20" hidden="1">
      <c r="T241" s="922"/>
    </row>
    <row r="242" spans="20:20" hidden="1">
      <c r="T242" s="922"/>
    </row>
    <row r="243" spans="20:20" hidden="1">
      <c r="T243" s="922"/>
    </row>
    <row r="244" spans="20:20" hidden="1">
      <c r="T244" s="922"/>
    </row>
    <row r="245" spans="20:20" hidden="1">
      <c r="T245" s="922"/>
    </row>
    <row r="246" spans="20:20" hidden="1">
      <c r="T246" s="922"/>
    </row>
    <row r="247" spans="20:20" hidden="1">
      <c r="T247" s="922"/>
    </row>
    <row r="248" spans="20:20" hidden="1">
      <c r="T248" s="922"/>
    </row>
    <row r="249" spans="20:20" hidden="1">
      <c r="T249" s="922"/>
    </row>
    <row r="250" spans="20:20" hidden="1">
      <c r="T250" s="922"/>
    </row>
    <row r="251" spans="20:20" hidden="1">
      <c r="T251" s="922"/>
    </row>
    <row r="252" spans="20:20" hidden="1">
      <c r="T252" s="922"/>
    </row>
    <row r="253" spans="20:20" hidden="1">
      <c r="T253" s="922"/>
    </row>
    <row r="254" spans="20:20" hidden="1">
      <c r="T254" s="922"/>
    </row>
    <row r="255" spans="20:20" hidden="1">
      <c r="T255" s="922"/>
    </row>
    <row r="256" spans="20:20" hidden="1">
      <c r="T256" s="922"/>
    </row>
    <row r="257" spans="20:20" hidden="1">
      <c r="T257" s="922"/>
    </row>
    <row r="258" spans="20:20" hidden="1">
      <c r="T258" s="922"/>
    </row>
    <row r="259" spans="20:20" hidden="1">
      <c r="T259" s="922"/>
    </row>
    <row r="260" spans="20:20" hidden="1">
      <c r="T260" s="922"/>
    </row>
    <row r="261" spans="20:20" hidden="1">
      <c r="T261" s="922"/>
    </row>
    <row r="262" spans="20:20" hidden="1">
      <c r="T262" s="922"/>
    </row>
    <row r="263" spans="20:20" hidden="1">
      <c r="T263" s="922"/>
    </row>
    <row r="264" spans="20:20" hidden="1">
      <c r="T264" s="922"/>
    </row>
    <row r="265" spans="20:20" hidden="1">
      <c r="T265" s="922"/>
    </row>
    <row r="266" spans="20:20" hidden="1">
      <c r="T266" s="922"/>
    </row>
    <row r="267" spans="20:20" hidden="1">
      <c r="T267" s="922"/>
    </row>
    <row r="268" spans="20:20" hidden="1">
      <c r="T268" s="922"/>
    </row>
    <row r="269" spans="20:20" hidden="1">
      <c r="T269" s="922"/>
    </row>
    <row r="270" spans="20:20" hidden="1">
      <c r="T270" s="922"/>
    </row>
    <row r="271" spans="20:20" hidden="1">
      <c r="T271" s="922"/>
    </row>
    <row r="272" spans="20:20" hidden="1">
      <c r="T272" s="922"/>
    </row>
    <row r="273" spans="20:20" hidden="1">
      <c r="T273" s="922"/>
    </row>
    <row r="274" spans="20:20" hidden="1">
      <c r="T274" s="922"/>
    </row>
    <row r="275" spans="20:20" hidden="1">
      <c r="T275" s="922"/>
    </row>
    <row r="276" spans="20:20" hidden="1">
      <c r="T276" s="922"/>
    </row>
    <row r="277" spans="20:20" hidden="1">
      <c r="T277" s="922"/>
    </row>
    <row r="278" spans="20:20" hidden="1">
      <c r="T278" s="922"/>
    </row>
    <row r="279" spans="20:20" hidden="1">
      <c r="T279" s="922"/>
    </row>
    <row r="280" spans="20:20" hidden="1">
      <c r="T280" s="922"/>
    </row>
    <row r="281" spans="20:20" hidden="1">
      <c r="T281" s="922"/>
    </row>
    <row r="282" spans="20:20" hidden="1">
      <c r="T282" s="922"/>
    </row>
    <row r="283" spans="20:20" hidden="1">
      <c r="T283" s="922"/>
    </row>
    <row r="284" spans="20:20" hidden="1">
      <c r="T284" s="922"/>
    </row>
    <row r="285" spans="20:20" hidden="1">
      <c r="T285" s="922"/>
    </row>
    <row r="286" spans="20:20" hidden="1">
      <c r="T286" s="922"/>
    </row>
    <row r="287" spans="20:20" hidden="1">
      <c r="T287" s="922"/>
    </row>
    <row r="288" spans="20:20" hidden="1">
      <c r="T288" s="922"/>
    </row>
    <row r="289" spans="2:21" hidden="1">
      <c r="T289" s="922"/>
    </row>
    <row r="290" spans="2:21" hidden="1">
      <c r="T290" s="922"/>
    </row>
    <row r="291" spans="2:21" hidden="1">
      <c r="T291" s="922"/>
    </row>
    <row r="292" spans="2:21" hidden="1">
      <c r="T292" s="922"/>
    </row>
    <row r="293" spans="2:21" hidden="1">
      <c r="T293" s="922"/>
    </row>
    <row r="294" spans="2:21" hidden="1">
      <c r="T294" s="922"/>
    </row>
    <row r="295" spans="2:21" hidden="1">
      <c r="T295" s="922"/>
    </row>
    <row r="296" spans="2:21" hidden="1">
      <c r="T296" s="922"/>
    </row>
    <row r="297" spans="2:21" hidden="1">
      <c r="T297" s="922"/>
    </row>
    <row r="298" spans="2:21" hidden="1">
      <c r="T298" s="922"/>
    </row>
    <row r="299" spans="2:21" hidden="1">
      <c r="T299" s="922"/>
    </row>
    <row r="300" spans="2:21" hidden="1">
      <c r="T300" s="922"/>
    </row>
    <row r="301" spans="2:21" hidden="1">
      <c r="T301" s="922"/>
    </row>
    <row r="302" spans="2:21" hidden="1">
      <c r="B302" s="928"/>
      <c r="C302" s="928"/>
      <c r="D302" s="928"/>
      <c r="E302" s="928"/>
      <c r="F302" s="928"/>
      <c r="G302" s="928"/>
      <c r="H302" s="928"/>
      <c r="I302" s="928"/>
      <c r="J302" s="928"/>
      <c r="K302" s="928"/>
      <c r="L302" s="928"/>
      <c r="M302" s="928"/>
      <c r="N302" s="928"/>
      <c r="O302" s="928"/>
      <c r="P302" s="928"/>
      <c r="Q302" s="928"/>
      <c r="T302" s="922"/>
    </row>
    <row r="303" spans="2:21" hidden="1">
      <c r="B303" s="928"/>
      <c r="C303" s="928"/>
      <c r="D303" s="928"/>
      <c r="E303" s="928"/>
      <c r="F303" s="928"/>
      <c r="G303" s="929"/>
      <c r="H303" s="929"/>
      <c r="I303" s="929"/>
      <c r="J303" s="929"/>
      <c r="K303" s="929"/>
      <c r="L303" s="929"/>
      <c r="M303" s="929"/>
      <c r="N303" s="929"/>
      <c r="O303" s="929"/>
      <c r="P303" s="929"/>
      <c r="Q303" s="929"/>
      <c r="R303" s="930"/>
      <c r="S303" s="931"/>
      <c r="T303" s="922"/>
      <c r="U303" s="930"/>
    </row>
    <row r="304" spans="2:21" hidden="1">
      <c r="B304" s="928"/>
      <c r="C304" s="928"/>
      <c r="D304" s="928"/>
      <c r="E304" s="928"/>
      <c r="F304" s="928"/>
      <c r="G304" s="929"/>
      <c r="H304" s="929"/>
      <c r="I304" s="929"/>
      <c r="J304" s="929"/>
      <c r="K304" s="929"/>
      <c r="L304" s="929"/>
      <c r="M304" s="929"/>
      <c r="N304" s="929"/>
      <c r="O304" s="929"/>
      <c r="P304" s="929"/>
      <c r="Q304" s="929"/>
      <c r="R304" s="930"/>
      <c r="S304" s="931"/>
      <c r="T304" s="922"/>
      <c r="U304" s="930"/>
    </row>
    <row r="305" spans="2:33" hidden="1">
      <c r="B305" s="928"/>
      <c r="C305" s="928"/>
      <c r="D305" s="928"/>
      <c r="E305" s="928"/>
      <c r="F305" s="928"/>
      <c r="G305" s="929"/>
      <c r="H305" s="929"/>
      <c r="I305" s="929"/>
      <c r="J305" s="929"/>
      <c r="K305" s="929"/>
      <c r="L305" s="929"/>
      <c r="M305" s="929"/>
      <c r="N305" s="929"/>
      <c r="O305" s="929"/>
      <c r="P305" s="929"/>
      <c r="Q305" s="929"/>
      <c r="R305" s="930"/>
      <c r="S305" s="931"/>
      <c r="T305" s="922"/>
      <c r="U305" s="930"/>
    </row>
    <row r="306" spans="2:33" hidden="1">
      <c r="B306" s="928"/>
      <c r="C306" s="928"/>
      <c r="D306" s="928"/>
      <c r="E306" s="928"/>
      <c r="F306" s="928"/>
      <c r="G306" s="929"/>
      <c r="H306" s="929"/>
      <c r="I306" s="929"/>
      <c r="J306" s="929"/>
      <c r="K306" s="929"/>
      <c r="L306" s="929"/>
      <c r="M306" s="929"/>
      <c r="N306" s="929"/>
      <c r="O306" s="929"/>
      <c r="P306" s="929"/>
      <c r="Q306" s="929"/>
      <c r="R306" s="930"/>
      <c r="S306" s="931"/>
      <c r="T306" s="922"/>
      <c r="U306" s="930"/>
    </row>
    <row r="307" spans="2:33" hidden="1">
      <c r="B307" s="928"/>
      <c r="C307" s="928"/>
      <c r="D307" s="928"/>
      <c r="E307" s="928"/>
      <c r="F307" s="928"/>
      <c r="G307" s="929"/>
      <c r="H307" s="929"/>
      <c r="I307" s="929"/>
      <c r="J307" s="929"/>
      <c r="K307" s="929"/>
      <c r="L307" s="929"/>
      <c r="M307" s="929"/>
      <c r="N307" s="929"/>
      <c r="O307" s="929"/>
      <c r="P307" s="929"/>
      <c r="Q307" s="929"/>
      <c r="R307" s="930"/>
      <c r="S307" s="931"/>
      <c r="T307" s="922"/>
      <c r="U307" s="930"/>
    </row>
    <row r="308" spans="2:33" hidden="1">
      <c r="B308" s="928"/>
      <c r="C308" s="928"/>
      <c r="D308" s="928"/>
      <c r="E308" s="928"/>
      <c r="F308" s="928"/>
      <c r="G308" s="929"/>
      <c r="H308" s="929"/>
      <c r="I308" s="929"/>
      <c r="J308" s="929"/>
      <c r="K308" s="929"/>
      <c r="L308" s="929"/>
      <c r="M308" s="929"/>
      <c r="N308" s="929"/>
      <c r="O308" s="929"/>
      <c r="P308" s="929"/>
      <c r="Q308" s="929"/>
      <c r="R308" s="930"/>
      <c r="S308" s="931"/>
      <c r="T308" s="922"/>
      <c r="U308" s="930"/>
    </row>
    <row r="309" spans="2:33" hidden="1">
      <c r="B309" s="928"/>
      <c r="C309" s="928"/>
      <c r="D309" s="928"/>
      <c r="E309" s="928"/>
      <c r="F309" s="928"/>
      <c r="G309" s="929"/>
      <c r="H309" s="929"/>
      <c r="I309" s="929"/>
      <c r="J309" s="929"/>
      <c r="K309" s="929"/>
      <c r="L309" s="929"/>
      <c r="M309" s="929"/>
      <c r="N309" s="929"/>
      <c r="O309" s="929"/>
      <c r="P309" s="929"/>
      <c r="Q309" s="929"/>
      <c r="R309" s="930"/>
      <c r="S309" s="931"/>
      <c r="T309" s="922"/>
      <c r="U309" s="930"/>
    </row>
    <row r="310" spans="2:33" hidden="1">
      <c r="B310" s="928"/>
      <c r="C310" s="928"/>
      <c r="D310" s="928"/>
      <c r="E310" s="928"/>
      <c r="F310" s="928"/>
      <c r="G310" s="929"/>
      <c r="H310" s="929"/>
      <c r="I310" s="929"/>
      <c r="J310" s="929"/>
      <c r="K310" s="929"/>
      <c r="L310" s="929"/>
      <c r="M310" s="929"/>
      <c r="N310" s="929"/>
      <c r="O310" s="929"/>
      <c r="P310" s="929"/>
      <c r="Q310" s="929"/>
      <c r="R310" s="930"/>
      <c r="S310" s="931"/>
      <c r="T310" s="922"/>
      <c r="U310" s="930"/>
    </row>
    <row r="311" spans="2:33" hidden="1">
      <c r="B311" s="928"/>
      <c r="C311" s="928"/>
      <c r="D311" s="928"/>
      <c r="E311" s="928"/>
      <c r="F311" s="928"/>
      <c r="G311" s="929"/>
      <c r="H311" s="929"/>
      <c r="I311" s="929"/>
      <c r="J311" s="929"/>
      <c r="K311" s="929"/>
      <c r="L311" s="929"/>
      <c r="M311" s="929"/>
      <c r="N311" s="929"/>
      <c r="O311" s="929"/>
      <c r="P311" s="929"/>
      <c r="Q311" s="929"/>
      <c r="R311" s="932"/>
      <c r="S311" s="933"/>
      <c r="T311" s="934"/>
      <c r="U311" s="932"/>
      <c r="V311" s="935"/>
    </row>
    <row r="312" spans="2:33" hidden="1">
      <c r="B312" s="928"/>
      <c r="C312" s="936"/>
      <c r="D312" s="936"/>
      <c r="E312" s="936"/>
      <c r="F312" s="936"/>
      <c r="G312" s="929"/>
      <c r="H312" s="929"/>
      <c r="I312" s="929"/>
      <c r="J312" s="929"/>
      <c r="K312" s="929"/>
      <c r="L312" s="929"/>
      <c r="M312" s="929"/>
      <c r="N312" s="929"/>
      <c r="O312" s="929"/>
      <c r="P312" s="929"/>
      <c r="Q312" s="929"/>
      <c r="R312" s="932"/>
      <c r="S312" s="933"/>
      <c r="T312" s="934"/>
      <c r="U312" s="932"/>
      <c r="V312" s="935"/>
    </row>
    <row r="313" spans="2:33" hidden="1">
      <c r="B313" s="928"/>
      <c r="C313" s="937" t="s">
        <v>409</v>
      </c>
      <c r="D313" s="937" t="s">
        <v>408</v>
      </c>
      <c r="E313" s="937" t="s">
        <v>407</v>
      </c>
      <c r="F313" s="936"/>
      <c r="G313" s="929"/>
      <c r="H313" s="929"/>
      <c r="I313" s="929"/>
      <c r="J313" s="929"/>
      <c r="K313" s="929"/>
      <c r="L313" s="929"/>
      <c r="M313" s="929"/>
      <c r="N313" s="929"/>
      <c r="O313" s="929"/>
      <c r="P313" s="929"/>
      <c r="Q313" s="929"/>
      <c r="R313" s="932"/>
      <c r="S313" s="933"/>
      <c r="T313" s="934"/>
      <c r="U313" s="932"/>
      <c r="V313" s="938" t="s">
        <v>45</v>
      </c>
    </row>
    <row r="314" spans="2:33" hidden="1">
      <c r="B314" s="928"/>
      <c r="C314" s="937" t="s">
        <v>406</v>
      </c>
      <c r="D314" s="937"/>
      <c r="E314" s="937" t="s">
        <v>111</v>
      </c>
      <c r="F314" s="936" t="s">
        <v>122</v>
      </c>
      <c r="G314" s="929" t="s">
        <v>111</v>
      </c>
      <c r="H314" s="929"/>
      <c r="I314" s="929" t="s">
        <v>405</v>
      </c>
      <c r="J314" s="929"/>
      <c r="K314" s="929"/>
      <c r="L314" s="929"/>
      <c r="M314" s="929" t="s">
        <v>404</v>
      </c>
      <c r="N314" s="929"/>
      <c r="O314" s="929"/>
      <c r="P314" s="929" t="s">
        <v>403</v>
      </c>
      <c r="Q314" s="929"/>
      <c r="R314" s="932" t="s">
        <v>24</v>
      </c>
      <c r="S314" s="933"/>
      <c r="T314" s="934"/>
      <c r="U314" s="932">
        <v>0</v>
      </c>
      <c r="V314" s="938" t="s">
        <v>2</v>
      </c>
    </row>
    <row r="315" spans="2:33" hidden="1">
      <c r="B315" s="928"/>
      <c r="C315" s="937" t="s">
        <v>123</v>
      </c>
      <c r="D315" s="937"/>
      <c r="E315" s="937" t="s">
        <v>98</v>
      </c>
      <c r="F315" s="936" t="s">
        <v>120</v>
      </c>
      <c r="G315" s="929" t="s">
        <v>402</v>
      </c>
      <c r="H315" s="929"/>
      <c r="I315" s="929" t="s">
        <v>401</v>
      </c>
      <c r="J315" s="929"/>
      <c r="K315" s="929"/>
      <c r="L315" s="929"/>
      <c r="M315" s="929" t="s">
        <v>400</v>
      </c>
      <c r="N315" s="929"/>
      <c r="O315" s="929"/>
      <c r="P315" s="929" t="s">
        <v>385</v>
      </c>
      <c r="Q315" s="929"/>
      <c r="R315" s="932" t="s">
        <v>36</v>
      </c>
      <c r="S315" s="933"/>
      <c r="T315" s="934"/>
      <c r="U315" s="932">
        <v>1</v>
      </c>
      <c r="V315" s="935"/>
      <c r="AG315" s="930" t="s">
        <v>122</v>
      </c>
    </row>
    <row r="316" spans="2:33" hidden="1">
      <c r="B316" s="928"/>
      <c r="C316" s="937" t="s">
        <v>789</v>
      </c>
      <c r="D316" s="937"/>
      <c r="E316" s="937" t="s">
        <v>99</v>
      </c>
      <c r="F316" s="936"/>
      <c r="G316" s="929" t="s">
        <v>399</v>
      </c>
      <c r="H316" s="929"/>
      <c r="I316" s="929" t="s">
        <v>398</v>
      </c>
      <c r="J316" s="929"/>
      <c r="K316" s="929"/>
      <c r="L316" s="929"/>
      <c r="M316" s="929" t="s">
        <v>397</v>
      </c>
      <c r="N316" s="929"/>
      <c r="O316" s="929"/>
      <c r="P316" s="929" t="s">
        <v>396</v>
      </c>
      <c r="Q316" s="929"/>
      <c r="R316" s="932"/>
      <c r="S316" s="933"/>
      <c r="T316" s="934"/>
      <c r="U316" s="932">
        <v>2</v>
      </c>
      <c r="V316" s="935"/>
      <c r="AG316" s="930" t="s">
        <v>120</v>
      </c>
    </row>
    <row r="317" spans="2:33" hidden="1">
      <c r="B317" s="928"/>
      <c r="C317" s="937"/>
      <c r="D317" s="937"/>
      <c r="E317" s="937" t="s">
        <v>100</v>
      </c>
      <c r="F317" s="936"/>
      <c r="G317" s="929" t="s">
        <v>395</v>
      </c>
      <c r="H317" s="929"/>
      <c r="I317" s="929" t="s">
        <v>394</v>
      </c>
      <c r="J317" s="929"/>
      <c r="K317" s="929"/>
      <c r="L317" s="929"/>
      <c r="M317" s="929" t="s">
        <v>393</v>
      </c>
      <c r="N317" s="929"/>
      <c r="O317" s="929"/>
      <c r="P317" s="929"/>
      <c r="Q317" s="929"/>
      <c r="R317" s="932"/>
      <c r="S317" s="933"/>
      <c r="T317" s="934"/>
      <c r="U317" s="932">
        <v>3</v>
      </c>
      <c r="V317" s="935"/>
      <c r="AG317" s="930"/>
    </row>
    <row r="318" spans="2:33" hidden="1">
      <c r="B318" s="928"/>
      <c r="C318" s="937"/>
      <c r="D318" s="937"/>
      <c r="E318" s="937" t="s">
        <v>101</v>
      </c>
      <c r="F318" s="936"/>
      <c r="G318" s="929"/>
      <c r="H318" s="929"/>
      <c r="I318" s="929" t="s">
        <v>392</v>
      </c>
      <c r="J318" s="929"/>
      <c r="K318" s="929"/>
      <c r="L318" s="929"/>
      <c r="M318" s="929"/>
      <c r="N318" s="929"/>
      <c r="O318" s="929"/>
      <c r="P318" s="929"/>
      <c r="Q318" s="929"/>
      <c r="R318" s="932"/>
      <c r="S318" s="933"/>
      <c r="T318" s="934"/>
      <c r="U318" s="932">
        <v>4</v>
      </c>
      <c r="V318" s="935"/>
    </row>
    <row r="319" spans="2:33" hidden="1">
      <c r="B319" s="928"/>
      <c r="C319" s="937"/>
      <c r="D319" s="937"/>
      <c r="E319" s="937" t="s">
        <v>102</v>
      </c>
      <c r="F319" s="936"/>
      <c r="G319" s="929"/>
      <c r="H319" s="929"/>
      <c r="I319" s="929"/>
      <c r="J319" s="929"/>
      <c r="K319" s="929"/>
      <c r="L319" s="929"/>
      <c r="M319" s="929"/>
      <c r="N319" s="929"/>
      <c r="O319" s="929"/>
      <c r="P319" s="929"/>
      <c r="Q319" s="929"/>
      <c r="R319" s="932"/>
      <c r="S319" s="933"/>
      <c r="T319" s="934"/>
      <c r="U319" s="932">
        <v>5</v>
      </c>
      <c r="V319" s="935"/>
    </row>
    <row r="320" spans="2:33" hidden="1">
      <c r="B320" s="928"/>
      <c r="C320" s="937"/>
      <c r="D320" s="937"/>
      <c r="E320" s="937" t="s">
        <v>103</v>
      </c>
      <c r="F320" s="936"/>
      <c r="G320" s="929"/>
      <c r="H320" s="929"/>
      <c r="I320" s="929"/>
      <c r="J320" s="929"/>
      <c r="K320" s="929"/>
      <c r="L320" s="929"/>
      <c r="M320" s="929"/>
      <c r="N320" s="929"/>
      <c r="O320" s="929"/>
      <c r="P320" s="929"/>
      <c r="Q320" s="929"/>
      <c r="R320" s="932"/>
      <c r="S320" s="933"/>
      <c r="T320" s="934"/>
      <c r="U320" s="932">
        <v>6</v>
      </c>
      <c r="V320" s="935"/>
    </row>
    <row r="321" spans="2:22" hidden="1">
      <c r="B321" s="928"/>
      <c r="C321" s="937"/>
      <c r="D321" s="937"/>
      <c r="E321" s="937" t="s">
        <v>104</v>
      </c>
      <c r="F321" s="936"/>
      <c r="G321" s="929"/>
      <c r="H321" s="929"/>
      <c r="I321" s="929"/>
      <c r="J321" s="929"/>
      <c r="K321" s="929"/>
      <c r="L321" s="929"/>
      <c r="M321" s="929"/>
      <c r="N321" s="929"/>
      <c r="O321" s="929"/>
      <c r="P321" s="929"/>
      <c r="Q321" s="929"/>
      <c r="R321" s="932"/>
      <c r="S321" s="933"/>
      <c r="T321" s="934"/>
      <c r="U321" s="932"/>
      <c r="V321" s="935"/>
    </row>
    <row r="322" spans="2:22" hidden="1">
      <c r="B322" s="928"/>
      <c r="C322" s="937"/>
      <c r="D322" s="937"/>
      <c r="E322" s="937" t="s">
        <v>105</v>
      </c>
      <c r="F322" s="936"/>
      <c r="G322" s="929"/>
      <c r="H322" s="929"/>
      <c r="I322" s="929"/>
      <c r="J322" s="929"/>
      <c r="K322" s="929"/>
      <c r="L322" s="929"/>
      <c r="M322" s="929"/>
      <c r="N322" s="929"/>
      <c r="O322" s="929"/>
      <c r="P322" s="929"/>
      <c r="Q322" s="929"/>
      <c r="R322" s="932"/>
      <c r="S322" s="933"/>
      <c r="T322" s="934"/>
      <c r="U322" s="932"/>
      <c r="V322" s="935"/>
    </row>
    <row r="323" spans="2:22" hidden="1">
      <c r="B323" s="928"/>
      <c r="C323" s="937"/>
      <c r="D323" s="937"/>
      <c r="E323" s="937" t="s">
        <v>106</v>
      </c>
      <c r="F323" s="936"/>
      <c r="G323" s="929" t="s">
        <v>391</v>
      </c>
      <c r="H323" s="929"/>
      <c r="I323" s="929"/>
      <c r="J323" s="929"/>
      <c r="K323" s="929"/>
      <c r="L323" s="929"/>
      <c r="M323" s="929"/>
      <c r="N323" s="929" t="s">
        <v>390</v>
      </c>
      <c r="O323" s="929"/>
      <c r="P323" s="929"/>
      <c r="Q323" s="929"/>
      <c r="R323" s="932"/>
      <c r="S323" s="933"/>
      <c r="T323" s="934"/>
      <c r="U323" s="932"/>
      <c r="V323" s="935"/>
    </row>
    <row r="324" spans="2:22" hidden="1">
      <c r="B324" s="928"/>
      <c r="C324" s="937"/>
      <c r="D324" s="937"/>
      <c r="E324" s="937" t="s">
        <v>107</v>
      </c>
      <c r="F324" s="936"/>
      <c r="G324" s="929" t="s">
        <v>389</v>
      </c>
      <c r="H324" s="929"/>
      <c r="I324" s="929"/>
      <c r="J324" s="929"/>
      <c r="K324" s="929"/>
      <c r="L324" s="929"/>
      <c r="M324" s="929"/>
      <c r="N324" s="929" t="s">
        <v>388</v>
      </c>
      <c r="O324" s="929"/>
      <c r="P324" s="929"/>
      <c r="Q324" s="929"/>
      <c r="R324" s="932"/>
      <c r="S324" s="933"/>
      <c r="T324" s="934"/>
      <c r="U324" s="932"/>
      <c r="V324" s="935"/>
    </row>
    <row r="325" spans="2:22" hidden="1">
      <c r="B325" s="928"/>
      <c r="C325" s="937"/>
      <c r="D325" s="937"/>
      <c r="E325" s="937" t="s">
        <v>108</v>
      </c>
      <c r="F325" s="936"/>
      <c r="G325" s="929" t="s">
        <v>387</v>
      </c>
      <c r="H325" s="929"/>
      <c r="I325" s="929"/>
      <c r="J325" s="929"/>
      <c r="K325" s="929"/>
      <c r="L325" s="929"/>
      <c r="M325" s="929"/>
      <c r="N325" s="929" t="s">
        <v>386</v>
      </c>
      <c r="O325" s="929"/>
      <c r="P325" s="929"/>
      <c r="Q325" s="929"/>
      <c r="R325" s="932"/>
      <c r="S325" s="933"/>
      <c r="T325" s="934"/>
      <c r="U325" s="932"/>
      <c r="V325" s="935"/>
    </row>
    <row r="326" spans="2:22" hidden="1">
      <c r="B326" s="928"/>
      <c r="C326" s="937"/>
      <c r="D326" s="937"/>
      <c r="E326" s="937" t="s">
        <v>109</v>
      </c>
      <c r="F326" s="936"/>
      <c r="G326" s="929" t="s">
        <v>385</v>
      </c>
      <c r="H326" s="928"/>
      <c r="I326" s="928"/>
      <c r="J326" s="928"/>
      <c r="K326" s="928"/>
      <c r="L326" s="928"/>
      <c r="M326" s="928"/>
      <c r="N326" s="929" t="s">
        <v>384</v>
      </c>
      <c r="O326" s="928"/>
      <c r="P326" s="928"/>
      <c r="Q326" s="928"/>
      <c r="R326" s="935"/>
      <c r="S326" s="934"/>
      <c r="T326" s="934"/>
      <c r="U326" s="935"/>
      <c r="V326" s="935"/>
    </row>
    <row r="327" spans="2:22" hidden="1">
      <c r="B327" s="928"/>
      <c r="C327" s="928"/>
      <c r="D327" s="928"/>
      <c r="E327" s="928"/>
      <c r="F327" s="928"/>
      <c r="G327" s="929" t="s">
        <v>383</v>
      </c>
      <c r="H327" s="928"/>
      <c r="I327" s="928"/>
      <c r="J327" s="928"/>
      <c r="K327" s="928"/>
      <c r="L327" s="928"/>
      <c r="M327" s="928"/>
      <c r="N327" s="929" t="s">
        <v>382</v>
      </c>
      <c r="O327" s="928"/>
      <c r="P327" s="928"/>
      <c r="Q327" s="928"/>
      <c r="R327" s="935"/>
      <c r="S327" s="934"/>
      <c r="T327" s="934"/>
      <c r="U327" s="935"/>
      <c r="V327" s="935"/>
    </row>
    <row r="328" spans="2:22" hidden="1">
      <c r="B328" s="928"/>
      <c r="C328" s="928"/>
      <c r="D328" s="928"/>
      <c r="E328" s="928"/>
      <c r="F328" s="928"/>
      <c r="G328" s="929"/>
      <c r="H328" s="928"/>
      <c r="I328" s="928"/>
      <c r="J328" s="928"/>
      <c r="K328" s="928"/>
      <c r="L328" s="928"/>
      <c r="M328" s="928"/>
      <c r="N328" s="929" t="s">
        <v>111</v>
      </c>
      <c r="O328" s="928"/>
      <c r="P328" s="928"/>
      <c r="Q328" s="928"/>
      <c r="R328" s="935"/>
      <c r="S328" s="934"/>
      <c r="T328" s="934"/>
      <c r="U328" s="935"/>
      <c r="V328" s="935"/>
    </row>
    <row r="329" spans="2:22" hidden="1">
      <c r="B329" s="928"/>
      <c r="C329" s="928"/>
      <c r="D329" s="928"/>
      <c r="E329" s="928"/>
      <c r="F329" s="928"/>
      <c r="G329" s="929"/>
      <c r="H329" s="928"/>
      <c r="I329" s="928"/>
      <c r="J329" s="928"/>
      <c r="K329" s="928"/>
      <c r="L329" s="928"/>
      <c r="M329" s="928"/>
      <c r="N329" s="928"/>
      <c r="O329" s="928"/>
      <c r="P329" s="928"/>
      <c r="Q329" s="928"/>
      <c r="R329" s="935"/>
      <c r="S329" s="934"/>
      <c r="T329" s="934"/>
      <c r="U329" s="935"/>
      <c r="V329" s="935"/>
    </row>
    <row r="330" spans="2:22" hidden="1">
      <c r="B330" s="928"/>
      <c r="C330" s="928"/>
      <c r="D330" s="928"/>
      <c r="E330" s="928"/>
      <c r="F330" s="928"/>
      <c r="G330" s="928"/>
      <c r="H330" s="928"/>
      <c r="I330" s="928"/>
      <c r="J330" s="928"/>
      <c r="K330" s="928"/>
      <c r="L330" s="928"/>
      <c r="M330" s="928"/>
      <c r="N330" s="928"/>
      <c r="O330" s="928"/>
      <c r="P330" s="928"/>
      <c r="Q330" s="928"/>
      <c r="R330" s="935"/>
      <c r="S330" s="934"/>
      <c r="T330" s="934"/>
      <c r="U330" s="935"/>
      <c r="V330" s="935"/>
    </row>
    <row r="331" spans="2:22" hidden="1">
      <c r="B331" s="928"/>
      <c r="C331" s="928"/>
      <c r="D331" s="928"/>
      <c r="E331" s="928"/>
      <c r="F331" s="928"/>
      <c r="G331" s="928"/>
      <c r="H331" s="928"/>
      <c r="I331" s="928"/>
      <c r="J331" s="928"/>
      <c r="K331" s="928"/>
      <c r="L331" s="928"/>
      <c r="M331" s="928"/>
      <c r="N331" s="928"/>
      <c r="O331" s="928"/>
      <c r="P331" s="928"/>
      <c r="Q331" s="928"/>
      <c r="R331" s="935"/>
      <c r="S331" s="934"/>
      <c r="T331" s="934"/>
      <c r="U331" s="935"/>
      <c r="V331" s="935"/>
    </row>
    <row r="332" spans="2:22" hidden="1">
      <c r="B332" s="928"/>
      <c r="C332" s="939" t="s">
        <v>381</v>
      </c>
      <c r="D332" s="939"/>
      <c r="E332" s="928"/>
      <c r="F332" s="928"/>
      <c r="G332" s="929" t="s">
        <v>110</v>
      </c>
      <c r="H332" s="928"/>
      <c r="I332" s="929" t="s">
        <v>380</v>
      </c>
      <c r="J332" s="928"/>
      <c r="K332" s="928"/>
      <c r="L332" s="928"/>
      <c r="M332" s="928"/>
      <c r="N332" s="929" t="s">
        <v>24</v>
      </c>
      <c r="O332" s="928"/>
      <c r="P332" s="928"/>
      <c r="Q332" s="928"/>
      <c r="R332" s="935"/>
      <c r="S332" s="934"/>
      <c r="T332" s="934"/>
      <c r="U332" s="935"/>
      <c r="V332" s="935"/>
    </row>
    <row r="333" spans="2:22" hidden="1">
      <c r="B333" s="928"/>
      <c r="C333" s="939" t="s">
        <v>379</v>
      </c>
      <c r="D333" s="939"/>
      <c r="E333" s="928"/>
      <c r="F333" s="928"/>
      <c r="G333" s="929" t="s">
        <v>378</v>
      </c>
      <c r="H333" s="928"/>
      <c r="I333" s="929" t="s">
        <v>377</v>
      </c>
      <c r="J333" s="928"/>
      <c r="K333" s="928"/>
      <c r="L333" s="928"/>
      <c r="M333" s="928"/>
      <c r="N333" s="929" t="s">
        <v>36</v>
      </c>
      <c r="O333" s="928"/>
      <c r="P333" s="928"/>
      <c r="Q333" s="928"/>
      <c r="R333" s="935"/>
      <c r="S333" s="934"/>
      <c r="T333" s="934"/>
      <c r="U333" s="935"/>
      <c r="V333" s="935"/>
    </row>
    <row r="334" spans="2:22" hidden="1">
      <c r="B334" s="928"/>
      <c r="C334" s="939" t="s">
        <v>376</v>
      </c>
      <c r="D334" s="939"/>
      <c r="E334" s="928"/>
      <c r="F334" s="928"/>
      <c r="G334" s="928"/>
      <c r="H334" s="928"/>
      <c r="I334" s="928"/>
      <c r="J334" s="928"/>
      <c r="K334" s="928"/>
      <c r="L334" s="928"/>
      <c r="M334" s="928"/>
      <c r="N334" s="928"/>
      <c r="O334" s="928"/>
      <c r="P334" s="928"/>
      <c r="Q334" s="928"/>
      <c r="R334" s="935"/>
      <c r="S334" s="934"/>
      <c r="T334" s="934"/>
      <c r="U334" s="935"/>
      <c r="V334" s="935"/>
    </row>
    <row r="335" spans="2:22" hidden="1">
      <c r="B335" s="928"/>
      <c r="C335" s="939" t="s">
        <v>375</v>
      </c>
      <c r="D335" s="939"/>
      <c r="E335" s="928"/>
      <c r="F335" s="928"/>
      <c r="G335" s="928"/>
      <c r="H335" s="928"/>
      <c r="I335" s="928"/>
      <c r="J335" s="928"/>
      <c r="K335" s="928"/>
      <c r="L335" s="928"/>
      <c r="M335" s="928"/>
      <c r="N335" s="928"/>
      <c r="O335" s="928"/>
      <c r="P335" s="928"/>
      <c r="Q335" s="928"/>
      <c r="R335" s="935"/>
      <c r="S335" s="934"/>
      <c r="T335" s="934"/>
      <c r="U335" s="935"/>
      <c r="V335" s="935"/>
    </row>
    <row r="336" spans="2:22" hidden="1">
      <c r="B336" s="928"/>
      <c r="C336" s="939" t="s">
        <v>374</v>
      </c>
      <c r="D336" s="939"/>
      <c r="E336" s="928"/>
      <c r="F336" s="928"/>
      <c r="G336" s="928"/>
      <c r="H336" s="928"/>
      <c r="I336" s="928"/>
      <c r="J336" s="928"/>
      <c r="K336" s="928"/>
      <c r="L336" s="928"/>
      <c r="M336" s="928"/>
      <c r="N336" s="928"/>
      <c r="O336" s="928"/>
      <c r="P336" s="928"/>
      <c r="Q336" s="928"/>
      <c r="R336" s="935"/>
      <c r="S336" s="934"/>
      <c r="T336" s="934"/>
      <c r="U336" s="935"/>
      <c r="V336" s="935"/>
    </row>
    <row r="337" spans="2:22" hidden="1">
      <c r="B337" s="928"/>
      <c r="C337" s="939" t="s">
        <v>373</v>
      </c>
      <c r="D337" s="939"/>
      <c r="E337" s="928"/>
      <c r="F337" s="928"/>
      <c r="G337" s="928"/>
      <c r="H337" s="928"/>
      <c r="I337" s="928"/>
      <c r="J337" s="928"/>
      <c r="K337" s="928"/>
      <c r="L337" s="928"/>
      <c r="M337" s="928"/>
      <c r="N337" s="928"/>
      <c r="O337" s="928"/>
      <c r="P337" s="928"/>
      <c r="Q337" s="928"/>
      <c r="R337" s="935"/>
      <c r="S337" s="934"/>
      <c r="T337" s="934"/>
      <c r="U337" s="935"/>
      <c r="V337" s="935"/>
    </row>
    <row r="338" spans="2:22" hidden="1">
      <c r="B338" s="928"/>
      <c r="C338" s="939" t="s">
        <v>372</v>
      </c>
      <c r="D338" s="939"/>
      <c r="E338" s="928"/>
      <c r="F338" s="928"/>
      <c r="G338" s="928"/>
      <c r="H338" s="928"/>
      <c r="I338" s="928"/>
      <c r="J338" s="928"/>
      <c r="K338" s="928"/>
      <c r="L338" s="928"/>
      <c r="M338" s="928"/>
      <c r="N338" s="928"/>
      <c r="O338" s="928"/>
      <c r="P338" s="928"/>
      <c r="Q338" s="928"/>
      <c r="R338" s="935"/>
      <c r="S338" s="934"/>
      <c r="T338" s="934"/>
      <c r="U338" s="935"/>
      <c r="V338" s="935"/>
    </row>
    <row r="339" spans="2:22" hidden="1">
      <c r="B339" s="928"/>
      <c r="C339" s="939" t="s">
        <v>371</v>
      </c>
      <c r="D339" s="939"/>
      <c r="E339" s="928"/>
      <c r="F339" s="928"/>
      <c r="G339" s="928"/>
      <c r="H339" s="928"/>
      <c r="I339" s="928"/>
      <c r="J339" s="928"/>
      <c r="K339" s="928"/>
      <c r="L339" s="928"/>
      <c r="M339" s="928"/>
      <c r="N339" s="928"/>
      <c r="O339" s="928"/>
      <c r="P339" s="928"/>
      <c r="Q339" s="928"/>
      <c r="R339" s="935"/>
      <c r="S339" s="934"/>
      <c r="T339" s="934"/>
      <c r="U339" s="935"/>
      <c r="V339" s="935"/>
    </row>
    <row r="340" spans="2:22" hidden="1">
      <c r="B340" s="928"/>
      <c r="C340" s="939" t="s">
        <v>370</v>
      </c>
      <c r="D340" s="939"/>
      <c r="E340" s="928"/>
      <c r="F340" s="928"/>
      <c r="G340" s="928"/>
      <c r="H340" s="928"/>
      <c r="I340" s="928"/>
      <c r="J340" s="928"/>
      <c r="K340" s="928"/>
      <c r="L340" s="928"/>
      <c r="M340" s="928"/>
      <c r="N340" s="928"/>
      <c r="O340" s="928"/>
      <c r="P340" s="928"/>
      <c r="Q340" s="928"/>
      <c r="R340" s="935"/>
      <c r="S340" s="934"/>
      <c r="T340" s="934"/>
      <c r="U340" s="935"/>
      <c r="V340" s="935"/>
    </row>
    <row r="341" spans="2:22" hidden="1">
      <c r="B341" s="928"/>
      <c r="C341" s="939" t="s">
        <v>369</v>
      </c>
      <c r="D341" s="939"/>
      <c r="E341" s="928"/>
      <c r="F341" s="928"/>
      <c r="G341" s="928"/>
      <c r="H341" s="928"/>
      <c r="I341" s="928"/>
      <c r="J341" s="928"/>
      <c r="K341" s="928"/>
      <c r="L341" s="928"/>
      <c r="M341" s="928"/>
      <c r="N341" s="928"/>
      <c r="O341" s="928"/>
      <c r="P341" s="928"/>
      <c r="Q341" s="928"/>
      <c r="R341" s="935"/>
      <c r="S341" s="934"/>
      <c r="T341" s="934"/>
      <c r="U341" s="935"/>
      <c r="V341" s="935"/>
    </row>
    <row r="342" spans="2:22" hidden="1">
      <c r="B342" s="928"/>
      <c r="C342" s="939" t="s">
        <v>368</v>
      </c>
      <c r="D342" s="939"/>
      <c r="E342" s="928"/>
      <c r="F342" s="928"/>
      <c r="G342" s="928"/>
      <c r="H342" s="928"/>
      <c r="I342" s="928"/>
      <c r="J342" s="928"/>
      <c r="K342" s="928"/>
      <c r="L342" s="928"/>
      <c r="M342" s="928"/>
      <c r="N342" s="928"/>
      <c r="O342" s="928"/>
      <c r="P342" s="928"/>
      <c r="Q342" s="928"/>
      <c r="R342" s="935"/>
      <c r="S342" s="934"/>
      <c r="T342" s="934"/>
      <c r="U342" s="935"/>
      <c r="V342" s="935"/>
    </row>
    <row r="343" spans="2:22" hidden="1">
      <c r="B343" s="928"/>
      <c r="C343" s="939" t="s">
        <v>367</v>
      </c>
      <c r="D343" s="939"/>
      <c r="E343" s="928"/>
      <c r="F343" s="928"/>
      <c r="G343" s="928"/>
      <c r="H343" s="928"/>
      <c r="I343" s="928"/>
      <c r="J343" s="928"/>
      <c r="K343" s="928"/>
      <c r="L343" s="928"/>
      <c r="M343" s="928"/>
      <c r="N343" s="928"/>
      <c r="O343" s="928"/>
      <c r="P343" s="928"/>
      <c r="Q343" s="928"/>
      <c r="R343" s="935"/>
      <c r="S343" s="934"/>
      <c r="T343" s="934"/>
      <c r="U343" s="935"/>
      <c r="V343" s="935"/>
    </row>
    <row r="344" spans="2:22" hidden="1">
      <c r="B344" s="928"/>
      <c r="C344" s="939" t="s">
        <v>366</v>
      </c>
      <c r="D344" s="939"/>
      <c r="E344" s="928"/>
      <c r="F344" s="928"/>
      <c r="G344" s="928"/>
      <c r="H344" s="928"/>
      <c r="I344" s="928"/>
      <c r="J344" s="928"/>
      <c r="K344" s="928"/>
      <c r="L344" s="928"/>
      <c r="M344" s="928"/>
      <c r="N344" s="928"/>
      <c r="O344" s="928"/>
      <c r="P344" s="928"/>
      <c r="Q344" s="928"/>
      <c r="R344" s="935"/>
      <c r="S344" s="934"/>
      <c r="T344" s="934"/>
      <c r="U344" s="935"/>
      <c r="V344" s="935"/>
    </row>
    <row r="345" spans="2:22" hidden="1">
      <c r="B345" s="928"/>
      <c r="C345" s="939" t="s">
        <v>365</v>
      </c>
      <c r="D345" s="939"/>
      <c r="E345" s="928"/>
      <c r="F345" s="928"/>
      <c r="G345" s="928"/>
      <c r="H345" s="928"/>
      <c r="I345" s="928"/>
      <c r="J345" s="928"/>
      <c r="K345" s="928"/>
      <c r="L345" s="928"/>
      <c r="M345" s="928"/>
      <c r="N345" s="928"/>
      <c r="O345" s="928"/>
      <c r="P345" s="928"/>
      <c r="Q345" s="928"/>
      <c r="R345" s="935"/>
      <c r="S345" s="934"/>
      <c r="T345" s="934"/>
      <c r="U345" s="935"/>
      <c r="V345" s="935"/>
    </row>
    <row r="346" spans="2:22" hidden="1">
      <c r="B346" s="928"/>
      <c r="C346" s="939" t="s">
        <v>364</v>
      </c>
      <c r="D346" s="939"/>
      <c r="E346" s="928"/>
      <c r="F346" s="928"/>
      <c r="G346" s="928"/>
      <c r="H346" s="928"/>
      <c r="I346" s="928"/>
      <c r="J346" s="928"/>
      <c r="K346" s="928"/>
      <c r="L346" s="928"/>
      <c r="M346" s="928"/>
      <c r="N346" s="928"/>
      <c r="O346" s="928"/>
      <c r="P346" s="928"/>
      <c r="Q346" s="928"/>
      <c r="R346" s="935"/>
      <c r="S346" s="934"/>
      <c r="T346" s="934"/>
      <c r="U346" s="935"/>
      <c r="V346" s="935"/>
    </row>
    <row r="347" spans="2:22" hidden="1">
      <c r="B347" s="928"/>
      <c r="C347" s="939" t="s">
        <v>363</v>
      </c>
      <c r="D347" s="939"/>
      <c r="E347" s="928"/>
      <c r="F347" s="928"/>
      <c r="G347" s="928"/>
      <c r="H347" s="928"/>
      <c r="I347" s="928"/>
      <c r="J347" s="928"/>
      <c r="K347" s="928"/>
      <c r="L347" s="928"/>
      <c r="M347" s="928"/>
      <c r="N347" s="928"/>
      <c r="O347" s="928"/>
      <c r="P347" s="928"/>
      <c r="Q347" s="928"/>
      <c r="R347" s="935"/>
      <c r="S347" s="934"/>
      <c r="T347" s="934"/>
      <c r="U347" s="935"/>
      <c r="V347" s="935"/>
    </row>
    <row r="348" spans="2:22" hidden="1">
      <c r="B348" s="928"/>
      <c r="C348" s="939" t="s">
        <v>362</v>
      </c>
      <c r="D348" s="939"/>
      <c r="E348" s="928"/>
      <c r="F348" s="928"/>
      <c r="G348" s="928"/>
      <c r="H348" s="928"/>
      <c r="I348" s="928"/>
      <c r="J348" s="928"/>
      <c r="K348" s="928"/>
      <c r="L348" s="928"/>
      <c r="M348" s="928"/>
      <c r="N348" s="928"/>
      <c r="O348" s="928"/>
      <c r="P348" s="928"/>
      <c r="Q348" s="928"/>
      <c r="R348" s="935"/>
      <c r="S348" s="934"/>
      <c r="T348" s="934"/>
      <c r="U348" s="935"/>
      <c r="V348" s="935"/>
    </row>
    <row r="349" spans="2:22" hidden="1">
      <c r="B349" s="928"/>
      <c r="C349" s="939" t="s">
        <v>361</v>
      </c>
      <c r="D349" s="939"/>
      <c r="E349" s="928"/>
      <c r="F349" s="928"/>
      <c r="G349" s="928"/>
      <c r="H349" s="928"/>
      <c r="I349" s="928"/>
      <c r="J349" s="928"/>
      <c r="K349" s="928"/>
      <c r="L349" s="928"/>
      <c r="M349" s="928"/>
      <c r="N349" s="928"/>
      <c r="O349" s="928"/>
      <c r="P349" s="928"/>
      <c r="Q349" s="928"/>
      <c r="R349" s="935"/>
      <c r="S349" s="934"/>
      <c r="T349" s="934"/>
      <c r="U349" s="935"/>
      <c r="V349" s="935"/>
    </row>
    <row r="350" spans="2:22" hidden="1">
      <c r="B350" s="928"/>
      <c r="C350" s="939" t="s">
        <v>360</v>
      </c>
      <c r="D350" s="939"/>
      <c r="E350" s="928"/>
      <c r="F350" s="928"/>
      <c r="G350" s="928"/>
      <c r="H350" s="928"/>
      <c r="I350" s="928"/>
      <c r="J350" s="928"/>
      <c r="K350" s="928"/>
      <c r="L350" s="928"/>
      <c r="M350" s="928"/>
      <c r="N350" s="928"/>
      <c r="O350" s="928"/>
      <c r="P350" s="928"/>
      <c r="Q350" s="928"/>
      <c r="R350" s="935"/>
      <c r="S350" s="934"/>
      <c r="T350" s="934"/>
      <c r="U350" s="935"/>
      <c r="V350" s="935"/>
    </row>
    <row r="351" spans="2:22" hidden="1">
      <c r="B351" s="928"/>
      <c r="C351" s="939" t="s">
        <v>359</v>
      </c>
      <c r="D351" s="939"/>
      <c r="E351" s="928"/>
      <c r="F351" s="928"/>
      <c r="G351" s="928"/>
      <c r="H351" s="928"/>
      <c r="I351" s="928"/>
      <c r="J351" s="928"/>
      <c r="K351" s="928"/>
      <c r="L351" s="928"/>
      <c r="M351" s="928"/>
      <c r="N351" s="928"/>
      <c r="O351" s="928"/>
      <c r="P351" s="928"/>
      <c r="Q351" s="928"/>
      <c r="R351" s="935"/>
      <c r="S351" s="934"/>
      <c r="T351" s="934"/>
      <c r="U351" s="935"/>
      <c r="V351" s="935"/>
    </row>
    <row r="352" spans="2:22" hidden="1">
      <c r="C352" s="940" t="s">
        <v>358</v>
      </c>
      <c r="D352" s="940"/>
      <c r="E352" s="935"/>
      <c r="F352" s="935"/>
      <c r="G352" s="935"/>
      <c r="H352" s="935"/>
      <c r="I352" s="935"/>
      <c r="J352" s="935"/>
      <c r="K352" s="935"/>
      <c r="L352" s="935"/>
      <c r="M352" s="935"/>
      <c r="N352" s="935"/>
      <c r="O352" s="935"/>
      <c r="P352" s="935"/>
      <c r="Q352" s="935"/>
      <c r="R352" s="935"/>
      <c r="S352" s="934"/>
      <c r="T352" s="934"/>
      <c r="U352" s="935"/>
      <c r="V352" s="935"/>
    </row>
    <row r="353" spans="3:22" hidden="1">
      <c r="C353" s="940" t="s">
        <v>357</v>
      </c>
      <c r="D353" s="940"/>
      <c r="E353" s="935"/>
      <c r="F353" s="935"/>
      <c r="G353" s="935"/>
      <c r="H353" s="935"/>
      <c r="I353" s="935"/>
      <c r="J353" s="935"/>
      <c r="K353" s="935"/>
      <c r="L353" s="935"/>
      <c r="M353" s="935"/>
      <c r="N353" s="935"/>
      <c r="O353" s="935"/>
      <c r="P353" s="935"/>
      <c r="Q353" s="935"/>
      <c r="R353" s="935"/>
      <c r="S353" s="934"/>
      <c r="T353" s="934"/>
      <c r="U353" s="935"/>
      <c r="V353" s="935"/>
    </row>
    <row r="354" spans="3:22" hidden="1">
      <c r="C354" s="940" t="s">
        <v>356</v>
      </c>
      <c r="D354" s="940"/>
      <c r="E354" s="935"/>
      <c r="F354" s="935"/>
      <c r="G354" s="935"/>
      <c r="H354" s="935"/>
      <c r="I354" s="935"/>
      <c r="J354" s="935"/>
      <c r="K354" s="935"/>
      <c r="L354" s="935"/>
      <c r="M354" s="935"/>
      <c r="N354" s="935"/>
      <c r="O354" s="935"/>
      <c r="P354" s="935"/>
      <c r="Q354" s="935"/>
      <c r="R354" s="935"/>
      <c r="S354" s="934"/>
      <c r="T354" s="934"/>
      <c r="U354" s="935"/>
      <c r="V354" s="935"/>
    </row>
    <row r="355" spans="3:22" hidden="1">
      <c r="C355" s="940" t="s">
        <v>355</v>
      </c>
      <c r="D355" s="940"/>
      <c r="E355" s="935"/>
      <c r="F355" s="935"/>
      <c r="G355" s="935"/>
      <c r="H355" s="935"/>
      <c r="I355" s="935"/>
      <c r="J355" s="935"/>
      <c r="K355" s="935"/>
      <c r="L355" s="935"/>
      <c r="M355" s="935"/>
      <c r="N355" s="935"/>
      <c r="O355" s="935"/>
      <c r="P355" s="935"/>
      <c r="Q355" s="935"/>
      <c r="R355" s="935"/>
      <c r="S355" s="934"/>
      <c r="T355" s="934"/>
      <c r="U355" s="935"/>
      <c r="V355" s="935"/>
    </row>
    <row r="356" spans="3:22" hidden="1">
      <c r="C356" s="940" t="s">
        <v>354</v>
      </c>
      <c r="D356" s="940"/>
      <c r="E356" s="935"/>
      <c r="F356" s="935"/>
      <c r="G356" s="935"/>
      <c r="H356" s="935"/>
      <c r="I356" s="935"/>
      <c r="J356" s="935"/>
      <c r="K356" s="935"/>
      <c r="L356" s="935"/>
      <c r="M356" s="935"/>
      <c r="N356" s="935"/>
      <c r="O356" s="935"/>
      <c r="P356" s="935"/>
      <c r="Q356" s="935"/>
      <c r="R356" s="935"/>
      <c r="S356" s="934"/>
      <c r="T356" s="934"/>
      <c r="U356" s="935"/>
      <c r="V356" s="935"/>
    </row>
    <row r="357" spans="3:22" hidden="1">
      <c r="C357" s="940" t="s">
        <v>353</v>
      </c>
      <c r="D357" s="940"/>
      <c r="E357" s="935"/>
      <c r="F357" s="935"/>
      <c r="G357" s="935"/>
      <c r="H357" s="935"/>
      <c r="I357" s="935"/>
      <c r="J357" s="935"/>
      <c r="K357" s="935"/>
      <c r="L357" s="935"/>
      <c r="M357" s="935"/>
      <c r="N357" s="935"/>
      <c r="O357" s="935"/>
      <c r="P357" s="935"/>
      <c r="Q357" s="935"/>
      <c r="R357" s="935"/>
      <c r="S357" s="934"/>
      <c r="T357" s="934"/>
      <c r="U357" s="935"/>
      <c r="V357" s="935"/>
    </row>
    <row r="358" spans="3:22" hidden="1">
      <c r="C358" s="940" t="s">
        <v>352</v>
      </c>
      <c r="D358" s="940"/>
      <c r="E358" s="935"/>
      <c r="F358" s="935"/>
      <c r="G358" s="935"/>
      <c r="H358" s="935"/>
      <c r="I358" s="935"/>
      <c r="J358" s="935"/>
      <c r="K358" s="935"/>
      <c r="L358" s="935"/>
      <c r="M358" s="935"/>
      <c r="N358" s="935"/>
      <c r="O358" s="935"/>
      <c r="P358" s="935"/>
      <c r="Q358" s="935"/>
      <c r="R358" s="935"/>
      <c r="S358" s="934"/>
      <c r="T358" s="934"/>
      <c r="U358" s="935"/>
      <c r="V358" s="935"/>
    </row>
    <row r="359" spans="3:22" hidden="1">
      <c r="C359" s="935"/>
      <c r="D359" s="935"/>
      <c r="E359" s="935"/>
      <c r="F359" s="935"/>
      <c r="G359" s="935"/>
      <c r="H359" s="935"/>
      <c r="I359" s="935"/>
      <c r="J359" s="935"/>
      <c r="K359" s="935"/>
      <c r="L359" s="935"/>
      <c r="M359" s="935"/>
      <c r="N359" s="935"/>
      <c r="O359" s="935"/>
      <c r="P359" s="935"/>
      <c r="Q359" s="935"/>
      <c r="R359" s="935"/>
      <c r="S359" s="934"/>
      <c r="T359" s="934"/>
      <c r="U359" s="935"/>
      <c r="V359" s="935"/>
    </row>
    <row r="360" spans="3:22" hidden="1">
      <c r="C360" s="935"/>
      <c r="D360" s="935"/>
      <c r="E360" s="935"/>
      <c r="F360" s="935"/>
      <c r="G360" s="935"/>
      <c r="H360" s="935"/>
      <c r="I360" s="935"/>
      <c r="J360" s="935"/>
      <c r="K360" s="935"/>
      <c r="L360" s="935"/>
      <c r="M360" s="935"/>
      <c r="N360" s="935"/>
      <c r="O360" s="935"/>
      <c r="P360" s="935"/>
      <c r="Q360" s="935"/>
      <c r="R360" s="935"/>
      <c r="S360" s="934"/>
      <c r="T360" s="934"/>
      <c r="U360" s="935"/>
      <c r="V360" s="935"/>
    </row>
    <row r="361" spans="3:22" hidden="1">
      <c r="C361" s="935"/>
      <c r="D361" s="935"/>
      <c r="E361" s="935"/>
      <c r="F361" s="935"/>
      <c r="G361" s="935"/>
      <c r="H361" s="935"/>
      <c r="I361" s="935"/>
      <c r="J361" s="935"/>
      <c r="K361" s="935"/>
      <c r="L361" s="935"/>
      <c r="M361" s="935"/>
      <c r="N361" s="935"/>
      <c r="O361" s="935"/>
      <c r="P361" s="935"/>
      <c r="Q361" s="935"/>
      <c r="R361" s="935"/>
      <c r="S361" s="934"/>
      <c r="T361" s="934"/>
      <c r="U361" s="935"/>
      <c r="V361" s="935"/>
    </row>
    <row r="362" spans="3:22" hidden="1">
      <c r="C362" s="935"/>
      <c r="D362" s="935"/>
      <c r="E362" s="935"/>
      <c r="F362" s="935"/>
      <c r="G362" s="935"/>
      <c r="H362" s="935"/>
      <c r="I362" s="935"/>
      <c r="J362" s="935"/>
      <c r="K362" s="935"/>
      <c r="L362" s="935"/>
      <c r="M362" s="935"/>
      <c r="N362" s="935"/>
      <c r="O362" s="935"/>
      <c r="P362" s="935"/>
      <c r="Q362" s="935"/>
      <c r="R362" s="935"/>
      <c r="S362" s="934"/>
      <c r="T362" s="934"/>
      <c r="U362" s="935"/>
      <c r="V362" s="935"/>
    </row>
    <row r="363" spans="3:22" hidden="1">
      <c r="T363" s="922"/>
    </row>
    <row r="364" spans="3:22" hidden="1">
      <c r="T364" s="922"/>
    </row>
    <row r="365" spans="3:22" hidden="1">
      <c r="T365" s="922"/>
    </row>
    <row r="366" spans="3:22" hidden="1">
      <c r="T366" s="922"/>
    </row>
    <row r="367" spans="3:22" hidden="1">
      <c r="T367" s="922"/>
    </row>
    <row r="368" spans="3:22" hidden="1">
      <c r="T368" s="922"/>
    </row>
    <row r="369" spans="20:20" hidden="1">
      <c r="T369" s="922"/>
    </row>
    <row r="370" spans="20:20" hidden="1">
      <c r="T370" s="922"/>
    </row>
    <row r="371" spans="20:20" hidden="1">
      <c r="T371" s="922"/>
    </row>
    <row r="372" spans="20:20" hidden="1">
      <c r="T372" s="922"/>
    </row>
    <row r="373" spans="20:20" hidden="1">
      <c r="T373" s="922"/>
    </row>
    <row r="374" spans="20:20" hidden="1">
      <c r="T374" s="922"/>
    </row>
    <row r="375" spans="20:20" hidden="1">
      <c r="T375" s="922"/>
    </row>
    <row r="376" spans="20:20" hidden="1">
      <c r="T376" s="922"/>
    </row>
    <row r="377" spans="20:20" hidden="1">
      <c r="T377" s="922"/>
    </row>
    <row r="378" spans="20:20" hidden="1">
      <c r="T378" s="922"/>
    </row>
    <row r="379" spans="20:20" hidden="1">
      <c r="T379" s="922"/>
    </row>
    <row r="380" spans="20:20" hidden="1">
      <c r="T380" s="922"/>
    </row>
    <row r="381" spans="20:20" hidden="1">
      <c r="T381" s="922"/>
    </row>
    <row r="382" spans="20:20" hidden="1">
      <c r="T382" s="922"/>
    </row>
    <row r="383" spans="20:20" hidden="1">
      <c r="T383" s="922"/>
    </row>
    <row r="384" spans="20:20" hidden="1">
      <c r="T384" s="922"/>
    </row>
    <row r="385" spans="20:20" hidden="1">
      <c r="T385" s="922"/>
    </row>
    <row r="386" spans="20:20" hidden="1">
      <c r="T386" s="922"/>
    </row>
    <row r="387" spans="20:20" hidden="1">
      <c r="T387" s="922"/>
    </row>
    <row r="388" spans="20:20" hidden="1">
      <c r="T388" s="922"/>
    </row>
    <row r="389" spans="20:20" hidden="1">
      <c r="T389" s="922"/>
    </row>
    <row r="390" spans="20:20" hidden="1">
      <c r="T390" s="922"/>
    </row>
    <row r="391" spans="20:20" hidden="1">
      <c r="T391" s="922"/>
    </row>
    <row r="392" spans="20:20" hidden="1">
      <c r="T392" s="922"/>
    </row>
    <row r="393" spans="20:20" hidden="1">
      <c r="T393" s="922"/>
    </row>
    <row r="394" spans="20:20" hidden="1">
      <c r="T394" s="922"/>
    </row>
    <row r="395" spans="20:20" hidden="1">
      <c r="T395" s="922"/>
    </row>
    <row r="396" spans="20:20" hidden="1">
      <c r="T396" s="922"/>
    </row>
    <row r="397" spans="20:20" hidden="1">
      <c r="T397" s="922"/>
    </row>
    <row r="398" spans="20:20" hidden="1">
      <c r="T398" s="922"/>
    </row>
    <row r="399" spans="20:20" hidden="1">
      <c r="T399" s="922"/>
    </row>
    <row r="400" spans="20:20" hidden="1">
      <c r="T400" s="922"/>
    </row>
    <row r="401" spans="20:20" hidden="1">
      <c r="T401" s="922"/>
    </row>
    <row r="402" spans="20:20" hidden="1">
      <c r="T402" s="922"/>
    </row>
    <row r="403" spans="20:20" hidden="1">
      <c r="T403" s="922"/>
    </row>
    <row r="404" spans="20:20" hidden="1">
      <c r="T404" s="922"/>
    </row>
    <row r="405" spans="20:20" hidden="1">
      <c r="T405" s="922"/>
    </row>
    <row r="406" spans="20:20" hidden="1">
      <c r="T406" s="922"/>
    </row>
    <row r="407" spans="20:20" hidden="1">
      <c r="T407" s="922"/>
    </row>
    <row r="408" spans="20:20" hidden="1">
      <c r="T408" s="922"/>
    </row>
    <row r="409" spans="20:20" hidden="1">
      <c r="T409" s="922"/>
    </row>
    <row r="410" spans="20:20" hidden="1">
      <c r="T410" s="922"/>
    </row>
    <row r="411" spans="20:20" hidden="1">
      <c r="T411" s="922"/>
    </row>
    <row r="412" spans="20:20" hidden="1">
      <c r="T412" s="922"/>
    </row>
    <row r="413" spans="20:20" hidden="1">
      <c r="T413" s="922"/>
    </row>
    <row r="414" spans="20:20" hidden="1">
      <c r="T414" s="922"/>
    </row>
    <row r="415" spans="20:20" hidden="1">
      <c r="T415" s="922"/>
    </row>
    <row r="416" spans="20:20" hidden="1">
      <c r="T416" s="922"/>
    </row>
  </sheetData>
  <sheetProtection formatCells="0" formatColumns="0" formatRows="0" insertHyperlinks="0"/>
  <mergeCells count="34">
    <mergeCell ref="I93:Q95"/>
    <mergeCell ref="I96:Q100"/>
    <mergeCell ref="I101:Q103"/>
    <mergeCell ref="I104:Q105"/>
    <mergeCell ref="I85:L85"/>
    <mergeCell ref="I86:L86"/>
    <mergeCell ref="I84:L84"/>
    <mergeCell ref="N84:R85"/>
    <mergeCell ref="I87:L87"/>
    <mergeCell ref="I77:L77"/>
    <mergeCell ref="I78:L78"/>
    <mergeCell ref="I79:L79"/>
    <mergeCell ref="I80:L80"/>
    <mergeCell ref="I81:L81"/>
    <mergeCell ref="I82:L82"/>
    <mergeCell ref="N79:R80"/>
    <mergeCell ref="I83:L83"/>
    <mergeCell ref="D48:E48"/>
    <mergeCell ref="AH9:AJ9"/>
    <mergeCell ref="E8:J8"/>
    <mergeCell ref="Z19:AA19"/>
    <mergeCell ref="V28:W28"/>
    <mergeCell ref="V9:W9"/>
    <mergeCell ref="V19:W19"/>
    <mergeCell ref="Z9:AA9"/>
    <mergeCell ref="G34:H34"/>
    <mergeCell ref="G35:H35"/>
    <mergeCell ref="G33:H33"/>
    <mergeCell ref="Y64:Z64"/>
    <mergeCell ref="G62:H66"/>
    <mergeCell ref="G57:H57"/>
    <mergeCell ref="G58:H58"/>
    <mergeCell ref="G59:H59"/>
    <mergeCell ref="G60:H60"/>
  </mergeCells>
  <phoneticPr fontId="83" type="noConversion"/>
  <conditionalFormatting sqref="W29">
    <cfRule type="containsText" dxfId="24" priority="4" operator="containsText" text="ERRO">
      <formula>NOT(ISERROR(SEARCH("ERRO",W29)))</formula>
    </cfRule>
  </conditionalFormatting>
  <dataValidations count="13">
    <dataValidation type="list" allowBlank="1" showInputMessage="1" showErrorMessage="1" sqref="D61:E61" xr:uid="{4D423D4F-3D8C-4D84-8E5E-DE40366BA56D}">
      <formula1>$N$323:$N$328</formula1>
    </dataValidation>
    <dataValidation type="list" allowBlank="1" showInputMessage="1" showErrorMessage="1" sqref="AJ44:AJ51 AJ55:AJ62 AJ66:AJ73 AJ77:AJ84 AJ88:AJ95 AJ99:AJ106" xr:uid="{5C25F798-3F62-4DBE-96D3-641803A81590}">
      <formula1>$AG$315:$AG$316</formula1>
    </dataValidation>
    <dataValidation type="list" allowBlank="1" showInputMessage="1" showErrorMessage="1" sqref="H13" xr:uid="{A836BB7C-5CD4-4C57-AEFD-FCEE1D570E82}">
      <formula1>$G$332:$G$333</formula1>
    </dataValidation>
    <dataValidation type="list" allowBlank="1" showInputMessage="1" showErrorMessage="1" sqref="D47" xr:uid="{BC0F3F92-1904-4B3D-B732-053AEE76F855}">
      <formula1>$C$332:$C$358</formula1>
    </dataValidation>
    <dataValidation type="list" allowBlank="1" showInputMessage="1" showErrorMessage="1" sqref="D44" xr:uid="{64A78B29-B739-4AB9-8510-99FF5C78ABF4}">
      <formula1>$G$323:$G$327</formula1>
    </dataValidation>
    <dataValidation type="list" allowBlank="1" showInputMessage="1" showErrorMessage="1" sqref="D17" xr:uid="{846B6CE8-A0F1-493D-87EB-E14C7F7B4D32}">
      <formula1>$E$314:$E$326</formula1>
    </dataValidation>
    <dataValidation type="list" allowBlank="1" showInputMessage="1" showErrorMessage="1" sqref="D13" xr:uid="{D060E5CE-F3EE-4B3D-8478-5FA9DBD537F3}">
      <formula1>$V$313:$V$314</formula1>
    </dataValidation>
    <dataValidation type="list" allowBlank="1" showInputMessage="1" showErrorMessage="1" sqref="D16" xr:uid="{98C71BAE-E776-4DF3-83E0-4F02F48D3C59}">
      <formula1>$U$314:$U$320</formula1>
    </dataValidation>
    <dataValidation type="list" allowBlank="1" showInputMessage="1" showErrorMessage="1" sqref="D14 D22:D27" xr:uid="{2076E186-2248-428E-8B1A-B48424639E17}">
      <formula1>$R$314:$R$315</formula1>
    </dataValidation>
    <dataValidation type="list" allowBlank="1" showInputMessage="1" showErrorMessage="1" sqref="D15" xr:uid="{601C7FAA-6DCB-48D6-8B21-5CB423E209EC}">
      <formula1>$P$314:$P$316</formula1>
    </dataValidation>
    <dataValidation type="list" allowBlank="1" showInputMessage="1" showErrorMessage="1" sqref="O12 Q12 O20 Q20 O28 Q28" xr:uid="{87E5D1AE-4EC2-48BC-A3C2-82B1A0F3EEB5}">
      <formula1>$G$314:$G$317</formula1>
    </dataValidation>
    <dataValidation type="list" allowBlank="1" showInputMessage="1" showErrorMessage="1" sqref="D58 Q27 O27 Q19 O19 Q11 O11 Q7 H44:H45" xr:uid="{040CB15F-E332-4A4B-813C-2F4B0DD63152}">
      <formula1>$F$314:$F$315</formula1>
    </dataValidation>
    <dataValidation type="list" allowBlank="1" showInputMessage="1" showErrorMessage="1" sqref="G22:G27" xr:uid="{A5B23D40-18B3-4BEF-8B71-C5988C94CF5C}">
      <formula1>$C$314:$C$316</formula1>
    </dataValidation>
  </dataValidations>
  <hyperlinks>
    <hyperlink ref="E8" r:id="rId1" xr:uid="{6131EE2A-D8FA-42DA-9D25-EA40A6262730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W44:W105" formulaRange="1"/>
    <ignoredError sqref="I23" formula="1"/>
    <ignoredError sqref="W16 W34:W35" evalError="1"/>
    <ignoredError sqref="H28 H48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2" r:id="rId5" name="Button 6">
              <controlPr defaultSize="0" print="0" autoFill="0" autoPict="0" macro="[0]!LTV">
                <anchor moveWithCells="1" sizeWithCells="1">
                  <from>
                    <xdr:col>3</xdr:col>
                    <xdr:colOff>800100</xdr:colOff>
                    <xdr:row>83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6" name="Button 13">
              <controlPr defaultSize="0" print="0" autoFill="0" autoPict="0" macro="[0]!laudo">
                <anchor moveWithCells="1" sizeWithCells="1">
                  <from>
                    <xdr:col>3</xdr:col>
                    <xdr:colOff>790575</xdr:colOff>
                    <xdr:row>88</xdr:row>
                    <xdr:rowOff>180975</xdr:rowOff>
                  </from>
                  <to>
                    <xdr:col>5</xdr:col>
                    <xdr:colOff>495300</xdr:colOff>
                    <xdr:row>90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7" name="Button 14">
              <controlPr defaultSize="0" print="0" autoFill="0" autoPict="0" macro="[0]!Módulo2.rating">
                <anchor moveWithCells="1" sizeWithCells="1">
                  <from>
                    <xdr:col>2</xdr:col>
                    <xdr:colOff>66675</xdr:colOff>
                    <xdr:row>76</xdr:row>
                    <xdr:rowOff>66675</xdr:rowOff>
                  </from>
                  <to>
                    <xdr:col>3</xdr:col>
                    <xdr:colOff>638175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8" name="Button 15">
              <controlPr defaultSize="0" print="0" autoFill="0" autoPict="0" macro="[0]!datas">
                <anchor moveWithCells="1" sizeWithCells="1">
                  <from>
                    <xdr:col>2</xdr:col>
                    <xdr:colOff>66675</xdr:colOff>
                    <xdr:row>81</xdr:row>
                    <xdr:rowOff>76200</xdr:rowOff>
                  </from>
                  <to>
                    <xdr:col>3</xdr:col>
                    <xdr:colOff>638175</xdr:colOff>
                    <xdr:row>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9" name="Button 16">
              <controlPr defaultSize="0" print="0" autoFill="0" autoPict="0" macro="[0]!Módulo2.renda">
                <anchor moveWithCells="1" sizeWithCells="1">
                  <from>
                    <xdr:col>2</xdr:col>
                    <xdr:colOff>66675</xdr:colOff>
                    <xdr:row>86</xdr:row>
                    <xdr:rowOff>104775</xdr:rowOff>
                  </from>
                  <to>
                    <xdr:col>3</xdr:col>
                    <xdr:colOff>638175</xdr:colOff>
                    <xdr:row>88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0" name="Button 17">
              <controlPr defaultSize="0" print="0" autoFill="0" autoPict="0" macro="[0]!Prazo">
                <anchor moveWithCells="1" sizeWithCells="1">
                  <from>
                    <xdr:col>3</xdr:col>
                    <xdr:colOff>800100</xdr:colOff>
                    <xdr:row>86</xdr:row>
                    <xdr:rowOff>104775</xdr:rowOff>
                  </from>
                  <to>
                    <xdr:col>5</xdr:col>
                    <xdr:colOff>523875</xdr:colOff>
                    <xdr:row>88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1" name="Button 18">
              <controlPr defaultSize="0" print="0" autoFill="0" autoPict="0" macro="[0]!fidun">
                <anchor moveWithCells="1" sizeWithCells="1">
                  <from>
                    <xdr:col>2</xdr:col>
                    <xdr:colOff>66675</xdr:colOff>
                    <xdr:row>73</xdr:row>
                    <xdr:rowOff>142875</xdr:rowOff>
                  </from>
                  <to>
                    <xdr:col>3</xdr:col>
                    <xdr:colOff>638175</xdr:colOff>
                    <xdr:row>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2" name="Button 19">
              <controlPr defaultSize="0" print="0" autoFill="0" autoPict="0" macro="[0]!regua">
                <anchor moveWithCells="1" sizeWithCells="1">
                  <from>
                    <xdr:col>2</xdr:col>
                    <xdr:colOff>66675</xdr:colOff>
                    <xdr:row>78</xdr:row>
                    <xdr:rowOff>142875</xdr:rowOff>
                  </from>
                  <to>
                    <xdr:col>3</xdr:col>
                    <xdr:colOff>638175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3" name="Button 20">
              <controlPr defaultSize="0" print="0" autoFill="0" autoPict="0" macro="[0]!bacen">
                <anchor moveWithCells="1" sizeWithCells="1">
                  <from>
                    <xdr:col>2</xdr:col>
                    <xdr:colOff>66675</xdr:colOff>
                    <xdr:row>84</xdr:row>
                    <xdr:rowOff>28575</xdr:rowOff>
                  </from>
                  <to>
                    <xdr:col>3</xdr:col>
                    <xdr:colOff>638175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4" name="Button 21">
              <controlPr defaultSize="0" print="0" autoFill="0" autoPict="0" macro="[0]!faturamento">
                <anchor moveWithCells="1" sizeWithCells="1">
                  <from>
                    <xdr:col>2</xdr:col>
                    <xdr:colOff>66675</xdr:colOff>
                    <xdr:row>88</xdr:row>
                    <xdr:rowOff>180975</xdr:rowOff>
                  </from>
                  <to>
                    <xdr:col>3</xdr:col>
                    <xdr:colOff>638175</xdr:colOff>
                    <xdr:row>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5" name="Button 22">
              <controlPr defaultSize="0" print="0" autoFill="0" autoPict="0" macro="[0]!Locali">
                <anchor moveWithCells="1" sizeWithCells="1">
                  <from>
                    <xdr:col>2</xdr:col>
                    <xdr:colOff>38100</xdr:colOff>
                    <xdr:row>91</xdr:row>
                    <xdr:rowOff>66675</xdr:rowOff>
                  </from>
                  <to>
                    <xdr:col>3</xdr:col>
                    <xdr:colOff>609600</xdr:colOff>
                    <xdr:row>93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6" name="Button 23">
              <controlPr defaultSize="0" print="0" autoFill="0" autoPict="0" macro="[0]!Botão1_Clique">
                <anchor moveWithCells="1" sizeWithCells="1">
                  <from>
                    <xdr:col>2</xdr:col>
                    <xdr:colOff>28575</xdr:colOff>
                    <xdr:row>93</xdr:row>
                    <xdr:rowOff>180975</xdr:rowOff>
                  </from>
                  <to>
                    <xdr:col>3</xdr:col>
                    <xdr:colOff>609600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7" name="Button 24">
              <controlPr defaultSize="0" print="0" autoFill="0" autoPict="0" macro="[0]!comprenda">
                <anchor moveWithCells="1" sizeWithCells="1">
                  <from>
                    <xdr:col>2</xdr:col>
                    <xdr:colOff>28575</xdr:colOff>
                    <xdr:row>96</xdr:row>
                    <xdr:rowOff>76200</xdr:rowOff>
                  </from>
                  <to>
                    <xdr:col>3</xdr:col>
                    <xdr:colOff>600075</xdr:colOff>
                    <xdr:row>98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18" name="Button 25">
              <controlPr defaultSize="0" print="0" autoFill="0" autoPict="0" macro="[0]!att_div">
                <anchor moveWithCells="1" sizeWithCells="1">
                  <from>
                    <xdr:col>2</xdr:col>
                    <xdr:colOff>0</xdr:colOff>
                    <xdr:row>99</xdr:row>
                    <xdr:rowOff>28575</xdr:rowOff>
                  </from>
                  <to>
                    <xdr:col>3</xdr:col>
                    <xdr:colOff>600075</xdr:colOff>
                    <xdr:row>100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19" name="Button 26">
              <controlPr defaultSize="0" print="0" autoFill="0" autoPict="0" macro="[0]!ecpf">
                <anchor moveWithCells="1" sizeWithCells="1">
                  <from>
                    <xdr:col>1</xdr:col>
                    <xdr:colOff>142875</xdr:colOff>
                    <xdr:row>101</xdr:row>
                    <xdr:rowOff>104775</xdr:rowOff>
                  </from>
                  <to>
                    <xdr:col>3</xdr:col>
                    <xdr:colOff>600075</xdr:colOff>
                    <xdr:row>103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0" name="Button 27">
              <controlPr defaultSize="0" print="0" autoFill="0" autoPict="0" macro="[0]!ele">
                <anchor moveWithCells="1" sizeWithCells="1">
                  <from>
                    <xdr:col>3</xdr:col>
                    <xdr:colOff>790575</xdr:colOff>
                    <xdr:row>73</xdr:row>
                    <xdr:rowOff>142875</xdr:rowOff>
                  </from>
                  <to>
                    <xdr:col>5</xdr:col>
                    <xdr:colOff>533400</xdr:colOff>
                    <xdr:row>75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21" name="Button 28">
              <controlPr defaultSize="0" print="0" autoFill="0" autoPict="0" macro="[0]!quitar">
                <anchor moveWithCells="1" sizeWithCells="1">
                  <from>
                    <xdr:col>3</xdr:col>
                    <xdr:colOff>790575</xdr:colOff>
                    <xdr:row>76</xdr:row>
                    <xdr:rowOff>66675</xdr:rowOff>
                  </from>
                  <to>
                    <xdr:col>5</xdr:col>
                    <xdr:colOff>533400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2" name="Button 29">
              <controlPr defaultSize="0" print="0" autoFill="0" autoPict="0" macro="[0]!particip">
                <anchor moveWithCells="1" sizeWithCells="1">
                  <from>
                    <xdr:col>3</xdr:col>
                    <xdr:colOff>790575</xdr:colOff>
                    <xdr:row>78</xdr:row>
                    <xdr:rowOff>180975</xdr:rowOff>
                  </from>
                  <to>
                    <xdr:col>5</xdr:col>
                    <xdr:colOff>523875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3" name="Button 30">
              <controlPr defaultSize="0" print="0" autoFill="0" autoPict="0" macro="[0]!endividamento">
                <anchor moveWithCells="1" sizeWithCells="1">
                  <from>
                    <xdr:col>3</xdr:col>
                    <xdr:colOff>790575</xdr:colOff>
                    <xdr:row>81</xdr:row>
                    <xdr:rowOff>66675</xdr:rowOff>
                  </from>
                  <to>
                    <xdr:col>5</xdr:col>
                    <xdr:colOff>523875</xdr:colOff>
                    <xdr:row>83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2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9D57E9D-8103-40FE-B08C-F3963F7DAA27}">
          <x14:formula1>
            <xm:f>Rating!$I$64:$I$68</xm:f>
          </x14:formula1>
          <xm:sqref>E49</xm:sqref>
        </x14:dataValidation>
        <x14:dataValidation type="list" allowBlank="1" showInputMessage="1" showErrorMessage="1" xr:uid="{1D2D5550-E9A6-485F-98D8-9A3CCC17168E}">
          <x14:formula1>
            <xm:f>Rating!$I$150:$I$154</xm:f>
          </x14:formula1>
          <xm:sqref>H50</xm:sqref>
        </x14:dataValidation>
        <x14:dataValidation type="list" allowBlank="1" showInputMessage="1" showErrorMessage="1" xr:uid="{EDEB526E-900B-4353-9250-89C1A8EAF08C}">
          <x14:formula1>
            <xm:f>Rating!$A$40:$A$43</xm:f>
          </x14:formula1>
          <xm:sqref>O13 Q13 O21 Q21 O29 Q29</xm:sqref>
        </x14:dataValidation>
        <x14:dataValidation type="list" allowBlank="1" showInputMessage="1" showErrorMessage="1" xr:uid="{A8055715-D30E-4722-9A7C-35907F073CBA}">
          <x14:formula1>
            <xm:f>Rating!$A$63:$A$67</xm:f>
          </x14:formula1>
          <xm:sqref>O10 Q10 O18 Q18 O26 Q26</xm:sqref>
        </x14:dataValidation>
        <x14:dataValidation type="list" allowBlank="1" showInputMessage="1" showErrorMessage="1" xr:uid="{9DA7CCA3-BAE0-4C4C-ABB7-1102A68CB294}">
          <x14:formula1>
            <xm:f>Rating!$A$52:$A$60</xm:f>
          </x14:formula1>
          <xm:sqref>O14 Q14 O22 Q22 O30 Q30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A2A58-301D-491B-9D88-F33090F506BF}">
  <sheetPr codeName="Planilha5">
    <tabColor rgb="FFC9A4E4"/>
  </sheetPr>
  <dimension ref="A1:BO80"/>
  <sheetViews>
    <sheetView showGridLines="0" topLeftCell="A7" zoomScale="85" zoomScaleNormal="85" workbookViewId="0">
      <selection activeCell="H38" sqref="H38"/>
    </sheetView>
  </sheetViews>
  <sheetFormatPr defaultColWidth="0" defaultRowHeight="15" zeroHeight="1" outlineLevelRow="1"/>
  <cols>
    <col min="1" max="1" width="1.7109375" style="595" customWidth="1"/>
    <col min="2" max="2" width="15.28515625" style="595" customWidth="1"/>
    <col min="3" max="4" width="8.5703125" style="595" customWidth="1"/>
    <col min="5" max="5" width="10.42578125" style="595" bestFit="1" customWidth="1"/>
    <col min="6" max="9" width="8.5703125" style="595" customWidth="1"/>
    <col min="10" max="10" width="11.140625" style="595" customWidth="1"/>
    <col min="11" max="11" width="8.5703125" style="595" customWidth="1"/>
    <col min="12" max="12" width="3.5703125" style="595" customWidth="1"/>
    <col min="13" max="13" width="13.28515625" style="595" bestFit="1" customWidth="1"/>
    <col min="14" max="22" width="8.5703125" style="595" customWidth="1"/>
    <col min="23" max="23" width="3.42578125" style="595" customWidth="1"/>
    <col min="24" max="33" width="8.5703125" style="595" customWidth="1"/>
    <col min="34" max="34" width="3.7109375" style="595" customWidth="1"/>
    <col min="35" max="44" width="8.5703125" style="595" customWidth="1"/>
    <col min="45" max="45" width="3.5703125" style="595" customWidth="1"/>
    <col min="46" max="46" width="13.5703125" style="595" customWidth="1"/>
    <col min="47" max="55" width="8.5703125" style="595" customWidth="1"/>
    <col min="56" max="56" width="4.28515625" style="595" customWidth="1"/>
    <col min="57" max="57" width="13.7109375" style="595" customWidth="1"/>
    <col min="58" max="67" width="8.5703125" style="595" customWidth="1"/>
    <col min="68" max="16384" width="8.5703125" style="595" hidden="1"/>
  </cols>
  <sheetData>
    <row r="1" spans="2:66"/>
    <row r="2" spans="2:66"/>
    <row r="3" spans="2:66" ht="15.75">
      <c r="B3" s="681" t="s">
        <v>533</v>
      </c>
      <c r="C3" s="682"/>
      <c r="D3" s="682"/>
      <c r="E3" s="682"/>
      <c r="F3" s="682"/>
      <c r="G3" s="682"/>
      <c r="H3" s="682"/>
      <c r="I3" s="682"/>
      <c r="J3" s="682"/>
      <c r="K3" s="682"/>
      <c r="L3" s="683"/>
      <c r="M3" s="682"/>
      <c r="N3" s="682"/>
      <c r="O3" s="682"/>
      <c r="P3" s="682"/>
      <c r="Q3" s="682"/>
      <c r="R3" s="682"/>
      <c r="S3" s="682"/>
      <c r="T3" s="682"/>
      <c r="U3" s="682"/>
      <c r="V3" s="682"/>
      <c r="W3" s="683"/>
      <c r="X3" s="682"/>
      <c r="Y3" s="682"/>
      <c r="Z3" s="682"/>
      <c r="AA3" s="682"/>
      <c r="AB3" s="682"/>
      <c r="AC3" s="682"/>
      <c r="AD3" s="682"/>
      <c r="AE3" s="682"/>
      <c r="AF3" s="682"/>
      <c r="AG3" s="682"/>
      <c r="AH3" s="682"/>
      <c r="AI3" s="682"/>
      <c r="AJ3" s="682"/>
      <c r="AK3" s="682"/>
      <c r="AL3" s="682"/>
      <c r="AM3" s="682"/>
      <c r="AN3" s="682"/>
      <c r="AO3" s="682"/>
      <c r="AP3" s="682"/>
      <c r="AQ3" s="682"/>
      <c r="AR3" s="682"/>
      <c r="AS3" s="682"/>
      <c r="AT3" s="941"/>
      <c r="AU3" s="941"/>
      <c r="AV3" s="941"/>
      <c r="AW3" s="941"/>
      <c r="AX3" s="941"/>
      <c r="AY3" s="941"/>
      <c r="AZ3" s="941"/>
      <c r="BA3" s="941"/>
      <c r="BB3" s="941"/>
      <c r="BC3" s="941"/>
      <c r="BD3" s="941"/>
      <c r="BE3" s="941"/>
      <c r="BF3" s="941"/>
      <c r="BG3" s="941"/>
      <c r="BH3" s="941"/>
      <c r="BI3" s="941"/>
      <c r="BJ3" s="941"/>
      <c r="BK3" s="941"/>
      <c r="BL3" s="941"/>
      <c r="BM3" s="941"/>
      <c r="BN3" s="941"/>
    </row>
    <row r="4" spans="2:66">
      <c r="B4" s="684"/>
      <c r="C4" s="684"/>
      <c r="D4" s="684"/>
      <c r="E4" s="684"/>
      <c r="F4" s="684"/>
      <c r="G4" s="684"/>
      <c r="H4" s="684"/>
      <c r="I4" s="684"/>
      <c r="J4" s="684"/>
      <c r="K4" s="684"/>
      <c r="L4" s="685"/>
      <c r="M4" s="684"/>
      <c r="N4" s="684"/>
      <c r="O4" s="684"/>
      <c r="P4" s="684"/>
      <c r="Q4" s="684"/>
      <c r="R4" s="684"/>
      <c r="S4" s="684"/>
      <c r="T4" s="684"/>
      <c r="U4" s="684"/>
      <c r="V4" s="684"/>
      <c r="W4" s="685"/>
      <c r="X4" s="684"/>
      <c r="Y4" s="684"/>
      <c r="Z4" s="684"/>
      <c r="AA4" s="684"/>
      <c r="AB4" s="684"/>
      <c r="AC4" s="684"/>
      <c r="AD4" s="684"/>
      <c r="AE4" s="684"/>
      <c r="AF4" s="684"/>
      <c r="AG4" s="684"/>
      <c r="AH4" s="685"/>
      <c r="AS4" s="685"/>
      <c r="BD4" s="685"/>
    </row>
    <row r="5" spans="2:66" ht="15.75" thickBot="1">
      <c r="B5" s="696" t="s">
        <v>532</v>
      </c>
      <c r="C5" s="696"/>
      <c r="D5" s="696"/>
      <c r="E5" s="696"/>
      <c r="F5" s="696" t="s">
        <v>97</v>
      </c>
      <c r="G5" s="1018" t="str">
        <f>IF(Inputs!C22="","",Inputs!C22)</f>
        <v>AGOSTINHO FRANCISCO DE SOUZA</v>
      </c>
      <c r="H5" s="1018"/>
      <c r="I5" s="1018"/>
      <c r="J5" s="1018"/>
      <c r="K5" s="1018"/>
      <c r="L5" s="685"/>
      <c r="M5" s="696" t="s">
        <v>531</v>
      </c>
      <c r="N5" s="696"/>
      <c r="O5" s="696"/>
      <c r="P5" s="696"/>
      <c r="Q5" s="696" t="s">
        <v>97</v>
      </c>
      <c r="R5" s="1018" t="str">
        <f>IF(Inputs!C23="","",Inputs!C23)</f>
        <v>MARIETE DIEGUES DE SOUZA</v>
      </c>
      <c r="S5" s="1018"/>
      <c r="T5" s="1018"/>
      <c r="U5" s="1018"/>
      <c r="V5" s="1018"/>
      <c r="W5" s="685"/>
      <c r="X5" s="696" t="s">
        <v>530</v>
      </c>
      <c r="Y5" s="696"/>
      <c r="Z5" s="696"/>
      <c r="AA5" s="696"/>
      <c r="AB5" s="696" t="s">
        <v>97</v>
      </c>
      <c r="AC5" s="1018" t="str">
        <f>IF(Inputs!C24="","",Inputs!C24)</f>
        <v>ELETRO VOLUNTARIOS LTDA</v>
      </c>
      <c r="AD5" s="1018"/>
      <c r="AE5" s="1018"/>
      <c r="AF5" s="1018"/>
      <c r="AG5" s="1018"/>
      <c r="AH5" s="685"/>
      <c r="AI5" s="696" t="s">
        <v>529</v>
      </c>
      <c r="AJ5" s="696"/>
      <c r="AK5" s="696"/>
      <c r="AL5" s="696"/>
      <c r="AM5" s="696" t="s">
        <v>97</v>
      </c>
      <c r="AN5" s="1018" t="str">
        <f>IF(Inputs!C25="","",Inputs!C25)</f>
        <v/>
      </c>
      <c r="AO5" s="1018"/>
      <c r="AP5" s="1018"/>
      <c r="AQ5" s="1018"/>
      <c r="AR5" s="1018"/>
      <c r="AS5" s="685"/>
      <c r="AT5" s="696" t="s">
        <v>528</v>
      </c>
      <c r="AU5" s="696"/>
      <c r="AV5" s="696"/>
      <c r="AW5" s="696"/>
      <c r="AX5" s="696" t="s">
        <v>97</v>
      </c>
      <c r="AY5" s="1018" t="str">
        <f>IF(Inputs!C26="","",Inputs!C26)</f>
        <v/>
      </c>
      <c r="AZ5" s="1018"/>
      <c r="BA5" s="1018"/>
      <c r="BB5" s="1018"/>
      <c r="BC5" s="1018"/>
      <c r="BD5" s="685"/>
      <c r="BE5" s="696" t="s">
        <v>640</v>
      </c>
      <c r="BF5" s="696"/>
      <c r="BG5" s="696"/>
      <c r="BH5" s="696"/>
      <c r="BI5" s="696" t="s">
        <v>97</v>
      </c>
      <c r="BJ5" s="1018" t="str">
        <f>IF(Inputs!C27="","",Inputs!C27)</f>
        <v/>
      </c>
      <c r="BK5" s="1018"/>
      <c r="BL5" s="1018"/>
      <c r="BM5" s="1018"/>
      <c r="BN5" s="1018"/>
    </row>
    <row r="6" spans="2:66">
      <c r="B6" s="684"/>
      <c r="C6" s="684"/>
      <c r="D6" s="684"/>
      <c r="E6" s="684"/>
      <c r="F6" s="684"/>
      <c r="G6" s="684"/>
      <c r="H6" s="684"/>
      <c r="I6" s="684"/>
      <c r="J6" s="684"/>
      <c r="K6" s="684"/>
      <c r="L6" s="685"/>
      <c r="M6" s="684"/>
      <c r="N6" s="684"/>
      <c r="O6" s="684"/>
      <c r="P6" s="684"/>
      <c r="Q6" s="684"/>
      <c r="R6" s="684"/>
      <c r="S6" s="684"/>
      <c r="T6" s="684"/>
      <c r="U6" s="684"/>
      <c r="V6" s="684"/>
      <c r="W6" s="685"/>
      <c r="X6" s="684"/>
      <c r="Y6" s="684"/>
      <c r="Z6" s="684"/>
      <c r="AA6" s="684"/>
      <c r="AB6" s="684"/>
      <c r="AC6" s="684"/>
      <c r="AD6" s="684"/>
      <c r="AE6" s="684"/>
      <c r="AF6" s="684"/>
      <c r="AG6" s="684"/>
      <c r="AH6" s="685"/>
      <c r="AI6" s="684"/>
      <c r="AJ6" s="684"/>
      <c r="AK6" s="684"/>
      <c r="AL6" s="684"/>
      <c r="AM6" s="684"/>
      <c r="AN6" s="684"/>
      <c r="AO6" s="684"/>
      <c r="AP6" s="684"/>
      <c r="AQ6" s="684"/>
      <c r="AR6" s="684"/>
      <c r="AS6" s="685"/>
      <c r="AT6" s="684"/>
      <c r="AU6" s="684"/>
      <c r="AV6" s="684"/>
      <c r="AW6" s="684"/>
      <c r="AX6" s="684"/>
      <c r="AY6" s="684"/>
      <c r="AZ6" s="684"/>
      <c r="BA6" s="684"/>
      <c r="BB6" s="684"/>
      <c r="BC6" s="684"/>
      <c r="BD6" s="685"/>
      <c r="BE6" s="684"/>
      <c r="BF6" s="684"/>
      <c r="BG6" s="684"/>
      <c r="BH6" s="684"/>
      <c r="BI6" s="684"/>
      <c r="BJ6" s="684"/>
      <c r="BK6" s="684"/>
      <c r="BL6" s="684"/>
      <c r="BM6" s="684"/>
      <c r="BN6" s="684"/>
    </row>
    <row r="7" spans="2:66" ht="15.75" thickBot="1">
      <c r="B7" s="686" t="s">
        <v>527</v>
      </c>
      <c r="C7" s="684"/>
      <c r="D7" s="684"/>
      <c r="E7" s="684"/>
      <c r="F7" s="684"/>
      <c r="G7" s="684"/>
      <c r="H7" s="684"/>
      <c r="I7" s="684"/>
      <c r="J7" s="684"/>
      <c r="K7" s="684"/>
      <c r="L7" s="685"/>
      <c r="M7" s="686" t="s">
        <v>527</v>
      </c>
      <c r="N7" s="684"/>
      <c r="O7" s="684"/>
      <c r="P7" s="684"/>
      <c r="Q7" s="684"/>
      <c r="R7" s="684"/>
      <c r="S7" s="684"/>
      <c r="T7" s="684"/>
      <c r="U7" s="684"/>
      <c r="V7" s="684"/>
      <c r="W7" s="685"/>
      <c r="X7" s="686" t="s">
        <v>527</v>
      </c>
      <c r="Y7" s="684"/>
      <c r="Z7" s="684"/>
      <c r="AA7" s="684"/>
      <c r="AB7" s="684"/>
      <c r="AC7" s="684"/>
      <c r="AD7" s="684"/>
      <c r="AE7" s="684"/>
      <c r="AF7" s="684"/>
      <c r="AG7" s="684"/>
      <c r="AH7" s="685"/>
      <c r="AI7" s="686" t="s">
        <v>527</v>
      </c>
      <c r="AJ7" s="684"/>
      <c r="AK7" s="684"/>
      <c r="AL7" s="684"/>
      <c r="AM7" s="684"/>
      <c r="AN7" s="684"/>
      <c r="AO7" s="684"/>
      <c r="AP7" s="684"/>
      <c r="AQ7" s="684"/>
      <c r="AR7" s="684"/>
      <c r="AS7" s="685"/>
      <c r="AT7" s="686" t="s">
        <v>527</v>
      </c>
      <c r="AU7" s="684"/>
      <c r="AV7" s="684"/>
      <c r="AW7" s="684"/>
      <c r="AX7" s="684"/>
      <c r="AY7" s="684"/>
      <c r="AZ7" s="684"/>
      <c r="BA7" s="684"/>
      <c r="BB7" s="684"/>
      <c r="BC7" s="684"/>
      <c r="BD7" s="685"/>
      <c r="BE7" s="686" t="s">
        <v>527</v>
      </c>
      <c r="BF7" s="684"/>
      <c r="BG7" s="684"/>
      <c r="BH7" s="684"/>
      <c r="BI7" s="684"/>
      <c r="BJ7" s="684"/>
      <c r="BK7" s="684"/>
      <c r="BL7" s="684"/>
      <c r="BM7" s="684"/>
      <c r="BN7" s="684"/>
    </row>
    <row r="8" spans="2:66">
      <c r="B8" s="1019"/>
      <c r="C8" s="1020"/>
      <c r="D8" s="1020"/>
      <c r="E8" s="1020"/>
      <c r="F8" s="1020"/>
      <c r="G8" s="1020"/>
      <c r="H8" s="1020"/>
      <c r="I8" s="1020"/>
      <c r="J8" s="1020"/>
      <c r="K8" s="1021"/>
      <c r="L8" s="685"/>
      <c r="M8" s="1019"/>
      <c r="N8" s="1020"/>
      <c r="O8" s="1020"/>
      <c r="P8" s="1020"/>
      <c r="Q8" s="1020"/>
      <c r="R8" s="1020"/>
      <c r="S8" s="1020"/>
      <c r="T8" s="1020"/>
      <c r="U8" s="1020"/>
      <c r="V8" s="1021"/>
      <c r="W8" s="685"/>
      <c r="X8" s="1019"/>
      <c r="Y8" s="1020"/>
      <c r="Z8" s="1020"/>
      <c r="AA8" s="1020"/>
      <c r="AB8" s="1020"/>
      <c r="AC8" s="1020"/>
      <c r="AD8" s="1020"/>
      <c r="AE8" s="1020"/>
      <c r="AF8" s="1020"/>
      <c r="AG8" s="1021"/>
      <c r="AH8" s="685"/>
      <c r="AI8" s="1019"/>
      <c r="AJ8" s="1020"/>
      <c r="AK8" s="1020"/>
      <c r="AL8" s="1020"/>
      <c r="AM8" s="1020"/>
      <c r="AN8" s="1020"/>
      <c r="AO8" s="1020"/>
      <c r="AP8" s="1020"/>
      <c r="AQ8" s="1020"/>
      <c r="AR8" s="1021"/>
      <c r="AS8" s="685"/>
      <c r="AT8" s="1019"/>
      <c r="AU8" s="1020"/>
      <c r="AV8" s="1020"/>
      <c r="AW8" s="1020"/>
      <c r="AX8" s="1020"/>
      <c r="AY8" s="1020"/>
      <c r="AZ8" s="1020"/>
      <c r="BA8" s="1020"/>
      <c r="BB8" s="1020"/>
      <c r="BC8" s="1021"/>
      <c r="BD8" s="685"/>
      <c r="BE8" s="1019"/>
      <c r="BF8" s="1020"/>
      <c r="BG8" s="1020"/>
      <c r="BH8" s="1020"/>
      <c r="BI8" s="1020"/>
      <c r="BJ8" s="1020"/>
      <c r="BK8" s="1020"/>
      <c r="BL8" s="1020"/>
      <c r="BM8" s="1020"/>
      <c r="BN8" s="1021"/>
    </row>
    <row r="9" spans="2:66">
      <c r="B9" s="1022"/>
      <c r="C9" s="1023"/>
      <c r="D9" s="1023"/>
      <c r="E9" s="1023"/>
      <c r="F9" s="1023"/>
      <c r="G9" s="1023"/>
      <c r="H9" s="1023"/>
      <c r="I9" s="1023"/>
      <c r="J9" s="1023"/>
      <c r="K9" s="1024"/>
      <c r="L9" s="685"/>
      <c r="M9" s="1022"/>
      <c r="N9" s="1023"/>
      <c r="O9" s="1023"/>
      <c r="P9" s="1023"/>
      <c r="Q9" s="1023"/>
      <c r="R9" s="1023"/>
      <c r="S9" s="1023"/>
      <c r="T9" s="1023"/>
      <c r="U9" s="1023"/>
      <c r="V9" s="1024"/>
      <c r="W9" s="685"/>
      <c r="X9" s="1022"/>
      <c r="Y9" s="1023"/>
      <c r="Z9" s="1023"/>
      <c r="AA9" s="1023"/>
      <c r="AB9" s="1023"/>
      <c r="AC9" s="1023"/>
      <c r="AD9" s="1023"/>
      <c r="AE9" s="1023"/>
      <c r="AF9" s="1023"/>
      <c r="AG9" s="1024"/>
      <c r="AH9" s="685"/>
      <c r="AI9" s="1022"/>
      <c r="AJ9" s="1023"/>
      <c r="AK9" s="1023"/>
      <c r="AL9" s="1023"/>
      <c r="AM9" s="1023"/>
      <c r="AN9" s="1023"/>
      <c r="AO9" s="1023"/>
      <c r="AP9" s="1023"/>
      <c r="AQ9" s="1023"/>
      <c r="AR9" s="1024"/>
      <c r="AS9" s="685"/>
      <c r="AT9" s="1022"/>
      <c r="AU9" s="1023"/>
      <c r="AV9" s="1023"/>
      <c r="AW9" s="1023"/>
      <c r="AX9" s="1023"/>
      <c r="AY9" s="1023"/>
      <c r="AZ9" s="1023"/>
      <c r="BA9" s="1023"/>
      <c r="BB9" s="1023"/>
      <c r="BC9" s="1024"/>
      <c r="BD9" s="685"/>
      <c r="BE9" s="1022"/>
      <c r="BF9" s="1023"/>
      <c r="BG9" s="1023"/>
      <c r="BH9" s="1023"/>
      <c r="BI9" s="1023"/>
      <c r="BJ9" s="1023"/>
      <c r="BK9" s="1023"/>
      <c r="BL9" s="1023"/>
      <c r="BM9" s="1023"/>
      <c r="BN9" s="1024"/>
    </row>
    <row r="10" spans="2:66">
      <c r="B10" s="1022"/>
      <c r="C10" s="1023"/>
      <c r="D10" s="1023"/>
      <c r="E10" s="1023"/>
      <c r="F10" s="1023"/>
      <c r="G10" s="1023"/>
      <c r="H10" s="1023"/>
      <c r="I10" s="1023"/>
      <c r="J10" s="1023"/>
      <c r="K10" s="1024"/>
      <c r="L10" s="685"/>
      <c r="M10" s="1022"/>
      <c r="N10" s="1023"/>
      <c r="O10" s="1023"/>
      <c r="P10" s="1023"/>
      <c r="Q10" s="1023"/>
      <c r="R10" s="1023"/>
      <c r="S10" s="1023"/>
      <c r="T10" s="1023"/>
      <c r="U10" s="1023"/>
      <c r="V10" s="1024"/>
      <c r="W10" s="685"/>
      <c r="X10" s="1022"/>
      <c r="Y10" s="1023"/>
      <c r="Z10" s="1023"/>
      <c r="AA10" s="1023"/>
      <c r="AB10" s="1023"/>
      <c r="AC10" s="1023"/>
      <c r="AD10" s="1023"/>
      <c r="AE10" s="1023"/>
      <c r="AF10" s="1023"/>
      <c r="AG10" s="1024"/>
      <c r="AH10" s="685"/>
      <c r="AI10" s="1022"/>
      <c r="AJ10" s="1023"/>
      <c r="AK10" s="1023"/>
      <c r="AL10" s="1023"/>
      <c r="AM10" s="1023"/>
      <c r="AN10" s="1023"/>
      <c r="AO10" s="1023"/>
      <c r="AP10" s="1023"/>
      <c r="AQ10" s="1023"/>
      <c r="AR10" s="1024"/>
      <c r="AS10" s="685"/>
      <c r="AT10" s="1022"/>
      <c r="AU10" s="1023"/>
      <c r="AV10" s="1023"/>
      <c r="AW10" s="1023"/>
      <c r="AX10" s="1023"/>
      <c r="AY10" s="1023"/>
      <c r="AZ10" s="1023"/>
      <c r="BA10" s="1023"/>
      <c r="BB10" s="1023"/>
      <c r="BC10" s="1024"/>
      <c r="BD10" s="685"/>
      <c r="BE10" s="1022"/>
      <c r="BF10" s="1023"/>
      <c r="BG10" s="1023"/>
      <c r="BH10" s="1023"/>
      <c r="BI10" s="1023"/>
      <c r="BJ10" s="1023"/>
      <c r="BK10" s="1023"/>
      <c r="BL10" s="1023"/>
      <c r="BM10" s="1023"/>
      <c r="BN10" s="1024"/>
    </row>
    <row r="11" spans="2:66">
      <c r="B11" s="1022"/>
      <c r="C11" s="1023"/>
      <c r="D11" s="1023"/>
      <c r="E11" s="1023"/>
      <c r="F11" s="1023"/>
      <c r="G11" s="1023"/>
      <c r="H11" s="1023"/>
      <c r="I11" s="1023"/>
      <c r="J11" s="1023"/>
      <c r="K11" s="1024"/>
      <c r="L11" s="685"/>
      <c r="M11" s="1022"/>
      <c r="N11" s="1023"/>
      <c r="O11" s="1023"/>
      <c r="P11" s="1023"/>
      <c r="Q11" s="1023"/>
      <c r="R11" s="1023"/>
      <c r="S11" s="1023"/>
      <c r="T11" s="1023"/>
      <c r="U11" s="1023"/>
      <c r="V11" s="1024"/>
      <c r="W11" s="685"/>
      <c r="X11" s="1022"/>
      <c r="Y11" s="1023"/>
      <c r="Z11" s="1023"/>
      <c r="AA11" s="1023"/>
      <c r="AB11" s="1023"/>
      <c r="AC11" s="1023"/>
      <c r="AD11" s="1023"/>
      <c r="AE11" s="1023"/>
      <c r="AF11" s="1023"/>
      <c r="AG11" s="1024"/>
      <c r="AH11" s="685"/>
      <c r="AI11" s="1022"/>
      <c r="AJ11" s="1023"/>
      <c r="AK11" s="1023"/>
      <c r="AL11" s="1023"/>
      <c r="AM11" s="1023"/>
      <c r="AN11" s="1023"/>
      <c r="AO11" s="1023"/>
      <c r="AP11" s="1023"/>
      <c r="AQ11" s="1023"/>
      <c r="AR11" s="1024"/>
      <c r="AS11" s="685"/>
      <c r="AT11" s="1022"/>
      <c r="AU11" s="1023"/>
      <c r="AV11" s="1023"/>
      <c r="AW11" s="1023"/>
      <c r="AX11" s="1023"/>
      <c r="AY11" s="1023"/>
      <c r="AZ11" s="1023"/>
      <c r="BA11" s="1023"/>
      <c r="BB11" s="1023"/>
      <c r="BC11" s="1024"/>
      <c r="BD11" s="685"/>
      <c r="BE11" s="1022"/>
      <c r="BF11" s="1023"/>
      <c r="BG11" s="1023"/>
      <c r="BH11" s="1023"/>
      <c r="BI11" s="1023"/>
      <c r="BJ11" s="1023"/>
      <c r="BK11" s="1023"/>
      <c r="BL11" s="1023"/>
      <c r="BM11" s="1023"/>
      <c r="BN11" s="1024"/>
    </row>
    <row r="12" spans="2:66">
      <c r="B12" s="1022"/>
      <c r="C12" s="1023"/>
      <c r="D12" s="1023"/>
      <c r="E12" s="1023"/>
      <c r="F12" s="1023"/>
      <c r="G12" s="1023"/>
      <c r="H12" s="1023"/>
      <c r="I12" s="1023"/>
      <c r="J12" s="1023"/>
      <c r="K12" s="1024"/>
      <c r="L12" s="685"/>
      <c r="M12" s="1022"/>
      <c r="N12" s="1023"/>
      <c r="O12" s="1023"/>
      <c r="P12" s="1023"/>
      <c r="Q12" s="1023"/>
      <c r="R12" s="1023"/>
      <c r="S12" s="1023"/>
      <c r="T12" s="1023"/>
      <c r="U12" s="1023"/>
      <c r="V12" s="1024"/>
      <c r="W12" s="685"/>
      <c r="X12" s="1022"/>
      <c r="Y12" s="1023"/>
      <c r="Z12" s="1023"/>
      <c r="AA12" s="1023"/>
      <c r="AB12" s="1023"/>
      <c r="AC12" s="1023"/>
      <c r="AD12" s="1023"/>
      <c r="AE12" s="1023"/>
      <c r="AF12" s="1023"/>
      <c r="AG12" s="1024"/>
      <c r="AH12" s="685"/>
      <c r="AI12" s="1022"/>
      <c r="AJ12" s="1023"/>
      <c r="AK12" s="1023"/>
      <c r="AL12" s="1023"/>
      <c r="AM12" s="1023"/>
      <c r="AN12" s="1023"/>
      <c r="AO12" s="1023"/>
      <c r="AP12" s="1023"/>
      <c r="AQ12" s="1023"/>
      <c r="AR12" s="1024"/>
      <c r="AS12" s="685"/>
      <c r="AT12" s="1022"/>
      <c r="AU12" s="1023"/>
      <c r="AV12" s="1023"/>
      <c r="AW12" s="1023"/>
      <c r="AX12" s="1023"/>
      <c r="AY12" s="1023"/>
      <c r="AZ12" s="1023"/>
      <c r="BA12" s="1023"/>
      <c r="BB12" s="1023"/>
      <c r="BC12" s="1024"/>
      <c r="BD12" s="685"/>
      <c r="BE12" s="1022"/>
      <c r="BF12" s="1023"/>
      <c r="BG12" s="1023"/>
      <c r="BH12" s="1023"/>
      <c r="BI12" s="1023"/>
      <c r="BJ12" s="1023"/>
      <c r="BK12" s="1023"/>
      <c r="BL12" s="1023"/>
      <c r="BM12" s="1023"/>
      <c r="BN12" s="1024"/>
    </row>
    <row r="13" spans="2:66">
      <c r="B13" s="1022"/>
      <c r="C13" s="1023"/>
      <c r="D13" s="1023"/>
      <c r="E13" s="1023"/>
      <c r="F13" s="1023"/>
      <c r="G13" s="1023"/>
      <c r="H13" s="1023"/>
      <c r="I13" s="1023"/>
      <c r="J13" s="1023"/>
      <c r="K13" s="1024"/>
      <c r="L13" s="685"/>
      <c r="M13" s="1022"/>
      <c r="N13" s="1023"/>
      <c r="O13" s="1023"/>
      <c r="P13" s="1023"/>
      <c r="Q13" s="1023"/>
      <c r="R13" s="1023"/>
      <c r="S13" s="1023"/>
      <c r="T13" s="1023"/>
      <c r="U13" s="1023"/>
      <c r="V13" s="1024"/>
      <c r="W13" s="685"/>
      <c r="X13" s="1022"/>
      <c r="Y13" s="1023"/>
      <c r="Z13" s="1023"/>
      <c r="AA13" s="1023"/>
      <c r="AB13" s="1023"/>
      <c r="AC13" s="1023"/>
      <c r="AD13" s="1023"/>
      <c r="AE13" s="1023"/>
      <c r="AF13" s="1023"/>
      <c r="AG13" s="1024"/>
      <c r="AH13" s="685"/>
      <c r="AI13" s="1022"/>
      <c r="AJ13" s="1023"/>
      <c r="AK13" s="1023"/>
      <c r="AL13" s="1023"/>
      <c r="AM13" s="1023"/>
      <c r="AN13" s="1023"/>
      <c r="AO13" s="1023"/>
      <c r="AP13" s="1023"/>
      <c r="AQ13" s="1023"/>
      <c r="AR13" s="1024"/>
      <c r="AS13" s="685"/>
      <c r="AT13" s="1022"/>
      <c r="AU13" s="1023"/>
      <c r="AV13" s="1023"/>
      <c r="AW13" s="1023"/>
      <c r="AX13" s="1023"/>
      <c r="AY13" s="1023"/>
      <c r="AZ13" s="1023"/>
      <c r="BA13" s="1023"/>
      <c r="BB13" s="1023"/>
      <c r="BC13" s="1024"/>
      <c r="BD13" s="685"/>
      <c r="BE13" s="1022"/>
      <c r="BF13" s="1023"/>
      <c r="BG13" s="1023"/>
      <c r="BH13" s="1023"/>
      <c r="BI13" s="1023"/>
      <c r="BJ13" s="1023"/>
      <c r="BK13" s="1023"/>
      <c r="BL13" s="1023"/>
      <c r="BM13" s="1023"/>
      <c r="BN13" s="1024"/>
    </row>
    <row r="14" spans="2:66" ht="15.75" thickBot="1">
      <c r="B14" s="1025"/>
      <c r="C14" s="1026"/>
      <c r="D14" s="1026"/>
      <c r="E14" s="1026"/>
      <c r="F14" s="1026"/>
      <c r="G14" s="1026"/>
      <c r="H14" s="1026"/>
      <c r="I14" s="1026"/>
      <c r="J14" s="1026"/>
      <c r="K14" s="1027"/>
      <c r="L14" s="685"/>
      <c r="M14" s="1025"/>
      <c r="N14" s="1026"/>
      <c r="O14" s="1026"/>
      <c r="P14" s="1026"/>
      <c r="Q14" s="1026"/>
      <c r="R14" s="1026"/>
      <c r="S14" s="1026"/>
      <c r="T14" s="1026"/>
      <c r="U14" s="1026"/>
      <c r="V14" s="1027"/>
      <c r="W14" s="685"/>
      <c r="X14" s="1025"/>
      <c r="Y14" s="1026"/>
      <c r="Z14" s="1026"/>
      <c r="AA14" s="1026"/>
      <c r="AB14" s="1026"/>
      <c r="AC14" s="1026"/>
      <c r="AD14" s="1026"/>
      <c r="AE14" s="1026"/>
      <c r="AF14" s="1026"/>
      <c r="AG14" s="1027"/>
      <c r="AH14" s="685"/>
      <c r="AI14" s="1025"/>
      <c r="AJ14" s="1026"/>
      <c r="AK14" s="1026"/>
      <c r="AL14" s="1026"/>
      <c r="AM14" s="1026"/>
      <c r="AN14" s="1026"/>
      <c r="AO14" s="1026"/>
      <c r="AP14" s="1026"/>
      <c r="AQ14" s="1026"/>
      <c r="AR14" s="1027"/>
      <c r="AS14" s="685"/>
      <c r="AT14" s="1025"/>
      <c r="AU14" s="1026"/>
      <c r="AV14" s="1026"/>
      <c r="AW14" s="1026"/>
      <c r="AX14" s="1026"/>
      <c r="AY14" s="1026"/>
      <c r="AZ14" s="1026"/>
      <c r="BA14" s="1026"/>
      <c r="BB14" s="1026"/>
      <c r="BC14" s="1027"/>
      <c r="BD14" s="685"/>
      <c r="BE14" s="1025"/>
      <c r="BF14" s="1026"/>
      <c r="BG14" s="1026"/>
      <c r="BH14" s="1026"/>
      <c r="BI14" s="1026"/>
      <c r="BJ14" s="1026"/>
      <c r="BK14" s="1026"/>
      <c r="BL14" s="1026"/>
      <c r="BM14" s="1026"/>
      <c r="BN14" s="1027"/>
    </row>
    <row r="15" spans="2:66">
      <c r="B15" s="684"/>
      <c r="C15" s="684"/>
      <c r="D15" s="684"/>
      <c r="E15" s="684"/>
      <c r="F15" s="684"/>
      <c r="G15" s="684"/>
      <c r="H15" s="684"/>
      <c r="I15" s="684"/>
      <c r="J15" s="684"/>
      <c r="K15" s="684"/>
      <c r="L15" s="685"/>
      <c r="M15" s="684"/>
      <c r="N15" s="684"/>
      <c r="O15" s="684"/>
      <c r="P15" s="684"/>
      <c r="Q15" s="684"/>
      <c r="R15" s="684"/>
      <c r="S15" s="684"/>
      <c r="T15" s="684"/>
      <c r="U15" s="684"/>
      <c r="V15" s="684"/>
      <c r="W15" s="685"/>
      <c r="X15" s="684"/>
      <c r="Y15" s="684"/>
      <c r="Z15" s="684"/>
      <c r="AA15" s="684"/>
      <c r="AB15" s="684"/>
      <c r="AC15" s="684"/>
      <c r="AD15" s="684"/>
      <c r="AE15" s="684"/>
      <c r="AF15" s="684"/>
      <c r="AG15" s="684"/>
      <c r="AH15" s="685"/>
      <c r="AI15" s="684"/>
      <c r="AJ15" s="684"/>
      <c r="AK15" s="684"/>
      <c r="AL15" s="684"/>
      <c r="AM15" s="684"/>
      <c r="AN15" s="684"/>
      <c r="AO15" s="684"/>
      <c r="AP15" s="684"/>
      <c r="AQ15" s="684"/>
      <c r="AR15" s="684"/>
      <c r="AS15" s="685"/>
      <c r="AT15" s="684"/>
      <c r="AU15" s="684"/>
      <c r="AV15" s="684"/>
      <c r="AW15" s="684"/>
      <c r="AX15" s="684"/>
      <c r="AY15" s="684"/>
      <c r="AZ15" s="684"/>
      <c r="BA15" s="684"/>
      <c r="BB15" s="684"/>
      <c r="BD15" s="685"/>
      <c r="BE15" s="684"/>
      <c r="BF15" s="684"/>
      <c r="BG15" s="684"/>
      <c r="BH15" s="684"/>
      <c r="BI15" s="684"/>
      <c r="BJ15" s="684"/>
      <c r="BK15" s="684"/>
      <c r="BL15" s="684"/>
      <c r="BM15" s="684"/>
    </row>
    <row r="16" spans="2:66" s="689" customFormat="1">
      <c r="B16" s="687"/>
      <c r="C16" s="697">
        <f t="shared" ref="C16" ca="1" si="0">EOMONTH(D16,-1)</f>
        <v>44530</v>
      </c>
      <c r="D16" s="697">
        <f t="shared" ref="D16" ca="1" si="1">EOMONTH(E16,-1)</f>
        <v>44561</v>
      </c>
      <c r="E16" s="697">
        <f t="shared" ref="E16" ca="1" si="2">EOMONTH(F16,-1)</f>
        <v>44592</v>
      </c>
      <c r="F16" s="697">
        <f t="shared" ref="F16" ca="1" si="3">EOMONTH(G16,-1)</f>
        <v>44620</v>
      </c>
      <c r="G16" s="697">
        <f t="shared" ref="G16" ca="1" si="4">EOMONTH(H16,-1)</f>
        <v>44651</v>
      </c>
      <c r="H16" s="697">
        <f t="shared" ref="H16" ca="1" si="5">EOMONTH(I16,-1)</f>
        <v>44681</v>
      </c>
      <c r="I16" s="697">
        <f t="shared" ref="I16" ca="1" si="6">EOMONTH(J16,-1)</f>
        <v>44712</v>
      </c>
      <c r="J16" s="698">
        <f ca="1">TODAY()</f>
        <v>44714</v>
      </c>
      <c r="K16" s="699" t="s">
        <v>526</v>
      </c>
      <c r="L16" s="688"/>
      <c r="M16" s="687"/>
      <c r="N16" s="697">
        <f t="shared" ref="N16:T16" ca="1" si="7">EOMONTH(O16,-1)</f>
        <v>44530</v>
      </c>
      <c r="O16" s="697">
        <f t="shared" ca="1" si="7"/>
        <v>44561</v>
      </c>
      <c r="P16" s="697">
        <f t="shared" ca="1" si="7"/>
        <v>44592</v>
      </c>
      <c r="Q16" s="697">
        <f t="shared" ca="1" si="7"/>
        <v>44620</v>
      </c>
      <c r="R16" s="697">
        <f t="shared" ca="1" si="7"/>
        <v>44651</v>
      </c>
      <c r="S16" s="697">
        <f t="shared" ca="1" si="7"/>
        <v>44681</v>
      </c>
      <c r="T16" s="697">
        <f t="shared" ca="1" si="7"/>
        <v>44712</v>
      </c>
      <c r="U16" s="698">
        <f ca="1">TODAY()</f>
        <v>44714</v>
      </c>
      <c r="V16" s="699" t="s">
        <v>526</v>
      </c>
      <c r="W16" s="685"/>
      <c r="X16" s="687"/>
      <c r="Y16" s="697">
        <f t="shared" ref="Y16:AE16" ca="1" si="8">EOMONTH(Z16,-1)</f>
        <v>44530</v>
      </c>
      <c r="Z16" s="697">
        <f t="shared" ca="1" si="8"/>
        <v>44561</v>
      </c>
      <c r="AA16" s="697">
        <f t="shared" ca="1" si="8"/>
        <v>44592</v>
      </c>
      <c r="AB16" s="697">
        <f t="shared" ca="1" si="8"/>
        <v>44620</v>
      </c>
      <c r="AC16" s="697">
        <f t="shared" ca="1" si="8"/>
        <v>44651</v>
      </c>
      <c r="AD16" s="697">
        <f t="shared" ca="1" si="8"/>
        <v>44681</v>
      </c>
      <c r="AE16" s="697">
        <f t="shared" ca="1" si="8"/>
        <v>44712</v>
      </c>
      <c r="AF16" s="698">
        <f ca="1">TODAY()</f>
        <v>44714</v>
      </c>
      <c r="AG16" s="699" t="s">
        <v>526</v>
      </c>
      <c r="AH16" s="685"/>
      <c r="AI16" s="687"/>
      <c r="AJ16" s="697">
        <f t="shared" ref="AJ16:AP16" ca="1" si="9">EOMONTH(AK16,-1)</f>
        <v>44530</v>
      </c>
      <c r="AK16" s="697">
        <f t="shared" ca="1" si="9"/>
        <v>44561</v>
      </c>
      <c r="AL16" s="697">
        <f t="shared" ca="1" si="9"/>
        <v>44592</v>
      </c>
      <c r="AM16" s="697">
        <f t="shared" ca="1" si="9"/>
        <v>44620</v>
      </c>
      <c r="AN16" s="697">
        <f t="shared" ca="1" si="9"/>
        <v>44651</v>
      </c>
      <c r="AO16" s="697">
        <f t="shared" ca="1" si="9"/>
        <v>44681</v>
      </c>
      <c r="AP16" s="697">
        <f t="shared" ca="1" si="9"/>
        <v>44712</v>
      </c>
      <c r="AQ16" s="698">
        <f ca="1">TODAY()</f>
        <v>44714</v>
      </c>
      <c r="AR16" s="699" t="s">
        <v>526</v>
      </c>
      <c r="AS16" s="685"/>
      <c r="AT16" s="687"/>
      <c r="AU16" s="697">
        <f t="shared" ref="AU16:BA16" ca="1" si="10">EOMONTH(AV16,-1)</f>
        <v>44530</v>
      </c>
      <c r="AV16" s="697">
        <f t="shared" ca="1" si="10"/>
        <v>44561</v>
      </c>
      <c r="AW16" s="697">
        <f t="shared" ca="1" si="10"/>
        <v>44592</v>
      </c>
      <c r="AX16" s="697">
        <f t="shared" ca="1" si="10"/>
        <v>44620</v>
      </c>
      <c r="AY16" s="697">
        <f t="shared" ca="1" si="10"/>
        <v>44651</v>
      </c>
      <c r="AZ16" s="697">
        <f t="shared" ca="1" si="10"/>
        <v>44681</v>
      </c>
      <c r="BA16" s="697">
        <f t="shared" ca="1" si="10"/>
        <v>44712</v>
      </c>
      <c r="BB16" s="698">
        <f ca="1">TODAY()</f>
        <v>44714</v>
      </c>
      <c r="BC16" s="699" t="s">
        <v>526</v>
      </c>
      <c r="BD16" s="685"/>
      <c r="BE16" s="687"/>
      <c r="BF16" s="697">
        <f t="shared" ref="BF16:BL16" ca="1" si="11">EOMONTH(BG16,-1)</f>
        <v>44530</v>
      </c>
      <c r="BG16" s="697">
        <f t="shared" ca="1" si="11"/>
        <v>44561</v>
      </c>
      <c r="BH16" s="697">
        <f t="shared" ca="1" si="11"/>
        <v>44592</v>
      </c>
      <c r="BI16" s="697">
        <f t="shared" ca="1" si="11"/>
        <v>44620</v>
      </c>
      <c r="BJ16" s="697">
        <f t="shared" ca="1" si="11"/>
        <v>44651</v>
      </c>
      <c r="BK16" s="697">
        <f t="shared" ca="1" si="11"/>
        <v>44681</v>
      </c>
      <c r="BL16" s="697">
        <f t="shared" ca="1" si="11"/>
        <v>44712</v>
      </c>
      <c r="BM16" s="698">
        <f ca="1">TODAY()</f>
        <v>44714</v>
      </c>
      <c r="BN16" s="699" t="s">
        <v>526</v>
      </c>
    </row>
    <row r="17" spans="2:66">
      <c r="B17" s="985" t="s">
        <v>11014</v>
      </c>
      <c r="C17" s="986">
        <v>5000</v>
      </c>
      <c r="D17" s="986" t="s">
        <v>81</v>
      </c>
      <c r="E17" s="986" t="s">
        <v>81</v>
      </c>
      <c r="F17" s="986" t="s">
        <v>81</v>
      </c>
      <c r="G17" s="986" t="s">
        <v>81</v>
      </c>
      <c r="H17" s="986" t="s">
        <v>81</v>
      </c>
      <c r="I17" s="986" t="s">
        <v>81</v>
      </c>
      <c r="J17" s="579"/>
      <c r="K17" s="580"/>
      <c r="L17" s="690"/>
      <c r="M17" s="579"/>
      <c r="N17" s="579"/>
      <c r="O17" s="579"/>
      <c r="P17" s="579"/>
      <c r="Q17" s="579"/>
      <c r="R17" s="579"/>
      <c r="S17" s="579"/>
      <c r="T17" s="579"/>
      <c r="U17" s="579"/>
      <c r="V17" s="580"/>
      <c r="W17" s="685"/>
      <c r="X17" s="579"/>
      <c r="Y17" s="579"/>
      <c r="Z17" s="579"/>
      <c r="AA17" s="579"/>
      <c r="AB17" s="579"/>
      <c r="AC17" s="579"/>
      <c r="AD17" s="579"/>
      <c r="AE17" s="579"/>
      <c r="AF17" s="579"/>
      <c r="AG17" s="580"/>
      <c r="AH17" s="685"/>
      <c r="AI17" s="579"/>
      <c r="AJ17" s="579"/>
      <c r="AK17" s="579"/>
      <c r="AL17" s="579"/>
      <c r="AM17" s="579"/>
      <c r="AN17" s="579"/>
      <c r="AO17" s="579"/>
      <c r="AP17" s="579"/>
      <c r="AQ17" s="579"/>
      <c r="AR17" s="580"/>
      <c r="AS17" s="685"/>
      <c r="AT17" s="579"/>
      <c r="AU17" s="579"/>
      <c r="AV17" s="579"/>
      <c r="AW17" s="579"/>
      <c r="AX17" s="579"/>
      <c r="AY17" s="579"/>
      <c r="AZ17" s="579"/>
      <c r="BA17" s="579"/>
      <c r="BB17" s="579"/>
      <c r="BC17" s="580"/>
      <c r="BD17" s="685"/>
      <c r="BE17" s="579"/>
      <c r="BF17" s="579"/>
      <c r="BG17" s="579"/>
      <c r="BH17" s="579"/>
      <c r="BI17" s="579"/>
      <c r="BJ17" s="579"/>
      <c r="BK17" s="579"/>
      <c r="BL17" s="579"/>
      <c r="BM17" s="579"/>
      <c r="BN17" s="580"/>
    </row>
    <row r="18" spans="2:66">
      <c r="B18" s="987" t="s">
        <v>11015</v>
      </c>
      <c r="C18" s="986">
        <v>68136</v>
      </c>
      <c r="D18" s="986">
        <v>13801</v>
      </c>
      <c r="E18" s="986">
        <v>23384</v>
      </c>
      <c r="F18" s="986">
        <v>12721</v>
      </c>
      <c r="G18" s="986">
        <v>13742</v>
      </c>
      <c r="H18" s="986">
        <v>11420</v>
      </c>
      <c r="I18" s="986">
        <v>44618</v>
      </c>
      <c r="J18" s="579"/>
      <c r="K18" s="580"/>
      <c r="L18" s="690"/>
      <c r="M18" s="579"/>
      <c r="N18" s="579"/>
      <c r="O18" s="579"/>
      <c r="P18" s="579"/>
      <c r="Q18" s="579"/>
      <c r="R18" s="579"/>
      <c r="S18" s="579"/>
      <c r="T18" s="579"/>
      <c r="U18" s="579"/>
      <c r="V18" s="580"/>
      <c r="W18" s="685"/>
      <c r="X18" s="579"/>
      <c r="Y18" s="579"/>
      <c r="Z18" s="579"/>
      <c r="AA18" s="579"/>
      <c r="AB18" s="579"/>
      <c r="AC18" s="579"/>
      <c r="AD18" s="579"/>
      <c r="AE18" s="579"/>
      <c r="AF18" s="579"/>
      <c r="AG18" s="580"/>
      <c r="AH18" s="685"/>
      <c r="AI18" s="579"/>
      <c r="AJ18" s="579"/>
      <c r="AK18" s="579"/>
      <c r="AL18" s="579"/>
      <c r="AM18" s="579"/>
      <c r="AN18" s="579"/>
      <c r="AO18" s="579"/>
      <c r="AP18" s="579"/>
      <c r="AQ18" s="579"/>
      <c r="AR18" s="580"/>
      <c r="AS18" s="685"/>
      <c r="AT18" s="579"/>
      <c r="AU18" s="579"/>
      <c r="AV18" s="579"/>
      <c r="AW18" s="579"/>
      <c r="AX18" s="579"/>
      <c r="AY18" s="579"/>
      <c r="AZ18" s="579"/>
      <c r="BA18" s="579"/>
      <c r="BB18" s="579"/>
      <c r="BC18" s="580"/>
      <c r="BD18" s="685"/>
      <c r="BE18" s="579"/>
      <c r="BF18" s="579"/>
      <c r="BG18" s="579"/>
      <c r="BH18" s="579"/>
      <c r="BI18" s="579"/>
      <c r="BJ18" s="579"/>
      <c r="BK18" s="579"/>
      <c r="BL18" s="579"/>
      <c r="BM18" s="579"/>
      <c r="BN18" s="580"/>
    </row>
    <row r="19" spans="2:66">
      <c r="B19" s="987" t="s">
        <v>11016</v>
      </c>
      <c r="C19" s="986">
        <v>4760</v>
      </c>
      <c r="D19" s="986">
        <v>4760</v>
      </c>
      <c r="E19" s="986">
        <v>4000</v>
      </c>
      <c r="F19" s="986">
        <v>4000</v>
      </c>
      <c r="G19" s="986">
        <v>5490</v>
      </c>
      <c r="H19" s="986">
        <v>5490</v>
      </c>
      <c r="I19" s="986" t="s">
        <v>81</v>
      </c>
      <c r="J19" s="579"/>
      <c r="K19" s="580"/>
      <c r="L19" s="690"/>
      <c r="M19" s="579"/>
      <c r="N19" s="579"/>
      <c r="O19" s="579"/>
      <c r="P19" s="579"/>
      <c r="Q19" s="579"/>
      <c r="R19" s="579"/>
      <c r="S19" s="579"/>
      <c r="T19" s="579"/>
      <c r="U19" s="579"/>
      <c r="V19" s="580"/>
      <c r="W19" s="688"/>
      <c r="X19" s="579"/>
      <c r="Y19" s="579"/>
      <c r="Z19" s="579"/>
      <c r="AA19" s="579"/>
      <c r="AB19" s="579"/>
      <c r="AC19" s="579"/>
      <c r="AD19" s="579"/>
      <c r="AE19" s="579"/>
      <c r="AF19" s="579"/>
      <c r="AG19" s="580"/>
      <c r="AH19" s="685"/>
      <c r="AI19" s="579"/>
      <c r="AJ19" s="579"/>
      <c r="AK19" s="579"/>
      <c r="AL19" s="579"/>
      <c r="AM19" s="579"/>
      <c r="AN19" s="579"/>
      <c r="AO19" s="579"/>
      <c r="AP19" s="579"/>
      <c r="AQ19" s="579"/>
      <c r="AR19" s="580"/>
      <c r="AS19" s="685"/>
      <c r="AT19" s="579"/>
      <c r="AU19" s="579"/>
      <c r="AV19" s="579"/>
      <c r="AW19" s="579"/>
      <c r="AX19" s="579"/>
      <c r="AY19" s="579"/>
      <c r="AZ19" s="579"/>
      <c r="BA19" s="579"/>
      <c r="BB19" s="579"/>
      <c r="BC19" s="580"/>
      <c r="BD19" s="685"/>
      <c r="BE19" s="579"/>
      <c r="BF19" s="579"/>
      <c r="BG19" s="579"/>
      <c r="BH19" s="579"/>
      <c r="BI19" s="579"/>
      <c r="BJ19" s="579"/>
      <c r="BK19" s="579"/>
      <c r="BL19" s="579"/>
      <c r="BM19" s="579"/>
      <c r="BN19" s="580"/>
    </row>
    <row r="20" spans="2:66">
      <c r="B20" s="985" t="s">
        <v>11017</v>
      </c>
      <c r="C20" s="986" t="s">
        <v>81</v>
      </c>
      <c r="D20" s="986" t="s">
        <v>81</v>
      </c>
      <c r="E20" s="986">
        <v>3206</v>
      </c>
      <c r="F20" s="986" t="s">
        <v>81</v>
      </c>
      <c r="G20" s="986" t="s">
        <v>81</v>
      </c>
      <c r="H20" s="986" t="s">
        <v>81</v>
      </c>
      <c r="I20" s="986" t="s">
        <v>81</v>
      </c>
      <c r="J20" s="579"/>
      <c r="K20" s="580"/>
      <c r="L20" s="690"/>
      <c r="M20" s="579"/>
      <c r="N20" s="579"/>
      <c r="O20" s="579"/>
      <c r="P20" s="579"/>
      <c r="Q20" s="579"/>
      <c r="R20" s="579"/>
      <c r="S20" s="579"/>
      <c r="T20" s="579"/>
      <c r="U20" s="579"/>
      <c r="V20" s="580"/>
      <c r="W20" s="690"/>
      <c r="X20" s="579"/>
      <c r="Y20" s="579"/>
      <c r="Z20" s="579"/>
      <c r="AA20" s="579"/>
      <c r="AB20" s="579"/>
      <c r="AC20" s="579"/>
      <c r="AD20" s="579"/>
      <c r="AE20" s="579"/>
      <c r="AF20" s="579"/>
      <c r="AG20" s="580"/>
      <c r="AH20" s="685"/>
      <c r="AI20" s="579"/>
      <c r="AJ20" s="579"/>
      <c r="AK20" s="579"/>
      <c r="AL20" s="579"/>
      <c r="AM20" s="579"/>
      <c r="AN20" s="579"/>
      <c r="AO20" s="579"/>
      <c r="AP20" s="579"/>
      <c r="AQ20" s="579"/>
      <c r="AR20" s="580"/>
      <c r="AS20" s="685"/>
      <c r="AT20" s="579"/>
      <c r="AU20" s="579"/>
      <c r="AV20" s="579"/>
      <c r="AW20" s="579"/>
      <c r="AX20" s="579"/>
      <c r="AY20" s="579"/>
      <c r="AZ20" s="579"/>
      <c r="BA20" s="579"/>
      <c r="BB20" s="579"/>
      <c r="BC20" s="580"/>
      <c r="BD20" s="685"/>
      <c r="BE20" s="579"/>
      <c r="BF20" s="579"/>
      <c r="BG20" s="579"/>
      <c r="BH20" s="579"/>
      <c r="BI20" s="579"/>
      <c r="BJ20" s="579"/>
      <c r="BK20" s="579"/>
      <c r="BL20" s="579"/>
      <c r="BM20" s="579"/>
      <c r="BN20" s="580"/>
    </row>
    <row r="21" spans="2:66">
      <c r="B21" s="985" t="s">
        <v>11018</v>
      </c>
      <c r="C21" s="986" t="s">
        <v>81</v>
      </c>
      <c r="D21" s="986" t="s">
        <v>81</v>
      </c>
      <c r="E21" s="986" t="s">
        <v>81</v>
      </c>
      <c r="F21" s="986" t="s">
        <v>81</v>
      </c>
      <c r="G21" s="986" t="s">
        <v>81</v>
      </c>
      <c r="H21" s="986" t="s">
        <v>81</v>
      </c>
      <c r="I21" s="986">
        <v>891</v>
      </c>
      <c r="J21" s="579"/>
      <c r="K21" s="580"/>
      <c r="L21" s="690"/>
      <c r="M21" s="579"/>
      <c r="N21" s="579"/>
      <c r="O21" s="579"/>
      <c r="P21" s="579"/>
      <c r="Q21" s="579"/>
      <c r="R21" s="579"/>
      <c r="S21" s="579"/>
      <c r="T21" s="579"/>
      <c r="U21" s="579"/>
      <c r="V21" s="580"/>
      <c r="W21" s="690"/>
      <c r="X21" s="579"/>
      <c r="Y21" s="579"/>
      <c r="Z21" s="579"/>
      <c r="AA21" s="579"/>
      <c r="AB21" s="579"/>
      <c r="AC21" s="579"/>
      <c r="AD21" s="579"/>
      <c r="AE21" s="579"/>
      <c r="AF21" s="579"/>
      <c r="AG21" s="580"/>
      <c r="AH21" s="685"/>
      <c r="AI21" s="579"/>
      <c r="AJ21" s="579"/>
      <c r="AK21" s="579"/>
      <c r="AL21" s="579"/>
      <c r="AM21" s="579"/>
      <c r="AN21" s="579"/>
      <c r="AO21" s="579"/>
      <c r="AP21" s="579"/>
      <c r="AQ21" s="579"/>
      <c r="AR21" s="580"/>
      <c r="AS21" s="685"/>
      <c r="AT21" s="579"/>
      <c r="AU21" s="579"/>
      <c r="AV21" s="579"/>
      <c r="AW21" s="579"/>
      <c r="AX21" s="579"/>
      <c r="AY21" s="579"/>
      <c r="AZ21" s="579"/>
      <c r="BA21" s="579"/>
      <c r="BB21" s="579"/>
      <c r="BC21" s="580"/>
      <c r="BD21" s="685"/>
      <c r="BE21" s="579"/>
      <c r="BF21" s="579"/>
      <c r="BG21" s="579"/>
      <c r="BH21" s="579"/>
      <c r="BI21" s="579"/>
      <c r="BJ21" s="579"/>
      <c r="BK21" s="579"/>
      <c r="BL21" s="579"/>
      <c r="BM21" s="579"/>
      <c r="BN21" s="580"/>
    </row>
    <row r="22" spans="2:66">
      <c r="B22" s="987" t="s">
        <v>11019</v>
      </c>
      <c r="C22" s="986" t="s">
        <v>81</v>
      </c>
      <c r="D22" s="986" t="s">
        <v>81</v>
      </c>
      <c r="E22" s="986" t="s">
        <v>81</v>
      </c>
      <c r="F22" s="986" t="s">
        <v>81</v>
      </c>
      <c r="G22" s="986" t="s">
        <v>81</v>
      </c>
      <c r="H22" s="986">
        <v>1050</v>
      </c>
      <c r="I22" s="986" t="s">
        <v>81</v>
      </c>
      <c r="J22" s="579"/>
      <c r="K22" s="580"/>
      <c r="L22" s="690"/>
      <c r="M22" s="579"/>
      <c r="N22" s="579"/>
      <c r="O22" s="579"/>
      <c r="P22" s="579"/>
      <c r="Q22" s="579"/>
      <c r="R22" s="579"/>
      <c r="S22" s="579"/>
      <c r="T22" s="579"/>
      <c r="U22" s="579"/>
      <c r="V22" s="580"/>
      <c r="W22" s="690"/>
      <c r="X22" s="579"/>
      <c r="Y22" s="579"/>
      <c r="Z22" s="579"/>
      <c r="AA22" s="579"/>
      <c r="AB22" s="579"/>
      <c r="AC22" s="579"/>
      <c r="AD22" s="579"/>
      <c r="AE22" s="579"/>
      <c r="AF22" s="579"/>
      <c r="AG22" s="580"/>
      <c r="AH22" s="685"/>
      <c r="AI22" s="579"/>
      <c r="AJ22" s="579"/>
      <c r="AK22" s="579"/>
      <c r="AL22" s="579"/>
      <c r="AM22" s="579"/>
      <c r="AN22" s="579"/>
      <c r="AO22" s="579"/>
      <c r="AP22" s="579"/>
      <c r="AQ22" s="579"/>
      <c r="AR22" s="580"/>
      <c r="AS22" s="685"/>
      <c r="AT22" s="579"/>
      <c r="AU22" s="579"/>
      <c r="AV22" s="579"/>
      <c r="AW22" s="579"/>
      <c r="AX22" s="579"/>
      <c r="AY22" s="579"/>
      <c r="AZ22" s="579"/>
      <c r="BA22" s="579"/>
      <c r="BB22" s="579"/>
      <c r="BC22" s="580"/>
      <c r="BD22" s="685"/>
      <c r="BE22" s="579"/>
      <c r="BF22" s="579"/>
      <c r="BG22" s="579"/>
      <c r="BH22" s="579"/>
      <c r="BI22" s="579"/>
      <c r="BJ22" s="579"/>
      <c r="BK22" s="579"/>
      <c r="BL22" s="579"/>
      <c r="BM22" s="579"/>
      <c r="BN22" s="580"/>
    </row>
    <row r="23" spans="2:66">
      <c r="B23" s="579"/>
      <c r="C23" s="579"/>
      <c r="D23" s="579"/>
      <c r="E23" s="579"/>
      <c r="F23" s="579"/>
      <c r="G23" s="579"/>
      <c r="H23" s="579"/>
      <c r="I23" s="579"/>
      <c r="J23" s="579"/>
      <c r="K23" s="580"/>
      <c r="L23" s="690"/>
      <c r="M23" s="579"/>
      <c r="N23" s="579"/>
      <c r="O23" s="579"/>
      <c r="P23" s="579"/>
      <c r="Q23" s="579"/>
      <c r="R23" s="579"/>
      <c r="S23" s="579"/>
      <c r="T23" s="579"/>
      <c r="U23" s="579"/>
      <c r="V23" s="580"/>
      <c r="W23" s="690"/>
      <c r="X23" s="579"/>
      <c r="Y23" s="579"/>
      <c r="Z23" s="579"/>
      <c r="AA23" s="579"/>
      <c r="AB23" s="579"/>
      <c r="AC23" s="579"/>
      <c r="AD23" s="579"/>
      <c r="AE23" s="579"/>
      <c r="AF23" s="579"/>
      <c r="AG23" s="580"/>
      <c r="AH23" s="688"/>
      <c r="AI23" s="579"/>
      <c r="AJ23" s="579"/>
      <c r="AK23" s="579"/>
      <c r="AL23" s="579"/>
      <c r="AM23" s="579"/>
      <c r="AN23" s="579"/>
      <c r="AO23" s="579"/>
      <c r="AP23" s="579"/>
      <c r="AQ23" s="579"/>
      <c r="AR23" s="580"/>
      <c r="AS23" s="688"/>
      <c r="AT23" s="579"/>
      <c r="AU23" s="579"/>
      <c r="AV23" s="579"/>
      <c r="AW23" s="579"/>
      <c r="AX23" s="579"/>
      <c r="AY23" s="579"/>
      <c r="AZ23" s="579"/>
      <c r="BA23" s="579"/>
      <c r="BB23" s="579"/>
      <c r="BC23" s="580"/>
      <c r="BD23" s="688"/>
      <c r="BE23" s="579"/>
      <c r="BF23" s="579"/>
      <c r="BG23" s="579"/>
      <c r="BH23" s="579"/>
      <c r="BI23" s="579"/>
      <c r="BJ23" s="579"/>
      <c r="BK23" s="579"/>
      <c r="BL23" s="579"/>
      <c r="BM23" s="579"/>
      <c r="BN23" s="580"/>
    </row>
    <row r="24" spans="2:66">
      <c r="B24" s="579"/>
      <c r="C24" s="579"/>
      <c r="D24" s="579"/>
      <c r="E24" s="579"/>
      <c r="F24" s="579"/>
      <c r="G24" s="579"/>
      <c r="H24" s="579"/>
      <c r="I24" s="579"/>
      <c r="J24" s="579"/>
      <c r="K24" s="580"/>
      <c r="L24" s="690"/>
      <c r="M24" s="579"/>
      <c r="N24" s="579"/>
      <c r="O24" s="579"/>
      <c r="P24" s="579"/>
      <c r="Q24" s="579"/>
      <c r="R24" s="579"/>
      <c r="S24" s="579"/>
      <c r="T24" s="579"/>
      <c r="U24" s="579"/>
      <c r="V24" s="580"/>
      <c r="W24" s="690"/>
      <c r="X24" s="579"/>
      <c r="Y24" s="579"/>
      <c r="Z24" s="579"/>
      <c r="AA24" s="579"/>
      <c r="AB24" s="579"/>
      <c r="AC24" s="579"/>
      <c r="AD24" s="579"/>
      <c r="AE24" s="579"/>
      <c r="AF24" s="579"/>
      <c r="AG24" s="580"/>
      <c r="AH24" s="690"/>
      <c r="AI24" s="579"/>
      <c r="AJ24" s="579"/>
      <c r="AK24" s="579"/>
      <c r="AL24" s="579"/>
      <c r="AM24" s="579"/>
      <c r="AN24" s="579"/>
      <c r="AO24" s="579"/>
      <c r="AP24" s="579"/>
      <c r="AQ24" s="579"/>
      <c r="AR24" s="580"/>
      <c r="AS24" s="690"/>
      <c r="AT24" s="579"/>
      <c r="AU24" s="579"/>
      <c r="AV24" s="579"/>
      <c r="AW24" s="579"/>
      <c r="AX24" s="579"/>
      <c r="AY24" s="579"/>
      <c r="AZ24" s="579"/>
      <c r="BA24" s="579"/>
      <c r="BB24" s="579"/>
      <c r="BC24" s="580"/>
      <c r="BD24" s="690"/>
      <c r="BE24" s="579"/>
      <c r="BF24" s="579"/>
      <c r="BG24" s="579"/>
      <c r="BH24" s="579"/>
      <c r="BI24" s="579"/>
      <c r="BJ24" s="579"/>
      <c r="BK24" s="579"/>
      <c r="BL24" s="579"/>
      <c r="BM24" s="579"/>
      <c r="BN24" s="580"/>
    </row>
    <row r="25" spans="2:66">
      <c r="B25" s="579"/>
      <c r="C25" s="579"/>
      <c r="D25" s="579"/>
      <c r="E25" s="579"/>
      <c r="F25" s="579"/>
      <c r="G25" s="579"/>
      <c r="H25" s="579"/>
      <c r="I25" s="579"/>
      <c r="J25" s="579"/>
      <c r="K25" s="580"/>
      <c r="L25" s="690"/>
      <c r="M25" s="579"/>
      <c r="N25" s="579"/>
      <c r="O25" s="579"/>
      <c r="P25" s="579"/>
      <c r="Q25" s="579"/>
      <c r="R25" s="579"/>
      <c r="S25" s="579"/>
      <c r="T25" s="579"/>
      <c r="U25" s="579"/>
      <c r="V25" s="580"/>
      <c r="W25" s="690"/>
      <c r="X25" s="579"/>
      <c r="Y25" s="579"/>
      <c r="Z25" s="579"/>
      <c r="AA25" s="579"/>
      <c r="AB25" s="579"/>
      <c r="AC25" s="579"/>
      <c r="AD25" s="579"/>
      <c r="AE25" s="579"/>
      <c r="AF25" s="579"/>
      <c r="AG25" s="580"/>
      <c r="AH25" s="690"/>
      <c r="AI25" s="579"/>
      <c r="AJ25" s="579"/>
      <c r="AK25" s="579"/>
      <c r="AL25" s="579"/>
      <c r="AM25" s="579"/>
      <c r="AN25" s="579"/>
      <c r="AO25" s="579"/>
      <c r="AP25" s="579"/>
      <c r="AQ25" s="579"/>
      <c r="AR25" s="580"/>
      <c r="AS25" s="690"/>
      <c r="AT25" s="579"/>
      <c r="AU25" s="579"/>
      <c r="AV25" s="579"/>
      <c r="AW25" s="579"/>
      <c r="AX25" s="579"/>
      <c r="AY25" s="579"/>
      <c r="AZ25" s="579"/>
      <c r="BA25" s="579"/>
      <c r="BB25" s="579"/>
      <c r="BC25" s="580"/>
      <c r="BD25" s="690"/>
      <c r="BE25" s="579"/>
      <c r="BF25" s="579"/>
      <c r="BG25" s="579"/>
      <c r="BH25" s="579"/>
      <c r="BI25" s="579"/>
      <c r="BJ25" s="579"/>
      <c r="BK25" s="579"/>
      <c r="BL25" s="579"/>
      <c r="BM25" s="579"/>
      <c r="BN25" s="580"/>
    </row>
    <row r="26" spans="2:66">
      <c r="B26" s="579"/>
      <c r="C26" s="579"/>
      <c r="D26" s="579"/>
      <c r="E26" s="579"/>
      <c r="F26" s="579"/>
      <c r="G26" s="579"/>
      <c r="H26" s="579"/>
      <c r="I26" s="579"/>
      <c r="J26" s="579"/>
      <c r="K26" s="580"/>
      <c r="L26" s="690"/>
      <c r="M26" s="579"/>
      <c r="N26" s="579"/>
      <c r="O26" s="579"/>
      <c r="P26" s="579"/>
      <c r="Q26" s="579"/>
      <c r="R26" s="579"/>
      <c r="S26" s="579"/>
      <c r="T26" s="579"/>
      <c r="U26" s="579"/>
      <c r="V26" s="580"/>
      <c r="W26" s="690"/>
      <c r="X26" s="579"/>
      <c r="Y26" s="579"/>
      <c r="Z26" s="579"/>
      <c r="AA26" s="579"/>
      <c r="AB26" s="579"/>
      <c r="AC26" s="579"/>
      <c r="AD26" s="579"/>
      <c r="AE26" s="579"/>
      <c r="AF26" s="579"/>
      <c r="AG26" s="580"/>
      <c r="AH26" s="690"/>
      <c r="AI26" s="579"/>
      <c r="AJ26" s="579"/>
      <c r="AK26" s="579"/>
      <c r="AL26" s="579"/>
      <c r="AM26" s="579"/>
      <c r="AN26" s="579"/>
      <c r="AO26" s="579"/>
      <c r="AP26" s="579"/>
      <c r="AQ26" s="579"/>
      <c r="AR26" s="580"/>
      <c r="AS26" s="690"/>
      <c r="AT26" s="579"/>
      <c r="AU26" s="579"/>
      <c r="AV26" s="579"/>
      <c r="AW26" s="579"/>
      <c r="AX26" s="579"/>
      <c r="AY26" s="579"/>
      <c r="AZ26" s="579"/>
      <c r="BA26" s="579"/>
      <c r="BB26" s="579"/>
      <c r="BC26" s="580"/>
      <c r="BD26" s="690"/>
      <c r="BE26" s="579"/>
      <c r="BF26" s="579"/>
      <c r="BG26" s="579"/>
      <c r="BH26" s="579"/>
      <c r="BI26" s="579"/>
      <c r="BJ26" s="579"/>
      <c r="BK26" s="579"/>
      <c r="BL26" s="579"/>
      <c r="BM26" s="579"/>
      <c r="BN26" s="580"/>
    </row>
    <row r="27" spans="2:66">
      <c r="B27" s="579"/>
      <c r="C27" s="579"/>
      <c r="D27" s="579"/>
      <c r="E27" s="579"/>
      <c r="F27" s="579"/>
      <c r="G27" s="579"/>
      <c r="H27" s="579"/>
      <c r="I27" s="579"/>
      <c r="J27" s="579"/>
      <c r="K27" s="580"/>
      <c r="L27" s="690"/>
      <c r="M27" s="579"/>
      <c r="N27" s="579"/>
      <c r="O27" s="579"/>
      <c r="P27" s="579"/>
      <c r="Q27" s="579"/>
      <c r="R27" s="579"/>
      <c r="S27" s="579"/>
      <c r="T27" s="579"/>
      <c r="U27" s="579"/>
      <c r="V27" s="580"/>
      <c r="W27" s="690"/>
      <c r="X27" s="579"/>
      <c r="Y27" s="579"/>
      <c r="Z27" s="579"/>
      <c r="AA27" s="579"/>
      <c r="AB27" s="579"/>
      <c r="AC27" s="579"/>
      <c r="AD27" s="579"/>
      <c r="AE27" s="579"/>
      <c r="AF27" s="579"/>
      <c r="AG27" s="580"/>
      <c r="AH27" s="690"/>
      <c r="AI27" s="579"/>
      <c r="AJ27" s="579"/>
      <c r="AK27" s="579"/>
      <c r="AL27" s="579"/>
      <c r="AM27" s="579"/>
      <c r="AN27" s="579"/>
      <c r="AO27" s="579"/>
      <c r="AP27" s="579"/>
      <c r="AQ27" s="579"/>
      <c r="AR27" s="580"/>
      <c r="AS27" s="690"/>
      <c r="AT27" s="579"/>
      <c r="AU27" s="579"/>
      <c r="AV27" s="579"/>
      <c r="AW27" s="579"/>
      <c r="AX27" s="579"/>
      <c r="AY27" s="579"/>
      <c r="AZ27" s="579"/>
      <c r="BA27" s="579"/>
      <c r="BB27" s="579"/>
      <c r="BC27" s="580"/>
      <c r="BD27" s="690"/>
      <c r="BE27" s="579"/>
      <c r="BF27" s="579"/>
      <c r="BG27" s="579"/>
      <c r="BH27" s="579"/>
      <c r="BI27" s="579"/>
      <c r="BJ27" s="579"/>
      <c r="BK27" s="579"/>
      <c r="BL27" s="579"/>
      <c r="BM27" s="579"/>
      <c r="BN27" s="580"/>
    </row>
    <row r="28" spans="2:66">
      <c r="B28" s="579"/>
      <c r="C28" s="579"/>
      <c r="D28" s="579"/>
      <c r="E28" s="579"/>
      <c r="F28" s="579"/>
      <c r="G28" s="579"/>
      <c r="H28" s="579"/>
      <c r="I28" s="579"/>
      <c r="J28" s="579"/>
      <c r="K28" s="580"/>
      <c r="L28" s="690"/>
      <c r="M28" s="579"/>
      <c r="N28" s="579"/>
      <c r="O28" s="579"/>
      <c r="P28" s="579"/>
      <c r="Q28" s="579"/>
      <c r="R28" s="579"/>
      <c r="S28" s="579"/>
      <c r="T28" s="579"/>
      <c r="U28" s="579"/>
      <c r="V28" s="580"/>
      <c r="W28" s="690"/>
      <c r="X28" s="579"/>
      <c r="Y28" s="579"/>
      <c r="Z28" s="579"/>
      <c r="AA28" s="579"/>
      <c r="AB28" s="579"/>
      <c r="AC28" s="579"/>
      <c r="AD28" s="579"/>
      <c r="AE28" s="579"/>
      <c r="AF28" s="579"/>
      <c r="AG28" s="580"/>
      <c r="AH28" s="690"/>
      <c r="AI28" s="579"/>
      <c r="AJ28" s="579"/>
      <c r="AK28" s="579"/>
      <c r="AL28" s="579"/>
      <c r="AM28" s="579"/>
      <c r="AN28" s="579"/>
      <c r="AO28" s="579"/>
      <c r="AP28" s="579"/>
      <c r="AQ28" s="579"/>
      <c r="AR28" s="580"/>
      <c r="AS28" s="690"/>
      <c r="AT28" s="579"/>
      <c r="AU28" s="579"/>
      <c r="AV28" s="579"/>
      <c r="AW28" s="579"/>
      <c r="AX28" s="579"/>
      <c r="AY28" s="579"/>
      <c r="AZ28" s="579"/>
      <c r="BA28" s="579"/>
      <c r="BB28" s="579"/>
      <c r="BC28" s="580"/>
      <c r="BD28" s="690"/>
      <c r="BE28" s="579"/>
      <c r="BF28" s="579"/>
      <c r="BG28" s="579"/>
      <c r="BH28" s="579"/>
      <c r="BI28" s="579"/>
      <c r="BJ28" s="579"/>
      <c r="BK28" s="579"/>
      <c r="BL28" s="579"/>
      <c r="BM28" s="579"/>
      <c r="BN28" s="580"/>
    </row>
    <row r="29" spans="2:66">
      <c r="B29" s="579"/>
      <c r="C29" s="579"/>
      <c r="D29" s="579"/>
      <c r="E29" s="579"/>
      <c r="F29" s="579"/>
      <c r="G29" s="579"/>
      <c r="H29" s="579"/>
      <c r="I29" s="579"/>
      <c r="J29" s="579"/>
      <c r="K29" s="580"/>
      <c r="L29" s="690"/>
      <c r="M29" s="579"/>
      <c r="N29" s="579"/>
      <c r="O29" s="579"/>
      <c r="P29" s="579"/>
      <c r="Q29" s="579"/>
      <c r="R29" s="579"/>
      <c r="S29" s="579"/>
      <c r="T29" s="579"/>
      <c r="U29" s="579"/>
      <c r="V29" s="580"/>
      <c r="W29" s="690"/>
      <c r="X29" s="579"/>
      <c r="Y29" s="579"/>
      <c r="Z29" s="579"/>
      <c r="AA29" s="579"/>
      <c r="AB29" s="579"/>
      <c r="AC29" s="579"/>
      <c r="AD29" s="579"/>
      <c r="AE29" s="579"/>
      <c r="AF29" s="579"/>
      <c r="AG29" s="580"/>
      <c r="AH29" s="690"/>
      <c r="AI29" s="579"/>
      <c r="AJ29" s="579"/>
      <c r="AK29" s="579"/>
      <c r="AL29" s="579"/>
      <c r="AM29" s="579"/>
      <c r="AN29" s="579"/>
      <c r="AO29" s="579"/>
      <c r="AP29" s="579"/>
      <c r="AQ29" s="579"/>
      <c r="AR29" s="580"/>
      <c r="AS29" s="690"/>
      <c r="AT29" s="579"/>
      <c r="AU29" s="579"/>
      <c r="AV29" s="579"/>
      <c r="AW29" s="579"/>
      <c r="AX29" s="579"/>
      <c r="AY29" s="579"/>
      <c r="AZ29" s="579"/>
      <c r="BA29" s="579"/>
      <c r="BB29" s="579"/>
      <c r="BC29" s="580"/>
      <c r="BD29" s="690"/>
      <c r="BE29" s="579"/>
      <c r="BF29" s="579"/>
      <c r="BG29" s="579"/>
      <c r="BH29" s="579"/>
      <c r="BI29" s="579"/>
      <c r="BJ29" s="579"/>
      <c r="BK29" s="579"/>
      <c r="BL29" s="579"/>
      <c r="BM29" s="579"/>
      <c r="BN29" s="580"/>
    </row>
    <row r="30" spans="2:66">
      <c r="B30" s="579"/>
      <c r="C30" s="579"/>
      <c r="D30" s="579"/>
      <c r="E30" s="579"/>
      <c r="F30" s="579"/>
      <c r="G30" s="579"/>
      <c r="H30" s="579"/>
      <c r="I30" s="579"/>
      <c r="J30" s="579"/>
      <c r="K30" s="580"/>
      <c r="L30" s="690"/>
      <c r="M30" s="579"/>
      <c r="N30" s="579"/>
      <c r="O30" s="579"/>
      <c r="P30" s="579"/>
      <c r="Q30" s="579"/>
      <c r="R30" s="579"/>
      <c r="S30" s="579"/>
      <c r="T30" s="579"/>
      <c r="U30" s="579"/>
      <c r="V30" s="580"/>
      <c r="W30" s="690"/>
      <c r="X30" s="579"/>
      <c r="Y30" s="579"/>
      <c r="Z30" s="579"/>
      <c r="AA30" s="579"/>
      <c r="AB30" s="579"/>
      <c r="AC30" s="579"/>
      <c r="AD30" s="579"/>
      <c r="AE30" s="579"/>
      <c r="AF30" s="579"/>
      <c r="AG30" s="580"/>
      <c r="AH30" s="690"/>
      <c r="AI30" s="579"/>
      <c r="AJ30" s="579"/>
      <c r="AK30" s="579"/>
      <c r="AL30" s="579"/>
      <c r="AM30" s="579"/>
      <c r="AN30" s="579"/>
      <c r="AO30" s="579"/>
      <c r="AP30" s="579"/>
      <c r="AQ30" s="579"/>
      <c r="AR30" s="580"/>
      <c r="AS30" s="690"/>
      <c r="AT30" s="579"/>
      <c r="AU30" s="579"/>
      <c r="AV30" s="579"/>
      <c r="AW30" s="579"/>
      <c r="AX30" s="579"/>
      <c r="AY30" s="579"/>
      <c r="AZ30" s="579"/>
      <c r="BA30" s="579"/>
      <c r="BB30" s="579"/>
      <c r="BC30" s="580"/>
      <c r="BD30" s="690"/>
      <c r="BE30" s="579"/>
      <c r="BF30" s="579"/>
      <c r="BG30" s="579"/>
      <c r="BH30" s="579"/>
      <c r="BI30" s="579"/>
      <c r="BJ30" s="579"/>
      <c r="BK30" s="579"/>
      <c r="BL30" s="579"/>
      <c r="BM30" s="579"/>
      <c r="BN30" s="580"/>
    </row>
    <row r="31" spans="2:66">
      <c r="B31" s="579"/>
      <c r="C31" s="579"/>
      <c r="D31" s="579"/>
      <c r="E31" s="579"/>
      <c r="F31" s="579"/>
      <c r="G31" s="579"/>
      <c r="H31" s="579"/>
      <c r="I31" s="579"/>
      <c r="J31" s="579"/>
      <c r="K31" s="580"/>
      <c r="L31" s="690"/>
      <c r="M31" s="579"/>
      <c r="N31" s="579"/>
      <c r="O31" s="579"/>
      <c r="P31" s="579"/>
      <c r="Q31" s="579"/>
      <c r="R31" s="579"/>
      <c r="S31" s="579"/>
      <c r="T31" s="579"/>
      <c r="U31" s="579"/>
      <c r="V31" s="580"/>
      <c r="W31" s="690"/>
      <c r="X31" s="579"/>
      <c r="Y31" s="579"/>
      <c r="Z31" s="579"/>
      <c r="AA31" s="579"/>
      <c r="AB31" s="579"/>
      <c r="AC31" s="579"/>
      <c r="AD31" s="579"/>
      <c r="AE31" s="579"/>
      <c r="AF31" s="579"/>
      <c r="AG31" s="580"/>
      <c r="AH31" s="690"/>
      <c r="AI31" s="579"/>
      <c r="AJ31" s="579"/>
      <c r="AK31" s="579"/>
      <c r="AL31" s="579"/>
      <c r="AM31" s="579"/>
      <c r="AN31" s="579"/>
      <c r="AO31" s="579"/>
      <c r="AP31" s="579"/>
      <c r="AQ31" s="579"/>
      <c r="AR31" s="580"/>
      <c r="AS31" s="690"/>
      <c r="AT31" s="579"/>
      <c r="AU31" s="579"/>
      <c r="AV31" s="579"/>
      <c r="AW31" s="579"/>
      <c r="AX31" s="579"/>
      <c r="AY31" s="579"/>
      <c r="AZ31" s="579"/>
      <c r="BA31" s="579"/>
      <c r="BB31" s="579"/>
      <c r="BC31" s="580"/>
      <c r="BD31" s="690"/>
      <c r="BE31" s="579"/>
      <c r="BF31" s="579"/>
      <c r="BG31" s="579"/>
      <c r="BH31" s="579"/>
      <c r="BI31" s="579"/>
      <c r="BJ31" s="579"/>
      <c r="BK31" s="579"/>
      <c r="BL31" s="579"/>
      <c r="BM31" s="579"/>
      <c r="BN31" s="580"/>
    </row>
    <row r="32" spans="2:66">
      <c r="B32" s="579"/>
      <c r="C32" s="579"/>
      <c r="D32" s="579"/>
      <c r="E32" s="579"/>
      <c r="F32" s="579"/>
      <c r="G32" s="579"/>
      <c r="H32" s="579"/>
      <c r="I32" s="579"/>
      <c r="J32" s="579"/>
      <c r="K32" s="580"/>
      <c r="L32" s="690"/>
      <c r="M32" s="579"/>
      <c r="N32" s="579"/>
      <c r="O32" s="579"/>
      <c r="P32" s="579"/>
      <c r="Q32" s="579"/>
      <c r="R32" s="579"/>
      <c r="S32" s="579"/>
      <c r="T32" s="579"/>
      <c r="U32" s="579"/>
      <c r="V32" s="580"/>
      <c r="W32" s="690"/>
      <c r="X32" s="579"/>
      <c r="Y32" s="579"/>
      <c r="Z32" s="579"/>
      <c r="AA32" s="579"/>
      <c r="AB32" s="579"/>
      <c r="AC32" s="579"/>
      <c r="AD32" s="579"/>
      <c r="AE32" s="579"/>
      <c r="AF32" s="579"/>
      <c r="AG32" s="580"/>
      <c r="AH32" s="690"/>
      <c r="AI32" s="579"/>
      <c r="AJ32" s="579"/>
      <c r="AK32" s="579"/>
      <c r="AL32" s="579"/>
      <c r="AM32" s="579"/>
      <c r="AN32" s="579"/>
      <c r="AO32" s="579"/>
      <c r="AP32" s="579"/>
      <c r="AQ32" s="579"/>
      <c r="AR32" s="580"/>
      <c r="AS32" s="690"/>
      <c r="AT32" s="579"/>
      <c r="AU32" s="579"/>
      <c r="AV32" s="579"/>
      <c r="AW32" s="579"/>
      <c r="AX32" s="579"/>
      <c r="AY32" s="579"/>
      <c r="AZ32" s="579"/>
      <c r="BA32" s="579"/>
      <c r="BB32" s="579"/>
      <c r="BC32" s="580"/>
      <c r="BD32" s="690"/>
      <c r="BE32" s="579"/>
      <c r="BF32" s="579"/>
      <c r="BG32" s="579"/>
      <c r="BH32" s="579"/>
      <c r="BI32" s="579"/>
      <c r="BJ32" s="579"/>
      <c r="BK32" s="579"/>
      <c r="BL32" s="579"/>
      <c r="BM32" s="579"/>
      <c r="BN32" s="580"/>
    </row>
    <row r="33" spans="2:66">
      <c r="B33" s="579"/>
      <c r="C33" s="579"/>
      <c r="D33" s="579"/>
      <c r="E33" s="579"/>
      <c r="F33" s="579"/>
      <c r="G33" s="579"/>
      <c r="H33" s="579"/>
      <c r="I33" s="579"/>
      <c r="J33" s="579"/>
      <c r="K33" s="580"/>
      <c r="L33" s="690"/>
      <c r="M33" s="579"/>
      <c r="N33" s="579"/>
      <c r="O33" s="579"/>
      <c r="P33" s="579"/>
      <c r="Q33" s="579"/>
      <c r="R33" s="579"/>
      <c r="S33" s="579"/>
      <c r="T33" s="579"/>
      <c r="U33" s="579"/>
      <c r="V33" s="580"/>
      <c r="W33" s="690"/>
      <c r="X33" s="579"/>
      <c r="Y33" s="579"/>
      <c r="Z33" s="579"/>
      <c r="AA33" s="579"/>
      <c r="AB33" s="579"/>
      <c r="AC33" s="579"/>
      <c r="AD33" s="579"/>
      <c r="AE33" s="579"/>
      <c r="AF33" s="579"/>
      <c r="AG33" s="580"/>
      <c r="AH33" s="690"/>
      <c r="AI33" s="579"/>
      <c r="AJ33" s="579"/>
      <c r="AK33" s="579"/>
      <c r="AL33" s="579"/>
      <c r="AM33" s="579"/>
      <c r="AN33" s="579"/>
      <c r="AO33" s="579"/>
      <c r="AP33" s="579"/>
      <c r="AQ33" s="579"/>
      <c r="AR33" s="580"/>
      <c r="AS33" s="690"/>
      <c r="AT33" s="579"/>
      <c r="AU33" s="579"/>
      <c r="AV33" s="579"/>
      <c r="AW33" s="579"/>
      <c r="AX33" s="579"/>
      <c r="AY33" s="579"/>
      <c r="AZ33" s="579"/>
      <c r="BA33" s="579"/>
      <c r="BB33" s="579"/>
      <c r="BC33" s="580"/>
      <c r="BD33" s="690"/>
      <c r="BE33" s="579"/>
      <c r="BF33" s="579"/>
      <c r="BG33" s="579"/>
      <c r="BH33" s="579"/>
      <c r="BI33" s="579"/>
      <c r="BJ33" s="579"/>
      <c r="BK33" s="579"/>
      <c r="BL33" s="579"/>
      <c r="BM33" s="579"/>
      <c r="BN33" s="580"/>
    </row>
    <row r="34" spans="2:66">
      <c r="B34" s="579"/>
      <c r="C34" s="579"/>
      <c r="D34" s="579"/>
      <c r="E34" s="579"/>
      <c r="F34" s="579"/>
      <c r="G34" s="579"/>
      <c r="H34" s="579"/>
      <c r="I34" s="579"/>
      <c r="J34" s="579"/>
      <c r="K34" s="580"/>
      <c r="L34" s="690"/>
      <c r="M34" s="579"/>
      <c r="N34" s="579"/>
      <c r="O34" s="579"/>
      <c r="P34" s="579"/>
      <c r="Q34" s="579"/>
      <c r="R34" s="579"/>
      <c r="S34" s="579"/>
      <c r="T34" s="579"/>
      <c r="U34" s="579"/>
      <c r="V34" s="580"/>
      <c r="W34" s="690"/>
      <c r="X34" s="579"/>
      <c r="Y34" s="579"/>
      <c r="Z34" s="579"/>
      <c r="AA34" s="579"/>
      <c r="AB34" s="579"/>
      <c r="AC34" s="579"/>
      <c r="AD34" s="579"/>
      <c r="AE34" s="579"/>
      <c r="AF34" s="579"/>
      <c r="AG34" s="580"/>
      <c r="AH34" s="690"/>
      <c r="AI34" s="579"/>
      <c r="AJ34" s="579"/>
      <c r="AK34" s="579"/>
      <c r="AL34" s="579"/>
      <c r="AM34" s="579"/>
      <c r="AN34" s="579"/>
      <c r="AO34" s="579"/>
      <c r="AP34" s="579"/>
      <c r="AQ34" s="579"/>
      <c r="AR34" s="580"/>
      <c r="AS34" s="690"/>
      <c r="AT34" s="579"/>
      <c r="AU34" s="579"/>
      <c r="AV34" s="579"/>
      <c r="AW34" s="579"/>
      <c r="AX34" s="579"/>
      <c r="AY34" s="579"/>
      <c r="AZ34" s="579"/>
      <c r="BA34" s="579"/>
      <c r="BB34" s="579"/>
      <c r="BC34" s="580"/>
      <c r="BD34" s="690"/>
      <c r="BE34" s="579"/>
      <c r="BF34" s="579"/>
      <c r="BG34" s="579"/>
      <c r="BH34" s="579"/>
      <c r="BI34" s="579"/>
      <c r="BJ34" s="579"/>
      <c r="BK34" s="579"/>
      <c r="BL34" s="579"/>
      <c r="BM34" s="579"/>
      <c r="BN34" s="580"/>
    </row>
    <row r="35" spans="2:66">
      <c r="B35" s="579"/>
      <c r="C35" s="579"/>
      <c r="D35" s="579"/>
      <c r="E35" s="579"/>
      <c r="F35" s="579"/>
      <c r="G35" s="579"/>
      <c r="H35" s="579"/>
      <c r="I35" s="579"/>
      <c r="J35" s="579"/>
      <c r="K35" s="580"/>
      <c r="L35" s="690"/>
      <c r="M35" s="579"/>
      <c r="N35" s="579"/>
      <c r="O35" s="579"/>
      <c r="P35" s="579"/>
      <c r="Q35" s="579"/>
      <c r="R35" s="579"/>
      <c r="S35" s="579"/>
      <c r="T35" s="579"/>
      <c r="U35" s="579"/>
      <c r="V35" s="580"/>
      <c r="W35" s="690"/>
      <c r="X35" s="579"/>
      <c r="Y35" s="579"/>
      <c r="Z35" s="579"/>
      <c r="AA35" s="579"/>
      <c r="AB35" s="579"/>
      <c r="AC35" s="579"/>
      <c r="AD35" s="579"/>
      <c r="AE35" s="579"/>
      <c r="AF35" s="579"/>
      <c r="AG35" s="580"/>
      <c r="AH35" s="690"/>
      <c r="AI35" s="579"/>
      <c r="AJ35" s="579"/>
      <c r="AK35" s="579"/>
      <c r="AL35" s="579"/>
      <c r="AM35" s="579"/>
      <c r="AN35" s="579"/>
      <c r="AO35" s="579"/>
      <c r="AP35" s="579"/>
      <c r="AQ35" s="579"/>
      <c r="AR35" s="580"/>
      <c r="AS35" s="690"/>
      <c r="AT35" s="579"/>
      <c r="AU35" s="579"/>
      <c r="AV35" s="579"/>
      <c r="AW35" s="579"/>
      <c r="AX35" s="579"/>
      <c r="AY35" s="579"/>
      <c r="AZ35" s="579"/>
      <c r="BA35" s="579"/>
      <c r="BB35" s="579"/>
      <c r="BC35" s="580"/>
      <c r="BD35" s="690"/>
      <c r="BE35" s="579"/>
      <c r="BF35" s="579"/>
      <c r="BG35" s="579"/>
      <c r="BH35" s="579"/>
      <c r="BI35" s="579"/>
      <c r="BJ35" s="579"/>
      <c r="BK35" s="579"/>
      <c r="BL35" s="579"/>
      <c r="BM35" s="579"/>
      <c r="BN35" s="580"/>
    </row>
    <row r="36" spans="2:66" ht="15.75" thickBot="1">
      <c r="B36" s="691"/>
      <c r="C36" s="700">
        <f t="shared" ref="C36:K36" si="12">SUM(C17:C35)</f>
        <v>77896</v>
      </c>
      <c r="D36" s="700">
        <f t="shared" si="12"/>
        <v>18561</v>
      </c>
      <c r="E36" s="700">
        <f t="shared" si="12"/>
        <v>30590</v>
      </c>
      <c r="F36" s="700">
        <f t="shared" si="12"/>
        <v>16721</v>
      </c>
      <c r="G36" s="700">
        <f t="shared" si="12"/>
        <v>19232</v>
      </c>
      <c r="H36" s="700">
        <f t="shared" si="12"/>
        <v>17960</v>
      </c>
      <c r="I36" s="700">
        <f t="shared" si="12"/>
        <v>45509</v>
      </c>
      <c r="J36" s="700">
        <f t="shared" si="12"/>
        <v>0</v>
      </c>
      <c r="K36" s="700">
        <f t="shared" si="12"/>
        <v>0</v>
      </c>
      <c r="L36" s="692"/>
      <c r="M36" s="691"/>
      <c r="N36" s="700">
        <f t="shared" ref="N36:V36" si="13">SUM(N17:N35)</f>
        <v>0</v>
      </c>
      <c r="O36" s="700">
        <f t="shared" si="13"/>
        <v>0</v>
      </c>
      <c r="P36" s="700">
        <f t="shared" si="13"/>
        <v>0</v>
      </c>
      <c r="Q36" s="700">
        <f t="shared" si="13"/>
        <v>0</v>
      </c>
      <c r="R36" s="700">
        <f t="shared" si="13"/>
        <v>0</v>
      </c>
      <c r="S36" s="700">
        <f t="shared" si="13"/>
        <v>0</v>
      </c>
      <c r="T36" s="700">
        <f t="shared" si="13"/>
        <v>0</v>
      </c>
      <c r="U36" s="700">
        <f t="shared" si="13"/>
        <v>0</v>
      </c>
      <c r="V36" s="700">
        <f t="shared" si="13"/>
        <v>0</v>
      </c>
      <c r="W36" s="690"/>
      <c r="X36" s="700">
        <f t="shared" ref="X36:AG36" si="14">SUM(X17:X35)</f>
        <v>0</v>
      </c>
      <c r="Y36" s="700">
        <f t="shared" si="14"/>
        <v>0</v>
      </c>
      <c r="Z36" s="700">
        <f t="shared" si="14"/>
        <v>0</v>
      </c>
      <c r="AA36" s="700">
        <f t="shared" si="14"/>
        <v>0</v>
      </c>
      <c r="AB36" s="700">
        <f t="shared" si="14"/>
        <v>0</v>
      </c>
      <c r="AC36" s="700">
        <f t="shared" si="14"/>
        <v>0</v>
      </c>
      <c r="AD36" s="700">
        <f t="shared" si="14"/>
        <v>0</v>
      </c>
      <c r="AE36" s="700">
        <f t="shared" si="14"/>
        <v>0</v>
      </c>
      <c r="AF36" s="700">
        <f t="shared" si="14"/>
        <v>0</v>
      </c>
      <c r="AG36" s="700">
        <f t="shared" si="14"/>
        <v>0</v>
      </c>
      <c r="AH36" s="690"/>
      <c r="AI36" s="693"/>
      <c r="AJ36" s="700">
        <f t="shared" ref="AJ36:AR36" si="15">SUM(AJ17:AJ35)</f>
        <v>0</v>
      </c>
      <c r="AK36" s="700">
        <f t="shared" si="15"/>
        <v>0</v>
      </c>
      <c r="AL36" s="700">
        <f t="shared" si="15"/>
        <v>0</v>
      </c>
      <c r="AM36" s="700">
        <f t="shared" si="15"/>
        <v>0</v>
      </c>
      <c r="AN36" s="700">
        <f t="shared" si="15"/>
        <v>0</v>
      </c>
      <c r="AO36" s="700">
        <f t="shared" si="15"/>
        <v>0</v>
      </c>
      <c r="AP36" s="700">
        <f t="shared" si="15"/>
        <v>0</v>
      </c>
      <c r="AQ36" s="700">
        <f t="shared" si="15"/>
        <v>0</v>
      </c>
      <c r="AR36" s="700">
        <f t="shared" si="15"/>
        <v>0</v>
      </c>
      <c r="AS36" s="690"/>
      <c r="AT36" s="693"/>
      <c r="AU36" s="700">
        <f t="shared" ref="AU36:BC36" si="16">SUM(AU17:AU35)</f>
        <v>0</v>
      </c>
      <c r="AV36" s="700">
        <f t="shared" si="16"/>
        <v>0</v>
      </c>
      <c r="AW36" s="700">
        <f t="shared" si="16"/>
        <v>0</v>
      </c>
      <c r="AX36" s="700">
        <f t="shared" si="16"/>
        <v>0</v>
      </c>
      <c r="AY36" s="700">
        <f t="shared" si="16"/>
        <v>0</v>
      </c>
      <c r="AZ36" s="700">
        <f t="shared" si="16"/>
        <v>0</v>
      </c>
      <c r="BA36" s="700">
        <f t="shared" si="16"/>
        <v>0</v>
      </c>
      <c r="BB36" s="700">
        <f t="shared" si="16"/>
        <v>0</v>
      </c>
      <c r="BC36" s="700">
        <f t="shared" si="16"/>
        <v>0</v>
      </c>
      <c r="BD36" s="690"/>
      <c r="BE36" s="693"/>
      <c r="BF36" s="700">
        <f t="shared" ref="BF36:BN36" si="17">SUM(BF17:BF35)</f>
        <v>0</v>
      </c>
      <c r="BG36" s="700">
        <f t="shared" si="17"/>
        <v>0</v>
      </c>
      <c r="BH36" s="700">
        <f t="shared" si="17"/>
        <v>0</v>
      </c>
      <c r="BI36" s="700">
        <f t="shared" si="17"/>
        <v>0</v>
      </c>
      <c r="BJ36" s="700">
        <f t="shared" si="17"/>
        <v>0</v>
      </c>
      <c r="BK36" s="700">
        <f t="shared" si="17"/>
        <v>0</v>
      </c>
      <c r="BL36" s="700">
        <f t="shared" si="17"/>
        <v>0</v>
      </c>
      <c r="BM36" s="700">
        <f t="shared" si="17"/>
        <v>0</v>
      </c>
      <c r="BN36" s="700">
        <f t="shared" si="17"/>
        <v>0</v>
      </c>
    </row>
    <row r="37" spans="2:66" ht="15.75" thickTop="1">
      <c r="L37" s="694"/>
      <c r="W37" s="690"/>
      <c r="AH37" s="690"/>
      <c r="AS37" s="690"/>
      <c r="BD37" s="690"/>
    </row>
    <row r="38" spans="2:66" ht="15.75" thickBot="1">
      <c r="B38" s="695" t="s">
        <v>639</v>
      </c>
      <c r="C38" s="581">
        <v>1</v>
      </c>
      <c r="I38" s="695" t="s">
        <v>80</v>
      </c>
      <c r="J38" s="701">
        <f>IFERROR((IFERROR((SUM(C36:J36))/K38,0)*C38)+K36,"")</f>
        <v>32352.714285714286</v>
      </c>
      <c r="K38" s="702">
        <f>COUNTIF(C36:J36,"&gt;0")</f>
        <v>7</v>
      </c>
      <c r="L38" s="694"/>
      <c r="M38" s="695" t="s">
        <v>639</v>
      </c>
      <c r="N38" s="581">
        <v>1</v>
      </c>
      <c r="T38" s="695" t="s">
        <v>80</v>
      </c>
      <c r="U38" s="701">
        <f>IFERROR((IFERROR((SUM(N36:U36))/V38,0)*N38)+V36,"")</f>
        <v>0</v>
      </c>
      <c r="V38" s="702">
        <f>COUNTIF(N36:U36,"&gt;0")</f>
        <v>0</v>
      </c>
      <c r="W38" s="690"/>
      <c r="X38" s="695" t="s">
        <v>639</v>
      </c>
      <c r="Y38" s="581">
        <v>1</v>
      </c>
      <c r="AE38" s="695" t="s">
        <v>80</v>
      </c>
      <c r="AF38" s="701">
        <f>IFERROR((IFERROR((SUM(Y36:AF36))/AG38,0)*Y38)+AG36,"")</f>
        <v>0</v>
      </c>
      <c r="AG38" s="702">
        <f>COUNTIF(Y36:AF36,"&gt;0")</f>
        <v>0</v>
      </c>
      <c r="AH38" s="690"/>
      <c r="AI38" s="695" t="s">
        <v>639</v>
      </c>
      <c r="AJ38" s="581">
        <v>1</v>
      </c>
      <c r="AP38" s="695" t="s">
        <v>80</v>
      </c>
      <c r="AQ38" s="701">
        <f>IFERROR((IFERROR((SUM(AJ36:AQ36))/AR38,0)*AJ38)+AR36,"")</f>
        <v>0</v>
      </c>
      <c r="AR38" s="702">
        <f>COUNTIF(AJ36:AQ36,"&gt;0")</f>
        <v>0</v>
      </c>
      <c r="AS38" s="690"/>
      <c r="AT38" s="695" t="s">
        <v>639</v>
      </c>
      <c r="AU38" s="581">
        <v>1</v>
      </c>
      <c r="BA38" s="695" t="s">
        <v>80</v>
      </c>
      <c r="BB38" s="701">
        <f>IFERROR((IFERROR((SUM(AU36:BB36))/BC38,0)*AU38)+BC36,"")</f>
        <v>0</v>
      </c>
      <c r="BC38" s="702">
        <f>COUNTIF(AU36:BB36,"&gt;0")</f>
        <v>0</v>
      </c>
      <c r="BD38" s="690"/>
      <c r="BE38" s="695" t="s">
        <v>639</v>
      </c>
      <c r="BF38" s="581">
        <v>1</v>
      </c>
      <c r="BL38" s="695" t="s">
        <v>80</v>
      </c>
      <c r="BM38" s="701">
        <f>IFERROR((IFERROR((SUM(BF36:BM36))/BN38,0)*BF38)+BN36,"")</f>
        <v>0</v>
      </c>
      <c r="BN38" s="702">
        <f>COUNTIF(BF36:BM36,"&gt;0")</f>
        <v>0</v>
      </c>
    </row>
    <row r="39" spans="2:66" ht="15.75" thickTop="1">
      <c r="L39" s="694"/>
      <c r="W39" s="692"/>
      <c r="AH39" s="690"/>
      <c r="AS39" s="690"/>
      <c r="BD39" s="690"/>
    </row>
    <row r="40" spans="2:66">
      <c r="L40" s="694"/>
      <c r="W40" s="694"/>
      <c r="AH40" s="690"/>
      <c r="AS40" s="690"/>
      <c r="BD40" s="690"/>
    </row>
    <row r="41" spans="2:66" outlineLevel="1">
      <c r="L41" s="694"/>
      <c r="W41" s="694"/>
      <c r="AH41" s="690"/>
      <c r="AS41" s="690"/>
      <c r="BD41" s="690"/>
    </row>
    <row r="42" spans="2:66" ht="24.75" outlineLevel="1">
      <c r="B42" s="589" t="s">
        <v>641</v>
      </c>
      <c r="C42" s="584" t="s">
        <v>642</v>
      </c>
      <c r="D42" s="584" t="s">
        <v>643</v>
      </c>
      <c r="E42" s="584" t="s">
        <v>649</v>
      </c>
      <c r="L42" s="694"/>
      <c r="W42" s="694"/>
      <c r="AH42" s="690"/>
      <c r="AS42" s="690"/>
      <c r="AT42" s="589" t="s">
        <v>641</v>
      </c>
      <c r="AU42" s="584" t="s">
        <v>642</v>
      </c>
      <c r="AV42" s="584" t="s">
        <v>643</v>
      </c>
      <c r="AW42" s="584" t="s">
        <v>649</v>
      </c>
      <c r="AX42" s="839" t="s">
        <v>793</v>
      </c>
      <c r="BD42" s="690"/>
      <c r="BE42" s="589" t="s">
        <v>641</v>
      </c>
      <c r="BF42" s="584" t="s">
        <v>642</v>
      </c>
      <c r="BG42" s="584" t="s">
        <v>643</v>
      </c>
      <c r="BH42" s="584" t="s">
        <v>649</v>
      </c>
    </row>
    <row r="43" spans="2:66" outlineLevel="1">
      <c r="B43" s="585" t="s">
        <v>650</v>
      </c>
      <c r="C43" s="582"/>
      <c r="D43" s="582"/>
      <c r="E43" s="582"/>
      <c r="L43" s="694"/>
      <c r="W43" s="694"/>
      <c r="AH43" s="692"/>
      <c r="AS43" s="692"/>
      <c r="AT43" s="585" t="s">
        <v>650</v>
      </c>
      <c r="AU43" s="582"/>
      <c r="AV43" s="582"/>
      <c r="AW43" s="582"/>
      <c r="AX43" s="582" t="str">
        <f>IFERROR(AVERAGE(AU43:AW43),"")</f>
        <v/>
      </c>
      <c r="BD43" s="692"/>
      <c r="BE43" s="585" t="s">
        <v>650</v>
      </c>
      <c r="BF43" s="582"/>
      <c r="BG43" s="582"/>
      <c r="BH43" s="582"/>
    </row>
    <row r="44" spans="2:66" outlineLevel="1">
      <c r="B44" s="585" t="s">
        <v>651</v>
      </c>
      <c r="C44" s="582"/>
      <c r="D44" s="582"/>
      <c r="E44" s="582"/>
      <c r="L44" s="694"/>
      <c r="W44" s="694"/>
      <c r="AH44" s="694"/>
      <c r="AS44" s="694"/>
      <c r="AT44" s="585" t="s">
        <v>651</v>
      </c>
      <c r="AU44" s="582"/>
      <c r="AV44" s="582"/>
      <c r="AW44" s="582"/>
      <c r="AX44" s="582" t="str">
        <f t="shared" ref="AX44:AX70" si="18">IFERROR(AVERAGE(AU44:AW44),"")</f>
        <v/>
      </c>
      <c r="BD44" s="694"/>
      <c r="BE44" s="585" t="s">
        <v>651</v>
      </c>
      <c r="BF44" s="582"/>
      <c r="BG44" s="582"/>
      <c r="BH44" s="582"/>
    </row>
    <row r="45" spans="2:66" outlineLevel="1">
      <c r="B45" s="586"/>
      <c r="C45" s="583"/>
      <c r="D45" s="583"/>
      <c r="E45" s="583"/>
      <c r="L45" s="694"/>
      <c r="W45" s="694"/>
      <c r="AH45" s="694"/>
      <c r="AS45" s="694"/>
      <c r="AT45" s="586"/>
      <c r="AU45" s="583"/>
      <c r="AV45" s="583"/>
      <c r="AW45" s="583"/>
      <c r="AX45" s="583" t="str">
        <f t="shared" si="18"/>
        <v/>
      </c>
      <c r="BD45" s="694"/>
      <c r="BE45" s="586"/>
      <c r="BF45" s="583"/>
      <c r="BG45" s="583"/>
      <c r="BH45" s="583"/>
    </row>
    <row r="46" spans="2:66" outlineLevel="1">
      <c r="B46" s="590" t="s">
        <v>652</v>
      </c>
      <c r="C46" s="703">
        <f>IFERROR(C43+C44,"")</f>
        <v>0</v>
      </c>
      <c r="D46" s="703">
        <f>IFERROR(D43+D44,"")</f>
        <v>0</v>
      </c>
      <c r="E46" s="703">
        <f>IFERROR(E43+E44,"")</f>
        <v>0</v>
      </c>
      <c r="L46" s="694"/>
      <c r="W46" s="694"/>
      <c r="AH46" s="694"/>
      <c r="AS46" s="694"/>
      <c r="AT46" s="590" t="s">
        <v>652</v>
      </c>
      <c r="AU46" s="703">
        <f>IFERROR(AU43+AU44,"")</f>
        <v>0</v>
      </c>
      <c r="AV46" s="703">
        <f>IFERROR(AV43+AV44,"")</f>
        <v>0</v>
      </c>
      <c r="AW46" s="703">
        <f>IFERROR(AW43+AW44,"")</f>
        <v>0</v>
      </c>
      <c r="AX46" s="703">
        <f t="shared" si="18"/>
        <v>0</v>
      </c>
      <c r="BD46" s="694"/>
      <c r="BE46" s="590" t="s">
        <v>652</v>
      </c>
      <c r="BF46" s="703">
        <f>IFERROR(BF43+BF44,"")</f>
        <v>0</v>
      </c>
      <c r="BG46" s="703">
        <f>IFERROR(BG43+BG44,"")</f>
        <v>0</v>
      </c>
      <c r="BH46" s="703">
        <f>IFERROR(BH43+BH44,"")</f>
        <v>0</v>
      </c>
    </row>
    <row r="47" spans="2:66" outlineLevel="1">
      <c r="B47" s="587"/>
      <c r="C47" s="588"/>
      <c r="D47" s="588"/>
      <c r="E47" s="588"/>
      <c r="L47" s="694"/>
      <c r="W47" s="694"/>
      <c r="AH47" s="694"/>
      <c r="AS47" s="694"/>
      <c r="AT47" s="587"/>
      <c r="AU47" s="588"/>
      <c r="AV47" s="588"/>
      <c r="AW47" s="588"/>
      <c r="AX47" s="588" t="str">
        <f t="shared" si="18"/>
        <v/>
      </c>
      <c r="BD47" s="694"/>
      <c r="BE47" s="587"/>
      <c r="BF47" s="588"/>
      <c r="BG47" s="588"/>
      <c r="BH47" s="588"/>
    </row>
    <row r="48" spans="2:66" outlineLevel="1">
      <c r="B48" s="585" t="s">
        <v>654</v>
      </c>
      <c r="C48" s="582"/>
      <c r="D48" s="582"/>
      <c r="E48" s="582"/>
      <c r="L48" s="694"/>
      <c r="W48" s="694"/>
      <c r="AH48" s="694"/>
      <c r="AS48" s="694"/>
      <c r="AT48" s="585" t="s">
        <v>654</v>
      </c>
      <c r="AU48" s="582"/>
      <c r="AV48" s="582"/>
      <c r="AW48" s="582"/>
      <c r="AX48" s="582" t="str">
        <f t="shared" si="18"/>
        <v/>
      </c>
      <c r="BD48" s="694"/>
      <c r="BE48" s="585" t="s">
        <v>654</v>
      </c>
      <c r="BF48" s="582"/>
      <c r="BG48" s="582"/>
      <c r="BH48" s="582"/>
    </row>
    <row r="49" spans="2:60" outlineLevel="1">
      <c r="B49" s="585"/>
      <c r="C49" s="582"/>
      <c r="D49" s="582"/>
      <c r="E49" s="582"/>
      <c r="L49" s="694"/>
      <c r="W49" s="694"/>
      <c r="AH49" s="694"/>
      <c r="AS49" s="694"/>
      <c r="AT49" s="585"/>
      <c r="AU49" s="582"/>
      <c r="AV49" s="582"/>
      <c r="AW49" s="582"/>
      <c r="AX49" s="582" t="str">
        <f t="shared" si="18"/>
        <v/>
      </c>
      <c r="BD49" s="694"/>
      <c r="BE49" s="585"/>
      <c r="BF49" s="582"/>
      <c r="BG49" s="582"/>
      <c r="BH49" s="582"/>
    </row>
    <row r="50" spans="2:60" outlineLevel="1">
      <c r="B50" s="590" t="s">
        <v>653</v>
      </c>
      <c r="C50" s="703">
        <f>IFERROR(C46+C48,"")</f>
        <v>0</v>
      </c>
      <c r="D50" s="703">
        <f>IFERROR(D46+D48,"")</f>
        <v>0</v>
      </c>
      <c r="E50" s="703">
        <f>IFERROR(E46+E48,"")</f>
        <v>0</v>
      </c>
      <c r="L50" s="694"/>
      <c r="W50" s="694"/>
      <c r="AH50" s="694"/>
      <c r="AS50" s="694"/>
      <c r="AT50" s="590" t="s">
        <v>653</v>
      </c>
      <c r="AU50" s="703">
        <f>IFERROR(AU46+AU48,"")</f>
        <v>0</v>
      </c>
      <c r="AV50" s="703">
        <f>IFERROR(AV46+AV48,"")</f>
        <v>0</v>
      </c>
      <c r="AW50" s="703">
        <f>IFERROR(AW46+AW48,"")</f>
        <v>0</v>
      </c>
      <c r="AX50" s="703">
        <f t="shared" si="18"/>
        <v>0</v>
      </c>
      <c r="BD50" s="694"/>
      <c r="BE50" s="590" t="s">
        <v>653</v>
      </c>
      <c r="BF50" s="703">
        <f>IFERROR(BF46+BF48,"")</f>
        <v>0</v>
      </c>
      <c r="BG50" s="703">
        <f>IFERROR(BG46+BG48,"")</f>
        <v>0</v>
      </c>
      <c r="BH50" s="703">
        <f>IFERROR(BH46+BH48,"")</f>
        <v>0</v>
      </c>
    </row>
    <row r="51" spans="2:60" outlineLevel="1">
      <c r="B51" s="585"/>
      <c r="C51" s="582"/>
      <c r="D51" s="582"/>
      <c r="E51" s="582"/>
      <c r="L51" s="694"/>
      <c r="W51" s="694"/>
      <c r="AH51" s="694"/>
      <c r="AS51" s="694"/>
      <c r="AT51" s="585"/>
      <c r="AU51" s="582"/>
      <c r="AV51" s="582"/>
      <c r="AW51" s="582"/>
      <c r="AX51" s="582" t="str">
        <f t="shared" si="18"/>
        <v/>
      </c>
      <c r="BD51" s="694"/>
      <c r="BE51" s="585"/>
      <c r="BF51" s="582"/>
      <c r="BG51" s="582"/>
      <c r="BH51" s="582"/>
    </row>
    <row r="52" spans="2:60" outlineLevel="1">
      <c r="B52" s="585" t="s">
        <v>655</v>
      </c>
      <c r="C52" s="582"/>
      <c r="D52" s="582"/>
      <c r="E52" s="582"/>
      <c r="L52" s="694"/>
      <c r="W52" s="694"/>
      <c r="AH52" s="694"/>
      <c r="AS52" s="694"/>
      <c r="AT52" s="585" t="s">
        <v>655</v>
      </c>
      <c r="AU52" s="582"/>
      <c r="AV52" s="582"/>
      <c r="AW52" s="582"/>
      <c r="AX52" s="582" t="str">
        <f t="shared" si="18"/>
        <v/>
      </c>
      <c r="BD52" s="694"/>
      <c r="BE52" s="585" t="s">
        <v>655</v>
      </c>
      <c r="BF52" s="582"/>
      <c r="BG52" s="582"/>
      <c r="BH52" s="582"/>
    </row>
    <row r="53" spans="2:60" outlineLevel="1">
      <c r="B53" s="585"/>
      <c r="C53" s="582"/>
      <c r="D53" s="582"/>
      <c r="E53" s="582"/>
      <c r="L53" s="694"/>
      <c r="W53" s="694"/>
      <c r="AH53" s="694"/>
      <c r="AS53" s="694"/>
      <c r="AT53" s="585"/>
      <c r="AU53" s="582"/>
      <c r="AV53" s="582"/>
      <c r="AW53" s="582"/>
      <c r="AX53" s="582" t="str">
        <f t="shared" si="18"/>
        <v/>
      </c>
      <c r="BD53" s="694"/>
      <c r="BE53" s="585"/>
      <c r="BF53" s="582"/>
      <c r="BG53" s="582"/>
      <c r="BH53" s="582"/>
    </row>
    <row r="54" spans="2:60" outlineLevel="1">
      <c r="B54" s="590" t="s">
        <v>656</v>
      </c>
      <c r="C54" s="703">
        <f>IFERROR(C50+C52,"")</f>
        <v>0</v>
      </c>
      <c r="D54" s="703">
        <f>IFERROR(D50+D52,"")</f>
        <v>0</v>
      </c>
      <c r="E54" s="703">
        <f>IFERROR(E50+E52,"")</f>
        <v>0</v>
      </c>
      <c r="L54" s="694"/>
      <c r="W54" s="694"/>
      <c r="AH54" s="694"/>
      <c r="AS54" s="694"/>
      <c r="AT54" s="590" t="s">
        <v>656</v>
      </c>
      <c r="AU54" s="703">
        <f>IFERROR(AU50+AU52,"")</f>
        <v>0</v>
      </c>
      <c r="AV54" s="703">
        <f>IFERROR(AV50+AV52,"")</f>
        <v>0</v>
      </c>
      <c r="AW54" s="703">
        <f>IFERROR(AW50+AW52,"")</f>
        <v>0</v>
      </c>
      <c r="AX54" s="703">
        <f t="shared" si="18"/>
        <v>0</v>
      </c>
      <c r="BD54" s="694"/>
      <c r="BE54" s="590" t="s">
        <v>656</v>
      </c>
      <c r="BF54" s="703">
        <f>IFERROR(BF50+BF52,"")</f>
        <v>0</v>
      </c>
      <c r="BG54" s="703">
        <f>IFERROR(BG50+BG52,"")</f>
        <v>0</v>
      </c>
      <c r="BH54" s="703">
        <f>IFERROR(BH50+BH52,"")</f>
        <v>0</v>
      </c>
    </row>
    <row r="55" spans="2:60" outlineLevel="1">
      <c r="B55" s="587"/>
      <c r="C55" s="588"/>
      <c r="D55" s="588"/>
      <c r="E55" s="588"/>
      <c r="L55" s="694"/>
      <c r="W55" s="694"/>
      <c r="AH55" s="694"/>
      <c r="AS55" s="694"/>
      <c r="AT55" s="587"/>
      <c r="AU55" s="588"/>
      <c r="AV55" s="588"/>
      <c r="AW55" s="588"/>
      <c r="AX55" s="588" t="str">
        <f t="shared" si="18"/>
        <v/>
      </c>
      <c r="BD55" s="694"/>
      <c r="BE55" s="587"/>
      <c r="BF55" s="588"/>
      <c r="BG55" s="588"/>
      <c r="BH55" s="588"/>
    </row>
    <row r="56" spans="2:60" outlineLevel="1">
      <c r="B56" s="586" t="s">
        <v>644</v>
      </c>
      <c r="C56" s="583"/>
      <c r="D56" s="583"/>
      <c r="E56" s="583"/>
      <c r="L56" s="694"/>
      <c r="W56" s="694"/>
      <c r="AH56" s="694"/>
      <c r="AS56" s="694"/>
      <c r="AT56" s="586" t="s">
        <v>644</v>
      </c>
      <c r="AU56" s="583"/>
      <c r="AV56" s="583"/>
      <c r="AW56" s="583"/>
      <c r="AX56" s="583" t="str">
        <f t="shared" si="18"/>
        <v/>
      </c>
      <c r="BD56" s="694"/>
      <c r="BE56" s="586" t="s">
        <v>644</v>
      </c>
      <c r="BF56" s="583"/>
      <c r="BG56" s="583"/>
      <c r="BH56" s="583"/>
    </row>
    <row r="57" spans="2:60" outlineLevel="1">
      <c r="B57" s="591" t="s">
        <v>645</v>
      </c>
      <c r="C57" s="704">
        <f>C54+C56</f>
        <v>0</v>
      </c>
      <c r="D57" s="704">
        <f>D54+D56</f>
        <v>0</v>
      </c>
      <c r="E57" s="704">
        <f>E54+E56</f>
        <v>0</v>
      </c>
      <c r="L57" s="694"/>
      <c r="W57" s="694"/>
      <c r="AH57" s="694"/>
      <c r="AS57" s="694"/>
      <c r="AT57" s="591" t="s">
        <v>645</v>
      </c>
      <c r="AU57" s="704">
        <f>AU54+AU56</f>
        <v>0</v>
      </c>
      <c r="AV57" s="704">
        <f>AV54+AV56</f>
        <v>0</v>
      </c>
      <c r="AW57" s="704">
        <f>AW54+AW56</f>
        <v>0</v>
      </c>
      <c r="AX57" s="704">
        <f t="shared" si="18"/>
        <v>0</v>
      </c>
      <c r="BD57" s="694"/>
      <c r="BE57" s="591" t="s">
        <v>645</v>
      </c>
      <c r="BF57" s="704">
        <f>BF54+BF56</f>
        <v>0</v>
      </c>
      <c r="BG57" s="704">
        <f>BG54+BG56</f>
        <v>0</v>
      </c>
      <c r="BH57" s="704">
        <f>BH54+BH56</f>
        <v>0</v>
      </c>
    </row>
    <row r="58" spans="2:60" outlineLevel="1">
      <c r="B58" s="592" t="s">
        <v>661</v>
      </c>
      <c r="C58" s="705" t="str">
        <f>IFERROR(C57/C50,"-")</f>
        <v>-</v>
      </c>
      <c r="D58" s="705" t="str">
        <f>IFERROR(D57/D50,"-")</f>
        <v>-</v>
      </c>
      <c r="E58" s="705" t="str">
        <f>IFERROR(E57/E50,"-")</f>
        <v>-</v>
      </c>
      <c r="L58" s="694"/>
      <c r="W58" s="694"/>
      <c r="AH58" s="694"/>
      <c r="AS58" s="694"/>
      <c r="AT58" s="592" t="s">
        <v>661</v>
      </c>
      <c r="AU58" s="705" t="str">
        <f>IFERROR(AU57/AU50,"-")</f>
        <v>-</v>
      </c>
      <c r="AV58" s="705" t="str">
        <f>IFERROR(AV57/AV50,"-")</f>
        <v>-</v>
      </c>
      <c r="AW58" s="705" t="str">
        <f>IFERROR(AW57/AW50,"-")</f>
        <v>-</v>
      </c>
      <c r="AX58" s="705" t="str">
        <f t="shared" si="18"/>
        <v/>
      </c>
      <c r="BD58" s="694"/>
      <c r="BE58" s="592" t="s">
        <v>661</v>
      </c>
      <c r="BF58" s="705" t="str">
        <f>IFERROR(BF57/BF50,"-")</f>
        <v>-</v>
      </c>
      <c r="BG58" s="705" t="str">
        <f>IFERROR(BG57/BG50,"-")</f>
        <v>-</v>
      </c>
      <c r="BH58" s="705" t="str">
        <f>IFERROR(BH57/BH50,"-")</f>
        <v>-</v>
      </c>
    </row>
    <row r="59" spans="2:60" outlineLevel="1">
      <c r="B59" s="586" t="s">
        <v>646</v>
      </c>
      <c r="C59" s="583"/>
      <c r="D59" s="583"/>
      <c r="E59" s="583"/>
      <c r="L59" s="694"/>
      <c r="W59" s="694"/>
      <c r="AH59" s="694"/>
      <c r="AS59" s="694"/>
      <c r="AT59" s="586" t="s">
        <v>646</v>
      </c>
      <c r="AU59" s="583"/>
      <c r="AV59" s="583"/>
      <c r="AW59" s="583"/>
      <c r="AX59" s="583" t="str">
        <f t="shared" si="18"/>
        <v/>
      </c>
      <c r="BD59" s="694"/>
      <c r="BE59" s="586" t="s">
        <v>646</v>
      </c>
      <c r="BF59" s="583"/>
      <c r="BG59" s="583"/>
      <c r="BH59" s="583"/>
    </row>
    <row r="60" spans="2:60" outlineLevel="1">
      <c r="B60" s="591" t="s">
        <v>647</v>
      </c>
      <c r="C60" s="704">
        <f>C57+C59</f>
        <v>0</v>
      </c>
      <c r="D60" s="704">
        <f>D57+D59</f>
        <v>0</v>
      </c>
      <c r="E60" s="704">
        <f>E57+E59</f>
        <v>0</v>
      </c>
      <c r="L60" s="694"/>
      <c r="W60" s="694"/>
      <c r="AH60" s="694"/>
      <c r="AS60" s="694"/>
      <c r="AT60" s="591" t="s">
        <v>647</v>
      </c>
      <c r="AU60" s="704">
        <f>AU57+AU59</f>
        <v>0</v>
      </c>
      <c r="AV60" s="704">
        <f>AV57+AV59</f>
        <v>0</v>
      </c>
      <c r="AW60" s="704">
        <f>AW57+AW59</f>
        <v>0</v>
      </c>
      <c r="AX60" s="704">
        <f t="shared" si="18"/>
        <v>0</v>
      </c>
      <c r="BD60" s="694"/>
      <c r="BE60" s="591" t="s">
        <v>647</v>
      </c>
      <c r="BF60" s="704">
        <f>BF57+BF59</f>
        <v>0</v>
      </c>
      <c r="BG60" s="704">
        <f>BG57+BG59</f>
        <v>0</v>
      </c>
      <c r="BH60" s="704">
        <f>BH57+BH59</f>
        <v>0</v>
      </c>
    </row>
    <row r="61" spans="2:60" outlineLevel="1">
      <c r="B61" s="585"/>
      <c r="C61" s="582"/>
      <c r="D61" s="582"/>
      <c r="E61" s="582"/>
      <c r="L61" s="694"/>
      <c r="W61" s="694"/>
      <c r="AH61" s="694"/>
      <c r="AS61" s="694"/>
      <c r="AT61" s="585"/>
      <c r="AU61" s="582"/>
      <c r="AV61" s="582"/>
      <c r="AW61" s="582"/>
      <c r="AX61" s="582" t="str">
        <f t="shared" si="18"/>
        <v/>
      </c>
      <c r="BD61" s="694"/>
      <c r="BE61" s="585"/>
      <c r="BF61" s="582"/>
      <c r="BG61" s="582"/>
      <c r="BH61" s="582"/>
    </row>
    <row r="62" spans="2:60" outlineLevel="1">
      <c r="B62" s="585" t="s">
        <v>657</v>
      </c>
      <c r="C62" s="582"/>
      <c r="D62" s="582"/>
      <c r="E62" s="582"/>
      <c r="L62" s="694"/>
      <c r="W62" s="694"/>
      <c r="AH62" s="694"/>
      <c r="AS62" s="694"/>
      <c r="AT62" s="585" t="s">
        <v>657</v>
      </c>
      <c r="AU62" s="582"/>
      <c r="AV62" s="582"/>
      <c r="AW62" s="582"/>
      <c r="AX62" s="582" t="str">
        <f t="shared" si="18"/>
        <v/>
      </c>
      <c r="BD62" s="694"/>
      <c r="BE62" s="585" t="s">
        <v>657</v>
      </c>
      <c r="BF62" s="582"/>
      <c r="BG62" s="582"/>
      <c r="BH62" s="582"/>
    </row>
    <row r="63" spans="2:60" outlineLevel="1">
      <c r="B63" s="585" t="s">
        <v>658</v>
      </c>
      <c r="C63" s="582"/>
      <c r="D63" s="582"/>
      <c r="E63" s="582"/>
      <c r="L63" s="694"/>
      <c r="W63" s="694"/>
      <c r="AH63" s="694"/>
      <c r="AS63" s="694"/>
      <c r="AT63" s="585" t="s">
        <v>658</v>
      </c>
      <c r="AU63" s="582"/>
      <c r="AV63" s="582"/>
      <c r="AW63" s="582"/>
      <c r="AX63" s="582" t="str">
        <f t="shared" si="18"/>
        <v/>
      </c>
      <c r="BD63" s="694"/>
      <c r="BE63" s="585" t="s">
        <v>658</v>
      </c>
      <c r="BF63" s="582"/>
      <c r="BG63" s="582"/>
      <c r="BH63" s="582"/>
    </row>
    <row r="64" spans="2:60" outlineLevel="1">
      <c r="B64" s="586"/>
      <c r="C64" s="583"/>
      <c r="D64" s="583"/>
      <c r="E64" s="583"/>
      <c r="L64" s="694"/>
      <c r="W64" s="694"/>
      <c r="AH64" s="694"/>
      <c r="AS64" s="694"/>
      <c r="AT64" s="586"/>
      <c r="AU64" s="583"/>
      <c r="AV64" s="583"/>
      <c r="AW64" s="583"/>
      <c r="AX64" s="583" t="str">
        <f t="shared" si="18"/>
        <v/>
      </c>
      <c r="BD64" s="694"/>
      <c r="BE64" s="586"/>
      <c r="BF64" s="583"/>
      <c r="BG64" s="583"/>
      <c r="BH64" s="583"/>
    </row>
    <row r="65" spans="2:60" outlineLevel="1">
      <c r="B65" s="591" t="s">
        <v>648</v>
      </c>
      <c r="C65" s="704">
        <f>C60+C62+C63</f>
        <v>0</v>
      </c>
      <c r="D65" s="704">
        <f>D60+D62+D63</f>
        <v>0</v>
      </c>
      <c r="E65" s="704">
        <f>E60+E62+E63</f>
        <v>0</v>
      </c>
      <c r="L65" s="694"/>
      <c r="W65" s="694"/>
      <c r="AH65" s="694"/>
      <c r="AS65" s="694"/>
      <c r="AT65" s="591" t="s">
        <v>648</v>
      </c>
      <c r="AU65" s="704">
        <f>AU60+AU62+AU63</f>
        <v>0</v>
      </c>
      <c r="AV65" s="704">
        <f>AV60+AV62+AV63</f>
        <v>0</v>
      </c>
      <c r="AW65" s="704">
        <f>AW60+AW62+AW63</f>
        <v>0</v>
      </c>
      <c r="AX65" s="704">
        <f t="shared" si="18"/>
        <v>0</v>
      </c>
      <c r="BD65" s="694"/>
      <c r="BE65" s="591" t="s">
        <v>648</v>
      </c>
      <c r="BF65" s="704">
        <f>BF60+BF62+BF63</f>
        <v>0</v>
      </c>
      <c r="BG65" s="704">
        <f>BG60+BG62+BG63</f>
        <v>0</v>
      </c>
      <c r="BH65" s="704">
        <f>BH60+BH62+BH63</f>
        <v>0</v>
      </c>
    </row>
    <row r="66" spans="2:60" outlineLevel="1">
      <c r="B66" s="585"/>
      <c r="C66" s="582"/>
      <c r="D66" s="582"/>
      <c r="E66" s="582"/>
      <c r="L66" s="694"/>
      <c r="W66" s="694"/>
      <c r="AH66" s="694"/>
      <c r="AS66" s="694"/>
      <c r="AT66" s="585"/>
      <c r="AU66" s="582"/>
      <c r="AV66" s="582"/>
      <c r="AW66" s="582"/>
      <c r="AX66" s="582" t="str">
        <f t="shared" si="18"/>
        <v/>
      </c>
      <c r="BD66" s="694"/>
      <c r="BE66" s="585"/>
      <c r="BF66" s="582"/>
      <c r="BG66" s="582"/>
      <c r="BH66" s="582"/>
    </row>
    <row r="67" spans="2:60" outlineLevel="1">
      <c r="B67" s="585" t="s">
        <v>659</v>
      </c>
      <c r="C67" s="582"/>
      <c r="D67" s="582"/>
      <c r="E67" s="582"/>
      <c r="L67" s="694"/>
      <c r="W67" s="694"/>
      <c r="AH67" s="694"/>
      <c r="AS67" s="694"/>
      <c r="AT67" s="585" t="s">
        <v>659</v>
      </c>
      <c r="AU67" s="582"/>
      <c r="AV67" s="582"/>
      <c r="AW67" s="582"/>
      <c r="AX67" s="582" t="str">
        <f t="shared" si="18"/>
        <v/>
      </c>
      <c r="BD67" s="694"/>
      <c r="BE67" s="585" t="s">
        <v>659</v>
      </c>
      <c r="BF67" s="582"/>
      <c r="BG67" s="582"/>
      <c r="BH67" s="582"/>
    </row>
    <row r="68" spans="2:60" outlineLevel="1">
      <c r="B68" s="593" t="s">
        <v>661</v>
      </c>
      <c r="C68" s="706" t="str">
        <f>IFERROR(C67/C65,"-")</f>
        <v>-</v>
      </c>
      <c r="D68" s="706" t="str">
        <f>IFERROR(D67/D65,"-")</f>
        <v>-</v>
      </c>
      <c r="E68" s="706" t="str">
        <f>IFERROR(E67/E65,"-")</f>
        <v>-</v>
      </c>
      <c r="L68" s="694"/>
      <c r="W68" s="694"/>
      <c r="AH68" s="694"/>
      <c r="AS68" s="694"/>
      <c r="AT68" s="593" t="s">
        <v>661</v>
      </c>
      <c r="AU68" s="706" t="str">
        <f>IFERROR(AU67/AU65,"-")</f>
        <v>-</v>
      </c>
      <c r="AV68" s="706" t="str">
        <f>IFERROR(AV67/AV65,"-")</f>
        <v>-</v>
      </c>
      <c r="AW68" s="706" t="str">
        <f>IFERROR(AW67/AW65,"-")</f>
        <v>-</v>
      </c>
      <c r="AX68" s="706" t="str">
        <f t="shared" si="18"/>
        <v/>
      </c>
      <c r="BD68" s="694"/>
      <c r="BE68" s="593" t="s">
        <v>661</v>
      </c>
      <c r="BF68" s="706" t="str">
        <f>IFERROR(BF67/BF65,"-")</f>
        <v>-</v>
      </c>
      <c r="BG68" s="706" t="str">
        <f>IFERROR(BG67/BG65,"-")</f>
        <v>-</v>
      </c>
      <c r="BH68" s="706" t="str">
        <f>IFERROR(BH67/BH65,"-")</f>
        <v>-</v>
      </c>
    </row>
    <row r="69" spans="2:60" outlineLevel="1">
      <c r="B69" s="585"/>
      <c r="C69" s="582"/>
      <c r="D69" s="582"/>
      <c r="E69" s="582"/>
      <c r="L69" s="694"/>
      <c r="W69" s="694"/>
      <c r="AH69" s="694"/>
      <c r="AS69" s="694"/>
      <c r="AT69" s="585"/>
      <c r="AU69" s="582"/>
      <c r="AV69" s="582"/>
      <c r="AW69" s="582"/>
      <c r="AX69" s="582" t="str">
        <f t="shared" si="18"/>
        <v/>
      </c>
      <c r="BD69" s="694"/>
      <c r="BE69" s="585"/>
      <c r="BF69" s="582"/>
      <c r="BG69" s="582"/>
      <c r="BH69" s="582"/>
    </row>
    <row r="70" spans="2:60" ht="15.75" outlineLevel="1" thickBot="1">
      <c r="B70" s="594" t="s">
        <v>660</v>
      </c>
      <c r="C70" s="707">
        <f>C65+C67</f>
        <v>0</v>
      </c>
      <c r="D70" s="707">
        <f>D65+D67</f>
        <v>0</v>
      </c>
      <c r="E70" s="707">
        <f>E65+E67</f>
        <v>0</v>
      </c>
      <c r="L70" s="694"/>
      <c r="W70" s="694"/>
      <c r="AH70" s="694"/>
      <c r="AS70" s="694"/>
      <c r="AT70" s="594" t="s">
        <v>660</v>
      </c>
      <c r="AU70" s="707">
        <f>AU65+AU67</f>
        <v>0</v>
      </c>
      <c r="AV70" s="707">
        <f>AV65+AV67</f>
        <v>0</v>
      </c>
      <c r="AW70" s="707">
        <f>AW65+AW67</f>
        <v>0</v>
      </c>
      <c r="AX70" s="707">
        <f t="shared" si="18"/>
        <v>0</v>
      </c>
      <c r="BD70" s="694"/>
      <c r="BE70" s="594" t="s">
        <v>660</v>
      </c>
      <c r="BF70" s="707">
        <f>BF65+BF67</f>
        <v>0</v>
      </c>
      <c r="BG70" s="707">
        <f>BG65+BG67</f>
        <v>0</v>
      </c>
      <c r="BH70" s="707">
        <f>BH65+BH67</f>
        <v>0</v>
      </c>
    </row>
    <row r="71" spans="2:60" ht="15.75" outlineLevel="1" thickTop="1">
      <c r="L71" s="694"/>
      <c r="W71" s="694"/>
      <c r="AH71" s="694"/>
      <c r="AS71" s="694"/>
      <c r="BD71" s="694"/>
    </row>
    <row r="72" spans="2:60">
      <c r="L72" s="694"/>
      <c r="W72" s="694"/>
      <c r="AH72" s="694"/>
      <c r="AS72" s="694"/>
      <c r="BD72" s="694"/>
    </row>
    <row r="73" spans="2:60">
      <c r="L73" s="694"/>
      <c r="W73" s="694"/>
      <c r="AH73" s="694"/>
      <c r="AS73" s="694"/>
      <c r="BD73" s="694"/>
    </row>
    <row r="74" spans="2:60">
      <c r="L74" s="694"/>
      <c r="W74" s="694"/>
      <c r="AH74" s="694"/>
      <c r="AS74" s="694"/>
      <c r="BD74" s="694"/>
    </row>
    <row r="75" spans="2:60">
      <c r="L75" s="694"/>
      <c r="W75" s="694"/>
      <c r="AH75" s="694"/>
      <c r="AS75" s="694"/>
      <c r="BD75" s="694"/>
    </row>
    <row r="76" spans="2:60">
      <c r="L76" s="694"/>
      <c r="W76" s="694"/>
      <c r="AH76" s="694"/>
      <c r="AS76" s="694"/>
      <c r="BD76" s="694"/>
    </row>
    <row r="77" spans="2:60">
      <c r="L77" s="694"/>
      <c r="W77" s="694"/>
      <c r="AH77" s="694"/>
      <c r="AS77" s="694"/>
      <c r="BD77" s="694"/>
    </row>
    <row r="78" spans="2:60">
      <c r="L78" s="694"/>
      <c r="W78" s="694"/>
      <c r="AH78" s="694"/>
      <c r="AS78" s="694"/>
      <c r="BD78" s="694"/>
    </row>
    <row r="79" spans="2:60">
      <c r="L79" s="694"/>
      <c r="W79" s="694"/>
      <c r="AH79" s="694"/>
      <c r="AS79" s="694"/>
      <c r="BD79" s="694"/>
    </row>
    <row r="80" spans="2:60">
      <c r="L80" s="694"/>
      <c r="W80" s="694"/>
      <c r="AH80" s="694"/>
      <c r="AS80" s="694"/>
      <c r="BD80" s="694"/>
    </row>
  </sheetData>
  <sheetProtection formatCells="0" formatColumns="0" formatRows="0" insertColumns="0" insertRows="0" insertHyperlinks="0" sort="0" autoFilter="0" pivotTables="0"/>
  <mergeCells count="12">
    <mergeCell ref="BJ5:BN5"/>
    <mergeCell ref="BE8:BN14"/>
    <mergeCell ref="AN5:AR5"/>
    <mergeCell ref="AI8:AR14"/>
    <mergeCell ref="AY5:BC5"/>
    <mergeCell ref="AT8:BC14"/>
    <mergeCell ref="G5:K5"/>
    <mergeCell ref="B8:K14"/>
    <mergeCell ref="R5:V5"/>
    <mergeCell ref="M8:V14"/>
    <mergeCell ref="AC5:AG5"/>
    <mergeCell ref="X8:AG14"/>
  </mergeCells>
  <conditionalFormatting sqref="C17:I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7:B22">
    <cfRule type="cellIs" dxfId="18" priority="3" operator="equal">
      <formula>0</formula>
    </cfRule>
  </conditionalFormatting>
  <conditionalFormatting sqref="C17:I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350FC-12E9-40E9-8A6B-C3375CD86743}">
  <sheetPr codeName="Planilha8">
    <tabColor rgb="FFC9A4E4"/>
  </sheetPr>
  <dimension ref="A1:WS84"/>
  <sheetViews>
    <sheetView showGridLines="0" tabSelected="1" topLeftCell="H61" zoomScale="70" zoomScaleNormal="70" workbookViewId="0">
      <selection activeCell="P71" sqref="P71:Q71"/>
    </sheetView>
  </sheetViews>
  <sheetFormatPr defaultColWidth="5.5703125" defaultRowHeight="15.75" outlineLevelRow="1" outlineLevelCol="1"/>
  <cols>
    <col min="1" max="2" width="3.42578125" style="206" customWidth="1" outlineLevel="1"/>
    <col min="3" max="3" width="3.5703125" style="207" customWidth="1"/>
    <col min="4" max="4" width="12.42578125" style="207" customWidth="1" outlineLevel="1"/>
    <col min="5" max="5" width="25.5703125" style="207" customWidth="1"/>
    <col min="6" max="6" width="14.7109375" style="207" customWidth="1"/>
    <col min="7" max="8" width="13.7109375" style="207" customWidth="1" outlineLevel="1"/>
    <col min="9" max="9" width="8.28515625" style="207" customWidth="1" outlineLevel="1"/>
    <col min="10" max="10" width="9.42578125" style="207" customWidth="1" outlineLevel="1"/>
    <col min="11" max="11" width="11.5703125" style="207" customWidth="1"/>
    <col min="12" max="12" width="7.5703125" style="207" customWidth="1" outlineLevel="1"/>
    <col min="13" max="13" width="13.28515625" style="207" customWidth="1" outlineLevel="1"/>
    <col min="14" max="14" width="10.5703125" style="207" customWidth="1" outlineLevel="1"/>
    <col min="15" max="15" width="12.42578125" style="207" customWidth="1"/>
    <col min="16" max="16" width="12.42578125" style="207" customWidth="1" outlineLevel="1"/>
    <col min="17" max="17" width="13.5703125" style="207" customWidth="1" outlineLevel="1"/>
    <col min="18" max="18" width="12.28515625" style="207" customWidth="1"/>
    <col min="19" max="19" width="4.7109375" style="207" customWidth="1"/>
    <col min="20" max="20" width="12.42578125" style="502" customWidth="1"/>
    <col min="21" max="22" width="11.7109375" style="207" customWidth="1"/>
    <col min="23" max="23" width="32.7109375" style="207" bestFit="1" customWidth="1" outlineLevel="1"/>
    <col min="24" max="25" width="14.42578125" style="207" customWidth="1" outlineLevel="1"/>
    <col min="26" max="26" width="10.5703125" style="207" customWidth="1"/>
    <col min="27" max="27" width="22.5703125" style="207" customWidth="1"/>
    <col min="28" max="28" width="5.7109375" style="207" customWidth="1" outlineLevel="1"/>
    <col min="29" max="29" width="17.28515625" style="207" customWidth="1" outlineLevel="1"/>
    <col min="30" max="30" width="14.7109375" style="207" customWidth="1" outlineLevel="1"/>
    <col min="31" max="31" width="17.5703125" style="207" customWidth="1" outlineLevel="1"/>
    <col min="32" max="32" width="10.7109375" style="207" customWidth="1" outlineLevel="1"/>
    <col min="33" max="33" width="3.42578125" style="207" customWidth="1"/>
    <col min="34" max="34" width="10" style="207" hidden="1" customWidth="1" outlineLevel="1"/>
    <col min="35" max="35" width="10.42578125" style="207" hidden="1" customWidth="1" outlineLevel="1"/>
    <col min="36" max="36" width="8.5703125" style="207" hidden="1" customWidth="1" outlineLevel="1"/>
    <col min="37" max="37" width="10.42578125" style="207" hidden="1" customWidth="1" outlineLevel="1"/>
    <col min="38" max="38" width="12" style="207" hidden="1" customWidth="1" outlineLevel="1"/>
    <col min="39" max="39" width="3.42578125" style="207" hidden="1" customWidth="1" outlineLevel="1"/>
    <col min="40" max="40" width="4.5703125" style="207" customWidth="1" collapsed="1"/>
    <col min="41" max="41" width="18.42578125" style="207" customWidth="1"/>
    <col min="42" max="42" width="7.42578125" style="207" customWidth="1"/>
    <col min="43" max="43" width="8.5703125" style="207" customWidth="1"/>
    <col min="44" max="44" width="12.42578125" style="207" customWidth="1"/>
    <col min="45" max="45" width="11.28515625" style="207" customWidth="1"/>
    <col min="46" max="46" width="12.42578125" style="207" customWidth="1"/>
    <col min="47" max="47" width="11" style="207" customWidth="1"/>
    <col min="48" max="48" width="16.5703125" style="210" customWidth="1"/>
    <col min="49" max="49" width="7.42578125" style="210" customWidth="1"/>
    <col min="50" max="50" width="7.5703125" style="207" hidden="1" customWidth="1" outlineLevel="1"/>
    <col min="51" max="52" width="8.42578125" style="207" hidden="1" customWidth="1" outlineLevel="1"/>
    <col min="53" max="53" width="22.5703125" style="207" hidden="1" customWidth="1" outlineLevel="1"/>
    <col min="54" max="54" width="16.5703125" style="207" hidden="1" customWidth="1" outlineLevel="1"/>
    <col min="55" max="55" width="5.5703125" style="207" collapsed="1"/>
    <col min="56" max="56" width="20.5703125" style="207" hidden="1" customWidth="1" outlineLevel="1"/>
    <col min="57" max="57" width="7.42578125" style="207" hidden="1" customWidth="1" outlineLevel="1"/>
    <col min="58" max="58" width="25.5703125" style="207" hidden="1" customWidth="1" outlineLevel="1"/>
    <col min="59" max="59" width="8.42578125" style="207" hidden="1" customWidth="1" outlineLevel="1"/>
    <col min="60" max="61" width="5.5703125" style="207" hidden="1" customWidth="1" outlineLevel="1"/>
    <col min="62" max="62" width="28.7109375" style="207" hidden="1" customWidth="1" outlineLevel="1"/>
    <col min="63" max="63" width="45.28515625" style="207" hidden="1" customWidth="1" outlineLevel="1"/>
    <col min="64" max="64" width="5.5703125" style="207" hidden="1" customWidth="1" outlineLevel="1"/>
    <col min="65" max="65" width="8.28515625" style="207" hidden="1" customWidth="1" outlineLevel="1"/>
    <col min="66" max="66" width="5.5703125" style="207" collapsed="1"/>
    <col min="67" max="67" width="6.28515625" style="207" bestFit="1" customWidth="1"/>
    <col min="68" max="68" width="11" style="207" bestFit="1" customWidth="1"/>
    <col min="69" max="69" width="6.42578125" style="207" bestFit="1" customWidth="1"/>
    <col min="70" max="71" width="7.42578125" style="207" bestFit="1" customWidth="1"/>
    <col min="72" max="72" width="12.42578125" style="207" bestFit="1" customWidth="1"/>
    <col min="73" max="73" width="12.7109375" style="207" bestFit="1" customWidth="1"/>
    <col min="74" max="74" width="6.7109375" style="207" bestFit="1" customWidth="1"/>
    <col min="75" max="75" width="10.28515625" style="207" bestFit="1" customWidth="1"/>
    <col min="76" max="76" width="5.5703125" style="207"/>
    <col min="77" max="77" width="16.42578125" style="207" bestFit="1" customWidth="1"/>
    <col min="78" max="78" width="8.28515625" style="207" bestFit="1" customWidth="1"/>
    <col min="79" max="79" width="10.28515625" style="207" bestFit="1" customWidth="1"/>
    <col min="80" max="80" width="14.7109375" style="207" customWidth="1"/>
    <col min="81" max="81" width="5.5703125" style="207"/>
    <col min="82" max="82" width="11" style="207" bestFit="1" customWidth="1"/>
    <col min="83" max="83" width="6.42578125" style="207" bestFit="1" customWidth="1"/>
    <col min="84" max="85" width="7.42578125" style="207" bestFit="1" customWidth="1"/>
    <col min="86" max="86" width="12.42578125" style="207" bestFit="1" customWidth="1"/>
    <col min="87" max="87" width="12.7109375" style="207" bestFit="1" customWidth="1"/>
    <col min="88" max="88" width="6.7109375" style="207" bestFit="1" customWidth="1"/>
    <col min="89" max="89" width="10.28515625" style="207" bestFit="1" customWidth="1"/>
    <col min="90" max="90" width="5.5703125" style="207"/>
    <col min="91" max="91" width="16.42578125" style="207" bestFit="1" customWidth="1"/>
    <col min="92" max="92" width="8.28515625" style="207" bestFit="1" customWidth="1"/>
    <col min="93" max="93" width="10.28515625" style="207" bestFit="1" customWidth="1"/>
    <col min="94" max="94" width="8.7109375" style="207" bestFit="1" customWidth="1"/>
    <col min="95" max="16384" width="5.5703125" style="207"/>
  </cols>
  <sheetData>
    <row r="1" spans="4:47" hidden="1" outlineLevel="1"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9"/>
      <c r="U1" s="208"/>
      <c r="V1" s="208"/>
      <c r="W1" s="208"/>
      <c r="X1" s="208"/>
      <c r="Y1" s="208"/>
      <c r="AP1" s="1102"/>
      <c r="AQ1" s="1102"/>
      <c r="AR1" s="1102"/>
      <c r="AS1" s="1102"/>
      <c r="AT1" s="210"/>
      <c r="AU1" s="210"/>
    </row>
    <row r="2" spans="4:47" ht="16.5" hidden="1" outlineLevel="1" thickBot="1">
      <c r="E2" s="211" t="s">
        <v>277</v>
      </c>
      <c r="F2" s="212"/>
      <c r="G2" s="212"/>
      <c r="H2" s="212"/>
      <c r="I2" s="212"/>
      <c r="J2" s="208"/>
      <c r="Q2" s="208"/>
      <c r="R2" s="208"/>
      <c r="S2" s="208"/>
      <c r="T2" s="1101" t="s">
        <v>274</v>
      </c>
      <c r="U2" s="1101"/>
      <c r="V2" s="1101"/>
      <c r="W2" s="1101"/>
      <c r="X2" s="1101"/>
      <c r="Y2" s="1101"/>
      <c r="AP2" s="213"/>
      <c r="AQ2" s="213"/>
      <c r="AR2" s="213"/>
      <c r="AS2" s="213"/>
      <c r="AT2" s="210"/>
      <c r="AU2" s="210"/>
    </row>
    <row r="3" spans="4:47" ht="16.5" hidden="1" outlineLevel="1" thickTop="1">
      <c r="E3" s="71" t="s">
        <v>170</v>
      </c>
      <c r="F3" s="1103" t="str">
        <f>Inputs!D48</f>
        <v>R VOLUNTARIOS DA PATRIA, 654</v>
      </c>
      <c r="G3" s="1103"/>
      <c r="H3" s="1103"/>
      <c r="I3" s="208"/>
      <c r="J3" s="208"/>
      <c r="Q3" s="208"/>
      <c r="R3" s="208"/>
      <c r="S3" s="208"/>
      <c r="T3" s="1104"/>
      <c r="U3" s="1104"/>
      <c r="V3" s="1104"/>
      <c r="W3" s="1104"/>
      <c r="X3" s="1104"/>
      <c r="Y3" s="1104"/>
      <c r="AP3" s="213"/>
      <c r="AQ3" s="213"/>
      <c r="AR3" s="213"/>
      <c r="AS3" s="213"/>
      <c r="AT3" s="210"/>
      <c r="AU3" s="210"/>
    </row>
    <row r="4" spans="4:47" hidden="1" outlineLevel="1">
      <c r="E4" s="68" t="s">
        <v>220</v>
      </c>
      <c r="F4" s="1094" t="str">
        <f>Inputs!D44</f>
        <v>Sala Comercial</v>
      </c>
      <c r="G4" s="1094"/>
      <c r="H4" s="1094"/>
      <c r="I4" s="208"/>
      <c r="J4" s="208"/>
      <c r="Q4" s="208"/>
      <c r="R4" s="208"/>
      <c r="S4" s="208"/>
      <c r="T4" s="1105"/>
      <c r="U4" s="1105"/>
      <c r="V4" s="1105"/>
      <c r="W4" s="1105"/>
      <c r="X4" s="1105"/>
      <c r="Y4" s="1105"/>
      <c r="AP4" s="213"/>
      <c r="AQ4" s="213"/>
      <c r="AR4" s="213"/>
      <c r="AS4" s="213"/>
      <c r="AT4" s="210"/>
      <c r="AU4" s="210"/>
    </row>
    <row r="5" spans="4:47" hidden="1" outlineLevel="1">
      <c r="E5" s="68" t="s">
        <v>271</v>
      </c>
      <c r="F5" s="1095"/>
      <c r="G5" s="1095"/>
      <c r="H5" s="1095"/>
      <c r="I5" s="208"/>
      <c r="J5" s="208"/>
      <c r="Q5" s="208"/>
      <c r="R5" s="208"/>
      <c r="S5" s="208"/>
      <c r="T5" s="1105"/>
      <c r="U5" s="1105"/>
      <c r="V5" s="1105"/>
      <c r="W5" s="1105"/>
      <c r="X5" s="1105"/>
      <c r="Y5" s="1105"/>
      <c r="AP5" s="213"/>
      <c r="AQ5" s="213"/>
      <c r="AR5" s="213"/>
      <c r="AS5" s="213"/>
      <c r="AT5" s="210"/>
      <c r="AU5" s="210"/>
    </row>
    <row r="6" spans="4:47" hidden="1" outlineLevel="1">
      <c r="E6" s="68" t="s">
        <v>232</v>
      </c>
      <c r="F6" s="1094" t="str">
        <f>Inputs!D49</f>
        <v>Santana</v>
      </c>
      <c r="G6" s="1094"/>
      <c r="H6" s="1094"/>
      <c r="I6" s="208"/>
      <c r="J6" s="208"/>
      <c r="Q6" s="208"/>
      <c r="R6" s="208"/>
      <c r="S6" s="208"/>
      <c r="T6" s="1105"/>
      <c r="U6" s="1105"/>
      <c r="V6" s="1105"/>
      <c r="W6" s="1105"/>
      <c r="X6" s="1105"/>
      <c r="Y6" s="1105"/>
      <c r="AP6" s="213"/>
      <c r="AQ6" s="213"/>
      <c r="AR6" s="213"/>
      <c r="AS6" s="213"/>
      <c r="AT6" s="210"/>
      <c r="AU6" s="210"/>
    </row>
    <row r="7" spans="4:47" ht="15.6" hidden="1" customHeight="1" outlineLevel="1">
      <c r="E7" s="68" t="s">
        <v>231</v>
      </c>
      <c r="F7" s="1095" t="str">
        <f>Inputs!D46</f>
        <v>São Paulo</v>
      </c>
      <c r="G7" s="1095"/>
      <c r="H7" s="1095"/>
      <c r="I7" s="208"/>
      <c r="J7" s="208"/>
      <c r="Q7" s="208"/>
      <c r="R7" s="208"/>
      <c r="S7" s="208"/>
      <c r="T7" s="1105"/>
      <c r="U7" s="1105"/>
      <c r="V7" s="1105"/>
      <c r="W7" s="1105"/>
      <c r="X7" s="1105"/>
      <c r="Y7" s="1105"/>
      <c r="AP7" s="213"/>
      <c r="AQ7" s="213"/>
      <c r="AR7" s="213"/>
      <c r="AS7" s="213"/>
      <c r="AT7" s="210"/>
      <c r="AU7" s="210"/>
    </row>
    <row r="8" spans="4:47" ht="15.6" hidden="1" customHeight="1" outlineLevel="1">
      <c r="E8" s="68" t="s">
        <v>230</v>
      </c>
      <c r="F8" s="1096" t="str">
        <f>Inputs!D47</f>
        <v>SP</v>
      </c>
      <c r="G8" s="1094"/>
      <c r="H8" s="1094"/>
      <c r="I8" s="208"/>
      <c r="J8" s="208"/>
      <c r="Q8" s="208"/>
      <c r="R8" s="208"/>
      <c r="S8" s="208"/>
      <c r="T8" s="1105"/>
      <c r="U8" s="1105"/>
      <c r="V8" s="1105"/>
      <c r="W8" s="1105"/>
      <c r="X8" s="1105"/>
      <c r="Y8" s="1105"/>
      <c r="AP8" s="213"/>
      <c r="AQ8" s="213"/>
      <c r="AR8" s="213"/>
      <c r="AS8" s="213"/>
      <c r="AT8" s="210"/>
      <c r="AU8" s="210"/>
    </row>
    <row r="9" spans="4:47" hidden="1" outlineLevel="1">
      <c r="D9" s="214"/>
      <c r="E9" s="72" t="s">
        <v>268</v>
      </c>
      <c r="F9" s="215">
        <f>Inputs!D52</f>
        <v>46.73</v>
      </c>
      <c r="G9" s="216" t="s">
        <v>157</v>
      </c>
      <c r="H9" s="217" t="s">
        <v>267</v>
      </c>
      <c r="I9" s="218" t="str">
        <f>IF(F9&lt;=0,"Fora da Política",IF(OR(F4="Apartamento",F4="Sala Comercial"),"",IF(((MAX(F10:F11)-MIN(F10:F11))/MAX(F10:F11))&lt;50%,"","Fora da Política")))</f>
        <v/>
      </c>
      <c r="J9" s="208"/>
      <c r="Q9" s="208"/>
      <c r="R9" s="208"/>
      <c r="S9" s="208"/>
      <c r="T9" s="1105"/>
      <c r="U9" s="1105"/>
      <c r="V9" s="1105"/>
      <c r="W9" s="1105"/>
      <c r="X9" s="1105"/>
      <c r="Y9" s="1105"/>
      <c r="AP9" s="213"/>
      <c r="AQ9" s="213"/>
      <c r="AR9" s="213"/>
      <c r="AS9" s="213"/>
      <c r="AT9" s="210"/>
      <c r="AU9" s="210"/>
    </row>
    <row r="10" spans="4:47" hidden="1" outlineLevel="1">
      <c r="E10" s="68" t="s">
        <v>265</v>
      </c>
      <c r="F10" s="219">
        <f>Inputs!D53</f>
        <v>0</v>
      </c>
      <c r="G10" s="220" t="s">
        <v>157</v>
      </c>
      <c r="H10" s="221"/>
      <c r="I10" s="218"/>
      <c r="J10" s="208"/>
      <c r="Q10" s="208"/>
      <c r="R10" s="208"/>
      <c r="S10" s="208"/>
      <c r="T10" s="1105"/>
      <c r="U10" s="1105"/>
      <c r="V10" s="1105"/>
      <c r="W10" s="1105"/>
      <c r="X10" s="1105"/>
      <c r="Y10" s="1105"/>
      <c r="AP10" s="213"/>
      <c r="AQ10" s="213"/>
      <c r="AR10" s="213"/>
      <c r="AS10" s="213"/>
      <c r="AT10" s="210"/>
      <c r="AU10" s="210"/>
    </row>
    <row r="11" spans="4:47" ht="15.6" hidden="1" customHeight="1" outlineLevel="1">
      <c r="E11" s="68" t="s">
        <v>263</v>
      </c>
      <c r="F11" s="219"/>
      <c r="G11" s="220"/>
      <c r="H11" s="221"/>
      <c r="I11" s="218"/>
      <c r="J11" s="208"/>
      <c r="Q11" s="208"/>
      <c r="R11" s="208"/>
      <c r="S11" s="208"/>
      <c r="T11" s="1105"/>
      <c r="U11" s="1105"/>
      <c r="V11" s="1105"/>
      <c r="W11" s="1105"/>
      <c r="X11" s="1105"/>
      <c r="Y11" s="1105"/>
      <c r="AP11" s="213"/>
      <c r="AQ11" s="213"/>
      <c r="AR11" s="213"/>
      <c r="AS11" s="213"/>
      <c r="AT11" s="210"/>
      <c r="AU11" s="210"/>
    </row>
    <row r="12" spans="4:47" ht="15.6" hidden="1" customHeight="1" outlineLevel="1">
      <c r="E12" s="68" t="s">
        <v>227</v>
      </c>
      <c r="F12" s="222">
        <f>Inputs!D56</f>
        <v>1</v>
      </c>
      <c r="G12" s="223"/>
      <c r="H12" s="224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1105"/>
      <c r="U12" s="1105"/>
      <c r="V12" s="1105"/>
      <c r="W12" s="1105"/>
      <c r="X12" s="1105"/>
      <c r="Y12" s="1105"/>
      <c r="AP12" s="213"/>
      <c r="AQ12" s="213"/>
      <c r="AR12" s="213"/>
      <c r="AS12" s="213"/>
      <c r="AT12" s="210"/>
      <c r="AU12" s="210"/>
    </row>
    <row r="13" spans="4:47" ht="15.6" hidden="1" customHeight="1" outlineLevel="1">
      <c r="E13" s="67" t="s">
        <v>261</v>
      </c>
      <c r="F13" s="225">
        <f>Inputs!D55</f>
        <v>0</v>
      </c>
      <c r="G13" s="220" t="s">
        <v>157</v>
      </c>
      <c r="H13" s="226"/>
      <c r="I13" s="208"/>
      <c r="J13" s="208"/>
      <c r="K13" s="208"/>
      <c r="L13" s="208"/>
      <c r="M13" s="208"/>
      <c r="N13" s="208"/>
      <c r="O13" s="209"/>
      <c r="P13" s="208"/>
      <c r="Q13" s="208"/>
      <c r="R13" s="208"/>
      <c r="S13" s="208"/>
      <c r="T13" s="1105"/>
      <c r="U13" s="1105"/>
      <c r="V13" s="1105"/>
      <c r="W13" s="1105"/>
      <c r="X13" s="1105"/>
      <c r="Y13" s="1105"/>
      <c r="AP13" s="213"/>
      <c r="AQ13" s="213"/>
      <c r="AR13" s="213"/>
      <c r="AS13" s="213"/>
      <c r="AT13" s="210"/>
      <c r="AU13" s="210"/>
    </row>
    <row r="14" spans="4:47" ht="15.6" hidden="1" customHeight="1" outlineLevel="1">
      <c r="E14" s="208"/>
      <c r="F14" s="208"/>
      <c r="G14" s="227"/>
      <c r="H14" s="208"/>
      <c r="I14" s="208"/>
      <c r="J14" s="208"/>
      <c r="K14" s="208"/>
      <c r="L14" s="208"/>
      <c r="M14" s="208"/>
      <c r="N14" s="208"/>
      <c r="O14" s="209"/>
      <c r="P14" s="208"/>
      <c r="Q14" s="208"/>
      <c r="R14" s="208"/>
      <c r="S14" s="208"/>
      <c r="T14" s="1105"/>
      <c r="U14" s="1105"/>
      <c r="V14" s="1105"/>
      <c r="W14" s="1105"/>
      <c r="X14" s="1105"/>
      <c r="Y14" s="1105"/>
      <c r="AP14" s="213"/>
      <c r="AQ14" s="213"/>
      <c r="AR14" s="213"/>
      <c r="AS14" s="213"/>
      <c r="AT14" s="210"/>
      <c r="AU14" s="210"/>
    </row>
    <row r="15" spans="4:47" ht="15.6" hidden="1" customHeight="1" outlineLevel="1" thickBot="1">
      <c r="J15" s="208"/>
      <c r="K15" s="211" t="s">
        <v>260</v>
      </c>
      <c r="L15" s="212"/>
      <c r="M15" s="212"/>
      <c r="N15" s="228"/>
      <c r="O15" s="229"/>
      <c r="P15" s="212"/>
      <c r="Q15" s="208"/>
      <c r="R15" s="208"/>
      <c r="S15" s="208"/>
      <c r="T15" s="1105"/>
      <c r="U15" s="1105"/>
      <c r="V15" s="1105"/>
      <c r="W15" s="1105"/>
      <c r="X15" s="1105"/>
      <c r="Y15" s="1105"/>
      <c r="AP15" s="213"/>
      <c r="AQ15" s="213"/>
      <c r="AR15" s="213"/>
      <c r="AS15" s="213"/>
      <c r="AT15" s="210"/>
      <c r="AU15" s="210"/>
    </row>
    <row r="16" spans="4:47" ht="15.6" hidden="1" customHeight="1" outlineLevel="1" thickTop="1">
      <c r="J16" s="208"/>
      <c r="K16" s="1092" t="s">
        <v>258</v>
      </c>
      <c r="L16" s="1092"/>
      <c r="M16" s="1092"/>
      <c r="N16" s="1093">
        <f>IF($N$39&lt;&gt;0,AVERAGEIF($R$41:$R$60,"&lt;&gt;0"),AVERAGEIF($Q$41:$Q$60,"&lt;&gt;0"))</f>
        <v>11593.567251461987</v>
      </c>
      <c r="O16" s="1093"/>
      <c r="P16" s="208"/>
      <c r="Q16" s="208"/>
      <c r="R16" s="208"/>
      <c r="S16" s="208"/>
      <c r="T16" s="1105"/>
      <c r="U16" s="1105"/>
      <c r="V16" s="1105"/>
      <c r="W16" s="1105"/>
      <c r="X16" s="1105"/>
      <c r="Y16" s="1105"/>
      <c r="AP16" s="213"/>
      <c r="AQ16" s="213"/>
      <c r="AR16" s="213"/>
      <c r="AS16" s="213"/>
      <c r="AT16" s="210"/>
      <c r="AU16" s="210"/>
    </row>
    <row r="17" spans="5:47" ht="15.6" hidden="1" customHeight="1" outlineLevel="1">
      <c r="J17" s="208"/>
      <c r="K17" s="1098" t="s">
        <v>257</v>
      </c>
      <c r="L17" s="1098"/>
      <c r="M17" s="1098"/>
      <c r="N17" s="1097">
        <f>IF($N$39&lt;&gt;0,AVERAGEIF($V$41:$V$60,"&lt;&gt;0"),AVERAGEIF($U$41:$U$60,"&lt;&gt;0"))</f>
        <v>10434.21052631579</v>
      </c>
      <c r="O17" s="1097"/>
      <c r="P17" s="208"/>
      <c r="Q17" s="208"/>
      <c r="R17" s="208"/>
      <c r="S17" s="208"/>
      <c r="T17" s="209"/>
      <c r="U17" s="208"/>
      <c r="V17" s="208"/>
      <c r="W17" s="208"/>
      <c r="X17" s="208"/>
      <c r="Y17" s="208"/>
      <c r="AP17" s="213"/>
      <c r="AQ17" s="213"/>
      <c r="AR17" s="213"/>
      <c r="AS17" s="213"/>
      <c r="AT17" s="210"/>
      <c r="AU17" s="210"/>
    </row>
    <row r="18" spans="5:47" ht="15.6" hidden="1" customHeight="1" outlineLevel="1">
      <c r="J18" s="208"/>
      <c r="K18" s="208"/>
      <c r="L18" s="208"/>
      <c r="M18" s="208"/>
      <c r="N18" s="208"/>
      <c r="O18" s="209"/>
      <c r="P18" s="208"/>
      <c r="Q18" s="208"/>
      <c r="R18" s="208"/>
      <c r="S18" s="208"/>
      <c r="T18" s="209"/>
      <c r="U18" s="208"/>
      <c r="V18" s="208"/>
      <c r="W18" s="208"/>
      <c r="X18" s="208"/>
      <c r="Y18" s="208"/>
      <c r="AP18" s="213"/>
      <c r="AQ18" s="213"/>
      <c r="AR18" s="213"/>
      <c r="AS18" s="213"/>
      <c r="AT18" s="210"/>
      <c r="AU18" s="210"/>
    </row>
    <row r="19" spans="5:47" ht="15.6" hidden="1" customHeight="1" outlineLevel="1">
      <c r="J19" s="208"/>
      <c r="K19" s="1101" t="s">
        <v>256</v>
      </c>
      <c r="L19" s="1101"/>
      <c r="M19" s="1101"/>
      <c r="N19" s="1100">
        <f>IF($N$39&lt;&gt;0,MAX($V$41:$V$60),MAX($U$41:$U$60))</f>
        <v>11800</v>
      </c>
      <c r="O19" s="1100"/>
      <c r="P19" s="208"/>
      <c r="Q19" s="208"/>
      <c r="R19" s="208"/>
      <c r="S19" s="208"/>
      <c r="T19" s="209"/>
      <c r="U19" s="208"/>
      <c r="V19" s="208"/>
      <c r="W19" s="208"/>
      <c r="X19" s="208"/>
      <c r="Y19" s="208"/>
      <c r="AP19" s="213"/>
      <c r="AQ19" s="213"/>
      <c r="AR19" s="213"/>
      <c r="AS19" s="213"/>
      <c r="AT19" s="210"/>
      <c r="AU19" s="210"/>
    </row>
    <row r="20" spans="5:47" hidden="1" outlineLevel="1">
      <c r="J20" s="208"/>
      <c r="K20" s="1098" t="s">
        <v>255</v>
      </c>
      <c r="L20" s="1098"/>
      <c r="M20" s="1098"/>
      <c r="N20" s="1097">
        <f>IF($N$39&lt;&gt;0,MIN($V$41:$V$60),MIN($U$41:$U$60))</f>
        <v>9000</v>
      </c>
      <c r="O20" s="1097"/>
      <c r="P20" s="208"/>
      <c r="Q20" s="208"/>
      <c r="R20" s="208"/>
      <c r="S20" s="208"/>
      <c r="T20" s="230" t="s">
        <v>254</v>
      </c>
      <c r="U20" s="231" t="s">
        <v>253</v>
      </c>
      <c r="V20" s="208"/>
      <c r="W20" s="232" t="s">
        <v>252</v>
      </c>
      <c r="X20" s="232"/>
      <c r="Y20" s="208"/>
      <c r="AP20" s="213"/>
      <c r="AQ20" s="213"/>
      <c r="AR20" s="213"/>
      <c r="AS20" s="213"/>
      <c r="AT20" s="210"/>
      <c r="AU20" s="210"/>
    </row>
    <row r="21" spans="5:47" hidden="1" outlineLevel="1">
      <c r="J21" s="208"/>
      <c r="K21" s="1099" t="s">
        <v>251</v>
      </c>
      <c r="L21" s="1099"/>
      <c r="M21" s="1099"/>
      <c r="N21" s="1100">
        <f>AVEDEV(N19:N20)</f>
        <v>1400</v>
      </c>
      <c r="O21" s="1100"/>
      <c r="P21" s="208"/>
      <c r="Q21" s="208"/>
      <c r="R21" s="208"/>
      <c r="S21" s="208"/>
      <c r="T21" s="233" t="str">
        <f>F7</f>
        <v>São Paulo</v>
      </c>
      <c r="U21" s="234">
        <v>12252023</v>
      </c>
      <c r="V21" s="208" t="str">
        <f>IF(OR(AND(F8="SP",U21&lt;=100000),AND(F8&lt;&gt;"SP",U21&lt;=200000)),"Fora da Política","")</f>
        <v/>
      </c>
      <c r="W21" s="235" t="s">
        <v>250</v>
      </c>
      <c r="X21" s="235" t="s">
        <v>249</v>
      </c>
      <c r="Y21" s="208"/>
      <c r="AP21" s="213"/>
      <c r="AQ21" s="213"/>
      <c r="AR21" s="213"/>
      <c r="AS21" s="213"/>
      <c r="AT21" s="210"/>
      <c r="AU21" s="210"/>
    </row>
    <row r="22" spans="5:47" hidden="1" outlineLevel="1"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9"/>
      <c r="U22" s="208"/>
      <c r="V22" s="208"/>
      <c r="W22" s="235" t="s">
        <v>248</v>
      </c>
      <c r="X22" s="235" t="s">
        <v>247</v>
      </c>
      <c r="Y22" s="208"/>
      <c r="AP22" s="213"/>
      <c r="AQ22" s="213"/>
      <c r="AR22" s="213"/>
      <c r="AS22" s="213"/>
      <c r="AT22" s="210"/>
      <c r="AU22" s="210"/>
    </row>
    <row r="23" spans="5:47" ht="16.5" hidden="1" outlineLevel="1" thickBot="1">
      <c r="E23" s="208"/>
      <c r="F23" s="208"/>
      <c r="G23" s="236"/>
      <c r="H23" s="208"/>
      <c r="I23" s="208"/>
      <c r="J23" s="208"/>
      <c r="K23" s="211" t="s">
        <v>246</v>
      </c>
      <c r="L23" s="212"/>
      <c r="M23" s="212"/>
      <c r="N23" s="212"/>
      <c r="O23" s="212"/>
      <c r="P23" s="212"/>
      <c r="Q23" s="208"/>
      <c r="R23" s="208"/>
      <c r="S23" s="208"/>
      <c r="T23" s="209"/>
      <c r="U23" s="208"/>
      <c r="V23" s="208"/>
      <c r="W23" s="235" t="s">
        <v>245</v>
      </c>
      <c r="X23" s="235" t="s">
        <v>244</v>
      </c>
      <c r="Y23" s="208"/>
      <c r="AP23" s="213"/>
      <c r="AQ23" s="213"/>
      <c r="AR23" s="213"/>
      <c r="AS23" s="213"/>
      <c r="AT23" s="210"/>
      <c r="AU23" s="210"/>
    </row>
    <row r="24" spans="5:47" ht="15.6" hidden="1" customHeight="1" outlineLevel="1" thickTop="1" thickBot="1">
      <c r="E24" s="70" t="s">
        <v>243</v>
      </c>
      <c r="F24" s="212"/>
      <c r="G24" s="237"/>
      <c r="H24" s="212"/>
      <c r="I24" s="212"/>
      <c r="J24" s="208"/>
      <c r="K24" s="1092" t="s">
        <v>242</v>
      </c>
      <c r="L24" s="1092"/>
      <c r="M24" s="1093" t="s">
        <v>122</v>
      </c>
      <c r="N24" s="1093"/>
      <c r="O24" s="208"/>
      <c r="P24" s="208"/>
      <c r="Q24" s="208"/>
      <c r="R24" s="208"/>
      <c r="S24" s="208"/>
      <c r="T24" s="209"/>
      <c r="U24" s="208"/>
      <c r="V24" s="208"/>
      <c r="W24" s="208"/>
      <c r="X24" s="208"/>
      <c r="Y24" s="208"/>
      <c r="AP24" s="213"/>
      <c r="AQ24" s="213"/>
      <c r="AR24" s="213"/>
      <c r="AS24" s="213"/>
      <c r="AT24" s="210"/>
      <c r="AU24" s="210"/>
    </row>
    <row r="25" spans="5:47" ht="16.5" hidden="1" outlineLevel="1" thickTop="1">
      <c r="E25" s="238"/>
      <c r="F25" s="239" t="s">
        <v>131</v>
      </c>
      <c r="G25" s="208"/>
      <c r="H25" s="208"/>
      <c r="I25" s="208"/>
      <c r="J25" s="208"/>
      <c r="K25" s="1075" t="s">
        <v>241</v>
      </c>
      <c r="L25" s="1075"/>
      <c r="M25" s="1076">
        <v>100000</v>
      </c>
      <c r="N25" s="1076"/>
      <c r="O25" s="208"/>
      <c r="P25" s="208"/>
      <c r="Q25" s="208"/>
      <c r="R25" s="208"/>
      <c r="S25" s="208"/>
      <c r="T25" s="209"/>
      <c r="U25" s="208"/>
      <c r="V25" s="208"/>
      <c r="W25" s="208"/>
      <c r="X25" s="208"/>
      <c r="Y25" s="208"/>
      <c r="AP25" s="213"/>
      <c r="AQ25" s="213"/>
      <c r="AR25" s="213"/>
      <c r="AS25" s="213"/>
      <c r="AT25" s="210"/>
      <c r="AU25" s="210"/>
    </row>
    <row r="26" spans="5:47" hidden="1" outlineLevel="1">
      <c r="E26" s="69" t="s">
        <v>240</v>
      </c>
      <c r="F26" s="240">
        <f>IF($F$25="Outros",$BK$51,$BJ$51)</f>
        <v>75</v>
      </c>
      <c r="G26" s="208"/>
      <c r="H26" s="208"/>
      <c r="I26" s="208"/>
      <c r="J26" s="208"/>
      <c r="K26" s="1087" t="s">
        <v>239</v>
      </c>
      <c r="L26" s="1088"/>
      <c r="M26" s="1089"/>
      <c r="N26" s="1090"/>
      <c r="O26" s="208"/>
      <c r="P26" s="208"/>
      <c r="Q26" s="208"/>
      <c r="R26" s="208"/>
      <c r="S26" s="208"/>
      <c r="T26" s="209"/>
      <c r="U26" s="208"/>
      <c r="V26" s="208"/>
      <c r="W26" s="208"/>
      <c r="X26" s="208"/>
      <c r="Y26" s="208"/>
      <c r="AP26" s="213"/>
      <c r="AQ26" s="213"/>
      <c r="AR26" s="213"/>
      <c r="AS26" s="213"/>
      <c r="AT26" s="210"/>
      <c r="AU26" s="210"/>
    </row>
    <row r="27" spans="5:47" hidden="1" outlineLevel="1">
      <c r="E27" s="68" t="s">
        <v>217</v>
      </c>
      <c r="F27" s="241">
        <v>0</v>
      </c>
      <c r="G27" s="208"/>
      <c r="H27" s="208"/>
      <c r="I27" s="208"/>
      <c r="J27" s="208"/>
      <c r="K27" s="1078" t="s">
        <v>238</v>
      </c>
      <c r="L27" s="1079"/>
      <c r="M27" s="1079"/>
      <c r="N27" s="1080"/>
      <c r="O27" s="208"/>
      <c r="P27" s="208"/>
      <c r="Q27" s="208"/>
      <c r="R27" s="208"/>
      <c r="S27" s="208"/>
      <c r="T27" s="209"/>
      <c r="U27" s="208"/>
      <c r="V27" s="208"/>
      <c r="W27" s="208"/>
      <c r="X27" s="208"/>
      <c r="Y27" s="208"/>
      <c r="AP27" s="213"/>
      <c r="AQ27" s="213"/>
      <c r="AR27" s="213"/>
      <c r="AS27" s="213"/>
      <c r="AT27" s="210"/>
      <c r="AU27" s="210"/>
    </row>
    <row r="28" spans="5:47" hidden="1" outlineLevel="1">
      <c r="E28" s="68" t="s">
        <v>237</v>
      </c>
      <c r="F28" s="242" t="s">
        <v>166</v>
      </c>
      <c r="G28" s="208"/>
      <c r="H28" s="208"/>
      <c r="I28" s="208"/>
      <c r="J28" s="208"/>
      <c r="K28" s="1081"/>
      <c r="L28" s="1082"/>
      <c r="M28" s="1082"/>
      <c r="N28" s="1083"/>
      <c r="O28" s="208"/>
      <c r="P28" s="208"/>
      <c r="Q28" s="208"/>
      <c r="R28" s="208"/>
      <c r="S28" s="208"/>
      <c r="T28" s="209"/>
      <c r="U28" s="208"/>
      <c r="V28" s="208"/>
      <c r="W28" s="208"/>
      <c r="X28" s="208"/>
      <c r="Y28" s="208"/>
      <c r="AP28" s="213"/>
      <c r="AQ28" s="213"/>
      <c r="AR28" s="213"/>
      <c r="AS28" s="213"/>
      <c r="AT28" s="210"/>
      <c r="AU28" s="210"/>
    </row>
    <row r="29" spans="5:47" hidden="1" outlineLevel="1">
      <c r="E29" s="68" t="s">
        <v>236</v>
      </c>
      <c r="F29" s="240" t="s">
        <v>153</v>
      </c>
      <c r="G29" s="208"/>
      <c r="H29" s="208"/>
      <c r="I29" s="208"/>
      <c r="J29" s="208"/>
      <c r="K29" s="1081"/>
      <c r="L29" s="1082"/>
      <c r="M29" s="1082"/>
      <c r="N29" s="1083"/>
      <c r="O29" s="243"/>
      <c r="P29" s="243"/>
      <c r="Q29" s="208"/>
      <c r="R29" s="208"/>
      <c r="S29" s="208"/>
      <c r="T29" s="209"/>
      <c r="U29" s="208"/>
      <c r="V29" s="208"/>
      <c r="W29" s="208"/>
      <c r="X29" s="208"/>
      <c r="Y29" s="208"/>
      <c r="AP29" s="213"/>
      <c r="AQ29" s="213"/>
      <c r="AR29" s="213"/>
      <c r="AS29" s="213"/>
      <c r="AT29" s="210"/>
      <c r="AU29" s="210"/>
    </row>
    <row r="30" spans="5:47" hidden="1" outlineLevel="1">
      <c r="E30" s="67" t="s">
        <v>162</v>
      </c>
      <c r="F30" s="242">
        <f>Inputs!H51</f>
        <v>8</v>
      </c>
      <c r="G30" s="208"/>
      <c r="H30" s="208"/>
      <c r="I30" s="208"/>
      <c r="J30" s="208"/>
      <c r="K30" s="1081"/>
      <c r="L30" s="1082"/>
      <c r="M30" s="1082"/>
      <c r="N30" s="1083"/>
      <c r="O30" s="208"/>
      <c r="P30" s="208"/>
      <c r="Q30" s="208"/>
      <c r="R30" s="208"/>
      <c r="S30" s="208"/>
      <c r="T30" s="209"/>
      <c r="U30" s="208"/>
      <c r="V30" s="208"/>
      <c r="W30" s="208"/>
      <c r="X30" s="208"/>
      <c r="Y30" s="208"/>
      <c r="AP30" s="213"/>
      <c r="AQ30" s="213"/>
      <c r="AR30" s="213"/>
      <c r="AS30" s="213"/>
      <c r="AT30" s="210"/>
      <c r="AU30" s="210"/>
    </row>
    <row r="31" spans="5:47" hidden="1" outlineLevel="1">
      <c r="G31" s="208"/>
      <c r="H31" s="208"/>
      <c r="I31" s="208"/>
      <c r="J31" s="208"/>
      <c r="K31" s="1084"/>
      <c r="L31" s="1085"/>
      <c r="M31" s="1085"/>
      <c r="N31" s="1086"/>
      <c r="O31" s="208"/>
      <c r="P31" s="208"/>
      <c r="Q31" s="208"/>
      <c r="R31" s="208"/>
      <c r="S31" s="208"/>
      <c r="T31" s="209"/>
      <c r="U31" s="208"/>
      <c r="V31" s="208"/>
      <c r="W31" s="208"/>
      <c r="X31" s="208"/>
      <c r="Y31" s="208"/>
      <c r="AP31" s="213"/>
      <c r="AQ31" s="213"/>
      <c r="AR31" s="213"/>
      <c r="AS31" s="213"/>
      <c r="AT31" s="210"/>
      <c r="AU31" s="210"/>
    </row>
    <row r="32" spans="5:47" hidden="1" outlineLevel="1">
      <c r="E32" s="208"/>
      <c r="F32" s="208"/>
      <c r="G32" s="208"/>
      <c r="H32" s="208"/>
      <c r="I32" s="208"/>
      <c r="J32" s="208"/>
      <c r="K32" s="244"/>
      <c r="L32" s="244"/>
      <c r="M32" s="244"/>
      <c r="N32" s="244"/>
      <c r="O32" s="208"/>
      <c r="P32" s="208"/>
      <c r="Q32" s="208"/>
      <c r="R32" s="208"/>
      <c r="S32" s="208"/>
      <c r="T32" s="209"/>
      <c r="U32" s="208"/>
      <c r="V32" s="208"/>
      <c r="W32" s="208"/>
      <c r="X32" s="208"/>
      <c r="Y32" s="208"/>
      <c r="AP32" s="213"/>
      <c r="AQ32" s="213"/>
      <c r="AR32" s="213"/>
      <c r="AS32" s="213"/>
      <c r="AT32" s="210"/>
      <c r="AU32" s="210"/>
    </row>
    <row r="33" spans="1:617" hidden="1" outlineLevel="1">
      <c r="E33" s="208"/>
      <c r="F33" s="208"/>
      <c r="G33" s="208"/>
      <c r="H33" s="208"/>
      <c r="I33" s="208"/>
      <c r="J33" s="208"/>
      <c r="K33" s="244"/>
      <c r="L33" s="244"/>
      <c r="M33" s="244"/>
      <c r="N33" s="244"/>
      <c r="O33" s="208"/>
      <c r="P33" s="208"/>
      <c r="Q33" s="208"/>
      <c r="R33" s="208"/>
      <c r="S33" s="208"/>
      <c r="T33" s="209"/>
      <c r="U33" s="208"/>
      <c r="V33" s="208"/>
      <c r="W33" s="208"/>
      <c r="X33" s="208"/>
      <c r="Y33" s="208"/>
      <c r="AP33" s="213"/>
      <c r="AQ33" s="213"/>
      <c r="AR33" s="213"/>
      <c r="AS33" s="213"/>
      <c r="AT33" s="210"/>
      <c r="AU33" s="210"/>
    </row>
    <row r="34" spans="1:617" ht="18" customHeight="1" collapsed="1" thickBot="1">
      <c r="A34" s="245"/>
      <c r="B34" s="245"/>
      <c r="C34" s="1077" t="s">
        <v>235</v>
      </c>
      <c r="D34" s="1077"/>
      <c r="E34" s="1077"/>
      <c r="F34" s="1077"/>
      <c r="G34" s="1077"/>
      <c r="H34" s="1077"/>
      <c r="I34" s="1077"/>
      <c r="J34" s="1077"/>
      <c r="K34" s="1077"/>
      <c r="L34" s="246"/>
      <c r="M34" s="246"/>
      <c r="N34" s="246"/>
      <c r="O34" s="246"/>
      <c r="P34" s="246"/>
      <c r="Q34" s="246"/>
      <c r="R34" s="247"/>
      <c r="S34" s="247"/>
      <c r="T34" s="248"/>
      <c r="U34" s="247"/>
      <c r="V34" s="247"/>
      <c r="W34" s="247"/>
      <c r="X34" s="247"/>
      <c r="Y34" s="247"/>
      <c r="Z34" s="247"/>
      <c r="AA34" s="247"/>
      <c r="AB34" s="249"/>
      <c r="AC34" s="249"/>
      <c r="AD34" s="246"/>
      <c r="AE34" s="246"/>
      <c r="AF34" s="246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AU34" s="250"/>
      <c r="AV34" s="250"/>
      <c r="AW34" s="251"/>
      <c r="AX34" s="251"/>
      <c r="AY34" s="251"/>
      <c r="AZ34" s="251"/>
      <c r="BA34" s="251"/>
      <c r="BB34" s="251"/>
      <c r="BC34" s="206"/>
      <c r="BD34" s="206"/>
      <c r="BE34" s="206"/>
      <c r="BF34" s="206"/>
      <c r="BG34" s="206"/>
      <c r="BH34" s="206"/>
    </row>
    <row r="35" spans="1:617" s="206" customFormat="1" ht="5.0999999999999996" customHeight="1" thickTop="1" thickBot="1">
      <c r="A35" s="252"/>
      <c r="B35" s="252"/>
      <c r="C35" s="253"/>
      <c r="D35" s="253"/>
      <c r="E35" s="253"/>
      <c r="F35" s="253"/>
      <c r="G35" s="253"/>
      <c r="H35" s="253"/>
      <c r="I35" s="253"/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4"/>
      <c r="U35" s="253"/>
      <c r="V35" s="253"/>
      <c r="W35" s="253"/>
      <c r="X35" s="253"/>
      <c r="Y35" s="253"/>
      <c r="Z35" s="253"/>
      <c r="AA35" s="255"/>
      <c r="AB35" s="256"/>
      <c r="AC35" s="256"/>
      <c r="AD35" s="1066"/>
      <c r="AE35" s="1066"/>
      <c r="AF35" s="257"/>
      <c r="AH35" s="258"/>
      <c r="AI35" s="258"/>
      <c r="AJ35" s="258"/>
      <c r="AK35" s="258"/>
      <c r="AL35" s="258"/>
      <c r="AN35" s="259"/>
      <c r="AO35" s="259"/>
      <c r="AP35" s="259"/>
      <c r="AQ35" s="259"/>
      <c r="AR35" s="259"/>
      <c r="AS35" s="259"/>
      <c r="AT35" s="259"/>
      <c r="AU35" s="259"/>
      <c r="AV35" s="259"/>
      <c r="AW35" s="251"/>
      <c r="AX35" s="256"/>
      <c r="AY35" s="256"/>
      <c r="AZ35" s="256"/>
      <c r="BA35" s="256"/>
      <c r="BB35" s="256"/>
    </row>
    <row r="36" spans="1:617" s="206" customFormat="1" ht="31.35" customHeight="1" thickBot="1">
      <c r="A36" s="1067" t="s">
        <v>234</v>
      </c>
      <c r="B36" s="1067" t="e">
        <f>#REF!</f>
        <v>#REF!</v>
      </c>
      <c r="C36" s="1056" t="s">
        <v>171</v>
      </c>
      <c r="D36" s="1056" t="s">
        <v>141</v>
      </c>
      <c r="E36" s="1041" t="s">
        <v>170</v>
      </c>
      <c r="F36" s="1068" t="s">
        <v>233</v>
      </c>
      <c r="G36" s="1041" t="s">
        <v>232</v>
      </c>
      <c r="H36" s="1041" t="s">
        <v>231</v>
      </c>
      <c r="I36" s="1035" t="s">
        <v>230</v>
      </c>
      <c r="J36" s="1072" t="s">
        <v>229</v>
      </c>
      <c r="K36" s="1072" t="s">
        <v>228</v>
      </c>
      <c r="L36" s="1073" t="s">
        <v>227</v>
      </c>
      <c r="M36" s="1052" t="s">
        <v>226</v>
      </c>
      <c r="N36" s="1052" t="s">
        <v>225</v>
      </c>
      <c r="O36" s="1048" t="s">
        <v>224</v>
      </c>
      <c r="P36" s="1049"/>
      <c r="Q36" s="1049"/>
      <c r="R36" s="1050"/>
      <c r="S36" s="260"/>
      <c r="T36" s="1074" t="s">
        <v>223</v>
      </c>
      <c r="U36" s="1074"/>
      <c r="V36" s="1074"/>
      <c r="W36" s="261" t="s">
        <v>222</v>
      </c>
      <c r="X36" s="1070" t="s">
        <v>221</v>
      </c>
      <c r="Y36" s="1070"/>
      <c r="Z36" s="261" t="s">
        <v>220</v>
      </c>
      <c r="AA36" s="262" t="s">
        <v>219</v>
      </c>
      <c r="AB36" s="257"/>
      <c r="AC36" s="1035" t="s">
        <v>218</v>
      </c>
      <c r="AD36" s="1035" t="s">
        <v>217</v>
      </c>
      <c r="AE36" s="1035" t="s">
        <v>216</v>
      </c>
      <c r="AF36" s="1036" t="s">
        <v>162</v>
      </c>
      <c r="AG36" s="263"/>
      <c r="AH36" s="1065" t="s">
        <v>215</v>
      </c>
      <c r="AI36" s="1065"/>
      <c r="AJ36" s="1065"/>
      <c r="AK36" s="1065"/>
      <c r="AL36" s="1055" t="s">
        <v>214</v>
      </c>
      <c r="AM36" s="264"/>
      <c r="AN36" s="1056" t="s">
        <v>171</v>
      </c>
      <c r="AO36" s="1056" t="str">
        <f>E36</f>
        <v>Endereço</v>
      </c>
      <c r="AP36" s="1058" t="s">
        <v>213</v>
      </c>
      <c r="AQ36" s="1058"/>
      <c r="AR36" s="1058"/>
      <c r="AS36" s="1058"/>
      <c r="AT36" s="1059" t="s">
        <v>212</v>
      </c>
      <c r="AU36" s="1060" t="s">
        <v>211</v>
      </c>
      <c r="AV36" s="1061" t="s">
        <v>210</v>
      </c>
      <c r="AW36" s="265"/>
      <c r="AX36" s="256"/>
      <c r="AY36" s="256"/>
      <c r="AZ36" s="256"/>
      <c r="BA36" s="256"/>
      <c r="BB36" s="256"/>
    </row>
    <row r="37" spans="1:617" s="206" customFormat="1" ht="45.75" thickBot="1">
      <c r="A37" s="1067"/>
      <c r="B37" s="1067"/>
      <c r="C37" s="1057"/>
      <c r="D37" s="1057"/>
      <c r="E37" s="1042"/>
      <c r="F37" s="1069"/>
      <c r="G37" s="1042"/>
      <c r="H37" s="1042"/>
      <c r="I37" s="1071"/>
      <c r="J37" s="1072"/>
      <c r="K37" s="1072"/>
      <c r="L37" s="1073"/>
      <c r="M37" s="1052"/>
      <c r="N37" s="1052"/>
      <c r="O37" s="266" t="str">
        <f>IF($AV$39="Sim", "Total com vagas","Total")</f>
        <v>Total com vagas</v>
      </c>
      <c r="P37" s="267" t="s">
        <v>209</v>
      </c>
      <c r="Q37" s="267" t="str">
        <f>IF($AV$39="Sim","Unitário com vagas","Unitário")</f>
        <v>Unitário com vagas</v>
      </c>
      <c r="R37" s="268" t="s">
        <v>208</v>
      </c>
      <c r="S37" s="269"/>
      <c r="T37" s="270" t="s">
        <v>207</v>
      </c>
      <c r="U37" s="271" t="s">
        <v>206</v>
      </c>
      <c r="V37" s="271" t="s">
        <v>205</v>
      </c>
      <c r="W37" s="271"/>
      <c r="X37" s="271" t="s">
        <v>204</v>
      </c>
      <c r="Y37" s="271" t="s">
        <v>203</v>
      </c>
      <c r="Z37" s="271"/>
      <c r="AA37" s="262" t="s">
        <v>662</v>
      </c>
      <c r="AB37" s="254"/>
      <c r="AC37" s="1035"/>
      <c r="AD37" s="1035"/>
      <c r="AE37" s="1035"/>
      <c r="AF37" s="1037"/>
      <c r="AG37" s="263"/>
      <c r="AH37" s="272" t="s">
        <v>202</v>
      </c>
      <c r="AI37" s="272" t="s">
        <v>201</v>
      </c>
      <c r="AJ37" s="272" t="s">
        <v>200</v>
      </c>
      <c r="AK37" s="272" t="s">
        <v>199</v>
      </c>
      <c r="AL37" s="1055"/>
      <c r="AM37" s="264"/>
      <c r="AN37" s="1057"/>
      <c r="AO37" s="1057"/>
      <c r="AP37" s="273" t="s">
        <v>163</v>
      </c>
      <c r="AQ37" s="274" t="s">
        <v>162</v>
      </c>
      <c r="AR37" s="274" t="s">
        <v>161</v>
      </c>
      <c r="AS37" s="274" t="s">
        <v>198</v>
      </c>
      <c r="AT37" s="1059"/>
      <c r="AU37" s="1060"/>
      <c r="AV37" s="1061"/>
      <c r="AW37" s="265"/>
      <c r="AX37" s="256"/>
      <c r="AY37" s="256"/>
      <c r="AZ37" s="256"/>
      <c r="BA37" s="256"/>
      <c r="BB37" s="256"/>
    </row>
    <row r="38" spans="1:617" s="206" customFormat="1" ht="16.5" customHeight="1" thickBot="1">
      <c r="A38" s="275"/>
      <c r="B38" s="275"/>
      <c r="C38" s="275"/>
      <c r="D38" s="275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53"/>
      <c r="R38" s="276"/>
      <c r="S38" s="276"/>
      <c r="T38" s="277"/>
      <c r="U38" s="276"/>
      <c r="V38" s="276"/>
      <c r="W38" s="276"/>
      <c r="X38" s="276"/>
      <c r="Y38" s="276"/>
      <c r="Z38" s="276"/>
      <c r="AA38" s="276"/>
      <c r="AB38" s="254"/>
      <c r="AC38" s="254"/>
      <c r="AD38" s="1051" t="s">
        <v>156</v>
      </c>
      <c r="AE38" s="1051"/>
      <c r="AF38" s="278"/>
      <c r="AG38" s="263"/>
      <c r="AH38" s="279"/>
      <c r="AI38" s="279"/>
      <c r="AJ38" s="279"/>
      <c r="AK38" s="279"/>
      <c r="AL38" s="279"/>
      <c r="AM38" s="257"/>
      <c r="AN38" s="280" t="s">
        <v>156</v>
      </c>
      <c r="AO38" s="280"/>
      <c r="AP38" s="280"/>
      <c r="AQ38" s="280" t="s">
        <v>197</v>
      </c>
      <c r="AR38" s="280"/>
      <c r="AS38" s="280"/>
      <c r="AT38" s="280"/>
      <c r="AU38" s="280"/>
      <c r="AV38" s="281" t="s">
        <v>196</v>
      </c>
      <c r="AW38" s="256"/>
      <c r="AX38" s="256"/>
      <c r="AY38" s="256"/>
      <c r="AZ38" s="256"/>
      <c r="BA38" s="256"/>
      <c r="BB38" s="256"/>
      <c r="BP38" s="206">
        <f>LEN(BP39)</f>
        <v>10</v>
      </c>
      <c r="BQ38" s="206">
        <f t="shared" ref="BQ38:CB38" si="0">LEN(BQ39)</f>
        <v>6</v>
      </c>
      <c r="BR38" s="206">
        <f t="shared" si="0"/>
        <v>6</v>
      </c>
      <c r="BS38" s="206">
        <f t="shared" si="0"/>
        <v>6</v>
      </c>
      <c r="BT38" s="206">
        <f t="shared" si="0"/>
        <v>11</v>
      </c>
      <c r="BU38" s="206">
        <f t="shared" si="0"/>
        <v>13</v>
      </c>
      <c r="BV38" s="206">
        <f t="shared" si="0"/>
        <v>5</v>
      </c>
      <c r="BW38" s="206">
        <f t="shared" si="0"/>
        <v>10</v>
      </c>
      <c r="BX38" s="206">
        <f t="shared" si="0"/>
        <v>4</v>
      </c>
      <c r="BY38" s="206">
        <f t="shared" si="0"/>
        <v>15</v>
      </c>
      <c r="BZ38" s="206">
        <f t="shared" si="0"/>
        <v>7</v>
      </c>
      <c r="CA38" s="206">
        <f t="shared" si="0"/>
        <v>9</v>
      </c>
      <c r="CB38" s="206">
        <f t="shared" si="0"/>
        <v>7</v>
      </c>
      <c r="CD38" s="1028" t="s">
        <v>10745</v>
      </c>
      <c r="CE38" s="1028"/>
      <c r="CF38" s="1028"/>
      <c r="CG38" s="1028"/>
      <c r="CH38" s="1028"/>
      <c r="CI38" s="1028"/>
      <c r="CJ38" s="1028"/>
      <c r="CK38" s="1028"/>
      <c r="CL38" s="1028"/>
      <c r="CM38" s="1028"/>
      <c r="CN38" s="1028"/>
      <c r="CO38" s="1028"/>
      <c r="CP38" s="1028"/>
    </row>
    <row r="39" spans="1:617" s="302" customFormat="1" ht="29.1" customHeight="1" thickBot="1">
      <c r="A39" s="282"/>
      <c r="B39" s="282"/>
      <c r="C39" s="283" t="s">
        <v>153</v>
      </c>
      <c r="D39" s="284"/>
      <c r="E39" s="860" t="str">
        <f>$F$3</f>
        <v>R VOLUNTARIOS DA PATRIA, 654</v>
      </c>
      <c r="F39" s="861" t="str">
        <f>F4</f>
        <v>Sala Comercial</v>
      </c>
      <c r="G39" s="861" t="str">
        <f>F6</f>
        <v>Santana</v>
      </c>
      <c r="H39" s="861" t="str">
        <f>F7</f>
        <v>São Paulo</v>
      </c>
      <c r="I39" s="861" t="str">
        <f>F8</f>
        <v>SP</v>
      </c>
      <c r="J39" s="861">
        <f>F13</f>
        <v>0</v>
      </c>
      <c r="K39" s="862">
        <f>IF(OR(F4="Apartamento",F4="Sala Comercial"),F9,MAX(F9:F10))</f>
        <v>46.73</v>
      </c>
      <c r="L39" s="863">
        <f>F12</f>
        <v>1</v>
      </c>
      <c r="M39" s="285">
        <f>K39/L39</f>
        <v>46.73</v>
      </c>
      <c r="N39" s="285"/>
      <c r="O39" s="870"/>
      <c r="P39" s="284"/>
      <c r="Q39" s="286"/>
      <c r="R39" s="286"/>
      <c r="S39" s="284"/>
      <c r="T39" s="870"/>
      <c r="U39" s="284"/>
      <c r="V39" s="287"/>
      <c r="W39" s="876"/>
      <c r="X39" s="877"/>
      <c r="Y39" s="878"/>
      <c r="Z39" s="284"/>
      <c r="AA39" s="888"/>
      <c r="AB39" s="254"/>
      <c r="AC39" s="288">
        <f>Inputs!H53</f>
        <v>2005</v>
      </c>
      <c r="AD39" s="289">
        <f>Inputs!H52</f>
        <v>15</v>
      </c>
      <c r="AE39" s="290" t="str">
        <f>Inputs!H54</f>
        <v>C</v>
      </c>
      <c r="AF39" s="291">
        <f>Inputs!H51</f>
        <v>8</v>
      </c>
      <c r="AG39" s="263"/>
      <c r="AH39" s="292">
        <f>AD39/$F$26</f>
        <v>0.2</v>
      </c>
      <c r="AI39" s="292">
        <f>IF(AE39=$BJ$40,$BM$40,IF(AE39=$BJ$41,$BM$41,IF(AE39=$BJ$42,$BM$42,IF(AE39=$BJ$43,$BM$43,IF(AE39=$BJ$44,$BM$44,IF(AE39=$BJ$45,$BM$45,IF(AE39=$BJ$46,$BM$46,IF(AE39=$BJ$47,$BM$47,100%))))))))</f>
        <v>2.52E-2</v>
      </c>
      <c r="AJ39" s="292">
        <f>((0.5* (AH39+AH39^2))*(1-AI39)+AI39)</f>
        <v>0.14217600000000002</v>
      </c>
      <c r="AK39" s="292">
        <f>1-AJ39</f>
        <v>0.85782399999999992</v>
      </c>
      <c r="AL39" s="293"/>
      <c r="AM39" s="294"/>
      <c r="AN39" s="295" t="str">
        <f>C39</f>
        <v>-</v>
      </c>
      <c r="AO39" s="296" t="str">
        <f>E39</f>
        <v>R VOLUNTARIOS DA PATRIA, 654</v>
      </c>
      <c r="AP39" s="297"/>
      <c r="AQ39" s="298" t="s">
        <v>122</v>
      </c>
      <c r="AR39" s="298" t="s">
        <v>122</v>
      </c>
      <c r="AS39" s="298" t="s">
        <v>122</v>
      </c>
      <c r="AT39" s="297"/>
      <c r="AU39" s="297"/>
      <c r="AV39" s="299" t="s">
        <v>122</v>
      </c>
      <c r="AW39" s="300"/>
      <c r="AX39" s="301"/>
      <c r="AY39" s="301"/>
      <c r="AZ39" s="301"/>
      <c r="BA39" s="301"/>
      <c r="BB39" s="301"/>
      <c r="BD39" s="303" t="s">
        <v>195</v>
      </c>
      <c r="BE39" s="304"/>
      <c r="BF39" s="304"/>
      <c r="BG39" s="304"/>
      <c r="BH39" s="305"/>
      <c r="BI39" s="305"/>
      <c r="BJ39" s="306" t="s">
        <v>173</v>
      </c>
      <c r="BK39" s="307"/>
      <c r="BL39" s="307"/>
      <c r="BM39" s="307"/>
      <c r="BN39" s="305"/>
      <c r="BO39" s="962" t="s">
        <v>10744</v>
      </c>
      <c r="BP39" s="963" t="s">
        <v>10732</v>
      </c>
      <c r="BQ39" s="963" t="s">
        <v>10733</v>
      </c>
      <c r="BR39" s="963" t="s">
        <v>10734</v>
      </c>
      <c r="BS39" s="963" t="s">
        <v>10735</v>
      </c>
      <c r="BT39" s="963" t="s">
        <v>10736</v>
      </c>
      <c r="BU39" s="963" t="s">
        <v>10737</v>
      </c>
      <c r="BV39" s="963" t="s">
        <v>10738</v>
      </c>
      <c r="BW39" s="963" t="s">
        <v>10739</v>
      </c>
      <c r="BX39" s="963" t="s">
        <v>204</v>
      </c>
      <c r="BY39" s="963" t="s">
        <v>10740</v>
      </c>
      <c r="BZ39" s="963" t="s">
        <v>10741</v>
      </c>
      <c r="CA39" s="963" t="s">
        <v>10742</v>
      </c>
      <c r="CB39" s="963" t="s">
        <v>10743</v>
      </c>
      <c r="CC39" s="305"/>
      <c r="CD39" s="963" t="s">
        <v>10732</v>
      </c>
      <c r="CE39" s="963" t="s">
        <v>10733</v>
      </c>
      <c r="CF39" s="963" t="s">
        <v>10734</v>
      </c>
      <c r="CG39" s="963" t="s">
        <v>10735</v>
      </c>
      <c r="CH39" s="963" t="s">
        <v>10736</v>
      </c>
      <c r="CI39" s="963" t="s">
        <v>10737</v>
      </c>
      <c r="CJ39" s="963" t="s">
        <v>10738</v>
      </c>
      <c r="CK39" s="963" t="s">
        <v>10739</v>
      </c>
      <c r="CL39" s="963" t="s">
        <v>204</v>
      </c>
      <c r="CM39" s="963" t="s">
        <v>10740</v>
      </c>
      <c r="CN39" s="963" t="s">
        <v>10741</v>
      </c>
      <c r="CO39" s="963" t="s">
        <v>10742</v>
      </c>
      <c r="CP39" s="963" t="s">
        <v>10743</v>
      </c>
      <c r="CQ39" s="305"/>
      <c r="CR39" s="305"/>
      <c r="CS39" s="305"/>
      <c r="CT39" s="305"/>
      <c r="CU39" s="305"/>
      <c r="CV39" s="305"/>
      <c r="CW39" s="305"/>
      <c r="CX39" s="305"/>
      <c r="CY39" s="305"/>
      <c r="CZ39" s="305"/>
      <c r="DA39" s="305"/>
      <c r="DB39" s="305"/>
      <c r="DC39" s="305"/>
      <c r="DD39" s="305"/>
      <c r="DE39" s="305"/>
      <c r="DF39" s="305"/>
      <c r="DG39" s="305"/>
      <c r="DH39" s="305"/>
      <c r="DI39" s="305"/>
      <c r="DJ39" s="305"/>
      <c r="DK39" s="305"/>
      <c r="DL39" s="305"/>
      <c r="DM39" s="305"/>
      <c r="DN39" s="305"/>
      <c r="DO39" s="305"/>
      <c r="DP39" s="305"/>
      <c r="DQ39" s="305"/>
      <c r="DR39" s="305"/>
      <c r="DS39" s="305"/>
      <c r="DT39" s="305"/>
      <c r="DU39" s="305"/>
      <c r="DV39" s="305"/>
      <c r="DW39" s="305"/>
      <c r="DX39" s="305"/>
      <c r="DY39" s="305"/>
      <c r="DZ39" s="305"/>
      <c r="EA39" s="305"/>
      <c r="EB39" s="305"/>
      <c r="EC39" s="305"/>
      <c r="ED39" s="305"/>
      <c r="EE39" s="305"/>
      <c r="EF39" s="305"/>
      <c r="EG39" s="305"/>
      <c r="EH39" s="305"/>
      <c r="EI39" s="305"/>
      <c r="EJ39" s="305"/>
      <c r="EK39" s="305"/>
      <c r="EL39" s="305"/>
      <c r="EM39" s="305"/>
      <c r="EN39" s="305"/>
      <c r="EO39" s="305"/>
      <c r="EP39" s="305"/>
      <c r="EQ39" s="305"/>
      <c r="ER39" s="305"/>
      <c r="ES39" s="305"/>
      <c r="ET39" s="305"/>
      <c r="EU39" s="305"/>
      <c r="EV39" s="305"/>
      <c r="EW39" s="305"/>
      <c r="EX39" s="305"/>
      <c r="EY39" s="305"/>
      <c r="EZ39" s="305"/>
      <c r="FA39" s="305"/>
      <c r="FB39" s="305"/>
      <c r="FC39" s="305"/>
      <c r="FD39" s="305"/>
      <c r="FE39" s="305"/>
      <c r="FF39" s="305"/>
      <c r="FG39" s="305"/>
      <c r="FH39" s="305"/>
      <c r="FI39" s="305"/>
      <c r="FJ39" s="305"/>
      <c r="FK39" s="305"/>
      <c r="FL39" s="305"/>
      <c r="FM39" s="305"/>
      <c r="FN39" s="305"/>
      <c r="FO39" s="305"/>
      <c r="FP39" s="305"/>
      <c r="FQ39" s="305"/>
      <c r="FR39" s="305"/>
      <c r="FS39" s="305"/>
      <c r="FT39" s="305"/>
      <c r="FU39" s="305"/>
      <c r="FV39" s="305"/>
      <c r="FW39" s="305"/>
      <c r="FX39" s="305"/>
      <c r="FY39" s="305"/>
      <c r="FZ39" s="305"/>
      <c r="GA39" s="305"/>
      <c r="GB39" s="305"/>
      <c r="GC39" s="305"/>
      <c r="GD39" s="305"/>
      <c r="GE39" s="305"/>
      <c r="GF39" s="305"/>
      <c r="GG39" s="305"/>
      <c r="GH39" s="305"/>
      <c r="GI39" s="305"/>
      <c r="GJ39" s="305"/>
      <c r="GK39" s="305"/>
      <c r="GL39" s="305"/>
      <c r="GM39" s="305"/>
      <c r="GN39" s="305"/>
      <c r="GO39" s="305"/>
      <c r="GP39" s="305"/>
      <c r="GQ39" s="305"/>
      <c r="GR39" s="305"/>
      <c r="GS39" s="305"/>
      <c r="GT39" s="305"/>
      <c r="GU39" s="305"/>
      <c r="GV39" s="305"/>
      <c r="GW39" s="305"/>
      <c r="GX39" s="305"/>
      <c r="GY39" s="305"/>
      <c r="GZ39" s="305"/>
      <c r="HA39" s="305"/>
      <c r="HB39" s="305"/>
      <c r="HC39" s="305"/>
      <c r="HD39" s="305"/>
      <c r="HE39" s="305"/>
      <c r="HF39" s="305"/>
      <c r="HG39" s="305"/>
      <c r="HH39" s="305"/>
      <c r="HI39" s="305"/>
      <c r="HJ39" s="305"/>
      <c r="HK39" s="305"/>
      <c r="HL39" s="305"/>
      <c r="HM39" s="305"/>
      <c r="HN39" s="305"/>
      <c r="HO39" s="305"/>
      <c r="HP39" s="305"/>
      <c r="HQ39" s="305"/>
      <c r="HR39" s="305"/>
      <c r="HS39" s="305"/>
      <c r="HT39" s="305"/>
      <c r="HU39" s="305"/>
      <c r="HV39" s="305"/>
      <c r="HW39" s="305"/>
      <c r="HX39" s="305"/>
      <c r="HY39" s="305"/>
      <c r="HZ39" s="305"/>
      <c r="IA39" s="305"/>
      <c r="IB39" s="305"/>
      <c r="IC39" s="305"/>
      <c r="ID39" s="305"/>
      <c r="IE39" s="305"/>
      <c r="IF39" s="305"/>
      <c r="IG39" s="305"/>
      <c r="IH39" s="305"/>
      <c r="II39" s="305"/>
      <c r="IJ39" s="305"/>
      <c r="IK39" s="305"/>
      <c r="IL39" s="305"/>
      <c r="IM39" s="305"/>
      <c r="IN39" s="305"/>
      <c r="IO39" s="305"/>
      <c r="IP39" s="305"/>
      <c r="IQ39" s="305"/>
      <c r="IR39" s="305"/>
      <c r="IS39" s="305"/>
      <c r="IT39" s="305"/>
      <c r="IU39" s="305"/>
      <c r="IV39" s="305"/>
      <c r="IW39" s="305"/>
      <c r="IX39" s="305"/>
      <c r="IY39" s="305"/>
      <c r="IZ39" s="305"/>
      <c r="JA39" s="305"/>
      <c r="JB39" s="305"/>
      <c r="JC39" s="305"/>
      <c r="JD39" s="305"/>
      <c r="JE39" s="305"/>
      <c r="JF39" s="305"/>
      <c r="JG39" s="305"/>
      <c r="JH39" s="305"/>
      <c r="JI39" s="305"/>
      <c r="JJ39" s="305"/>
      <c r="JK39" s="305"/>
      <c r="JL39" s="305"/>
      <c r="JM39" s="305"/>
      <c r="JN39" s="305"/>
      <c r="JO39" s="305"/>
      <c r="JP39" s="305"/>
      <c r="JQ39" s="305"/>
      <c r="JR39" s="305"/>
      <c r="JS39" s="305"/>
      <c r="JT39" s="305"/>
      <c r="JU39" s="305"/>
      <c r="JV39" s="305"/>
      <c r="JW39" s="305"/>
      <c r="JX39" s="305"/>
      <c r="JY39" s="305"/>
      <c r="JZ39" s="305"/>
      <c r="KA39" s="305"/>
      <c r="KB39" s="305"/>
      <c r="KC39" s="305"/>
      <c r="KD39" s="305"/>
      <c r="KE39" s="305"/>
      <c r="KF39" s="305"/>
      <c r="KG39" s="305"/>
      <c r="KH39" s="305"/>
      <c r="KI39" s="305"/>
      <c r="KJ39" s="305"/>
      <c r="KK39" s="305"/>
      <c r="KL39" s="305"/>
      <c r="KM39" s="305"/>
      <c r="KN39" s="305"/>
      <c r="KO39" s="305"/>
      <c r="KP39" s="305"/>
      <c r="KQ39" s="305"/>
      <c r="KR39" s="305"/>
      <c r="KS39" s="305"/>
      <c r="KT39" s="305"/>
      <c r="KU39" s="305"/>
      <c r="KV39" s="305"/>
      <c r="KW39" s="305"/>
      <c r="KX39" s="305"/>
      <c r="KY39" s="305"/>
      <c r="KZ39" s="305"/>
      <c r="LA39" s="305"/>
      <c r="LB39" s="305"/>
      <c r="LC39" s="305"/>
      <c r="LD39" s="305"/>
      <c r="LE39" s="305"/>
      <c r="LF39" s="305"/>
      <c r="LG39" s="305"/>
      <c r="LH39" s="305"/>
      <c r="LI39" s="305"/>
      <c r="LJ39" s="305"/>
      <c r="LK39" s="305"/>
      <c r="LL39" s="305"/>
      <c r="LM39" s="305"/>
      <c r="LN39" s="305"/>
      <c r="LO39" s="305"/>
      <c r="LP39" s="305"/>
      <c r="LQ39" s="305"/>
      <c r="LR39" s="305"/>
      <c r="LS39" s="305"/>
      <c r="LT39" s="305"/>
      <c r="LU39" s="305"/>
      <c r="LV39" s="305"/>
      <c r="LW39" s="305"/>
      <c r="LX39" s="305"/>
      <c r="LY39" s="305"/>
      <c r="LZ39" s="305"/>
      <c r="MA39" s="305"/>
      <c r="MB39" s="305"/>
      <c r="MC39" s="305"/>
      <c r="MD39" s="305"/>
      <c r="ME39" s="305"/>
      <c r="MF39" s="305"/>
      <c r="MG39" s="305"/>
      <c r="MH39" s="305"/>
      <c r="MI39" s="305"/>
      <c r="MJ39" s="305"/>
      <c r="MK39" s="305"/>
      <c r="ML39" s="305"/>
      <c r="MM39" s="305"/>
      <c r="MN39" s="305"/>
      <c r="MO39" s="305"/>
      <c r="MP39" s="305"/>
      <c r="MQ39" s="305"/>
      <c r="MR39" s="305"/>
      <c r="MS39" s="305"/>
      <c r="MT39" s="305"/>
      <c r="MU39" s="305"/>
      <c r="MV39" s="305"/>
      <c r="MW39" s="305"/>
      <c r="MX39" s="305"/>
      <c r="MY39" s="305"/>
      <c r="MZ39" s="305"/>
      <c r="NA39" s="305"/>
      <c r="NB39" s="305"/>
      <c r="NC39" s="305"/>
      <c r="ND39" s="305"/>
      <c r="NE39" s="305"/>
      <c r="NF39" s="305"/>
      <c r="NG39" s="305"/>
      <c r="NH39" s="305"/>
      <c r="NI39" s="305"/>
      <c r="NJ39" s="305"/>
      <c r="NK39" s="305"/>
      <c r="NL39" s="305"/>
      <c r="NM39" s="305"/>
      <c r="NN39" s="305"/>
      <c r="NO39" s="305"/>
      <c r="NP39" s="305"/>
      <c r="NQ39" s="305"/>
      <c r="NR39" s="305"/>
      <c r="NS39" s="305"/>
      <c r="NT39" s="305"/>
      <c r="NU39" s="305"/>
      <c r="NV39" s="305"/>
      <c r="NW39" s="305"/>
      <c r="NX39" s="305"/>
      <c r="NY39" s="305"/>
      <c r="NZ39" s="305"/>
      <c r="OA39" s="305"/>
      <c r="OB39" s="305"/>
      <c r="OC39" s="305"/>
      <c r="OD39" s="305"/>
      <c r="OE39" s="305"/>
      <c r="OF39" s="305"/>
      <c r="OG39" s="305"/>
      <c r="OH39" s="305"/>
      <c r="OI39" s="305"/>
      <c r="OJ39" s="305"/>
      <c r="OK39" s="305"/>
      <c r="OL39" s="305"/>
      <c r="OM39" s="305"/>
      <c r="ON39" s="305"/>
      <c r="OO39" s="305"/>
      <c r="OP39" s="305"/>
      <c r="OQ39" s="305"/>
      <c r="OR39" s="305"/>
      <c r="OS39" s="305"/>
      <c r="OT39" s="305"/>
      <c r="OU39" s="305"/>
      <c r="OV39" s="305"/>
      <c r="OW39" s="305"/>
      <c r="OX39" s="305"/>
      <c r="OY39" s="305"/>
      <c r="OZ39" s="305"/>
      <c r="PA39" s="305"/>
      <c r="PB39" s="305"/>
      <c r="PC39" s="305"/>
      <c r="PD39" s="305"/>
      <c r="PE39" s="305"/>
      <c r="PF39" s="305"/>
      <c r="PG39" s="305"/>
      <c r="PH39" s="305"/>
      <c r="PI39" s="305"/>
      <c r="PJ39" s="305"/>
      <c r="PK39" s="305"/>
      <c r="PL39" s="305"/>
      <c r="PM39" s="305"/>
      <c r="PN39" s="305"/>
      <c r="PO39" s="305"/>
      <c r="PP39" s="305"/>
      <c r="PQ39" s="305"/>
      <c r="PR39" s="305"/>
      <c r="PS39" s="305"/>
      <c r="PT39" s="305"/>
      <c r="PU39" s="305"/>
      <c r="PV39" s="305"/>
      <c r="PW39" s="305"/>
      <c r="PX39" s="305"/>
      <c r="PY39" s="305"/>
      <c r="PZ39" s="305"/>
      <c r="QA39" s="305"/>
      <c r="QB39" s="305"/>
      <c r="QC39" s="305"/>
      <c r="QD39" s="305"/>
      <c r="QE39" s="305"/>
      <c r="QF39" s="305"/>
      <c r="QG39" s="305"/>
      <c r="QH39" s="305"/>
      <c r="QI39" s="305"/>
      <c r="QJ39" s="305"/>
      <c r="QK39" s="305"/>
      <c r="QL39" s="305"/>
      <c r="QM39" s="305"/>
      <c r="QN39" s="305"/>
      <c r="QO39" s="305"/>
      <c r="QP39" s="305"/>
      <c r="QQ39" s="305"/>
      <c r="QR39" s="305"/>
      <c r="QS39" s="305"/>
      <c r="QT39" s="305"/>
      <c r="QU39" s="305"/>
      <c r="QV39" s="305"/>
      <c r="QW39" s="305"/>
      <c r="QX39" s="305"/>
      <c r="QY39" s="305"/>
      <c r="QZ39" s="305"/>
      <c r="RA39" s="305"/>
      <c r="RB39" s="305"/>
      <c r="RC39" s="305"/>
      <c r="RD39" s="305"/>
      <c r="RE39" s="305"/>
      <c r="RF39" s="305"/>
      <c r="RG39" s="305"/>
      <c r="RH39" s="305"/>
      <c r="RI39" s="305"/>
      <c r="RJ39" s="305"/>
      <c r="RK39" s="305"/>
      <c r="RL39" s="305"/>
      <c r="RM39" s="305"/>
      <c r="RN39" s="305"/>
      <c r="RO39" s="305"/>
      <c r="RP39" s="305"/>
      <c r="RQ39" s="305"/>
      <c r="RR39" s="305"/>
      <c r="RS39" s="305"/>
      <c r="RT39" s="305"/>
      <c r="RU39" s="305"/>
      <c r="RV39" s="305"/>
      <c r="RW39" s="305"/>
      <c r="RX39" s="305"/>
      <c r="RY39" s="305"/>
      <c r="RZ39" s="305"/>
      <c r="SA39" s="305"/>
      <c r="SB39" s="305"/>
      <c r="SC39" s="305"/>
      <c r="SD39" s="305"/>
      <c r="SE39" s="305"/>
      <c r="SF39" s="305"/>
      <c r="SG39" s="305"/>
      <c r="SH39" s="305"/>
      <c r="SI39" s="305"/>
      <c r="SJ39" s="305"/>
      <c r="SK39" s="305"/>
      <c r="SL39" s="305"/>
      <c r="SM39" s="305"/>
      <c r="SN39" s="305"/>
      <c r="SO39" s="305"/>
      <c r="SP39" s="305"/>
      <c r="SQ39" s="305"/>
      <c r="SR39" s="305"/>
      <c r="SS39" s="305"/>
      <c r="ST39" s="305"/>
      <c r="SU39" s="305"/>
      <c r="SV39" s="305"/>
      <c r="SW39" s="305"/>
      <c r="SX39" s="305"/>
      <c r="SY39" s="305"/>
      <c r="SZ39" s="305"/>
      <c r="TA39" s="305"/>
      <c r="TB39" s="305"/>
      <c r="TC39" s="305"/>
      <c r="TD39" s="305"/>
      <c r="TE39" s="305"/>
      <c r="TF39" s="305"/>
      <c r="TG39" s="305"/>
      <c r="TH39" s="305"/>
      <c r="TI39" s="305"/>
      <c r="TJ39" s="305"/>
      <c r="TK39" s="305"/>
      <c r="TL39" s="305"/>
      <c r="TM39" s="305"/>
      <c r="TN39" s="305"/>
      <c r="TO39" s="305"/>
      <c r="TP39" s="305"/>
      <c r="TQ39" s="305"/>
      <c r="TR39" s="305"/>
      <c r="TS39" s="305"/>
      <c r="TT39" s="305"/>
      <c r="TU39" s="305"/>
      <c r="TV39" s="305"/>
      <c r="TW39" s="305"/>
      <c r="TX39" s="305"/>
      <c r="TY39" s="305"/>
      <c r="TZ39" s="305"/>
      <c r="UA39" s="305"/>
      <c r="UB39" s="305"/>
      <c r="UC39" s="305"/>
      <c r="UD39" s="305"/>
      <c r="UE39" s="305"/>
      <c r="UF39" s="305"/>
      <c r="UG39" s="305"/>
      <c r="UH39" s="305"/>
      <c r="UI39" s="305"/>
      <c r="UJ39" s="305"/>
      <c r="UK39" s="305"/>
      <c r="UL39" s="305"/>
      <c r="UM39" s="305"/>
      <c r="UN39" s="305"/>
      <c r="UO39" s="305"/>
      <c r="UP39" s="305"/>
      <c r="UQ39" s="305"/>
      <c r="UR39" s="305"/>
      <c r="US39" s="305"/>
      <c r="UT39" s="305"/>
      <c r="UU39" s="305"/>
      <c r="UV39" s="305"/>
      <c r="UW39" s="305"/>
      <c r="UX39" s="305"/>
      <c r="UY39" s="305"/>
      <c r="UZ39" s="305"/>
      <c r="VA39" s="305"/>
      <c r="VB39" s="305"/>
      <c r="VC39" s="305"/>
      <c r="VD39" s="305"/>
      <c r="VE39" s="305"/>
      <c r="VF39" s="305"/>
      <c r="VG39" s="305"/>
      <c r="VH39" s="305"/>
      <c r="VI39" s="305"/>
      <c r="VJ39" s="305"/>
      <c r="VK39" s="305"/>
      <c r="VL39" s="305"/>
      <c r="VM39" s="305"/>
      <c r="VN39" s="305"/>
      <c r="VO39" s="305"/>
      <c r="VP39" s="305"/>
      <c r="VQ39" s="305"/>
      <c r="VR39" s="305"/>
      <c r="VS39" s="305"/>
      <c r="VT39" s="305"/>
      <c r="VU39" s="305"/>
      <c r="VV39" s="305"/>
      <c r="VW39" s="305"/>
      <c r="VX39" s="305"/>
      <c r="VY39" s="305"/>
      <c r="VZ39" s="305"/>
      <c r="WA39" s="305"/>
      <c r="WB39" s="305"/>
      <c r="WC39" s="305"/>
      <c r="WD39" s="305"/>
      <c r="WE39" s="305"/>
      <c r="WF39" s="305"/>
      <c r="WG39" s="305"/>
      <c r="WH39" s="305"/>
      <c r="WI39" s="305"/>
      <c r="WJ39" s="305"/>
      <c r="WK39" s="305"/>
      <c r="WL39" s="305"/>
      <c r="WM39" s="305"/>
      <c r="WN39" s="305"/>
      <c r="WO39" s="305"/>
      <c r="WP39" s="305"/>
      <c r="WQ39" s="305"/>
      <c r="WR39" s="305"/>
      <c r="WS39" s="305"/>
    </row>
    <row r="40" spans="1:617" s="206" customFormat="1" ht="16.5" customHeight="1" thickBot="1">
      <c r="A40" s="308"/>
      <c r="B40" s="309"/>
      <c r="C40" s="310"/>
      <c r="D40" s="310"/>
      <c r="E40" s="864" t="s">
        <v>194</v>
      </c>
      <c r="F40" s="865"/>
      <c r="G40" s="865"/>
      <c r="H40" s="865"/>
      <c r="I40" s="865"/>
      <c r="J40" s="866"/>
      <c r="K40" s="867"/>
      <c r="L40" s="868"/>
      <c r="M40" s="310"/>
      <c r="N40" s="504"/>
      <c r="O40" s="871"/>
      <c r="P40" s="310"/>
      <c r="Q40" s="311"/>
      <c r="R40" s="311"/>
      <c r="S40" s="310"/>
      <c r="T40" s="871"/>
      <c r="U40" s="310"/>
      <c r="V40" s="312"/>
      <c r="W40" s="879"/>
      <c r="X40" s="880"/>
      <c r="Y40" s="881"/>
      <c r="Z40" s="310"/>
      <c r="AA40" s="889"/>
      <c r="AB40" s="254"/>
      <c r="AC40" s="892"/>
      <c r="AD40" s="893"/>
      <c r="AE40" s="893"/>
      <c r="AF40" s="894"/>
      <c r="AG40" s="263"/>
      <c r="AH40" s="313"/>
      <c r="AI40" s="313"/>
      <c r="AJ40" s="313"/>
      <c r="AK40" s="313"/>
      <c r="AL40" s="313"/>
      <c r="AM40" s="314"/>
      <c r="AN40" s="315" t="s">
        <v>194</v>
      </c>
      <c r="AO40" s="315"/>
      <c r="AP40" s="315"/>
      <c r="AQ40" s="315"/>
      <c r="AR40" s="315"/>
      <c r="AS40" s="315"/>
      <c r="AT40" s="315"/>
      <c r="AU40" s="315"/>
      <c r="AV40" s="315"/>
      <c r="AW40" s="316"/>
      <c r="AX40" s="256"/>
      <c r="AY40" s="256"/>
      <c r="AZ40" s="256"/>
      <c r="BA40" s="256"/>
      <c r="BB40" s="256"/>
      <c r="BD40" s="317" t="s">
        <v>193</v>
      </c>
      <c r="BE40" s="318"/>
      <c r="BF40" s="319" t="s">
        <v>192</v>
      </c>
      <c r="BG40" s="320"/>
      <c r="BJ40" s="321" t="s">
        <v>166</v>
      </c>
      <c r="BK40" s="322" t="s">
        <v>165</v>
      </c>
      <c r="BL40" s="322"/>
      <c r="BM40" s="323">
        <v>0</v>
      </c>
    </row>
    <row r="41" spans="1:617" s="206" customFormat="1" ht="16.5" customHeight="1" thickBot="1">
      <c r="A41" s="869" t="s">
        <v>11021</v>
      </c>
      <c r="B41" s="324">
        <v>1</v>
      </c>
      <c r="C41" s="325">
        <f>IF(A41="S",1,IF(A41="N",""))</f>
        <v>1</v>
      </c>
      <c r="D41" s="326"/>
      <c r="E41" s="860" t="s">
        <v>11005</v>
      </c>
      <c r="F41" s="964" t="s">
        <v>387</v>
      </c>
      <c r="G41" s="964" t="s">
        <v>7406</v>
      </c>
      <c r="H41" s="964" t="s">
        <v>450</v>
      </c>
      <c r="I41" s="964" t="s">
        <v>354</v>
      </c>
      <c r="J41" s="964" t="str">
        <f t="shared" ref="J41" si="1">IFERROR(BT41,"")</f>
        <v/>
      </c>
      <c r="K41" s="964">
        <v>39</v>
      </c>
      <c r="L41" s="965">
        <v>1</v>
      </c>
      <c r="M41" s="325">
        <f>IFERROR(K41/L41,"")</f>
        <v>39</v>
      </c>
      <c r="N41" s="534">
        <f>$N$39</f>
        <v>0</v>
      </c>
      <c r="O41" s="327">
        <v>390000</v>
      </c>
      <c r="P41" s="325">
        <f>IFERROR(O41-(N41*L41),"")</f>
        <v>390000</v>
      </c>
      <c r="Q41" s="328">
        <f>IFERROR(O41/K41,"")</f>
        <v>10000</v>
      </c>
      <c r="R41" s="328">
        <f>IFERROR((P41/K41),"")</f>
        <v>10000</v>
      </c>
      <c r="S41" s="325"/>
      <c r="T41" s="329">
        <v>0.9</v>
      </c>
      <c r="U41" s="325">
        <f>IFERROR(($Q41*$T41),"")</f>
        <v>9000</v>
      </c>
      <c r="V41" s="330">
        <f>IFERROR(($R41*$T41),"")</f>
        <v>9000</v>
      </c>
      <c r="W41" s="331" t="s">
        <v>11025</v>
      </c>
      <c r="X41" s="977" t="str">
        <f>IFERROR(BX41,"")</f>
        <v/>
      </c>
      <c r="Y41" s="978" t="str">
        <f>IFERROR(BY41,"")</f>
        <v/>
      </c>
      <c r="Z41" s="325" t="s">
        <v>164</v>
      </c>
      <c r="AA41" s="988" t="s">
        <v>11020</v>
      </c>
      <c r="AB41" s="254"/>
      <c r="AC41" s="335">
        <v>2014</v>
      </c>
      <c r="AD41" s="336">
        <v>15</v>
      </c>
      <c r="AE41" s="336" t="s">
        <v>155</v>
      </c>
      <c r="AF41" s="337">
        <v>8.5</v>
      </c>
      <c r="AG41" s="263"/>
      <c r="AH41" s="338">
        <f t="shared" ref="AH41:AH60" si="2">AD41/$F$26</f>
        <v>0.2</v>
      </c>
      <c r="AI41" s="338">
        <f t="shared" ref="AI41:AI60" si="3">IF(AE41=$BJ$40,$BM$40,IF(AE41=$BJ$41,$BM$41,IF(AE41=$BJ$42,$BM$42,IF(AE41=$BJ$43,$BM$43,IF(AE41=$BJ$44,$BM$44,IF(AE41=$BJ$45,$BM$45,IF(AE41=$BJ$46,$BM$46,IF(AE41=$BJ$47,$BM$47,100%))))))))</f>
        <v>2.52E-2</v>
      </c>
      <c r="AJ41" s="338">
        <f t="shared" ref="AJ41:AJ60" si="4">((0.5* (AH41+AH41^2))*(1-AI41)+AI41)</f>
        <v>0.14217600000000002</v>
      </c>
      <c r="AK41" s="338">
        <f t="shared" ref="AK41:AK60" si="5">1-AJ41</f>
        <v>0.85782399999999992</v>
      </c>
      <c r="AL41" s="339">
        <f t="shared" ref="AL41:AL60" si="6">$AK$39/AK41</f>
        <v>1</v>
      </c>
      <c r="AM41" s="340"/>
      <c r="AN41" s="506">
        <f t="shared" ref="AN41:AN60" si="7">C41</f>
        <v>1</v>
      </c>
      <c r="AO41" s="341" t="str">
        <f t="shared" ref="AO41:AO60" si="8">E41</f>
        <v>R VOLUNTARIOS DA PATRIA, 654</v>
      </c>
      <c r="AP41" s="341">
        <v>1</v>
      </c>
      <c r="AQ41" s="341">
        <f t="shared" ref="AQ41:AQ60" si="9">IF($AQ$39="Sim",$AF$39/AF41,1)</f>
        <v>0.94117647058823528</v>
      </c>
      <c r="AR41" s="341">
        <f t="shared" ref="AR41:AR60" si="10">IF($AR$39="Sim",AL41,1)</f>
        <v>1</v>
      </c>
      <c r="AS41" s="341">
        <f t="shared" ref="AS41:AS60" si="11">IF($AS$39="Sim",(K41/$K$39)^0.125,1)</f>
        <v>0.97765044716451954</v>
      </c>
      <c r="AT41" s="341">
        <f t="shared" ref="AT41:AT60" si="12">AP41*AQ41*AR41*AS41</f>
        <v>0.92014159733131251</v>
      </c>
      <c r="AU41" s="341">
        <f>IFERROR(AX41,"")</f>
        <v>8281.2743759818131</v>
      </c>
      <c r="AV41" s="341">
        <f>IFERROR(IF(A41="S",IF($AV$39="Sim",AT41*V41,AT41*U41),IF(A41="N","")),"")</f>
        <v>8281.2743759818131</v>
      </c>
      <c r="AW41" s="342" t="str">
        <f t="shared" ref="AW41:AW61" si="13">IF(BA41="Deletar","DELETAR",IF(BA41="Volta", "VOLTA","ok"))</f>
        <v>ok</v>
      </c>
      <c r="AX41" s="343">
        <f t="shared" ref="AX41:AX60" si="14">IF(A41="S",IF($AV$39="Sim",AT41*V41,AT41*U41),IF(A41="N",""))</f>
        <v>8281.2743759818131</v>
      </c>
      <c r="AY41" s="343">
        <f t="shared" ref="AY41:AY60" si="15">IFERROR(ABS(AX41-$AC$68),"")</f>
        <v>575.45820476984045</v>
      </c>
      <c r="AZ41" s="343">
        <f t="shared" ref="AZ41:AZ60" si="16">IFERROR(IF(ABS(AV41-$AC$68)=$AC$68,0,ABS(AV41-$AC$68)),"")</f>
        <v>575.45820476984045</v>
      </c>
      <c r="BA41" s="344">
        <f>IF(A41="N","Deletar Calculos e Ocultar",IF(OR(AX41=$AC$68,AND(AZ41=0,AY41&lt;$BA$61)),"Volta",IF(AND(BB41=0,AZ41=$BA$61),"Deletar",)))</f>
        <v>0</v>
      </c>
      <c r="BB41" s="343">
        <f t="shared" ref="BB41:BB60" si="17">IF(AND(AV41&gt;=$AC$69,AV41&lt;=$AC$70),AV41,)</f>
        <v>8281.2743759818131</v>
      </c>
      <c r="BD41" s="345"/>
      <c r="BE41" s="346"/>
      <c r="BF41" s="347" t="s">
        <v>191</v>
      </c>
      <c r="BG41" s="348">
        <f>ROUND(AVERAGE(AU41:AU60),2)</f>
        <v>8856.73</v>
      </c>
      <c r="BJ41" s="349" t="s">
        <v>160</v>
      </c>
      <c r="BK41" s="350" t="s">
        <v>159</v>
      </c>
      <c r="BL41" s="350"/>
      <c r="BM41" s="351">
        <v>3.2000000000000002E-3</v>
      </c>
      <c r="BP41" s="206" t="e">
        <f>MID($BO41,CD41+BP$38+3,CE41-CD41-BP$38-6)</f>
        <v>#VALUE!</v>
      </c>
      <c r="BQ41" s="206" t="e">
        <f t="shared" ref="BQ41:BS41" si="18">MID($BO41,CE41+BQ$38+3,CF41-CE41-BQ$38-6)</f>
        <v>#VALUE!</v>
      </c>
      <c r="BR41" s="206" t="e">
        <f t="shared" si="18"/>
        <v>#VALUE!</v>
      </c>
      <c r="BS41" s="206" t="e">
        <f t="shared" si="18"/>
        <v>#VALUE!</v>
      </c>
      <c r="BT41" s="206" t="e">
        <f>_xlfn.NUMBERVALUE(MID($BO41,CH41+BT$38+2,CI41-CH41-BT$38-4))</f>
        <v>#VALUE!</v>
      </c>
      <c r="BU41" s="206" t="e">
        <f t="shared" ref="BU41:CA41" si="19">_xlfn.NUMBERVALUE(MID($BO41,CI41+BU$38+2,CJ41-CI41-BU$38-4))</f>
        <v>#VALUE!</v>
      </c>
      <c r="BV41" s="206" t="e">
        <f t="shared" si="19"/>
        <v>#VALUE!</v>
      </c>
      <c r="BW41" s="206" t="e">
        <f t="shared" si="19"/>
        <v>#VALUE!</v>
      </c>
      <c r="BX41" s="206" t="e">
        <f t="shared" si="19"/>
        <v>#VALUE!</v>
      </c>
      <c r="BY41" s="206" t="e">
        <f t="shared" si="19"/>
        <v>#VALUE!</v>
      </c>
      <c r="BZ41" s="206" t="e">
        <f t="shared" si="19"/>
        <v>#VALUE!</v>
      </c>
      <c r="CA41" s="206" t="e">
        <f t="shared" si="19"/>
        <v>#VALUE!</v>
      </c>
      <c r="CB41" s="206" t="e">
        <f>_xlfn.NUMBERVALUE(MID($BO41,CP41+CB$38+2,LEN($BO41)-CP41-10))</f>
        <v>#VALUE!</v>
      </c>
      <c r="CD41" s="206" t="e">
        <f>SEARCH(CD$39,$BO41)</f>
        <v>#VALUE!</v>
      </c>
      <c r="CE41" s="206" t="e">
        <f t="shared" ref="CE41:CP56" si="20">SEARCH(CE$39,$BO41)</f>
        <v>#VALUE!</v>
      </c>
      <c r="CF41" s="206" t="e">
        <f t="shared" si="20"/>
        <v>#VALUE!</v>
      </c>
      <c r="CG41" s="206" t="e">
        <f t="shared" si="20"/>
        <v>#VALUE!</v>
      </c>
      <c r="CH41" s="206" t="e">
        <f t="shared" si="20"/>
        <v>#VALUE!</v>
      </c>
      <c r="CI41" s="206" t="e">
        <f t="shared" si="20"/>
        <v>#VALUE!</v>
      </c>
      <c r="CJ41" s="206" t="e">
        <f t="shared" si="20"/>
        <v>#VALUE!</v>
      </c>
      <c r="CK41" s="206" t="e">
        <f t="shared" si="20"/>
        <v>#VALUE!</v>
      </c>
      <c r="CL41" s="206" t="e">
        <f t="shared" si="20"/>
        <v>#VALUE!</v>
      </c>
      <c r="CM41" s="206" t="e">
        <f t="shared" si="20"/>
        <v>#VALUE!</v>
      </c>
      <c r="CN41" s="206" t="e">
        <f t="shared" si="20"/>
        <v>#VALUE!</v>
      </c>
      <c r="CO41" s="206" t="e">
        <f t="shared" si="20"/>
        <v>#VALUE!</v>
      </c>
      <c r="CP41" s="206" t="e">
        <f t="shared" si="20"/>
        <v>#VALUE!</v>
      </c>
    </row>
    <row r="42" spans="1:617" s="206" customFormat="1" ht="16.5" customHeight="1" thickBot="1">
      <c r="A42" s="869" t="s">
        <v>11021</v>
      </c>
      <c r="B42" s="324">
        <v>2</v>
      </c>
      <c r="C42" s="352">
        <f>IF(A42="N","",IF(A42="S",IF(SUM($C$41:C41)=0,1,SUM(LARGE($C$41:C41,1),1))))</f>
        <v>2</v>
      </c>
      <c r="D42" s="353"/>
      <c r="E42" s="966" t="s">
        <v>11005</v>
      </c>
      <c r="F42" s="967" t="s">
        <v>387</v>
      </c>
      <c r="G42" s="967" t="s">
        <v>7406</v>
      </c>
      <c r="H42" s="967" t="s">
        <v>450</v>
      </c>
      <c r="I42" s="967" t="s">
        <v>354</v>
      </c>
      <c r="J42" s="967" t="str">
        <f t="shared" ref="J42:J60" si="21">IFERROR(BT42,"")</f>
        <v/>
      </c>
      <c r="K42" s="967">
        <v>38</v>
      </c>
      <c r="L42" s="968">
        <v>1</v>
      </c>
      <c r="M42" s="352">
        <f t="shared" ref="M42:M60" si="22">IFERROR(K42/L42,"")</f>
        <v>38</v>
      </c>
      <c r="N42" s="535">
        <f t="shared" ref="N42:N60" si="23">$N$39</f>
        <v>0</v>
      </c>
      <c r="O42" s="872">
        <v>390000</v>
      </c>
      <c r="P42" s="352">
        <f t="shared" ref="P42:P60" si="24">IFERROR(O42-(N42*L42),"")</f>
        <v>390000</v>
      </c>
      <c r="Q42" s="354">
        <f t="shared" ref="Q42:Q60" si="25">IFERROR(O42/K42,"")</f>
        <v>10263.157894736842</v>
      </c>
      <c r="R42" s="354">
        <f t="shared" ref="R42:R60" si="26">IFERROR((P42/K42),"")</f>
        <v>10263.157894736842</v>
      </c>
      <c r="S42" s="352"/>
      <c r="T42" s="874">
        <v>0.9</v>
      </c>
      <c r="U42" s="352">
        <f t="shared" ref="U42:U60" si="27">IFERROR(($Q42*$T42),"")</f>
        <v>9236.8421052631584</v>
      </c>
      <c r="V42" s="355">
        <f t="shared" ref="V42:V60" si="28">IFERROR(($R42*$T42),"")</f>
        <v>9236.8421052631584</v>
      </c>
      <c r="W42" s="882" t="s">
        <v>11025</v>
      </c>
      <c r="X42" s="883" t="str">
        <f t="shared" ref="X42:X60" si="29">IFERROR(BX42,"")</f>
        <v/>
      </c>
      <c r="Y42" s="884" t="str">
        <f t="shared" ref="Y42:Y60" si="30">IFERROR(BY42,"")</f>
        <v/>
      </c>
      <c r="Z42" s="352" t="s">
        <v>164</v>
      </c>
      <c r="AA42" s="989" t="s">
        <v>11022</v>
      </c>
      <c r="AB42" s="254"/>
      <c r="AC42" s="895">
        <v>2014</v>
      </c>
      <c r="AD42" s="896">
        <v>15</v>
      </c>
      <c r="AE42" s="896" t="s">
        <v>155</v>
      </c>
      <c r="AF42" s="897">
        <v>8.5</v>
      </c>
      <c r="AG42" s="263"/>
      <c r="AH42" s="356">
        <f t="shared" si="2"/>
        <v>0.2</v>
      </c>
      <c r="AI42" s="356">
        <f t="shared" si="3"/>
        <v>2.52E-2</v>
      </c>
      <c r="AJ42" s="356">
        <f t="shared" si="4"/>
        <v>0.14217600000000002</v>
      </c>
      <c r="AK42" s="356">
        <f t="shared" si="5"/>
        <v>0.85782399999999992</v>
      </c>
      <c r="AL42" s="357">
        <f t="shared" si="6"/>
        <v>1</v>
      </c>
      <c r="AM42" s="358"/>
      <c r="AN42" s="507">
        <f t="shared" si="7"/>
        <v>2</v>
      </c>
      <c r="AO42" s="359" t="str">
        <f t="shared" si="8"/>
        <v>R VOLUNTARIOS DA PATRIA, 654</v>
      </c>
      <c r="AP42" s="359">
        <v>1</v>
      </c>
      <c r="AQ42" s="359">
        <f t="shared" si="9"/>
        <v>0.94117647058823528</v>
      </c>
      <c r="AR42" s="359">
        <f t="shared" si="10"/>
        <v>1</v>
      </c>
      <c r="AS42" s="359">
        <f t="shared" si="11"/>
        <v>0.97448122683911953</v>
      </c>
      <c r="AT42" s="359">
        <f t="shared" si="12"/>
        <v>0.917158801730936</v>
      </c>
      <c r="AU42" s="359">
        <f t="shared" ref="AU42:AU60" si="31">AX42</f>
        <v>8471.6510370410142</v>
      </c>
      <c r="AV42" s="359">
        <f t="shared" ref="AV42:AV60" si="32">IFERROR(IF(A42="S",IF($AV$39="Sim",AT42*V42,AT42*U42),IF(A42="N","")),"")</f>
        <v>8471.6510370410142</v>
      </c>
      <c r="AW42" s="342" t="str">
        <f t="shared" si="13"/>
        <v>ok</v>
      </c>
      <c r="AX42" s="343">
        <f t="shared" si="14"/>
        <v>8471.6510370410142</v>
      </c>
      <c r="AY42" s="343">
        <f t="shared" si="15"/>
        <v>385.08154371063938</v>
      </c>
      <c r="AZ42" s="343">
        <f t="shared" si="16"/>
        <v>385.08154371063938</v>
      </c>
      <c r="BA42" s="344">
        <f t="shared" ref="BA42:BA60" si="33">IF(A42="N","Deletar Calculos e Ocultar",IF(OR(AX42=$AC$68,AND(AZ42=0,AY42&lt;$BA$61)),"Volta",IF(AND(BB42=0,AZ42=$BA$61),"Deletar",)))</f>
        <v>0</v>
      </c>
      <c r="BB42" s="343">
        <f t="shared" si="17"/>
        <v>8471.6510370410142</v>
      </c>
      <c r="BD42" s="345" t="s">
        <v>190</v>
      </c>
      <c r="BE42" s="360">
        <f>LARGE(C41:C60,1)</f>
        <v>4</v>
      </c>
      <c r="BF42" s="347" t="s">
        <v>189</v>
      </c>
      <c r="BG42" s="361">
        <f>STDEV(AU41:AU60)</f>
        <v>560.26915150005402</v>
      </c>
      <c r="BJ42" s="321" t="s">
        <v>155</v>
      </c>
      <c r="BK42" s="322" t="s">
        <v>154</v>
      </c>
      <c r="BL42" s="322"/>
      <c r="BM42" s="362">
        <v>2.52E-2</v>
      </c>
      <c r="BP42" s="206" t="e">
        <f t="shared" ref="BP42:BP61" si="34">MID($BO42,CD42+BP$38+3,CE42-CD42-BP$38-6)</f>
        <v>#VALUE!</v>
      </c>
      <c r="BQ42" s="206" t="e">
        <f t="shared" ref="BQ42:BQ61" si="35">MID($BO42,CE42+BQ$38+3,CF42-CE42-BQ$38-6)</f>
        <v>#VALUE!</v>
      </c>
      <c r="BR42" s="206" t="e">
        <f t="shared" ref="BR42:BR61" si="36">MID($BO42,CF42+BR$38+3,CG42-CF42-BR$38-6)</f>
        <v>#VALUE!</v>
      </c>
      <c r="BS42" s="206" t="e">
        <f t="shared" ref="BS42:BS61" si="37">MID($BO42,CG42+BS$38+3,CH42-CG42-BS$38-6)</f>
        <v>#VALUE!</v>
      </c>
      <c r="BT42" s="206" t="e">
        <f t="shared" ref="BT42:BT61" si="38">_xlfn.NUMBERVALUE(MID($BO42,CH42+BT$38+2,CI42-CH42-BT$38-4))</f>
        <v>#VALUE!</v>
      </c>
      <c r="BU42" s="206" t="e">
        <f t="shared" ref="BU42:BU61" si="39">_xlfn.NUMBERVALUE(MID($BO42,CI42+BU$38+2,CJ42-CI42-BU$38-4))</f>
        <v>#VALUE!</v>
      </c>
      <c r="BV42" s="206" t="e">
        <f t="shared" ref="BV42:BV61" si="40">_xlfn.NUMBERVALUE(MID($BO42,CJ42+BV$38+2,CK42-CJ42-BV$38-4))</f>
        <v>#VALUE!</v>
      </c>
      <c r="BW42" s="206" t="e">
        <f t="shared" ref="BW42:BW61" si="41">_xlfn.NUMBERVALUE(MID($BO42,CK42+BW$38+2,CL42-CK42-BW$38-4))</f>
        <v>#VALUE!</v>
      </c>
      <c r="BX42" s="206" t="e">
        <f t="shared" ref="BX42:BX61" si="42">_xlfn.NUMBERVALUE(MID($BO42,CL42+BX$38+2,CM42-CL42-BX$38-4))</f>
        <v>#VALUE!</v>
      </c>
      <c r="BY42" s="206" t="e">
        <f t="shared" ref="BY42:BY61" si="43">_xlfn.NUMBERVALUE(MID($BO42,CM42+BY$38+2,CN42-CM42-BY$38-4))</f>
        <v>#VALUE!</v>
      </c>
      <c r="BZ42" s="206" t="e">
        <f t="shared" ref="BZ42:BZ61" si="44">_xlfn.NUMBERVALUE(MID($BO42,CN42+BZ$38+2,CO42-CN42-BZ$38-4))</f>
        <v>#VALUE!</v>
      </c>
      <c r="CA42" s="206" t="e">
        <f t="shared" ref="CA42:CA61" si="45">_xlfn.NUMBERVALUE(MID($BO42,CO42+CA$38+2,CP42-CO42-CA$38-4))</f>
        <v>#VALUE!</v>
      </c>
      <c r="CB42" s="206" t="e">
        <f t="shared" ref="CB42:CB61" si="46">_xlfn.NUMBERVALUE(MID($BO42,CP42+CB$38+2,LEN($BO42)-CP42-10))</f>
        <v>#VALUE!</v>
      </c>
      <c r="CD42" s="206" t="e">
        <f t="shared" ref="CD42:CP61" si="47">SEARCH(CD$39,$BO42)</f>
        <v>#VALUE!</v>
      </c>
      <c r="CE42" s="206" t="e">
        <f t="shared" si="20"/>
        <v>#VALUE!</v>
      </c>
      <c r="CF42" s="206" t="e">
        <f t="shared" si="20"/>
        <v>#VALUE!</v>
      </c>
      <c r="CG42" s="206" t="e">
        <f t="shared" si="20"/>
        <v>#VALUE!</v>
      </c>
      <c r="CH42" s="206" t="e">
        <f t="shared" si="20"/>
        <v>#VALUE!</v>
      </c>
      <c r="CI42" s="206" t="e">
        <f t="shared" si="20"/>
        <v>#VALUE!</v>
      </c>
      <c r="CJ42" s="206" t="e">
        <f t="shared" si="20"/>
        <v>#VALUE!</v>
      </c>
      <c r="CK42" s="206" t="e">
        <f t="shared" si="20"/>
        <v>#VALUE!</v>
      </c>
      <c r="CL42" s="206" t="e">
        <f t="shared" si="20"/>
        <v>#VALUE!</v>
      </c>
      <c r="CM42" s="206" t="e">
        <f t="shared" si="20"/>
        <v>#VALUE!</v>
      </c>
      <c r="CN42" s="206" t="e">
        <f t="shared" si="20"/>
        <v>#VALUE!</v>
      </c>
      <c r="CO42" s="206" t="e">
        <f t="shared" si="20"/>
        <v>#VALUE!</v>
      </c>
      <c r="CP42" s="206" t="e">
        <f t="shared" si="20"/>
        <v>#VALUE!</v>
      </c>
    </row>
    <row r="43" spans="1:617" s="206" customFormat="1" ht="16.5" customHeight="1" thickBot="1">
      <c r="A43" s="869" t="s">
        <v>11021</v>
      </c>
      <c r="B43" s="324">
        <v>3</v>
      </c>
      <c r="C43" s="325">
        <f>IF(A43="N","",IF(A43="S",IF(SUM($C$41:C42)=0,1,SUM(LARGE($C$41:C42,1),1))))</f>
        <v>3</v>
      </c>
      <c r="D43" s="326"/>
      <c r="E43" s="969" t="s">
        <v>11023</v>
      </c>
      <c r="F43" s="964" t="s">
        <v>387</v>
      </c>
      <c r="G43" s="964" t="s">
        <v>7406</v>
      </c>
      <c r="H43" s="964" t="s">
        <v>450</v>
      </c>
      <c r="I43" s="964" t="s">
        <v>354</v>
      </c>
      <c r="J43" s="964" t="str">
        <f t="shared" si="21"/>
        <v/>
      </c>
      <c r="K43" s="964">
        <v>45</v>
      </c>
      <c r="L43" s="965">
        <v>2</v>
      </c>
      <c r="M43" s="325">
        <f t="shared" si="22"/>
        <v>22.5</v>
      </c>
      <c r="N43" s="536">
        <f t="shared" si="23"/>
        <v>0</v>
      </c>
      <c r="O43" s="327">
        <v>590000</v>
      </c>
      <c r="P43" s="325">
        <f t="shared" si="24"/>
        <v>590000</v>
      </c>
      <c r="Q43" s="328">
        <f t="shared" si="25"/>
        <v>13111.111111111111</v>
      </c>
      <c r="R43" s="328">
        <f t="shared" si="26"/>
        <v>13111.111111111111</v>
      </c>
      <c r="S43" s="325"/>
      <c r="T43" s="329">
        <v>0.9</v>
      </c>
      <c r="U43" s="325">
        <f t="shared" si="27"/>
        <v>11800</v>
      </c>
      <c r="V43" s="330">
        <f t="shared" si="28"/>
        <v>11800</v>
      </c>
      <c r="W43" s="331" t="str">
        <f t="shared" ref="W43:W60" si="48">IFERROR(_xlfn.CONCAT("Quartos: ",BZ43," | Banheiros: ",CA43," | Andares: ",CB43),"")</f>
        <v/>
      </c>
      <c r="X43" s="332" t="str">
        <f t="shared" si="29"/>
        <v/>
      </c>
      <c r="Y43" s="333" t="str">
        <f t="shared" si="30"/>
        <v/>
      </c>
      <c r="Z43" s="325" t="s">
        <v>164</v>
      </c>
      <c r="AA43" s="988" t="s">
        <v>11024</v>
      </c>
      <c r="AB43" s="254"/>
      <c r="AC43" s="335">
        <v>2014</v>
      </c>
      <c r="AD43" s="336">
        <v>5</v>
      </c>
      <c r="AE43" s="336" t="s">
        <v>160</v>
      </c>
      <c r="AF43" s="337">
        <v>9</v>
      </c>
      <c r="AG43" s="263"/>
      <c r="AH43" s="338">
        <f t="shared" si="2"/>
        <v>6.6666666666666666E-2</v>
      </c>
      <c r="AI43" s="338">
        <f t="shared" si="3"/>
        <v>3.2000000000000002E-3</v>
      </c>
      <c r="AJ43" s="338">
        <f t="shared" si="4"/>
        <v>3.8641777777777782E-2</v>
      </c>
      <c r="AK43" s="338">
        <f t="shared" si="5"/>
        <v>0.96135822222222223</v>
      </c>
      <c r="AL43" s="339">
        <f t="shared" si="6"/>
        <v>0.89230422143485877</v>
      </c>
      <c r="AM43" s="340"/>
      <c r="AN43" s="506">
        <f t="shared" si="7"/>
        <v>3</v>
      </c>
      <c r="AO43" s="341" t="str">
        <f t="shared" si="8"/>
        <v>Rua Voluntários da Pátria, 2468</v>
      </c>
      <c r="AP43" s="341">
        <v>1</v>
      </c>
      <c r="AQ43" s="341">
        <f t="shared" si="9"/>
        <v>0.88888888888888884</v>
      </c>
      <c r="AR43" s="341">
        <f t="shared" si="10"/>
        <v>0.89230422143485877</v>
      </c>
      <c r="AS43" s="341">
        <f t="shared" si="11"/>
        <v>0.99529561706911462</v>
      </c>
      <c r="AT43" s="341">
        <f t="shared" si="12"/>
        <v>0.78942798283234095</v>
      </c>
      <c r="AU43" s="341">
        <f t="shared" si="31"/>
        <v>9315.2501974216229</v>
      </c>
      <c r="AV43" s="341">
        <f t="shared" si="32"/>
        <v>9315.2501974216229</v>
      </c>
      <c r="AW43" s="342" t="str">
        <f t="shared" si="13"/>
        <v>ok</v>
      </c>
      <c r="AX43" s="343">
        <f t="shared" si="14"/>
        <v>9315.2501974216229</v>
      </c>
      <c r="AY43" s="343">
        <f t="shared" si="15"/>
        <v>458.51761666996936</v>
      </c>
      <c r="AZ43" s="343">
        <f t="shared" si="16"/>
        <v>458.51761666996936</v>
      </c>
      <c r="BA43" s="344">
        <f t="shared" si="33"/>
        <v>0</v>
      </c>
      <c r="BB43" s="343">
        <f t="shared" si="17"/>
        <v>9315.2501974216229</v>
      </c>
      <c r="BD43" s="345" t="s">
        <v>188</v>
      </c>
      <c r="BE43" s="363">
        <f>VLOOKUP(BE42,BD53:BF72,3,FALSE)</f>
        <v>1.58</v>
      </c>
      <c r="BF43" s="347" t="s">
        <v>187</v>
      </c>
      <c r="BG43" s="364">
        <f>BG42/BG41</f>
        <v>6.3259143216520555E-2</v>
      </c>
      <c r="BJ43" s="349" t="s">
        <v>152</v>
      </c>
      <c r="BK43" s="350" t="s">
        <v>151</v>
      </c>
      <c r="BL43" s="350"/>
      <c r="BM43" s="351">
        <v>8.09E-2</v>
      </c>
      <c r="BP43" s="206" t="e">
        <f t="shared" si="34"/>
        <v>#VALUE!</v>
      </c>
      <c r="BQ43" s="206" t="e">
        <f t="shared" si="35"/>
        <v>#VALUE!</v>
      </c>
      <c r="BR43" s="206" t="e">
        <f t="shared" si="36"/>
        <v>#VALUE!</v>
      </c>
      <c r="BS43" s="206" t="e">
        <f t="shared" si="37"/>
        <v>#VALUE!</v>
      </c>
      <c r="BT43" s="206" t="e">
        <f t="shared" si="38"/>
        <v>#VALUE!</v>
      </c>
      <c r="BU43" s="206" t="e">
        <f t="shared" si="39"/>
        <v>#VALUE!</v>
      </c>
      <c r="BV43" s="206" t="e">
        <f t="shared" si="40"/>
        <v>#VALUE!</v>
      </c>
      <c r="BW43" s="206" t="e">
        <f t="shared" si="41"/>
        <v>#VALUE!</v>
      </c>
      <c r="BX43" s="206" t="e">
        <f t="shared" si="42"/>
        <v>#VALUE!</v>
      </c>
      <c r="BY43" s="206" t="e">
        <f t="shared" si="43"/>
        <v>#VALUE!</v>
      </c>
      <c r="BZ43" s="206" t="e">
        <f t="shared" si="44"/>
        <v>#VALUE!</v>
      </c>
      <c r="CA43" s="206" t="e">
        <f t="shared" si="45"/>
        <v>#VALUE!</v>
      </c>
      <c r="CB43" s="206" t="e">
        <f t="shared" si="46"/>
        <v>#VALUE!</v>
      </c>
      <c r="CD43" s="206" t="e">
        <f t="shared" si="47"/>
        <v>#VALUE!</v>
      </c>
      <c r="CE43" s="206" t="e">
        <f t="shared" si="20"/>
        <v>#VALUE!</v>
      </c>
      <c r="CF43" s="206" t="e">
        <f t="shared" si="20"/>
        <v>#VALUE!</v>
      </c>
      <c r="CG43" s="206" t="e">
        <f t="shared" si="20"/>
        <v>#VALUE!</v>
      </c>
      <c r="CH43" s="206" t="e">
        <f t="shared" si="20"/>
        <v>#VALUE!</v>
      </c>
      <c r="CI43" s="206" t="e">
        <f t="shared" si="20"/>
        <v>#VALUE!</v>
      </c>
      <c r="CJ43" s="206" t="e">
        <f t="shared" si="20"/>
        <v>#VALUE!</v>
      </c>
      <c r="CK43" s="206" t="e">
        <f t="shared" si="20"/>
        <v>#VALUE!</v>
      </c>
      <c r="CL43" s="206" t="e">
        <f t="shared" si="20"/>
        <v>#VALUE!</v>
      </c>
      <c r="CM43" s="206" t="e">
        <f t="shared" si="20"/>
        <v>#VALUE!</v>
      </c>
      <c r="CN43" s="206" t="e">
        <f t="shared" si="20"/>
        <v>#VALUE!</v>
      </c>
      <c r="CO43" s="206" t="e">
        <f t="shared" si="20"/>
        <v>#VALUE!</v>
      </c>
      <c r="CP43" s="206" t="e">
        <f t="shared" si="20"/>
        <v>#VALUE!</v>
      </c>
    </row>
    <row r="44" spans="1:617" s="206" customFormat="1" ht="16.5" customHeight="1" thickBot="1">
      <c r="A44" s="869" t="s">
        <v>11021</v>
      </c>
      <c r="B44" s="324">
        <v>4</v>
      </c>
      <c r="C44" s="352">
        <f>IF(A44="N","",IF(A44="S",IF(SUM($C$41:C43)=0,1,SUM(LARGE($C$41:C43,1),1))))</f>
        <v>4</v>
      </c>
      <c r="D44" s="353"/>
      <c r="E44" s="969" t="s">
        <v>11023</v>
      </c>
      <c r="F44" s="967" t="s">
        <v>387</v>
      </c>
      <c r="G44" s="967" t="s">
        <v>7406</v>
      </c>
      <c r="H44" s="967" t="s">
        <v>450</v>
      </c>
      <c r="I44" s="967" t="s">
        <v>354</v>
      </c>
      <c r="J44" s="967" t="str">
        <f t="shared" si="21"/>
        <v/>
      </c>
      <c r="K44" s="967">
        <v>50</v>
      </c>
      <c r="L44" s="968">
        <v>2</v>
      </c>
      <c r="M44" s="352">
        <f t="shared" si="22"/>
        <v>25</v>
      </c>
      <c r="N44" s="535">
        <f t="shared" si="23"/>
        <v>0</v>
      </c>
      <c r="O44" s="872">
        <v>650000</v>
      </c>
      <c r="P44" s="352">
        <f t="shared" si="24"/>
        <v>650000</v>
      </c>
      <c r="Q44" s="354">
        <f t="shared" si="25"/>
        <v>13000</v>
      </c>
      <c r="R44" s="354">
        <f t="shared" si="26"/>
        <v>13000</v>
      </c>
      <c r="S44" s="352"/>
      <c r="T44" s="874">
        <v>0.9</v>
      </c>
      <c r="U44" s="352">
        <f t="shared" si="27"/>
        <v>11700</v>
      </c>
      <c r="V44" s="355">
        <f t="shared" si="28"/>
        <v>11700</v>
      </c>
      <c r="W44" s="882" t="str">
        <f t="shared" si="48"/>
        <v/>
      </c>
      <c r="X44" s="883" t="str">
        <f t="shared" si="29"/>
        <v/>
      </c>
      <c r="Y44" s="884" t="str">
        <f t="shared" si="30"/>
        <v/>
      </c>
      <c r="Z44" s="352" t="s">
        <v>164</v>
      </c>
      <c r="AA44" s="989" t="s">
        <v>11026</v>
      </c>
      <c r="AB44" s="254"/>
      <c r="AC44" s="895">
        <v>2014</v>
      </c>
      <c r="AD44" s="896">
        <v>5</v>
      </c>
      <c r="AE44" s="896" t="s">
        <v>160</v>
      </c>
      <c r="AF44" s="897">
        <v>9</v>
      </c>
      <c r="AG44" s="263"/>
      <c r="AH44" s="356">
        <f t="shared" si="2"/>
        <v>6.6666666666666666E-2</v>
      </c>
      <c r="AI44" s="356">
        <f t="shared" si="3"/>
        <v>3.2000000000000002E-3</v>
      </c>
      <c r="AJ44" s="356">
        <f t="shared" si="4"/>
        <v>3.8641777777777782E-2</v>
      </c>
      <c r="AK44" s="356">
        <f t="shared" si="5"/>
        <v>0.96135822222222223</v>
      </c>
      <c r="AL44" s="357">
        <f t="shared" si="6"/>
        <v>0.89230422143485877</v>
      </c>
      <c r="AM44" s="358"/>
      <c r="AN44" s="507">
        <f t="shared" si="7"/>
        <v>4</v>
      </c>
      <c r="AO44" s="359" t="str">
        <f t="shared" si="8"/>
        <v>Rua Voluntários da Pátria, 2468</v>
      </c>
      <c r="AP44" s="359">
        <v>1</v>
      </c>
      <c r="AQ44" s="359">
        <f t="shared" si="9"/>
        <v>0.88888888888888884</v>
      </c>
      <c r="AR44" s="359">
        <f t="shared" si="10"/>
        <v>0.89230422143485877</v>
      </c>
      <c r="AS44" s="359">
        <f t="shared" si="11"/>
        <v>1.0084904219955872</v>
      </c>
      <c r="AT44" s="359">
        <f t="shared" si="12"/>
        <v>0.79989356517625299</v>
      </c>
      <c r="AU44" s="359">
        <f t="shared" si="31"/>
        <v>9358.7547125621604</v>
      </c>
      <c r="AV44" s="359">
        <f t="shared" si="32"/>
        <v>9358.7547125621604</v>
      </c>
      <c r="AW44" s="342" t="str">
        <f t="shared" si="13"/>
        <v>ok</v>
      </c>
      <c r="AX44" s="343">
        <f t="shared" si="14"/>
        <v>9358.7547125621604</v>
      </c>
      <c r="AY44" s="343">
        <f t="shared" si="15"/>
        <v>502.02213181050683</v>
      </c>
      <c r="AZ44" s="343">
        <f t="shared" si="16"/>
        <v>502.02213181050683</v>
      </c>
      <c r="BA44" s="344">
        <f t="shared" si="33"/>
        <v>0</v>
      </c>
      <c r="BB44" s="343">
        <f t="shared" si="17"/>
        <v>9358.7547125621604</v>
      </c>
      <c r="BD44" s="365" t="s">
        <v>186</v>
      </c>
      <c r="BE44" s="366">
        <f>VLOOKUP(BE42,BD53:BF72,2,FALSE)</f>
        <v>1.57</v>
      </c>
      <c r="BF44" s="347" t="s">
        <v>185</v>
      </c>
      <c r="BG44" s="367">
        <f>ROUND(AVERAGE(AV41:AV60),2)</f>
        <v>8856.73</v>
      </c>
      <c r="BJ44" s="321" t="s">
        <v>148</v>
      </c>
      <c r="BK44" s="322" t="s">
        <v>147</v>
      </c>
      <c r="BL44" s="322"/>
      <c r="BM44" s="362">
        <v>0.18099999999999999</v>
      </c>
      <c r="BP44" s="206" t="e">
        <f t="shared" si="34"/>
        <v>#VALUE!</v>
      </c>
      <c r="BQ44" s="206" t="e">
        <f t="shared" si="35"/>
        <v>#VALUE!</v>
      </c>
      <c r="BR44" s="206" t="e">
        <f t="shared" si="36"/>
        <v>#VALUE!</v>
      </c>
      <c r="BS44" s="206" t="e">
        <f t="shared" si="37"/>
        <v>#VALUE!</v>
      </c>
      <c r="BT44" s="206" t="e">
        <f t="shared" si="38"/>
        <v>#VALUE!</v>
      </c>
      <c r="BU44" s="206" t="e">
        <f t="shared" si="39"/>
        <v>#VALUE!</v>
      </c>
      <c r="BV44" s="206" t="e">
        <f t="shared" si="40"/>
        <v>#VALUE!</v>
      </c>
      <c r="BW44" s="206" t="e">
        <f t="shared" si="41"/>
        <v>#VALUE!</v>
      </c>
      <c r="BX44" s="206" t="e">
        <f t="shared" si="42"/>
        <v>#VALUE!</v>
      </c>
      <c r="BY44" s="206" t="e">
        <f t="shared" si="43"/>
        <v>#VALUE!</v>
      </c>
      <c r="BZ44" s="206" t="e">
        <f t="shared" si="44"/>
        <v>#VALUE!</v>
      </c>
      <c r="CA44" s="206" t="e">
        <f t="shared" si="45"/>
        <v>#VALUE!</v>
      </c>
      <c r="CB44" s="206" t="e">
        <f t="shared" si="46"/>
        <v>#VALUE!</v>
      </c>
      <c r="CD44" s="206" t="e">
        <f t="shared" si="47"/>
        <v>#VALUE!</v>
      </c>
      <c r="CE44" s="206" t="e">
        <f t="shared" si="20"/>
        <v>#VALUE!</v>
      </c>
      <c r="CF44" s="206" t="e">
        <f t="shared" si="20"/>
        <v>#VALUE!</v>
      </c>
      <c r="CG44" s="206" t="e">
        <f t="shared" si="20"/>
        <v>#VALUE!</v>
      </c>
      <c r="CH44" s="206" t="e">
        <f t="shared" si="20"/>
        <v>#VALUE!</v>
      </c>
      <c r="CI44" s="206" t="e">
        <f t="shared" si="20"/>
        <v>#VALUE!</v>
      </c>
      <c r="CJ44" s="206" t="e">
        <f t="shared" si="20"/>
        <v>#VALUE!</v>
      </c>
      <c r="CK44" s="206" t="e">
        <f t="shared" si="20"/>
        <v>#VALUE!</v>
      </c>
      <c r="CL44" s="206" t="e">
        <f t="shared" si="20"/>
        <v>#VALUE!</v>
      </c>
      <c r="CM44" s="206" t="e">
        <f t="shared" si="20"/>
        <v>#VALUE!</v>
      </c>
      <c r="CN44" s="206" t="e">
        <f t="shared" si="20"/>
        <v>#VALUE!</v>
      </c>
      <c r="CO44" s="206" t="e">
        <f t="shared" si="20"/>
        <v>#VALUE!</v>
      </c>
      <c r="CP44" s="206" t="e">
        <f t="shared" si="20"/>
        <v>#VALUE!</v>
      </c>
    </row>
    <row r="45" spans="1:617" s="206" customFormat="1" ht="16.5" customHeight="1" thickBot="1">
      <c r="A45" s="869" t="s">
        <v>174</v>
      </c>
      <c r="B45" s="324">
        <v>5</v>
      </c>
      <c r="C45" s="325" t="str">
        <f>IF(A45="N","",IF(A45="S",IF(SUM($C$41:C44)=0,1,SUM(LARGE($C$41:C44,1),1))))</f>
        <v/>
      </c>
      <c r="D45" s="326"/>
      <c r="E45" s="969" t="str">
        <f t="shared" ref="E45:E60" si="49">IFERROR(BP45,"")</f>
        <v/>
      </c>
      <c r="F45" s="964"/>
      <c r="G45" s="964" t="str">
        <f t="shared" ref="G45:G60" si="50">IFERROR(BQ45,"")</f>
        <v/>
      </c>
      <c r="H45" s="964" t="str">
        <f t="shared" ref="H45:H60" si="51">IFERROR(BR45,"")</f>
        <v/>
      </c>
      <c r="I45" s="964" t="str">
        <f t="shared" ref="I45:I60" si="52">IFERROR(BS45,"")</f>
        <v/>
      </c>
      <c r="J45" s="964" t="str">
        <f t="shared" si="21"/>
        <v/>
      </c>
      <c r="K45" s="964" t="str">
        <f t="shared" ref="K45:K60" si="53">IFERROR(BU45,"")</f>
        <v/>
      </c>
      <c r="L45" s="965" t="str">
        <f t="shared" ref="L45:L60" si="54">IFERROR(BV45,"")</f>
        <v/>
      </c>
      <c r="M45" s="325" t="str">
        <f t="shared" si="22"/>
        <v/>
      </c>
      <c r="N45" s="536">
        <f t="shared" si="23"/>
        <v>0</v>
      </c>
      <c r="O45" s="327" t="str">
        <f t="shared" ref="O45:O60" si="55">IFERROR(BW45,"")</f>
        <v/>
      </c>
      <c r="P45" s="325" t="str">
        <f t="shared" si="24"/>
        <v/>
      </c>
      <c r="Q45" s="328" t="str">
        <f t="shared" si="25"/>
        <v/>
      </c>
      <c r="R45" s="328" t="str">
        <f t="shared" si="26"/>
        <v/>
      </c>
      <c r="S45" s="325"/>
      <c r="T45" s="329">
        <v>0.9</v>
      </c>
      <c r="U45" s="325" t="str">
        <f t="shared" si="27"/>
        <v/>
      </c>
      <c r="V45" s="330" t="str">
        <f t="shared" si="28"/>
        <v/>
      </c>
      <c r="W45" s="331" t="str">
        <f t="shared" si="48"/>
        <v/>
      </c>
      <c r="X45" s="332" t="str">
        <f t="shared" si="29"/>
        <v/>
      </c>
      <c r="Y45" s="333" t="str">
        <f t="shared" si="30"/>
        <v/>
      </c>
      <c r="Z45" s="325" t="s">
        <v>164</v>
      </c>
      <c r="AA45" s="334"/>
      <c r="AB45" s="254"/>
      <c r="AC45" s="335">
        <v>2014</v>
      </c>
      <c r="AD45" s="336">
        <v>0</v>
      </c>
      <c r="AE45" s="336" t="s">
        <v>166</v>
      </c>
      <c r="AF45" s="337">
        <v>10</v>
      </c>
      <c r="AG45" s="263"/>
      <c r="AH45" s="338">
        <f t="shared" si="2"/>
        <v>0</v>
      </c>
      <c r="AI45" s="338">
        <f t="shared" si="3"/>
        <v>0</v>
      </c>
      <c r="AJ45" s="338">
        <f t="shared" si="4"/>
        <v>0</v>
      </c>
      <c r="AK45" s="338">
        <f t="shared" si="5"/>
        <v>1</v>
      </c>
      <c r="AL45" s="339">
        <f t="shared" si="6"/>
        <v>0.85782399999999992</v>
      </c>
      <c r="AM45" s="340"/>
      <c r="AN45" s="506" t="str">
        <f t="shared" si="7"/>
        <v/>
      </c>
      <c r="AO45" s="341" t="str">
        <f t="shared" si="8"/>
        <v/>
      </c>
      <c r="AP45" s="341">
        <v>1</v>
      </c>
      <c r="AQ45" s="341">
        <f t="shared" si="9"/>
        <v>0.8</v>
      </c>
      <c r="AR45" s="341">
        <f t="shared" si="10"/>
        <v>0.85782399999999992</v>
      </c>
      <c r="AS45" s="341" t="e">
        <f t="shared" si="11"/>
        <v>#VALUE!</v>
      </c>
      <c r="AT45" s="341" t="e">
        <f t="shared" si="12"/>
        <v>#VALUE!</v>
      </c>
      <c r="AU45" s="341" t="str">
        <f t="shared" si="31"/>
        <v/>
      </c>
      <c r="AV45" s="341" t="str">
        <f t="shared" si="32"/>
        <v/>
      </c>
      <c r="AW45" s="342" t="str">
        <f t="shared" si="13"/>
        <v>ok</v>
      </c>
      <c r="AX45" s="343" t="str">
        <f t="shared" si="14"/>
        <v/>
      </c>
      <c r="AY45" s="343" t="str">
        <f t="shared" si="15"/>
        <v/>
      </c>
      <c r="AZ45" s="343" t="str">
        <f t="shared" si="16"/>
        <v/>
      </c>
      <c r="BA45" s="344" t="str">
        <f t="shared" si="33"/>
        <v>Deletar Calculos e Ocultar</v>
      </c>
      <c r="BB45" s="343">
        <f t="shared" si="17"/>
        <v>0</v>
      </c>
      <c r="BD45" s="365"/>
      <c r="BE45" s="368"/>
      <c r="BF45" s="369"/>
      <c r="BG45" s="370"/>
      <c r="BJ45" s="349" t="s">
        <v>145</v>
      </c>
      <c r="BK45" s="350" t="s">
        <v>144</v>
      </c>
      <c r="BL45" s="350"/>
      <c r="BM45" s="351">
        <v>0.33200000000000002</v>
      </c>
      <c r="BP45" s="206" t="e">
        <f t="shared" si="34"/>
        <v>#VALUE!</v>
      </c>
      <c r="BQ45" s="206" t="e">
        <f t="shared" si="35"/>
        <v>#VALUE!</v>
      </c>
      <c r="BR45" s="206" t="e">
        <f t="shared" si="36"/>
        <v>#VALUE!</v>
      </c>
      <c r="BS45" s="206" t="e">
        <f t="shared" si="37"/>
        <v>#VALUE!</v>
      </c>
      <c r="BT45" s="206" t="e">
        <f t="shared" si="38"/>
        <v>#VALUE!</v>
      </c>
      <c r="BU45" s="206" t="e">
        <f t="shared" si="39"/>
        <v>#VALUE!</v>
      </c>
      <c r="BV45" s="206" t="e">
        <f t="shared" si="40"/>
        <v>#VALUE!</v>
      </c>
      <c r="BW45" s="206" t="e">
        <f t="shared" si="41"/>
        <v>#VALUE!</v>
      </c>
      <c r="BX45" s="206" t="e">
        <f t="shared" si="42"/>
        <v>#VALUE!</v>
      </c>
      <c r="BY45" s="206" t="e">
        <f t="shared" si="43"/>
        <v>#VALUE!</v>
      </c>
      <c r="BZ45" s="206" t="e">
        <f t="shared" si="44"/>
        <v>#VALUE!</v>
      </c>
      <c r="CA45" s="206" t="e">
        <f t="shared" si="45"/>
        <v>#VALUE!</v>
      </c>
      <c r="CB45" s="206" t="e">
        <f t="shared" si="46"/>
        <v>#VALUE!</v>
      </c>
      <c r="CD45" s="206" t="e">
        <f t="shared" si="47"/>
        <v>#VALUE!</v>
      </c>
      <c r="CE45" s="206" t="e">
        <f t="shared" si="20"/>
        <v>#VALUE!</v>
      </c>
      <c r="CF45" s="206" t="e">
        <f t="shared" si="20"/>
        <v>#VALUE!</v>
      </c>
      <c r="CG45" s="206" t="e">
        <f t="shared" si="20"/>
        <v>#VALUE!</v>
      </c>
      <c r="CH45" s="206" t="e">
        <f t="shared" si="20"/>
        <v>#VALUE!</v>
      </c>
      <c r="CI45" s="206" t="e">
        <f t="shared" si="20"/>
        <v>#VALUE!</v>
      </c>
      <c r="CJ45" s="206" t="e">
        <f t="shared" si="20"/>
        <v>#VALUE!</v>
      </c>
      <c r="CK45" s="206" t="e">
        <f t="shared" si="20"/>
        <v>#VALUE!</v>
      </c>
      <c r="CL45" s="206" t="e">
        <f t="shared" si="20"/>
        <v>#VALUE!</v>
      </c>
      <c r="CM45" s="206" t="e">
        <f t="shared" si="20"/>
        <v>#VALUE!</v>
      </c>
      <c r="CN45" s="206" t="e">
        <f t="shared" si="20"/>
        <v>#VALUE!</v>
      </c>
      <c r="CO45" s="206" t="e">
        <f t="shared" si="20"/>
        <v>#VALUE!</v>
      </c>
      <c r="CP45" s="206" t="e">
        <f t="shared" si="20"/>
        <v>#VALUE!</v>
      </c>
    </row>
    <row r="46" spans="1:617" s="206" customFormat="1" ht="16.5" customHeight="1" thickBot="1">
      <c r="A46" s="869" t="s">
        <v>174</v>
      </c>
      <c r="B46" s="324">
        <v>6</v>
      </c>
      <c r="C46" s="352" t="str">
        <f>IF(A46="N","",IF(A46="S",IF(SUM($C$41:C45)=0,1,SUM(LARGE($C$41:C45,1),1))))</f>
        <v/>
      </c>
      <c r="D46" s="353"/>
      <c r="E46" s="966" t="str">
        <f t="shared" si="49"/>
        <v/>
      </c>
      <c r="F46" s="967"/>
      <c r="G46" s="967" t="str">
        <f t="shared" si="50"/>
        <v/>
      </c>
      <c r="H46" s="967" t="str">
        <f t="shared" si="51"/>
        <v/>
      </c>
      <c r="I46" s="967" t="str">
        <f t="shared" si="52"/>
        <v/>
      </c>
      <c r="J46" s="967" t="str">
        <f t="shared" si="21"/>
        <v/>
      </c>
      <c r="K46" s="967" t="str">
        <f t="shared" si="53"/>
        <v/>
      </c>
      <c r="L46" s="968" t="str">
        <f t="shared" si="54"/>
        <v/>
      </c>
      <c r="M46" s="352" t="str">
        <f t="shared" si="22"/>
        <v/>
      </c>
      <c r="N46" s="535">
        <f t="shared" si="23"/>
        <v>0</v>
      </c>
      <c r="O46" s="872" t="str">
        <f t="shared" si="55"/>
        <v/>
      </c>
      <c r="P46" s="352" t="str">
        <f t="shared" si="24"/>
        <v/>
      </c>
      <c r="Q46" s="354" t="str">
        <f t="shared" si="25"/>
        <v/>
      </c>
      <c r="R46" s="354" t="str">
        <f t="shared" si="26"/>
        <v/>
      </c>
      <c r="S46" s="352"/>
      <c r="T46" s="874">
        <v>0.9</v>
      </c>
      <c r="U46" s="352" t="str">
        <f t="shared" si="27"/>
        <v/>
      </c>
      <c r="V46" s="355" t="str">
        <f t="shared" si="28"/>
        <v/>
      </c>
      <c r="W46" s="882" t="str">
        <f t="shared" si="48"/>
        <v/>
      </c>
      <c r="X46" s="883" t="str">
        <f t="shared" si="29"/>
        <v/>
      </c>
      <c r="Y46" s="884" t="str">
        <f t="shared" si="30"/>
        <v/>
      </c>
      <c r="Z46" s="352" t="s">
        <v>164</v>
      </c>
      <c r="AA46" s="890"/>
      <c r="AB46" s="254"/>
      <c r="AC46" s="895">
        <v>2014</v>
      </c>
      <c r="AD46" s="896">
        <v>0</v>
      </c>
      <c r="AE46" s="896" t="s">
        <v>166</v>
      </c>
      <c r="AF46" s="897">
        <v>10</v>
      </c>
      <c r="AG46" s="263"/>
      <c r="AH46" s="356">
        <f t="shared" si="2"/>
        <v>0</v>
      </c>
      <c r="AI46" s="356">
        <f t="shared" si="3"/>
        <v>0</v>
      </c>
      <c r="AJ46" s="356">
        <f t="shared" si="4"/>
        <v>0</v>
      </c>
      <c r="AK46" s="356">
        <f t="shared" si="5"/>
        <v>1</v>
      </c>
      <c r="AL46" s="357">
        <f t="shared" si="6"/>
        <v>0.85782399999999992</v>
      </c>
      <c r="AM46" s="358"/>
      <c r="AN46" s="359" t="str">
        <f t="shared" si="7"/>
        <v/>
      </c>
      <c r="AO46" s="359" t="str">
        <f t="shared" si="8"/>
        <v/>
      </c>
      <c r="AP46" s="359">
        <v>1</v>
      </c>
      <c r="AQ46" s="359">
        <f t="shared" si="9"/>
        <v>0.8</v>
      </c>
      <c r="AR46" s="359">
        <f t="shared" si="10"/>
        <v>0.85782399999999992</v>
      </c>
      <c r="AS46" s="359" t="e">
        <f t="shared" si="11"/>
        <v>#VALUE!</v>
      </c>
      <c r="AT46" s="359" t="e">
        <f t="shared" si="12"/>
        <v>#VALUE!</v>
      </c>
      <c r="AU46" s="359" t="str">
        <f t="shared" si="31"/>
        <v/>
      </c>
      <c r="AV46" s="359" t="str">
        <f t="shared" si="32"/>
        <v/>
      </c>
      <c r="AW46" s="342" t="str">
        <f t="shared" si="13"/>
        <v>ok</v>
      </c>
      <c r="AX46" s="343" t="str">
        <f t="shared" si="14"/>
        <v/>
      </c>
      <c r="AY46" s="343" t="str">
        <f t="shared" si="15"/>
        <v/>
      </c>
      <c r="AZ46" s="343" t="str">
        <f t="shared" si="16"/>
        <v/>
      </c>
      <c r="BA46" s="344" t="str">
        <f t="shared" si="33"/>
        <v>Deletar Calculos e Ocultar</v>
      </c>
      <c r="BB46" s="343">
        <f t="shared" si="17"/>
        <v>0</v>
      </c>
      <c r="BD46" s="1062" t="s">
        <v>184</v>
      </c>
      <c r="BE46" s="1063"/>
      <c r="BF46" s="1063"/>
      <c r="BG46" s="1064"/>
      <c r="BJ46" s="321" t="s">
        <v>140</v>
      </c>
      <c r="BK46" s="322" t="s">
        <v>139</v>
      </c>
      <c r="BL46" s="322"/>
      <c r="BM46" s="362">
        <v>0.52600000000000002</v>
      </c>
      <c r="BP46" s="206" t="e">
        <f t="shared" si="34"/>
        <v>#VALUE!</v>
      </c>
      <c r="BQ46" s="206" t="e">
        <f t="shared" si="35"/>
        <v>#VALUE!</v>
      </c>
      <c r="BR46" s="206" t="e">
        <f t="shared" si="36"/>
        <v>#VALUE!</v>
      </c>
      <c r="BS46" s="206" t="e">
        <f t="shared" si="37"/>
        <v>#VALUE!</v>
      </c>
      <c r="BT46" s="206" t="e">
        <f t="shared" si="38"/>
        <v>#VALUE!</v>
      </c>
      <c r="BU46" s="206" t="e">
        <f t="shared" si="39"/>
        <v>#VALUE!</v>
      </c>
      <c r="BV46" s="206" t="e">
        <f t="shared" si="40"/>
        <v>#VALUE!</v>
      </c>
      <c r="BW46" s="206" t="e">
        <f t="shared" si="41"/>
        <v>#VALUE!</v>
      </c>
      <c r="BX46" s="206" t="e">
        <f t="shared" si="42"/>
        <v>#VALUE!</v>
      </c>
      <c r="BY46" s="206" t="e">
        <f t="shared" si="43"/>
        <v>#VALUE!</v>
      </c>
      <c r="BZ46" s="206" t="e">
        <f t="shared" si="44"/>
        <v>#VALUE!</v>
      </c>
      <c r="CA46" s="206" t="e">
        <f t="shared" si="45"/>
        <v>#VALUE!</v>
      </c>
      <c r="CB46" s="206" t="e">
        <f t="shared" si="46"/>
        <v>#VALUE!</v>
      </c>
      <c r="CD46" s="206" t="e">
        <f t="shared" si="47"/>
        <v>#VALUE!</v>
      </c>
      <c r="CE46" s="206" t="e">
        <f t="shared" si="20"/>
        <v>#VALUE!</v>
      </c>
      <c r="CF46" s="206" t="e">
        <f t="shared" si="20"/>
        <v>#VALUE!</v>
      </c>
      <c r="CG46" s="206" t="e">
        <f t="shared" si="20"/>
        <v>#VALUE!</v>
      </c>
      <c r="CH46" s="206" t="e">
        <f t="shared" si="20"/>
        <v>#VALUE!</v>
      </c>
      <c r="CI46" s="206" t="e">
        <f t="shared" si="20"/>
        <v>#VALUE!</v>
      </c>
      <c r="CJ46" s="206" t="e">
        <f t="shared" si="20"/>
        <v>#VALUE!</v>
      </c>
      <c r="CK46" s="206" t="e">
        <f t="shared" si="20"/>
        <v>#VALUE!</v>
      </c>
      <c r="CL46" s="206" t="e">
        <f t="shared" si="20"/>
        <v>#VALUE!</v>
      </c>
      <c r="CM46" s="206" t="e">
        <f t="shared" si="20"/>
        <v>#VALUE!</v>
      </c>
      <c r="CN46" s="206" t="e">
        <f t="shared" si="20"/>
        <v>#VALUE!</v>
      </c>
      <c r="CO46" s="206" t="e">
        <f t="shared" si="20"/>
        <v>#VALUE!</v>
      </c>
      <c r="CP46" s="206" t="e">
        <f t="shared" si="20"/>
        <v>#VALUE!</v>
      </c>
    </row>
    <row r="47" spans="1:617" s="206" customFormat="1" ht="16.5" customHeight="1" thickBot="1">
      <c r="A47" s="869" t="s">
        <v>174</v>
      </c>
      <c r="B47" s="324">
        <v>7</v>
      </c>
      <c r="C47" s="325" t="str">
        <f>IF(A47="N","",IF(A47="S",IF(SUM($C$41:C46)=0,1,SUM(LARGE($C$41:C46,1),1))))</f>
        <v/>
      </c>
      <c r="D47" s="326"/>
      <c r="E47" s="969" t="str">
        <f t="shared" si="49"/>
        <v/>
      </c>
      <c r="F47" s="964"/>
      <c r="G47" s="964" t="str">
        <f t="shared" si="50"/>
        <v/>
      </c>
      <c r="H47" s="964" t="str">
        <f t="shared" si="51"/>
        <v/>
      </c>
      <c r="I47" s="964" t="str">
        <f t="shared" si="52"/>
        <v/>
      </c>
      <c r="J47" s="964" t="str">
        <f t="shared" si="21"/>
        <v/>
      </c>
      <c r="K47" s="964" t="str">
        <f t="shared" si="53"/>
        <v/>
      </c>
      <c r="L47" s="965" t="str">
        <f t="shared" si="54"/>
        <v/>
      </c>
      <c r="M47" s="325" t="str">
        <f t="shared" si="22"/>
        <v/>
      </c>
      <c r="N47" s="536">
        <f t="shared" si="23"/>
        <v>0</v>
      </c>
      <c r="O47" s="327" t="str">
        <f t="shared" si="55"/>
        <v/>
      </c>
      <c r="P47" s="325" t="str">
        <f t="shared" si="24"/>
        <v/>
      </c>
      <c r="Q47" s="328" t="str">
        <f t="shared" si="25"/>
        <v/>
      </c>
      <c r="R47" s="328" t="str">
        <f t="shared" si="26"/>
        <v/>
      </c>
      <c r="S47" s="325"/>
      <c r="T47" s="329">
        <v>0.9</v>
      </c>
      <c r="U47" s="325" t="str">
        <f t="shared" si="27"/>
        <v/>
      </c>
      <c r="V47" s="330" t="str">
        <f t="shared" si="28"/>
        <v/>
      </c>
      <c r="W47" s="331" t="str">
        <f t="shared" si="48"/>
        <v/>
      </c>
      <c r="X47" s="332" t="str">
        <f t="shared" si="29"/>
        <v/>
      </c>
      <c r="Y47" s="333" t="str">
        <f t="shared" si="30"/>
        <v/>
      </c>
      <c r="Z47" s="325" t="s">
        <v>164</v>
      </c>
      <c r="AA47" s="334"/>
      <c r="AB47" s="254"/>
      <c r="AC47" s="335">
        <v>2014</v>
      </c>
      <c r="AD47" s="336">
        <v>0</v>
      </c>
      <c r="AE47" s="336" t="s">
        <v>166</v>
      </c>
      <c r="AF47" s="337">
        <v>10</v>
      </c>
      <c r="AG47" s="263"/>
      <c r="AH47" s="338">
        <f t="shared" si="2"/>
        <v>0</v>
      </c>
      <c r="AI47" s="338">
        <f t="shared" si="3"/>
        <v>0</v>
      </c>
      <c r="AJ47" s="338">
        <f t="shared" si="4"/>
        <v>0</v>
      </c>
      <c r="AK47" s="338">
        <f t="shared" si="5"/>
        <v>1</v>
      </c>
      <c r="AL47" s="339">
        <f t="shared" si="6"/>
        <v>0.85782399999999992</v>
      </c>
      <c r="AM47" s="340"/>
      <c r="AN47" s="341" t="str">
        <f t="shared" si="7"/>
        <v/>
      </c>
      <c r="AO47" s="341" t="str">
        <f t="shared" si="8"/>
        <v/>
      </c>
      <c r="AP47" s="341">
        <v>1</v>
      </c>
      <c r="AQ47" s="341">
        <f t="shared" si="9"/>
        <v>0.8</v>
      </c>
      <c r="AR47" s="341">
        <f t="shared" si="10"/>
        <v>0.85782399999999992</v>
      </c>
      <c r="AS47" s="341" t="e">
        <f t="shared" si="11"/>
        <v>#VALUE!</v>
      </c>
      <c r="AT47" s="341" t="e">
        <f t="shared" si="12"/>
        <v>#VALUE!</v>
      </c>
      <c r="AU47" s="341" t="str">
        <f t="shared" si="31"/>
        <v/>
      </c>
      <c r="AV47" s="341" t="str">
        <f t="shared" si="32"/>
        <v/>
      </c>
      <c r="AW47" s="342" t="str">
        <f t="shared" si="13"/>
        <v>ok</v>
      </c>
      <c r="AX47" s="343" t="str">
        <f t="shared" si="14"/>
        <v/>
      </c>
      <c r="AY47" s="343" t="str">
        <f t="shared" si="15"/>
        <v/>
      </c>
      <c r="AZ47" s="343" t="str">
        <f t="shared" si="16"/>
        <v/>
      </c>
      <c r="BA47" s="344" t="str">
        <f t="shared" si="33"/>
        <v>Deletar Calculos e Ocultar</v>
      </c>
      <c r="BB47" s="343">
        <f t="shared" si="17"/>
        <v>0</v>
      </c>
      <c r="BD47" s="371" t="s">
        <v>183</v>
      </c>
      <c r="BE47" s="372">
        <f>(BG47-BG41)/BG42</f>
        <v>0.89604203839895413</v>
      </c>
      <c r="BF47" s="373" t="str">
        <f>IF(BE47&lt;BE44,"Aceito","Eliminado")</f>
        <v>Aceito</v>
      </c>
      <c r="BG47" s="374">
        <f>MAX(AU41:AU60)</f>
        <v>9358.7547125621604</v>
      </c>
      <c r="BJ47" s="349" t="s">
        <v>138</v>
      </c>
      <c r="BK47" s="350" t="s">
        <v>137</v>
      </c>
      <c r="BL47" s="350"/>
      <c r="BM47" s="351">
        <v>0.752</v>
      </c>
      <c r="BP47" s="206" t="e">
        <f t="shared" si="34"/>
        <v>#VALUE!</v>
      </c>
      <c r="BQ47" s="206" t="e">
        <f t="shared" si="35"/>
        <v>#VALUE!</v>
      </c>
      <c r="BR47" s="206" t="e">
        <f t="shared" si="36"/>
        <v>#VALUE!</v>
      </c>
      <c r="BS47" s="206" t="e">
        <f t="shared" si="37"/>
        <v>#VALUE!</v>
      </c>
      <c r="BT47" s="206" t="e">
        <f t="shared" si="38"/>
        <v>#VALUE!</v>
      </c>
      <c r="BU47" s="206" t="e">
        <f t="shared" si="39"/>
        <v>#VALUE!</v>
      </c>
      <c r="BV47" s="206" t="e">
        <f t="shared" si="40"/>
        <v>#VALUE!</v>
      </c>
      <c r="BW47" s="206" t="e">
        <f t="shared" si="41"/>
        <v>#VALUE!</v>
      </c>
      <c r="BX47" s="206" t="e">
        <f t="shared" si="42"/>
        <v>#VALUE!</v>
      </c>
      <c r="BY47" s="206" t="e">
        <f t="shared" si="43"/>
        <v>#VALUE!</v>
      </c>
      <c r="BZ47" s="206" t="e">
        <f t="shared" si="44"/>
        <v>#VALUE!</v>
      </c>
      <c r="CA47" s="206" t="e">
        <f t="shared" si="45"/>
        <v>#VALUE!</v>
      </c>
      <c r="CB47" s="206" t="e">
        <f t="shared" si="46"/>
        <v>#VALUE!</v>
      </c>
      <c r="CD47" s="206" t="e">
        <f t="shared" si="47"/>
        <v>#VALUE!</v>
      </c>
      <c r="CE47" s="206" t="e">
        <f t="shared" si="20"/>
        <v>#VALUE!</v>
      </c>
      <c r="CF47" s="206" t="e">
        <f t="shared" si="20"/>
        <v>#VALUE!</v>
      </c>
      <c r="CG47" s="206" t="e">
        <f t="shared" si="20"/>
        <v>#VALUE!</v>
      </c>
      <c r="CH47" s="206" t="e">
        <f t="shared" si="20"/>
        <v>#VALUE!</v>
      </c>
      <c r="CI47" s="206" t="e">
        <f t="shared" si="20"/>
        <v>#VALUE!</v>
      </c>
      <c r="CJ47" s="206" t="e">
        <f t="shared" si="20"/>
        <v>#VALUE!</v>
      </c>
      <c r="CK47" s="206" t="e">
        <f t="shared" si="20"/>
        <v>#VALUE!</v>
      </c>
      <c r="CL47" s="206" t="e">
        <f t="shared" si="20"/>
        <v>#VALUE!</v>
      </c>
      <c r="CM47" s="206" t="e">
        <f t="shared" si="20"/>
        <v>#VALUE!</v>
      </c>
      <c r="CN47" s="206" t="e">
        <f t="shared" si="20"/>
        <v>#VALUE!</v>
      </c>
      <c r="CO47" s="206" t="e">
        <f t="shared" si="20"/>
        <v>#VALUE!</v>
      </c>
      <c r="CP47" s="206" t="e">
        <f t="shared" si="20"/>
        <v>#VALUE!</v>
      </c>
    </row>
    <row r="48" spans="1:617" s="206" customFormat="1" ht="16.5" customHeight="1" thickBot="1">
      <c r="A48" s="869" t="s">
        <v>174</v>
      </c>
      <c r="B48" s="324">
        <v>8</v>
      </c>
      <c r="C48" s="352" t="str">
        <f>IF(A48="N","",IF(A48="S",IF(SUM($C$41:C47)=0,1,SUM(LARGE($C$41:C47,1),1))))</f>
        <v/>
      </c>
      <c r="D48" s="353"/>
      <c r="E48" s="966" t="str">
        <f t="shared" si="49"/>
        <v/>
      </c>
      <c r="F48" s="967"/>
      <c r="G48" s="967" t="str">
        <f t="shared" si="50"/>
        <v/>
      </c>
      <c r="H48" s="967" t="str">
        <f t="shared" si="51"/>
        <v/>
      </c>
      <c r="I48" s="967" t="str">
        <f t="shared" si="52"/>
        <v/>
      </c>
      <c r="J48" s="967" t="str">
        <f t="shared" si="21"/>
        <v/>
      </c>
      <c r="K48" s="967" t="str">
        <f t="shared" si="53"/>
        <v/>
      </c>
      <c r="L48" s="968" t="str">
        <f t="shared" si="54"/>
        <v/>
      </c>
      <c r="M48" s="352" t="str">
        <f t="shared" si="22"/>
        <v/>
      </c>
      <c r="N48" s="535">
        <f t="shared" si="23"/>
        <v>0</v>
      </c>
      <c r="O48" s="872" t="str">
        <f t="shared" si="55"/>
        <v/>
      </c>
      <c r="P48" s="352" t="str">
        <f t="shared" si="24"/>
        <v/>
      </c>
      <c r="Q48" s="354" t="str">
        <f t="shared" si="25"/>
        <v/>
      </c>
      <c r="R48" s="354" t="str">
        <f t="shared" si="26"/>
        <v/>
      </c>
      <c r="S48" s="352"/>
      <c r="T48" s="874">
        <v>0.9</v>
      </c>
      <c r="U48" s="352" t="str">
        <f t="shared" si="27"/>
        <v/>
      </c>
      <c r="V48" s="355" t="str">
        <f t="shared" si="28"/>
        <v/>
      </c>
      <c r="W48" s="882" t="str">
        <f t="shared" si="48"/>
        <v/>
      </c>
      <c r="X48" s="883" t="str">
        <f t="shared" si="29"/>
        <v/>
      </c>
      <c r="Y48" s="884" t="str">
        <f t="shared" si="30"/>
        <v/>
      </c>
      <c r="Z48" s="352" t="s">
        <v>164</v>
      </c>
      <c r="AA48" s="890"/>
      <c r="AB48" s="254"/>
      <c r="AC48" s="895">
        <v>2014</v>
      </c>
      <c r="AD48" s="896">
        <v>0</v>
      </c>
      <c r="AE48" s="896" t="s">
        <v>166</v>
      </c>
      <c r="AF48" s="897">
        <v>10</v>
      </c>
      <c r="AG48" s="263"/>
      <c r="AH48" s="356">
        <f t="shared" si="2"/>
        <v>0</v>
      </c>
      <c r="AI48" s="356">
        <f t="shared" si="3"/>
        <v>0</v>
      </c>
      <c r="AJ48" s="356">
        <f t="shared" si="4"/>
        <v>0</v>
      </c>
      <c r="AK48" s="356">
        <f t="shared" si="5"/>
        <v>1</v>
      </c>
      <c r="AL48" s="357">
        <f t="shared" si="6"/>
        <v>0.85782399999999992</v>
      </c>
      <c r="AM48" s="358"/>
      <c r="AN48" s="359" t="str">
        <f t="shared" si="7"/>
        <v/>
      </c>
      <c r="AO48" s="359" t="str">
        <f t="shared" si="8"/>
        <v/>
      </c>
      <c r="AP48" s="359">
        <v>1</v>
      </c>
      <c r="AQ48" s="359">
        <f t="shared" si="9"/>
        <v>0.8</v>
      </c>
      <c r="AR48" s="359">
        <f t="shared" si="10"/>
        <v>0.85782399999999992</v>
      </c>
      <c r="AS48" s="359" t="e">
        <f t="shared" si="11"/>
        <v>#VALUE!</v>
      </c>
      <c r="AT48" s="359" t="e">
        <f t="shared" si="12"/>
        <v>#VALUE!</v>
      </c>
      <c r="AU48" s="359" t="str">
        <f t="shared" si="31"/>
        <v/>
      </c>
      <c r="AV48" s="359" t="str">
        <f t="shared" si="32"/>
        <v/>
      </c>
      <c r="AW48" s="342" t="str">
        <f t="shared" si="13"/>
        <v>ok</v>
      </c>
      <c r="AX48" s="343" t="str">
        <f t="shared" si="14"/>
        <v/>
      </c>
      <c r="AY48" s="343" t="str">
        <f t="shared" si="15"/>
        <v/>
      </c>
      <c r="AZ48" s="343" t="str">
        <f t="shared" si="16"/>
        <v/>
      </c>
      <c r="BA48" s="344" t="str">
        <f t="shared" si="33"/>
        <v>Deletar Calculos e Ocultar</v>
      </c>
      <c r="BB48" s="343">
        <f t="shared" si="17"/>
        <v>0</v>
      </c>
      <c r="BD48" s="375" t="s">
        <v>182</v>
      </c>
      <c r="BE48" s="376">
        <f>(BG41-BG48)/BG42</f>
        <v>1.0271056731884531</v>
      </c>
      <c r="BF48" s="373" t="str">
        <f>IF(BE48&lt;BE44,"Aceito","eliminado")</f>
        <v>Aceito</v>
      </c>
      <c r="BG48" s="374">
        <f>MIN(AU41:AU60)</f>
        <v>8281.2743759818131</v>
      </c>
      <c r="BJ48" s="321" t="s">
        <v>136</v>
      </c>
      <c r="BK48" s="322" t="s">
        <v>135</v>
      </c>
      <c r="BL48" s="322"/>
      <c r="BM48" s="362">
        <v>1</v>
      </c>
      <c r="BP48" s="206" t="e">
        <f t="shared" si="34"/>
        <v>#VALUE!</v>
      </c>
      <c r="BQ48" s="206" t="e">
        <f t="shared" si="35"/>
        <v>#VALUE!</v>
      </c>
      <c r="BR48" s="206" t="e">
        <f t="shared" si="36"/>
        <v>#VALUE!</v>
      </c>
      <c r="BS48" s="206" t="e">
        <f t="shared" si="37"/>
        <v>#VALUE!</v>
      </c>
      <c r="BT48" s="206" t="e">
        <f t="shared" si="38"/>
        <v>#VALUE!</v>
      </c>
      <c r="BU48" s="206" t="e">
        <f t="shared" si="39"/>
        <v>#VALUE!</v>
      </c>
      <c r="BV48" s="206" t="e">
        <f t="shared" si="40"/>
        <v>#VALUE!</v>
      </c>
      <c r="BW48" s="206" t="e">
        <f t="shared" si="41"/>
        <v>#VALUE!</v>
      </c>
      <c r="BX48" s="206" t="e">
        <f t="shared" si="42"/>
        <v>#VALUE!</v>
      </c>
      <c r="BY48" s="206" t="e">
        <f t="shared" si="43"/>
        <v>#VALUE!</v>
      </c>
      <c r="BZ48" s="206" t="e">
        <f t="shared" si="44"/>
        <v>#VALUE!</v>
      </c>
      <c r="CA48" s="206" t="e">
        <f t="shared" si="45"/>
        <v>#VALUE!</v>
      </c>
      <c r="CB48" s="206" t="e">
        <f t="shared" si="46"/>
        <v>#VALUE!</v>
      </c>
      <c r="CD48" s="206" t="e">
        <f t="shared" si="47"/>
        <v>#VALUE!</v>
      </c>
      <c r="CE48" s="206" t="e">
        <f t="shared" si="20"/>
        <v>#VALUE!</v>
      </c>
      <c r="CF48" s="206" t="e">
        <f t="shared" si="20"/>
        <v>#VALUE!</v>
      </c>
      <c r="CG48" s="206" t="e">
        <f t="shared" si="20"/>
        <v>#VALUE!</v>
      </c>
      <c r="CH48" s="206" t="e">
        <f t="shared" si="20"/>
        <v>#VALUE!</v>
      </c>
      <c r="CI48" s="206" t="e">
        <f t="shared" si="20"/>
        <v>#VALUE!</v>
      </c>
      <c r="CJ48" s="206" t="e">
        <f t="shared" si="20"/>
        <v>#VALUE!</v>
      </c>
      <c r="CK48" s="206" t="e">
        <f t="shared" si="20"/>
        <v>#VALUE!</v>
      </c>
      <c r="CL48" s="206" t="e">
        <f t="shared" si="20"/>
        <v>#VALUE!</v>
      </c>
      <c r="CM48" s="206" t="e">
        <f t="shared" si="20"/>
        <v>#VALUE!</v>
      </c>
      <c r="CN48" s="206" t="e">
        <f t="shared" si="20"/>
        <v>#VALUE!</v>
      </c>
      <c r="CO48" s="206" t="e">
        <f t="shared" si="20"/>
        <v>#VALUE!</v>
      </c>
      <c r="CP48" s="206" t="e">
        <f t="shared" si="20"/>
        <v>#VALUE!</v>
      </c>
    </row>
    <row r="49" spans="1:94" s="206" customFormat="1" ht="16.5" customHeight="1" thickBot="1">
      <c r="A49" s="869" t="s">
        <v>174</v>
      </c>
      <c r="B49" s="324">
        <v>9</v>
      </c>
      <c r="C49" s="325" t="str">
        <f>IF(A49="N","",IF(A49="S",IF(SUM($C$41:C48)=0,1,SUM(LARGE($C$41:C48,1),1))))</f>
        <v/>
      </c>
      <c r="D49" s="326"/>
      <c r="E49" s="969" t="str">
        <f t="shared" si="49"/>
        <v/>
      </c>
      <c r="F49" s="964"/>
      <c r="G49" s="964" t="str">
        <f t="shared" si="50"/>
        <v/>
      </c>
      <c r="H49" s="964" t="str">
        <f t="shared" si="51"/>
        <v/>
      </c>
      <c r="I49" s="964" t="str">
        <f t="shared" si="52"/>
        <v/>
      </c>
      <c r="J49" s="964" t="str">
        <f t="shared" si="21"/>
        <v/>
      </c>
      <c r="K49" s="964" t="str">
        <f t="shared" si="53"/>
        <v/>
      </c>
      <c r="L49" s="965" t="str">
        <f t="shared" si="54"/>
        <v/>
      </c>
      <c r="M49" s="325" t="str">
        <f t="shared" si="22"/>
        <v/>
      </c>
      <c r="N49" s="536">
        <f t="shared" si="23"/>
        <v>0</v>
      </c>
      <c r="O49" s="327" t="str">
        <f t="shared" si="55"/>
        <v/>
      </c>
      <c r="P49" s="325" t="str">
        <f t="shared" si="24"/>
        <v/>
      </c>
      <c r="Q49" s="328" t="str">
        <f t="shared" si="25"/>
        <v/>
      </c>
      <c r="R49" s="328" t="str">
        <f t="shared" si="26"/>
        <v/>
      </c>
      <c r="S49" s="325"/>
      <c r="T49" s="329">
        <v>0.9</v>
      </c>
      <c r="U49" s="325" t="str">
        <f t="shared" si="27"/>
        <v/>
      </c>
      <c r="V49" s="330" t="str">
        <f t="shared" si="28"/>
        <v/>
      </c>
      <c r="W49" s="331" t="str">
        <f t="shared" si="48"/>
        <v/>
      </c>
      <c r="X49" s="332" t="str">
        <f t="shared" si="29"/>
        <v/>
      </c>
      <c r="Y49" s="333" t="str">
        <f t="shared" si="30"/>
        <v/>
      </c>
      <c r="Z49" s="325" t="s">
        <v>164</v>
      </c>
      <c r="AA49" s="334"/>
      <c r="AB49" s="254"/>
      <c r="AC49" s="335">
        <v>2014</v>
      </c>
      <c r="AD49" s="336">
        <v>0</v>
      </c>
      <c r="AE49" s="336" t="s">
        <v>166</v>
      </c>
      <c r="AF49" s="337">
        <v>10</v>
      </c>
      <c r="AG49" s="263"/>
      <c r="AH49" s="338">
        <f t="shared" si="2"/>
        <v>0</v>
      </c>
      <c r="AI49" s="338">
        <f t="shared" si="3"/>
        <v>0</v>
      </c>
      <c r="AJ49" s="338">
        <f t="shared" si="4"/>
        <v>0</v>
      </c>
      <c r="AK49" s="338">
        <f t="shared" si="5"/>
        <v>1</v>
      </c>
      <c r="AL49" s="339">
        <f t="shared" si="6"/>
        <v>0.85782399999999992</v>
      </c>
      <c r="AM49" s="340"/>
      <c r="AN49" s="341" t="str">
        <f t="shared" si="7"/>
        <v/>
      </c>
      <c r="AO49" s="341" t="str">
        <f t="shared" si="8"/>
        <v/>
      </c>
      <c r="AP49" s="341">
        <v>1</v>
      </c>
      <c r="AQ49" s="341">
        <f t="shared" si="9"/>
        <v>0.8</v>
      </c>
      <c r="AR49" s="341">
        <f t="shared" si="10"/>
        <v>0.85782399999999992</v>
      </c>
      <c r="AS49" s="341" t="e">
        <f t="shared" si="11"/>
        <v>#VALUE!</v>
      </c>
      <c r="AT49" s="341" t="e">
        <f t="shared" si="12"/>
        <v>#VALUE!</v>
      </c>
      <c r="AU49" s="341" t="str">
        <f t="shared" si="31"/>
        <v/>
      </c>
      <c r="AV49" s="341" t="str">
        <f t="shared" si="32"/>
        <v/>
      </c>
      <c r="AW49" s="342" t="str">
        <f t="shared" si="13"/>
        <v>ok</v>
      </c>
      <c r="AX49" s="343" t="str">
        <f t="shared" si="14"/>
        <v/>
      </c>
      <c r="AY49" s="343" t="str">
        <f t="shared" si="15"/>
        <v/>
      </c>
      <c r="AZ49" s="343" t="str">
        <f t="shared" si="16"/>
        <v/>
      </c>
      <c r="BA49" s="344" t="str">
        <f t="shared" si="33"/>
        <v>Deletar Calculos e Ocultar</v>
      </c>
      <c r="BB49" s="343">
        <f t="shared" si="17"/>
        <v>0</v>
      </c>
      <c r="BD49" s="1062" t="s">
        <v>181</v>
      </c>
      <c r="BE49" s="1064"/>
      <c r="BF49" s="1062" t="s">
        <v>180</v>
      </c>
      <c r="BG49" s="1064"/>
      <c r="BJ49" s="208"/>
      <c r="BK49" s="377"/>
      <c r="BL49" s="378"/>
      <c r="BM49" s="208"/>
      <c r="BP49" s="206" t="e">
        <f t="shared" si="34"/>
        <v>#VALUE!</v>
      </c>
      <c r="BQ49" s="206" t="e">
        <f t="shared" si="35"/>
        <v>#VALUE!</v>
      </c>
      <c r="BR49" s="206" t="e">
        <f t="shared" si="36"/>
        <v>#VALUE!</v>
      </c>
      <c r="BS49" s="206" t="e">
        <f t="shared" si="37"/>
        <v>#VALUE!</v>
      </c>
      <c r="BT49" s="206" t="e">
        <f t="shared" si="38"/>
        <v>#VALUE!</v>
      </c>
      <c r="BU49" s="206" t="e">
        <f t="shared" si="39"/>
        <v>#VALUE!</v>
      </c>
      <c r="BV49" s="206" t="e">
        <f t="shared" si="40"/>
        <v>#VALUE!</v>
      </c>
      <c r="BW49" s="206" t="e">
        <f t="shared" si="41"/>
        <v>#VALUE!</v>
      </c>
      <c r="BX49" s="206" t="e">
        <f t="shared" si="42"/>
        <v>#VALUE!</v>
      </c>
      <c r="BY49" s="206" t="e">
        <f t="shared" si="43"/>
        <v>#VALUE!</v>
      </c>
      <c r="BZ49" s="206" t="e">
        <f t="shared" si="44"/>
        <v>#VALUE!</v>
      </c>
      <c r="CA49" s="206" t="e">
        <f t="shared" si="45"/>
        <v>#VALUE!</v>
      </c>
      <c r="CB49" s="206" t="e">
        <f t="shared" si="46"/>
        <v>#VALUE!</v>
      </c>
      <c r="CD49" s="206" t="e">
        <f t="shared" si="47"/>
        <v>#VALUE!</v>
      </c>
      <c r="CE49" s="206" t="e">
        <f t="shared" si="20"/>
        <v>#VALUE!</v>
      </c>
      <c r="CF49" s="206" t="e">
        <f t="shared" si="20"/>
        <v>#VALUE!</v>
      </c>
      <c r="CG49" s="206" t="e">
        <f t="shared" si="20"/>
        <v>#VALUE!</v>
      </c>
      <c r="CH49" s="206" t="e">
        <f t="shared" si="20"/>
        <v>#VALUE!</v>
      </c>
      <c r="CI49" s="206" t="e">
        <f t="shared" si="20"/>
        <v>#VALUE!</v>
      </c>
      <c r="CJ49" s="206" t="e">
        <f t="shared" si="20"/>
        <v>#VALUE!</v>
      </c>
      <c r="CK49" s="206" t="e">
        <f t="shared" si="20"/>
        <v>#VALUE!</v>
      </c>
      <c r="CL49" s="206" t="e">
        <f t="shared" si="20"/>
        <v>#VALUE!</v>
      </c>
      <c r="CM49" s="206" t="e">
        <f t="shared" si="20"/>
        <v>#VALUE!</v>
      </c>
      <c r="CN49" s="206" t="e">
        <f t="shared" si="20"/>
        <v>#VALUE!</v>
      </c>
      <c r="CO49" s="206" t="e">
        <f t="shared" si="20"/>
        <v>#VALUE!</v>
      </c>
      <c r="CP49" s="206" t="e">
        <f t="shared" si="20"/>
        <v>#VALUE!</v>
      </c>
    </row>
    <row r="50" spans="1:94" s="206" customFormat="1" ht="16.5" customHeight="1">
      <c r="A50" s="869" t="s">
        <v>174</v>
      </c>
      <c r="B50" s="324">
        <v>10</v>
      </c>
      <c r="C50" s="352" t="str">
        <f>IF(A50="N","",IF(A50="S",IF(SUM($C$41:C49)=0,1,SUM(LARGE($C$41:C49,1),1))))</f>
        <v/>
      </c>
      <c r="D50" s="353"/>
      <c r="E50" s="966" t="str">
        <f t="shared" si="49"/>
        <v/>
      </c>
      <c r="F50" s="967"/>
      <c r="G50" s="967" t="str">
        <f t="shared" si="50"/>
        <v/>
      </c>
      <c r="H50" s="967" t="str">
        <f t="shared" si="51"/>
        <v/>
      </c>
      <c r="I50" s="967" t="str">
        <f t="shared" si="52"/>
        <v/>
      </c>
      <c r="J50" s="967" t="str">
        <f t="shared" si="21"/>
        <v/>
      </c>
      <c r="K50" s="967" t="str">
        <f t="shared" si="53"/>
        <v/>
      </c>
      <c r="L50" s="968" t="str">
        <f t="shared" si="54"/>
        <v/>
      </c>
      <c r="M50" s="352" t="str">
        <f t="shared" si="22"/>
        <v/>
      </c>
      <c r="N50" s="535">
        <f t="shared" si="23"/>
        <v>0</v>
      </c>
      <c r="O50" s="872" t="str">
        <f t="shared" si="55"/>
        <v/>
      </c>
      <c r="P50" s="352" t="str">
        <f t="shared" si="24"/>
        <v/>
      </c>
      <c r="Q50" s="354" t="str">
        <f t="shared" si="25"/>
        <v/>
      </c>
      <c r="R50" s="354" t="str">
        <f t="shared" si="26"/>
        <v/>
      </c>
      <c r="S50" s="352"/>
      <c r="T50" s="874">
        <v>0.9</v>
      </c>
      <c r="U50" s="352" t="str">
        <f t="shared" si="27"/>
        <v/>
      </c>
      <c r="V50" s="355" t="str">
        <f t="shared" si="28"/>
        <v/>
      </c>
      <c r="W50" s="882" t="str">
        <f t="shared" si="48"/>
        <v/>
      </c>
      <c r="X50" s="883" t="str">
        <f t="shared" si="29"/>
        <v/>
      </c>
      <c r="Y50" s="884" t="str">
        <f t="shared" si="30"/>
        <v/>
      </c>
      <c r="Z50" s="352" t="s">
        <v>164</v>
      </c>
      <c r="AA50" s="890"/>
      <c r="AB50" s="254"/>
      <c r="AC50" s="895">
        <v>2014</v>
      </c>
      <c r="AD50" s="896">
        <v>0</v>
      </c>
      <c r="AE50" s="896" t="s">
        <v>166</v>
      </c>
      <c r="AF50" s="897">
        <v>10</v>
      </c>
      <c r="AG50" s="263"/>
      <c r="AH50" s="356">
        <f t="shared" si="2"/>
        <v>0</v>
      </c>
      <c r="AI50" s="356">
        <f t="shared" si="3"/>
        <v>0</v>
      </c>
      <c r="AJ50" s="356">
        <f t="shared" si="4"/>
        <v>0</v>
      </c>
      <c r="AK50" s="356">
        <f t="shared" si="5"/>
        <v>1</v>
      </c>
      <c r="AL50" s="357">
        <f t="shared" si="6"/>
        <v>0.85782399999999992</v>
      </c>
      <c r="AM50" s="358"/>
      <c r="AN50" s="359" t="str">
        <f t="shared" si="7"/>
        <v/>
      </c>
      <c r="AO50" s="359" t="str">
        <f t="shared" si="8"/>
        <v/>
      </c>
      <c r="AP50" s="359">
        <v>1</v>
      </c>
      <c r="AQ50" s="359">
        <f t="shared" si="9"/>
        <v>0.8</v>
      </c>
      <c r="AR50" s="359">
        <f t="shared" si="10"/>
        <v>0.85782399999999992</v>
      </c>
      <c r="AS50" s="359" t="e">
        <f t="shared" si="11"/>
        <v>#VALUE!</v>
      </c>
      <c r="AT50" s="359" t="e">
        <f t="shared" si="12"/>
        <v>#VALUE!</v>
      </c>
      <c r="AU50" s="359" t="str">
        <f t="shared" si="31"/>
        <v/>
      </c>
      <c r="AV50" s="359" t="str">
        <f t="shared" si="32"/>
        <v/>
      </c>
      <c r="AW50" s="342" t="str">
        <f t="shared" si="13"/>
        <v>ok</v>
      </c>
      <c r="AX50" s="343" t="str">
        <f t="shared" si="14"/>
        <v/>
      </c>
      <c r="AY50" s="343" t="str">
        <f t="shared" si="15"/>
        <v/>
      </c>
      <c r="AZ50" s="343" t="str">
        <f t="shared" si="16"/>
        <v/>
      </c>
      <c r="BA50" s="344" t="str">
        <f t="shared" si="33"/>
        <v>Deletar Calculos e Ocultar</v>
      </c>
      <c r="BB50" s="343">
        <f t="shared" si="17"/>
        <v>0</v>
      </c>
      <c r="BD50" s="371" t="s">
        <v>179</v>
      </c>
      <c r="BE50" s="379">
        <f>ROUND(BG41+BE43*(BG42/SQRT(BE42-1)),2)</f>
        <v>9367.82</v>
      </c>
      <c r="BF50" s="1053">
        <f>(BE50-BE51)/BG41</f>
        <v>0.11541279908047331</v>
      </c>
      <c r="BG50" s="1054"/>
      <c r="BJ50" s="380" t="s">
        <v>132</v>
      </c>
      <c r="BK50" s="380" t="s">
        <v>131</v>
      </c>
      <c r="BL50" s="378"/>
      <c r="BM50" s="208"/>
      <c r="BP50" s="206" t="e">
        <f t="shared" si="34"/>
        <v>#VALUE!</v>
      </c>
      <c r="BQ50" s="206" t="e">
        <f t="shared" si="35"/>
        <v>#VALUE!</v>
      </c>
      <c r="BR50" s="206" t="e">
        <f t="shared" si="36"/>
        <v>#VALUE!</v>
      </c>
      <c r="BS50" s="206" t="e">
        <f t="shared" si="37"/>
        <v>#VALUE!</v>
      </c>
      <c r="BT50" s="206" t="e">
        <f t="shared" si="38"/>
        <v>#VALUE!</v>
      </c>
      <c r="BU50" s="206" t="e">
        <f t="shared" si="39"/>
        <v>#VALUE!</v>
      </c>
      <c r="BV50" s="206" t="e">
        <f t="shared" si="40"/>
        <v>#VALUE!</v>
      </c>
      <c r="BW50" s="206" t="e">
        <f t="shared" si="41"/>
        <v>#VALUE!</v>
      </c>
      <c r="BX50" s="206" t="e">
        <f t="shared" si="42"/>
        <v>#VALUE!</v>
      </c>
      <c r="BY50" s="206" t="e">
        <f t="shared" si="43"/>
        <v>#VALUE!</v>
      </c>
      <c r="BZ50" s="206" t="e">
        <f t="shared" si="44"/>
        <v>#VALUE!</v>
      </c>
      <c r="CA50" s="206" t="e">
        <f t="shared" si="45"/>
        <v>#VALUE!</v>
      </c>
      <c r="CB50" s="206" t="e">
        <f t="shared" si="46"/>
        <v>#VALUE!</v>
      </c>
      <c r="CD50" s="206" t="e">
        <f t="shared" si="47"/>
        <v>#VALUE!</v>
      </c>
      <c r="CE50" s="206" t="e">
        <f t="shared" si="20"/>
        <v>#VALUE!</v>
      </c>
      <c r="CF50" s="206" t="e">
        <f t="shared" si="20"/>
        <v>#VALUE!</v>
      </c>
      <c r="CG50" s="206" t="e">
        <f t="shared" si="20"/>
        <v>#VALUE!</v>
      </c>
      <c r="CH50" s="206" t="e">
        <f t="shared" si="20"/>
        <v>#VALUE!</v>
      </c>
      <c r="CI50" s="206" t="e">
        <f t="shared" si="20"/>
        <v>#VALUE!</v>
      </c>
      <c r="CJ50" s="206" t="e">
        <f t="shared" si="20"/>
        <v>#VALUE!</v>
      </c>
      <c r="CK50" s="206" t="e">
        <f t="shared" si="20"/>
        <v>#VALUE!</v>
      </c>
      <c r="CL50" s="206" t="e">
        <f t="shared" si="20"/>
        <v>#VALUE!</v>
      </c>
      <c r="CM50" s="206" t="e">
        <f t="shared" si="20"/>
        <v>#VALUE!</v>
      </c>
      <c r="CN50" s="206" t="e">
        <f t="shared" si="20"/>
        <v>#VALUE!</v>
      </c>
      <c r="CO50" s="206" t="e">
        <f t="shared" si="20"/>
        <v>#VALUE!</v>
      </c>
      <c r="CP50" s="206" t="e">
        <f t="shared" si="20"/>
        <v>#VALUE!</v>
      </c>
    </row>
    <row r="51" spans="1:94" s="206" customFormat="1" ht="16.5" customHeight="1" thickBot="1">
      <c r="A51" s="869" t="s">
        <v>174</v>
      </c>
      <c r="B51" s="324">
        <v>11</v>
      </c>
      <c r="C51" s="325" t="str">
        <f>IF(A51="N","",IF(A51="S",IF(SUM($C$41:C50)=0,1,SUM(LARGE($C$41:C50,1),1))))</f>
        <v/>
      </c>
      <c r="D51" s="326"/>
      <c r="E51" s="969" t="str">
        <f t="shared" si="49"/>
        <v/>
      </c>
      <c r="F51" s="964"/>
      <c r="G51" s="964" t="str">
        <f t="shared" si="50"/>
        <v/>
      </c>
      <c r="H51" s="964" t="str">
        <f t="shared" si="51"/>
        <v/>
      </c>
      <c r="I51" s="964" t="str">
        <f t="shared" si="52"/>
        <v/>
      </c>
      <c r="J51" s="964" t="str">
        <f t="shared" si="21"/>
        <v/>
      </c>
      <c r="K51" s="964" t="str">
        <f t="shared" si="53"/>
        <v/>
      </c>
      <c r="L51" s="965" t="str">
        <f t="shared" si="54"/>
        <v/>
      </c>
      <c r="M51" s="325" t="str">
        <f t="shared" si="22"/>
        <v/>
      </c>
      <c r="N51" s="536">
        <f t="shared" si="23"/>
        <v>0</v>
      </c>
      <c r="O51" s="327" t="str">
        <f t="shared" si="55"/>
        <v/>
      </c>
      <c r="P51" s="325" t="str">
        <f t="shared" si="24"/>
        <v/>
      </c>
      <c r="Q51" s="328" t="str">
        <f t="shared" si="25"/>
        <v/>
      </c>
      <c r="R51" s="328" t="str">
        <f t="shared" si="26"/>
        <v/>
      </c>
      <c r="S51" s="325"/>
      <c r="T51" s="329">
        <v>0.9</v>
      </c>
      <c r="U51" s="325" t="str">
        <f t="shared" si="27"/>
        <v/>
      </c>
      <c r="V51" s="330" t="str">
        <f t="shared" si="28"/>
        <v/>
      </c>
      <c r="W51" s="331" t="str">
        <f t="shared" si="48"/>
        <v/>
      </c>
      <c r="X51" s="332" t="str">
        <f t="shared" si="29"/>
        <v/>
      </c>
      <c r="Y51" s="333" t="str">
        <f t="shared" si="30"/>
        <v/>
      </c>
      <c r="Z51" s="325" t="s">
        <v>164</v>
      </c>
      <c r="AA51" s="334"/>
      <c r="AB51" s="254"/>
      <c r="AC51" s="335">
        <v>2014</v>
      </c>
      <c r="AD51" s="336">
        <v>0</v>
      </c>
      <c r="AE51" s="336" t="s">
        <v>166</v>
      </c>
      <c r="AF51" s="337">
        <v>10</v>
      </c>
      <c r="AG51" s="263"/>
      <c r="AH51" s="338">
        <f t="shared" si="2"/>
        <v>0</v>
      </c>
      <c r="AI51" s="338">
        <f t="shared" si="3"/>
        <v>0</v>
      </c>
      <c r="AJ51" s="338">
        <f t="shared" si="4"/>
        <v>0</v>
      </c>
      <c r="AK51" s="338">
        <f t="shared" si="5"/>
        <v>1</v>
      </c>
      <c r="AL51" s="339">
        <f t="shared" si="6"/>
        <v>0.85782399999999992</v>
      </c>
      <c r="AM51" s="340"/>
      <c r="AN51" s="341" t="str">
        <f t="shared" si="7"/>
        <v/>
      </c>
      <c r="AO51" s="341" t="str">
        <f t="shared" si="8"/>
        <v/>
      </c>
      <c r="AP51" s="341">
        <v>1</v>
      </c>
      <c r="AQ51" s="341">
        <f t="shared" si="9"/>
        <v>0.8</v>
      </c>
      <c r="AR51" s="341">
        <f t="shared" si="10"/>
        <v>0.85782399999999992</v>
      </c>
      <c r="AS51" s="341" t="e">
        <f t="shared" si="11"/>
        <v>#VALUE!</v>
      </c>
      <c r="AT51" s="341" t="e">
        <f t="shared" si="12"/>
        <v>#VALUE!</v>
      </c>
      <c r="AU51" s="341" t="str">
        <f t="shared" si="31"/>
        <v/>
      </c>
      <c r="AV51" s="341" t="str">
        <f t="shared" si="32"/>
        <v/>
      </c>
      <c r="AW51" s="342" t="str">
        <f t="shared" si="13"/>
        <v>ok</v>
      </c>
      <c r="AX51" s="343" t="str">
        <f t="shared" si="14"/>
        <v/>
      </c>
      <c r="AY51" s="343" t="str">
        <f t="shared" si="15"/>
        <v/>
      </c>
      <c r="AZ51" s="343" t="str">
        <f t="shared" si="16"/>
        <v/>
      </c>
      <c r="BA51" s="344" t="str">
        <f t="shared" si="33"/>
        <v>Deletar Calculos e Ocultar</v>
      </c>
      <c r="BB51" s="343">
        <f t="shared" si="17"/>
        <v>0</v>
      </c>
      <c r="BD51" s="375" t="s">
        <v>178</v>
      </c>
      <c r="BE51" s="381">
        <f>ROUND(BG41-BE43*(BG42/SQRT(BE42-1)),2)</f>
        <v>8345.64</v>
      </c>
      <c r="BF51" s="382" t="s">
        <v>177</v>
      </c>
      <c r="BG51" s="383" t="str">
        <f>IF(BF50&lt;30%,"III",IF(BF50&lt;40%,"II",IF(BF50&lt;50%,"I")))</f>
        <v>III</v>
      </c>
      <c r="BJ51" s="236">
        <v>67</v>
      </c>
      <c r="BK51" s="236">
        <v>75</v>
      </c>
      <c r="BL51" s="208"/>
      <c r="BM51" s="208"/>
      <c r="BP51" s="206" t="e">
        <f t="shared" si="34"/>
        <v>#VALUE!</v>
      </c>
      <c r="BQ51" s="206" t="e">
        <f t="shared" si="35"/>
        <v>#VALUE!</v>
      </c>
      <c r="BR51" s="206" t="e">
        <f t="shared" si="36"/>
        <v>#VALUE!</v>
      </c>
      <c r="BS51" s="206" t="e">
        <f t="shared" si="37"/>
        <v>#VALUE!</v>
      </c>
      <c r="BT51" s="206" t="e">
        <f t="shared" si="38"/>
        <v>#VALUE!</v>
      </c>
      <c r="BU51" s="206" t="e">
        <f t="shared" si="39"/>
        <v>#VALUE!</v>
      </c>
      <c r="BV51" s="206" t="e">
        <f t="shared" si="40"/>
        <v>#VALUE!</v>
      </c>
      <c r="BW51" s="206" t="e">
        <f t="shared" si="41"/>
        <v>#VALUE!</v>
      </c>
      <c r="BX51" s="206" t="e">
        <f t="shared" si="42"/>
        <v>#VALUE!</v>
      </c>
      <c r="BY51" s="206" t="e">
        <f t="shared" si="43"/>
        <v>#VALUE!</v>
      </c>
      <c r="BZ51" s="206" t="e">
        <f t="shared" si="44"/>
        <v>#VALUE!</v>
      </c>
      <c r="CA51" s="206" t="e">
        <f t="shared" si="45"/>
        <v>#VALUE!</v>
      </c>
      <c r="CB51" s="206" t="e">
        <f t="shared" si="46"/>
        <v>#VALUE!</v>
      </c>
      <c r="CD51" s="206" t="e">
        <f t="shared" si="47"/>
        <v>#VALUE!</v>
      </c>
      <c r="CE51" s="206" t="e">
        <f t="shared" si="20"/>
        <v>#VALUE!</v>
      </c>
      <c r="CF51" s="206" t="e">
        <f t="shared" si="20"/>
        <v>#VALUE!</v>
      </c>
      <c r="CG51" s="206" t="e">
        <f t="shared" si="20"/>
        <v>#VALUE!</v>
      </c>
      <c r="CH51" s="206" t="e">
        <f t="shared" si="20"/>
        <v>#VALUE!</v>
      </c>
      <c r="CI51" s="206" t="e">
        <f t="shared" si="20"/>
        <v>#VALUE!</v>
      </c>
      <c r="CJ51" s="206" t="e">
        <f t="shared" si="20"/>
        <v>#VALUE!</v>
      </c>
      <c r="CK51" s="206" t="e">
        <f t="shared" si="20"/>
        <v>#VALUE!</v>
      </c>
      <c r="CL51" s="206" t="e">
        <f t="shared" si="20"/>
        <v>#VALUE!</v>
      </c>
      <c r="CM51" s="206" t="e">
        <f t="shared" si="20"/>
        <v>#VALUE!</v>
      </c>
      <c r="CN51" s="206" t="e">
        <f t="shared" si="20"/>
        <v>#VALUE!</v>
      </c>
      <c r="CO51" s="206" t="e">
        <f t="shared" si="20"/>
        <v>#VALUE!</v>
      </c>
      <c r="CP51" s="206" t="e">
        <f t="shared" si="20"/>
        <v>#VALUE!</v>
      </c>
    </row>
    <row r="52" spans="1:94" s="385" customFormat="1" ht="16.5" customHeight="1">
      <c r="A52" s="869" t="s">
        <v>174</v>
      </c>
      <c r="B52" s="324">
        <v>12</v>
      </c>
      <c r="C52" s="352" t="str">
        <f>IF(A52="N","",IF(A52="S",IF(SUM($C$41:C51)=0,1,SUM(LARGE($C$41:C51,1),1))))</f>
        <v/>
      </c>
      <c r="D52" s="353"/>
      <c r="E52" s="966" t="str">
        <f t="shared" si="49"/>
        <v/>
      </c>
      <c r="F52" s="967"/>
      <c r="G52" s="967" t="str">
        <f t="shared" si="50"/>
        <v/>
      </c>
      <c r="H52" s="967" t="str">
        <f t="shared" si="51"/>
        <v/>
      </c>
      <c r="I52" s="967" t="str">
        <f t="shared" si="52"/>
        <v/>
      </c>
      <c r="J52" s="967" t="str">
        <f t="shared" si="21"/>
        <v/>
      </c>
      <c r="K52" s="967" t="str">
        <f t="shared" si="53"/>
        <v/>
      </c>
      <c r="L52" s="968" t="str">
        <f t="shared" si="54"/>
        <v/>
      </c>
      <c r="M52" s="352" t="str">
        <f t="shared" si="22"/>
        <v/>
      </c>
      <c r="N52" s="535">
        <f t="shared" si="23"/>
        <v>0</v>
      </c>
      <c r="O52" s="872" t="str">
        <f t="shared" si="55"/>
        <v/>
      </c>
      <c r="P52" s="352" t="str">
        <f t="shared" si="24"/>
        <v/>
      </c>
      <c r="Q52" s="354" t="str">
        <f t="shared" si="25"/>
        <v/>
      </c>
      <c r="R52" s="354" t="str">
        <f t="shared" si="26"/>
        <v/>
      </c>
      <c r="S52" s="352"/>
      <c r="T52" s="874">
        <v>0.9</v>
      </c>
      <c r="U52" s="352" t="str">
        <f t="shared" si="27"/>
        <v/>
      </c>
      <c r="V52" s="355" t="str">
        <f t="shared" si="28"/>
        <v/>
      </c>
      <c r="W52" s="882" t="str">
        <f t="shared" si="48"/>
        <v/>
      </c>
      <c r="X52" s="883" t="str">
        <f t="shared" si="29"/>
        <v/>
      </c>
      <c r="Y52" s="884" t="str">
        <f t="shared" si="30"/>
        <v/>
      </c>
      <c r="Z52" s="352" t="s">
        <v>164</v>
      </c>
      <c r="AA52" s="890"/>
      <c r="AB52" s="254"/>
      <c r="AC52" s="895">
        <v>2014</v>
      </c>
      <c r="AD52" s="896">
        <v>0</v>
      </c>
      <c r="AE52" s="896" t="s">
        <v>166</v>
      </c>
      <c r="AF52" s="897">
        <v>10</v>
      </c>
      <c r="AG52" s="263"/>
      <c r="AH52" s="356">
        <f t="shared" si="2"/>
        <v>0</v>
      </c>
      <c r="AI52" s="356">
        <f t="shared" si="3"/>
        <v>0</v>
      </c>
      <c r="AJ52" s="356">
        <f t="shared" si="4"/>
        <v>0</v>
      </c>
      <c r="AK52" s="356">
        <f t="shared" si="5"/>
        <v>1</v>
      </c>
      <c r="AL52" s="357">
        <f t="shared" si="6"/>
        <v>0.85782399999999992</v>
      </c>
      <c r="AM52" s="384"/>
      <c r="AN52" s="359" t="str">
        <f t="shared" si="7"/>
        <v/>
      </c>
      <c r="AO52" s="359" t="str">
        <f t="shared" si="8"/>
        <v/>
      </c>
      <c r="AP52" s="359">
        <v>1</v>
      </c>
      <c r="AQ52" s="359">
        <f t="shared" si="9"/>
        <v>0.8</v>
      </c>
      <c r="AR52" s="359">
        <f t="shared" si="10"/>
        <v>0.85782399999999992</v>
      </c>
      <c r="AS52" s="359" t="e">
        <f t="shared" si="11"/>
        <v>#VALUE!</v>
      </c>
      <c r="AT52" s="359" t="e">
        <f t="shared" si="12"/>
        <v>#VALUE!</v>
      </c>
      <c r="AU52" s="359" t="str">
        <f t="shared" si="31"/>
        <v/>
      </c>
      <c r="AV52" s="359" t="str">
        <f t="shared" si="32"/>
        <v/>
      </c>
      <c r="AW52" s="342" t="str">
        <f t="shared" si="13"/>
        <v>ok</v>
      </c>
      <c r="AX52" s="343" t="str">
        <f t="shared" si="14"/>
        <v/>
      </c>
      <c r="AY52" s="343" t="str">
        <f t="shared" si="15"/>
        <v/>
      </c>
      <c r="AZ52" s="343" t="str">
        <f t="shared" si="16"/>
        <v/>
      </c>
      <c r="BA52" s="344" t="str">
        <f t="shared" si="33"/>
        <v>Deletar Calculos e Ocultar</v>
      </c>
      <c r="BB52" s="343">
        <f t="shared" si="17"/>
        <v>0</v>
      </c>
      <c r="BD52" s="386"/>
      <c r="BE52" s="386"/>
      <c r="BF52" s="386"/>
      <c r="BG52" s="386"/>
      <c r="BJ52" s="208"/>
      <c r="BK52" s="208"/>
      <c r="BL52" s="208"/>
      <c r="BM52" s="208"/>
      <c r="BP52" s="206" t="e">
        <f t="shared" si="34"/>
        <v>#VALUE!</v>
      </c>
      <c r="BQ52" s="206" t="e">
        <f t="shared" si="35"/>
        <v>#VALUE!</v>
      </c>
      <c r="BR52" s="206" t="e">
        <f t="shared" si="36"/>
        <v>#VALUE!</v>
      </c>
      <c r="BS52" s="206" t="e">
        <f t="shared" si="37"/>
        <v>#VALUE!</v>
      </c>
      <c r="BT52" s="206" t="e">
        <f t="shared" si="38"/>
        <v>#VALUE!</v>
      </c>
      <c r="BU52" s="206" t="e">
        <f t="shared" si="39"/>
        <v>#VALUE!</v>
      </c>
      <c r="BV52" s="206" t="e">
        <f t="shared" si="40"/>
        <v>#VALUE!</v>
      </c>
      <c r="BW52" s="206" t="e">
        <f t="shared" si="41"/>
        <v>#VALUE!</v>
      </c>
      <c r="BX52" s="206" t="e">
        <f t="shared" si="42"/>
        <v>#VALUE!</v>
      </c>
      <c r="BY52" s="206" t="e">
        <f t="shared" si="43"/>
        <v>#VALUE!</v>
      </c>
      <c r="BZ52" s="206" t="e">
        <f t="shared" si="44"/>
        <v>#VALUE!</v>
      </c>
      <c r="CA52" s="206" t="e">
        <f t="shared" si="45"/>
        <v>#VALUE!</v>
      </c>
      <c r="CB52" s="206" t="e">
        <f t="shared" si="46"/>
        <v>#VALUE!</v>
      </c>
      <c r="CD52" s="206" t="e">
        <f t="shared" si="47"/>
        <v>#VALUE!</v>
      </c>
      <c r="CE52" s="206" t="e">
        <f t="shared" si="20"/>
        <v>#VALUE!</v>
      </c>
      <c r="CF52" s="206" t="e">
        <f t="shared" si="20"/>
        <v>#VALUE!</v>
      </c>
      <c r="CG52" s="206" t="e">
        <f t="shared" si="20"/>
        <v>#VALUE!</v>
      </c>
      <c r="CH52" s="206" t="e">
        <f t="shared" si="20"/>
        <v>#VALUE!</v>
      </c>
      <c r="CI52" s="206" t="e">
        <f t="shared" si="20"/>
        <v>#VALUE!</v>
      </c>
      <c r="CJ52" s="206" t="e">
        <f t="shared" si="20"/>
        <v>#VALUE!</v>
      </c>
      <c r="CK52" s="206" t="e">
        <f t="shared" si="20"/>
        <v>#VALUE!</v>
      </c>
      <c r="CL52" s="206" t="e">
        <f t="shared" si="20"/>
        <v>#VALUE!</v>
      </c>
      <c r="CM52" s="206" t="e">
        <f t="shared" si="20"/>
        <v>#VALUE!</v>
      </c>
      <c r="CN52" s="206" t="e">
        <f t="shared" si="20"/>
        <v>#VALUE!</v>
      </c>
      <c r="CO52" s="206" t="e">
        <f t="shared" si="20"/>
        <v>#VALUE!</v>
      </c>
      <c r="CP52" s="206" t="e">
        <f t="shared" si="20"/>
        <v>#VALUE!</v>
      </c>
    </row>
    <row r="53" spans="1:94" s="206" customFormat="1" ht="16.5" customHeight="1">
      <c r="A53" s="869" t="s">
        <v>174</v>
      </c>
      <c r="B53" s="324">
        <v>13</v>
      </c>
      <c r="C53" s="325" t="str">
        <f>IF(A53="N","",IF(A53="S",IF(SUM($C$41:C52)=0,1,SUM(LARGE($C$41:C52,1),1))))</f>
        <v/>
      </c>
      <c r="D53" s="326"/>
      <c r="E53" s="969" t="str">
        <f t="shared" si="49"/>
        <v/>
      </c>
      <c r="F53" s="964"/>
      <c r="G53" s="964" t="str">
        <f t="shared" si="50"/>
        <v/>
      </c>
      <c r="H53" s="964" t="str">
        <f t="shared" si="51"/>
        <v/>
      </c>
      <c r="I53" s="964" t="str">
        <f t="shared" si="52"/>
        <v/>
      </c>
      <c r="J53" s="964" t="str">
        <f t="shared" si="21"/>
        <v/>
      </c>
      <c r="K53" s="964" t="str">
        <f t="shared" si="53"/>
        <v/>
      </c>
      <c r="L53" s="965" t="str">
        <f t="shared" si="54"/>
        <v/>
      </c>
      <c r="M53" s="325" t="str">
        <f t="shared" si="22"/>
        <v/>
      </c>
      <c r="N53" s="536">
        <f t="shared" si="23"/>
        <v>0</v>
      </c>
      <c r="O53" s="327" t="str">
        <f t="shared" si="55"/>
        <v/>
      </c>
      <c r="P53" s="325" t="str">
        <f t="shared" si="24"/>
        <v/>
      </c>
      <c r="Q53" s="328" t="str">
        <f t="shared" si="25"/>
        <v/>
      </c>
      <c r="R53" s="328" t="str">
        <f t="shared" si="26"/>
        <v/>
      </c>
      <c r="S53" s="325"/>
      <c r="T53" s="329">
        <v>0.9</v>
      </c>
      <c r="U53" s="325" t="str">
        <f t="shared" si="27"/>
        <v/>
      </c>
      <c r="V53" s="330" t="str">
        <f t="shared" si="28"/>
        <v/>
      </c>
      <c r="W53" s="331" t="str">
        <f t="shared" si="48"/>
        <v/>
      </c>
      <c r="X53" s="332" t="str">
        <f t="shared" si="29"/>
        <v/>
      </c>
      <c r="Y53" s="333" t="str">
        <f t="shared" si="30"/>
        <v/>
      </c>
      <c r="Z53" s="325" t="s">
        <v>164</v>
      </c>
      <c r="AA53" s="334"/>
      <c r="AB53" s="254"/>
      <c r="AC53" s="335">
        <v>2014</v>
      </c>
      <c r="AD53" s="336">
        <v>0</v>
      </c>
      <c r="AE53" s="336" t="s">
        <v>166</v>
      </c>
      <c r="AF53" s="337">
        <v>10</v>
      </c>
      <c r="AG53" s="263"/>
      <c r="AH53" s="338">
        <f t="shared" si="2"/>
        <v>0</v>
      </c>
      <c r="AI53" s="338">
        <f t="shared" si="3"/>
        <v>0</v>
      </c>
      <c r="AJ53" s="338">
        <f t="shared" si="4"/>
        <v>0</v>
      </c>
      <c r="AK53" s="338">
        <f t="shared" si="5"/>
        <v>1</v>
      </c>
      <c r="AL53" s="339">
        <f t="shared" si="6"/>
        <v>0.85782399999999992</v>
      </c>
      <c r="AM53" s="340"/>
      <c r="AN53" s="341" t="str">
        <f t="shared" si="7"/>
        <v/>
      </c>
      <c r="AO53" s="341" t="str">
        <f t="shared" si="8"/>
        <v/>
      </c>
      <c r="AP53" s="341">
        <v>1</v>
      </c>
      <c r="AQ53" s="341">
        <f t="shared" si="9"/>
        <v>0.8</v>
      </c>
      <c r="AR53" s="341">
        <f t="shared" si="10"/>
        <v>0.85782399999999992</v>
      </c>
      <c r="AS53" s="341" t="e">
        <f t="shared" si="11"/>
        <v>#VALUE!</v>
      </c>
      <c r="AT53" s="341" t="e">
        <f t="shared" si="12"/>
        <v>#VALUE!</v>
      </c>
      <c r="AU53" s="341" t="str">
        <f t="shared" si="31"/>
        <v/>
      </c>
      <c r="AV53" s="341" t="str">
        <f t="shared" si="32"/>
        <v/>
      </c>
      <c r="AW53" s="342" t="str">
        <f t="shared" si="13"/>
        <v>ok</v>
      </c>
      <c r="AX53" s="343" t="str">
        <f t="shared" si="14"/>
        <v/>
      </c>
      <c r="AY53" s="343" t="str">
        <f t="shared" si="15"/>
        <v/>
      </c>
      <c r="AZ53" s="343" t="str">
        <f t="shared" si="16"/>
        <v/>
      </c>
      <c r="BA53" s="344" t="str">
        <f t="shared" si="33"/>
        <v>Deletar Calculos e Ocultar</v>
      </c>
      <c r="BB53" s="343">
        <f t="shared" si="17"/>
        <v>0</v>
      </c>
      <c r="BD53" s="387" t="s">
        <v>174</v>
      </c>
      <c r="BE53" s="387" t="s">
        <v>176</v>
      </c>
      <c r="BF53" s="387" t="s">
        <v>175</v>
      </c>
      <c r="BG53" s="387"/>
      <c r="BJ53" s="388" t="s">
        <v>127</v>
      </c>
      <c r="BK53" s="388" t="s">
        <v>126</v>
      </c>
      <c r="BL53" s="208"/>
      <c r="BM53" s="208"/>
      <c r="BP53" s="206" t="e">
        <f t="shared" si="34"/>
        <v>#VALUE!</v>
      </c>
      <c r="BQ53" s="206" t="e">
        <f t="shared" si="35"/>
        <v>#VALUE!</v>
      </c>
      <c r="BR53" s="206" t="e">
        <f t="shared" si="36"/>
        <v>#VALUE!</v>
      </c>
      <c r="BS53" s="206" t="e">
        <f t="shared" si="37"/>
        <v>#VALUE!</v>
      </c>
      <c r="BT53" s="206" t="e">
        <f t="shared" si="38"/>
        <v>#VALUE!</v>
      </c>
      <c r="BU53" s="206" t="e">
        <f t="shared" si="39"/>
        <v>#VALUE!</v>
      </c>
      <c r="BV53" s="206" t="e">
        <f t="shared" si="40"/>
        <v>#VALUE!</v>
      </c>
      <c r="BW53" s="206" t="e">
        <f t="shared" si="41"/>
        <v>#VALUE!</v>
      </c>
      <c r="BX53" s="206" t="e">
        <f t="shared" si="42"/>
        <v>#VALUE!</v>
      </c>
      <c r="BY53" s="206" t="e">
        <f t="shared" si="43"/>
        <v>#VALUE!</v>
      </c>
      <c r="BZ53" s="206" t="e">
        <f t="shared" si="44"/>
        <v>#VALUE!</v>
      </c>
      <c r="CA53" s="206" t="e">
        <f t="shared" si="45"/>
        <v>#VALUE!</v>
      </c>
      <c r="CB53" s="206" t="e">
        <f t="shared" si="46"/>
        <v>#VALUE!</v>
      </c>
      <c r="CD53" s="206" t="e">
        <f t="shared" si="47"/>
        <v>#VALUE!</v>
      </c>
      <c r="CE53" s="206" t="e">
        <f t="shared" si="20"/>
        <v>#VALUE!</v>
      </c>
      <c r="CF53" s="206" t="e">
        <f t="shared" si="20"/>
        <v>#VALUE!</v>
      </c>
      <c r="CG53" s="206" t="e">
        <f t="shared" si="20"/>
        <v>#VALUE!</v>
      </c>
      <c r="CH53" s="206" t="e">
        <f t="shared" si="20"/>
        <v>#VALUE!</v>
      </c>
      <c r="CI53" s="206" t="e">
        <f t="shared" si="20"/>
        <v>#VALUE!</v>
      </c>
      <c r="CJ53" s="206" t="e">
        <f t="shared" si="20"/>
        <v>#VALUE!</v>
      </c>
      <c r="CK53" s="206" t="e">
        <f t="shared" si="20"/>
        <v>#VALUE!</v>
      </c>
      <c r="CL53" s="206" t="e">
        <f t="shared" si="20"/>
        <v>#VALUE!</v>
      </c>
      <c r="CM53" s="206" t="e">
        <f t="shared" si="20"/>
        <v>#VALUE!</v>
      </c>
      <c r="CN53" s="206" t="e">
        <f t="shared" si="20"/>
        <v>#VALUE!</v>
      </c>
      <c r="CO53" s="206" t="e">
        <f t="shared" si="20"/>
        <v>#VALUE!</v>
      </c>
      <c r="CP53" s="206" t="e">
        <f t="shared" si="20"/>
        <v>#VALUE!</v>
      </c>
    </row>
    <row r="54" spans="1:94" s="206" customFormat="1" ht="16.5" customHeight="1">
      <c r="A54" s="869" t="s">
        <v>174</v>
      </c>
      <c r="B54" s="324">
        <v>14</v>
      </c>
      <c r="C54" s="352" t="str">
        <f>IF(A54="N","",IF(A54="S",IF(SUM($C$41:C53)=0,1,SUM(LARGE($C$41:C53,1),1))))</f>
        <v/>
      </c>
      <c r="D54" s="353"/>
      <c r="E54" s="966" t="str">
        <f t="shared" si="49"/>
        <v/>
      </c>
      <c r="F54" s="967"/>
      <c r="G54" s="967" t="str">
        <f t="shared" si="50"/>
        <v/>
      </c>
      <c r="H54" s="967" t="str">
        <f t="shared" si="51"/>
        <v/>
      </c>
      <c r="I54" s="967" t="str">
        <f t="shared" si="52"/>
        <v/>
      </c>
      <c r="J54" s="967" t="str">
        <f t="shared" si="21"/>
        <v/>
      </c>
      <c r="K54" s="967" t="str">
        <f t="shared" si="53"/>
        <v/>
      </c>
      <c r="L54" s="968" t="str">
        <f t="shared" si="54"/>
        <v/>
      </c>
      <c r="M54" s="352" t="str">
        <f t="shared" si="22"/>
        <v/>
      </c>
      <c r="N54" s="535">
        <f t="shared" si="23"/>
        <v>0</v>
      </c>
      <c r="O54" s="872" t="str">
        <f t="shared" si="55"/>
        <v/>
      </c>
      <c r="P54" s="352" t="str">
        <f t="shared" si="24"/>
        <v/>
      </c>
      <c r="Q54" s="354" t="str">
        <f t="shared" si="25"/>
        <v/>
      </c>
      <c r="R54" s="354" t="str">
        <f t="shared" si="26"/>
        <v/>
      </c>
      <c r="S54" s="352"/>
      <c r="T54" s="874">
        <v>0.9</v>
      </c>
      <c r="U54" s="352" t="str">
        <f t="shared" si="27"/>
        <v/>
      </c>
      <c r="V54" s="355" t="str">
        <f t="shared" si="28"/>
        <v/>
      </c>
      <c r="W54" s="882" t="str">
        <f t="shared" si="48"/>
        <v/>
      </c>
      <c r="X54" s="883" t="str">
        <f t="shared" si="29"/>
        <v/>
      </c>
      <c r="Y54" s="884" t="str">
        <f t="shared" si="30"/>
        <v/>
      </c>
      <c r="Z54" s="352" t="s">
        <v>164</v>
      </c>
      <c r="AA54" s="890"/>
      <c r="AB54" s="254"/>
      <c r="AC54" s="895">
        <v>2014</v>
      </c>
      <c r="AD54" s="896">
        <v>0</v>
      </c>
      <c r="AE54" s="896" t="s">
        <v>166</v>
      </c>
      <c r="AF54" s="897">
        <v>10</v>
      </c>
      <c r="AG54" s="263"/>
      <c r="AH54" s="356">
        <f t="shared" si="2"/>
        <v>0</v>
      </c>
      <c r="AI54" s="356">
        <f t="shared" si="3"/>
        <v>0</v>
      </c>
      <c r="AJ54" s="356">
        <f t="shared" si="4"/>
        <v>0</v>
      </c>
      <c r="AK54" s="356">
        <f t="shared" si="5"/>
        <v>1</v>
      </c>
      <c r="AL54" s="357">
        <f t="shared" si="6"/>
        <v>0.85782399999999992</v>
      </c>
      <c r="AM54" s="358"/>
      <c r="AN54" s="359" t="str">
        <f t="shared" si="7"/>
        <v/>
      </c>
      <c r="AO54" s="359" t="str">
        <f t="shared" si="8"/>
        <v/>
      </c>
      <c r="AP54" s="359">
        <v>1</v>
      </c>
      <c r="AQ54" s="359">
        <f t="shared" si="9"/>
        <v>0.8</v>
      </c>
      <c r="AR54" s="359">
        <f t="shared" si="10"/>
        <v>0.85782399999999992</v>
      </c>
      <c r="AS54" s="359" t="e">
        <f t="shared" si="11"/>
        <v>#VALUE!</v>
      </c>
      <c r="AT54" s="359" t="e">
        <f t="shared" si="12"/>
        <v>#VALUE!</v>
      </c>
      <c r="AU54" s="359" t="str">
        <f t="shared" si="31"/>
        <v/>
      </c>
      <c r="AV54" s="359" t="str">
        <f t="shared" si="32"/>
        <v/>
      </c>
      <c r="AW54" s="342" t="str">
        <f t="shared" si="13"/>
        <v>ok</v>
      </c>
      <c r="AX54" s="343" t="str">
        <f t="shared" si="14"/>
        <v/>
      </c>
      <c r="AY54" s="343" t="str">
        <f t="shared" si="15"/>
        <v/>
      </c>
      <c r="AZ54" s="343" t="str">
        <f t="shared" si="16"/>
        <v/>
      </c>
      <c r="BA54" s="344" t="str">
        <f t="shared" si="33"/>
        <v>Deletar Calculos e Ocultar</v>
      </c>
      <c r="BB54" s="343">
        <f t="shared" si="17"/>
        <v>0</v>
      </c>
      <c r="BD54" s="389">
        <v>3</v>
      </c>
      <c r="BE54" s="390">
        <v>1.49</v>
      </c>
      <c r="BF54" s="391">
        <v>1.63</v>
      </c>
      <c r="BG54" s="391"/>
      <c r="BJ54" s="208" t="s">
        <v>123</v>
      </c>
      <c r="BK54" s="208" t="s">
        <v>122</v>
      </c>
      <c r="BL54" s="208"/>
      <c r="BM54" s="208"/>
      <c r="BP54" s="206" t="e">
        <f t="shared" si="34"/>
        <v>#VALUE!</v>
      </c>
      <c r="BQ54" s="206" t="e">
        <f t="shared" si="35"/>
        <v>#VALUE!</v>
      </c>
      <c r="BR54" s="206" t="e">
        <f t="shared" si="36"/>
        <v>#VALUE!</v>
      </c>
      <c r="BS54" s="206" t="e">
        <f t="shared" si="37"/>
        <v>#VALUE!</v>
      </c>
      <c r="BT54" s="206" t="e">
        <f t="shared" si="38"/>
        <v>#VALUE!</v>
      </c>
      <c r="BU54" s="206" t="e">
        <f t="shared" si="39"/>
        <v>#VALUE!</v>
      </c>
      <c r="BV54" s="206" t="e">
        <f t="shared" si="40"/>
        <v>#VALUE!</v>
      </c>
      <c r="BW54" s="206" t="e">
        <f t="shared" si="41"/>
        <v>#VALUE!</v>
      </c>
      <c r="BX54" s="206" t="e">
        <f t="shared" si="42"/>
        <v>#VALUE!</v>
      </c>
      <c r="BY54" s="206" t="e">
        <f t="shared" si="43"/>
        <v>#VALUE!</v>
      </c>
      <c r="BZ54" s="206" t="e">
        <f t="shared" si="44"/>
        <v>#VALUE!</v>
      </c>
      <c r="CA54" s="206" t="e">
        <f t="shared" si="45"/>
        <v>#VALUE!</v>
      </c>
      <c r="CB54" s="206" t="e">
        <f t="shared" si="46"/>
        <v>#VALUE!</v>
      </c>
      <c r="CD54" s="206" t="e">
        <f t="shared" si="47"/>
        <v>#VALUE!</v>
      </c>
      <c r="CE54" s="206" t="e">
        <f t="shared" si="20"/>
        <v>#VALUE!</v>
      </c>
      <c r="CF54" s="206" t="e">
        <f t="shared" si="20"/>
        <v>#VALUE!</v>
      </c>
      <c r="CG54" s="206" t="e">
        <f t="shared" si="20"/>
        <v>#VALUE!</v>
      </c>
      <c r="CH54" s="206" t="e">
        <f t="shared" si="20"/>
        <v>#VALUE!</v>
      </c>
      <c r="CI54" s="206" t="e">
        <f t="shared" si="20"/>
        <v>#VALUE!</v>
      </c>
      <c r="CJ54" s="206" t="e">
        <f t="shared" si="20"/>
        <v>#VALUE!</v>
      </c>
      <c r="CK54" s="206" t="e">
        <f t="shared" si="20"/>
        <v>#VALUE!</v>
      </c>
      <c r="CL54" s="206" t="e">
        <f t="shared" si="20"/>
        <v>#VALUE!</v>
      </c>
      <c r="CM54" s="206" t="e">
        <f t="shared" si="20"/>
        <v>#VALUE!</v>
      </c>
      <c r="CN54" s="206" t="e">
        <f t="shared" si="20"/>
        <v>#VALUE!</v>
      </c>
      <c r="CO54" s="206" t="e">
        <f t="shared" si="20"/>
        <v>#VALUE!</v>
      </c>
      <c r="CP54" s="206" t="e">
        <f t="shared" si="20"/>
        <v>#VALUE!</v>
      </c>
    </row>
    <row r="55" spans="1:94" s="206" customFormat="1" ht="16.5" customHeight="1">
      <c r="A55" s="869" t="s">
        <v>174</v>
      </c>
      <c r="B55" s="324">
        <v>15</v>
      </c>
      <c r="C55" s="325" t="str">
        <f>IF(A55="N","",IF(A55="S",IF(SUM($C$41:C54)=0,1,SUM(LARGE($C$41:C54,1),1))))</f>
        <v/>
      </c>
      <c r="D55" s="326"/>
      <c r="E55" s="969" t="str">
        <f t="shared" si="49"/>
        <v/>
      </c>
      <c r="F55" s="964"/>
      <c r="G55" s="964" t="str">
        <f t="shared" si="50"/>
        <v/>
      </c>
      <c r="H55" s="964" t="str">
        <f t="shared" si="51"/>
        <v/>
      </c>
      <c r="I55" s="964" t="str">
        <f t="shared" si="52"/>
        <v/>
      </c>
      <c r="J55" s="964" t="str">
        <f t="shared" si="21"/>
        <v/>
      </c>
      <c r="K55" s="964" t="str">
        <f t="shared" si="53"/>
        <v/>
      </c>
      <c r="L55" s="965" t="str">
        <f t="shared" si="54"/>
        <v/>
      </c>
      <c r="M55" s="325" t="str">
        <f t="shared" si="22"/>
        <v/>
      </c>
      <c r="N55" s="536">
        <f t="shared" si="23"/>
        <v>0</v>
      </c>
      <c r="O55" s="327" t="str">
        <f t="shared" si="55"/>
        <v/>
      </c>
      <c r="P55" s="325" t="str">
        <f t="shared" si="24"/>
        <v/>
      </c>
      <c r="Q55" s="328" t="str">
        <f t="shared" si="25"/>
        <v/>
      </c>
      <c r="R55" s="328" t="str">
        <f t="shared" si="26"/>
        <v/>
      </c>
      <c r="S55" s="325"/>
      <c r="T55" s="329">
        <v>0.9</v>
      </c>
      <c r="U55" s="325" t="str">
        <f t="shared" si="27"/>
        <v/>
      </c>
      <c r="V55" s="330" t="str">
        <f t="shared" si="28"/>
        <v/>
      </c>
      <c r="W55" s="331" t="str">
        <f t="shared" si="48"/>
        <v/>
      </c>
      <c r="X55" s="332" t="str">
        <f t="shared" si="29"/>
        <v/>
      </c>
      <c r="Y55" s="333" t="str">
        <f t="shared" si="30"/>
        <v/>
      </c>
      <c r="Z55" s="325" t="s">
        <v>164</v>
      </c>
      <c r="AA55" s="334"/>
      <c r="AB55" s="254"/>
      <c r="AC55" s="335">
        <v>2014</v>
      </c>
      <c r="AD55" s="336">
        <v>0</v>
      </c>
      <c r="AE55" s="336" t="s">
        <v>166</v>
      </c>
      <c r="AF55" s="337">
        <v>10</v>
      </c>
      <c r="AG55" s="263"/>
      <c r="AH55" s="338">
        <f t="shared" si="2"/>
        <v>0</v>
      </c>
      <c r="AI55" s="338">
        <f t="shared" si="3"/>
        <v>0</v>
      </c>
      <c r="AJ55" s="338">
        <f t="shared" si="4"/>
        <v>0</v>
      </c>
      <c r="AK55" s="338">
        <f t="shared" si="5"/>
        <v>1</v>
      </c>
      <c r="AL55" s="339">
        <f t="shared" si="6"/>
        <v>0.85782399999999992</v>
      </c>
      <c r="AM55" s="340"/>
      <c r="AN55" s="341" t="str">
        <f t="shared" si="7"/>
        <v/>
      </c>
      <c r="AO55" s="341" t="str">
        <f t="shared" si="8"/>
        <v/>
      </c>
      <c r="AP55" s="341">
        <v>1</v>
      </c>
      <c r="AQ55" s="341">
        <f t="shared" si="9"/>
        <v>0.8</v>
      </c>
      <c r="AR55" s="341">
        <f t="shared" si="10"/>
        <v>0.85782399999999992</v>
      </c>
      <c r="AS55" s="341" t="e">
        <f t="shared" si="11"/>
        <v>#VALUE!</v>
      </c>
      <c r="AT55" s="341" t="e">
        <f t="shared" si="12"/>
        <v>#VALUE!</v>
      </c>
      <c r="AU55" s="341" t="str">
        <f t="shared" si="31"/>
        <v/>
      </c>
      <c r="AV55" s="341" t="str">
        <f t="shared" si="32"/>
        <v/>
      </c>
      <c r="AW55" s="342" t="str">
        <f t="shared" si="13"/>
        <v>ok</v>
      </c>
      <c r="AX55" s="343" t="str">
        <f t="shared" si="14"/>
        <v/>
      </c>
      <c r="AY55" s="343" t="str">
        <f t="shared" si="15"/>
        <v/>
      </c>
      <c r="AZ55" s="343" t="str">
        <f t="shared" si="16"/>
        <v/>
      </c>
      <c r="BA55" s="344" t="str">
        <f t="shared" si="33"/>
        <v>Deletar Calculos e Ocultar</v>
      </c>
      <c r="BB55" s="343">
        <f t="shared" si="17"/>
        <v>0</v>
      </c>
      <c r="BD55" s="389">
        <v>4</v>
      </c>
      <c r="BE55" s="390">
        <v>1.57</v>
      </c>
      <c r="BF55" s="391">
        <v>1.58</v>
      </c>
      <c r="BG55" s="391"/>
      <c r="BJ55" s="208" t="s">
        <v>121</v>
      </c>
      <c r="BK55" s="208" t="s">
        <v>120</v>
      </c>
      <c r="BL55" s="208"/>
      <c r="BM55" s="208"/>
      <c r="BP55" s="206" t="e">
        <f t="shared" si="34"/>
        <v>#VALUE!</v>
      </c>
      <c r="BQ55" s="206" t="e">
        <f t="shared" si="35"/>
        <v>#VALUE!</v>
      </c>
      <c r="BR55" s="206" t="e">
        <f t="shared" si="36"/>
        <v>#VALUE!</v>
      </c>
      <c r="BS55" s="206" t="e">
        <f t="shared" si="37"/>
        <v>#VALUE!</v>
      </c>
      <c r="BT55" s="206" t="e">
        <f t="shared" si="38"/>
        <v>#VALUE!</v>
      </c>
      <c r="BU55" s="206" t="e">
        <f t="shared" si="39"/>
        <v>#VALUE!</v>
      </c>
      <c r="BV55" s="206" t="e">
        <f t="shared" si="40"/>
        <v>#VALUE!</v>
      </c>
      <c r="BW55" s="206" t="e">
        <f t="shared" si="41"/>
        <v>#VALUE!</v>
      </c>
      <c r="BX55" s="206" t="e">
        <f t="shared" si="42"/>
        <v>#VALUE!</v>
      </c>
      <c r="BY55" s="206" t="e">
        <f t="shared" si="43"/>
        <v>#VALUE!</v>
      </c>
      <c r="BZ55" s="206" t="e">
        <f t="shared" si="44"/>
        <v>#VALUE!</v>
      </c>
      <c r="CA55" s="206" t="e">
        <f t="shared" si="45"/>
        <v>#VALUE!</v>
      </c>
      <c r="CB55" s="206" t="e">
        <f t="shared" si="46"/>
        <v>#VALUE!</v>
      </c>
      <c r="CD55" s="206" t="e">
        <f t="shared" si="47"/>
        <v>#VALUE!</v>
      </c>
      <c r="CE55" s="206" t="e">
        <f t="shared" si="20"/>
        <v>#VALUE!</v>
      </c>
      <c r="CF55" s="206" t="e">
        <f t="shared" si="20"/>
        <v>#VALUE!</v>
      </c>
      <c r="CG55" s="206" t="e">
        <f t="shared" si="20"/>
        <v>#VALUE!</v>
      </c>
      <c r="CH55" s="206" t="e">
        <f t="shared" si="20"/>
        <v>#VALUE!</v>
      </c>
      <c r="CI55" s="206" t="e">
        <f t="shared" si="20"/>
        <v>#VALUE!</v>
      </c>
      <c r="CJ55" s="206" t="e">
        <f t="shared" si="20"/>
        <v>#VALUE!</v>
      </c>
      <c r="CK55" s="206" t="e">
        <f t="shared" si="20"/>
        <v>#VALUE!</v>
      </c>
      <c r="CL55" s="206" t="e">
        <f t="shared" si="20"/>
        <v>#VALUE!</v>
      </c>
      <c r="CM55" s="206" t="e">
        <f t="shared" si="20"/>
        <v>#VALUE!</v>
      </c>
      <c r="CN55" s="206" t="e">
        <f t="shared" si="20"/>
        <v>#VALUE!</v>
      </c>
      <c r="CO55" s="206" t="e">
        <f t="shared" si="20"/>
        <v>#VALUE!</v>
      </c>
      <c r="CP55" s="206" t="e">
        <f t="shared" si="20"/>
        <v>#VALUE!</v>
      </c>
    </row>
    <row r="56" spans="1:94" s="206" customFormat="1" ht="16.5" customHeight="1">
      <c r="A56" s="869" t="s">
        <v>174</v>
      </c>
      <c r="B56" s="324">
        <v>16</v>
      </c>
      <c r="C56" s="352" t="str">
        <f>IF(A56="N","",IF(A56="S",IF(SUM($C$41:C55)=0,1,SUM(LARGE($C$41:C55,1),1))))</f>
        <v/>
      </c>
      <c r="D56" s="353"/>
      <c r="E56" s="966" t="str">
        <f t="shared" si="49"/>
        <v/>
      </c>
      <c r="F56" s="967"/>
      <c r="G56" s="967" t="str">
        <f t="shared" si="50"/>
        <v/>
      </c>
      <c r="H56" s="967" t="str">
        <f t="shared" si="51"/>
        <v/>
      </c>
      <c r="I56" s="967" t="str">
        <f t="shared" si="52"/>
        <v/>
      </c>
      <c r="J56" s="967" t="str">
        <f t="shared" si="21"/>
        <v/>
      </c>
      <c r="K56" s="967" t="str">
        <f t="shared" si="53"/>
        <v/>
      </c>
      <c r="L56" s="968" t="str">
        <f t="shared" si="54"/>
        <v/>
      </c>
      <c r="M56" s="352" t="str">
        <f t="shared" si="22"/>
        <v/>
      </c>
      <c r="N56" s="535">
        <f t="shared" si="23"/>
        <v>0</v>
      </c>
      <c r="O56" s="872" t="str">
        <f t="shared" si="55"/>
        <v/>
      </c>
      <c r="P56" s="352" t="str">
        <f t="shared" si="24"/>
        <v/>
      </c>
      <c r="Q56" s="354" t="str">
        <f t="shared" si="25"/>
        <v/>
      </c>
      <c r="R56" s="354" t="str">
        <f t="shared" si="26"/>
        <v/>
      </c>
      <c r="S56" s="352"/>
      <c r="T56" s="874">
        <v>0.9</v>
      </c>
      <c r="U56" s="352" t="str">
        <f t="shared" si="27"/>
        <v/>
      </c>
      <c r="V56" s="355" t="str">
        <f t="shared" si="28"/>
        <v/>
      </c>
      <c r="W56" s="882" t="str">
        <f t="shared" si="48"/>
        <v/>
      </c>
      <c r="X56" s="883" t="str">
        <f t="shared" si="29"/>
        <v/>
      </c>
      <c r="Y56" s="884" t="str">
        <f t="shared" si="30"/>
        <v/>
      </c>
      <c r="Z56" s="352" t="s">
        <v>164</v>
      </c>
      <c r="AA56" s="890"/>
      <c r="AB56" s="254"/>
      <c r="AC56" s="895">
        <v>2014</v>
      </c>
      <c r="AD56" s="896">
        <v>0</v>
      </c>
      <c r="AE56" s="896" t="s">
        <v>166</v>
      </c>
      <c r="AF56" s="897">
        <v>10</v>
      </c>
      <c r="AG56" s="263"/>
      <c r="AH56" s="356">
        <f t="shared" si="2"/>
        <v>0</v>
      </c>
      <c r="AI56" s="356">
        <f t="shared" si="3"/>
        <v>0</v>
      </c>
      <c r="AJ56" s="356">
        <f t="shared" si="4"/>
        <v>0</v>
      </c>
      <c r="AK56" s="356">
        <f t="shared" si="5"/>
        <v>1</v>
      </c>
      <c r="AL56" s="357">
        <f t="shared" si="6"/>
        <v>0.85782399999999992</v>
      </c>
      <c r="AM56" s="358"/>
      <c r="AN56" s="359" t="str">
        <f t="shared" si="7"/>
        <v/>
      </c>
      <c r="AO56" s="359" t="str">
        <f t="shared" si="8"/>
        <v/>
      </c>
      <c r="AP56" s="359">
        <v>1</v>
      </c>
      <c r="AQ56" s="359">
        <f t="shared" si="9"/>
        <v>0.8</v>
      </c>
      <c r="AR56" s="359">
        <f t="shared" si="10"/>
        <v>0.85782399999999992</v>
      </c>
      <c r="AS56" s="359" t="e">
        <f t="shared" si="11"/>
        <v>#VALUE!</v>
      </c>
      <c r="AT56" s="359" t="e">
        <f t="shared" si="12"/>
        <v>#VALUE!</v>
      </c>
      <c r="AU56" s="359" t="str">
        <f t="shared" si="31"/>
        <v/>
      </c>
      <c r="AV56" s="359" t="str">
        <f t="shared" si="32"/>
        <v/>
      </c>
      <c r="AW56" s="342" t="str">
        <f t="shared" si="13"/>
        <v>ok</v>
      </c>
      <c r="AX56" s="343" t="str">
        <f t="shared" si="14"/>
        <v/>
      </c>
      <c r="AY56" s="343" t="str">
        <f t="shared" si="15"/>
        <v/>
      </c>
      <c r="AZ56" s="343" t="str">
        <f t="shared" si="16"/>
        <v/>
      </c>
      <c r="BA56" s="344" t="str">
        <f t="shared" si="33"/>
        <v>Deletar Calculos e Ocultar</v>
      </c>
      <c r="BB56" s="343">
        <f t="shared" si="17"/>
        <v>0</v>
      </c>
      <c r="BD56" s="389">
        <v>5</v>
      </c>
      <c r="BE56" s="390">
        <v>1.65</v>
      </c>
      <c r="BF56" s="391">
        <v>1.53</v>
      </c>
      <c r="BG56" s="391"/>
      <c r="BJ56" s="208" t="s">
        <v>119</v>
      </c>
      <c r="BK56" s="208" t="s">
        <v>118</v>
      </c>
      <c r="BL56" s="208"/>
      <c r="BM56" s="208"/>
      <c r="BP56" s="206" t="e">
        <f t="shared" si="34"/>
        <v>#VALUE!</v>
      </c>
      <c r="BQ56" s="206" t="e">
        <f t="shared" si="35"/>
        <v>#VALUE!</v>
      </c>
      <c r="BR56" s="206" t="e">
        <f t="shared" si="36"/>
        <v>#VALUE!</v>
      </c>
      <c r="BS56" s="206" t="e">
        <f t="shared" si="37"/>
        <v>#VALUE!</v>
      </c>
      <c r="BT56" s="206" t="e">
        <f t="shared" si="38"/>
        <v>#VALUE!</v>
      </c>
      <c r="BU56" s="206" t="e">
        <f t="shared" si="39"/>
        <v>#VALUE!</v>
      </c>
      <c r="BV56" s="206" t="e">
        <f t="shared" si="40"/>
        <v>#VALUE!</v>
      </c>
      <c r="BW56" s="206" t="e">
        <f t="shared" si="41"/>
        <v>#VALUE!</v>
      </c>
      <c r="BX56" s="206" t="e">
        <f t="shared" si="42"/>
        <v>#VALUE!</v>
      </c>
      <c r="BY56" s="206" t="e">
        <f t="shared" si="43"/>
        <v>#VALUE!</v>
      </c>
      <c r="BZ56" s="206" t="e">
        <f t="shared" si="44"/>
        <v>#VALUE!</v>
      </c>
      <c r="CA56" s="206" t="e">
        <f t="shared" si="45"/>
        <v>#VALUE!</v>
      </c>
      <c r="CB56" s="206" t="e">
        <f t="shared" si="46"/>
        <v>#VALUE!</v>
      </c>
      <c r="CD56" s="206" t="e">
        <f t="shared" si="47"/>
        <v>#VALUE!</v>
      </c>
      <c r="CE56" s="206" t="e">
        <f t="shared" si="20"/>
        <v>#VALUE!</v>
      </c>
      <c r="CF56" s="206" t="e">
        <f t="shared" si="20"/>
        <v>#VALUE!</v>
      </c>
      <c r="CG56" s="206" t="e">
        <f t="shared" si="20"/>
        <v>#VALUE!</v>
      </c>
      <c r="CH56" s="206" t="e">
        <f t="shared" si="20"/>
        <v>#VALUE!</v>
      </c>
      <c r="CI56" s="206" t="e">
        <f t="shared" si="20"/>
        <v>#VALUE!</v>
      </c>
      <c r="CJ56" s="206" t="e">
        <f t="shared" si="20"/>
        <v>#VALUE!</v>
      </c>
      <c r="CK56" s="206" t="e">
        <f t="shared" si="20"/>
        <v>#VALUE!</v>
      </c>
      <c r="CL56" s="206" t="e">
        <f t="shared" si="20"/>
        <v>#VALUE!</v>
      </c>
      <c r="CM56" s="206" t="e">
        <f t="shared" si="20"/>
        <v>#VALUE!</v>
      </c>
      <c r="CN56" s="206" t="e">
        <f t="shared" si="20"/>
        <v>#VALUE!</v>
      </c>
      <c r="CO56" s="206" t="e">
        <f t="shared" si="20"/>
        <v>#VALUE!</v>
      </c>
      <c r="CP56" s="206" t="e">
        <f t="shared" si="20"/>
        <v>#VALUE!</v>
      </c>
    </row>
    <row r="57" spans="1:94" s="206" customFormat="1" ht="16.5" customHeight="1">
      <c r="A57" s="869" t="s">
        <v>174</v>
      </c>
      <c r="B57" s="324">
        <v>17</v>
      </c>
      <c r="C57" s="325" t="str">
        <f>IF(A57="N","",IF(A57="S",IF(SUM($C$41:C56)=0,1,SUM(LARGE($C$41:C56,1),1))))</f>
        <v/>
      </c>
      <c r="D57" s="326"/>
      <c r="E57" s="969" t="str">
        <f t="shared" si="49"/>
        <v/>
      </c>
      <c r="F57" s="964"/>
      <c r="G57" s="964" t="str">
        <f t="shared" si="50"/>
        <v/>
      </c>
      <c r="H57" s="964" t="str">
        <f t="shared" si="51"/>
        <v/>
      </c>
      <c r="I57" s="964" t="str">
        <f t="shared" si="52"/>
        <v/>
      </c>
      <c r="J57" s="964" t="str">
        <f t="shared" si="21"/>
        <v/>
      </c>
      <c r="K57" s="964" t="str">
        <f t="shared" si="53"/>
        <v/>
      </c>
      <c r="L57" s="965" t="str">
        <f t="shared" si="54"/>
        <v/>
      </c>
      <c r="M57" s="325" t="str">
        <f t="shared" si="22"/>
        <v/>
      </c>
      <c r="N57" s="536">
        <f t="shared" si="23"/>
        <v>0</v>
      </c>
      <c r="O57" s="327" t="str">
        <f t="shared" si="55"/>
        <v/>
      </c>
      <c r="P57" s="325" t="str">
        <f t="shared" si="24"/>
        <v/>
      </c>
      <c r="Q57" s="328" t="str">
        <f t="shared" si="25"/>
        <v/>
      </c>
      <c r="R57" s="328" t="str">
        <f t="shared" si="26"/>
        <v/>
      </c>
      <c r="S57" s="325"/>
      <c r="T57" s="329">
        <v>0.9</v>
      </c>
      <c r="U57" s="325" t="str">
        <f t="shared" si="27"/>
        <v/>
      </c>
      <c r="V57" s="330" t="str">
        <f t="shared" si="28"/>
        <v/>
      </c>
      <c r="W57" s="331" t="str">
        <f t="shared" si="48"/>
        <v/>
      </c>
      <c r="X57" s="332" t="str">
        <f t="shared" si="29"/>
        <v/>
      </c>
      <c r="Y57" s="333" t="str">
        <f t="shared" si="30"/>
        <v/>
      </c>
      <c r="Z57" s="325" t="s">
        <v>164</v>
      </c>
      <c r="AA57" s="334"/>
      <c r="AB57" s="254"/>
      <c r="AC57" s="335">
        <v>2014</v>
      </c>
      <c r="AD57" s="336">
        <v>0</v>
      </c>
      <c r="AE57" s="336" t="s">
        <v>166</v>
      </c>
      <c r="AF57" s="337">
        <v>10</v>
      </c>
      <c r="AG57" s="263"/>
      <c r="AH57" s="338">
        <f t="shared" si="2"/>
        <v>0</v>
      </c>
      <c r="AI57" s="338">
        <f t="shared" si="3"/>
        <v>0</v>
      </c>
      <c r="AJ57" s="338">
        <f t="shared" si="4"/>
        <v>0</v>
      </c>
      <c r="AK57" s="338">
        <f t="shared" si="5"/>
        <v>1</v>
      </c>
      <c r="AL57" s="339">
        <f t="shared" si="6"/>
        <v>0.85782399999999992</v>
      </c>
      <c r="AM57" s="340"/>
      <c r="AN57" s="341" t="str">
        <f t="shared" si="7"/>
        <v/>
      </c>
      <c r="AO57" s="341" t="str">
        <f t="shared" si="8"/>
        <v/>
      </c>
      <c r="AP57" s="341">
        <v>1</v>
      </c>
      <c r="AQ57" s="341">
        <f t="shared" si="9"/>
        <v>0.8</v>
      </c>
      <c r="AR57" s="341">
        <f t="shared" si="10"/>
        <v>0.85782399999999992</v>
      </c>
      <c r="AS57" s="341" t="e">
        <f t="shared" si="11"/>
        <v>#VALUE!</v>
      </c>
      <c r="AT57" s="341" t="e">
        <f t="shared" si="12"/>
        <v>#VALUE!</v>
      </c>
      <c r="AU57" s="341" t="str">
        <f t="shared" si="31"/>
        <v/>
      </c>
      <c r="AV57" s="341" t="str">
        <f t="shared" si="32"/>
        <v/>
      </c>
      <c r="AW57" s="342" t="str">
        <f t="shared" si="13"/>
        <v>ok</v>
      </c>
      <c r="AX57" s="343" t="str">
        <f t="shared" si="14"/>
        <v/>
      </c>
      <c r="AY57" s="343" t="str">
        <f t="shared" si="15"/>
        <v/>
      </c>
      <c r="AZ57" s="343" t="str">
        <f t="shared" si="16"/>
        <v/>
      </c>
      <c r="BA57" s="344" t="str">
        <f t="shared" si="33"/>
        <v>Deletar Calculos e Ocultar</v>
      </c>
      <c r="BB57" s="343">
        <f t="shared" si="17"/>
        <v>0</v>
      </c>
      <c r="BD57" s="389">
        <v>6</v>
      </c>
      <c r="BE57" s="390">
        <v>1.73</v>
      </c>
      <c r="BF57" s="391">
        <v>1.48</v>
      </c>
      <c r="BG57" s="391"/>
      <c r="BJ57" s="208" t="s">
        <v>117</v>
      </c>
      <c r="BK57" s="208"/>
      <c r="BL57" s="208"/>
      <c r="BM57" s="208"/>
      <c r="BP57" s="206" t="e">
        <f t="shared" si="34"/>
        <v>#VALUE!</v>
      </c>
      <c r="BQ57" s="206" t="e">
        <f t="shared" si="35"/>
        <v>#VALUE!</v>
      </c>
      <c r="BR57" s="206" t="e">
        <f t="shared" si="36"/>
        <v>#VALUE!</v>
      </c>
      <c r="BS57" s="206" t="e">
        <f t="shared" si="37"/>
        <v>#VALUE!</v>
      </c>
      <c r="BT57" s="206" t="e">
        <f t="shared" si="38"/>
        <v>#VALUE!</v>
      </c>
      <c r="BU57" s="206" t="e">
        <f t="shared" si="39"/>
        <v>#VALUE!</v>
      </c>
      <c r="BV57" s="206" t="e">
        <f t="shared" si="40"/>
        <v>#VALUE!</v>
      </c>
      <c r="BW57" s="206" t="e">
        <f t="shared" si="41"/>
        <v>#VALUE!</v>
      </c>
      <c r="BX57" s="206" t="e">
        <f t="shared" si="42"/>
        <v>#VALUE!</v>
      </c>
      <c r="BY57" s="206" t="e">
        <f t="shared" si="43"/>
        <v>#VALUE!</v>
      </c>
      <c r="BZ57" s="206" t="e">
        <f t="shared" si="44"/>
        <v>#VALUE!</v>
      </c>
      <c r="CA57" s="206" t="e">
        <f t="shared" si="45"/>
        <v>#VALUE!</v>
      </c>
      <c r="CB57" s="206" t="e">
        <f t="shared" si="46"/>
        <v>#VALUE!</v>
      </c>
      <c r="CD57" s="206" t="e">
        <f t="shared" si="47"/>
        <v>#VALUE!</v>
      </c>
      <c r="CE57" s="206" t="e">
        <f t="shared" si="47"/>
        <v>#VALUE!</v>
      </c>
      <c r="CF57" s="206" t="e">
        <f t="shared" si="47"/>
        <v>#VALUE!</v>
      </c>
      <c r="CG57" s="206" t="e">
        <f t="shared" si="47"/>
        <v>#VALUE!</v>
      </c>
      <c r="CH57" s="206" t="e">
        <f t="shared" si="47"/>
        <v>#VALUE!</v>
      </c>
      <c r="CI57" s="206" t="e">
        <f t="shared" si="47"/>
        <v>#VALUE!</v>
      </c>
      <c r="CJ57" s="206" t="e">
        <f t="shared" si="47"/>
        <v>#VALUE!</v>
      </c>
      <c r="CK57" s="206" t="e">
        <f t="shared" si="47"/>
        <v>#VALUE!</v>
      </c>
      <c r="CL57" s="206" t="e">
        <f t="shared" si="47"/>
        <v>#VALUE!</v>
      </c>
      <c r="CM57" s="206" t="e">
        <f t="shared" si="47"/>
        <v>#VALUE!</v>
      </c>
      <c r="CN57" s="206" t="e">
        <f t="shared" si="47"/>
        <v>#VALUE!</v>
      </c>
      <c r="CO57" s="206" t="e">
        <f t="shared" si="47"/>
        <v>#VALUE!</v>
      </c>
      <c r="CP57" s="206" t="e">
        <f t="shared" si="47"/>
        <v>#VALUE!</v>
      </c>
    </row>
    <row r="58" spans="1:94" s="206" customFormat="1" ht="16.5" customHeight="1">
      <c r="A58" s="869" t="s">
        <v>174</v>
      </c>
      <c r="B58" s="324">
        <v>18</v>
      </c>
      <c r="C58" s="352" t="str">
        <f>IF(A58="N","",IF(A58="S",IF(SUM($C$41:C57)=0,1,SUM(LARGE($C$41:C57,1),1))))</f>
        <v/>
      </c>
      <c r="D58" s="353"/>
      <c r="E58" s="966" t="str">
        <f t="shared" si="49"/>
        <v/>
      </c>
      <c r="F58" s="967"/>
      <c r="G58" s="967" t="str">
        <f t="shared" si="50"/>
        <v/>
      </c>
      <c r="H58" s="967" t="str">
        <f t="shared" si="51"/>
        <v/>
      </c>
      <c r="I58" s="967" t="str">
        <f t="shared" si="52"/>
        <v/>
      </c>
      <c r="J58" s="967" t="str">
        <f t="shared" si="21"/>
        <v/>
      </c>
      <c r="K58" s="967" t="str">
        <f t="shared" si="53"/>
        <v/>
      </c>
      <c r="L58" s="968" t="str">
        <f t="shared" si="54"/>
        <v/>
      </c>
      <c r="M58" s="352" t="str">
        <f t="shared" si="22"/>
        <v/>
      </c>
      <c r="N58" s="535">
        <f t="shared" si="23"/>
        <v>0</v>
      </c>
      <c r="O58" s="872" t="str">
        <f t="shared" si="55"/>
        <v/>
      </c>
      <c r="P58" s="352" t="str">
        <f t="shared" si="24"/>
        <v/>
      </c>
      <c r="Q58" s="354" t="str">
        <f t="shared" si="25"/>
        <v/>
      </c>
      <c r="R58" s="354" t="str">
        <f t="shared" si="26"/>
        <v/>
      </c>
      <c r="S58" s="352"/>
      <c r="T58" s="874">
        <v>0.9</v>
      </c>
      <c r="U58" s="352" t="str">
        <f t="shared" si="27"/>
        <v/>
      </c>
      <c r="V58" s="355" t="str">
        <f t="shared" si="28"/>
        <v/>
      </c>
      <c r="W58" s="882" t="str">
        <f t="shared" si="48"/>
        <v/>
      </c>
      <c r="X58" s="883" t="str">
        <f t="shared" si="29"/>
        <v/>
      </c>
      <c r="Y58" s="884" t="str">
        <f t="shared" si="30"/>
        <v/>
      </c>
      <c r="Z58" s="352" t="s">
        <v>164</v>
      </c>
      <c r="AA58" s="890"/>
      <c r="AB58" s="254"/>
      <c r="AC58" s="895">
        <v>2014</v>
      </c>
      <c r="AD58" s="896">
        <v>0</v>
      </c>
      <c r="AE58" s="896" t="s">
        <v>166</v>
      </c>
      <c r="AF58" s="897">
        <v>10</v>
      </c>
      <c r="AG58" s="263"/>
      <c r="AH58" s="356">
        <f t="shared" si="2"/>
        <v>0</v>
      </c>
      <c r="AI58" s="356">
        <f t="shared" si="3"/>
        <v>0</v>
      </c>
      <c r="AJ58" s="356">
        <f t="shared" si="4"/>
        <v>0</v>
      </c>
      <c r="AK58" s="356">
        <f t="shared" si="5"/>
        <v>1</v>
      </c>
      <c r="AL58" s="357">
        <f t="shared" si="6"/>
        <v>0.85782399999999992</v>
      </c>
      <c r="AM58" s="358"/>
      <c r="AN58" s="359" t="str">
        <f t="shared" si="7"/>
        <v/>
      </c>
      <c r="AO58" s="359" t="str">
        <f t="shared" si="8"/>
        <v/>
      </c>
      <c r="AP58" s="359">
        <v>1</v>
      </c>
      <c r="AQ58" s="359">
        <f t="shared" si="9"/>
        <v>0.8</v>
      </c>
      <c r="AR58" s="359">
        <f t="shared" si="10"/>
        <v>0.85782399999999992</v>
      </c>
      <c r="AS58" s="359" t="e">
        <f t="shared" si="11"/>
        <v>#VALUE!</v>
      </c>
      <c r="AT58" s="359" t="e">
        <f t="shared" si="12"/>
        <v>#VALUE!</v>
      </c>
      <c r="AU58" s="359" t="str">
        <f t="shared" si="31"/>
        <v/>
      </c>
      <c r="AV58" s="359" t="str">
        <f t="shared" si="32"/>
        <v/>
      </c>
      <c r="AW58" s="342" t="str">
        <f t="shared" si="13"/>
        <v>ok</v>
      </c>
      <c r="AX58" s="343" t="str">
        <f t="shared" si="14"/>
        <v/>
      </c>
      <c r="AY58" s="343" t="str">
        <f t="shared" si="15"/>
        <v/>
      </c>
      <c r="AZ58" s="343" t="str">
        <f t="shared" si="16"/>
        <v/>
      </c>
      <c r="BA58" s="344" t="str">
        <f t="shared" si="33"/>
        <v>Deletar Calculos e Ocultar</v>
      </c>
      <c r="BB58" s="343">
        <f t="shared" si="17"/>
        <v>0</v>
      </c>
      <c r="BD58" s="389">
        <v>7</v>
      </c>
      <c r="BE58" s="390">
        <v>1.8</v>
      </c>
      <c r="BF58" s="391">
        <v>1.44</v>
      </c>
      <c r="BG58" s="391"/>
      <c r="BJ58" s="208" t="s">
        <v>116</v>
      </c>
      <c r="BK58" s="208"/>
      <c r="BL58" s="208"/>
      <c r="BM58" s="208"/>
      <c r="BP58" s="206" t="e">
        <f t="shared" si="34"/>
        <v>#VALUE!</v>
      </c>
      <c r="BQ58" s="206" t="e">
        <f t="shared" si="35"/>
        <v>#VALUE!</v>
      </c>
      <c r="BR58" s="206" t="e">
        <f t="shared" si="36"/>
        <v>#VALUE!</v>
      </c>
      <c r="BS58" s="206" t="e">
        <f t="shared" si="37"/>
        <v>#VALUE!</v>
      </c>
      <c r="BT58" s="206" t="e">
        <f t="shared" si="38"/>
        <v>#VALUE!</v>
      </c>
      <c r="BU58" s="206" t="e">
        <f t="shared" si="39"/>
        <v>#VALUE!</v>
      </c>
      <c r="BV58" s="206" t="e">
        <f t="shared" si="40"/>
        <v>#VALUE!</v>
      </c>
      <c r="BW58" s="206" t="e">
        <f t="shared" si="41"/>
        <v>#VALUE!</v>
      </c>
      <c r="BX58" s="206" t="e">
        <f t="shared" si="42"/>
        <v>#VALUE!</v>
      </c>
      <c r="BY58" s="206" t="e">
        <f t="shared" si="43"/>
        <v>#VALUE!</v>
      </c>
      <c r="BZ58" s="206" t="e">
        <f t="shared" si="44"/>
        <v>#VALUE!</v>
      </c>
      <c r="CA58" s="206" t="e">
        <f t="shared" si="45"/>
        <v>#VALUE!</v>
      </c>
      <c r="CB58" s="206" t="e">
        <f t="shared" si="46"/>
        <v>#VALUE!</v>
      </c>
      <c r="CD58" s="206" t="e">
        <f t="shared" si="47"/>
        <v>#VALUE!</v>
      </c>
      <c r="CE58" s="206" t="e">
        <f t="shared" si="47"/>
        <v>#VALUE!</v>
      </c>
      <c r="CF58" s="206" t="e">
        <f t="shared" si="47"/>
        <v>#VALUE!</v>
      </c>
      <c r="CG58" s="206" t="e">
        <f t="shared" si="47"/>
        <v>#VALUE!</v>
      </c>
      <c r="CH58" s="206" t="e">
        <f t="shared" si="47"/>
        <v>#VALUE!</v>
      </c>
      <c r="CI58" s="206" t="e">
        <f t="shared" si="47"/>
        <v>#VALUE!</v>
      </c>
      <c r="CJ58" s="206" t="e">
        <f t="shared" si="47"/>
        <v>#VALUE!</v>
      </c>
      <c r="CK58" s="206" t="e">
        <f t="shared" si="47"/>
        <v>#VALUE!</v>
      </c>
      <c r="CL58" s="206" t="e">
        <f t="shared" si="47"/>
        <v>#VALUE!</v>
      </c>
      <c r="CM58" s="206" t="e">
        <f t="shared" si="47"/>
        <v>#VALUE!</v>
      </c>
      <c r="CN58" s="206" t="e">
        <f t="shared" si="47"/>
        <v>#VALUE!</v>
      </c>
      <c r="CO58" s="206" t="e">
        <f t="shared" si="47"/>
        <v>#VALUE!</v>
      </c>
      <c r="CP58" s="206" t="e">
        <f t="shared" si="47"/>
        <v>#VALUE!</v>
      </c>
    </row>
    <row r="59" spans="1:94" s="206" customFormat="1" ht="16.5" customHeight="1">
      <c r="A59" s="869" t="s">
        <v>174</v>
      </c>
      <c r="B59" s="324">
        <v>19</v>
      </c>
      <c r="C59" s="325" t="str">
        <f>IF(A59="N","",IF(A59="S",IF(SUM($C$41:C58)=0,1,SUM(LARGE($C$41:C58,1),1))))</f>
        <v/>
      </c>
      <c r="D59" s="326"/>
      <c r="E59" s="969" t="str">
        <f t="shared" si="49"/>
        <v/>
      </c>
      <c r="F59" s="964"/>
      <c r="G59" s="964" t="str">
        <f t="shared" si="50"/>
        <v/>
      </c>
      <c r="H59" s="964" t="str">
        <f t="shared" si="51"/>
        <v/>
      </c>
      <c r="I59" s="964" t="str">
        <f t="shared" si="52"/>
        <v/>
      </c>
      <c r="J59" s="964" t="str">
        <f t="shared" si="21"/>
        <v/>
      </c>
      <c r="K59" s="964" t="str">
        <f t="shared" si="53"/>
        <v/>
      </c>
      <c r="L59" s="965" t="str">
        <f t="shared" si="54"/>
        <v/>
      </c>
      <c r="M59" s="325" t="str">
        <f t="shared" si="22"/>
        <v/>
      </c>
      <c r="N59" s="536">
        <f t="shared" si="23"/>
        <v>0</v>
      </c>
      <c r="O59" s="327" t="str">
        <f t="shared" si="55"/>
        <v/>
      </c>
      <c r="P59" s="325" t="str">
        <f t="shared" si="24"/>
        <v/>
      </c>
      <c r="Q59" s="328" t="str">
        <f t="shared" si="25"/>
        <v/>
      </c>
      <c r="R59" s="328" t="str">
        <f t="shared" si="26"/>
        <v/>
      </c>
      <c r="S59" s="325"/>
      <c r="T59" s="329">
        <v>0.9</v>
      </c>
      <c r="U59" s="325" t="str">
        <f t="shared" si="27"/>
        <v/>
      </c>
      <c r="V59" s="330" t="str">
        <f t="shared" si="28"/>
        <v/>
      </c>
      <c r="W59" s="331" t="str">
        <f t="shared" si="48"/>
        <v/>
      </c>
      <c r="X59" s="332" t="str">
        <f t="shared" si="29"/>
        <v/>
      </c>
      <c r="Y59" s="333" t="str">
        <f t="shared" si="30"/>
        <v/>
      </c>
      <c r="Z59" s="325" t="s">
        <v>164</v>
      </c>
      <c r="AA59" s="334"/>
      <c r="AB59" s="254"/>
      <c r="AC59" s="335">
        <v>2014</v>
      </c>
      <c r="AD59" s="336">
        <v>0</v>
      </c>
      <c r="AE59" s="336" t="s">
        <v>166</v>
      </c>
      <c r="AF59" s="337">
        <v>10</v>
      </c>
      <c r="AG59" s="263"/>
      <c r="AH59" s="338">
        <f t="shared" si="2"/>
        <v>0</v>
      </c>
      <c r="AI59" s="338">
        <f t="shared" si="3"/>
        <v>0</v>
      </c>
      <c r="AJ59" s="338">
        <f t="shared" si="4"/>
        <v>0</v>
      </c>
      <c r="AK59" s="338">
        <f t="shared" si="5"/>
        <v>1</v>
      </c>
      <c r="AL59" s="339">
        <f t="shared" si="6"/>
        <v>0.85782399999999992</v>
      </c>
      <c r="AM59" s="340"/>
      <c r="AN59" s="341" t="str">
        <f t="shared" si="7"/>
        <v/>
      </c>
      <c r="AO59" s="341" t="str">
        <f t="shared" si="8"/>
        <v/>
      </c>
      <c r="AP59" s="341">
        <v>1</v>
      </c>
      <c r="AQ59" s="341">
        <f t="shared" si="9"/>
        <v>0.8</v>
      </c>
      <c r="AR59" s="341">
        <f t="shared" si="10"/>
        <v>0.85782399999999992</v>
      </c>
      <c r="AS59" s="341" t="e">
        <f t="shared" si="11"/>
        <v>#VALUE!</v>
      </c>
      <c r="AT59" s="341" t="e">
        <f t="shared" si="12"/>
        <v>#VALUE!</v>
      </c>
      <c r="AU59" s="341" t="str">
        <f t="shared" si="31"/>
        <v/>
      </c>
      <c r="AV59" s="341" t="str">
        <f t="shared" si="32"/>
        <v/>
      </c>
      <c r="AW59" s="342" t="str">
        <f t="shared" si="13"/>
        <v>ok</v>
      </c>
      <c r="AX59" s="343" t="str">
        <f t="shared" si="14"/>
        <v/>
      </c>
      <c r="AY59" s="343" t="str">
        <f t="shared" si="15"/>
        <v/>
      </c>
      <c r="AZ59" s="343" t="str">
        <f t="shared" si="16"/>
        <v/>
      </c>
      <c r="BA59" s="344" t="str">
        <f t="shared" si="33"/>
        <v>Deletar Calculos e Ocultar</v>
      </c>
      <c r="BB59" s="343">
        <f t="shared" si="17"/>
        <v>0</v>
      </c>
      <c r="BD59" s="389">
        <v>8</v>
      </c>
      <c r="BE59" s="390">
        <v>1.86</v>
      </c>
      <c r="BF59" s="391">
        <v>1.42</v>
      </c>
      <c r="BG59" s="391"/>
      <c r="BJ59" s="208" t="s">
        <v>115</v>
      </c>
      <c r="BK59" s="208"/>
      <c r="BL59" s="208"/>
      <c r="BM59" s="208"/>
      <c r="BP59" s="206" t="e">
        <f t="shared" si="34"/>
        <v>#VALUE!</v>
      </c>
      <c r="BQ59" s="206" t="e">
        <f t="shared" si="35"/>
        <v>#VALUE!</v>
      </c>
      <c r="BR59" s="206" t="e">
        <f t="shared" si="36"/>
        <v>#VALUE!</v>
      </c>
      <c r="BS59" s="206" t="e">
        <f t="shared" si="37"/>
        <v>#VALUE!</v>
      </c>
      <c r="BT59" s="206" t="e">
        <f t="shared" si="38"/>
        <v>#VALUE!</v>
      </c>
      <c r="BU59" s="206" t="e">
        <f t="shared" si="39"/>
        <v>#VALUE!</v>
      </c>
      <c r="BV59" s="206" t="e">
        <f t="shared" si="40"/>
        <v>#VALUE!</v>
      </c>
      <c r="BW59" s="206" t="e">
        <f t="shared" si="41"/>
        <v>#VALUE!</v>
      </c>
      <c r="BX59" s="206" t="e">
        <f t="shared" si="42"/>
        <v>#VALUE!</v>
      </c>
      <c r="BY59" s="206" t="e">
        <f t="shared" si="43"/>
        <v>#VALUE!</v>
      </c>
      <c r="BZ59" s="206" t="e">
        <f t="shared" si="44"/>
        <v>#VALUE!</v>
      </c>
      <c r="CA59" s="206" t="e">
        <f t="shared" si="45"/>
        <v>#VALUE!</v>
      </c>
      <c r="CB59" s="206" t="e">
        <f t="shared" si="46"/>
        <v>#VALUE!</v>
      </c>
      <c r="CD59" s="206" t="e">
        <f t="shared" si="47"/>
        <v>#VALUE!</v>
      </c>
      <c r="CE59" s="206" t="e">
        <f t="shared" si="47"/>
        <v>#VALUE!</v>
      </c>
      <c r="CF59" s="206" t="e">
        <f t="shared" si="47"/>
        <v>#VALUE!</v>
      </c>
      <c r="CG59" s="206" t="e">
        <f t="shared" si="47"/>
        <v>#VALUE!</v>
      </c>
      <c r="CH59" s="206" t="e">
        <f t="shared" si="47"/>
        <v>#VALUE!</v>
      </c>
      <c r="CI59" s="206" t="e">
        <f t="shared" si="47"/>
        <v>#VALUE!</v>
      </c>
      <c r="CJ59" s="206" t="e">
        <f t="shared" si="47"/>
        <v>#VALUE!</v>
      </c>
      <c r="CK59" s="206" t="e">
        <f t="shared" si="47"/>
        <v>#VALUE!</v>
      </c>
      <c r="CL59" s="206" t="e">
        <f t="shared" si="47"/>
        <v>#VALUE!</v>
      </c>
      <c r="CM59" s="206" t="e">
        <f t="shared" si="47"/>
        <v>#VALUE!</v>
      </c>
      <c r="CN59" s="206" t="e">
        <f t="shared" si="47"/>
        <v>#VALUE!</v>
      </c>
      <c r="CO59" s="206" t="e">
        <f t="shared" si="47"/>
        <v>#VALUE!</v>
      </c>
      <c r="CP59" s="206" t="e">
        <f t="shared" si="47"/>
        <v>#VALUE!</v>
      </c>
    </row>
    <row r="60" spans="1:94" s="206" customFormat="1" ht="16.5" customHeight="1" thickBot="1">
      <c r="A60" s="869" t="s">
        <v>174</v>
      </c>
      <c r="B60" s="324">
        <v>20</v>
      </c>
      <c r="C60" s="352" t="str">
        <f>IF(A60="N","",IF(A60="S",IF(SUM($C$41:C59)=0,1,SUM(LARGE($C$41:C59,1),1))))</f>
        <v/>
      </c>
      <c r="D60" s="353"/>
      <c r="E60" s="970" t="str">
        <f t="shared" si="49"/>
        <v/>
      </c>
      <c r="F60" s="971"/>
      <c r="G60" s="971" t="str">
        <f t="shared" si="50"/>
        <v/>
      </c>
      <c r="H60" s="971" t="str">
        <f t="shared" si="51"/>
        <v/>
      </c>
      <c r="I60" s="971" t="str">
        <f t="shared" si="52"/>
        <v/>
      </c>
      <c r="J60" s="971" t="str">
        <f t="shared" si="21"/>
        <v/>
      </c>
      <c r="K60" s="971" t="str">
        <f t="shared" si="53"/>
        <v/>
      </c>
      <c r="L60" s="972" t="str">
        <f t="shared" si="54"/>
        <v/>
      </c>
      <c r="M60" s="352" t="str">
        <f t="shared" si="22"/>
        <v/>
      </c>
      <c r="N60" s="535">
        <f t="shared" si="23"/>
        <v>0</v>
      </c>
      <c r="O60" s="873" t="str">
        <f t="shared" si="55"/>
        <v/>
      </c>
      <c r="P60" s="352" t="str">
        <f t="shared" si="24"/>
        <v/>
      </c>
      <c r="Q60" s="354" t="str">
        <f t="shared" si="25"/>
        <v/>
      </c>
      <c r="R60" s="354" t="str">
        <f t="shared" si="26"/>
        <v/>
      </c>
      <c r="S60" s="352"/>
      <c r="T60" s="875">
        <v>0.9</v>
      </c>
      <c r="U60" s="352" t="str">
        <f t="shared" si="27"/>
        <v/>
      </c>
      <c r="V60" s="355" t="str">
        <f t="shared" si="28"/>
        <v/>
      </c>
      <c r="W60" s="885" t="str">
        <f t="shared" si="48"/>
        <v/>
      </c>
      <c r="X60" s="886" t="str">
        <f t="shared" si="29"/>
        <v/>
      </c>
      <c r="Y60" s="887" t="str">
        <f t="shared" si="30"/>
        <v/>
      </c>
      <c r="Z60" s="352" t="s">
        <v>164</v>
      </c>
      <c r="AA60" s="891"/>
      <c r="AB60" s="254"/>
      <c r="AC60" s="898">
        <v>2014</v>
      </c>
      <c r="AD60" s="899">
        <v>0</v>
      </c>
      <c r="AE60" s="899" t="s">
        <v>166</v>
      </c>
      <c r="AF60" s="900">
        <v>10</v>
      </c>
      <c r="AG60" s="263"/>
      <c r="AH60" s="356">
        <f t="shared" si="2"/>
        <v>0</v>
      </c>
      <c r="AI60" s="356">
        <f t="shared" si="3"/>
        <v>0</v>
      </c>
      <c r="AJ60" s="356">
        <f t="shared" si="4"/>
        <v>0</v>
      </c>
      <c r="AK60" s="356">
        <f t="shared" si="5"/>
        <v>1</v>
      </c>
      <c r="AL60" s="357">
        <f t="shared" si="6"/>
        <v>0.85782399999999992</v>
      </c>
      <c r="AM60" s="358"/>
      <c r="AN60" s="359" t="str">
        <f t="shared" si="7"/>
        <v/>
      </c>
      <c r="AO60" s="359" t="str">
        <f t="shared" si="8"/>
        <v/>
      </c>
      <c r="AP60" s="359">
        <v>1</v>
      </c>
      <c r="AQ60" s="359">
        <f t="shared" si="9"/>
        <v>0.8</v>
      </c>
      <c r="AR60" s="359">
        <f t="shared" si="10"/>
        <v>0.85782399999999992</v>
      </c>
      <c r="AS60" s="359" t="e">
        <f t="shared" si="11"/>
        <v>#VALUE!</v>
      </c>
      <c r="AT60" s="359" t="e">
        <f t="shared" si="12"/>
        <v>#VALUE!</v>
      </c>
      <c r="AU60" s="359" t="str">
        <f t="shared" si="31"/>
        <v/>
      </c>
      <c r="AV60" s="359" t="str">
        <f t="shared" si="32"/>
        <v/>
      </c>
      <c r="AW60" s="342" t="str">
        <f t="shared" si="13"/>
        <v>ok</v>
      </c>
      <c r="AX60" s="343" t="str">
        <f t="shared" si="14"/>
        <v/>
      </c>
      <c r="AY60" s="343" t="str">
        <f t="shared" si="15"/>
        <v/>
      </c>
      <c r="AZ60" s="343" t="str">
        <f t="shared" si="16"/>
        <v/>
      </c>
      <c r="BA60" s="344" t="str">
        <f t="shared" si="33"/>
        <v>Deletar Calculos e Ocultar</v>
      </c>
      <c r="BB60" s="343">
        <f t="shared" si="17"/>
        <v>0</v>
      </c>
      <c r="BD60" s="389">
        <v>9</v>
      </c>
      <c r="BE60" s="390">
        <v>1.92</v>
      </c>
      <c r="BF60" s="391">
        <v>1.4</v>
      </c>
      <c r="BG60" s="391"/>
      <c r="BJ60" s="208" t="s">
        <v>114</v>
      </c>
      <c r="BK60" s="208"/>
      <c r="BL60" s="208"/>
      <c r="BM60" s="208"/>
      <c r="BP60" s="206" t="e">
        <f t="shared" si="34"/>
        <v>#VALUE!</v>
      </c>
      <c r="BQ60" s="206" t="e">
        <f t="shared" si="35"/>
        <v>#VALUE!</v>
      </c>
      <c r="BR60" s="206" t="e">
        <f t="shared" si="36"/>
        <v>#VALUE!</v>
      </c>
      <c r="BS60" s="206" t="e">
        <f t="shared" si="37"/>
        <v>#VALUE!</v>
      </c>
      <c r="BT60" s="206" t="e">
        <f t="shared" si="38"/>
        <v>#VALUE!</v>
      </c>
      <c r="BU60" s="206" t="e">
        <f t="shared" si="39"/>
        <v>#VALUE!</v>
      </c>
      <c r="BV60" s="206" t="e">
        <f t="shared" si="40"/>
        <v>#VALUE!</v>
      </c>
      <c r="BW60" s="206" t="e">
        <f t="shared" si="41"/>
        <v>#VALUE!</v>
      </c>
      <c r="BX60" s="206" t="e">
        <f t="shared" si="42"/>
        <v>#VALUE!</v>
      </c>
      <c r="BY60" s="206" t="e">
        <f t="shared" si="43"/>
        <v>#VALUE!</v>
      </c>
      <c r="BZ60" s="206" t="e">
        <f t="shared" si="44"/>
        <v>#VALUE!</v>
      </c>
      <c r="CA60" s="206" t="e">
        <f t="shared" si="45"/>
        <v>#VALUE!</v>
      </c>
      <c r="CB60" s="206" t="e">
        <f t="shared" si="46"/>
        <v>#VALUE!</v>
      </c>
      <c r="CD60" s="206" t="e">
        <f t="shared" si="47"/>
        <v>#VALUE!</v>
      </c>
      <c r="CE60" s="206" t="e">
        <f t="shared" si="47"/>
        <v>#VALUE!</v>
      </c>
      <c r="CF60" s="206" t="e">
        <f t="shared" si="47"/>
        <v>#VALUE!</v>
      </c>
      <c r="CG60" s="206" t="e">
        <f t="shared" si="47"/>
        <v>#VALUE!</v>
      </c>
      <c r="CH60" s="206" t="e">
        <f t="shared" si="47"/>
        <v>#VALUE!</v>
      </c>
      <c r="CI60" s="206" t="e">
        <f t="shared" si="47"/>
        <v>#VALUE!</v>
      </c>
      <c r="CJ60" s="206" t="e">
        <f t="shared" si="47"/>
        <v>#VALUE!</v>
      </c>
      <c r="CK60" s="206" t="e">
        <f t="shared" si="47"/>
        <v>#VALUE!</v>
      </c>
      <c r="CL60" s="206" t="e">
        <f t="shared" si="47"/>
        <v>#VALUE!</v>
      </c>
      <c r="CM60" s="206" t="e">
        <f t="shared" si="47"/>
        <v>#VALUE!</v>
      </c>
      <c r="CN60" s="206" t="e">
        <f t="shared" si="47"/>
        <v>#VALUE!</v>
      </c>
      <c r="CO60" s="206" t="e">
        <f t="shared" si="47"/>
        <v>#VALUE!</v>
      </c>
      <c r="CP60" s="206" t="e">
        <f t="shared" si="47"/>
        <v>#VALUE!</v>
      </c>
    </row>
    <row r="61" spans="1:94" s="257" customFormat="1" ht="16.5" customHeight="1">
      <c r="A61" s="392"/>
      <c r="B61" s="393"/>
      <c r="C61" s="394"/>
      <c r="D61" s="393"/>
      <c r="E61" s="395"/>
      <c r="F61" s="395"/>
      <c r="G61" s="395"/>
      <c r="H61" s="395"/>
      <c r="I61" s="395"/>
      <c r="J61" s="396"/>
      <c r="K61" s="396"/>
      <c r="L61" s="397"/>
      <c r="M61" s="398"/>
      <c r="N61" s="393"/>
      <c r="O61" s="399"/>
      <c r="P61" s="398"/>
      <c r="Q61" s="398"/>
      <c r="R61" s="398"/>
      <c r="S61" s="398"/>
      <c r="T61" s="396"/>
      <c r="U61" s="399"/>
      <c r="V61" s="399"/>
      <c r="W61" s="400"/>
      <c r="X61" s="400"/>
      <c r="Y61" s="400"/>
      <c r="Z61" s="400"/>
      <c r="AA61" s="400"/>
      <c r="AB61" s="401"/>
      <c r="AC61" s="398"/>
      <c r="AD61" s="397"/>
      <c r="AE61" s="397"/>
      <c r="AF61" s="402"/>
      <c r="AG61" s="403"/>
      <c r="AH61" s="338"/>
      <c r="AI61" s="338"/>
      <c r="AJ61" s="338"/>
      <c r="AK61" s="338"/>
      <c r="AL61" s="404"/>
      <c r="AM61" s="403"/>
      <c r="AN61" s="405"/>
      <c r="AO61" s="406"/>
      <c r="AP61" s="407"/>
      <c r="AQ61" s="408"/>
      <c r="AR61" s="408"/>
      <c r="AS61" s="408"/>
      <c r="AT61" s="408"/>
      <c r="AU61" s="409"/>
      <c r="AV61" s="409"/>
      <c r="AW61" s="409" t="str">
        <f t="shared" si="13"/>
        <v>ok</v>
      </c>
      <c r="AX61" s="409"/>
      <c r="AY61" s="409"/>
      <c r="AZ61" s="409"/>
      <c r="BA61" s="410">
        <f>MAX(AZ41:AZ60)</f>
        <v>575.45820476984045</v>
      </c>
      <c r="BB61" s="409"/>
      <c r="BD61" s="411"/>
      <c r="BE61" s="412"/>
      <c r="BF61" s="413"/>
      <c r="BG61" s="413"/>
      <c r="BJ61" s="305"/>
      <c r="BK61" s="305"/>
      <c r="BL61" s="305"/>
      <c r="BM61" s="305"/>
      <c r="BP61" s="206" t="e">
        <f t="shared" si="34"/>
        <v>#VALUE!</v>
      </c>
      <c r="BQ61" s="206" t="e">
        <f t="shared" si="35"/>
        <v>#VALUE!</v>
      </c>
      <c r="BR61" s="206" t="e">
        <f t="shared" si="36"/>
        <v>#VALUE!</v>
      </c>
      <c r="BS61" s="206" t="e">
        <f t="shared" si="37"/>
        <v>#VALUE!</v>
      </c>
      <c r="BT61" s="206" t="e">
        <f t="shared" si="38"/>
        <v>#VALUE!</v>
      </c>
      <c r="BU61" s="206" t="e">
        <f t="shared" si="39"/>
        <v>#VALUE!</v>
      </c>
      <c r="BV61" s="206" t="e">
        <f t="shared" si="40"/>
        <v>#VALUE!</v>
      </c>
      <c r="BW61" s="206" t="e">
        <f t="shared" si="41"/>
        <v>#VALUE!</v>
      </c>
      <c r="BX61" s="206" t="e">
        <f t="shared" si="42"/>
        <v>#VALUE!</v>
      </c>
      <c r="BY61" s="206" t="e">
        <f t="shared" si="43"/>
        <v>#VALUE!</v>
      </c>
      <c r="BZ61" s="206" t="e">
        <f t="shared" si="44"/>
        <v>#VALUE!</v>
      </c>
      <c r="CA61" s="206" t="e">
        <f t="shared" si="45"/>
        <v>#VALUE!</v>
      </c>
      <c r="CB61" s="206" t="e">
        <f t="shared" si="46"/>
        <v>#VALUE!</v>
      </c>
      <c r="CD61" s="206" t="e">
        <f t="shared" si="47"/>
        <v>#VALUE!</v>
      </c>
      <c r="CE61" s="206" t="e">
        <f t="shared" si="47"/>
        <v>#VALUE!</v>
      </c>
      <c r="CF61" s="206" t="e">
        <f t="shared" si="47"/>
        <v>#VALUE!</v>
      </c>
      <c r="CG61" s="206" t="e">
        <f t="shared" si="47"/>
        <v>#VALUE!</v>
      </c>
      <c r="CH61" s="206" t="e">
        <f t="shared" si="47"/>
        <v>#VALUE!</v>
      </c>
      <c r="CI61" s="206" t="e">
        <f t="shared" si="47"/>
        <v>#VALUE!</v>
      </c>
      <c r="CJ61" s="206" t="e">
        <f t="shared" si="47"/>
        <v>#VALUE!</v>
      </c>
      <c r="CK61" s="206" t="e">
        <f t="shared" si="47"/>
        <v>#VALUE!</v>
      </c>
      <c r="CL61" s="206" t="e">
        <f t="shared" si="47"/>
        <v>#VALUE!</v>
      </c>
      <c r="CM61" s="206" t="e">
        <f t="shared" si="47"/>
        <v>#VALUE!</v>
      </c>
      <c r="CN61" s="206" t="e">
        <f t="shared" si="47"/>
        <v>#VALUE!</v>
      </c>
      <c r="CO61" s="206" t="e">
        <f t="shared" si="47"/>
        <v>#VALUE!</v>
      </c>
      <c r="CP61" s="206" t="e">
        <f t="shared" si="47"/>
        <v>#VALUE!</v>
      </c>
    </row>
    <row r="62" spans="1:94" s="257" customFormat="1" ht="16.350000000000001" customHeight="1" thickBot="1">
      <c r="A62" s="392"/>
      <c r="B62" s="393"/>
      <c r="C62" s="394"/>
      <c r="D62" s="393"/>
      <c r="E62" s="395"/>
      <c r="F62" s="395"/>
      <c r="G62" s="395"/>
      <c r="H62" s="395"/>
      <c r="I62" s="395"/>
      <c r="J62" s="396"/>
      <c r="K62" s="396"/>
      <c r="L62" s="397"/>
      <c r="M62" s="398"/>
      <c r="N62" s="393"/>
      <c r="O62" s="399"/>
      <c r="P62" s="398"/>
      <c r="Q62" s="398"/>
      <c r="R62" s="398"/>
      <c r="S62" s="398"/>
      <c r="T62" s="396"/>
      <c r="U62" s="399"/>
      <c r="V62" s="399"/>
      <c r="W62" s="400"/>
      <c r="X62" s="400"/>
      <c r="Y62" s="400"/>
      <c r="Z62" s="400"/>
      <c r="AA62" s="400"/>
      <c r="AB62" s="401"/>
      <c r="AC62" s="398"/>
      <c r="AD62" s="397"/>
      <c r="AE62" s="397"/>
      <c r="AF62" s="402"/>
      <c r="AG62" s="403"/>
      <c r="AH62" s="338"/>
      <c r="AI62" s="338"/>
      <c r="AJ62" s="338"/>
      <c r="AK62" s="338"/>
      <c r="AL62" s="404"/>
      <c r="AM62" s="403"/>
      <c r="AN62" s="405"/>
      <c r="AO62" s="406"/>
      <c r="AP62" s="407"/>
      <c r="AQ62" s="408"/>
      <c r="AR62" s="408"/>
      <c r="AS62" s="408"/>
      <c r="AT62" s="408"/>
      <c r="AU62" s="409"/>
      <c r="AV62" s="409"/>
      <c r="AW62" s="409"/>
      <c r="AX62" s="409"/>
      <c r="AY62" s="409"/>
      <c r="AZ62" s="409"/>
      <c r="BA62" s="410"/>
      <c r="BB62" s="409"/>
      <c r="BD62" s="411"/>
      <c r="BE62" s="412"/>
      <c r="BF62" s="413"/>
      <c r="BG62" s="413"/>
      <c r="BJ62" s="305"/>
      <c r="BK62" s="305"/>
      <c r="BL62" s="305"/>
      <c r="BM62" s="305"/>
    </row>
    <row r="63" spans="1:94" ht="16.5" customHeight="1" outlineLevel="1" thickBot="1">
      <c r="A63" s="414"/>
      <c r="B63" s="414"/>
      <c r="C63" s="415"/>
      <c r="D63" s="415"/>
      <c r="E63" s="206"/>
      <c r="F63" s="206"/>
      <c r="G63" s="206"/>
      <c r="H63" s="206"/>
      <c r="I63" s="206"/>
      <c r="J63" s="416"/>
      <c r="K63" s="417"/>
      <c r="L63" s="206"/>
      <c r="M63" s="537"/>
      <c r="N63" s="538"/>
      <c r="O63" s="539"/>
      <c r="P63" s="539"/>
      <c r="Q63" s="539"/>
      <c r="R63" s="540"/>
      <c r="S63" s="540"/>
      <c r="T63" s="541"/>
      <c r="U63" s="418"/>
      <c r="V63" s="418"/>
      <c r="W63" s="419"/>
      <c r="X63" s="419"/>
      <c r="Y63" s="419"/>
      <c r="Z63" s="419"/>
      <c r="AA63" s="419"/>
      <c r="AB63" s="206"/>
      <c r="AG63" s="420"/>
      <c r="AH63" s="208"/>
      <c r="AI63" s="208"/>
      <c r="AJ63" s="208"/>
      <c r="AK63" s="208"/>
      <c r="AL63" s="208"/>
      <c r="AM63" s="208"/>
      <c r="AN63" s="305"/>
      <c r="AO63" s="305"/>
      <c r="AP63" s="305"/>
      <c r="AQ63" s="421"/>
      <c r="AX63" s="206"/>
      <c r="AY63" s="422"/>
      <c r="AZ63" s="422"/>
      <c r="BA63" s="422"/>
      <c r="BB63" s="422"/>
      <c r="BC63" s="206"/>
      <c r="BD63" s="389">
        <v>11</v>
      </c>
      <c r="BE63" s="390">
        <v>2.0099999999999998</v>
      </c>
      <c r="BF63" s="391">
        <v>1.37</v>
      </c>
      <c r="BG63" s="391"/>
      <c r="BH63" s="206"/>
    </row>
    <row r="64" spans="1:94" ht="16.5" customHeight="1" outlineLevel="1" thickBot="1">
      <c r="A64" s="414"/>
      <c r="B64" s="414"/>
      <c r="C64" s="1041" t="s">
        <v>171</v>
      </c>
      <c r="D64" s="1041" t="s">
        <v>141</v>
      </c>
      <c r="E64" s="1043" t="s">
        <v>170</v>
      </c>
      <c r="F64" s="1043" t="s">
        <v>169</v>
      </c>
      <c r="G64" s="1045" t="s">
        <v>168</v>
      </c>
      <c r="H64" s="1043" t="s">
        <v>167</v>
      </c>
      <c r="I64" s="206"/>
      <c r="J64" s="416"/>
      <c r="K64" s="423"/>
      <c r="L64" s="423"/>
      <c r="M64" s="542"/>
      <c r="N64" s="1091" t="s">
        <v>276</v>
      </c>
      <c r="O64" s="1091"/>
      <c r="P64" s="1091"/>
      <c r="Q64" s="1091"/>
      <c r="R64" s="543" t="s">
        <v>275</v>
      </c>
      <c r="S64" s="544"/>
      <c r="T64" s="545"/>
      <c r="U64" s="418"/>
      <c r="V64" s="418"/>
      <c r="W64" s="419"/>
      <c r="X64" s="419"/>
      <c r="Y64" s="1029" t="s">
        <v>172</v>
      </c>
      <c r="Z64" s="1030"/>
      <c r="AA64" s="424"/>
      <c r="AB64" s="424"/>
      <c r="AC64" s="567">
        <f>IFERROR(AVERAGE(AU41:AU60),"")</f>
        <v>8856.7325807516536</v>
      </c>
      <c r="AD64" s="425" t="s">
        <v>142</v>
      </c>
      <c r="AG64" s="378"/>
      <c r="AH64" s="208"/>
      <c r="AI64" s="208"/>
      <c r="AJ64" s="208"/>
      <c r="AK64" s="208"/>
      <c r="AL64" s="208"/>
      <c r="AM64" s="208"/>
      <c r="AN64" s="305"/>
      <c r="AO64" s="305"/>
      <c r="AP64" s="305"/>
      <c r="AQ64" s="426"/>
      <c r="AX64" s="206"/>
      <c r="AY64" s="422"/>
      <c r="AZ64" s="422"/>
      <c r="BA64" s="422"/>
      <c r="BB64" s="422"/>
      <c r="BC64" s="206"/>
      <c r="BD64" s="389">
        <v>12</v>
      </c>
      <c r="BE64" s="390">
        <v>2.0299999999999998</v>
      </c>
      <c r="BF64" s="391">
        <v>1.36</v>
      </c>
      <c r="BG64" s="391"/>
      <c r="BH64" s="206"/>
    </row>
    <row r="65" spans="1:60" ht="16.5" customHeight="1" outlineLevel="1" thickTop="1">
      <c r="A65" s="427"/>
      <c r="B65" s="427"/>
      <c r="C65" s="1042"/>
      <c r="D65" s="1042"/>
      <c r="E65" s="1044" t="s">
        <v>164</v>
      </c>
      <c r="F65" s="1044" t="s">
        <v>163</v>
      </c>
      <c r="G65" s="1046" t="s">
        <v>162</v>
      </c>
      <c r="H65" s="1044" t="s">
        <v>161</v>
      </c>
      <c r="I65" s="428"/>
      <c r="J65" s="416"/>
      <c r="K65" s="429"/>
      <c r="L65" s="429"/>
      <c r="M65" s="542"/>
      <c r="N65" s="1115" t="s">
        <v>273</v>
      </c>
      <c r="O65" s="1116"/>
      <c r="P65" s="1113">
        <f>Inputs!D45</f>
        <v>500000</v>
      </c>
      <c r="Q65" s="1114"/>
      <c r="R65" s="1121">
        <f>IFERROR((P65/$F$9),"")</f>
        <v>10699.764605178687</v>
      </c>
      <c r="S65" s="1122"/>
      <c r="T65" s="545"/>
      <c r="U65" s="418"/>
      <c r="V65" s="418"/>
      <c r="W65" s="430"/>
      <c r="X65" s="430"/>
      <c r="Y65" s="431"/>
      <c r="Z65" s="432"/>
      <c r="AA65" s="432"/>
      <c r="AB65" s="432"/>
      <c r="AC65" s="433"/>
      <c r="AD65" s="425"/>
      <c r="AG65" s="378"/>
      <c r="AH65" s="208"/>
      <c r="AI65" s="208"/>
      <c r="AJ65" s="208"/>
      <c r="AK65" s="208"/>
      <c r="AL65" s="208"/>
      <c r="AM65" s="208"/>
      <c r="AN65" s="305"/>
      <c r="AO65" s="434"/>
      <c r="AP65" s="305"/>
      <c r="AQ65" s="426"/>
      <c r="AX65" s="206"/>
      <c r="AY65" s="422"/>
      <c r="AZ65" s="422"/>
      <c r="BA65" s="422"/>
      <c r="BB65" s="422"/>
      <c r="BC65" s="206"/>
      <c r="BD65" s="389">
        <v>13</v>
      </c>
      <c r="BE65" s="390">
        <v>2.12</v>
      </c>
      <c r="BF65" s="391">
        <v>1.36</v>
      </c>
      <c r="BG65" s="391"/>
      <c r="BH65" s="206"/>
    </row>
    <row r="66" spans="1:60" ht="18" customHeight="1" outlineLevel="1">
      <c r="A66" s="435"/>
      <c r="B66" s="435"/>
      <c r="C66" s="1047" t="s">
        <v>156</v>
      </c>
      <c r="D66" s="1047"/>
      <c r="E66" s="1047"/>
      <c r="F66" s="1047"/>
      <c r="G66" s="1047"/>
      <c r="H66" s="1047"/>
      <c r="I66" s="436"/>
      <c r="J66" s="436"/>
      <c r="K66" s="429"/>
      <c r="L66" s="206"/>
      <c r="M66" s="542"/>
      <c r="N66" s="1108" t="s">
        <v>629</v>
      </c>
      <c r="O66" s="1109"/>
      <c r="P66" s="1106">
        <f>Inputs!H46</f>
        <v>0</v>
      </c>
      <c r="Q66" s="1107"/>
      <c r="R66" s="1106">
        <f>IFERROR((P66/$F$9),"")</f>
        <v>0</v>
      </c>
      <c r="S66" s="1107"/>
      <c r="T66" s="546"/>
      <c r="U66" s="437"/>
      <c r="V66" s="437"/>
      <c r="W66" s="430"/>
      <c r="X66" s="430"/>
      <c r="Y66" s="438" t="s">
        <v>158</v>
      </c>
      <c r="Z66" s="439"/>
      <c r="AA66" s="439"/>
      <c r="AB66" s="440"/>
      <c r="AC66" s="568">
        <f>K39</f>
        <v>46.73</v>
      </c>
      <c r="AD66" s="425" t="s">
        <v>157</v>
      </c>
      <c r="AG66" s="378"/>
      <c r="AH66" s="208"/>
      <c r="AI66" s="208"/>
      <c r="AJ66" s="208"/>
      <c r="AK66" s="208"/>
      <c r="AL66" s="208"/>
      <c r="AM66" s="208"/>
      <c r="AN66" s="305"/>
      <c r="AO66" s="434"/>
      <c r="AP66" s="305"/>
      <c r="AQ66" s="426"/>
      <c r="AX66" s="206"/>
      <c r="AY66" s="422"/>
      <c r="AZ66" s="422"/>
      <c r="BA66" s="422"/>
      <c r="BB66" s="422"/>
      <c r="BC66" s="206"/>
      <c r="BD66" s="389">
        <v>14</v>
      </c>
      <c r="BE66" s="390">
        <v>2.1800000000000002</v>
      </c>
      <c r="BF66" s="391">
        <v>1.35</v>
      </c>
      <c r="BG66" s="391"/>
      <c r="BH66" s="206"/>
    </row>
    <row r="67" spans="1:60" ht="18" customHeight="1" outlineLevel="1" thickBot="1">
      <c r="A67" s="435"/>
      <c r="B67" s="435"/>
      <c r="C67" s="441" t="s">
        <v>153</v>
      </c>
      <c r="D67" s="442" t="str">
        <f>IF(D39&gt;0,D39,"")</f>
        <v/>
      </c>
      <c r="E67" s="443" t="str">
        <f>F3</f>
        <v>R VOLUNTARIOS DA PATRIA, 654</v>
      </c>
      <c r="F67" s="441"/>
      <c r="G67" s="444" t="str">
        <f>IFERROR(AVERAGE(G69:G74),"")</f>
        <v/>
      </c>
      <c r="H67" s="441"/>
      <c r="I67" s="436"/>
      <c r="J67" s="436"/>
      <c r="K67" s="429"/>
      <c r="L67" s="206"/>
      <c r="M67" s="542"/>
      <c r="N67" s="547"/>
      <c r="O67" s="547"/>
      <c r="P67" s="548"/>
      <c r="Q67" s="548"/>
      <c r="R67" s="548"/>
      <c r="S67" s="548"/>
      <c r="T67" s="546"/>
      <c r="U67" s="437"/>
      <c r="V67" s="437"/>
      <c r="W67" s="430"/>
      <c r="X67" s="430"/>
      <c r="Y67" s="445"/>
      <c r="Z67" s="446"/>
      <c r="AA67" s="446"/>
      <c r="AB67" s="446"/>
      <c r="AC67" s="447"/>
      <c r="AD67" s="425"/>
      <c r="AG67" s="378"/>
      <c r="AH67" s="208"/>
      <c r="AI67" s="208"/>
      <c r="AJ67" s="208"/>
      <c r="AK67" s="208"/>
      <c r="AL67" s="208"/>
      <c r="AM67" s="208"/>
      <c r="AN67" s="305"/>
      <c r="AO67" s="434"/>
      <c r="AP67" s="305"/>
      <c r="AQ67" s="426"/>
      <c r="AX67" s="206"/>
      <c r="AY67" s="422"/>
      <c r="AZ67" s="422"/>
      <c r="BA67" s="422"/>
      <c r="BB67" s="422"/>
      <c r="BC67" s="206"/>
      <c r="BD67" s="389">
        <v>15</v>
      </c>
      <c r="BE67" s="390">
        <v>2.23</v>
      </c>
      <c r="BF67" s="391">
        <v>1.34</v>
      </c>
      <c r="BG67" s="391"/>
      <c r="BH67" s="206"/>
    </row>
    <row r="68" spans="1:60" ht="16.5" customHeight="1" outlineLevel="1">
      <c r="A68" s="448"/>
      <c r="B68" s="448"/>
      <c r="C68" s="1038" t="s">
        <v>149</v>
      </c>
      <c r="D68" s="1039"/>
      <c r="E68" s="1039"/>
      <c r="F68" s="1039"/>
      <c r="G68" s="1039"/>
      <c r="H68" s="1040"/>
      <c r="I68" s="436"/>
      <c r="J68" s="436"/>
      <c r="K68" s="206"/>
      <c r="L68" s="206"/>
      <c r="M68" s="542"/>
      <c r="N68" s="1119" t="s">
        <v>270</v>
      </c>
      <c r="O68" s="1120"/>
      <c r="P68" s="1117">
        <f>Inputs!H47</f>
        <v>376000</v>
      </c>
      <c r="Q68" s="1118"/>
      <c r="R68" s="549">
        <f>IFERROR((P68/$F$9),"")</f>
        <v>8046.2229830943725</v>
      </c>
      <c r="S68" s="548"/>
      <c r="T68" s="550"/>
      <c r="U68" s="206"/>
      <c r="V68" s="206"/>
      <c r="W68" s="430"/>
      <c r="X68" s="430"/>
      <c r="Y68" s="449" t="s">
        <v>150</v>
      </c>
      <c r="Z68" s="450"/>
      <c r="AA68" s="450"/>
      <c r="AB68" s="451"/>
      <c r="AC68" s="569">
        <f>IFERROR(AVERAGE(AV41:AV60),"")</f>
        <v>8856.7325807516536</v>
      </c>
      <c r="AD68" s="425" t="s">
        <v>142</v>
      </c>
      <c r="AG68" s="378"/>
      <c r="AH68" s="208"/>
      <c r="AI68" s="208"/>
      <c r="AJ68" s="208"/>
      <c r="AK68" s="208"/>
      <c r="AL68" s="208"/>
      <c r="AM68" s="208"/>
      <c r="AN68" s="305"/>
      <c r="AO68" s="452"/>
      <c r="AP68" s="305"/>
      <c r="AQ68" s="453"/>
      <c r="AX68" s="206"/>
      <c r="AY68" s="422"/>
      <c r="AZ68" s="422"/>
      <c r="BA68" s="422"/>
      <c r="BB68" s="422"/>
      <c r="BC68" s="206"/>
      <c r="BD68" s="389">
        <v>16</v>
      </c>
      <c r="BE68" s="390">
        <v>2.29</v>
      </c>
      <c r="BF68" s="391">
        <v>1.34</v>
      </c>
      <c r="BG68" s="391"/>
      <c r="BH68" s="206"/>
    </row>
    <row r="69" spans="1:60" ht="16.5" customHeight="1" outlineLevel="1">
      <c r="A69" s="454"/>
      <c r="B69" s="454"/>
      <c r="C69" s="455">
        <v>1</v>
      </c>
      <c r="D69" s="395"/>
      <c r="E69" s="456"/>
      <c r="F69" s="457"/>
      <c r="G69" s="457"/>
      <c r="H69" s="458"/>
      <c r="I69" s="459"/>
      <c r="J69" s="459"/>
      <c r="K69" s="460"/>
      <c r="L69" s="206"/>
      <c r="M69" s="542"/>
      <c r="N69" s="1108" t="s">
        <v>269</v>
      </c>
      <c r="O69" s="1109"/>
      <c r="P69" s="1110"/>
      <c r="Q69" s="1111"/>
      <c r="R69" s="1112"/>
      <c r="S69" s="548"/>
      <c r="T69" s="550"/>
      <c r="U69" s="206"/>
      <c r="V69" s="206"/>
      <c r="W69" s="206"/>
      <c r="X69" s="206"/>
      <c r="Y69" s="461" t="s">
        <v>146</v>
      </c>
      <c r="Z69" s="462"/>
      <c r="AA69" s="463"/>
      <c r="AB69" s="464">
        <v>-0.3</v>
      </c>
      <c r="AC69" s="570">
        <f>IFERROR($AC$68*(1+AB69),"")</f>
        <v>6199.7128065261568</v>
      </c>
      <c r="AD69" s="425" t="s">
        <v>142</v>
      </c>
      <c r="AG69" s="378"/>
      <c r="AH69" s="208"/>
      <c r="AI69" s="208"/>
      <c r="AJ69" s="208"/>
      <c r="AK69" s="208"/>
      <c r="AL69" s="208"/>
      <c r="AM69" s="208"/>
      <c r="AN69" s="305"/>
      <c r="AO69" s="452"/>
      <c r="AP69" s="305"/>
      <c r="AQ69" s="465"/>
      <c r="AX69" s="206"/>
      <c r="AY69" s="422"/>
      <c r="AZ69" s="422"/>
      <c r="BA69" s="422"/>
      <c r="BB69" s="422"/>
      <c r="BC69" s="206"/>
      <c r="BD69" s="389">
        <v>17</v>
      </c>
      <c r="BE69" s="390">
        <v>2.35</v>
      </c>
      <c r="BF69" s="391">
        <v>1.34</v>
      </c>
      <c r="BG69" s="391"/>
      <c r="BH69" s="206"/>
    </row>
    <row r="70" spans="1:60" ht="16.5" customHeight="1" outlineLevel="1">
      <c r="A70" s="454"/>
      <c r="B70" s="454"/>
      <c r="C70" s="455">
        <v>2</v>
      </c>
      <c r="D70" s="395"/>
      <c r="E70" s="456"/>
      <c r="F70" s="457"/>
      <c r="G70" s="457"/>
      <c r="H70" s="458"/>
      <c r="I70" s="459"/>
      <c r="J70" s="459"/>
      <c r="K70" s="206"/>
      <c r="L70" s="206"/>
      <c r="M70" s="542"/>
      <c r="N70" s="547"/>
      <c r="O70" s="547"/>
      <c r="P70" s="548"/>
      <c r="Q70" s="548"/>
      <c r="R70" s="548"/>
      <c r="S70" s="548"/>
      <c r="T70" s="550"/>
      <c r="U70" s="206"/>
      <c r="V70" s="206"/>
      <c r="W70" s="206"/>
      <c r="X70" s="206"/>
      <c r="Y70" s="461" t="s">
        <v>143</v>
      </c>
      <c r="Z70" s="462"/>
      <c r="AA70" s="462"/>
      <c r="AB70" s="464">
        <v>0.3</v>
      </c>
      <c r="AC70" s="570">
        <f>IFERROR($AC$68*(1+AB70),"")</f>
        <v>11513.75235497715</v>
      </c>
      <c r="AD70" s="425" t="s">
        <v>142</v>
      </c>
      <c r="AG70" s="378"/>
      <c r="AH70" s="208"/>
      <c r="AI70" s="208"/>
      <c r="AJ70" s="208"/>
      <c r="AK70" s="208"/>
      <c r="AL70" s="208"/>
      <c r="AM70" s="208"/>
      <c r="AN70" s="305"/>
      <c r="AO70" s="305"/>
      <c r="AP70" s="305"/>
      <c r="AQ70" s="426"/>
      <c r="AX70" s="206"/>
      <c r="AY70" s="422"/>
      <c r="AZ70" s="422"/>
      <c r="BA70" s="422"/>
      <c r="BB70" s="422"/>
      <c r="BC70" s="206"/>
      <c r="BD70" s="389">
        <v>18</v>
      </c>
      <c r="BE70" s="390">
        <v>2.4</v>
      </c>
      <c r="BF70" s="391">
        <v>1.33</v>
      </c>
      <c r="BG70" s="391"/>
      <c r="BH70" s="206"/>
    </row>
    <row r="71" spans="1:60" ht="16.5" customHeight="1" outlineLevel="1">
      <c r="A71" s="454"/>
      <c r="B71" s="454"/>
      <c r="C71" s="455">
        <v>3</v>
      </c>
      <c r="D71" s="395"/>
      <c r="E71" s="457"/>
      <c r="F71" s="457"/>
      <c r="G71" s="457"/>
      <c r="H71" s="458"/>
      <c r="I71" s="459"/>
      <c r="J71" s="459"/>
      <c r="K71" s="206"/>
      <c r="L71" s="206"/>
      <c r="M71" s="542"/>
      <c r="N71" s="1108" t="s">
        <v>266</v>
      </c>
      <c r="O71" s="1109"/>
      <c r="P71" s="1106">
        <f>IFERROR(IF(N39&lt;&gt;0,$AC$77,$AC$72),1)</f>
        <v>414000</v>
      </c>
      <c r="Q71" s="1107"/>
      <c r="R71" s="551">
        <f>IFERROR((P71/$F$9),"")</f>
        <v>8859.405093087953</v>
      </c>
      <c r="S71" s="548"/>
      <c r="T71" s="550"/>
      <c r="U71" s="206"/>
      <c r="V71" s="206"/>
      <c r="W71" s="206"/>
      <c r="X71" s="206"/>
      <c r="Y71" s="466"/>
      <c r="Z71" s="467"/>
      <c r="AA71" s="467"/>
      <c r="AB71" s="467"/>
      <c r="AC71" s="468"/>
      <c r="AD71" s="422"/>
      <c r="AG71" s="378"/>
      <c r="AH71" s="208"/>
      <c r="AI71" s="208"/>
      <c r="AJ71" s="208"/>
      <c r="AK71" s="208"/>
      <c r="AL71" s="208"/>
      <c r="AM71" s="208"/>
      <c r="AN71" s="305"/>
      <c r="AO71" s="305"/>
      <c r="AP71" s="305"/>
      <c r="AQ71" s="469"/>
      <c r="AX71" s="206"/>
      <c r="AY71" s="422"/>
      <c r="AZ71" s="422"/>
      <c r="BA71" s="422"/>
      <c r="BB71" s="422"/>
      <c r="BC71" s="206"/>
      <c r="BD71" s="389">
        <v>19</v>
      </c>
      <c r="BE71" s="390">
        <v>2.46</v>
      </c>
      <c r="BF71" s="391">
        <v>1.33</v>
      </c>
      <c r="BG71" s="391"/>
      <c r="BH71" s="206"/>
    </row>
    <row r="72" spans="1:60" ht="16.5" customHeight="1" outlineLevel="1">
      <c r="A72" s="454"/>
      <c r="B72" s="454"/>
      <c r="C72" s="455">
        <v>4</v>
      </c>
      <c r="D72" s="395"/>
      <c r="E72" s="457"/>
      <c r="F72" s="457"/>
      <c r="G72" s="457"/>
      <c r="H72" s="458"/>
      <c r="I72" s="459"/>
      <c r="J72" s="459"/>
      <c r="K72" s="206"/>
      <c r="L72" s="206"/>
      <c r="M72" s="542"/>
      <c r="N72" s="552" t="s">
        <v>264</v>
      </c>
      <c r="O72" s="553"/>
      <c r="P72" s="1106">
        <f>IFERROR((P71*0.9),"")</f>
        <v>372600</v>
      </c>
      <c r="Q72" s="1107"/>
      <c r="R72" s="554">
        <f>IFERROR((P72/$F$9),"")</f>
        <v>7973.4645837791577</v>
      </c>
      <c r="S72" s="548"/>
      <c r="T72" s="550"/>
      <c r="U72" s="206"/>
      <c r="V72" s="206"/>
      <c r="W72" s="206"/>
      <c r="X72" s="206"/>
      <c r="Y72" s="470" t="str">
        <f>IF($AV$39="Sim","Valor total sem vagas","Valor Total")</f>
        <v>Valor total sem vagas</v>
      </c>
      <c r="Z72" s="471"/>
      <c r="AA72" s="471"/>
      <c r="AB72" s="472"/>
      <c r="AC72" s="473">
        <f>ROUND(AC66*AC68,-3)</f>
        <v>414000</v>
      </c>
      <c r="AD72" s="422"/>
      <c r="AG72" s="208"/>
      <c r="AH72" s="208"/>
      <c r="AI72" s="208"/>
      <c r="AJ72" s="208"/>
      <c r="AK72" s="208"/>
      <c r="AL72" s="208"/>
      <c r="AM72" s="208"/>
      <c r="AN72" s="305"/>
      <c r="AO72" s="305"/>
      <c r="AP72" s="305"/>
      <c r="AQ72" s="426"/>
      <c r="AX72" s="206"/>
      <c r="AY72" s="422"/>
      <c r="AZ72" s="422"/>
      <c r="BA72" s="422"/>
      <c r="BB72" s="422"/>
      <c r="BC72" s="206"/>
      <c r="BD72" s="389">
        <v>20</v>
      </c>
      <c r="BE72" s="390">
        <v>2.5099999999999998</v>
      </c>
      <c r="BF72" s="391">
        <v>1.33</v>
      </c>
      <c r="BG72" s="391"/>
      <c r="BH72" s="206"/>
    </row>
    <row r="73" spans="1:60" ht="16.5" customHeight="1" outlineLevel="1">
      <c r="A73" s="448"/>
      <c r="B73" s="448"/>
      <c r="C73" s="455">
        <v>5</v>
      </c>
      <c r="D73" s="395"/>
      <c r="E73" s="457"/>
      <c r="F73" s="457"/>
      <c r="G73" s="457"/>
      <c r="H73" s="458"/>
      <c r="I73" s="459"/>
      <c r="J73" s="459"/>
      <c r="K73" s="206"/>
      <c r="L73" s="206"/>
      <c r="M73" s="542"/>
      <c r="N73" s="555" t="s">
        <v>262</v>
      </c>
      <c r="O73" s="556"/>
      <c r="P73" s="1106">
        <f>IFERROR((P71*1.1),"")</f>
        <v>455400.00000000006</v>
      </c>
      <c r="Q73" s="1107"/>
      <c r="R73" s="557">
        <f>IFERROR((P73/$F$9),"")</f>
        <v>9745.3456023967483</v>
      </c>
      <c r="S73" s="548"/>
      <c r="T73" s="550"/>
      <c r="U73" s="206"/>
      <c r="V73" s="206"/>
      <c r="W73" s="206"/>
      <c r="X73" s="206"/>
      <c r="Y73" s="461" t="s">
        <v>134</v>
      </c>
      <c r="Z73" s="462"/>
      <c r="AA73" s="463"/>
      <c r="AB73" s="464"/>
      <c r="AC73" s="570">
        <f>IFERROR(ROUND(AC72*0.9,-3),"")</f>
        <v>373000</v>
      </c>
      <c r="AD73" s="422"/>
      <c r="AG73" s="208"/>
      <c r="AH73" s="208"/>
      <c r="AI73" s="208"/>
      <c r="AJ73" s="208"/>
      <c r="AK73" s="208"/>
      <c r="AL73" s="208"/>
      <c r="AM73" s="208"/>
      <c r="AN73" s="305"/>
      <c r="AO73" s="305"/>
      <c r="AP73" s="305"/>
      <c r="AQ73" s="453"/>
      <c r="AX73" s="206"/>
      <c r="AY73" s="422"/>
      <c r="AZ73" s="422"/>
      <c r="BA73" s="422"/>
      <c r="BB73" s="422"/>
      <c r="BC73" s="206"/>
      <c r="BD73" s="206"/>
      <c r="BE73" s="206"/>
      <c r="BF73" s="206"/>
      <c r="BG73" s="206"/>
      <c r="BH73" s="206"/>
    </row>
    <row r="74" spans="1:60" ht="16.5" customHeight="1" outlineLevel="1" thickBot="1">
      <c r="A74" s="448"/>
      <c r="B74" s="448"/>
      <c r="C74" s="474">
        <v>6</v>
      </c>
      <c r="D74" s="475"/>
      <c r="E74" s="476"/>
      <c r="F74" s="476"/>
      <c r="G74" s="476"/>
      <c r="H74" s="477"/>
      <c r="I74" s="459"/>
      <c r="J74" s="459"/>
      <c r="K74" s="206"/>
      <c r="L74" s="206"/>
      <c r="M74" s="542"/>
      <c r="N74" s="558"/>
      <c r="O74" s="559"/>
      <c r="P74" s="559"/>
      <c r="Q74" s="559"/>
      <c r="R74" s="559"/>
      <c r="S74" s="559"/>
      <c r="T74" s="550"/>
      <c r="U74" s="206"/>
      <c r="V74" s="206"/>
      <c r="W74" s="206"/>
      <c r="X74" s="206"/>
      <c r="Y74" s="478" t="s">
        <v>133</v>
      </c>
      <c r="Z74" s="479"/>
      <c r="AA74" s="480"/>
      <c r="AB74" s="481"/>
      <c r="AC74" s="571">
        <f>IFERROR(ROUND(AC72*1.1,-3),"")</f>
        <v>455000</v>
      </c>
      <c r="AD74" s="422"/>
      <c r="AG74" s="208"/>
      <c r="AH74" s="208"/>
      <c r="AI74" s="208"/>
      <c r="AJ74" s="208"/>
      <c r="AK74" s="208"/>
      <c r="AL74" s="208"/>
      <c r="AM74" s="208"/>
      <c r="AN74" s="305"/>
      <c r="AO74" s="305"/>
      <c r="AP74" s="305"/>
      <c r="AQ74" s="482"/>
      <c r="AX74" s="206"/>
      <c r="AY74" s="422"/>
      <c r="AZ74" s="422"/>
      <c r="BA74" s="422"/>
      <c r="BB74" s="422"/>
      <c r="BC74" s="206"/>
      <c r="BD74" s="206"/>
      <c r="BE74" s="206"/>
      <c r="BF74" s="206"/>
      <c r="BG74" s="206"/>
      <c r="BH74" s="206"/>
    </row>
    <row r="75" spans="1:60" ht="16.5" customHeight="1" outlineLevel="1" thickBot="1">
      <c r="A75" s="448"/>
      <c r="B75" s="448"/>
      <c r="C75" s="448"/>
      <c r="D75" s="448"/>
      <c r="E75" s="459"/>
      <c r="F75" s="459"/>
      <c r="G75" s="459"/>
      <c r="H75" s="459"/>
      <c r="I75" s="483"/>
      <c r="J75" s="483"/>
      <c r="K75" s="206"/>
      <c r="L75" s="206"/>
      <c r="M75" s="560"/>
      <c r="N75" s="561"/>
      <c r="O75" s="562"/>
      <c r="P75" s="562"/>
      <c r="Q75" s="562"/>
      <c r="R75" s="562"/>
      <c r="S75" s="562"/>
      <c r="T75" s="563"/>
      <c r="U75" s="206"/>
      <c r="V75" s="206"/>
      <c r="W75" s="206"/>
      <c r="X75" s="206"/>
      <c r="Y75" s="445"/>
      <c r="Z75" s="446"/>
      <c r="AA75" s="446"/>
      <c r="AB75" s="446"/>
      <c r="AC75" s="447"/>
      <c r="AD75" s="422"/>
      <c r="AG75" s="208"/>
      <c r="AH75" s="208"/>
      <c r="AI75" s="208"/>
      <c r="AJ75" s="208"/>
      <c r="AK75" s="208"/>
      <c r="AL75" s="208"/>
      <c r="AM75" s="208"/>
      <c r="AN75" s="305"/>
      <c r="AO75" s="305"/>
      <c r="AP75" s="305"/>
      <c r="AQ75" s="484"/>
      <c r="AX75" s="206"/>
      <c r="AY75" s="422"/>
      <c r="AZ75" s="422"/>
      <c r="BA75" s="422"/>
      <c r="BB75" s="422"/>
      <c r="BC75" s="206"/>
      <c r="BD75" s="206"/>
      <c r="BE75" s="206"/>
      <c r="BF75" s="206"/>
      <c r="BG75" s="206"/>
      <c r="BH75" s="206"/>
    </row>
    <row r="76" spans="1:60" ht="16.5" customHeight="1" outlineLevel="1" thickBot="1">
      <c r="C76" s="448"/>
      <c r="D76" s="448"/>
      <c r="E76" s="483"/>
      <c r="F76" s="483"/>
      <c r="G76" s="483"/>
      <c r="H76" s="483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485"/>
      <c r="U76" s="206"/>
      <c r="V76" s="206"/>
      <c r="W76" s="206"/>
      <c r="X76" s="206"/>
      <c r="Y76" s="478" t="s">
        <v>130</v>
      </c>
      <c r="Z76" s="479"/>
      <c r="AA76" s="480"/>
      <c r="AB76" s="486">
        <f>L39</f>
        <v>1</v>
      </c>
      <c r="AC76" s="571">
        <f>AB76*N39</f>
        <v>0</v>
      </c>
      <c r="AD76" s="206"/>
      <c r="AG76" s="208"/>
      <c r="AH76" s="208"/>
      <c r="AI76" s="208"/>
      <c r="AJ76" s="208"/>
      <c r="AK76" s="208"/>
      <c r="AL76" s="208"/>
      <c r="AM76" s="208"/>
      <c r="AN76" s="305"/>
      <c r="AO76" s="305"/>
      <c r="AP76" s="305"/>
      <c r="AQ76" s="305"/>
      <c r="AX76" s="206"/>
      <c r="AY76" s="422"/>
      <c r="AZ76" s="422"/>
      <c r="BA76" s="422"/>
      <c r="BB76" s="422"/>
      <c r="BC76" s="206"/>
      <c r="BD76" s="206"/>
      <c r="BE76" s="206"/>
      <c r="BF76" s="206"/>
      <c r="BG76" s="206"/>
      <c r="BH76" s="206"/>
    </row>
    <row r="77" spans="1:60" ht="16.5" customHeight="1" outlineLevel="1">
      <c r="C77" s="1031" t="s">
        <v>128</v>
      </c>
      <c r="D77" s="1032"/>
      <c r="E77" s="1032"/>
      <c r="F77" s="487">
        <v>0.05</v>
      </c>
      <c r="G77" s="487">
        <f>F77+1%</f>
        <v>6.0000000000000005E-2</v>
      </c>
      <c r="H77" s="488">
        <f>G77+1%</f>
        <v>7.0000000000000007E-2</v>
      </c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485"/>
      <c r="U77" s="206"/>
      <c r="V77" s="206"/>
      <c r="W77" s="206"/>
      <c r="X77" s="206"/>
      <c r="Y77" s="489" t="s">
        <v>129</v>
      </c>
      <c r="Z77" s="490"/>
      <c r="AA77" s="491"/>
      <c r="AB77" s="492"/>
      <c r="AC77" s="572">
        <f>ROUND(AC76+AB72,-3)</f>
        <v>0</v>
      </c>
      <c r="AD77" s="422"/>
      <c r="AG77" s="208"/>
      <c r="AH77" s="208"/>
      <c r="AI77" s="208"/>
      <c r="AJ77" s="208"/>
      <c r="AK77" s="208"/>
      <c r="AL77" s="208"/>
      <c r="AM77" s="208"/>
      <c r="AN77" s="305"/>
      <c r="AO77" s="305"/>
      <c r="AP77" s="305"/>
      <c r="AQ77" s="305"/>
      <c r="AX77" s="206"/>
      <c r="AY77" s="206"/>
      <c r="AZ77" s="206"/>
      <c r="BA77" s="206"/>
      <c r="BB77" s="206"/>
      <c r="BC77" s="206"/>
      <c r="BD77" s="206"/>
      <c r="BE77" s="206"/>
      <c r="BF77" s="206"/>
      <c r="BG77" s="206"/>
      <c r="BH77" s="206"/>
    </row>
    <row r="78" spans="1:60" ht="29.1" customHeight="1" outlineLevel="1" thickBot="1">
      <c r="C78" s="1033" t="s">
        <v>124</v>
      </c>
      <c r="D78" s="1034"/>
      <c r="E78" s="1034"/>
      <c r="F78" s="564" t="str">
        <f>IFERROR((($G$67*12)/F77),"")</f>
        <v/>
      </c>
      <c r="G78" s="565" t="str">
        <f>IFERROR((($G$67*12)/G77),"")</f>
        <v/>
      </c>
      <c r="H78" s="566" t="str">
        <f>IFERROR((($G$67*12)/H77),"")</f>
        <v/>
      </c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485"/>
      <c r="U78" s="206"/>
      <c r="V78" s="206"/>
      <c r="W78" s="206"/>
      <c r="X78" s="206"/>
      <c r="Y78" s="493" t="s">
        <v>125</v>
      </c>
      <c r="Z78" s="494"/>
      <c r="AA78" s="495"/>
      <c r="AB78" s="496"/>
      <c r="AC78" s="573">
        <f>AC77/AC66</f>
        <v>0</v>
      </c>
      <c r="AD78" s="422"/>
      <c r="AG78" s="208"/>
      <c r="AH78" s="208"/>
      <c r="AI78" s="208"/>
      <c r="AJ78" s="208"/>
      <c r="AK78" s="208"/>
      <c r="AL78" s="208"/>
      <c r="AM78" s="208"/>
      <c r="AN78" s="208"/>
      <c r="AO78" s="208"/>
      <c r="AP78" s="208"/>
      <c r="AQ78" s="208"/>
      <c r="AR78" s="497"/>
      <c r="AS78" s="497"/>
      <c r="AT78" s="497"/>
      <c r="AU78" s="498"/>
      <c r="AV78" s="498"/>
      <c r="AW78" s="422"/>
      <c r="AX78" s="206"/>
      <c r="AY78" s="206"/>
      <c r="AZ78" s="206"/>
      <c r="BA78" s="206"/>
      <c r="BB78" s="206"/>
      <c r="BC78" s="206"/>
      <c r="BD78" s="206"/>
      <c r="BE78" s="206"/>
      <c r="BF78" s="206"/>
      <c r="BG78" s="206"/>
      <c r="BH78" s="206"/>
    </row>
    <row r="79" spans="1:60" ht="16.5" customHeight="1"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485"/>
      <c r="U79" s="206"/>
      <c r="V79" s="206"/>
      <c r="W79" s="206"/>
      <c r="X79" s="206"/>
      <c r="Y79" s="206"/>
      <c r="Z79" s="206"/>
      <c r="AA79" s="206"/>
      <c r="AB79" s="206"/>
      <c r="AG79" s="208"/>
      <c r="AH79" s="208"/>
      <c r="AI79" s="208"/>
      <c r="AJ79" s="208"/>
      <c r="AK79" s="208"/>
      <c r="AL79" s="208"/>
      <c r="AM79" s="208"/>
      <c r="AN79" s="305"/>
      <c r="AO79" s="305"/>
      <c r="AP79" s="305"/>
      <c r="AQ79" s="305"/>
      <c r="AR79" s="499"/>
      <c r="AS79" s="499"/>
      <c r="AT79" s="499"/>
      <c r="AU79" s="500"/>
      <c r="AV79" s="500"/>
      <c r="AW79" s="501"/>
      <c r="AX79" s="206"/>
      <c r="AY79" s="422"/>
      <c r="AZ79" s="422"/>
      <c r="BA79" s="422"/>
      <c r="BB79" s="422"/>
      <c r="BC79" s="206"/>
      <c r="BD79" s="206"/>
      <c r="BE79" s="206"/>
      <c r="BF79" s="206"/>
      <c r="BG79" s="206"/>
      <c r="BH79" s="206"/>
    </row>
    <row r="80" spans="1:60"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485"/>
      <c r="U80" s="206"/>
      <c r="V80" s="206"/>
      <c r="W80" s="206"/>
      <c r="X80" s="206"/>
      <c r="Y80" s="206"/>
      <c r="Z80" s="206"/>
      <c r="AA80" s="206"/>
      <c r="AB80" s="206"/>
      <c r="AG80" s="208"/>
      <c r="AH80" s="208"/>
      <c r="AI80" s="208"/>
      <c r="AJ80" s="208"/>
      <c r="AK80" s="208"/>
      <c r="AL80" s="208"/>
      <c r="AM80" s="208"/>
      <c r="AN80" s="208"/>
      <c r="AO80" s="208"/>
      <c r="AP80" s="208"/>
      <c r="AQ80" s="208"/>
      <c r="AR80" s="208"/>
      <c r="AS80" s="208"/>
      <c r="AT80" s="208"/>
      <c r="AU80" s="208"/>
      <c r="AV80" s="208"/>
      <c r="AW80" s="422"/>
      <c r="AX80" s="206"/>
      <c r="AY80" s="422"/>
      <c r="AZ80" s="422"/>
      <c r="BA80" s="422"/>
      <c r="BB80" s="422"/>
      <c r="BC80" s="206"/>
      <c r="BD80" s="206"/>
      <c r="BE80" s="206"/>
      <c r="BF80" s="206"/>
      <c r="BG80" s="206"/>
      <c r="BH80" s="206"/>
    </row>
    <row r="81" spans="3:60"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485"/>
      <c r="U81" s="206"/>
      <c r="V81" s="206"/>
      <c r="W81" s="206"/>
      <c r="X81" s="206"/>
      <c r="Y81" s="206"/>
      <c r="Z81" s="206"/>
      <c r="AA81" s="206"/>
      <c r="AB81" s="206"/>
      <c r="AG81" s="208"/>
      <c r="AH81" s="208"/>
      <c r="AI81" s="208"/>
      <c r="AJ81" s="208"/>
      <c r="AK81" s="208"/>
      <c r="AL81" s="208"/>
      <c r="AM81" s="208"/>
      <c r="AN81" s="208"/>
      <c r="AO81" s="208"/>
      <c r="AP81" s="208"/>
      <c r="AQ81" s="208"/>
      <c r="AR81" s="208"/>
      <c r="AS81" s="208"/>
      <c r="AT81" s="208"/>
      <c r="AU81" s="208"/>
      <c r="AV81" s="208"/>
      <c r="AW81" s="206"/>
      <c r="AX81" s="206"/>
      <c r="AY81" s="422"/>
      <c r="AZ81" s="422"/>
      <c r="BA81" s="422"/>
      <c r="BB81" s="422"/>
      <c r="BC81" s="206"/>
      <c r="BD81" s="206"/>
      <c r="BE81" s="206"/>
      <c r="BF81" s="206"/>
      <c r="BG81" s="206"/>
      <c r="BH81" s="206"/>
    </row>
    <row r="82" spans="3:60"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485"/>
      <c r="U82" s="206"/>
      <c r="V82" s="206"/>
      <c r="W82" s="206"/>
      <c r="X82" s="206"/>
      <c r="Y82" s="206"/>
      <c r="Z82" s="206"/>
      <c r="AA82" s="206"/>
      <c r="AB82" s="206"/>
      <c r="AG82" s="208"/>
      <c r="AH82" s="208"/>
      <c r="AI82" s="208"/>
      <c r="AJ82" s="208"/>
      <c r="AK82" s="208"/>
      <c r="AL82" s="208"/>
      <c r="AM82" s="208"/>
      <c r="AN82" s="208"/>
      <c r="AO82" s="208"/>
      <c r="AP82" s="208"/>
      <c r="AQ82" s="208"/>
      <c r="AR82" s="208"/>
      <c r="AS82" s="208"/>
      <c r="AT82" s="208"/>
      <c r="AU82" s="208"/>
      <c r="AV82" s="208"/>
      <c r="AW82" s="206"/>
      <c r="AX82" s="206"/>
      <c r="AY82" s="422"/>
      <c r="AZ82" s="422"/>
      <c r="BA82" s="422"/>
      <c r="BB82" s="422"/>
      <c r="BC82" s="206"/>
      <c r="BD82" s="206"/>
      <c r="BE82" s="206"/>
      <c r="BF82" s="206"/>
      <c r="BG82" s="206"/>
      <c r="BH82" s="206"/>
    </row>
    <row r="83" spans="3:60">
      <c r="AG83" s="208"/>
      <c r="AH83" s="208"/>
      <c r="AI83" s="208"/>
      <c r="AJ83" s="208"/>
      <c r="AK83" s="208"/>
      <c r="AL83" s="208"/>
      <c r="AM83" s="208"/>
      <c r="AN83" s="305"/>
      <c r="AO83" s="305"/>
      <c r="AP83" s="305"/>
      <c r="AQ83" s="305"/>
      <c r="AR83" s="208"/>
      <c r="AS83" s="208"/>
      <c r="AT83" s="208"/>
      <c r="AU83" s="208"/>
      <c r="AV83" s="208"/>
      <c r="AW83" s="207"/>
      <c r="AY83" s="422"/>
      <c r="AZ83" s="422"/>
      <c r="BA83" s="422"/>
      <c r="BB83" s="422"/>
    </row>
    <row r="84" spans="3:60">
      <c r="AG84" s="208"/>
      <c r="AH84" s="208"/>
      <c r="AI84" s="208"/>
      <c r="AJ84" s="208"/>
      <c r="AK84" s="208"/>
      <c r="AL84" s="208"/>
      <c r="AM84" s="208"/>
      <c r="AN84" s="208"/>
      <c r="AO84" s="208"/>
      <c r="AP84" s="208"/>
      <c r="AQ84" s="208"/>
      <c r="AR84" s="208"/>
      <c r="AS84" s="208"/>
      <c r="AT84" s="208"/>
      <c r="AU84" s="208"/>
      <c r="AV84" s="503"/>
      <c r="AW84" s="207"/>
      <c r="AY84" s="422"/>
      <c r="AZ84" s="422"/>
      <c r="BA84" s="422"/>
      <c r="BB84" s="422"/>
    </row>
  </sheetData>
  <sheetProtection formatCells="0" formatColumns="0" formatRows="0" insertColumns="0" insertRows="0" insertHyperlinks="0" sort="0" autoFilter="0" pivotTables="0"/>
  <mergeCells count="90">
    <mergeCell ref="P65:Q65"/>
    <mergeCell ref="N65:O65"/>
    <mergeCell ref="P68:Q68"/>
    <mergeCell ref="N68:O68"/>
    <mergeCell ref="R66:S66"/>
    <mergeCell ref="P66:Q66"/>
    <mergeCell ref="N66:O66"/>
    <mergeCell ref="R65:S65"/>
    <mergeCell ref="P73:Q73"/>
    <mergeCell ref="P72:Q72"/>
    <mergeCell ref="P71:Q71"/>
    <mergeCell ref="N71:O71"/>
    <mergeCell ref="P69:R69"/>
    <mergeCell ref="N69:O69"/>
    <mergeCell ref="AP1:AS1"/>
    <mergeCell ref="T2:Y2"/>
    <mergeCell ref="F3:H3"/>
    <mergeCell ref="T3:Y16"/>
    <mergeCell ref="F4:H4"/>
    <mergeCell ref="F5:H5"/>
    <mergeCell ref="N64:Q64"/>
    <mergeCell ref="K16:M16"/>
    <mergeCell ref="N16:O16"/>
    <mergeCell ref="F6:H6"/>
    <mergeCell ref="F7:H7"/>
    <mergeCell ref="F8:H8"/>
    <mergeCell ref="N17:O17"/>
    <mergeCell ref="K20:M20"/>
    <mergeCell ref="N20:O20"/>
    <mergeCell ref="K21:M21"/>
    <mergeCell ref="N21:O21"/>
    <mergeCell ref="K19:M19"/>
    <mergeCell ref="N19:O19"/>
    <mergeCell ref="K17:M17"/>
    <mergeCell ref="K24:L24"/>
    <mergeCell ref="M24:N24"/>
    <mergeCell ref="K25:L25"/>
    <mergeCell ref="M25:N25"/>
    <mergeCell ref="C34:K34"/>
    <mergeCell ref="K27:N27"/>
    <mergeCell ref="K28:N31"/>
    <mergeCell ref="K26:L26"/>
    <mergeCell ref="M26:N26"/>
    <mergeCell ref="AD35:AE35"/>
    <mergeCell ref="A36:A37"/>
    <mergeCell ref="B36:B37"/>
    <mergeCell ref="C36:C37"/>
    <mergeCell ref="D36:D37"/>
    <mergeCell ref="E36:E37"/>
    <mergeCell ref="F36:F37"/>
    <mergeCell ref="X36:Y36"/>
    <mergeCell ref="G36:G37"/>
    <mergeCell ref="H36:H37"/>
    <mergeCell ref="I36:I37"/>
    <mergeCell ref="J36:J37"/>
    <mergeCell ref="K36:K37"/>
    <mergeCell ref="L36:L37"/>
    <mergeCell ref="AC36:AC37"/>
    <mergeCell ref="T36:V36"/>
    <mergeCell ref="AD38:AE38"/>
    <mergeCell ref="M36:M37"/>
    <mergeCell ref="BF50:BG50"/>
    <mergeCell ref="AL36:AL37"/>
    <mergeCell ref="AN36:AN37"/>
    <mergeCell ref="AO36:AO37"/>
    <mergeCell ref="AP36:AS36"/>
    <mergeCell ref="AT36:AT37"/>
    <mergeCell ref="AU36:AU37"/>
    <mergeCell ref="AV36:AV37"/>
    <mergeCell ref="BD46:BG46"/>
    <mergeCell ref="BD49:BE49"/>
    <mergeCell ref="BF49:BG49"/>
    <mergeCell ref="AH36:AK36"/>
    <mergeCell ref="N36:N37"/>
    <mergeCell ref="CD38:CP38"/>
    <mergeCell ref="Y64:Z64"/>
    <mergeCell ref="C77:E77"/>
    <mergeCell ref="C78:E78"/>
    <mergeCell ref="AE36:AE37"/>
    <mergeCell ref="AF36:AF37"/>
    <mergeCell ref="AD36:AD37"/>
    <mergeCell ref="C68:H68"/>
    <mergeCell ref="C64:C65"/>
    <mergeCell ref="D64:D65"/>
    <mergeCell ref="E64:E65"/>
    <mergeCell ref="F64:F65"/>
    <mergeCell ref="G64:G65"/>
    <mergeCell ref="H64:H65"/>
    <mergeCell ref="C66:H66"/>
    <mergeCell ref="O36:R36"/>
  </mergeCells>
  <conditionalFormatting sqref="F39">
    <cfRule type="cellIs" dxfId="17" priority="17" stopIfTrue="1" operator="equal">
      <formula>#REF!</formula>
    </cfRule>
  </conditionalFormatting>
  <conditionalFormatting sqref="AD39:AF39">
    <cfRule type="cellIs" dxfId="16" priority="16" stopIfTrue="1" operator="equal">
      <formula>#REF!</formula>
    </cfRule>
  </conditionalFormatting>
  <conditionalFormatting sqref="AC39:AC40">
    <cfRule type="cellIs" dxfId="15" priority="15" stopIfTrue="1" operator="equal">
      <formula>#REF!</formula>
    </cfRule>
  </conditionalFormatting>
  <conditionalFormatting sqref="AN39:AP39">
    <cfRule type="cellIs" dxfId="14" priority="14" stopIfTrue="1" operator="equal">
      <formula>#REF!</formula>
    </cfRule>
  </conditionalFormatting>
  <conditionalFormatting sqref="AW39">
    <cfRule type="cellIs" dxfId="13" priority="12" stopIfTrue="1" operator="equal">
      <formula>#REF!</formula>
    </cfRule>
  </conditionalFormatting>
  <conditionalFormatting sqref="C39:E39 AD40:AE40 G39:L39 AT39:AU39">
    <cfRule type="cellIs" dxfId="12" priority="18" stopIfTrue="1" operator="equal">
      <formula>#REF!</formula>
    </cfRule>
  </conditionalFormatting>
  <conditionalFormatting sqref="C67:H67">
    <cfRule type="cellIs" dxfId="11" priority="11" stopIfTrue="1" operator="equal">
      <formula>#REF!</formula>
    </cfRule>
  </conditionalFormatting>
  <conditionalFormatting sqref="AV39">
    <cfRule type="cellIs" dxfId="10" priority="10" stopIfTrue="1" operator="equal">
      <formula>#REF!</formula>
    </cfRule>
  </conditionalFormatting>
  <conditionalFormatting sqref="AQ39:AS39">
    <cfRule type="cellIs" dxfId="9" priority="9" stopIfTrue="1" operator="equal">
      <formula>#REF!</formula>
    </cfRule>
  </conditionalFormatting>
  <conditionalFormatting sqref="AW41:AW62">
    <cfRule type="containsText" dxfId="8" priority="6" operator="containsText" text="ok">
      <formula>NOT(ISERROR(SEARCH("ok",AW41)))</formula>
    </cfRule>
    <cfRule type="containsText" dxfId="7" priority="8" operator="containsText" text="DELETAR">
      <formula>NOT(ISERROR(SEARCH("DELETAR",AW41)))</formula>
    </cfRule>
  </conditionalFormatting>
  <conditionalFormatting sqref="AW41:AW62">
    <cfRule type="containsText" dxfId="6" priority="7" operator="containsText" text="VOLTA">
      <formula>NOT(ISERROR(SEARCH("VOLTA",AW41)))</formula>
    </cfRule>
  </conditionalFormatting>
  <conditionalFormatting sqref="E41">
    <cfRule type="cellIs" dxfId="5" priority="1" stopIfTrue="1" operator="equal">
      <formula>#REF!</formula>
    </cfRule>
  </conditionalFormatting>
  <dataValidations disablePrompts="1" count="2">
    <dataValidation type="list" allowBlank="1" showInputMessage="1" showErrorMessage="1" sqref="H9" xr:uid="{6E670401-B9C0-4C05-9585-18F25F21E957}">
      <formula1>"Recente, Antiga"</formula1>
    </dataValidation>
    <dataValidation type="list" allowBlank="1" showInputMessage="1" showErrorMessage="1" sqref="F25" xr:uid="{A0F1D232-0E46-4770-9E5D-DBD7F2AC0AEB}">
      <formula1>$BJ$50:$BK$50</formula1>
    </dataValidation>
  </dataValidations>
  <hyperlinks>
    <hyperlink ref="AA43" r:id="rId1" xr:uid="{31269CD4-2F63-41B8-9815-E6E83A57542F}"/>
    <hyperlink ref="AA41" r:id="rId2" xr:uid="{D3A58F76-185C-4E1E-8EF5-0C1FEE8A6F6A}"/>
    <hyperlink ref="AA42" r:id="rId3" xr:uid="{E451C17E-E90D-4278-8FC8-17BFDE4949E5}"/>
    <hyperlink ref="AA44" r:id="rId4" xr:uid="{5097A989-F34E-4D27-B6D4-9E15E1781B55}"/>
  </hyperlinks>
  <pageMargins left="0.511811024" right="0.511811024" top="0.78740157499999996" bottom="0.78740157499999996" header="0.31496062000000002" footer="0.31496062000000002"/>
  <pageSetup paperSize="9" orientation="portrait" r:id="rId5"/>
  <ignoredErrors>
    <ignoredError sqref="M41:M60 P41:P60 Q41:Q60 G67 G78:H78 G77:H77 D67:E67 R71:R73 P72:Q73 S65 S66 R65 R66 R68 P68 P65:Q66 AC66:AC70 AC73:AC74 AC75:AC78 AB76 Q71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crawler">
                <anchor moveWithCells="1" sizeWithCells="1">
                  <from>
                    <xdr:col>8</xdr:col>
                    <xdr:colOff>400050</xdr:colOff>
                    <xdr:row>64</xdr:row>
                    <xdr:rowOff>104775</xdr:rowOff>
                  </from>
                  <to>
                    <xdr:col>11</xdr:col>
                    <xdr:colOff>133350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Crawler_1">
                <anchor moveWithCells="1" sizeWithCells="1">
                  <from>
                    <xdr:col>8</xdr:col>
                    <xdr:colOff>400050</xdr:colOff>
                    <xdr:row>68</xdr:row>
                    <xdr:rowOff>114300</xdr:rowOff>
                  </from>
                  <to>
                    <xdr:col>11</xdr:col>
                    <xdr:colOff>133350</xdr:colOff>
                    <xdr:row>72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EB076-26A1-4036-BEC6-D248CAE6146B}">
  <sheetPr codeName="Sheet11">
    <tabColor rgb="FFC9A4E4"/>
  </sheetPr>
  <dimension ref="A1:S154"/>
  <sheetViews>
    <sheetView showGridLines="0" zoomScale="70" zoomScaleNormal="70" workbookViewId="0">
      <selection activeCell="B7" sqref="B7"/>
    </sheetView>
  </sheetViews>
  <sheetFormatPr defaultRowHeight="14.25" customHeight="1"/>
  <cols>
    <col min="1" max="1" width="28.42578125" customWidth="1"/>
    <col min="2" max="2" width="16.5703125" customWidth="1"/>
    <col min="3" max="3" width="9.42578125" bestFit="1" customWidth="1"/>
    <col min="5" max="5" width="32.5703125" customWidth="1"/>
    <col min="6" max="6" width="14.42578125" bestFit="1" customWidth="1"/>
    <col min="7" max="7" width="13.42578125" bestFit="1" customWidth="1"/>
    <col min="9" max="9" width="34.5703125" customWidth="1"/>
    <col min="10" max="10" width="13.5703125" customWidth="1"/>
    <col min="12" max="12" width="9.42578125" customWidth="1"/>
    <col min="13" max="13" width="16.5703125" customWidth="1"/>
    <col min="14" max="17" width="12.5703125" customWidth="1"/>
    <col min="19" max="19" width="11" bestFit="1" customWidth="1"/>
    <col min="20" max="20" width="12.42578125" customWidth="1"/>
    <col min="21" max="21" width="10" customWidth="1"/>
  </cols>
  <sheetData>
    <row r="1" spans="1:18" ht="15">
      <c r="E1" s="99"/>
      <c r="F1" s="99"/>
      <c r="G1" s="99"/>
    </row>
    <row r="2" spans="1:18" ht="15">
      <c r="B2" s="204" t="s">
        <v>617</v>
      </c>
      <c r="E2" s="134" t="s">
        <v>616</v>
      </c>
      <c r="F2" s="134" t="s">
        <v>612</v>
      </c>
      <c r="G2" s="134" t="s">
        <v>153</v>
      </c>
      <c r="I2" s="134" t="s">
        <v>615</v>
      </c>
      <c r="J2" s="134" t="s">
        <v>612</v>
      </c>
      <c r="K2" s="134" t="s">
        <v>153</v>
      </c>
    </row>
    <row r="3" spans="1:18" ht="15">
      <c r="B3" s="577" t="s">
        <v>122</v>
      </c>
      <c r="E3" s="112" t="s">
        <v>601</v>
      </c>
      <c r="F3" s="169">
        <v>7.9000000000000008E-3</v>
      </c>
      <c r="G3" s="169">
        <v>8.3999999999999995E-3</v>
      </c>
      <c r="I3" s="112" t="s">
        <v>601</v>
      </c>
      <c r="J3" s="169">
        <v>7.9000000000000008E-3</v>
      </c>
      <c r="K3" s="169">
        <v>8.2000000000000007E-3</v>
      </c>
    </row>
    <row r="4" spans="1:18" ht="15">
      <c r="E4" s="112" t="s">
        <v>166</v>
      </c>
      <c r="F4" s="169">
        <v>8.6999999999999994E-3</v>
      </c>
      <c r="G4" s="169">
        <v>9.1000000000000004E-3</v>
      </c>
      <c r="I4" s="112" t="s">
        <v>166</v>
      </c>
      <c r="J4" s="169">
        <v>8.3999999999999995E-3</v>
      </c>
      <c r="K4" s="169">
        <v>8.6999999999999994E-3</v>
      </c>
    </row>
    <row r="5" spans="1:18" ht="15">
      <c r="A5" s="173" t="s">
        <v>614</v>
      </c>
      <c r="B5" s="173" t="str">
        <f ca="1">INDEX($M$16:$R$21,MATCH($K$22,$M$16:$M$21,0),MATCH($C$23,$M$16:$R$16,0))</f>
        <v>B+</v>
      </c>
      <c r="E5" s="112" t="s">
        <v>160</v>
      </c>
      <c r="F5" s="169">
        <v>9.4999999999999998E-3</v>
      </c>
      <c r="G5" s="169">
        <v>9.9000000000000008E-3</v>
      </c>
      <c r="I5" s="112" t="s">
        <v>160</v>
      </c>
      <c r="J5" s="509">
        <v>8.8999999999999999E-3</v>
      </c>
      <c r="K5" s="169">
        <v>9.1999999999999998E-3</v>
      </c>
    </row>
    <row r="6" spans="1:18" ht="15.75" thickBot="1">
      <c r="A6" s="173" t="s">
        <v>613</v>
      </c>
      <c r="B6" s="942" t="s">
        <v>160</v>
      </c>
      <c r="C6" s="578" t="s">
        <v>153</v>
      </c>
      <c r="E6" s="112" t="s">
        <v>596</v>
      </c>
      <c r="F6" s="169">
        <v>0.01</v>
      </c>
      <c r="G6" s="169">
        <v>1.0500000000000001E-2</v>
      </c>
      <c r="I6" s="112" t="s">
        <v>596</v>
      </c>
      <c r="J6" s="169">
        <v>9.4999999999999998E-3</v>
      </c>
      <c r="K6" s="169">
        <v>9.9000000000000008E-3</v>
      </c>
    </row>
    <row r="7" spans="1:18" ht="15.75" thickBot="1">
      <c r="A7" s="172" t="s">
        <v>611</v>
      </c>
      <c r="B7" s="171">
        <f>IF($B$3="SIM",(INDEX(I2:K10,MATCH(B6,I2:I10,0),MATCH(C6,I2:K2,0))),INDEX(E2:G10,MATCH(B6,E2:E10,0),MATCH(C6,E2:G2,0)))</f>
        <v>9.1999999999999998E-3</v>
      </c>
      <c r="E7" s="112" t="s">
        <v>155</v>
      </c>
      <c r="F7" s="169">
        <v>1.0699999999999999E-2</v>
      </c>
      <c r="G7" s="169">
        <v>1.0999999999999999E-2</v>
      </c>
      <c r="I7" s="112" t="s">
        <v>155</v>
      </c>
      <c r="J7" s="169">
        <v>0.01</v>
      </c>
      <c r="K7" s="169">
        <v>1.0500000000000001E-2</v>
      </c>
    </row>
    <row r="8" spans="1:18" ht="15.75" thickTop="1">
      <c r="E8" s="112" t="s">
        <v>593</v>
      </c>
      <c r="F8" s="169">
        <v>1.12E-2</v>
      </c>
      <c r="G8" s="169">
        <v>1.15E-2</v>
      </c>
      <c r="I8" s="112" t="s">
        <v>593</v>
      </c>
      <c r="J8" s="169">
        <v>1.09E-2</v>
      </c>
      <c r="K8" s="169">
        <v>1.15E-2</v>
      </c>
    </row>
    <row r="9" spans="1:18" ht="15">
      <c r="E9" s="112" t="s">
        <v>152</v>
      </c>
      <c r="F9" s="169">
        <v>1.1900000000000001E-2</v>
      </c>
      <c r="G9" s="169">
        <v>1.2500000000000001E-2</v>
      </c>
      <c r="I9" s="112" t="s">
        <v>152</v>
      </c>
      <c r="J9" s="169">
        <v>1.1900000000000001E-2</v>
      </c>
      <c r="K9" s="169">
        <v>1.2500000000000001E-2</v>
      </c>
    </row>
    <row r="10" spans="1:18" ht="15">
      <c r="E10" s="170" t="s">
        <v>148</v>
      </c>
      <c r="F10" s="169">
        <v>1.2999999999999999E-2</v>
      </c>
      <c r="G10" s="169">
        <v>1.3899999999999999E-2</v>
      </c>
      <c r="I10" s="170" t="s">
        <v>148</v>
      </c>
      <c r="J10" s="169">
        <v>1.2999999999999999E-2</v>
      </c>
      <c r="K10" s="169">
        <v>1.3899999999999999E-2</v>
      </c>
    </row>
    <row r="11" spans="1:18" ht="15">
      <c r="E11" s="168" t="s">
        <v>610</v>
      </c>
      <c r="I11" s="168" t="s">
        <v>609</v>
      </c>
    </row>
    <row r="12" spans="1:18" ht="15"/>
    <row r="13" spans="1:18" ht="20.100000000000001" customHeight="1"/>
    <row r="14" spans="1:18" s="158" customFormat="1" ht="23.1" customHeight="1">
      <c r="A14" s="164" t="s">
        <v>608</v>
      </c>
      <c r="B14" s="167"/>
      <c r="C14" s="165"/>
      <c r="E14" s="164" t="s">
        <v>607</v>
      </c>
      <c r="F14" s="166"/>
      <c r="G14" s="165"/>
      <c r="I14" s="164" t="s">
        <v>606</v>
      </c>
      <c r="J14" s="163"/>
      <c r="K14" s="162"/>
      <c r="M14" s="161" t="s">
        <v>605</v>
      </c>
      <c r="N14" s="160"/>
      <c r="O14" s="160"/>
      <c r="P14" s="159"/>
      <c r="Q14" s="159"/>
      <c r="R14" s="159"/>
    </row>
    <row r="15" spans="1:18" ht="14.25" customHeight="1">
      <c r="A15" s="143" t="s">
        <v>562</v>
      </c>
      <c r="B15" s="142">
        <f ca="1">Inputs!F29</f>
        <v>61</v>
      </c>
      <c r="C15" s="157">
        <f ca="1">B79</f>
        <v>7.0666666666666664</v>
      </c>
      <c r="E15" s="143" t="s">
        <v>588</v>
      </c>
      <c r="F15" s="145">
        <f ca="1">Inputs!W16</f>
        <v>8.656213508662057E-2</v>
      </c>
      <c r="G15" s="144">
        <f ca="1">F36</f>
        <v>29.229190997044753</v>
      </c>
      <c r="I15" s="143" t="s">
        <v>604</v>
      </c>
      <c r="J15" s="145" t="str">
        <f>Inputs!D47</f>
        <v>SP</v>
      </c>
      <c r="K15" s="144">
        <f>IFERROR(VLOOKUP(J15,$I$30:$J$56,2,0),"")</f>
        <v>20</v>
      </c>
      <c r="M15" s="99"/>
      <c r="N15" s="156" t="s">
        <v>603</v>
      </c>
      <c r="O15" s="156"/>
      <c r="P15" s="156"/>
      <c r="Q15" s="156"/>
      <c r="R15" s="156"/>
    </row>
    <row r="16" spans="1:18" ht="14.25" customHeight="1">
      <c r="A16" s="143" t="s">
        <v>516</v>
      </c>
      <c r="B16" s="142" t="str">
        <f>Inputs!O11</f>
        <v>Sim</v>
      </c>
      <c r="C16" s="148">
        <f>IFERROR(VLOOKUP(B16,$A$70:$B$71,2,0),"")</f>
        <v>5</v>
      </c>
      <c r="E16" s="143" t="s">
        <v>580</v>
      </c>
      <c r="F16" s="508">
        <f>(Inputs!J22*Inputs!O15)+(Inputs!J23*Inputs!Q15)+(Inputs!J24*Inputs!O23)+(Inputs!J25*Inputs!Q23)+(Inputs!J26*Inputs!O31)+(Inputs!J27*Inputs!Q31)</f>
        <v>940</v>
      </c>
      <c r="G16" s="144">
        <f>F45</f>
        <v>27.6</v>
      </c>
      <c r="I16" s="143" t="s">
        <v>232</v>
      </c>
      <c r="J16" s="145" t="str">
        <f>Inputs!E49</f>
        <v>Bom</v>
      </c>
      <c r="K16" s="147">
        <f>IFERROR(VLOOKUP(J16,$I$64:$J$68,2,0),"")</f>
        <v>5</v>
      </c>
      <c r="M16" s="154" t="s">
        <v>602</v>
      </c>
      <c r="N16" s="153" t="s">
        <v>166</v>
      </c>
      <c r="O16" s="152" t="s">
        <v>160</v>
      </c>
      <c r="P16" s="151" t="s">
        <v>155</v>
      </c>
      <c r="Q16" s="151" t="s">
        <v>152</v>
      </c>
      <c r="R16" s="151" t="s">
        <v>148</v>
      </c>
    </row>
    <row r="17" spans="1:18" ht="14.25" customHeight="1">
      <c r="A17" s="143" t="s">
        <v>521</v>
      </c>
      <c r="B17" s="142" t="str">
        <f>Inputs!O10</f>
        <v xml:space="preserve">Casado </v>
      </c>
      <c r="C17" s="150">
        <f>IFERROR(VLOOKUP(Inputs!O10,$A$63:$B$67,2,0),"")</f>
        <v>15</v>
      </c>
      <c r="E17" s="143" t="s">
        <v>633</v>
      </c>
      <c r="F17" s="155" t="str">
        <f>Inputs!Q7</f>
        <v>Não</v>
      </c>
      <c r="G17" s="144">
        <f>VLOOKUP(F17,$E$66:$F$67,2,0)</f>
        <v>10</v>
      </c>
      <c r="I17" s="143" t="s">
        <v>231</v>
      </c>
      <c r="J17" s="145" t="str">
        <f>IF(Inputs!E46&lt;200000,"Pequena",IF(Inputs!E46&lt;500000,"Média",IF(Inputs!E46&gt;500000,"Grande","Grande")))</f>
        <v>Grande</v>
      </c>
      <c r="K17" s="146">
        <f>IFERROR(VLOOKUP(J17,$I$59:$J$61,2,0),"")</f>
        <v>10</v>
      </c>
      <c r="M17" s="140" t="s">
        <v>166</v>
      </c>
      <c r="N17" s="112" t="s">
        <v>601</v>
      </c>
      <c r="O17" s="112" t="s">
        <v>166</v>
      </c>
      <c r="P17" s="112" t="s">
        <v>160</v>
      </c>
      <c r="Q17" s="112" t="s">
        <v>155</v>
      </c>
      <c r="R17" s="112" t="s">
        <v>152</v>
      </c>
    </row>
    <row r="18" spans="1:18" ht="14.25" customHeight="1">
      <c r="A18" s="143" t="s">
        <v>589</v>
      </c>
      <c r="B18" s="149" t="str">
        <f>Inputs!O12</f>
        <v>Médio</v>
      </c>
      <c r="C18" s="148">
        <f>IFERROR(VLOOKUP(B18,$A$30:$B$33,2,0),"")</f>
        <v>15</v>
      </c>
      <c r="E18" s="143" t="s">
        <v>426</v>
      </c>
      <c r="F18" s="145">
        <f>SUM(Inputs!Y51,Inputs!Y62,Inputs!Y73,Inputs!Y84,Inputs!Y95,Inputs!Y106)/Inputs!W12</f>
        <v>1.2127659574468085E-4</v>
      </c>
      <c r="G18" s="144">
        <f>F78</f>
        <v>19.983829787234043</v>
      </c>
      <c r="I18" s="143" t="s">
        <v>600</v>
      </c>
      <c r="J18" s="145" t="str">
        <f>Inputs!H50</f>
        <v>Bom</v>
      </c>
      <c r="K18" s="146">
        <f>IFERROR(VLOOKUP(J18,$I$150:$J$154,2,0),"")</f>
        <v>5</v>
      </c>
      <c r="M18" s="140" t="s">
        <v>160</v>
      </c>
      <c r="N18" s="112" t="s">
        <v>599</v>
      </c>
      <c r="O18" s="112" t="s">
        <v>160</v>
      </c>
      <c r="P18" s="112" t="s">
        <v>596</v>
      </c>
      <c r="Q18" s="112" t="s">
        <v>155</v>
      </c>
      <c r="R18" s="112" t="s">
        <v>152</v>
      </c>
    </row>
    <row r="19" spans="1:18" ht="13.5" customHeight="1">
      <c r="A19" s="143" t="s">
        <v>508</v>
      </c>
      <c r="B19" s="142" t="str">
        <f>Inputs!O13</f>
        <v>Liberal/Empresário</v>
      </c>
      <c r="C19" s="146">
        <f>IFERROR(VLOOKUP(B19,$A$40:$B$43,2,0),"")</f>
        <v>5</v>
      </c>
      <c r="E19" s="143" t="s">
        <v>560</v>
      </c>
      <c r="F19" s="145">
        <f>SUM(Inputs!Z51,Inputs!AG51:AI51,Inputs!Z62,Inputs!AG62:AI62,Inputs!Z73,Inputs!AG73:AI73,Inputs!Z84,Inputs!AG84:AI84,Inputs!Z95,Inputs!AG95:AI95,Inputs!Z106,Inputs!AG106:AI106)/Inputs!W12</f>
        <v>0</v>
      </c>
      <c r="G19" s="144">
        <f>F85</f>
        <v>20</v>
      </c>
      <c r="I19" s="143" t="s">
        <v>598</v>
      </c>
      <c r="J19" s="145" t="str">
        <f>Inputs!D44</f>
        <v>Sala Comercial</v>
      </c>
      <c r="K19" s="147">
        <f>IFERROR(VLOOKUP(J19,I73:J77,2,0),"")</f>
        <v>10</v>
      </c>
      <c r="M19" s="140" t="s">
        <v>155</v>
      </c>
      <c r="N19" s="112" t="s">
        <v>597</v>
      </c>
      <c r="O19" s="112" t="s">
        <v>596</v>
      </c>
      <c r="P19" s="112" t="s">
        <v>155</v>
      </c>
      <c r="Q19" s="112" t="s">
        <v>152</v>
      </c>
      <c r="R19" s="112" t="s">
        <v>148</v>
      </c>
    </row>
    <row r="20" spans="1:18" ht="14.25" customHeight="1">
      <c r="A20" s="205" t="s">
        <v>635</v>
      </c>
      <c r="B20" s="576"/>
      <c r="C20" s="146" t="str">
        <f>IFERROR(VLOOKUP(B20,A36:B37,2,0),"")</f>
        <v/>
      </c>
      <c r="E20" s="143" t="s">
        <v>595</v>
      </c>
      <c r="F20" s="145">
        <f>IFERROR(SUM(Inputs!AL44,Inputs!AL55,Inputs!AL66,Inputs!AL77,Inputs!AL88,Inputs!AL99)/(Inputs!AA23+ SUM(Inputs!AL44,Inputs!AL55,Inputs!AL66,Inputs!AL77,Inputs!AL88,Inputs!AL99)),0)</f>
        <v>0.73784488554086314</v>
      </c>
      <c r="G20" s="144">
        <f>F53</f>
        <v>9.7568977108172632</v>
      </c>
      <c r="I20" s="143" t="s">
        <v>594</v>
      </c>
      <c r="J20" s="145">
        <f ca="1">Inputs!W15</f>
        <v>0.52547341446158502</v>
      </c>
      <c r="K20" s="146">
        <f ca="1">IF(J19= "Casa",J121,IF(OR(J19= "Apartamento", J19 = "Sala Comercial"),J110,IF(J19="Comercial",J132,IF(J19="Logistica",J144))))</f>
        <v>-2.5473414461585029</v>
      </c>
      <c r="M20" s="140" t="s">
        <v>152</v>
      </c>
      <c r="N20" s="112" t="s">
        <v>593</v>
      </c>
      <c r="O20" s="112" t="s">
        <v>152</v>
      </c>
      <c r="P20" s="112" t="s">
        <v>152</v>
      </c>
      <c r="Q20" s="112" t="s">
        <v>152</v>
      </c>
      <c r="R20" s="112" t="s">
        <v>148</v>
      </c>
    </row>
    <row r="21" spans="1:18" ht="14.25" customHeight="1">
      <c r="A21" s="143" t="s">
        <v>503</v>
      </c>
      <c r="B21" s="142" t="str">
        <f>IF(Inputs!O14&gt;0,Inputs!O14,"")</f>
        <v>&gt; 10 anos</v>
      </c>
      <c r="C21" s="147">
        <f>IFERROR(VLOOKUP(B21,$A$52:$B$60,2,0),"")</f>
        <v>20</v>
      </c>
      <c r="E21" s="143" t="s">
        <v>592</v>
      </c>
      <c r="F21" s="145">
        <f ca="1">SUM(Inputs!AL44,Inputs!AL55,Inputs!AL66,Inputs!AL77,Inputs!AL88,Inputs!AL99)/Inputs!W10</f>
        <v>0.34626303950998522</v>
      </c>
      <c r="G21" s="144">
        <f ca="1">F62</f>
        <v>1.9252607901997043</v>
      </c>
      <c r="I21" s="143" t="s">
        <v>553</v>
      </c>
      <c r="J21" s="142">
        <f>IF(Inputs!D44="Apartamento",Inputs!D52,Inputs!D53)</f>
        <v>0</v>
      </c>
      <c r="K21" s="141">
        <v>12.857142857142858</v>
      </c>
      <c r="M21" s="140" t="s">
        <v>148</v>
      </c>
      <c r="N21" s="112" t="s">
        <v>148</v>
      </c>
      <c r="O21" s="112" t="s">
        <v>148</v>
      </c>
      <c r="P21" s="112" t="s">
        <v>148</v>
      </c>
      <c r="Q21" s="112" t="s">
        <v>148</v>
      </c>
      <c r="R21" s="112" t="s">
        <v>148</v>
      </c>
    </row>
    <row r="22" spans="1:18" ht="14.25" customHeight="1" thickBot="1">
      <c r="A22" s="205" t="s">
        <v>636</v>
      </c>
      <c r="B22" s="576"/>
      <c r="C22" s="142" t="str">
        <f>IFERROR(VLOOKUP(B22,A45:B47,2,0),"")</f>
        <v/>
      </c>
      <c r="I22" s="139" t="s">
        <v>590</v>
      </c>
      <c r="J22" s="138">
        <f ca="1">SUM(K15:K21)</f>
        <v>60.309801410984349</v>
      </c>
      <c r="K22" s="138" t="str">
        <f ca="1">IFERROR(LOOKUP(J22,M47:O51),"")</f>
        <v>B</v>
      </c>
    </row>
    <row r="23" spans="1:18" ht="14.25" customHeight="1" thickTop="1" thickBot="1">
      <c r="A23" s="139" t="s">
        <v>591</v>
      </c>
      <c r="B23" s="138">
        <f ca="1">SUM(C15:C22)+SUM(G15:G21)</f>
        <v>185.56184595196243</v>
      </c>
      <c r="C23" s="138" t="str">
        <f ca="1">IFERROR(LOOKUP(B23,Q36:S40),"")</f>
        <v>A</v>
      </c>
    </row>
    <row r="24" spans="1:18" ht="14.25" customHeight="1" thickTop="1"/>
    <row r="28" spans="1:18" ht="14.25" customHeight="1">
      <c r="A28" s="99"/>
      <c r="B28" s="99"/>
      <c r="C28" s="99"/>
    </row>
    <row r="29" spans="1:18" ht="14.25" customHeight="1">
      <c r="A29" s="114" t="s">
        <v>589</v>
      </c>
      <c r="B29" s="121" t="s">
        <v>537</v>
      </c>
      <c r="E29" s="114" t="s">
        <v>588</v>
      </c>
      <c r="F29" s="121" t="s">
        <v>537</v>
      </c>
      <c r="I29" s="114" t="s">
        <v>230</v>
      </c>
      <c r="J29" s="114" t="s">
        <v>537</v>
      </c>
      <c r="M29" s="134" t="s">
        <v>587</v>
      </c>
      <c r="N29" s="134"/>
      <c r="O29" s="133"/>
    </row>
    <row r="30" spans="1:18" ht="14.25" customHeight="1">
      <c r="A30" s="108" t="s">
        <v>395</v>
      </c>
      <c r="B30" s="117">
        <v>25</v>
      </c>
      <c r="E30" s="108">
        <v>1E-10</v>
      </c>
      <c r="F30" s="117">
        <v>35</v>
      </c>
      <c r="I30" s="126" t="s">
        <v>381</v>
      </c>
      <c r="J30" s="101">
        <v>0</v>
      </c>
      <c r="M30" s="132" t="s">
        <v>537</v>
      </c>
      <c r="N30" s="131"/>
      <c r="O30" s="112" t="s">
        <v>575</v>
      </c>
    </row>
    <row r="31" spans="1:18" ht="14.25" customHeight="1">
      <c r="A31" s="108" t="s">
        <v>399</v>
      </c>
      <c r="B31" s="117">
        <v>15</v>
      </c>
      <c r="E31" s="108">
        <v>0.15</v>
      </c>
      <c r="F31" s="117">
        <v>25</v>
      </c>
      <c r="I31" s="126" t="s">
        <v>379</v>
      </c>
      <c r="J31" s="101">
        <v>0</v>
      </c>
      <c r="M31" s="112">
        <v>0</v>
      </c>
      <c r="N31" s="112">
        <v>20</v>
      </c>
      <c r="O31" s="101" t="s">
        <v>148</v>
      </c>
    </row>
    <row r="32" spans="1:18" ht="14.25" customHeight="1">
      <c r="A32" s="108" t="s">
        <v>402</v>
      </c>
      <c r="B32" s="117">
        <v>5</v>
      </c>
      <c r="E32" s="108">
        <v>0.2</v>
      </c>
      <c r="F32" s="117">
        <v>15</v>
      </c>
      <c r="I32" s="126" t="s">
        <v>376</v>
      </c>
      <c r="J32" s="101">
        <v>0</v>
      </c>
      <c r="M32" s="129">
        <f>N31+0.000001</f>
        <v>20.000001000000001</v>
      </c>
      <c r="N32" s="112">
        <v>40</v>
      </c>
      <c r="O32" s="101" t="s">
        <v>152</v>
      </c>
    </row>
    <row r="33" spans="1:19" ht="14.25" customHeight="1">
      <c r="A33" s="108" t="s">
        <v>586</v>
      </c>
      <c r="B33" s="117">
        <v>-5</v>
      </c>
      <c r="E33" s="108">
        <v>0.25</v>
      </c>
      <c r="F33" s="117">
        <v>5</v>
      </c>
      <c r="I33" s="126" t="s">
        <v>375</v>
      </c>
      <c r="J33" s="101">
        <v>5</v>
      </c>
      <c r="M33" s="129">
        <f>N32+0.000001</f>
        <v>40.000000999999997</v>
      </c>
      <c r="N33" s="112">
        <v>60</v>
      </c>
      <c r="O33" s="101" t="s">
        <v>155</v>
      </c>
    </row>
    <row r="34" spans="1:19" ht="14.25" customHeight="1">
      <c r="E34" s="108">
        <v>0.3</v>
      </c>
      <c r="F34" s="117">
        <v>0</v>
      </c>
      <c r="I34" s="126" t="s">
        <v>374</v>
      </c>
      <c r="J34" s="101">
        <v>10</v>
      </c>
      <c r="M34" s="129">
        <f>N33+0.000001</f>
        <v>60.000000999999997</v>
      </c>
      <c r="N34" s="112">
        <v>80</v>
      </c>
      <c r="O34" s="101" t="s">
        <v>160</v>
      </c>
      <c r="Q34" s="134" t="s">
        <v>585</v>
      </c>
      <c r="R34" s="134"/>
      <c r="S34" s="133"/>
    </row>
    <row r="35" spans="1:19" ht="14.25" customHeight="1">
      <c r="A35" s="114" t="s">
        <v>584</v>
      </c>
      <c r="B35" s="121" t="s">
        <v>537</v>
      </c>
      <c r="E35" s="108">
        <v>0.6</v>
      </c>
      <c r="F35" s="117">
        <v>-20</v>
      </c>
      <c r="I35" s="126" t="s">
        <v>373</v>
      </c>
      <c r="J35" s="101">
        <v>10</v>
      </c>
      <c r="M35" s="129">
        <f>N34+0.000001</f>
        <v>80.000000999999997</v>
      </c>
      <c r="N35" s="112">
        <v>100</v>
      </c>
      <c r="O35" s="101" t="s">
        <v>166</v>
      </c>
      <c r="Q35" s="132" t="s">
        <v>537</v>
      </c>
      <c r="R35" s="131"/>
      <c r="S35" s="112" t="s">
        <v>575</v>
      </c>
    </row>
    <row r="36" spans="1:19" ht="14.25" customHeight="1">
      <c r="A36" s="108" t="s">
        <v>583</v>
      </c>
      <c r="B36" s="117">
        <v>25</v>
      </c>
      <c r="E36" s="107">
        <f ca="1">F15</f>
        <v>8.656213508662057E-2</v>
      </c>
      <c r="F36" s="106">
        <f ca="1">IF(AND(E36&lt;=E31,E36&gt;=E30),F30+((F31-F30)/(E31-E30))*(E36-E30),IF(AND(E36&lt;=E32,E36&gt;=E31),F31+((F32-F31)/(E32-E31))*(E36-E31),IF(AND(E36&lt;=E33,E36&gt;=E32),F32+((F33-F32)/(E33-E32))*(E36-E32),IF(AND(E36&lt;=E34,E36&gt;=E33),F33+((F34-F33)/(E34-E33))*(E36-E33),F34+((F35-F34)/(E35-E34))*(E36-E34)))))</f>
        <v>29.229190997044753</v>
      </c>
      <c r="I36" s="126" t="s">
        <v>372</v>
      </c>
      <c r="J36" s="101">
        <v>15</v>
      </c>
      <c r="M36" s="112"/>
      <c r="N36" s="137"/>
      <c r="Q36" s="129">
        <v>0</v>
      </c>
      <c r="R36" s="112">
        <v>40</v>
      </c>
      <c r="S36" s="101" t="s">
        <v>148</v>
      </c>
    </row>
    <row r="37" spans="1:19" ht="14.25" customHeight="1">
      <c r="A37" s="108" t="s">
        <v>582</v>
      </c>
      <c r="B37" s="117">
        <v>15</v>
      </c>
      <c r="I37" s="126" t="s">
        <v>371</v>
      </c>
      <c r="J37" s="101">
        <v>10</v>
      </c>
      <c r="M37" s="134" t="s">
        <v>581</v>
      </c>
      <c r="N37" s="134"/>
      <c r="O37" s="133"/>
      <c r="Q37" s="129">
        <v>40.000002000000002</v>
      </c>
      <c r="R37" s="112">
        <v>80</v>
      </c>
      <c r="S37" s="101" t="s">
        <v>152</v>
      </c>
    </row>
    <row r="38" spans="1:19" ht="14.25" customHeight="1">
      <c r="A38" s="108"/>
      <c r="B38" s="108"/>
      <c r="E38" s="114" t="s">
        <v>580</v>
      </c>
      <c r="F38" s="121" t="s">
        <v>537</v>
      </c>
      <c r="I38" s="126" t="s">
        <v>370</v>
      </c>
      <c r="J38" s="101">
        <v>10</v>
      </c>
      <c r="M38" s="132" t="s">
        <v>537</v>
      </c>
      <c r="N38" s="131"/>
      <c r="O38" s="112" t="s">
        <v>575</v>
      </c>
      <c r="Q38" s="129">
        <v>80.000001999999995</v>
      </c>
      <c r="R38" s="112">
        <v>120</v>
      </c>
      <c r="S38" s="101" t="s">
        <v>155</v>
      </c>
    </row>
    <row r="39" spans="1:19" ht="14.25" customHeight="1">
      <c r="A39" s="109" t="s">
        <v>579</v>
      </c>
      <c r="B39" s="136" t="s">
        <v>537</v>
      </c>
      <c r="E39" s="112">
        <v>0</v>
      </c>
      <c r="F39" s="135">
        <v>-10</v>
      </c>
      <c r="G39">
        <v>-5</v>
      </c>
      <c r="I39" s="126" t="s">
        <v>369</v>
      </c>
      <c r="J39" s="101">
        <v>0</v>
      </c>
      <c r="M39" s="112">
        <v>0</v>
      </c>
      <c r="N39" s="112">
        <v>20</v>
      </c>
      <c r="O39" s="101" t="s">
        <v>148</v>
      </c>
      <c r="Q39" s="129">
        <v>120.00000199999999</v>
      </c>
      <c r="R39" s="112">
        <v>160</v>
      </c>
      <c r="S39" s="101" t="s">
        <v>160</v>
      </c>
    </row>
    <row r="40" spans="1:19" ht="14.25" customHeight="1">
      <c r="A40" s="108" t="s">
        <v>404</v>
      </c>
      <c r="B40" s="117">
        <v>10</v>
      </c>
      <c r="E40" s="112">
        <v>200</v>
      </c>
      <c r="F40" s="135">
        <v>0</v>
      </c>
      <c r="G40">
        <v>0</v>
      </c>
      <c r="I40" s="126" t="s">
        <v>368</v>
      </c>
      <c r="J40" s="101">
        <v>10</v>
      </c>
      <c r="M40" s="129">
        <f>N39+0.000001</f>
        <v>20.000001000000001</v>
      </c>
      <c r="N40" s="112">
        <v>40</v>
      </c>
      <c r="O40" s="101" t="s">
        <v>152</v>
      </c>
      <c r="Q40" s="129">
        <v>160.00000199999999</v>
      </c>
      <c r="R40" s="112">
        <v>200</v>
      </c>
      <c r="S40" s="101" t="s">
        <v>166</v>
      </c>
    </row>
    <row r="41" spans="1:19" ht="14.25" customHeight="1">
      <c r="A41" s="108" t="s">
        <v>400</v>
      </c>
      <c r="B41" s="117">
        <v>20</v>
      </c>
      <c r="E41" s="112">
        <v>400</v>
      </c>
      <c r="F41" s="135">
        <v>10</v>
      </c>
      <c r="G41">
        <v>6</v>
      </c>
      <c r="I41" s="126" t="s">
        <v>367</v>
      </c>
      <c r="J41" s="101">
        <v>10</v>
      </c>
      <c r="M41" s="129">
        <f>N40+0.000001</f>
        <v>40.000000999999997</v>
      </c>
      <c r="N41" s="112">
        <v>60</v>
      </c>
      <c r="O41" s="101" t="s">
        <v>155</v>
      </c>
    </row>
    <row r="42" spans="1:19" ht="14.25" customHeight="1">
      <c r="A42" s="108" t="s">
        <v>397</v>
      </c>
      <c r="B42" s="117">
        <v>5</v>
      </c>
      <c r="E42" s="112">
        <v>600</v>
      </c>
      <c r="F42" s="135">
        <v>15</v>
      </c>
      <c r="G42">
        <v>10</v>
      </c>
      <c r="I42" s="126" t="s">
        <v>366</v>
      </c>
      <c r="J42" s="101">
        <v>15</v>
      </c>
      <c r="M42" s="129">
        <f>N41+0.000001</f>
        <v>60.000000999999997</v>
      </c>
      <c r="N42" s="112">
        <v>80</v>
      </c>
      <c r="O42" s="101" t="s">
        <v>160</v>
      </c>
    </row>
    <row r="43" spans="1:19" ht="14.25" customHeight="1">
      <c r="A43" s="108" t="s">
        <v>393</v>
      </c>
      <c r="B43" s="117">
        <v>20</v>
      </c>
      <c r="E43" s="112">
        <v>800</v>
      </c>
      <c r="F43" s="135">
        <v>22</v>
      </c>
      <c r="G43">
        <v>15</v>
      </c>
      <c r="I43" s="126" t="s">
        <v>365</v>
      </c>
      <c r="J43" s="101">
        <v>5</v>
      </c>
      <c r="M43" s="129">
        <f>N42+0.000001</f>
        <v>80.000000999999997</v>
      </c>
      <c r="N43" s="112">
        <v>100</v>
      </c>
      <c r="O43" s="101" t="s">
        <v>166</v>
      </c>
    </row>
    <row r="44" spans="1:19" ht="14.25" customHeight="1">
      <c r="A44" s="114" t="s">
        <v>578</v>
      </c>
      <c r="B44" s="121" t="s">
        <v>537</v>
      </c>
      <c r="E44" s="112">
        <v>1000</v>
      </c>
      <c r="F44" s="135">
        <v>30</v>
      </c>
      <c r="G44">
        <v>20</v>
      </c>
      <c r="I44" s="126" t="s">
        <v>364</v>
      </c>
      <c r="J44" s="101">
        <v>0</v>
      </c>
    </row>
    <row r="45" spans="1:19" ht="14.25" customHeight="1">
      <c r="A45" s="108" t="s">
        <v>577</v>
      </c>
      <c r="B45" s="117">
        <v>-5</v>
      </c>
      <c r="E45" s="124">
        <f>F16</f>
        <v>940</v>
      </c>
      <c r="F45" s="106">
        <f>IF(AND(E45&lt;=E40,E45&gt;=E39),F39+((F40-F39)/(E40-E39))*(E45-E39),IF(AND(E45&lt;=E41,E45&gt;=E40),F40+((F41-F40)/(E41-E40))*(E45-E40),IF(AND(E45&lt;=E42,E45&gt;=E41),F41+((F42-F41)/(E42-E41))*(E45-E41),IF(AND(E45&lt;=E43,E45&gt;=E42),F42+((F43-F42)/(E43-E42))*(E45-E42),IF(AND(E45&lt;=E44,E45&gt;=E43),F43+((F44-F43)/(E44-E43))*(E45-E43))))))</f>
        <v>27.6</v>
      </c>
      <c r="I45" s="126" t="s">
        <v>363</v>
      </c>
      <c r="J45" s="101">
        <v>15</v>
      </c>
      <c r="M45" s="134" t="s">
        <v>576</v>
      </c>
      <c r="N45" s="134"/>
      <c r="O45" s="133"/>
    </row>
    <row r="46" spans="1:19" ht="14.25" customHeight="1">
      <c r="A46" s="108" t="s">
        <v>399</v>
      </c>
      <c r="B46" s="117">
        <v>10</v>
      </c>
      <c r="I46" s="126" t="s">
        <v>362</v>
      </c>
      <c r="J46" s="101">
        <v>10</v>
      </c>
      <c r="M46" s="132" t="s">
        <v>537</v>
      </c>
      <c r="N46" s="131"/>
      <c r="O46" s="112" t="s">
        <v>575</v>
      </c>
    </row>
    <row r="47" spans="1:19" ht="14.25" customHeight="1">
      <c r="A47" s="108" t="s">
        <v>244</v>
      </c>
      <c r="B47" s="117">
        <v>20</v>
      </c>
      <c r="E47" s="114" t="s">
        <v>574</v>
      </c>
      <c r="F47" s="121" t="s">
        <v>537</v>
      </c>
      <c r="I47" s="126" t="s">
        <v>361</v>
      </c>
      <c r="J47" s="101">
        <v>0</v>
      </c>
      <c r="M47" s="112">
        <v>0</v>
      </c>
      <c r="N47" s="112">
        <v>20</v>
      </c>
      <c r="O47" s="101" t="s">
        <v>148</v>
      </c>
    </row>
    <row r="48" spans="1:19" ht="14.25" customHeight="1">
      <c r="E48" s="108">
        <v>0</v>
      </c>
      <c r="F48" s="117">
        <v>-5</v>
      </c>
      <c r="I48" s="126" t="s">
        <v>360</v>
      </c>
      <c r="J48" s="101">
        <v>15</v>
      </c>
      <c r="M48" s="129">
        <f>N47+0.000001</f>
        <v>20.000001000000001</v>
      </c>
      <c r="N48" s="112">
        <v>40</v>
      </c>
      <c r="O48" s="101" t="s">
        <v>152</v>
      </c>
    </row>
    <row r="49" spans="1:15" ht="14.25" customHeight="1">
      <c r="A49" s="115" t="s">
        <v>573</v>
      </c>
      <c r="E49" s="108">
        <v>0.25</v>
      </c>
      <c r="F49" s="117">
        <v>0</v>
      </c>
      <c r="I49" s="126" t="s">
        <v>359</v>
      </c>
      <c r="J49" s="101">
        <v>0</v>
      </c>
      <c r="M49" s="129">
        <f>N48+0.000001</f>
        <v>40.000000999999997</v>
      </c>
      <c r="N49" s="112">
        <v>60</v>
      </c>
      <c r="O49" s="101" t="s">
        <v>155</v>
      </c>
    </row>
    <row r="50" spans="1:15" ht="14.25" customHeight="1">
      <c r="E50" s="108">
        <v>0.5</v>
      </c>
      <c r="F50" s="117">
        <v>5</v>
      </c>
      <c r="I50" s="126" t="s">
        <v>358</v>
      </c>
      <c r="J50" s="101">
        <v>5</v>
      </c>
      <c r="M50" s="129">
        <f>N49+0.000001</f>
        <v>60.000000999999997</v>
      </c>
      <c r="N50" s="112">
        <v>80</v>
      </c>
      <c r="O50" s="101" t="s">
        <v>160</v>
      </c>
    </row>
    <row r="51" spans="1:15" ht="14.25" customHeight="1">
      <c r="A51" s="130" t="s">
        <v>572</v>
      </c>
      <c r="B51" s="121" t="s">
        <v>537</v>
      </c>
      <c r="E51" s="108">
        <v>0.75</v>
      </c>
      <c r="F51" s="117">
        <v>10</v>
      </c>
      <c r="I51" s="126" t="s">
        <v>357</v>
      </c>
      <c r="J51" s="101">
        <v>0</v>
      </c>
      <c r="M51" s="129">
        <f>N50+0.000001</f>
        <v>80.000000999999997</v>
      </c>
      <c r="N51" s="112">
        <v>100</v>
      </c>
      <c r="O51" s="101" t="s">
        <v>166</v>
      </c>
    </row>
    <row r="52" spans="1:15" ht="14.25" customHeight="1">
      <c r="A52" s="108" t="s">
        <v>571</v>
      </c>
      <c r="B52" s="117">
        <v>-5</v>
      </c>
      <c r="E52" s="108">
        <v>1</v>
      </c>
      <c r="F52" s="117">
        <v>15</v>
      </c>
      <c r="I52" s="126" t="s">
        <v>356</v>
      </c>
      <c r="J52" s="101">
        <v>0</v>
      </c>
    </row>
    <row r="53" spans="1:15" ht="14.25" customHeight="1">
      <c r="A53" s="127" t="s">
        <v>502</v>
      </c>
      <c r="B53" s="117">
        <v>5</v>
      </c>
      <c r="E53" s="119">
        <f>F20</f>
        <v>0.73784488554086314</v>
      </c>
      <c r="F53" s="106">
        <f>IF(AND(E53&lt;=E49,E53&gt;=E48),F48+((F49-F48)/(E49-E48))*(E53-E48),IF(AND(E53&lt;=E50,E53&gt;=E49),F49+((F50-F49)/(E50-E49))*(E53-E49),IF(AND(E53&lt;=E51,E53&gt;=E50),F50+((F51-F50)/(E51-E50))*(E53-E50),IF(AND(E53&lt;=E52,E53&gt;=E51),F51+((F52-F51)/(E52-E51))*(E53-E51)))))</f>
        <v>9.7568977108172632</v>
      </c>
      <c r="I53" s="126" t="s">
        <v>355</v>
      </c>
      <c r="J53" s="101">
        <v>15</v>
      </c>
    </row>
    <row r="54" spans="1:15" ht="14.25" customHeight="1">
      <c r="A54" s="127" t="s">
        <v>479</v>
      </c>
      <c r="B54" s="117">
        <v>10</v>
      </c>
      <c r="E54" s="115" t="s">
        <v>570</v>
      </c>
      <c r="I54" s="126" t="s">
        <v>354</v>
      </c>
      <c r="J54" s="101">
        <v>20</v>
      </c>
    </row>
    <row r="55" spans="1:15" ht="14.25" customHeight="1">
      <c r="A55" s="127">
        <v>6</v>
      </c>
      <c r="B55" s="128">
        <f>B54+(($B$59-B54)/($A$59-A54))</f>
        <v>12</v>
      </c>
      <c r="I55" s="126" t="s">
        <v>353</v>
      </c>
      <c r="J55" s="101">
        <v>0</v>
      </c>
    </row>
    <row r="56" spans="1:15" ht="14.25" customHeight="1">
      <c r="A56" s="127">
        <v>7</v>
      </c>
      <c r="B56" s="128">
        <f>B55+(($B$59-B55)/($A$59-A55))</f>
        <v>14</v>
      </c>
      <c r="E56" s="114" t="s">
        <v>569</v>
      </c>
      <c r="F56" s="121" t="s">
        <v>537</v>
      </c>
      <c r="I56" s="126" t="s">
        <v>352</v>
      </c>
      <c r="J56" s="101">
        <v>0</v>
      </c>
    </row>
    <row r="57" spans="1:15" ht="14.25" customHeight="1">
      <c r="A57" s="127">
        <v>8</v>
      </c>
      <c r="B57" s="128">
        <f>B56+(($B$59-B56)/($A$59-A56))</f>
        <v>16</v>
      </c>
      <c r="E57" s="108">
        <v>0</v>
      </c>
      <c r="F57" s="117">
        <v>-5</v>
      </c>
    </row>
    <row r="58" spans="1:15" ht="14.25" customHeight="1">
      <c r="A58" s="127">
        <v>9</v>
      </c>
      <c r="B58" s="128">
        <f>B57+(($B$59-B57)/($A$59-A57))</f>
        <v>18</v>
      </c>
      <c r="E58" s="108">
        <v>0.25</v>
      </c>
      <c r="F58" s="117">
        <v>0</v>
      </c>
      <c r="I58" s="109" t="s">
        <v>231</v>
      </c>
      <c r="J58" s="109" t="s">
        <v>537</v>
      </c>
    </row>
    <row r="59" spans="1:15" ht="14.25" customHeight="1">
      <c r="A59" s="127">
        <v>10</v>
      </c>
      <c r="B59" s="117">
        <v>20</v>
      </c>
      <c r="E59" s="108">
        <v>0.5</v>
      </c>
      <c r="F59" s="117">
        <v>5</v>
      </c>
      <c r="I59" s="126" t="s">
        <v>244</v>
      </c>
      <c r="J59" s="101">
        <v>10</v>
      </c>
    </row>
    <row r="60" spans="1:15" ht="14.25" customHeight="1">
      <c r="A60" s="127" t="s">
        <v>568</v>
      </c>
      <c r="B60" s="117">
        <v>20</v>
      </c>
      <c r="E60" s="108">
        <v>1</v>
      </c>
      <c r="F60" s="117">
        <v>15</v>
      </c>
      <c r="I60" s="126" t="s">
        <v>247</v>
      </c>
      <c r="J60" s="101">
        <v>5</v>
      </c>
    </row>
    <row r="61" spans="1:15" ht="14.25" customHeight="1">
      <c r="E61" s="108">
        <v>10</v>
      </c>
      <c r="F61" s="117">
        <v>15</v>
      </c>
      <c r="I61" s="126" t="s">
        <v>249</v>
      </c>
      <c r="J61" s="101">
        <v>0</v>
      </c>
    </row>
    <row r="62" spans="1:15" ht="14.25" customHeight="1">
      <c r="A62" s="114" t="s">
        <v>521</v>
      </c>
      <c r="B62" s="121" t="s">
        <v>537</v>
      </c>
      <c r="E62" s="119">
        <f ca="1">F21</f>
        <v>0.34626303950998522</v>
      </c>
      <c r="F62" s="106">
        <f ca="1">IF(AND(E62&lt;=E58,E62&gt;=E57),F57+((F58-F57)/(E58-E57))*(E62-E57),IF(AND(E62&lt;=E59,E62&gt;=E58),F58+((F59-F58)/(E59-E58))*(E62-E58),IF(AND(E62&lt;=E60,E62&gt;=E59),F59+((F60-F59)/(E60-E59))*(E62-E59),IF(AND(E62&lt;=E61,E62&gt;=E60),F60+((F61-F60)/(E61-E60))*(E62-E60)))))</f>
        <v>1.9252607901997043</v>
      </c>
    </row>
    <row r="63" spans="1:15" ht="14.25" customHeight="1">
      <c r="A63" s="108" t="s">
        <v>567</v>
      </c>
      <c r="B63" s="117">
        <v>15</v>
      </c>
      <c r="E63" s="115" t="s">
        <v>566</v>
      </c>
      <c r="I63" s="109" t="s">
        <v>232</v>
      </c>
      <c r="J63" s="109" t="s">
        <v>537</v>
      </c>
    </row>
    <row r="64" spans="1:15" ht="14.25" customHeight="1">
      <c r="A64" s="108" t="s">
        <v>520</v>
      </c>
      <c r="B64" s="117">
        <v>15</v>
      </c>
      <c r="I64" s="126" t="s">
        <v>536</v>
      </c>
      <c r="J64" s="101">
        <v>10</v>
      </c>
    </row>
    <row r="65" spans="1:10" ht="14.25" customHeight="1">
      <c r="A65" s="108" t="s">
        <v>392</v>
      </c>
      <c r="B65" s="117">
        <v>10</v>
      </c>
      <c r="E65" s="114" t="s">
        <v>565</v>
      </c>
      <c r="F65" s="121" t="s">
        <v>537</v>
      </c>
      <c r="I65" s="126" t="s">
        <v>445</v>
      </c>
      <c r="J65" s="101">
        <v>5</v>
      </c>
    </row>
    <row r="66" spans="1:10" ht="14.25" customHeight="1">
      <c r="A66" s="108" t="s">
        <v>405</v>
      </c>
      <c r="B66" s="117">
        <v>5</v>
      </c>
      <c r="E66" s="108" t="s">
        <v>122</v>
      </c>
      <c r="F66" s="117">
        <v>-10</v>
      </c>
      <c r="I66" s="126" t="s">
        <v>154</v>
      </c>
      <c r="J66" s="101">
        <v>0</v>
      </c>
    </row>
    <row r="67" spans="1:10" ht="14.25" customHeight="1">
      <c r="A67" s="108" t="s">
        <v>564</v>
      </c>
      <c r="B67" s="117">
        <v>15</v>
      </c>
      <c r="E67" s="108" t="s">
        <v>120</v>
      </c>
      <c r="F67" s="117">
        <v>10</v>
      </c>
      <c r="I67" s="126" t="s">
        <v>535</v>
      </c>
      <c r="J67" s="101">
        <v>-5</v>
      </c>
    </row>
    <row r="68" spans="1:10" ht="14.25" customHeight="1">
      <c r="I68" s="126" t="s">
        <v>447</v>
      </c>
      <c r="J68" s="101">
        <v>-10</v>
      </c>
    </row>
    <row r="69" spans="1:10" ht="14.25" customHeight="1">
      <c r="A69" s="114" t="s">
        <v>516</v>
      </c>
      <c r="B69" s="121" t="s">
        <v>537</v>
      </c>
    </row>
    <row r="70" spans="1:10" ht="14.25" customHeight="1">
      <c r="A70" s="108" t="s">
        <v>122</v>
      </c>
      <c r="B70" s="117">
        <v>5</v>
      </c>
    </row>
    <row r="71" spans="1:10" ht="14.25" customHeight="1">
      <c r="A71" s="108" t="s">
        <v>120</v>
      </c>
      <c r="B71" s="117">
        <v>10</v>
      </c>
    </row>
    <row r="72" spans="1:10" ht="14.25" customHeight="1">
      <c r="I72" s="109" t="s">
        <v>563</v>
      </c>
      <c r="J72" s="109" t="s">
        <v>537</v>
      </c>
    </row>
    <row r="73" spans="1:10" ht="14.25" customHeight="1">
      <c r="A73" s="114" t="s">
        <v>562</v>
      </c>
      <c r="B73" s="121" t="s">
        <v>537</v>
      </c>
      <c r="E73" s="114" t="s">
        <v>426</v>
      </c>
      <c r="F73" s="121" t="s">
        <v>537</v>
      </c>
      <c r="I73" t="s">
        <v>387</v>
      </c>
      <c r="J73" s="101">
        <v>10</v>
      </c>
    </row>
    <row r="74" spans="1:10" ht="14.25" customHeight="1">
      <c r="A74" s="112">
        <v>18</v>
      </c>
      <c r="B74" s="117">
        <v>5</v>
      </c>
      <c r="E74" s="108">
        <v>0</v>
      </c>
      <c r="F74" s="117">
        <v>20</v>
      </c>
      <c r="I74" t="s">
        <v>391</v>
      </c>
      <c r="J74" s="101">
        <v>15</v>
      </c>
    </row>
    <row r="75" spans="1:10" ht="14.25" customHeight="1">
      <c r="A75" s="112">
        <v>35</v>
      </c>
      <c r="B75" s="117">
        <v>7</v>
      </c>
      <c r="E75" s="108">
        <v>0.15</v>
      </c>
      <c r="F75" s="117">
        <v>0</v>
      </c>
      <c r="I75" t="s">
        <v>272</v>
      </c>
      <c r="J75" s="101">
        <v>0</v>
      </c>
    </row>
    <row r="76" spans="1:10" ht="14.25" customHeight="1">
      <c r="A76" s="112">
        <v>50</v>
      </c>
      <c r="B76" s="117">
        <v>10</v>
      </c>
      <c r="E76" s="108">
        <v>0.5</v>
      </c>
      <c r="F76" s="117">
        <v>-10</v>
      </c>
      <c r="I76" t="s">
        <v>389</v>
      </c>
      <c r="J76" s="101">
        <v>5</v>
      </c>
    </row>
    <row r="77" spans="1:10" ht="14.25" customHeight="1">
      <c r="A77" s="112">
        <v>65</v>
      </c>
      <c r="B77" s="117">
        <v>6</v>
      </c>
      <c r="E77" s="108">
        <v>1</v>
      </c>
      <c r="F77" s="117">
        <v>-20</v>
      </c>
      <c r="I77" t="s">
        <v>385</v>
      </c>
      <c r="J77" s="101">
        <v>8</v>
      </c>
    </row>
    <row r="78" spans="1:10" ht="14.25" customHeight="1">
      <c r="A78" s="112">
        <v>75</v>
      </c>
      <c r="B78" s="117">
        <v>2</v>
      </c>
      <c r="E78" s="119">
        <f>F18</f>
        <v>1.2127659574468085E-4</v>
      </c>
      <c r="F78" s="106">
        <f>IF(AND(E78&lt;=E74,E78&gt;=E73),F73+((F74-F73)/(E74-E73))*(E78-E73),IF(AND(E78&lt;=E75,E78&gt;=E74),F74+((F75-F74)/(E75-E74))*(E78-E74),IF(AND(E78&lt;=E76,E78&gt;=E75),F75+((F76-F75)/(E76-E75))*(E78-E75),IF(AND(E78&lt;=E77,E78&gt;=E76),F76+((F77-F76)/(E77-E76))*(E78-E76),"Fora da Politica"))))</f>
        <v>19.983829787234043</v>
      </c>
      <c r="I78" s="123"/>
      <c r="J78" s="125"/>
    </row>
    <row r="79" spans="1:10" ht="14.25" customHeight="1">
      <c r="A79" s="124">
        <f ca="1">B15</f>
        <v>61</v>
      </c>
      <c r="B79" s="106">
        <f ca="1">IF(AND(A79&lt;=A75,A79&gt;=A74),B74+((B75-B74)/(A75-A74))*(A79-A74),IF(AND(A79&lt;=A76,A79&gt;=A75),B75+((B76-B75)/(A76-A75))*(A79-A75),IF(AND(A79&lt;=A77,A79&gt;=A76),B76+((B77-B76)/(A77-A76))*(A79-A76),IF(AND(A79&lt;=A78,A79&gt;=A77),B77+((B78-B77)/(A78-A77))*(A79-A77)))))</f>
        <v>7.0666666666666664</v>
      </c>
      <c r="E79" s="115" t="s">
        <v>561</v>
      </c>
      <c r="I79" s="123"/>
    </row>
    <row r="80" spans="1:10" ht="14.25" customHeight="1">
      <c r="E80" s="114" t="s">
        <v>560</v>
      </c>
      <c r="F80" s="121" t="s">
        <v>537</v>
      </c>
      <c r="I80" s="102"/>
      <c r="J80" s="122"/>
    </row>
    <row r="81" spans="1:17" ht="14.25" customHeight="1">
      <c r="E81" s="108">
        <v>0</v>
      </c>
      <c r="F81" s="117">
        <v>20</v>
      </c>
      <c r="I81" s="103"/>
      <c r="J81" s="122"/>
    </row>
    <row r="82" spans="1:17" ht="14.25" customHeight="1">
      <c r="A82" s="114" t="s">
        <v>559</v>
      </c>
      <c r="B82" s="121" t="s">
        <v>537</v>
      </c>
      <c r="C82" s="112"/>
      <c r="E82" s="108">
        <v>0.15</v>
      </c>
      <c r="F82" s="117">
        <v>0</v>
      </c>
      <c r="I82" s="105" t="s">
        <v>553</v>
      </c>
      <c r="J82" s="104" t="s">
        <v>537</v>
      </c>
    </row>
    <row r="83" spans="1:17" ht="14.25" customHeight="1">
      <c r="A83" s="112" t="s">
        <v>120</v>
      </c>
      <c r="B83" s="117">
        <v>0</v>
      </c>
      <c r="E83" s="108">
        <v>0.5</v>
      </c>
      <c r="F83" s="117">
        <v>-10</v>
      </c>
      <c r="I83" s="102">
        <v>15</v>
      </c>
      <c r="J83" s="101">
        <v>15</v>
      </c>
      <c r="Q83" s="120"/>
    </row>
    <row r="84" spans="1:17" ht="14.25" customHeight="1">
      <c r="A84" s="112">
        <v>1</v>
      </c>
      <c r="B84" s="117">
        <v>10</v>
      </c>
      <c r="E84" s="108">
        <v>1</v>
      </c>
      <c r="F84" s="117">
        <v>-20</v>
      </c>
      <c r="I84" s="102">
        <v>120</v>
      </c>
      <c r="J84" s="101">
        <v>10</v>
      </c>
    </row>
    <row r="85" spans="1:17" ht="14.25" customHeight="1">
      <c r="A85" s="112">
        <v>2</v>
      </c>
      <c r="B85" s="117">
        <v>15</v>
      </c>
      <c r="E85" s="119">
        <f>F19</f>
        <v>0</v>
      </c>
      <c r="F85" s="106">
        <f>IF(AND(E85&lt;=E81,E85&gt;=E80),F80+((F81-F80)/(E81-E80))*(E85-E80),IF(AND(E85&lt;=E82,E85&gt;=E81),F81+((F82-F81)/(E82-E81))*(E85-E81),IF(AND(E85&lt;=E83,E85&gt;=E82),F82+((F83-F82)/(E83-E82))*(E85-E82),IF(AND(E85&lt;=E84,E85&gt;=E83),F83+((F84-F83)/(E84-E83))*(E85-E83),"Fora da Politica"))))</f>
        <v>20</v>
      </c>
      <c r="I85" s="103">
        <v>200</v>
      </c>
      <c r="J85" s="101">
        <v>5</v>
      </c>
    </row>
    <row r="86" spans="1:17" ht="14.25" customHeight="1">
      <c r="A86" s="118">
        <v>3</v>
      </c>
      <c r="B86" s="117">
        <v>20</v>
      </c>
      <c r="I86" s="102">
        <v>400</v>
      </c>
      <c r="J86" s="101">
        <v>0</v>
      </c>
    </row>
    <row r="87" spans="1:17" ht="14.25" customHeight="1">
      <c r="E87" t="s">
        <v>558</v>
      </c>
      <c r="F87" t="e">
        <f>MAX(0.3*#REF!,0.15*#REF!)</f>
        <v>#REF!</v>
      </c>
      <c r="I87" s="102">
        <v>1000</v>
      </c>
      <c r="J87" s="101">
        <v>-5</v>
      </c>
    </row>
    <row r="88" spans="1:17" ht="14.25" customHeight="1">
      <c r="I88" s="102">
        <v>10000</v>
      </c>
      <c r="J88" s="101">
        <v>-20</v>
      </c>
    </row>
    <row r="89" spans="1:17" ht="14.25" customHeight="1">
      <c r="I89" s="110">
        <f>J21</f>
        <v>0</v>
      </c>
      <c r="J89" s="106" t="b">
        <f>IF(AND(I89&lt;=I84,I89&gt;=I83),J83+((J84-J83)/(I84-I83))*(I89-I83),IF(AND(I89&lt;=I85,I89&gt;=I84),J84+((J85-J84)/(I85-I84))*(I89-I84),IF(AND(I89&lt;=I86,I89&gt;=I85),J85+((J86-J85)/(I86-I85))*(I89-I85),IF(AND(I89&lt;=I87,I89&gt;=I86),J86+((J87-J86)/(I87-I86))*(I89-I86),IF(AND(I89&lt;=I88,I89&gt;=I87),J87+((J88-J87)/(I88-I87))*(I89-I87))))))</f>
        <v>0</v>
      </c>
    </row>
    <row r="90" spans="1:17" ht="14.25" customHeight="1">
      <c r="A90" s="116" t="s">
        <v>557</v>
      </c>
      <c r="B90" s="116"/>
      <c r="E90" s="116" t="s">
        <v>557</v>
      </c>
      <c r="F90" s="116"/>
    </row>
    <row r="91" spans="1:17" ht="14.25" customHeight="1">
      <c r="E91" s="115" t="s">
        <v>556</v>
      </c>
    </row>
    <row r="92" spans="1:17" ht="14.25" customHeight="1">
      <c r="A92" s="114" t="s">
        <v>555</v>
      </c>
      <c r="B92" s="109"/>
      <c r="E92" s="114" t="s">
        <v>554</v>
      </c>
      <c r="F92" s="109"/>
      <c r="I92" s="105" t="s">
        <v>553</v>
      </c>
      <c r="J92" s="104" t="s">
        <v>537</v>
      </c>
    </row>
    <row r="93" spans="1:17" ht="14.25" customHeight="1">
      <c r="A93" s="112" t="s">
        <v>552</v>
      </c>
      <c r="B93" s="111"/>
      <c r="E93" s="112" t="s">
        <v>551</v>
      </c>
      <c r="F93" s="111"/>
      <c r="I93" s="102">
        <v>50</v>
      </c>
      <c r="J93" s="101">
        <v>10</v>
      </c>
    </row>
    <row r="94" spans="1:17" ht="14.25" customHeight="1">
      <c r="A94" s="112" t="s">
        <v>550</v>
      </c>
      <c r="B94" s="111"/>
      <c r="E94" s="112" t="s">
        <v>549</v>
      </c>
      <c r="F94" s="111"/>
      <c r="I94" s="102">
        <v>150</v>
      </c>
      <c r="J94" s="101">
        <v>15</v>
      </c>
      <c r="N94" s="113"/>
    </row>
    <row r="95" spans="1:17" ht="14.25" customHeight="1">
      <c r="A95" s="112" t="s">
        <v>548</v>
      </c>
      <c r="B95" s="101" t="s">
        <v>547</v>
      </c>
      <c r="E95" s="112" t="s">
        <v>546</v>
      </c>
      <c r="F95" s="111"/>
      <c r="I95" s="103">
        <v>250</v>
      </c>
      <c r="J95" s="101">
        <v>10</v>
      </c>
    </row>
    <row r="96" spans="1:17" ht="14.25" customHeight="1">
      <c r="A96" s="112" t="s">
        <v>545</v>
      </c>
      <c r="B96" s="111"/>
      <c r="E96" s="112" t="s">
        <v>544</v>
      </c>
      <c r="F96" s="111"/>
      <c r="I96" s="102">
        <v>400</v>
      </c>
      <c r="J96" s="101">
        <v>0</v>
      </c>
    </row>
    <row r="97" spans="1:10" ht="14.25" customHeight="1">
      <c r="A97" s="112" t="s">
        <v>382</v>
      </c>
      <c r="B97" s="111"/>
      <c r="E97" s="112" t="s">
        <v>543</v>
      </c>
      <c r="F97" s="111"/>
      <c r="I97" s="102">
        <v>1000</v>
      </c>
      <c r="J97" s="101">
        <v>-5</v>
      </c>
    </row>
    <row r="98" spans="1:10" ht="14.25" customHeight="1">
      <c r="E98" s="112" t="s">
        <v>131</v>
      </c>
      <c r="F98" s="111"/>
      <c r="I98" s="102">
        <v>10000</v>
      </c>
      <c r="J98" s="101">
        <v>-10</v>
      </c>
    </row>
    <row r="99" spans="1:10" ht="14.25" customHeight="1">
      <c r="I99" s="110">
        <f>J21</f>
        <v>0</v>
      </c>
      <c r="J99" s="106" t="b">
        <f>IF(AND(I99&lt;=I94,I99&gt;=I93),J93+((J94-J93)/(I94-I93))*(I99-I93),IF(AND(I99&lt;=I95,I99&gt;=I94),J94+((J95-J94)/(I95-I94))*(I99-I94),IF(AND(I99&lt;=I96,I99&gt;=I95),J95+((J96-J95)/(I96-I95))*(I99-I95),IF(AND(I99&lt;=I97,I99&gt;=I96),J96+((J97-J96)/(I97-I96))*(I99-I96),IF(AND(I99&lt;=I98,I99&gt;=I97),J97+((J98-J97)/(I98-I97))*(I99-I97))))))</f>
        <v>0</v>
      </c>
    </row>
    <row r="102" spans="1:10" ht="14.25" customHeight="1">
      <c r="I102" s="109" t="s">
        <v>542</v>
      </c>
      <c r="J102" s="109" t="s">
        <v>537</v>
      </c>
    </row>
    <row r="103" spans="1:10" ht="14.25" customHeight="1">
      <c r="I103" s="108">
        <v>0</v>
      </c>
      <c r="J103" s="101">
        <v>50</v>
      </c>
    </row>
    <row r="104" spans="1:10" ht="14.25" customHeight="1">
      <c r="I104" s="108">
        <v>0.3</v>
      </c>
      <c r="J104" s="101">
        <v>30</v>
      </c>
    </row>
    <row r="105" spans="1:10" ht="14.25" customHeight="1">
      <c r="I105" s="108">
        <v>0.35</v>
      </c>
      <c r="J105" s="101">
        <v>20</v>
      </c>
    </row>
    <row r="106" spans="1:10" ht="14.25" customHeight="1">
      <c r="I106" s="108">
        <v>0.4</v>
      </c>
      <c r="J106" s="101">
        <v>10</v>
      </c>
    </row>
    <row r="107" spans="1:10" ht="14.25" customHeight="1">
      <c r="I107" s="108">
        <v>0.5</v>
      </c>
      <c r="J107" s="101">
        <v>0</v>
      </c>
    </row>
    <row r="108" spans="1:10" ht="14.25" customHeight="1">
      <c r="I108" s="108">
        <v>0.6</v>
      </c>
      <c r="J108" s="101">
        <v>-10</v>
      </c>
    </row>
    <row r="109" spans="1:10" ht="14.25" customHeight="1">
      <c r="I109" s="108">
        <v>0.7</v>
      </c>
      <c r="J109" s="101">
        <v>-30</v>
      </c>
    </row>
    <row r="110" spans="1:10" ht="14.25" customHeight="1">
      <c r="I110" s="107">
        <f ca="1">J20</f>
        <v>0.52547341446158502</v>
      </c>
      <c r="J110" s="106">
        <f ca="1">IF(AND(I110&lt;=I104,I110&gt;=I103),J103+((J104-J103)/(I104-I103))*(I110-I103),IF(AND(I110&lt;=I105,I110&gt;=I104),J104+((J105-J104)/(I105-I104))*(I110-I104),IF(AND(I110&lt;=I106,I110&gt;=I105),J105+((J106-J105)/(I106-I105))*(I110-I105),IF(AND(I110&lt;=I107,I110&gt;=I106),J106+((J107-J106)/(I107-I106))*(I110-I106),IF(AND(I110&lt;=I108,I110&gt;=I107),J107+((J108-J107)/(I108-I107))*(I110-I107),IF(AND(I110&lt;=I109,I110&gt;=I108),J108+((J109-J108)/(I109-I108))*(I110-I108)))))))</f>
        <v>-2.5473414461585029</v>
      </c>
    </row>
    <row r="113" spans="9:10" ht="14.25" customHeight="1">
      <c r="I113" s="109" t="s">
        <v>541</v>
      </c>
      <c r="J113" s="109" t="s">
        <v>537</v>
      </c>
    </row>
    <row r="114" spans="9:10" ht="14.25" customHeight="1">
      <c r="I114" s="108">
        <v>0</v>
      </c>
      <c r="J114" s="101">
        <v>48</v>
      </c>
    </row>
    <row r="115" spans="9:10" ht="14.25" customHeight="1">
      <c r="I115" s="108">
        <v>0.3</v>
      </c>
      <c r="J115" s="101">
        <v>28</v>
      </c>
    </row>
    <row r="116" spans="9:10" ht="14.25" customHeight="1">
      <c r="I116" s="108">
        <v>0.35</v>
      </c>
      <c r="J116" s="101">
        <v>18</v>
      </c>
    </row>
    <row r="117" spans="9:10" ht="14.25" customHeight="1">
      <c r="I117" s="108">
        <v>0.4</v>
      </c>
      <c r="J117" s="101">
        <v>8</v>
      </c>
    </row>
    <row r="118" spans="9:10" ht="14.25" customHeight="1">
      <c r="I118" s="108">
        <v>0.5</v>
      </c>
      <c r="J118" s="101">
        <v>-2</v>
      </c>
    </row>
    <row r="119" spans="9:10" ht="14.25" customHeight="1">
      <c r="I119" s="108">
        <v>0.6</v>
      </c>
      <c r="J119" s="101">
        <v>-12</v>
      </c>
    </row>
    <row r="120" spans="9:10" ht="14.25" customHeight="1">
      <c r="I120" s="108">
        <v>0.7</v>
      </c>
      <c r="J120" s="101">
        <v>-32</v>
      </c>
    </row>
    <row r="121" spans="9:10" ht="14.25" customHeight="1">
      <c r="I121" s="107">
        <f ca="1">J20</f>
        <v>0.52547341446158502</v>
      </c>
      <c r="J121" s="106">
        <f ca="1">IF(AND(I121&lt;=I115,I121&gt;=I114),J114+((J115-J114)/(I115-I114))*(I121-I114),IF(AND(I121&lt;=I116,I121&gt;=I115),J115+((J116-J115)/(I116-I115))*(I121-I115),IF(AND(I121&lt;=I117,I121&gt;=I116),J116+((J117-J116)/(I117-I116))*(I121-I116),IF(AND(I121&lt;=I118,I121&gt;=I117),J117+((J118-J117)/(I118-I117))*(I121-I117),IF(AND(I121&lt;=I119,I121&gt;=I118),J118+((J119-J118)/(I119-I118))*(I121-I118),IF(AND(I121&lt;=I120,I121&gt;=I119),J119+((J120-J119)/(I120-I119))*(I121-I119)))))))</f>
        <v>-4.5473414461585033</v>
      </c>
    </row>
    <row r="124" spans="9:10" ht="14.25" customHeight="1">
      <c r="I124" s="109" t="s">
        <v>540</v>
      </c>
      <c r="J124" s="109" t="s">
        <v>537</v>
      </c>
    </row>
    <row r="125" spans="9:10" ht="14.25" customHeight="1">
      <c r="I125" s="108">
        <v>0</v>
      </c>
      <c r="J125" s="101">
        <v>45</v>
      </c>
    </row>
    <row r="126" spans="9:10" ht="14.25" customHeight="1">
      <c r="I126" s="108">
        <v>0.3</v>
      </c>
      <c r="J126" s="101">
        <v>25</v>
      </c>
    </row>
    <row r="127" spans="9:10" ht="14.25" customHeight="1">
      <c r="I127" s="108">
        <v>0.4</v>
      </c>
      <c r="J127" s="101">
        <v>5</v>
      </c>
    </row>
    <row r="128" spans="9:10" ht="14.25" customHeight="1">
      <c r="I128" s="108">
        <v>0.45</v>
      </c>
      <c r="J128" s="101">
        <v>0</v>
      </c>
    </row>
    <row r="129" spans="9:10" ht="14.25" customHeight="1">
      <c r="I129" s="108">
        <v>0.5</v>
      </c>
      <c r="J129" s="101">
        <v>-5</v>
      </c>
    </row>
    <row r="130" spans="9:10" ht="14.25" customHeight="1">
      <c r="I130" s="108">
        <v>0.6</v>
      </c>
      <c r="J130" s="101">
        <v>-15</v>
      </c>
    </row>
    <row r="131" spans="9:10" ht="14.25" customHeight="1">
      <c r="I131" s="108">
        <v>0.7</v>
      </c>
      <c r="J131" s="101">
        <v>-35</v>
      </c>
    </row>
    <row r="132" spans="9:10" ht="14.25" customHeight="1">
      <c r="I132" s="107">
        <f ca="1">J20</f>
        <v>0.52547341446158502</v>
      </c>
      <c r="J132" s="106">
        <f ca="1">IF(AND(I132&lt;=I126,I132&gt;=I125),J125+((J126-J125)/(I126-I125))*(I132-I125),IF(AND(I132&lt;=I127,I132&gt;=I126),J126+((J127-J126)/(I127-I126))*(I132-I126),IF(AND(I132&lt;=I128,I132&gt;=I127),J127+((J128-J127)/(I128-I127))*(I132-I127),IF(AND(I132&lt;=I129,I132&gt;=I128),J128+((J129-J128)/(I129-I128))*(I132-I128),IF(AND(I132&lt;=I130,I132&gt;=I129),J129+((J130-J129)/(I130-I129))*(I132-I129),IF(AND(I132&lt;=I131,I132&gt;=I130),J130+((J131-J130)/(I131-I130))*(I132-I130)))))))</f>
        <v>-7.5473414461585033</v>
      </c>
    </row>
    <row r="136" spans="9:10" ht="14.25" customHeight="1">
      <c r="I136" s="109" t="s">
        <v>539</v>
      </c>
      <c r="J136" s="109" t="s">
        <v>537</v>
      </c>
    </row>
    <row r="137" spans="9:10" ht="14.25" customHeight="1">
      <c r="I137" s="108">
        <v>0</v>
      </c>
      <c r="J137" s="101">
        <v>40</v>
      </c>
    </row>
    <row r="138" spans="9:10" ht="14.25" customHeight="1">
      <c r="I138" s="108">
        <v>0.3</v>
      </c>
      <c r="J138" s="101">
        <v>20</v>
      </c>
    </row>
    <row r="139" spans="9:10" ht="14.25" customHeight="1">
      <c r="I139" s="108">
        <v>0.35</v>
      </c>
      <c r="J139" s="101">
        <v>10</v>
      </c>
    </row>
    <row r="140" spans="9:10" ht="14.25" customHeight="1">
      <c r="I140" s="108">
        <v>0.4</v>
      </c>
      <c r="J140" s="101">
        <v>0</v>
      </c>
    </row>
    <row r="141" spans="9:10" ht="14.25" customHeight="1">
      <c r="I141" s="108">
        <v>0.5</v>
      </c>
      <c r="J141" s="101">
        <v>-10</v>
      </c>
    </row>
    <row r="142" spans="9:10" ht="14.25" customHeight="1">
      <c r="I142" s="108">
        <v>0.6</v>
      </c>
      <c r="J142" s="101">
        <v>-30</v>
      </c>
    </row>
    <row r="143" spans="9:10" ht="14.25" customHeight="1">
      <c r="I143" s="108">
        <v>0.7</v>
      </c>
      <c r="J143" s="101">
        <v>-50</v>
      </c>
    </row>
    <row r="144" spans="9:10" ht="14.25" customHeight="1">
      <c r="I144" s="107">
        <f ca="1">J20</f>
        <v>0.52547341446158502</v>
      </c>
      <c r="J144" s="106">
        <f ca="1">IF(AND(I144&lt;=I138,I144&gt;=I137),J137+((J138-J137)/(I138-I137))*(I144-I137),IF(AND(I144&lt;=I139,I144&gt;=I138),J138+((J139-J138)/(I139-I138))*(I144-I138),IF(AND(I144&lt;=I140,I144&gt;=I139),J139+((J140-J139)/(I140-I139))*(I144-I139),IF(AND(I144&lt;=I141,I144&gt;=I140),J140+((J141-J140)/(I141-I140))*(I144-I140),IF(AND(I144&lt;=I142,I144&gt;=I141),J141+((J142-J141)/(I142-I141))*(I144-I141),IF(AND(I144&lt;=I143,I144&gt;=I142),J142+((J143-J142)/(I143-I142))*(I144-I142)))))))</f>
        <v>-15.094682892317007</v>
      </c>
    </row>
    <row r="149" spans="9:10" ht="14.1" customHeight="1">
      <c r="I149" s="105" t="s">
        <v>538</v>
      </c>
      <c r="J149" s="104" t="s">
        <v>537</v>
      </c>
    </row>
    <row r="150" spans="9:10" ht="14.25" customHeight="1">
      <c r="I150" s="102" t="s">
        <v>536</v>
      </c>
      <c r="J150" s="101">
        <v>10</v>
      </c>
    </row>
    <row r="151" spans="9:10" ht="14.25" customHeight="1">
      <c r="I151" s="102" t="s">
        <v>445</v>
      </c>
      <c r="J151" s="101">
        <v>5</v>
      </c>
    </row>
    <row r="152" spans="9:10" ht="14.25" customHeight="1">
      <c r="I152" s="103" t="s">
        <v>154</v>
      </c>
      <c r="J152" s="101">
        <v>0</v>
      </c>
    </row>
    <row r="153" spans="9:10" ht="14.25" customHeight="1">
      <c r="I153" s="102" t="s">
        <v>535</v>
      </c>
      <c r="J153" s="101">
        <v>-5</v>
      </c>
    </row>
    <row r="154" spans="9:10" ht="14.25" customHeight="1">
      <c r="I154" s="102" t="s">
        <v>534</v>
      </c>
      <c r="J154" s="101">
        <v>-10</v>
      </c>
    </row>
  </sheetData>
  <sheetProtection formatCells="0" formatColumns="0" formatRows="0" insertColumns="0" insertRows="0" insertHyperlinks="0" sort="0" autoFilter="0" pivotTables="0"/>
  <dataConsolidate link="1"/>
  <conditionalFormatting sqref="C15">
    <cfRule type="containsText" dxfId="4" priority="1" operator="containsText" text="FALSO">
      <formula>NOT(ISERROR(SEARCH("FALSO",C15)))</formula>
    </cfRule>
  </conditionalFormatting>
  <dataValidations count="6">
    <dataValidation type="list" allowBlank="1" showInputMessage="1" showErrorMessage="1" sqref="C6" xr:uid="{00000000-0002-0000-0700-00000C000000}">
      <formula1>$F$2:$G$2</formula1>
    </dataValidation>
    <dataValidation type="list" allowBlank="1" showInputMessage="1" showErrorMessage="1" sqref="A31:A33 B18" xr:uid="{00000000-0002-0000-0700-00000A000000}">
      <formula1>$A$30:$A$33</formula1>
    </dataValidation>
    <dataValidation type="list" allowBlank="1" showInputMessage="1" showErrorMessage="1" sqref="B6" xr:uid="{00000000-0002-0000-0700-000000000000}">
      <formula1>$E$3:$E$10</formula1>
    </dataValidation>
    <dataValidation type="list" allowBlank="1" showInputMessage="1" showErrorMessage="1" sqref="B20" xr:uid="{04810E6E-A5CC-41D8-A2D6-9D13D655259A}">
      <formula1>$A$36:$A$37</formula1>
    </dataValidation>
    <dataValidation type="list" allowBlank="1" showInputMessage="1" showErrorMessage="1" sqref="B3" xr:uid="{78DE4ED7-30B1-4E26-8DC5-1C69E8828F86}">
      <formula1>$A$70:$A$71</formula1>
    </dataValidation>
    <dataValidation type="list" allowBlank="1" showInputMessage="1" showErrorMessage="1" sqref="B22" xr:uid="{83C04CA2-14FC-4949-A44A-B51ED5F45CD7}">
      <formula1>$A$45:$A$47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7BE47-D341-4B68-BEFC-BF210F509121}">
  <sheetPr codeName="Planilha9">
    <tabColor rgb="FFC9A4E4"/>
  </sheetPr>
  <dimension ref="A2:O58"/>
  <sheetViews>
    <sheetView showGridLines="0" topLeftCell="A16" workbookViewId="0">
      <selection activeCell="H11" sqref="H11"/>
    </sheetView>
  </sheetViews>
  <sheetFormatPr defaultColWidth="9.28515625" defaultRowHeight="15" outlineLevelRow="1"/>
  <cols>
    <col min="1" max="8" width="9.28515625" style="595"/>
    <col min="9" max="9" width="11.42578125" style="595" customWidth="1"/>
    <col min="10" max="10" width="31.42578125" style="595" customWidth="1"/>
    <col min="11" max="11" width="9.28515625" style="595"/>
    <col min="12" max="12" width="18.7109375" style="595" customWidth="1"/>
    <col min="13" max="13" width="13.7109375" style="595" customWidth="1"/>
    <col min="14" max="16384" width="9.28515625" style="595"/>
  </cols>
  <sheetData>
    <row r="2" spans="1:15">
      <c r="A2" s="595" t="s">
        <v>627</v>
      </c>
    </row>
    <row r="3" spans="1:15">
      <c r="A3" s="595" t="s">
        <v>626</v>
      </c>
    </row>
    <row r="5" spans="1:15" ht="15.75" thickBot="1">
      <c r="A5" s="596" t="s">
        <v>625</v>
      </c>
    </row>
    <row r="6" spans="1:15">
      <c r="A6" s="1123"/>
      <c r="B6" s="1124"/>
      <c r="C6" s="1124"/>
      <c r="D6" s="1124"/>
      <c r="E6" s="1124"/>
      <c r="F6" s="1124"/>
      <c r="G6" s="1125"/>
      <c r="I6" s="607" t="s">
        <v>170</v>
      </c>
      <c r="J6" s="608" t="str">
        <f>Inputs!D48</f>
        <v>R VOLUNTARIOS DA PATRIA, 654</v>
      </c>
      <c r="L6" s="607" t="s">
        <v>519</v>
      </c>
      <c r="M6" s="608">
        <f ca="1">Inputs!W10</f>
        <v>185234.90145170517</v>
      </c>
    </row>
    <row r="7" spans="1:15" ht="16.350000000000001" customHeight="1">
      <c r="A7" s="1126"/>
      <c r="B7" s="1127"/>
      <c r="C7" s="1127"/>
      <c r="D7" s="1127"/>
      <c r="E7" s="1127"/>
      <c r="F7" s="1127"/>
      <c r="G7" s="1128"/>
      <c r="I7" s="607" t="s">
        <v>624</v>
      </c>
      <c r="J7" s="608">
        <f>Inputs!W12</f>
        <v>376000</v>
      </c>
      <c r="L7" s="607" t="s">
        <v>515</v>
      </c>
      <c r="M7" s="608">
        <f>Inputs!W11</f>
        <v>169200</v>
      </c>
    </row>
    <row r="8" spans="1:15">
      <c r="A8" s="1126"/>
      <c r="B8" s="1127"/>
      <c r="C8" s="1127"/>
      <c r="D8" s="1127"/>
      <c r="E8" s="1127"/>
      <c r="F8" s="1127"/>
      <c r="G8" s="1128"/>
      <c r="I8" s="607" t="s">
        <v>623</v>
      </c>
      <c r="J8" s="609">
        <f>Rating!J21</f>
        <v>0</v>
      </c>
      <c r="L8" s="607" t="s">
        <v>4</v>
      </c>
      <c r="M8" s="608">
        <f>Inputs!W20</f>
        <v>6768</v>
      </c>
    </row>
    <row r="9" spans="1:15">
      <c r="A9" s="1126"/>
      <c r="B9" s="1127"/>
      <c r="C9" s="1127"/>
      <c r="D9" s="1127"/>
      <c r="E9" s="1127"/>
      <c r="F9" s="1127"/>
      <c r="G9" s="1128"/>
      <c r="I9" s="607" t="s">
        <v>622</v>
      </c>
      <c r="J9" s="608" t="e">
        <f>J7/J8</f>
        <v>#DIV/0!</v>
      </c>
      <c r="L9" s="607" t="s">
        <v>3</v>
      </c>
      <c r="M9" s="608">
        <f ca="1">Inputs!W21</f>
        <v>6224.2314517051609</v>
      </c>
    </row>
    <row r="10" spans="1:15">
      <c r="A10" s="1126"/>
      <c r="B10" s="1127"/>
      <c r="C10" s="1127"/>
      <c r="D10" s="1127"/>
      <c r="E10" s="1127"/>
      <c r="F10" s="1127"/>
      <c r="G10" s="1128"/>
      <c r="L10" s="607" t="s">
        <v>478</v>
      </c>
      <c r="M10" s="608">
        <f>Inputs!W22</f>
        <v>3042.67</v>
      </c>
    </row>
    <row r="11" spans="1:15">
      <c r="A11" s="1126"/>
      <c r="B11" s="1127"/>
      <c r="C11" s="1127"/>
      <c r="D11" s="1127"/>
      <c r="E11" s="1127"/>
      <c r="F11" s="1127"/>
      <c r="G11" s="1128"/>
      <c r="L11" s="597"/>
    </row>
    <row r="12" spans="1:15">
      <c r="A12" s="1126"/>
      <c r="B12" s="1127"/>
      <c r="C12" s="1127"/>
      <c r="D12" s="1127"/>
      <c r="E12" s="1127"/>
      <c r="F12" s="1127"/>
      <c r="G12" s="1128"/>
    </row>
    <row r="13" spans="1:15" ht="15.75" thickBot="1">
      <c r="A13" s="1129"/>
      <c r="B13" s="1130"/>
      <c r="C13" s="1130"/>
      <c r="D13" s="1130"/>
      <c r="E13" s="1130"/>
      <c r="F13" s="1130"/>
      <c r="G13" s="1131"/>
    </row>
    <row r="14" spans="1:15" ht="15.75" thickBot="1">
      <c r="A14" s="596" t="s">
        <v>621</v>
      </c>
      <c r="I14" s="596" t="s">
        <v>620</v>
      </c>
    </row>
    <row r="15" spans="1:15">
      <c r="A15" s="1123"/>
      <c r="B15" s="1124"/>
      <c r="C15" s="1124"/>
      <c r="D15" s="1124"/>
      <c r="E15" s="1124"/>
      <c r="F15" s="1124"/>
      <c r="G15" s="1125"/>
      <c r="I15" s="1123"/>
      <c r="J15" s="1124"/>
      <c r="K15" s="1124"/>
      <c r="L15" s="1124"/>
      <c r="M15" s="1124"/>
      <c r="N15" s="1124"/>
      <c r="O15" s="1125"/>
    </row>
    <row r="16" spans="1:15">
      <c r="A16" s="1126"/>
      <c r="B16" s="1127"/>
      <c r="C16" s="1127"/>
      <c r="D16" s="1127"/>
      <c r="E16" s="1127"/>
      <c r="F16" s="1127"/>
      <c r="G16" s="1128"/>
      <c r="I16" s="1126"/>
      <c r="J16" s="1127"/>
      <c r="K16" s="1127"/>
      <c r="L16" s="1127"/>
      <c r="M16" s="1127"/>
      <c r="N16" s="1127"/>
      <c r="O16" s="1128"/>
    </row>
    <row r="17" spans="1:15">
      <c r="A17" s="1126"/>
      <c r="B17" s="1127"/>
      <c r="C17" s="1127"/>
      <c r="D17" s="1127"/>
      <c r="E17" s="1127"/>
      <c r="F17" s="1127"/>
      <c r="G17" s="1128"/>
      <c r="I17" s="1126"/>
      <c r="J17" s="1127"/>
      <c r="K17" s="1127"/>
      <c r="L17" s="1127"/>
      <c r="M17" s="1127"/>
      <c r="N17" s="1127"/>
      <c r="O17" s="1128"/>
    </row>
    <row r="18" spans="1:15">
      <c r="A18" s="1126"/>
      <c r="B18" s="1127"/>
      <c r="C18" s="1127"/>
      <c r="D18" s="1127"/>
      <c r="E18" s="1127"/>
      <c r="F18" s="1127"/>
      <c r="G18" s="1128"/>
      <c r="I18" s="1126"/>
      <c r="J18" s="1127"/>
      <c r="K18" s="1127"/>
      <c r="L18" s="1127"/>
      <c r="M18" s="1127"/>
      <c r="N18" s="1127"/>
      <c r="O18" s="1128"/>
    </row>
    <row r="19" spans="1:15">
      <c r="A19" s="1126"/>
      <c r="B19" s="1127"/>
      <c r="C19" s="1127"/>
      <c r="D19" s="1127"/>
      <c r="E19" s="1127"/>
      <c r="F19" s="1127"/>
      <c r="G19" s="1128"/>
      <c r="I19" s="1126"/>
      <c r="J19" s="1127"/>
      <c r="K19" s="1127"/>
      <c r="L19" s="1127"/>
      <c r="M19" s="1127"/>
      <c r="N19" s="1127"/>
      <c r="O19" s="1128"/>
    </row>
    <row r="20" spans="1:15">
      <c r="A20" s="1126"/>
      <c r="B20" s="1127"/>
      <c r="C20" s="1127"/>
      <c r="D20" s="1127"/>
      <c r="E20" s="1127"/>
      <c r="F20" s="1127"/>
      <c r="G20" s="1128"/>
      <c r="I20" s="1126"/>
      <c r="J20" s="1127"/>
      <c r="K20" s="1127"/>
      <c r="L20" s="1127"/>
      <c r="M20" s="1127"/>
      <c r="N20" s="1127"/>
      <c r="O20" s="1128"/>
    </row>
    <row r="21" spans="1:15">
      <c r="A21" s="1126"/>
      <c r="B21" s="1127"/>
      <c r="C21" s="1127"/>
      <c r="D21" s="1127"/>
      <c r="E21" s="1127"/>
      <c r="F21" s="1127"/>
      <c r="G21" s="1128"/>
      <c r="I21" s="1126"/>
      <c r="J21" s="1127"/>
      <c r="K21" s="1127"/>
      <c r="L21" s="1127"/>
      <c r="M21" s="1127"/>
      <c r="N21" s="1127"/>
      <c r="O21" s="1128"/>
    </row>
    <row r="22" spans="1:15" ht="15.75" thickBot="1">
      <c r="A22" s="1129"/>
      <c r="B22" s="1130"/>
      <c r="C22" s="1130"/>
      <c r="D22" s="1130"/>
      <c r="E22" s="1130"/>
      <c r="F22" s="1130"/>
      <c r="G22" s="1131"/>
      <c r="I22" s="1129"/>
      <c r="J22" s="1130"/>
      <c r="K22" s="1130"/>
      <c r="L22" s="1130"/>
      <c r="M22" s="1130"/>
      <c r="N22" s="1130"/>
      <c r="O22" s="1131"/>
    </row>
    <row r="23" spans="1:15" ht="15.75" thickBot="1">
      <c r="A23" s="596" t="s">
        <v>619</v>
      </c>
      <c r="I23" s="596" t="s">
        <v>618</v>
      </c>
    </row>
    <row r="24" spans="1:15">
      <c r="A24" s="1123"/>
      <c r="B24" s="1124"/>
      <c r="C24" s="1124"/>
      <c r="D24" s="1124"/>
      <c r="E24" s="1124"/>
      <c r="F24" s="1124"/>
      <c r="G24" s="1125"/>
      <c r="I24" s="1123"/>
      <c r="J24" s="1124"/>
      <c r="K24" s="1124"/>
      <c r="L24" s="1124"/>
      <c r="M24" s="1124"/>
      <c r="N24" s="1124"/>
      <c r="O24" s="1125"/>
    </row>
    <row r="25" spans="1:15">
      <c r="A25" s="1126"/>
      <c r="B25" s="1127"/>
      <c r="C25" s="1127"/>
      <c r="D25" s="1127"/>
      <c r="E25" s="1127"/>
      <c r="F25" s="1127"/>
      <c r="G25" s="1128"/>
      <c r="I25" s="1126"/>
      <c r="J25" s="1127"/>
      <c r="K25" s="1127"/>
      <c r="L25" s="1127"/>
      <c r="M25" s="1127"/>
      <c r="N25" s="1127"/>
      <c r="O25" s="1128"/>
    </row>
    <row r="26" spans="1:15">
      <c r="A26" s="1126"/>
      <c r="B26" s="1127"/>
      <c r="C26" s="1127"/>
      <c r="D26" s="1127"/>
      <c r="E26" s="1127"/>
      <c r="F26" s="1127"/>
      <c r="G26" s="1128"/>
      <c r="I26" s="1126"/>
      <c r="J26" s="1127"/>
      <c r="K26" s="1127"/>
      <c r="L26" s="1127"/>
      <c r="M26" s="1127"/>
      <c r="N26" s="1127"/>
      <c r="O26" s="1128"/>
    </row>
    <row r="27" spans="1:15">
      <c r="A27" s="1126"/>
      <c r="B27" s="1127"/>
      <c r="C27" s="1127"/>
      <c r="D27" s="1127"/>
      <c r="E27" s="1127"/>
      <c r="F27" s="1127"/>
      <c r="G27" s="1128"/>
      <c r="I27" s="1126"/>
      <c r="J27" s="1127"/>
      <c r="K27" s="1127"/>
      <c r="L27" s="1127"/>
      <c r="M27" s="1127"/>
      <c r="N27" s="1127"/>
      <c r="O27" s="1128"/>
    </row>
    <row r="28" spans="1:15">
      <c r="A28" s="1126"/>
      <c r="B28" s="1127"/>
      <c r="C28" s="1127"/>
      <c r="D28" s="1127"/>
      <c r="E28" s="1127"/>
      <c r="F28" s="1127"/>
      <c r="G28" s="1128"/>
      <c r="I28" s="1126"/>
      <c r="J28" s="1127"/>
      <c r="K28" s="1127"/>
      <c r="L28" s="1127"/>
      <c r="M28" s="1127"/>
      <c r="N28" s="1127"/>
      <c r="O28" s="1128"/>
    </row>
    <row r="29" spans="1:15">
      <c r="A29" s="1126"/>
      <c r="B29" s="1127"/>
      <c r="C29" s="1127"/>
      <c r="D29" s="1127"/>
      <c r="E29" s="1127"/>
      <c r="F29" s="1127"/>
      <c r="G29" s="1128"/>
      <c r="I29" s="1126"/>
      <c r="J29" s="1127"/>
      <c r="K29" s="1127"/>
      <c r="L29" s="1127"/>
      <c r="M29" s="1127"/>
      <c r="N29" s="1127"/>
      <c r="O29" s="1128"/>
    </row>
    <row r="30" spans="1:15">
      <c r="A30" s="1126"/>
      <c r="B30" s="1127"/>
      <c r="C30" s="1127"/>
      <c r="D30" s="1127"/>
      <c r="E30" s="1127"/>
      <c r="F30" s="1127"/>
      <c r="G30" s="1128"/>
      <c r="I30" s="1126"/>
      <c r="J30" s="1127"/>
      <c r="K30" s="1127"/>
      <c r="L30" s="1127"/>
      <c r="M30" s="1127"/>
      <c r="N30" s="1127"/>
      <c r="O30" s="1128"/>
    </row>
    <row r="31" spans="1:15" ht="15.75" thickBot="1">
      <c r="A31" s="1129"/>
      <c r="B31" s="1130"/>
      <c r="C31" s="1130"/>
      <c r="D31" s="1130"/>
      <c r="E31" s="1130"/>
      <c r="F31" s="1130"/>
      <c r="G31" s="1131"/>
      <c r="I31" s="1129"/>
      <c r="J31" s="1130"/>
      <c r="K31" s="1130"/>
      <c r="L31" s="1130"/>
      <c r="M31" s="1130"/>
      <c r="N31" s="1130"/>
      <c r="O31" s="1131"/>
    </row>
    <row r="33" spans="9:15" hidden="1" outlineLevel="1">
      <c r="I33" s="596" t="s">
        <v>693</v>
      </c>
    </row>
    <row r="34" spans="9:15" hidden="1" outlineLevel="1">
      <c r="I34" s="598"/>
      <c r="J34" s="599"/>
      <c r="K34" s="599"/>
      <c r="L34" s="599"/>
      <c r="M34" s="599"/>
      <c r="N34" s="599"/>
      <c r="O34" s="600"/>
    </row>
    <row r="35" spans="9:15" hidden="1" outlineLevel="1">
      <c r="I35" s="601"/>
      <c r="J35" s="602"/>
      <c r="K35" s="602"/>
      <c r="L35" s="602"/>
      <c r="M35" s="602"/>
      <c r="N35" s="602"/>
      <c r="O35" s="603"/>
    </row>
    <row r="36" spans="9:15" hidden="1" outlineLevel="1">
      <c r="I36" s="601"/>
      <c r="J36" s="602"/>
      <c r="K36" s="602"/>
      <c r="L36" s="602"/>
      <c r="M36" s="602"/>
      <c r="N36" s="602"/>
      <c r="O36" s="603"/>
    </row>
    <row r="37" spans="9:15" hidden="1" outlineLevel="1">
      <c r="I37" s="601"/>
      <c r="J37" s="602"/>
      <c r="K37" s="602"/>
      <c r="L37" s="602"/>
      <c r="M37" s="602"/>
      <c r="N37" s="602"/>
      <c r="O37" s="603"/>
    </row>
    <row r="38" spans="9:15" hidden="1" outlineLevel="1">
      <c r="I38" s="601"/>
      <c r="J38" s="602"/>
      <c r="K38" s="602"/>
      <c r="L38" s="602"/>
      <c r="M38" s="602"/>
      <c r="N38" s="602"/>
      <c r="O38" s="603"/>
    </row>
    <row r="39" spans="9:15" hidden="1" outlineLevel="1">
      <c r="I39" s="601"/>
      <c r="J39" s="602"/>
      <c r="K39" s="602"/>
      <c r="L39" s="602"/>
      <c r="M39" s="602"/>
      <c r="N39" s="602"/>
      <c r="O39" s="603"/>
    </row>
    <row r="40" spans="9:15" hidden="1" outlineLevel="1">
      <c r="I40" s="601"/>
      <c r="J40" s="602"/>
      <c r="K40" s="602"/>
      <c r="L40" s="602"/>
      <c r="M40" s="602"/>
      <c r="N40" s="602"/>
      <c r="O40" s="603"/>
    </row>
    <row r="41" spans="9:15" hidden="1" outlineLevel="1">
      <c r="I41" s="601"/>
      <c r="J41" s="602"/>
      <c r="K41" s="602"/>
      <c r="L41" s="602"/>
      <c r="M41" s="602"/>
      <c r="N41" s="602"/>
      <c r="O41" s="603"/>
    </row>
    <row r="42" spans="9:15" hidden="1" outlineLevel="1">
      <c r="I42" s="601"/>
      <c r="J42" s="602"/>
      <c r="K42" s="602"/>
      <c r="L42" s="602"/>
      <c r="M42" s="602"/>
      <c r="N42" s="602"/>
      <c r="O42" s="603"/>
    </row>
    <row r="43" spans="9:15" ht="15.75" hidden="1" outlineLevel="1" thickBot="1">
      <c r="I43" s="604"/>
      <c r="J43" s="605"/>
      <c r="K43" s="605"/>
      <c r="L43" s="605"/>
      <c r="M43" s="605"/>
      <c r="N43" s="605"/>
      <c r="O43" s="606"/>
    </row>
    <row r="44" spans="9:15" hidden="1" outlineLevel="1"/>
    <row r="45" spans="9:15" hidden="1" outlineLevel="1"/>
    <row r="46" spans="9:15" hidden="1" outlineLevel="1"/>
    <row r="47" spans="9:15" collapsed="1"/>
    <row r="50" spans="2:2">
      <c r="B50" s="595" t="str">
        <f>Inputs!C22</f>
        <v>AGOSTINHO FRANCISCO DE SOUZA</v>
      </c>
    </row>
    <row r="51" spans="2:2">
      <c r="B51" s="595" t="str">
        <f>Inputs!C23</f>
        <v>MARIETE DIEGUES DE SOUZA</v>
      </c>
    </row>
    <row r="52" spans="2:2">
      <c r="B52" s="595" t="str">
        <f>Inputs!C24</f>
        <v>ELETRO VOLUNTARIOS LTDA</v>
      </c>
    </row>
    <row r="53" spans="2:2">
      <c r="B53" s="595">
        <f>Inputs!C25</f>
        <v>0</v>
      </c>
    </row>
    <row r="54" spans="2:2">
      <c r="B54" s="595">
        <f>Inputs!C26</f>
        <v>0</v>
      </c>
    </row>
    <row r="55" spans="2:2">
      <c r="B55" s="595">
        <f>Inputs!C27</f>
        <v>0</v>
      </c>
    </row>
    <row r="56" spans="2:2">
      <c r="B56" s="595">
        <f>Inputs!C34</f>
        <v>0</v>
      </c>
    </row>
    <row r="57" spans="2:2">
      <c r="B57" s="595">
        <f>Inputs!C35</f>
        <v>0</v>
      </c>
    </row>
    <row r="58" spans="2:2">
      <c r="B58" s="595">
        <f>Inputs!C36</f>
        <v>0</v>
      </c>
    </row>
  </sheetData>
  <sheetProtection algorithmName="SHA-512" hashValue="PlcVic1fU3/9vxVMgAMnJTL/NgnEgX8gX24vIWWgd6D5iYhN8HmALf3YWpg2rghAHQqo+0EDBd0VhFpEIDWb1Q==" saltValue="RZxWDMqBtIIRT/b0www6gA==" spinCount="100000" sheet="1" formatCells="0" formatColumns="0" formatRows="0" insertColumns="0" insertRows="0" insertHyperlinks="0" sort="0" autoFilter="0" pivotTables="0"/>
  <mergeCells count="5">
    <mergeCell ref="A6:G13"/>
    <mergeCell ref="A24:G31"/>
    <mergeCell ref="A15:G22"/>
    <mergeCell ref="I15:O22"/>
    <mergeCell ref="I24:O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6960C-C8D4-4A6E-BC64-43DE9F6D9A89}">
  <sheetPr codeName="Sheet9">
    <tabColor rgb="FF3C1A56"/>
  </sheetPr>
  <dimension ref="A1:O313"/>
  <sheetViews>
    <sheetView showGridLines="0" view="pageBreakPreview" topLeftCell="A10" zoomScale="70" zoomScaleNormal="100" zoomScaleSheetLayoutView="70" workbookViewId="0">
      <selection activeCell="B1" sqref="B1:K284"/>
    </sheetView>
  </sheetViews>
  <sheetFormatPr defaultColWidth="0" defaultRowHeight="22.35" customHeight="1"/>
  <cols>
    <col min="1" max="1" width="2.42578125" style="723" customWidth="1"/>
    <col min="2" max="2" width="16.5703125" style="723" customWidth="1"/>
    <col min="3" max="3" width="20.5703125" style="723" customWidth="1"/>
    <col min="4" max="4" width="16.5703125" style="723" customWidth="1"/>
    <col min="5" max="5" width="17" style="723" customWidth="1"/>
    <col min="6" max="6" width="17.85546875" style="723" customWidth="1"/>
    <col min="7" max="8" width="12.42578125" style="723" customWidth="1"/>
    <col min="9" max="9" width="15.28515625" style="723" customWidth="1"/>
    <col min="10" max="10" width="16.42578125" style="723" customWidth="1"/>
    <col min="11" max="11" width="3.28515625" style="906" customWidth="1"/>
    <col min="12" max="14" width="14.42578125" style="723" customWidth="1"/>
    <col min="15" max="15" width="9.5703125" style="723" bestFit="1" customWidth="1"/>
    <col min="16" max="16384" width="9.42578125" style="723" hidden="1"/>
  </cols>
  <sheetData>
    <row r="1" spans="2:14" ht="22.35" customHeight="1">
      <c r="B1" s="1144"/>
      <c r="C1" s="1144"/>
      <c r="G1" s="1145" t="str">
        <f>UPPER(Inputs!C22)</f>
        <v>AGOSTINHO FRANCISCO DE SOUZA</v>
      </c>
      <c r="H1" s="1145"/>
      <c r="I1" s="1145"/>
      <c r="J1" s="1145"/>
      <c r="K1" s="902"/>
    </row>
    <row r="2" spans="2:14" ht="28.35" customHeight="1">
      <c r="B2" s="1144"/>
      <c r="C2" s="1144"/>
      <c r="G2" s="1146" t="str">
        <f ca="1">"DATA DA PROPOSTA: " &amp; DAY(TODAY())&amp;"/"&amp;MONTH(TODAY())&amp;"/"&amp;YEAR(TODAY())</f>
        <v>DATA DA PROPOSTA: 2/6/2022</v>
      </c>
      <c r="H2" s="1146"/>
      <c r="I2" s="1146"/>
      <c r="J2" s="1146"/>
      <c r="K2" s="903"/>
    </row>
    <row r="3" spans="2:14" ht="29.1" customHeight="1">
      <c r="G3" s="724"/>
      <c r="H3" s="724"/>
      <c r="I3" s="724"/>
      <c r="J3" s="724"/>
      <c r="K3" s="904"/>
      <c r="L3" s="723" t="s">
        <v>111</v>
      </c>
      <c r="M3" s="723">
        <v>0</v>
      </c>
      <c r="N3" s="723" t="s">
        <v>111</v>
      </c>
    </row>
    <row r="4" spans="2:14" ht="22.35" customHeight="1">
      <c r="B4" s="725"/>
      <c r="C4" s="725"/>
      <c r="D4" s="725"/>
      <c r="E4" s="725"/>
      <c r="F4" s="725"/>
      <c r="G4" s="726"/>
      <c r="H4" s="726"/>
      <c r="I4" s="726"/>
      <c r="J4" s="726"/>
      <c r="K4" s="904"/>
      <c r="L4" s="723" t="s">
        <v>98</v>
      </c>
      <c r="M4" s="723">
        <v>1</v>
      </c>
      <c r="N4" s="723" t="s">
        <v>98</v>
      </c>
    </row>
    <row r="5" spans="2:14" ht="30" customHeight="1">
      <c r="B5" s="725"/>
      <c r="C5" s="708" t="s">
        <v>58</v>
      </c>
      <c r="D5" s="727"/>
      <c r="E5" s="727"/>
      <c r="F5" s="727"/>
      <c r="G5" s="727"/>
      <c r="H5" s="727"/>
      <c r="I5" s="727"/>
      <c r="J5" s="727"/>
      <c r="K5" s="738"/>
      <c r="L5" s="723" t="s">
        <v>99</v>
      </c>
      <c r="M5" s="723">
        <v>2</v>
      </c>
      <c r="N5" s="723" t="s">
        <v>99</v>
      </c>
    </row>
    <row r="6" spans="2:14" ht="14.1" customHeight="1">
      <c r="B6" s="725"/>
      <c r="C6" s="727"/>
      <c r="D6" s="727"/>
      <c r="E6" s="727"/>
      <c r="F6" s="727"/>
      <c r="G6" s="727"/>
      <c r="H6" s="727"/>
      <c r="I6" s="727"/>
      <c r="J6" s="727"/>
      <c r="K6" s="738"/>
      <c r="L6" s="723" t="s">
        <v>100</v>
      </c>
      <c r="M6" s="723">
        <v>3</v>
      </c>
      <c r="N6" s="723" t="s">
        <v>100</v>
      </c>
    </row>
    <row r="7" spans="2:14" ht="22.35" customHeight="1">
      <c r="B7" s="725"/>
      <c r="C7" s="709" t="s">
        <v>59</v>
      </c>
      <c r="D7" s="727"/>
      <c r="E7" s="727"/>
      <c r="F7" s="727"/>
      <c r="G7" s="727"/>
      <c r="H7" s="727"/>
      <c r="I7" s="727"/>
      <c r="J7" s="727"/>
      <c r="K7" s="738"/>
      <c r="L7" s="723" t="s">
        <v>101</v>
      </c>
      <c r="M7" s="723">
        <v>4</v>
      </c>
      <c r="N7" s="723" t="s">
        <v>101</v>
      </c>
    </row>
    <row r="8" spans="2:14" ht="22.35" customHeight="1">
      <c r="B8" s="725"/>
      <c r="C8" s="709" t="s">
        <v>60</v>
      </c>
      <c r="D8" s="727"/>
      <c r="E8" s="727"/>
      <c r="F8" s="727"/>
      <c r="G8" s="727"/>
      <c r="H8" s="727"/>
      <c r="I8" s="727"/>
      <c r="J8" s="727"/>
      <c r="K8" s="738"/>
      <c r="L8" s="723" t="s">
        <v>102</v>
      </c>
      <c r="M8" s="723">
        <v>5</v>
      </c>
      <c r="N8" s="723" t="s">
        <v>102</v>
      </c>
    </row>
    <row r="9" spans="2:14" ht="22.35" customHeight="1">
      <c r="B9" s="710"/>
      <c r="C9" s="727"/>
      <c r="D9" s="727"/>
      <c r="E9" s="727"/>
      <c r="F9" s="727"/>
      <c r="G9" s="727"/>
      <c r="H9" s="727"/>
      <c r="I9" s="727"/>
      <c r="J9" s="727"/>
      <c r="K9" s="738"/>
      <c r="L9" s="723" t="s">
        <v>103</v>
      </c>
      <c r="M9" s="723">
        <v>6</v>
      </c>
      <c r="N9" s="723" t="s">
        <v>103</v>
      </c>
    </row>
    <row r="10" spans="2:14" ht="22.35" customHeight="1">
      <c r="B10" s="710"/>
      <c r="C10" s="711">
        <f ca="1">J23</f>
        <v>185234.90145170517</v>
      </c>
      <c r="D10" s="727"/>
      <c r="E10" s="712">
        <f>E25</f>
        <v>9.1999999999999998E-3</v>
      </c>
      <c r="F10" s="725"/>
      <c r="G10" s="713">
        <f ca="1">E21</f>
        <v>228</v>
      </c>
      <c r="H10" s="712"/>
      <c r="I10" s="725"/>
      <c r="J10" s="727"/>
      <c r="K10" s="738"/>
      <c r="L10" s="723" t="s">
        <v>104</v>
      </c>
      <c r="M10" s="723">
        <v>7</v>
      </c>
      <c r="N10" s="723" t="s">
        <v>104</v>
      </c>
    </row>
    <row r="11" spans="2:14" ht="22.35" customHeight="1">
      <c r="B11" s="710"/>
      <c r="C11" s="727" t="s">
        <v>61</v>
      </c>
      <c r="D11" s="727"/>
      <c r="E11" s="727" t="s">
        <v>57</v>
      </c>
      <c r="F11" s="725"/>
      <c r="G11" s="727" t="s">
        <v>62</v>
      </c>
      <c r="H11" s="725"/>
      <c r="I11" s="725"/>
      <c r="J11" s="727"/>
      <c r="K11" s="738"/>
      <c r="L11" s="723" t="s">
        <v>105</v>
      </c>
      <c r="M11" s="723">
        <v>8</v>
      </c>
      <c r="N11" s="723" t="s">
        <v>105</v>
      </c>
    </row>
    <row r="12" spans="2:14" ht="22.35" customHeight="1">
      <c r="B12" s="710"/>
      <c r="C12" s="727"/>
      <c r="D12" s="727"/>
      <c r="E12" s="727"/>
      <c r="F12" s="727"/>
      <c r="G12" s="727"/>
      <c r="H12" s="727"/>
      <c r="I12" s="727"/>
      <c r="J12" s="727"/>
      <c r="K12" s="738"/>
      <c r="L12" s="723" t="s">
        <v>106</v>
      </c>
      <c r="M12" s="723">
        <v>9</v>
      </c>
      <c r="N12" s="723" t="s">
        <v>106</v>
      </c>
    </row>
    <row r="13" spans="2:14" ht="22.35" customHeight="1">
      <c r="B13" s="710"/>
      <c r="C13" s="714" t="str">
        <f>E19</f>
        <v>SAC</v>
      </c>
      <c r="D13" s="727"/>
      <c r="E13" s="712">
        <f ca="1">E26</f>
        <v>0.14409638500653799</v>
      </c>
      <c r="F13" s="725"/>
      <c r="G13" s="715" t="str">
        <f ca="1">E23</f>
        <v>Nenhum</v>
      </c>
      <c r="H13" s="725"/>
      <c r="I13" s="725"/>
      <c r="J13" s="727"/>
      <c r="K13" s="738"/>
      <c r="L13" s="723" t="s">
        <v>107</v>
      </c>
      <c r="M13" s="723">
        <v>10</v>
      </c>
      <c r="N13" s="723" t="s">
        <v>107</v>
      </c>
    </row>
    <row r="14" spans="2:14" ht="22.35" customHeight="1">
      <c r="B14" s="710"/>
      <c r="C14" s="727" t="s">
        <v>63</v>
      </c>
      <c r="D14" s="727"/>
      <c r="E14" s="727" t="s">
        <v>64</v>
      </c>
      <c r="F14" s="725"/>
      <c r="G14" s="727" t="s">
        <v>65</v>
      </c>
      <c r="H14" s="725"/>
      <c r="I14" s="725"/>
      <c r="J14" s="727"/>
      <c r="K14" s="738"/>
      <c r="L14" s="723" t="s">
        <v>108</v>
      </c>
      <c r="M14" s="723">
        <v>11</v>
      </c>
      <c r="N14" s="723" t="s">
        <v>108</v>
      </c>
    </row>
    <row r="15" spans="2:14" ht="22.35" customHeight="1">
      <c r="B15" s="710"/>
      <c r="C15" s="727"/>
      <c r="D15" s="727"/>
      <c r="E15" s="727"/>
      <c r="F15" s="725"/>
      <c r="G15" s="727"/>
      <c r="H15" s="725"/>
      <c r="I15" s="725"/>
      <c r="J15" s="727"/>
      <c r="K15" s="738"/>
      <c r="L15" s="723" t="s">
        <v>109</v>
      </c>
      <c r="M15" s="723">
        <v>12</v>
      </c>
      <c r="N15" s="723" t="s">
        <v>109</v>
      </c>
    </row>
    <row r="16" spans="2:14" ht="24" customHeight="1">
      <c r="B16" s="716"/>
      <c r="C16" s="728"/>
      <c r="D16" s="728"/>
      <c r="E16" s="728"/>
      <c r="F16" s="728"/>
      <c r="G16" s="728"/>
      <c r="H16" s="728"/>
      <c r="I16" s="728"/>
      <c r="J16" s="728"/>
      <c r="K16" s="905"/>
    </row>
    <row r="17" spans="2:12" ht="40.35" customHeight="1"/>
    <row r="18" spans="2:12" ht="22.35" customHeight="1" thickBot="1">
      <c r="B18" s="729" t="s">
        <v>66</v>
      </c>
      <c r="C18" s="730"/>
      <c r="D18" s="731"/>
      <c r="E18" s="732"/>
      <c r="G18" s="733" t="s">
        <v>67</v>
      </c>
      <c r="H18" s="734"/>
      <c r="I18" s="734"/>
      <c r="J18" s="735"/>
      <c r="K18" s="907"/>
    </row>
    <row r="19" spans="2:12" ht="22.35" customHeight="1" thickTop="1">
      <c r="B19" s="736" t="s">
        <v>63</v>
      </c>
      <c r="C19" s="736"/>
      <c r="E19" s="737" t="str">
        <f>Inputs!D13</f>
        <v>SAC</v>
      </c>
      <c r="G19" s="742" t="s">
        <v>68</v>
      </c>
      <c r="H19" s="727"/>
      <c r="I19" s="725"/>
      <c r="J19" s="739">
        <f ca="1">J23/J25</f>
        <v>0.49264601449921586</v>
      </c>
      <c r="K19" s="739"/>
    </row>
    <row r="20" spans="2:12" ht="22.35" customHeight="1">
      <c r="B20" s="736" t="s">
        <v>69</v>
      </c>
      <c r="C20" s="736"/>
      <c r="E20" s="737" t="s">
        <v>110</v>
      </c>
      <c r="G20" s="742" t="s">
        <v>3</v>
      </c>
      <c r="H20" s="727"/>
      <c r="I20" s="725"/>
      <c r="J20" s="740">
        <f ca="1">IF(E19="SAC",SAC_CORR!C4,PRICE_CORR!C4)</f>
        <v>6224.2314517051609</v>
      </c>
      <c r="K20" s="740"/>
    </row>
    <row r="21" spans="2:12" ht="22.35" customHeight="1">
      <c r="B21" s="736" t="s">
        <v>70</v>
      </c>
      <c r="C21" s="736"/>
      <c r="E21" s="741">
        <f ca="1">IF(E19="SAC",SAC_CORR!C8,PRICE_CORR!C8)</f>
        <v>228</v>
      </c>
      <c r="G21" s="742" t="s">
        <v>4</v>
      </c>
      <c r="H21" s="727"/>
      <c r="I21" s="725"/>
      <c r="J21" s="740">
        <f>IF(E19="SAC",SAC_CORR!C5,PRICE_CORR!C5)</f>
        <v>6768</v>
      </c>
      <c r="K21" s="740"/>
    </row>
    <row r="22" spans="2:12" ht="22.35" customHeight="1">
      <c r="B22" s="736" t="s">
        <v>11</v>
      </c>
      <c r="C22" s="736"/>
      <c r="E22" s="741">
        <f>IF(E19="SAC",SAC_CORR!C12,PRICE_CORR!C12)</f>
        <v>6</v>
      </c>
      <c r="G22" s="742" t="s">
        <v>71</v>
      </c>
      <c r="H22" s="727"/>
      <c r="I22" s="725"/>
      <c r="J22" s="740">
        <f>IF(E19="SAC",SAC_CORR!C6,PRICE_CORR!C6)</f>
        <v>3042.67</v>
      </c>
      <c r="K22" s="740"/>
    </row>
    <row r="23" spans="2:12" ht="22.35" customHeight="1">
      <c r="B23" s="736" t="s">
        <v>72</v>
      </c>
      <c r="C23" s="736"/>
      <c r="E23" s="741" t="str">
        <f ca="1">VLOOKUP(IF(E21="SAC",SAC_CORR!C13,PRICE_CORR!C13),M3:N15,2,0)</f>
        <v>Nenhum</v>
      </c>
      <c r="G23" s="742" t="s">
        <v>73</v>
      </c>
      <c r="H23" s="727"/>
      <c r="I23" s="725"/>
      <c r="J23" s="740">
        <f ca="1">IF(E19="SAC",SAC_CORR!C2,PRICE_CORR!C2)</f>
        <v>185234.90145170517</v>
      </c>
      <c r="K23" s="740"/>
    </row>
    <row r="24" spans="2:12" ht="22.35" customHeight="1">
      <c r="B24" s="736" t="s">
        <v>74</v>
      </c>
      <c r="C24" s="736"/>
      <c r="E24" s="743">
        <f>IF(E19="SAC",SAC_CORR!F3,PRICE_CORR!F3)</f>
        <v>30</v>
      </c>
      <c r="G24" s="742" t="s">
        <v>6</v>
      </c>
      <c r="H24" s="727"/>
      <c r="I24" s="725"/>
      <c r="J24" s="740">
        <f>IF(E19="SAC",SAC_CORR!C7,PRICE_CORR!C7)</f>
        <v>169200</v>
      </c>
      <c r="K24" s="740"/>
    </row>
    <row r="25" spans="2:12" ht="22.35" customHeight="1">
      <c r="B25" s="736" t="s">
        <v>75</v>
      </c>
      <c r="C25" s="736"/>
      <c r="E25" s="744">
        <f>IF(E19="SAC",SAC_CORR!C9,PRICE_CORR!C9)</f>
        <v>9.1999999999999998E-3</v>
      </c>
      <c r="G25" s="742" t="s">
        <v>76</v>
      </c>
      <c r="H25" s="727"/>
      <c r="I25" s="725"/>
      <c r="J25" s="740">
        <f>IF(E19="SAC",SAC_CORR!C11,PRICE_CORR!C11)</f>
        <v>376000</v>
      </c>
      <c r="K25" s="740"/>
    </row>
    <row r="26" spans="2:12" ht="22.35" customHeight="1">
      <c r="B26" s="736" t="s">
        <v>77</v>
      </c>
      <c r="C26" s="736"/>
      <c r="E26" s="745">
        <f ca="1">IF(E19="SAC",SAC_CORR!C14,PRICE_CORR!C14)</f>
        <v>0.14409638500653799</v>
      </c>
      <c r="G26" s="742" t="s">
        <v>78</v>
      </c>
      <c r="H26" s="727"/>
      <c r="I26" s="725"/>
      <c r="J26" s="740">
        <f ca="1">IF(E19="SAC",SAC_CORR!C10,PRICE_CORR!C10)</f>
        <v>2800.5200244188391</v>
      </c>
      <c r="K26" s="740"/>
    </row>
    <row r="29" spans="2:12" ht="22.35" customHeight="1">
      <c r="B29" s="746" t="s">
        <v>96</v>
      </c>
      <c r="C29" s="746"/>
      <c r="D29" s="746"/>
      <c r="E29" s="746" t="s">
        <v>96</v>
      </c>
      <c r="F29" s="746"/>
      <c r="G29" s="746"/>
      <c r="H29" s="746" t="s">
        <v>97</v>
      </c>
      <c r="I29" s="747"/>
      <c r="J29" s="747"/>
      <c r="K29" s="908"/>
    </row>
    <row r="30" spans="2:12" ht="22.35" customHeight="1">
      <c r="B30" s="1147" t="s">
        <v>79</v>
      </c>
      <c r="C30" s="1147"/>
      <c r="D30" s="747"/>
      <c r="E30" s="1147" t="s">
        <v>79</v>
      </c>
      <c r="F30" s="1147"/>
      <c r="G30" s="747"/>
      <c r="H30" s="1147" t="s">
        <v>79</v>
      </c>
      <c r="I30" s="1147"/>
      <c r="J30" s="747"/>
      <c r="K30" s="908"/>
    </row>
    <row r="31" spans="2:12" ht="22.35" customHeight="1">
      <c r="B31" s="748" t="s">
        <v>11029</v>
      </c>
      <c r="C31" s="749">
        <v>2160.71</v>
      </c>
      <c r="D31" s="747"/>
      <c r="E31" s="748" t="str">
        <f>IF(Inputs!AK55&lt;&gt;0,Inputs!V55,"")</f>
        <v/>
      </c>
      <c r="F31" s="749" t="str">
        <f>IF(E31&lt;&gt;"",Inputs!AK55,"")</f>
        <v/>
      </c>
      <c r="G31" s="747"/>
      <c r="H31" s="748" t="str">
        <f>IF(Inputs!AK77&lt;&gt;0,Inputs!V77,"")</f>
        <v/>
      </c>
      <c r="I31" s="750" t="str">
        <f>IF(H31&lt;&gt;"",Inputs!AK77,"")</f>
        <v/>
      </c>
      <c r="J31" s="747"/>
      <c r="K31" s="908"/>
      <c r="L31" s="751"/>
    </row>
    <row r="32" spans="2:12" ht="22.35" customHeight="1">
      <c r="B32" s="748" t="str">
        <f>IF(Inputs!AK45&lt;&gt;0,Inputs!V45,"")</f>
        <v/>
      </c>
      <c r="C32" s="749" t="str">
        <f>IF(B32&lt;&gt;"",Inputs!AK45,"")</f>
        <v/>
      </c>
      <c r="D32" s="747"/>
      <c r="E32" s="748" t="str">
        <f>IF(Inputs!AK56&lt;&gt;0,Inputs!V56,"")</f>
        <v/>
      </c>
      <c r="F32" s="749" t="str">
        <f>IF(E32&lt;&gt;"",Inputs!AK56,"")</f>
        <v/>
      </c>
      <c r="G32" s="747"/>
      <c r="H32" s="748" t="str">
        <f>IF(Inputs!AK78&lt;&gt;0,Inputs!V78,"")</f>
        <v/>
      </c>
      <c r="I32" s="750" t="str">
        <f>IF(H32&lt;&gt;"",Inputs!AK78,"")</f>
        <v/>
      </c>
      <c r="J32" s="747"/>
      <c r="K32" s="908"/>
      <c r="L32" s="751"/>
    </row>
    <row r="33" spans="2:15" ht="22.35" customHeight="1">
      <c r="B33" s="748" t="str">
        <f>IF(Inputs!AK46&lt;&gt;0,Inputs!V46,"")</f>
        <v/>
      </c>
      <c r="C33" s="749" t="str">
        <f>IF(B33&lt;&gt;"",Inputs!AK46,"")</f>
        <v/>
      </c>
      <c r="D33" s="747"/>
      <c r="E33" s="748"/>
      <c r="F33" s="749"/>
      <c r="G33" s="747"/>
      <c r="H33" s="748" t="str">
        <f>IF(Inputs!AK79&lt;&gt;0,Inputs!V79,"")</f>
        <v/>
      </c>
      <c r="I33" s="750" t="str">
        <f>IF(H33&lt;&gt;"",Inputs!AK79,"")</f>
        <v/>
      </c>
      <c r="J33" s="747"/>
      <c r="K33" s="908"/>
    </row>
    <row r="34" spans="2:15" ht="22.35" customHeight="1">
      <c r="B34" s="748" t="str">
        <f>IF(Inputs!AK47&lt;&gt;0,Inputs!V47,"")</f>
        <v/>
      </c>
      <c r="C34" s="749" t="str">
        <f>IF(B34&lt;&gt;"",Inputs!AK47,"")</f>
        <v/>
      </c>
      <c r="D34" s="747"/>
      <c r="E34" s="748" t="str">
        <f>IF(Inputs!AK58&lt;&gt;0,Inputs!V58,"")</f>
        <v/>
      </c>
      <c r="F34" s="749" t="str">
        <f>IF(E34&lt;&gt;"",Inputs!AK58,"")</f>
        <v/>
      </c>
      <c r="G34" s="747"/>
      <c r="H34" s="748" t="str">
        <f>IF(Inputs!AK80&lt;&gt;0,Inputs!V80,"")</f>
        <v/>
      </c>
      <c r="I34" s="750" t="str">
        <f>IF(H34&lt;&gt;"",Inputs!AK80,"")</f>
        <v/>
      </c>
      <c r="J34" s="747"/>
      <c r="K34" s="908"/>
    </row>
    <row r="35" spans="2:15" ht="25.5" customHeight="1">
      <c r="B35" s="748" t="str">
        <f>IF(Inputs!AK48&lt;&gt;0,Inputs!V48,"")</f>
        <v/>
      </c>
      <c r="C35" s="749" t="str">
        <f>IF(B35&lt;&gt;"",Inputs!AK48,"")</f>
        <v/>
      </c>
      <c r="D35" s="747"/>
      <c r="E35" s="748" t="str">
        <f>IF(Inputs!AK59&lt;&gt;0,Inputs!V59,"")</f>
        <v/>
      </c>
      <c r="F35" s="749" t="str">
        <f>IF(E35&lt;&gt;"",Inputs!AK59,"")</f>
        <v/>
      </c>
      <c r="G35" s="747"/>
      <c r="H35" s="748" t="str">
        <f>IF(Inputs!AK81&lt;&gt;0,Inputs!V81,"")</f>
        <v/>
      </c>
      <c r="I35" s="750" t="str">
        <f>IF(H35&lt;&gt;"",Inputs!AK81,"")</f>
        <v/>
      </c>
      <c r="J35" s="747"/>
      <c r="K35" s="908"/>
    </row>
    <row r="36" spans="2:15" ht="25.5" customHeight="1">
      <c r="B36" s="748" t="str">
        <f>IF(Inputs!AK49&lt;&gt;0,Inputs!V49,"")</f>
        <v/>
      </c>
      <c r="C36" s="749" t="str">
        <f>IF(B36&lt;&gt;"",Inputs!AK49,"")</f>
        <v/>
      </c>
      <c r="D36" s="747"/>
      <c r="E36" s="748" t="str">
        <f>IF(Inputs!AK60&lt;&gt;0,Inputs!V60,"")</f>
        <v/>
      </c>
      <c r="F36" s="749" t="str">
        <f>IF(E36&lt;&gt;"",Inputs!AK60,"")</f>
        <v/>
      </c>
      <c r="G36" s="747"/>
      <c r="H36" s="748"/>
      <c r="I36" s="750" t="str">
        <f>IF(H36&lt;&gt;"",Inputs!AK82,"")</f>
        <v/>
      </c>
      <c r="J36" s="747"/>
      <c r="K36" s="908"/>
    </row>
    <row r="37" spans="2:15" ht="22.35" customHeight="1">
      <c r="B37" s="748" t="str">
        <f>IF(Inputs!AK50&lt;&gt;0,Inputs!V50,"")</f>
        <v/>
      </c>
      <c r="C37" s="749" t="str">
        <f>IF(B37&lt;&gt;"",Inputs!AK50,"")</f>
        <v/>
      </c>
      <c r="D37" s="747"/>
      <c r="E37" s="748" t="str">
        <f>IF(Inputs!AK61&lt;&gt;0,Inputs!V61,"")</f>
        <v/>
      </c>
      <c r="F37" s="749" t="str">
        <f>IF(E37&lt;&gt;"",Inputs!AK61,"")</f>
        <v/>
      </c>
      <c r="G37" s="747"/>
      <c r="H37" s="748" t="str">
        <f>IF(Inputs!AK83&lt;&gt;0,Inputs!V83,"")</f>
        <v/>
      </c>
      <c r="I37" s="750" t="str">
        <f>IF(H37&lt;&gt;"",Inputs!AK83,"")</f>
        <v/>
      </c>
      <c r="J37" s="747"/>
      <c r="K37" s="908"/>
    </row>
    <row r="38" spans="2:15" ht="22.35" customHeight="1">
      <c r="B38" s="723" t="s">
        <v>80</v>
      </c>
      <c r="C38" s="752">
        <f>SUM(C31:C37)</f>
        <v>2160.71</v>
      </c>
      <c r="E38" s="723" t="s">
        <v>80</v>
      </c>
      <c r="F38" s="752">
        <f>SUM(F31:F37)</f>
        <v>0</v>
      </c>
      <c r="H38" s="723" t="s">
        <v>80</v>
      </c>
      <c r="I38" s="752">
        <f>SUM(I31:I37)</f>
        <v>0</v>
      </c>
    </row>
    <row r="39" spans="2:15" ht="22.35" customHeight="1">
      <c r="B39" s="747"/>
      <c r="C39" s="747" t="s">
        <v>81</v>
      </c>
      <c r="D39" s="747"/>
      <c r="E39" s="747"/>
      <c r="F39" s="747"/>
      <c r="G39" s="747"/>
      <c r="H39" s="747"/>
      <c r="I39" s="747"/>
      <c r="J39" s="747"/>
      <c r="K39" s="908"/>
    </row>
    <row r="40" spans="2:15" ht="15" customHeight="1">
      <c r="B40" s="753"/>
      <c r="C40" s="754"/>
      <c r="D40" s="754"/>
      <c r="E40" s="754"/>
      <c r="F40" s="754"/>
      <c r="G40" s="754"/>
      <c r="H40" s="754"/>
      <c r="I40" s="754"/>
      <c r="J40" s="755"/>
      <c r="K40" s="909"/>
      <c r="N40" s="756">
        <f ca="1">((IRR(N43:N284,0.001)+1)^12)-1</f>
        <v>0.1440963850065351</v>
      </c>
      <c r="O40" s="757">
        <f ca="1">SUM(O43:XFD284)/J23</f>
        <v>2.8095104164390289E-2</v>
      </c>
    </row>
    <row r="41" spans="2:15" ht="12" customHeight="1" thickBot="1"/>
    <row r="42" spans="2:15" ht="46.35" customHeight="1" thickBot="1">
      <c r="B42" s="758" t="s">
        <v>14</v>
      </c>
      <c r="C42" s="759" t="s">
        <v>82</v>
      </c>
      <c r="D42" s="759" t="s">
        <v>15</v>
      </c>
      <c r="E42" s="759" t="s">
        <v>16</v>
      </c>
      <c r="F42" s="759" t="s">
        <v>17</v>
      </c>
      <c r="G42" s="759" t="s">
        <v>18</v>
      </c>
      <c r="H42" s="759" t="s">
        <v>19</v>
      </c>
      <c r="I42" s="759" t="s">
        <v>83</v>
      </c>
      <c r="J42" s="760" t="s">
        <v>21</v>
      </c>
      <c r="K42" s="910"/>
      <c r="N42" s="761" t="s">
        <v>50</v>
      </c>
      <c r="O42" s="761" t="s">
        <v>84</v>
      </c>
    </row>
    <row r="43" spans="2:15" ht="22.35" customHeight="1" thickTop="1" thickBot="1">
      <c r="B43" s="762">
        <f>IF($E$19="SAC",SAC_CORR!B18,PRICE_CORR!B18)</f>
        <v>44720</v>
      </c>
      <c r="C43" s="763">
        <f>IFERROR(D43+E43,"")</f>
        <v>0</v>
      </c>
      <c r="D43" s="764">
        <f>IF($E$19="SAC",SAC_CORR!C18,PRICE_CORR!C18)</f>
        <v>0</v>
      </c>
      <c r="E43" s="764">
        <f>IF($E$19="SAC",IF(SAC_CORR!$J18="Carencia",0,SAC_CORR!D18),IF(PRICE_CORR!$J18="Carencia",0,PRICE_CORR!D18))</f>
        <v>0</v>
      </c>
      <c r="F43" s="764">
        <f ca="1">IF($E$19="SAC",SAC_CORR!E18,PRICE_CORR!E18)</f>
        <v>185234.90145170517</v>
      </c>
      <c r="G43" s="764">
        <f>IF($E$19="SAC",IF(SAC_CORR!$J18="Carencia",0,SAC_CORR!F18),IF(PRICE_CORR!$J18="Carencia",0,PRICE_CORR!F18))</f>
        <v>0</v>
      </c>
      <c r="H43" s="764">
        <f>IF($E$19="SAC",IF(SAC_CORR!$J18="Carencia",0,SAC_CORR!G18),IF(PRICE_CORR!$J18="Carencia",0,PRICE_CORR!G18))</f>
        <v>0</v>
      </c>
      <c r="I43" s="764">
        <f>IF($E$19="SAC",IF(SAC_CORR!$J18="Carencia",0,SAC_CORR!H18),IF(PRICE_CORR!$J18="Carencia",0,PRICE_CORR!H18))</f>
        <v>0</v>
      </c>
      <c r="J43" s="764">
        <f>IF($E$19="SAC",SAC_CORR!I18,PRICE_CORR!I18)</f>
        <v>0</v>
      </c>
      <c r="K43" s="911"/>
      <c r="N43" s="765">
        <f ca="1">-J23+J20+J43+J22+J21</f>
        <v>-169200</v>
      </c>
      <c r="O43" s="766">
        <f t="shared" ref="O43:O106" si="0">(G43+H43)/(1.008)^(12*(B43-$B$43)/365)</f>
        <v>0</v>
      </c>
    </row>
    <row r="44" spans="2:15" ht="22.35" customHeight="1" thickTop="1" thickBot="1">
      <c r="B44" s="762">
        <f>IF($E$19="SAC",SAC_CORR!B19,PRICE_CORR!B19)</f>
        <v>44742</v>
      </c>
      <c r="C44" s="763">
        <f t="shared" ref="C44:C107" si="1">IFERROR(D44+E44,"")</f>
        <v>0</v>
      </c>
      <c r="D44" s="764">
        <f>IF($E$19="SAC",SAC_CORR!C19,PRICE_CORR!C19)</f>
        <v>0</v>
      </c>
      <c r="E44" s="764">
        <f>IF($E$19="SAC",IF(SAC_CORR!$J19="Carencia",0,SAC_CORR!D19),IF(PRICE_CORR!$J19="Carencia",0,PRICE_CORR!D19))</f>
        <v>0</v>
      </c>
      <c r="F44" s="764">
        <f ca="1">IF($E$19="SAC",SAC_CORR!E19,PRICE_CORR!E19)</f>
        <v>186483.09252322034</v>
      </c>
      <c r="G44" s="764">
        <f>IF($E$19="SAC",IF(SAC_CORR!$J19="Carencia",0,SAC_CORR!F19),IF(PRICE_CORR!$J19="Carencia",0,PRICE_CORR!F19))</f>
        <v>0</v>
      </c>
      <c r="H44" s="764">
        <f>IF($E$19="SAC",IF(SAC_CORR!$J19="Carencia",0,SAC_CORR!G19),IF(PRICE_CORR!$J19="Carencia",0,PRICE_CORR!G19))</f>
        <v>0</v>
      </c>
      <c r="I44" s="764">
        <f>IF($E$19="SAC",IF(SAC_CORR!$J19="Carencia",0,SAC_CORR!H19),IF(PRICE_CORR!$J19="Carencia",0,PRICE_CORR!H19))</f>
        <v>0</v>
      </c>
      <c r="J44" s="764">
        <f>IF($E$19="SAC",SAC_CORR!I19,PRICE_CORR!I19)</f>
        <v>0</v>
      </c>
      <c r="K44" s="911"/>
      <c r="N44" s="765" t="str">
        <f>IF(MONTH(B44)=MONTH(B43),"",J44)</f>
        <v/>
      </c>
      <c r="O44" s="766">
        <f t="shared" si="0"/>
        <v>0</v>
      </c>
    </row>
    <row r="45" spans="2:15" ht="22.35" customHeight="1" thickTop="1" thickBot="1">
      <c r="B45" s="762">
        <f>IF($E$19="SAC",SAC_CORR!B20,PRICE_CORR!B20)</f>
        <v>44772</v>
      </c>
      <c r="C45" s="763">
        <f t="shared" si="1"/>
        <v>0</v>
      </c>
      <c r="D45" s="764">
        <f>IF($E$19="SAC",SAC_CORR!C20,PRICE_CORR!C20)</f>
        <v>0</v>
      </c>
      <c r="E45" s="764">
        <f>IF($E$19="SAC",IF(SAC_CORR!$J20="Carencia",0,SAC_CORR!D20),IF(PRICE_CORR!$J20="Carencia",0,PRICE_CORR!D20))</f>
        <v>0</v>
      </c>
      <c r="F45" s="764">
        <f ca="1">IF($E$19="SAC",SAC_CORR!E20,PRICE_CORR!E20)</f>
        <v>188289.21842389231</v>
      </c>
      <c r="G45" s="764">
        <f>IF($E$19="SAC",IF(SAC_CORR!$J20="Carencia",0,SAC_CORR!F20),IF(PRICE_CORR!$J20="Carencia",0,PRICE_CORR!F20))</f>
        <v>0</v>
      </c>
      <c r="H45" s="764">
        <f>IF($E$19="SAC",IF(SAC_CORR!$J20="Carencia",0,SAC_CORR!G20),IF(PRICE_CORR!$J20="Carencia",0,PRICE_CORR!G20))</f>
        <v>0</v>
      </c>
      <c r="I45" s="764">
        <f>IF($E$19="SAC",IF(SAC_CORR!$J20="Carencia",0,SAC_CORR!H20),IF(PRICE_CORR!$J20="Carencia",0,PRICE_CORR!H20))</f>
        <v>0</v>
      </c>
      <c r="J45" s="764">
        <f>IF($E$19="SAC",SAC_CORR!I20,PRICE_CORR!I20)</f>
        <v>0</v>
      </c>
      <c r="K45" s="911"/>
      <c r="N45" s="765">
        <f t="shared" ref="N45:N108" si="2">J45</f>
        <v>0</v>
      </c>
      <c r="O45" s="766">
        <f t="shared" si="0"/>
        <v>0</v>
      </c>
    </row>
    <row r="46" spans="2:15" ht="22.35" customHeight="1" thickTop="1" thickBot="1">
      <c r="B46" s="762">
        <f ca="1">IF($E$19="SAC",SAC_CORR!B21,PRICE_CORR!B21)</f>
        <v>44803</v>
      </c>
      <c r="C46" s="763">
        <f t="shared" ca="1" si="1"/>
        <v>0</v>
      </c>
      <c r="D46" s="764">
        <f ca="1">IF($E$19="SAC",SAC_CORR!C21,PRICE_CORR!C21)</f>
        <v>0</v>
      </c>
      <c r="E46" s="764">
        <f ca="1">IF($E$19="SAC",IF(SAC_CORR!$J21="Carencia",0,SAC_CORR!D21),IF(PRICE_CORR!$J21="Carencia",0,PRICE_CORR!D21))</f>
        <v>0</v>
      </c>
      <c r="F46" s="764">
        <f ca="1">IF($E$19="SAC",SAC_CORR!E21,PRICE_CORR!E21)</f>
        <v>190112.33996928987</v>
      </c>
      <c r="G46" s="764">
        <f ca="1">IF($E$19="SAC",IF(SAC_CORR!$J21="Carencia",0,SAC_CORR!F21),IF(PRICE_CORR!$J21="Carencia",0,PRICE_CORR!F21))</f>
        <v>0</v>
      </c>
      <c r="H46" s="764">
        <f ca="1">IF($E$19="SAC",IF(SAC_CORR!$J21="Carencia",0,SAC_CORR!G21),IF(PRICE_CORR!$J21="Carencia",0,PRICE_CORR!G21))</f>
        <v>0</v>
      </c>
      <c r="I46" s="764">
        <f ca="1">IF($E$19="SAC",IF(SAC_CORR!$J21="Carencia",0,SAC_CORR!H21),IF(PRICE_CORR!$J21="Carencia",0,PRICE_CORR!H21))</f>
        <v>0</v>
      </c>
      <c r="J46" s="764">
        <f ca="1">IF($E$19="SAC",SAC_CORR!I21,PRICE_CORR!I21)</f>
        <v>0</v>
      </c>
      <c r="K46" s="911"/>
      <c r="N46" s="765">
        <f t="shared" ca="1" si="2"/>
        <v>0</v>
      </c>
      <c r="O46" s="766">
        <f t="shared" ca="1" si="0"/>
        <v>0</v>
      </c>
    </row>
    <row r="47" spans="2:15" ht="22.35" customHeight="1" thickTop="1" thickBot="1">
      <c r="B47" s="762">
        <f ca="1">IF($E$19="SAC",SAC_CORR!B22,PRICE_CORR!B22)</f>
        <v>44834</v>
      </c>
      <c r="C47" s="763">
        <f t="shared" ca="1" si="1"/>
        <v>0</v>
      </c>
      <c r="D47" s="764">
        <f ca="1">IF($E$19="SAC",SAC_CORR!C22,PRICE_CORR!C22)</f>
        <v>0</v>
      </c>
      <c r="E47" s="764">
        <f ca="1">IF($E$19="SAC",IF(SAC_CORR!$J22="Carencia",0,SAC_CORR!D22),IF(PRICE_CORR!$J22="Carencia",0,PRICE_CORR!D22))</f>
        <v>0</v>
      </c>
      <c r="F47" s="764">
        <f ca="1">IF($E$19="SAC",SAC_CORR!E22,PRICE_CORR!E22)</f>
        <v>191952.61708842989</v>
      </c>
      <c r="G47" s="764">
        <f ca="1">IF($E$19="SAC",IF(SAC_CORR!$J22="Carencia",0,SAC_CORR!F22),IF(PRICE_CORR!$J22="Carencia",0,PRICE_CORR!F22))</f>
        <v>0</v>
      </c>
      <c r="H47" s="764">
        <f ca="1">IF($E$19="SAC",IF(SAC_CORR!$J22="Carencia",0,SAC_CORR!G22),IF(PRICE_CORR!$J22="Carencia",0,PRICE_CORR!G22))</f>
        <v>0</v>
      </c>
      <c r="I47" s="764">
        <f ca="1">IF($E$19="SAC",IF(SAC_CORR!$J22="Carencia",0,SAC_CORR!H22),IF(PRICE_CORR!$J22="Carencia",0,PRICE_CORR!H22))</f>
        <v>0</v>
      </c>
      <c r="J47" s="764">
        <f ca="1">IF($E$19="SAC",SAC_CORR!I22,PRICE_CORR!I22)</f>
        <v>0</v>
      </c>
      <c r="K47" s="911"/>
      <c r="N47" s="765">
        <f t="shared" ca="1" si="2"/>
        <v>0</v>
      </c>
      <c r="O47" s="766">
        <f t="shared" ca="1" si="0"/>
        <v>0</v>
      </c>
    </row>
    <row r="48" spans="2:15" ht="22.35" customHeight="1" thickTop="1" thickBot="1">
      <c r="B48" s="762">
        <f ca="1">IF($E$19="SAC",SAC_CORR!B23,PRICE_CORR!B23)</f>
        <v>44864</v>
      </c>
      <c r="C48" s="763">
        <f t="shared" ca="1" si="1"/>
        <v>0</v>
      </c>
      <c r="D48" s="764">
        <f ca="1">IF($E$19="SAC",SAC_CORR!C23,PRICE_CORR!C23)</f>
        <v>0</v>
      </c>
      <c r="E48" s="764">
        <f ca="1">IF($E$19="SAC",IF(SAC_CORR!$J23="Carencia",0,SAC_CORR!D23),IF(PRICE_CORR!$J23="Carencia",0,PRICE_CORR!D23))</f>
        <v>0</v>
      </c>
      <c r="F48" s="764">
        <f ca="1">IF($E$19="SAC",SAC_CORR!E23,PRICE_CORR!E23)</f>
        <v>193810.21121526131</v>
      </c>
      <c r="G48" s="764">
        <f ca="1">IF($E$19="SAC",IF(SAC_CORR!$J23="Carencia",0,SAC_CORR!F23),IF(PRICE_CORR!$J23="Carencia",0,PRICE_CORR!F23))</f>
        <v>0</v>
      </c>
      <c r="H48" s="764">
        <f ca="1">IF($E$19="SAC",IF(SAC_CORR!$J23="Carencia",0,SAC_CORR!G23),IF(PRICE_CORR!$J23="Carencia",0,PRICE_CORR!G23))</f>
        <v>0</v>
      </c>
      <c r="I48" s="764">
        <f ca="1">IF($E$19="SAC",IF(SAC_CORR!$J23="Carencia",0,SAC_CORR!H23),IF(PRICE_CORR!$J23="Carencia",0,PRICE_CORR!H23))</f>
        <v>0</v>
      </c>
      <c r="J48" s="764">
        <f ca="1">IF($E$19="SAC",SAC_CORR!I23,PRICE_CORR!I23)</f>
        <v>0</v>
      </c>
      <c r="K48" s="911"/>
      <c r="N48" s="765">
        <f t="shared" ca="1" si="2"/>
        <v>0</v>
      </c>
      <c r="O48" s="766">
        <f t="shared" ca="1" si="0"/>
        <v>0</v>
      </c>
    </row>
    <row r="49" spans="2:15" ht="22.35" customHeight="1" thickTop="1" thickBot="1">
      <c r="B49" s="762">
        <f ca="1">IF($E$19="SAC",SAC_CORR!B24,PRICE_CORR!B24)</f>
        <v>44895</v>
      </c>
      <c r="C49" s="763">
        <f t="shared" ca="1" si="1"/>
        <v>0</v>
      </c>
      <c r="D49" s="764">
        <f ca="1">IF($E$19="SAC",SAC_CORR!C24,PRICE_CORR!C24)</f>
        <v>0</v>
      </c>
      <c r="E49" s="764">
        <f ca="1">IF($E$19="SAC",IF(SAC_CORR!$J24="Carencia",0,SAC_CORR!D24),IF(PRICE_CORR!$J24="Carencia",0,PRICE_CORR!D24))</f>
        <v>0</v>
      </c>
      <c r="F49" s="764">
        <f ca="1">IF($E$19="SAC",SAC_CORR!E24,PRICE_CORR!E24)</f>
        <v>195685.28530282649</v>
      </c>
      <c r="G49" s="764">
        <f ca="1">IF($E$19="SAC",IF(SAC_CORR!$J24="Carencia",0,SAC_CORR!F24),IF(PRICE_CORR!$J24="Carencia",0,PRICE_CORR!F24))</f>
        <v>0</v>
      </c>
      <c r="H49" s="764">
        <f ca="1">IF($E$19="SAC",IF(SAC_CORR!$J24="Carencia",0,SAC_CORR!G24),IF(PRICE_CORR!$J24="Carencia",0,PRICE_CORR!G24))</f>
        <v>0</v>
      </c>
      <c r="I49" s="764">
        <f ca="1">IF($E$19="SAC",IF(SAC_CORR!$J24="Carencia",0,SAC_CORR!H24),IF(PRICE_CORR!$J24="Carencia",0,PRICE_CORR!H24))</f>
        <v>0</v>
      </c>
      <c r="J49" s="764">
        <f ca="1">IF($E$19="SAC",SAC_CORR!I24,PRICE_CORR!I24)</f>
        <v>0</v>
      </c>
      <c r="K49" s="911"/>
      <c r="N49" s="765">
        <f t="shared" ca="1" si="2"/>
        <v>0</v>
      </c>
      <c r="O49" s="766">
        <f t="shared" ca="1" si="0"/>
        <v>0</v>
      </c>
    </row>
    <row r="50" spans="2:15" ht="22.35" customHeight="1" thickTop="1" thickBot="1">
      <c r="B50" s="762">
        <f ca="1">IF($E$19="SAC",SAC_CORR!B25,PRICE_CORR!B25)</f>
        <v>44925</v>
      </c>
      <c r="C50" s="763">
        <f t="shared" ca="1" si="1"/>
        <v>0</v>
      </c>
      <c r="D50" s="764">
        <f ca="1">IF($E$19="SAC",SAC_CORR!C25,PRICE_CORR!C25)</f>
        <v>0</v>
      </c>
      <c r="E50" s="764">
        <f ca="1">IF($E$19="SAC",IF(SAC_CORR!$J25="Carencia",0,SAC_CORR!D25),IF(PRICE_CORR!$J25="Carencia",0,PRICE_CORR!D25))</f>
        <v>0</v>
      </c>
      <c r="F50" s="764">
        <f ca="1">IF($E$19="SAC",SAC_CORR!E25,PRICE_CORR!E25)</f>
        <v>197578.00383755597</v>
      </c>
      <c r="G50" s="764">
        <f ca="1">IF($E$19="SAC",IF(SAC_CORR!$J25="Carencia",0,SAC_CORR!F25),IF(PRICE_CORR!$J25="Carencia",0,PRICE_CORR!F25))</f>
        <v>0</v>
      </c>
      <c r="H50" s="764">
        <f ca="1">IF($E$19="SAC",IF(SAC_CORR!$J25="Carencia",0,SAC_CORR!G25),IF(PRICE_CORR!$J25="Carencia",0,PRICE_CORR!G25))</f>
        <v>0</v>
      </c>
      <c r="I50" s="764">
        <f ca="1">IF($E$19="SAC",IF(SAC_CORR!$J25="Carencia",0,SAC_CORR!H25),IF(PRICE_CORR!$J25="Carencia",0,PRICE_CORR!H25))</f>
        <v>0</v>
      </c>
      <c r="J50" s="764">
        <f ca="1">IF($E$19="SAC",SAC_CORR!I25,PRICE_CORR!I25)</f>
        <v>0</v>
      </c>
      <c r="K50" s="911"/>
      <c r="N50" s="765">
        <f t="shared" ca="1" si="2"/>
        <v>0</v>
      </c>
      <c r="O50" s="766">
        <f t="shared" ca="1" si="0"/>
        <v>0</v>
      </c>
    </row>
    <row r="51" spans="2:15" ht="22.35" customHeight="1" thickTop="1" thickBot="1">
      <c r="B51" s="762">
        <f ca="1">IF($E$19="SAC",SAC_CORR!B26,PRICE_CORR!B26)</f>
        <v>44956</v>
      </c>
      <c r="C51" s="763">
        <f t="shared" ca="1" si="1"/>
        <v>2707.7086436129521</v>
      </c>
      <c r="D51" s="764">
        <f ca="1">IF($E$19="SAC",SAC_CORR!C26,PRICE_CORR!C26)</f>
        <v>889.99100827727909</v>
      </c>
      <c r="E51" s="764">
        <f ca="1">IF($E$19="SAC",IF(SAC_CORR!$J26="Carencia",0,SAC_CORR!D26),IF(PRICE_CORR!$J26="Carencia",0,PRICE_CORR!D26))</f>
        <v>1817.7176353356729</v>
      </c>
      <c r="F51" s="764">
        <f ca="1">IF($E$19="SAC",SAC_CORR!E26,PRICE_CORR!E26)</f>
        <v>196688.01282927868</v>
      </c>
      <c r="G51" s="764">
        <f ca="1">IF($E$19="SAC",IF(SAC_CORR!$J26="Carencia",0,SAC_CORR!F26),IF(PRICE_CORR!$J26="Carencia",0,PRICE_CORR!F26))</f>
        <v>41.491380805886756</v>
      </c>
      <c r="H51" s="764">
        <f ca="1">IF($E$19="SAC",IF(SAC_CORR!$J26="Carencia",0,SAC_CORR!G26),IF(PRICE_CORR!$J26="Carencia",0,PRICE_CORR!G26))</f>
        <v>26.319999999999997</v>
      </c>
      <c r="I51" s="764">
        <f ca="1">IF($E$19="SAC",IF(SAC_CORR!$J26="Carencia",0,SAC_CORR!H26),IF(PRICE_CORR!$J26="Carencia",0,PRICE_CORR!H26))</f>
        <v>25</v>
      </c>
      <c r="J51" s="764">
        <f ca="1">IF($E$19="SAC",SAC_CORR!I26,PRICE_CORR!I26)</f>
        <v>2800.5200244188391</v>
      </c>
      <c r="K51" s="911"/>
      <c r="N51" s="765">
        <f t="shared" ca="1" si="2"/>
        <v>2800.5200244188391</v>
      </c>
      <c r="O51" s="766">
        <f t="shared" ca="1" si="0"/>
        <v>63.745957809389367</v>
      </c>
    </row>
    <row r="52" spans="2:15" ht="22.35" customHeight="1" thickTop="1" thickBot="1">
      <c r="B52" s="762">
        <f ca="1">IF($E$19="SAC",SAC_CORR!B27,PRICE_CORR!B27)</f>
        <v>44985</v>
      </c>
      <c r="C52" s="763">
        <f t="shared" ca="1" si="1"/>
        <v>2699.5207263366651</v>
      </c>
      <c r="D52" s="764">
        <f ca="1">IF($E$19="SAC",SAC_CORR!C27,PRICE_CORR!C27)</f>
        <v>889.99100827727909</v>
      </c>
      <c r="E52" s="764">
        <f ca="1">IF($E$19="SAC",IF(SAC_CORR!$J27="Carencia",0,SAC_CORR!D27),IF(PRICE_CORR!$J27="Carencia",0,PRICE_CORR!D27))</f>
        <v>1809.5297180593859</v>
      </c>
      <c r="F52" s="764">
        <f ca="1">IF($E$19="SAC",SAC_CORR!E27,PRICE_CORR!E27)</f>
        <v>195798.0218210014</v>
      </c>
      <c r="G52" s="764">
        <f ca="1">IF($E$19="SAC",IF(SAC_CORR!$J27="Carencia",0,SAC_CORR!F27),IF(PRICE_CORR!$J27="Carencia",0,PRICE_CORR!F27))</f>
        <v>41.304482694148525</v>
      </c>
      <c r="H52" s="764">
        <f ca="1">IF($E$19="SAC",IF(SAC_CORR!$J27="Carencia",0,SAC_CORR!G27),IF(PRICE_CORR!$J27="Carencia",0,PRICE_CORR!G27))</f>
        <v>26.319999999999997</v>
      </c>
      <c r="I52" s="764">
        <f ca="1">IF($E$19="SAC",IF(SAC_CORR!$J27="Carencia",0,SAC_CORR!H27),IF(PRICE_CORR!$J27="Carencia",0,PRICE_CORR!H27))</f>
        <v>25</v>
      </c>
      <c r="J52" s="764">
        <f ca="1">IF($E$19="SAC",SAC_CORR!I27,PRICE_CORR!I27)</f>
        <v>2792.1452090308139</v>
      </c>
      <c r="K52" s="911"/>
      <c r="N52" s="765">
        <f t="shared" ca="1" si="2"/>
        <v>2792.1452090308139</v>
      </c>
      <c r="O52" s="766">
        <f t="shared" ca="1" si="0"/>
        <v>63.089148005233142</v>
      </c>
    </row>
    <row r="53" spans="2:15" ht="22.35" customHeight="1" thickTop="1" thickBot="1">
      <c r="B53" s="762">
        <f ca="1">IF($E$19="SAC",SAC_CORR!B28,PRICE_CORR!B28)</f>
        <v>45015</v>
      </c>
      <c r="C53" s="763">
        <f t="shared" ca="1" si="1"/>
        <v>2691.3328090603782</v>
      </c>
      <c r="D53" s="764">
        <f ca="1">IF($E$19="SAC",SAC_CORR!C28,PRICE_CORR!C28)</f>
        <v>889.99100827727909</v>
      </c>
      <c r="E53" s="764">
        <f ca="1">IF($E$19="SAC",IF(SAC_CORR!$J28="Carencia",0,SAC_CORR!D28),IF(PRICE_CORR!$J28="Carencia",0,PRICE_CORR!D28))</f>
        <v>1801.3418007830992</v>
      </c>
      <c r="F53" s="764">
        <f ca="1">IF($E$19="SAC",SAC_CORR!E28,PRICE_CORR!E28)</f>
        <v>194908.03081272412</v>
      </c>
      <c r="G53" s="764">
        <f ca="1">IF($E$19="SAC",IF(SAC_CORR!$J28="Carencia",0,SAC_CORR!F28),IF(PRICE_CORR!$J28="Carencia",0,PRICE_CORR!F28))</f>
        <v>41.117584582410295</v>
      </c>
      <c r="H53" s="764">
        <f ca="1">IF($E$19="SAC",IF(SAC_CORR!$J28="Carencia",0,SAC_CORR!G28),IF(PRICE_CORR!$J28="Carencia",0,PRICE_CORR!G28))</f>
        <v>26.319999999999997</v>
      </c>
      <c r="I53" s="764">
        <f ca="1">IF($E$19="SAC",IF(SAC_CORR!$J28="Carencia",0,SAC_CORR!H28),IF(PRICE_CORR!$J28="Carencia",0,PRICE_CORR!H28))</f>
        <v>25</v>
      </c>
      <c r="J53" s="764">
        <f ca="1">IF($E$19="SAC",SAC_CORR!I28,PRICE_CORR!I28)</f>
        <v>2783.7703936427888</v>
      </c>
      <c r="K53" s="911"/>
      <c r="N53" s="765">
        <f t="shared" ca="1" si="2"/>
        <v>2783.7703936427888</v>
      </c>
      <c r="O53" s="766">
        <f t="shared" ca="1" si="0"/>
        <v>62.422274009066918</v>
      </c>
    </row>
    <row r="54" spans="2:15" ht="22.35" customHeight="1" thickTop="1" thickBot="1">
      <c r="B54" s="762">
        <f ca="1">IF($E$19="SAC",SAC_CORR!B29,PRICE_CORR!B29)</f>
        <v>45046</v>
      </c>
      <c r="C54" s="763">
        <f t="shared" ca="1" si="1"/>
        <v>2683.1448917840912</v>
      </c>
      <c r="D54" s="764">
        <f ca="1">IF($E$19="SAC",SAC_CORR!C29,PRICE_CORR!C29)</f>
        <v>889.99100827727909</v>
      </c>
      <c r="E54" s="764">
        <f ca="1">IF($E$19="SAC",IF(SAC_CORR!$J29="Carencia",0,SAC_CORR!D29),IF(PRICE_CORR!$J29="Carencia",0,PRICE_CORR!D29))</f>
        <v>1793.1538835068122</v>
      </c>
      <c r="F54" s="764">
        <f ca="1">IF($E$19="SAC",SAC_CORR!E29,PRICE_CORR!E29)</f>
        <v>194018.03980444683</v>
      </c>
      <c r="G54" s="764">
        <f ca="1">IF($E$19="SAC",IF(SAC_CORR!$J29="Carencia",0,SAC_CORR!F29),IF(PRICE_CORR!$J29="Carencia",0,PRICE_CORR!F29))</f>
        <v>40.930686470672065</v>
      </c>
      <c r="H54" s="764">
        <f ca="1">IF($E$19="SAC",IF(SAC_CORR!$J29="Carencia",0,SAC_CORR!G29),IF(PRICE_CORR!$J29="Carencia",0,PRICE_CORR!G29))</f>
        <v>26.319999999999997</v>
      </c>
      <c r="I54" s="764">
        <f ca="1">IF($E$19="SAC",IF(SAC_CORR!$J29="Carencia",0,SAC_CORR!H29),IF(PRICE_CORR!$J29="Carencia",0,PRICE_CORR!H29))</f>
        <v>25</v>
      </c>
      <c r="J54" s="764">
        <f ca="1">IF($E$19="SAC",SAC_CORR!I29,PRICE_CORR!I29)</f>
        <v>2775.3955782547632</v>
      </c>
      <c r="K54" s="911"/>
      <c r="N54" s="765">
        <f t="shared" ca="1" si="2"/>
        <v>2775.3955782547632</v>
      </c>
      <c r="O54" s="766">
        <f t="shared" ca="1" si="0"/>
        <v>61.745797222296325</v>
      </c>
    </row>
    <row r="55" spans="2:15" ht="22.35" customHeight="1" thickTop="1" thickBot="1">
      <c r="B55" s="762">
        <f ca="1">IF($E$19="SAC",SAC_CORR!B30,PRICE_CORR!B30)</f>
        <v>45076</v>
      </c>
      <c r="C55" s="763">
        <f t="shared" ca="1" si="1"/>
        <v>2674.9569745078047</v>
      </c>
      <c r="D55" s="764">
        <f ca="1">IF($E$19="SAC",SAC_CORR!C30,PRICE_CORR!C30)</f>
        <v>889.99100827727909</v>
      </c>
      <c r="E55" s="764">
        <f ca="1">IF($E$19="SAC",IF(SAC_CORR!$J30="Carencia",0,SAC_CORR!D30),IF(PRICE_CORR!$J30="Carencia",0,PRICE_CORR!D30))</f>
        <v>1784.9659662305255</v>
      </c>
      <c r="F55" s="764">
        <f ca="1">IF($E$19="SAC",SAC_CORR!E30,PRICE_CORR!E30)</f>
        <v>193128.04879616955</v>
      </c>
      <c r="G55" s="764">
        <f ca="1">IF($E$19="SAC",IF(SAC_CORR!$J30="Carencia",0,SAC_CORR!F30),IF(PRICE_CORR!$J30="Carencia",0,PRICE_CORR!F30))</f>
        <v>40.743788358933834</v>
      </c>
      <c r="H55" s="764">
        <f ca="1">IF($E$19="SAC",IF(SAC_CORR!$J30="Carencia",0,SAC_CORR!G30),IF(PRICE_CORR!$J30="Carencia",0,PRICE_CORR!G30))</f>
        <v>26.319999999999997</v>
      </c>
      <c r="I55" s="764">
        <f ca="1">IF($E$19="SAC",IF(SAC_CORR!$J30="Carencia",0,SAC_CORR!H30),IF(PRICE_CORR!$J30="Carencia",0,PRICE_CORR!H30))</f>
        <v>25</v>
      </c>
      <c r="J55" s="764">
        <f ca="1">IF($E$19="SAC",SAC_CORR!I30,PRICE_CORR!I30)</f>
        <v>2767.0207628667386</v>
      </c>
      <c r="K55" s="911"/>
      <c r="N55" s="765">
        <f t="shared" ca="1" si="2"/>
        <v>2767.0207628667386</v>
      </c>
      <c r="O55" s="766">
        <f t="shared" ca="1" si="0"/>
        <v>61.092181811098634</v>
      </c>
    </row>
    <row r="56" spans="2:15" ht="22.35" customHeight="1" thickTop="1" thickBot="1">
      <c r="B56" s="762">
        <f ca="1">IF($E$19="SAC",SAC_CORR!B31,PRICE_CORR!B31)</f>
        <v>45107</v>
      </c>
      <c r="C56" s="763">
        <f t="shared" ca="1" si="1"/>
        <v>2666.7690572315178</v>
      </c>
      <c r="D56" s="764">
        <f ca="1">IF($E$19="SAC",SAC_CORR!C31,PRICE_CORR!C31)</f>
        <v>889.99100827727909</v>
      </c>
      <c r="E56" s="764">
        <f ca="1">IF($E$19="SAC",IF(SAC_CORR!$J31="Carencia",0,SAC_CORR!D31),IF(PRICE_CORR!$J31="Carencia",0,PRICE_CORR!D31))</f>
        <v>1776.7780489542386</v>
      </c>
      <c r="F56" s="764">
        <f ca="1">IF($E$19="SAC",SAC_CORR!E31,PRICE_CORR!E31)</f>
        <v>192238.05778789226</v>
      </c>
      <c r="G56" s="764">
        <f ca="1">IF($E$19="SAC",IF(SAC_CORR!$J31="Carencia",0,SAC_CORR!F31),IF(PRICE_CORR!$J31="Carencia",0,PRICE_CORR!F31))</f>
        <v>40.556890247195604</v>
      </c>
      <c r="H56" s="764">
        <f ca="1">IF($E$19="SAC",IF(SAC_CORR!$J31="Carencia",0,SAC_CORR!G31),IF(PRICE_CORR!$J31="Carencia",0,PRICE_CORR!G31))</f>
        <v>26.319999999999997</v>
      </c>
      <c r="I56" s="764">
        <f ca="1">IF($E$19="SAC",IF(SAC_CORR!$J31="Carencia",0,SAC_CORR!H31),IF(PRICE_CORR!$J31="Carencia",0,PRICE_CORR!H31))</f>
        <v>25</v>
      </c>
      <c r="J56" s="764">
        <f ca="1">IF($E$19="SAC",SAC_CORR!I31,PRICE_CORR!I31)</f>
        <v>2758.6459474787134</v>
      </c>
      <c r="K56" s="911"/>
      <c r="N56" s="765">
        <f t="shared" ca="1" si="2"/>
        <v>2758.6459474787134</v>
      </c>
      <c r="O56" s="766">
        <f t="shared" ca="1" si="0"/>
        <v>60.429183303870929</v>
      </c>
    </row>
    <row r="57" spans="2:15" ht="22.35" customHeight="1" thickTop="1" thickBot="1">
      <c r="B57" s="762">
        <f ca="1">IF($E$19="SAC",SAC_CORR!B32,PRICE_CORR!B32)</f>
        <v>45137</v>
      </c>
      <c r="C57" s="763">
        <f t="shared" ca="1" si="1"/>
        <v>2658.5811399552308</v>
      </c>
      <c r="D57" s="764">
        <f ca="1">IF($E$19="SAC",SAC_CORR!C32,PRICE_CORR!C32)</f>
        <v>889.99100827727909</v>
      </c>
      <c r="E57" s="764">
        <f ca="1">IF($E$19="SAC",IF(SAC_CORR!$J32="Carencia",0,SAC_CORR!D32),IF(PRICE_CORR!$J32="Carencia",0,PRICE_CORR!D32))</f>
        <v>1768.5901316779516</v>
      </c>
      <c r="F57" s="764">
        <f ca="1">IF($E$19="SAC",SAC_CORR!E32,PRICE_CORR!E32)</f>
        <v>191348.06677961498</v>
      </c>
      <c r="G57" s="764">
        <f ca="1">IF($E$19="SAC",IF(SAC_CORR!$J32="Carencia",0,SAC_CORR!F32),IF(PRICE_CORR!$J32="Carencia",0,PRICE_CORR!F32))</f>
        <v>40.36999213545738</v>
      </c>
      <c r="H57" s="764">
        <f ca="1">IF($E$19="SAC",IF(SAC_CORR!$J32="Carencia",0,SAC_CORR!G32),IF(PRICE_CORR!$J32="Carencia",0,PRICE_CORR!G32))</f>
        <v>26.319999999999997</v>
      </c>
      <c r="I57" s="764">
        <f ca="1">IF($E$19="SAC",IF(SAC_CORR!$J32="Carencia",0,SAC_CORR!H32),IF(PRICE_CORR!$J32="Carencia",0,PRICE_CORR!H32))</f>
        <v>25</v>
      </c>
      <c r="J57" s="764">
        <f ca="1">IF($E$19="SAC",SAC_CORR!I32,PRICE_CORR!I32)</f>
        <v>2750.2711320906883</v>
      </c>
      <c r="K57" s="911"/>
      <c r="N57" s="765">
        <f t="shared" ca="1" si="2"/>
        <v>2750.2711320906883</v>
      </c>
      <c r="O57" s="766">
        <f t="shared" ca="1" si="0"/>
        <v>59.788573698137363</v>
      </c>
    </row>
    <row r="58" spans="2:15" ht="22.35" customHeight="1" thickTop="1" thickBot="1">
      <c r="B58" s="762">
        <f ca="1">IF($E$19="SAC",SAC_CORR!B33,PRICE_CORR!B33)</f>
        <v>45168</v>
      </c>
      <c r="C58" s="763">
        <f t="shared" ca="1" si="1"/>
        <v>2650.3932226789439</v>
      </c>
      <c r="D58" s="764">
        <f ca="1">IF($E$19="SAC",SAC_CORR!C33,PRICE_CORR!C33)</f>
        <v>889.99100827727909</v>
      </c>
      <c r="E58" s="764">
        <f ca="1">IF($E$19="SAC",IF(SAC_CORR!$J33="Carencia",0,SAC_CORR!D33),IF(PRICE_CORR!$J33="Carencia",0,PRICE_CORR!D33))</f>
        <v>1760.4022144016649</v>
      </c>
      <c r="F58" s="764">
        <f ca="1">IF($E$19="SAC",SAC_CORR!E33,PRICE_CORR!E33)</f>
        <v>190458.0757713377</v>
      </c>
      <c r="G58" s="764">
        <f ca="1">IF($E$19="SAC",IF(SAC_CORR!$J33="Carencia",0,SAC_CORR!F33),IF(PRICE_CORR!$J33="Carencia",0,PRICE_CORR!F33))</f>
        <v>40.18309402371915</v>
      </c>
      <c r="H58" s="764">
        <f ca="1">IF($E$19="SAC",IF(SAC_CORR!$J33="Carencia",0,SAC_CORR!G33),IF(PRICE_CORR!$J33="Carencia",0,PRICE_CORR!G33))</f>
        <v>26.319999999999997</v>
      </c>
      <c r="I58" s="764">
        <f ca="1">IF($E$19="SAC",IF(SAC_CORR!$J33="Carencia",0,SAC_CORR!H33),IF(PRICE_CORR!$J33="Carencia",0,PRICE_CORR!H33))</f>
        <v>25</v>
      </c>
      <c r="J58" s="764">
        <f ca="1">IF($E$19="SAC",SAC_CORR!I33,PRICE_CORR!I33)</f>
        <v>2741.8963167026632</v>
      </c>
      <c r="K58" s="911"/>
      <c r="N58" s="765">
        <f t="shared" ca="1" si="2"/>
        <v>2741.8963167026632</v>
      </c>
      <c r="O58" s="766">
        <f t="shared" ca="1" si="0"/>
        <v>59.138796138662649</v>
      </c>
    </row>
    <row r="59" spans="2:15" ht="22.35" customHeight="1" thickTop="1" thickBot="1">
      <c r="B59" s="762">
        <f ca="1">IF($E$19="SAC",SAC_CORR!B34,PRICE_CORR!B34)</f>
        <v>45199</v>
      </c>
      <c r="C59" s="763">
        <f t="shared" ca="1" si="1"/>
        <v>2642.2053054026569</v>
      </c>
      <c r="D59" s="764">
        <f ca="1">IF($E$19="SAC",SAC_CORR!C34,PRICE_CORR!C34)</f>
        <v>889.99100827727909</v>
      </c>
      <c r="E59" s="764">
        <f ca="1">IF($E$19="SAC",IF(SAC_CORR!$J34="Carencia",0,SAC_CORR!D34),IF(PRICE_CORR!$J34="Carencia",0,PRICE_CORR!D34))</f>
        <v>1752.2142971253779</v>
      </c>
      <c r="F59" s="764">
        <f ca="1">IF($E$19="SAC",SAC_CORR!E34,PRICE_CORR!E34)</f>
        <v>189568.08476306041</v>
      </c>
      <c r="G59" s="764">
        <f ca="1">IF($E$19="SAC",IF(SAC_CORR!$J34="Carencia",0,SAC_CORR!F34),IF(PRICE_CORR!$J34="Carencia",0,PRICE_CORR!F34))</f>
        <v>39.996195911980919</v>
      </c>
      <c r="H59" s="764">
        <f ca="1">IF($E$19="SAC",IF(SAC_CORR!$J34="Carencia",0,SAC_CORR!G34),IF(PRICE_CORR!$J34="Carencia",0,PRICE_CORR!G34))</f>
        <v>26.319999999999997</v>
      </c>
      <c r="I59" s="764">
        <f ca="1">IF($E$19="SAC",IF(SAC_CORR!$J34="Carencia",0,SAC_CORR!H34),IF(PRICE_CORR!$J34="Carencia",0,PRICE_CORR!H34))</f>
        <v>25</v>
      </c>
      <c r="J59" s="764">
        <f ca="1">IF($E$19="SAC",SAC_CORR!I34,PRICE_CORR!I34)</f>
        <v>2733.521501314638</v>
      </c>
      <c r="K59" s="911"/>
      <c r="N59" s="765">
        <f t="shared" ca="1" si="2"/>
        <v>2733.521501314638</v>
      </c>
      <c r="O59" s="766">
        <f t="shared" ca="1" si="0"/>
        <v>58.495618299453504</v>
      </c>
    </row>
    <row r="60" spans="2:15" ht="22.35" customHeight="1" thickTop="1" thickBot="1">
      <c r="B60" s="762">
        <f ca="1">IF($E$19="SAC",SAC_CORR!B35,PRICE_CORR!B35)</f>
        <v>45229</v>
      </c>
      <c r="C60" s="763">
        <f t="shared" ca="1" si="1"/>
        <v>2634.0173881263704</v>
      </c>
      <c r="D60" s="764">
        <f ca="1">IF($E$19="SAC",SAC_CORR!C35,PRICE_CORR!C35)</f>
        <v>889.99100827727909</v>
      </c>
      <c r="E60" s="764">
        <f ca="1">IF($E$19="SAC",IF(SAC_CORR!$J35="Carencia",0,SAC_CORR!D35),IF(PRICE_CORR!$J35="Carencia",0,PRICE_CORR!D35))</f>
        <v>1744.0263798490912</v>
      </c>
      <c r="F60" s="764">
        <f ca="1">IF($E$19="SAC",SAC_CORR!E35,PRICE_CORR!E35)</f>
        <v>188678.09375478313</v>
      </c>
      <c r="G60" s="764">
        <f ca="1">IF($E$19="SAC",IF(SAC_CORR!$J35="Carencia",0,SAC_CORR!F35),IF(PRICE_CORR!$J35="Carencia",0,PRICE_CORR!F35))</f>
        <v>39.809297800242689</v>
      </c>
      <c r="H60" s="764">
        <f ca="1">IF($E$19="SAC",IF(SAC_CORR!$J35="Carencia",0,SAC_CORR!G35),IF(PRICE_CORR!$J35="Carencia",0,PRICE_CORR!G35))</f>
        <v>26.319999999999997</v>
      </c>
      <c r="I60" s="764">
        <f ca="1">IF($E$19="SAC",IF(SAC_CORR!$J35="Carencia",0,SAC_CORR!H35),IF(PRICE_CORR!$J35="Carencia",0,PRICE_CORR!H35))</f>
        <v>25</v>
      </c>
      <c r="J60" s="764">
        <f ca="1">IF($E$19="SAC",SAC_CORR!I35,PRICE_CORR!I35)</f>
        <v>2725.1466859266134</v>
      </c>
      <c r="K60" s="911"/>
      <c r="N60" s="765">
        <f t="shared" ca="1" si="2"/>
        <v>2725.1466859266134</v>
      </c>
      <c r="O60" s="766">
        <f t="shared" ca="1" si="0"/>
        <v>57.874135069520641</v>
      </c>
    </row>
    <row r="61" spans="2:15" ht="22.35" customHeight="1" thickTop="1" thickBot="1">
      <c r="B61" s="762">
        <f ca="1">IF($E$19="SAC",SAC_CORR!B36,PRICE_CORR!B36)</f>
        <v>45260</v>
      </c>
      <c r="C61" s="763">
        <f t="shared" ca="1" si="1"/>
        <v>2625.8294708500835</v>
      </c>
      <c r="D61" s="764">
        <f ca="1">IF($E$19="SAC",SAC_CORR!C36,PRICE_CORR!C36)</f>
        <v>889.99100827727909</v>
      </c>
      <c r="E61" s="764">
        <f ca="1">IF($E$19="SAC",IF(SAC_CORR!$J36="Carencia",0,SAC_CORR!D36),IF(PRICE_CORR!$J36="Carencia",0,PRICE_CORR!D36))</f>
        <v>1735.8384625728042</v>
      </c>
      <c r="F61" s="764">
        <f ca="1">IF($E$19="SAC",SAC_CORR!E36,PRICE_CORR!E36)</f>
        <v>187788.10274650584</v>
      </c>
      <c r="G61" s="764">
        <f ca="1">IF($E$19="SAC",IF(SAC_CORR!$J36="Carencia",0,SAC_CORR!F36),IF(PRICE_CORR!$J36="Carencia",0,PRICE_CORR!F36))</f>
        <v>39.622399688504458</v>
      </c>
      <c r="H61" s="764">
        <f ca="1">IF($E$19="SAC",IF(SAC_CORR!$J36="Carencia",0,SAC_CORR!G36),IF(PRICE_CORR!$J36="Carencia",0,PRICE_CORR!G36))</f>
        <v>26.319999999999997</v>
      </c>
      <c r="I61" s="764">
        <f ca="1">IF($E$19="SAC",IF(SAC_CORR!$J36="Carencia",0,SAC_CORR!H36),IF(PRICE_CORR!$J36="Carencia",0,PRICE_CORR!H36))</f>
        <v>25</v>
      </c>
      <c r="J61" s="764">
        <f ca="1">IF($E$19="SAC",SAC_CORR!I36,PRICE_CORR!I36)</f>
        <v>2716.7718705385882</v>
      </c>
      <c r="K61" s="911"/>
      <c r="N61" s="765">
        <f t="shared" ca="1" si="2"/>
        <v>2716.7718705385882</v>
      </c>
      <c r="O61" s="766">
        <f t="shared" ca="1" si="0"/>
        <v>57.24379941783571</v>
      </c>
    </row>
    <row r="62" spans="2:15" ht="22.35" customHeight="1" thickTop="1" thickBot="1">
      <c r="B62" s="762">
        <f ca="1">IF($E$19="SAC",SAC_CORR!B37,PRICE_CORR!B37)</f>
        <v>45290</v>
      </c>
      <c r="C62" s="763">
        <f t="shared" ca="1" si="1"/>
        <v>2617.6415535737965</v>
      </c>
      <c r="D62" s="764">
        <f ca="1">IF($E$19="SAC",SAC_CORR!C37,PRICE_CORR!C37)</f>
        <v>889.99100827727909</v>
      </c>
      <c r="E62" s="764">
        <f ca="1">IF($E$19="SAC",IF(SAC_CORR!$J37="Carencia",0,SAC_CORR!D37),IF(PRICE_CORR!$J37="Carencia",0,PRICE_CORR!D37))</f>
        <v>1727.6505452965173</v>
      </c>
      <c r="F62" s="764">
        <f ca="1">IF($E$19="SAC",SAC_CORR!E37,PRICE_CORR!E37)</f>
        <v>186898.11173822856</v>
      </c>
      <c r="G62" s="764">
        <f ca="1">IF($E$19="SAC",IF(SAC_CORR!$J37="Carencia",0,SAC_CORR!F37),IF(PRICE_CORR!$J37="Carencia",0,PRICE_CORR!F37))</f>
        <v>39.435501576766228</v>
      </c>
      <c r="H62" s="764">
        <f ca="1">IF($E$19="SAC",IF(SAC_CORR!$J37="Carencia",0,SAC_CORR!G37),IF(PRICE_CORR!$J37="Carencia",0,PRICE_CORR!G37))</f>
        <v>26.319999999999997</v>
      </c>
      <c r="I62" s="764">
        <f ca="1">IF($E$19="SAC",IF(SAC_CORR!$J37="Carencia",0,SAC_CORR!H37),IF(PRICE_CORR!$J37="Carencia",0,PRICE_CORR!H37))</f>
        <v>25</v>
      </c>
      <c r="J62" s="764">
        <f ca="1">IF($E$19="SAC",SAC_CORR!I37,PRICE_CORR!I37)</f>
        <v>2708.3970551505631</v>
      </c>
      <c r="K62" s="911"/>
      <c r="N62" s="765">
        <f t="shared" ca="1" si="2"/>
        <v>2708.3970551505631</v>
      </c>
      <c r="O62" s="766">
        <f t="shared" ca="1" si="0"/>
        <v>56.63470872188433</v>
      </c>
    </row>
    <row r="63" spans="2:15" ht="22.35" customHeight="1" thickTop="1" thickBot="1">
      <c r="B63" s="762">
        <f ca="1">IF($E$19="SAC",SAC_CORR!B38,PRICE_CORR!B38)</f>
        <v>45321</v>
      </c>
      <c r="C63" s="763">
        <f t="shared" ca="1" si="1"/>
        <v>2609.4536362975095</v>
      </c>
      <c r="D63" s="764">
        <f ca="1">IF($E$19="SAC",SAC_CORR!C38,PRICE_CORR!C38)</f>
        <v>889.99100827727909</v>
      </c>
      <c r="E63" s="764">
        <f ca="1">IF($E$19="SAC",IF(SAC_CORR!$J38="Carencia",0,SAC_CORR!D38),IF(PRICE_CORR!$J38="Carencia",0,PRICE_CORR!D38))</f>
        <v>1719.4626280202306</v>
      </c>
      <c r="F63" s="764">
        <f ca="1">IF($E$19="SAC",SAC_CORR!E38,PRICE_CORR!E38)</f>
        <v>186008.12072995128</v>
      </c>
      <c r="G63" s="764">
        <f ca="1">IF($E$19="SAC",IF(SAC_CORR!$J38="Carencia",0,SAC_CORR!F38),IF(PRICE_CORR!$J38="Carencia",0,PRICE_CORR!F38))</f>
        <v>39.248603465027998</v>
      </c>
      <c r="H63" s="764">
        <f ca="1">IF($E$19="SAC",IF(SAC_CORR!$J38="Carencia",0,SAC_CORR!G38),IF(PRICE_CORR!$J38="Carencia",0,PRICE_CORR!G38))</f>
        <v>26.319999999999997</v>
      </c>
      <c r="I63" s="764">
        <f ca="1">IF($E$19="SAC",IF(SAC_CORR!$J38="Carencia",0,SAC_CORR!H38),IF(PRICE_CORR!$J38="Carencia",0,PRICE_CORR!H38))</f>
        <v>25</v>
      </c>
      <c r="J63" s="764">
        <f ca="1">IF($E$19="SAC",SAC_CORR!I38,PRICE_CORR!I38)</f>
        <v>2700.0222397625375</v>
      </c>
      <c r="K63" s="911"/>
      <c r="N63" s="765">
        <f t="shared" ca="1" si="2"/>
        <v>2700.0222397625375</v>
      </c>
      <c r="O63" s="766">
        <f t="shared" ca="1" si="0"/>
        <v>56.016969725254889</v>
      </c>
    </row>
    <row r="64" spans="2:15" ht="22.35" customHeight="1" thickTop="1" thickBot="1">
      <c r="B64" s="762">
        <f ca="1">IF($E$19="SAC",SAC_CORR!B39,PRICE_CORR!B39)</f>
        <v>45351</v>
      </c>
      <c r="C64" s="763">
        <f t="shared" ca="1" si="1"/>
        <v>2601.2657190212226</v>
      </c>
      <c r="D64" s="764">
        <f ca="1">IF($E$19="SAC",SAC_CORR!C39,PRICE_CORR!C39)</f>
        <v>889.99100827727909</v>
      </c>
      <c r="E64" s="764">
        <f ca="1">IF($E$19="SAC",IF(SAC_CORR!$J39="Carencia",0,SAC_CORR!D39),IF(PRICE_CORR!$J39="Carencia",0,PRICE_CORR!D39))</f>
        <v>1711.2747107439436</v>
      </c>
      <c r="F64" s="764">
        <f ca="1">IF($E$19="SAC",SAC_CORR!E39,PRICE_CORR!E39)</f>
        <v>185118.12972167399</v>
      </c>
      <c r="G64" s="764">
        <f ca="1">IF($E$19="SAC",IF(SAC_CORR!$J39="Carencia",0,SAC_CORR!F39),IF(PRICE_CORR!$J39="Carencia",0,PRICE_CORR!F39))</f>
        <v>39.061705353289767</v>
      </c>
      <c r="H64" s="764">
        <f ca="1">IF($E$19="SAC",IF(SAC_CORR!$J39="Carencia",0,SAC_CORR!G39),IF(PRICE_CORR!$J39="Carencia",0,PRICE_CORR!G39))</f>
        <v>26.319999999999997</v>
      </c>
      <c r="I64" s="764">
        <f ca="1">IF($E$19="SAC",IF(SAC_CORR!$J39="Carencia",0,SAC_CORR!H39),IF(PRICE_CORR!$J39="Carencia",0,PRICE_CORR!H39))</f>
        <v>25</v>
      </c>
      <c r="J64" s="764">
        <f ca="1">IF($E$19="SAC",SAC_CORR!I39,PRICE_CORR!I39)</f>
        <v>2691.6474243745124</v>
      </c>
      <c r="K64" s="911"/>
      <c r="N64" s="765">
        <f t="shared" ca="1" si="2"/>
        <v>2691.6474243745124</v>
      </c>
      <c r="O64" s="766">
        <f t="shared" ca="1" si="0"/>
        <v>55.420034835293684</v>
      </c>
    </row>
    <row r="65" spans="2:15" ht="22.35" customHeight="1" thickTop="1" thickBot="1">
      <c r="B65" s="762">
        <f ca="1">IF($E$19="SAC",SAC_CORR!B40,PRICE_CORR!B40)</f>
        <v>45381</v>
      </c>
      <c r="C65" s="763">
        <f t="shared" ca="1" si="1"/>
        <v>2593.0778017449361</v>
      </c>
      <c r="D65" s="764">
        <f ca="1">IF($E$19="SAC",SAC_CORR!C40,PRICE_CORR!C40)</f>
        <v>889.99100827727909</v>
      </c>
      <c r="E65" s="764">
        <f ca="1">IF($E$19="SAC",IF(SAC_CORR!$J40="Carencia",0,SAC_CORR!D40),IF(PRICE_CORR!$J40="Carencia",0,PRICE_CORR!D40))</f>
        <v>1703.0867934676569</v>
      </c>
      <c r="F65" s="764">
        <f ca="1">IF($E$19="SAC",SAC_CORR!E40,PRICE_CORR!E40)</f>
        <v>184228.13871339671</v>
      </c>
      <c r="G65" s="764">
        <f ca="1">IF($E$19="SAC",IF(SAC_CORR!$J40="Carencia",0,SAC_CORR!F40),IF(PRICE_CORR!$J40="Carencia",0,PRICE_CORR!F40))</f>
        <v>38.874807241551537</v>
      </c>
      <c r="H65" s="764">
        <f ca="1">IF($E$19="SAC",IF(SAC_CORR!$J40="Carencia",0,SAC_CORR!G40),IF(PRICE_CORR!$J40="Carencia",0,PRICE_CORR!G40))</f>
        <v>26.319999999999997</v>
      </c>
      <c r="I65" s="764">
        <f ca="1">IF($E$19="SAC",IF(SAC_CORR!$J40="Carencia",0,SAC_CORR!H40),IF(PRICE_CORR!$J40="Carencia",0,PRICE_CORR!H40))</f>
        <v>25</v>
      </c>
      <c r="J65" s="764">
        <f ca="1">IF($E$19="SAC",SAC_CORR!I40,PRICE_CORR!I40)</f>
        <v>2683.2726089864877</v>
      </c>
      <c r="K65" s="911"/>
      <c r="N65" s="765">
        <f t="shared" ca="1" si="2"/>
        <v>2683.2726089864877</v>
      </c>
      <c r="O65" s="766">
        <f t="shared" ca="1" si="0"/>
        <v>54.829013041624592</v>
      </c>
    </row>
    <row r="66" spans="2:15" ht="22.35" customHeight="1" thickTop="1" thickBot="1">
      <c r="B66" s="762">
        <f ca="1">IF($E$19="SAC",SAC_CORR!B41,PRICE_CORR!B41)</f>
        <v>45412</v>
      </c>
      <c r="C66" s="763">
        <f t="shared" ca="1" si="1"/>
        <v>2584.8898844686491</v>
      </c>
      <c r="D66" s="764">
        <f ca="1">IF($E$19="SAC",SAC_CORR!C41,PRICE_CORR!C41)</f>
        <v>889.99100827727909</v>
      </c>
      <c r="E66" s="764">
        <f ca="1">IF($E$19="SAC",IF(SAC_CORR!$J41="Carencia",0,SAC_CORR!D41),IF(PRICE_CORR!$J41="Carencia",0,PRICE_CORR!D41))</f>
        <v>1694.8988761913699</v>
      </c>
      <c r="F66" s="764">
        <f ca="1">IF($E$19="SAC",SAC_CORR!E41,PRICE_CORR!E41)</f>
        <v>183338.14770511942</v>
      </c>
      <c r="G66" s="764">
        <f ca="1">IF($E$19="SAC",IF(SAC_CORR!$J41="Carencia",0,SAC_CORR!F41),IF(PRICE_CORR!$J41="Carencia",0,PRICE_CORR!F41))</f>
        <v>38.687909129813313</v>
      </c>
      <c r="H66" s="764">
        <f ca="1">IF($E$19="SAC",IF(SAC_CORR!$J41="Carencia",0,SAC_CORR!G41),IF(PRICE_CORR!$J41="Carencia",0,PRICE_CORR!G41))</f>
        <v>26.319999999999997</v>
      </c>
      <c r="I66" s="764">
        <f ca="1">IF($E$19="SAC",IF(SAC_CORR!$J41="Carencia",0,SAC_CORR!H41),IF(PRICE_CORR!$J41="Carencia",0,PRICE_CORR!H41))</f>
        <v>25</v>
      </c>
      <c r="J66" s="764">
        <f ca="1">IF($E$19="SAC",SAC_CORR!I41,PRICE_CORR!I41)</f>
        <v>2674.8977935984626</v>
      </c>
      <c r="K66" s="911"/>
      <c r="N66" s="765">
        <f t="shared" ca="1" si="2"/>
        <v>2674.8977935984626</v>
      </c>
      <c r="O66" s="766">
        <f t="shared" ca="1" si="0"/>
        <v>54.229640097908515</v>
      </c>
    </row>
    <row r="67" spans="2:15" ht="22.35" customHeight="1" thickTop="1" thickBot="1">
      <c r="B67" s="762">
        <f ca="1">IF($E$19="SAC",SAC_CORR!B42,PRICE_CORR!B42)</f>
        <v>45442</v>
      </c>
      <c r="C67" s="763">
        <f t="shared" ca="1" si="1"/>
        <v>2576.7019671923622</v>
      </c>
      <c r="D67" s="764">
        <f ca="1">IF($E$19="SAC",SAC_CORR!C42,PRICE_CORR!C42)</f>
        <v>889.99100827727909</v>
      </c>
      <c r="E67" s="764">
        <f ca="1">IF($E$19="SAC",IF(SAC_CORR!$J42="Carencia",0,SAC_CORR!D42),IF(PRICE_CORR!$J42="Carencia",0,PRICE_CORR!D42))</f>
        <v>1686.710958915083</v>
      </c>
      <c r="F67" s="764">
        <f ca="1">IF($E$19="SAC",SAC_CORR!E42,PRICE_CORR!E42)</f>
        <v>182448.15669684214</v>
      </c>
      <c r="G67" s="764">
        <f ca="1">IF($E$19="SAC",IF(SAC_CORR!$J42="Carencia",0,SAC_CORR!F42),IF(PRICE_CORR!$J42="Carencia",0,PRICE_CORR!F42))</f>
        <v>38.501011018075083</v>
      </c>
      <c r="H67" s="764">
        <f ca="1">IF($E$19="SAC",IF(SAC_CORR!$J42="Carencia",0,SAC_CORR!G42),IF(PRICE_CORR!$J42="Carencia",0,PRICE_CORR!G42))</f>
        <v>26.319999999999997</v>
      </c>
      <c r="I67" s="764">
        <f ca="1">IF($E$19="SAC",IF(SAC_CORR!$J42="Carencia",0,SAC_CORR!H42),IF(PRICE_CORR!$J42="Carencia",0,PRICE_CORR!H42))</f>
        <v>25</v>
      </c>
      <c r="J67" s="764">
        <f ca="1">IF($E$19="SAC",SAC_CORR!I42,PRICE_CORR!I42)</f>
        <v>2666.5229782104375</v>
      </c>
      <c r="K67" s="911"/>
      <c r="N67" s="765">
        <f t="shared" ca="1" si="2"/>
        <v>2666.5229782104375</v>
      </c>
      <c r="O67" s="766">
        <f t="shared" ca="1" si="0"/>
        <v>53.650428773712783</v>
      </c>
    </row>
    <row r="68" spans="2:15" ht="22.35" customHeight="1" thickTop="1" thickBot="1">
      <c r="B68" s="762">
        <f ca="1">IF($E$19="SAC",SAC_CORR!B43,PRICE_CORR!B43)</f>
        <v>45473</v>
      </c>
      <c r="C68" s="763">
        <f t="shared" ca="1" si="1"/>
        <v>2568.5140499160752</v>
      </c>
      <c r="D68" s="764">
        <f ca="1">IF($E$19="SAC",SAC_CORR!C43,PRICE_CORR!C43)</f>
        <v>889.99100827727909</v>
      </c>
      <c r="E68" s="764">
        <f ca="1">IF($E$19="SAC",IF(SAC_CORR!$J43="Carencia",0,SAC_CORR!D43),IF(PRICE_CORR!$J43="Carencia",0,PRICE_CORR!D43))</f>
        <v>1678.5230416387963</v>
      </c>
      <c r="F68" s="764">
        <f ca="1">IF($E$19="SAC",SAC_CORR!E43,PRICE_CORR!E43)</f>
        <v>181558.16568856486</v>
      </c>
      <c r="G68" s="764">
        <f ca="1">IF($E$19="SAC",IF(SAC_CORR!$J43="Carencia",0,SAC_CORR!F43),IF(PRICE_CORR!$J43="Carencia",0,PRICE_CORR!F43))</f>
        <v>38.314112906336852</v>
      </c>
      <c r="H68" s="764">
        <f ca="1">IF($E$19="SAC",IF(SAC_CORR!$J43="Carencia",0,SAC_CORR!G43),IF(PRICE_CORR!$J43="Carencia",0,PRICE_CORR!G43))</f>
        <v>26.319999999999997</v>
      </c>
      <c r="I68" s="764">
        <f ca="1">IF($E$19="SAC",IF(SAC_CORR!$J43="Carencia",0,SAC_CORR!H43),IF(PRICE_CORR!$J43="Carencia",0,PRICE_CORR!H43))</f>
        <v>25</v>
      </c>
      <c r="J68" s="764">
        <f ca="1">IF($E$19="SAC",SAC_CORR!I43,PRICE_CORR!I43)</f>
        <v>2658.1481628224124</v>
      </c>
      <c r="K68" s="911"/>
      <c r="N68" s="765">
        <f t="shared" ca="1" si="2"/>
        <v>2658.1481628224124</v>
      </c>
      <c r="O68" s="766">
        <f t="shared" ca="1" si="0"/>
        <v>53.063059983984147</v>
      </c>
    </row>
    <row r="69" spans="2:15" ht="22.35" customHeight="1" thickTop="1" thickBot="1">
      <c r="B69" s="762">
        <f ca="1">IF($E$19="SAC",SAC_CORR!B44,PRICE_CORR!B44)</f>
        <v>45503</v>
      </c>
      <c r="C69" s="763">
        <f t="shared" ca="1" si="1"/>
        <v>2560.3261326397883</v>
      </c>
      <c r="D69" s="764">
        <f ca="1">IF($E$19="SAC",SAC_CORR!C44,PRICE_CORR!C44)</f>
        <v>889.99100827727909</v>
      </c>
      <c r="E69" s="764">
        <f ca="1">IF($E$19="SAC",IF(SAC_CORR!$J44="Carencia",0,SAC_CORR!D44),IF(PRICE_CORR!$J44="Carencia",0,PRICE_CORR!D44))</f>
        <v>1670.3351243625093</v>
      </c>
      <c r="F69" s="764">
        <f ca="1">IF($E$19="SAC",SAC_CORR!E44,PRICE_CORR!E44)</f>
        <v>180668.17468028757</v>
      </c>
      <c r="G69" s="764">
        <f ca="1">IF($E$19="SAC",IF(SAC_CORR!$J44="Carencia",0,SAC_CORR!F44),IF(PRICE_CORR!$J44="Carencia",0,PRICE_CORR!F44))</f>
        <v>38.127214794598622</v>
      </c>
      <c r="H69" s="764">
        <f ca="1">IF($E$19="SAC",IF(SAC_CORR!$J44="Carencia",0,SAC_CORR!G44),IF(PRICE_CORR!$J44="Carencia",0,PRICE_CORR!G44))</f>
        <v>26.319999999999997</v>
      </c>
      <c r="I69" s="764">
        <f ca="1">IF($E$19="SAC",IF(SAC_CORR!$J44="Carencia",0,SAC_CORR!H44),IF(PRICE_CORR!$J44="Carencia",0,PRICE_CORR!H44))</f>
        <v>25</v>
      </c>
      <c r="J69" s="764">
        <f ca="1">IF($E$19="SAC",SAC_CORR!I44,PRICE_CORR!I44)</f>
        <v>2649.7733474343872</v>
      </c>
      <c r="K69" s="911"/>
      <c r="N69" s="765">
        <f t="shared" ca="1" si="2"/>
        <v>2649.7733474343872</v>
      </c>
      <c r="O69" s="766">
        <f t="shared" ca="1" si="0"/>
        <v>52.495433200711929</v>
      </c>
    </row>
    <row r="70" spans="2:15" ht="22.35" customHeight="1" thickTop="1" thickBot="1">
      <c r="B70" s="762">
        <f ca="1">IF($E$19="SAC",SAC_CORR!B45,PRICE_CORR!B45)</f>
        <v>45534</v>
      </c>
      <c r="C70" s="763">
        <f t="shared" ca="1" si="1"/>
        <v>2552.1382153635018</v>
      </c>
      <c r="D70" s="764">
        <f ca="1">IF($E$19="SAC",SAC_CORR!C45,PRICE_CORR!C45)</f>
        <v>889.99100827727909</v>
      </c>
      <c r="E70" s="764">
        <f ca="1">IF($E$19="SAC",IF(SAC_CORR!$J45="Carencia",0,SAC_CORR!D45),IF(PRICE_CORR!$J45="Carencia",0,PRICE_CORR!D45))</f>
        <v>1662.1472070862226</v>
      </c>
      <c r="F70" s="764">
        <f ca="1">IF($E$19="SAC",SAC_CORR!E45,PRICE_CORR!E45)</f>
        <v>179778.18367201029</v>
      </c>
      <c r="G70" s="764">
        <f ca="1">IF($E$19="SAC",IF(SAC_CORR!$J45="Carencia",0,SAC_CORR!F45),IF(PRICE_CORR!$J45="Carencia",0,PRICE_CORR!F45))</f>
        <v>37.940316682860391</v>
      </c>
      <c r="H70" s="764">
        <f ca="1">IF($E$19="SAC",IF(SAC_CORR!$J45="Carencia",0,SAC_CORR!G45),IF(PRICE_CORR!$J45="Carencia",0,PRICE_CORR!G45))</f>
        <v>26.319999999999997</v>
      </c>
      <c r="I70" s="764">
        <f ca="1">IF($E$19="SAC",IF(SAC_CORR!$J45="Carencia",0,SAC_CORR!H45),IF(PRICE_CORR!$J45="Carencia",0,PRICE_CORR!H45))</f>
        <v>25</v>
      </c>
      <c r="J70" s="764">
        <f ca="1">IF($E$19="SAC",SAC_CORR!I45,PRICE_CORR!I45)</f>
        <v>2641.3985320463626</v>
      </c>
      <c r="K70" s="911"/>
      <c r="N70" s="765">
        <f t="shared" ca="1" si="2"/>
        <v>2641.3985320463626</v>
      </c>
      <c r="O70" s="766">
        <f t="shared" ca="1" si="0"/>
        <v>51.91983859425109</v>
      </c>
    </row>
    <row r="71" spans="2:15" ht="22.35" customHeight="1" thickTop="1" thickBot="1">
      <c r="B71" s="762">
        <f ca="1">IF($E$19="SAC",SAC_CORR!B46,PRICE_CORR!B46)</f>
        <v>45565</v>
      </c>
      <c r="C71" s="763">
        <f t="shared" ca="1" si="1"/>
        <v>2543.9502980872148</v>
      </c>
      <c r="D71" s="764">
        <f ca="1">IF($E$19="SAC",SAC_CORR!C46,PRICE_CORR!C46)</f>
        <v>889.99100827727909</v>
      </c>
      <c r="E71" s="764">
        <f ca="1">IF($E$19="SAC",IF(SAC_CORR!$J46="Carencia",0,SAC_CORR!D46),IF(PRICE_CORR!$J46="Carencia",0,PRICE_CORR!D46))</f>
        <v>1653.9592898099356</v>
      </c>
      <c r="F71" s="764">
        <f ca="1">IF($E$19="SAC",SAC_CORR!E46,PRICE_CORR!E46)</f>
        <v>178888.192663733</v>
      </c>
      <c r="G71" s="764">
        <f ca="1">IF($E$19="SAC",IF(SAC_CORR!$J46="Carencia",0,SAC_CORR!F46),IF(PRICE_CORR!$J46="Carencia",0,PRICE_CORR!F46))</f>
        <v>37.753418571122161</v>
      </c>
      <c r="H71" s="764">
        <f ca="1">IF($E$19="SAC",IF(SAC_CORR!$J46="Carencia",0,SAC_CORR!G46),IF(PRICE_CORR!$J46="Carencia",0,PRICE_CORR!G46))</f>
        <v>26.319999999999997</v>
      </c>
      <c r="I71" s="764">
        <f ca="1">IF($E$19="SAC",IF(SAC_CORR!$J46="Carencia",0,SAC_CORR!H46),IF(PRICE_CORR!$J46="Carencia",0,PRICE_CORR!H46))</f>
        <v>25</v>
      </c>
      <c r="J71" s="764">
        <f ca="1">IF($E$19="SAC",SAC_CORR!I46,PRICE_CORR!I46)</f>
        <v>2633.023716658337</v>
      </c>
      <c r="K71" s="911"/>
      <c r="N71" s="765">
        <f t="shared" ca="1" si="2"/>
        <v>2633.023716658337</v>
      </c>
      <c r="O71" s="766">
        <f t="shared" ca="1" si="0"/>
        <v>51.350120807848661</v>
      </c>
    </row>
    <row r="72" spans="2:15" ht="22.35" customHeight="1" thickTop="1" thickBot="1">
      <c r="B72" s="762">
        <f ca="1">IF($E$19="SAC",SAC_CORR!B47,PRICE_CORR!B47)</f>
        <v>45595</v>
      </c>
      <c r="C72" s="763">
        <f t="shared" ca="1" si="1"/>
        <v>2535.7623808109279</v>
      </c>
      <c r="D72" s="764">
        <f ca="1">IF($E$19="SAC",SAC_CORR!C47,PRICE_CORR!C47)</f>
        <v>889.99100827727909</v>
      </c>
      <c r="E72" s="764">
        <f ca="1">IF($E$19="SAC",IF(SAC_CORR!$J47="Carencia",0,SAC_CORR!D47),IF(PRICE_CORR!$J47="Carencia",0,PRICE_CORR!D47))</f>
        <v>1645.7713725336489</v>
      </c>
      <c r="F72" s="764">
        <f ca="1">IF($E$19="SAC",SAC_CORR!E47,PRICE_CORR!E47)</f>
        <v>177998.20165545572</v>
      </c>
      <c r="G72" s="764">
        <f ca="1">IF($E$19="SAC",IF(SAC_CORR!$J47="Carencia",0,SAC_CORR!F47),IF(PRICE_CORR!$J47="Carencia",0,PRICE_CORR!F47))</f>
        <v>37.566520459383931</v>
      </c>
      <c r="H72" s="764">
        <f ca="1">IF($E$19="SAC",IF(SAC_CORR!$J47="Carencia",0,SAC_CORR!G47),IF(PRICE_CORR!$J47="Carencia",0,PRICE_CORR!G47))</f>
        <v>26.319999999999997</v>
      </c>
      <c r="I72" s="764">
        <f ca="1">IF($E$19="SAC",IF(SAC_CORR!$J47="Carencia",0,SAC_CORR!H47),IF(PRICE_CORR!$J47="Carencia",0,PRICE_CORR!H47))</f>
        <v>25</v>
      </c>
      <c r="J72" s="764">
        <f ca="1">IF($E$19="SAC",SAC_CORR!I47,PRICE_CORR!I47)</f>
        <v>2624.6489012703119</v>
      </c>
      <c r="K72" s="911"/>
      <c r="N72" s="765">
        <f t="shared" ca="1" si="2"/>
        <v>2624.6489012703119</v>
      </c>
      <c r="O72" s="766">
        <f t="shared" ca="1" si="0"/>
        <v>50.799528499147492</v>
      </c>
    </row>
    <row r="73" spans="2:15" ht="22.35" customHeight="1" thickTop="1" thickBot="1">
      <c r="B73" s="762">
        <f ca="1">IF($E$19="SAC",SAC_CORR!B48,PRICE_CORR!B48)</f>
        <v>45626</v>
      </c>
      <c r="C73" s="763">
        <f t="shared" ca="1" si="1"/>
        <v>2527.5744635346409</v>
      </c>
      <c r="D73" s="764">
        <f ca="1">IF($E$19="SAC",SAC_CORR!C48,PRICE_CORR!C48)</f>
        <v>889.99100827727909</v>
      </c>
      <c r="E73" s="764">
        <f ca="1">IF($E$19="SAC",IF(SAC_CORR!$J48="Carencia",0,SAC_CORR!D48),IF(PRICE_CORR!$J48="Carencia",0,PRICE_CORR!D48))</f>
        <v>1637.5834552573619</v>
      </c>
      <c r="F73" s="764">
        <f ca="1">IF($E$19="SAC",SAC_CORR!E48,PRICE_CORR!E48)</f>
        <v>177108.21064717844</v>
      </c>
      <c r="G73" s="764">
        <f ca="1">IF($E$19="SAC",IF(SAC_CORR!$J48="Carencia",0,SAC_CORR!F48),IF(PRICE_CORR!$J48="Carencia",0,PRICE_CORR!F48))</f>
        <v>37.3796223476457</v>
      </c>
      <c r="H73" s="764">
        <f ca="1">IF($E$19="SAC",IF(SAC_CORR!$J48="Carencia",0,SAC_CORR!G48),IF(PRICE_CORR!$J48="Carencia",0,PRICE_CORR!G48))</f>
        <v>26.319999999999997</v>
      </c>
      <c r="I73" s="764">
        <f ca="1">IF($E$19="SAC",IF(SAC_CORR!$J48="Carencia",0,SAC_CORR!H48),IF(PRICE_CORR!$J48="Carencia",0,PRICE_CORR!H48))</f>
        <v>25</v>
      </c>
      <c r="J73" s="764">
        <f ca="1">IF($E$19="SAC",SAC_CORR!I48,PRICE_CORR!I48)</f>
        <v>2616.2740858822867</v>
      </c>
      <c r="K73" s="911"/>
      <c r="N73" s="765">
        <f t="shared" ca="1" si="2"/>
        <v>2616.2740858822867</v>
      </c>
      <c r="O73" s="766">
        <f t="shared" ca="1" si="0"/>
        <v>50.241246432464528</v>
      </c>
    </row>
    <row r="74" spans="2:15" ht="22.35" customHeight="1" thickTop="1" thickBot="1">
      <c r="B74" s="762">
        <f ca="1">IF($E$19="SAC",SAC_CORR!B49,PRICE_CORR!B49)</f>
        <v>45656</v>
      </c>
      <c r="C74" s="763">
        <f t="shared" ca="1" si="1"/>
        <v>2519.386546258354</v>
      </c>
      <c r="D74" s="764">
        <f ca="1">IF($E$19="SAC",SAC_CORR!C49,PRICE_CORR!C49)</f>
        <v>889.99100827727909</v>
      </c>
      <c r="E74" s="764">
        <f ca="1">IF($E$19="SAC",IF(SAC_CORR!$J49="Carencia",0,SAC_CORR!D49),IF(PRICE_CORR!$J49="Carencia",0,PRICE_CORR!D49))</f>
        <v>1629.395537981075</v>
      </c>
      <c r="F74" s="764">
        <f ca="1">IF($E$19="SAC",SAC_CORR!E49,PRICE_CORR!E49)</f>
        <v>176218.21963890115</v>
      </c>
      <c r="G74" s="764">
        <f ca="1">IF($E$19="SAC",IF(SAC_CORR!$J49="Carencia",0,SAC_CORR!F49),IF(PRICE_CORR!$J49="Carencia",0,PRICE_CORR!F49))</f>
        <v>37.19272423590747</v>
      </c>
      <c r="H74" s="764">
        <f ca="1">IF($E$19="SAC",IF(SAC_CORR!$J49="Carencia",0,SAC_CORR!G49),IF(PRICE_CORR!$J49="Carencia",0,PRICE_CORR!G49))</f>
        <v>26.319999999999997</v>
      </c>
      <c r="I74" s="764">
        <f ca="1">IF($E$19="SAC",IF(SAC_CORR!$J49="Carencia",0,SAC_CORR!H49),IF(PRICE_CORR!$J49="Carencia",0,PRICE_CORR!H49))</f>
        <v>25</v>
      </c>
      <c r="J74" s="764">
        <f ca="1">IF($E$19="SAC",SAC_CORR!I49,PRICE_CORR!I49)</f>
        <v>2607.8992704942616</v>
      </c>
      <c r="K74" s="911"/>
      <c r="N74" s="765">
        <f t="shared" ca="1" si="2"/>
        <v>2607.8992704942616</v>
      </c>
      <c r="O74" s="766">
        <f t="shared" ca="1" si="0"/>
        <v>49.701690584854141</v>
      </c>
    </row>
    <row r="75" spans="2:15" ht="22.35" customHeight="1" thickTop="1" thickBot="1">
      <c r="B75" s="762">
        <f ca="1">IF($E$19="SAC",SAC_CORR!B50,PRICE_CORR!B50)</f>
        <v>45687</v>
      </c>
      <c r="C75" s="763">
        <f t="shared" ca="1" si="1"/>
        <v>2511.1986289820675</v>
      </c>
      <c r="D75" s="764">
        <f ca="1">IF($E$19="SAC",SAC_CORR!C50,PRICE_CORR!C50)</f>
        <v>889.99100827727909</v>
      </c>
      <c r="E75" s="764">
        <f ca="1">IF($E$19="SAC",IF(SAC_CORR!$J50="Carencia",0,SAC_CORR!D50),IF(PRICE_CORR!$J50="Carencia",0,PRICE_CORR!D50))</f>
        <v>1621.2076207047883</v>
      </c>
      <c r="F75" s="764">
        <f ca="1">IF($E$19="SAC",SAC_CORR!E50,PRICE_CORR!E50)</f>
        <v>175328.22863062387</v>
      </c>
      <c r="G75" s="764">
        <f ca="1">IF($E$19="SAC",IF(SAC_CORR!$J50="Carencia",0,SAC_CORR!F50),IF(PRICE_CORR!$J50="Carencia",0,PRICE_CORR!F50))</f>
        <v>37.005826124169246</v>
      </c>
      <c r="H75" s="764">
        <f ca="1">IF($E$19="SAC",IF(SAC_CORR!$J50="Carencia",0,SAC_CORR!G50),IF(PRICE_CORR!$J50="Carencia",0,PRICE_CORR!G50))</f>
        <v>26.319999999999997</v>
      </c>
      <c r="I75" s="764">
        <f ca="1">IF($E$19="SAC",IF(SAC_CORR!$J50="Carencia",0,SAC_CORR!H50),IF(PRICE_CORR!$J50="Carencia",0,PRICE_CORR!H50))</f>
        <v>25</v>
      </c>
      <c r="J75" s="764">
        <f ca="1">IF($E$19="SAC",SAC_CORR!I50,PRICE_CORR!I50)</f>
        <v>2599.5244551062369</v>
      </c>
      <c r="K75" s="911"/>
      <c r="N75" s="765">
        <f t="shared" ca="1" si="2"/>
        <v>2599.5244551062369</v>
      </c>
      <c r="O75" s="766">
        <f t="shared" ca="1" si="0"/>
        <v>49.154624837084171</v>
      </c>
    </row>
    <row r="76" spans="2:15" ht="22.35" customHeight="1" thickTop="1" thickBot="1">
      <c r="B76" s="762">
        <f ca="1">IF($E$19="SAC",SAC_CORR!B51,PRICE_CORR!B51)</f>
        <v>45716</v>
      </c>
      <c r="C76" s="763">
        <f t="shared" ca="1" si="1"/>
        <v>2503.0107117057805</v>
      </c>
      <c r="D76" s="764">
        <f ca="1">IF($E$19="SAC",SAC_CORR!C51,PRICE_CORR!C51)</f>
        <v>889.99100827727909</v>
      </c>
      <c r="E76" s="764">
        <f ca="1">IF($E$19="SAC",IF(SAC_CORR!$J51="Carencia",0,SAC_CORR!D51),IF(PRICE_CORR!$J51="Carencia",0,PRICE_CORR!D51))</f>
        <v>1613.0197034285013</v>
      </c>
      <c r="F76" s="764">
        <f ca="1">IF($E$19="SAC",SAC_CORR!E51,PRICE_CORR!E51)</f>
        <v>174438.23762234658</v>
      </c>
      <c r="G76" s="764">
        <f ca="1">IF($E$19="SAC",IF(SAC_CORR!$J51="Carencia",0,SAC_CORR!F51),IF(PRICE_CORR!$J51="Carencia",0,PRICE_CORR!F51))</f>
        <v>36.818928012431016</v>
      </c>
      <c r="H76" s="764">
        <f ca="1">IF($E$19="SAC",IF(SAC_CORR!$J51="Carencia",0,SAC_CORR!G51),IF(PRICE_CORR!$J51="Carencia",0,PRICE_CORR!G51))</f>
        <v>26.319999999999997</v>
      </c>
      <c r="I76" s="764">
        <f ca="1">IF($E$19="SAC",IF(SAC_CORR!$J51="Carencia",0,SAC_CORR!H51),IF(PRICE_CORR!$J51="Carencia",0,PRICE_CORR!H51))</f>
        <v>25</v>
      </c>
      <c r="J76" s="764">
        <f ca="1">IF($E$19="SAC",SAC_CORR!I51,PRICE_CORR!I51)</f>
        <v>2591.1496397182118</v>
      </c>
      <c r="K76" s="911"/>
      <c r="N76" s="765">
        <f t="shared" ca="1" si="2"/>
        <v>2591.1496397182118</v>
      </c>
      <c r="O76" s="766">
        <f t="shared" ca="1" si="0"/>
        <v>48.638633961059327</v>
      </c>
    </row>
    <row r="77" spans="2:15" ht="22.35" customHeight="1" thickTop="1" thickBot="1">
      <c r="B77" s="762">
        <f ca="1">IF($E$19="SAC",SAC_CORR!B52,PRICE_CORR!B52)</f>
        <v>45746</v>
      </c>
      <c r="C77" s="763">
        <f t="shared" ca="1" si="1"/>
        <v>2494.8227944294936</v>
      </c>
      <c r="D77" s="764">
        <f ca="1">IF($E$19="SAC",SAC_CORR!C52,PRICE_CORR!C52)</f>
        <v>889.99100827727909</v>
      </c>
      <c r="E77" s="764">
        <f ca="1">IF($E$19="SAC",IF(SAC_CORR!$J52="Carencia",0,SAC_CORR!D52),IF(PRICE_CORR!$J52="Carencia",0,PRICE_CORR!D52))</f>
        <v>1604.8317861522146</v>
      </c>
      <c r="F77" s="764">
        <f ca="1">IF($E$19="SAC",SAC_CORR!E52,PRICE_CORR!E52)</f>
        <v>173548.2466140693</v>
      </c>
      <c r="G77" s="764">
        <f ca="1">IF($E$19="SAC",IF(SAC_CORR!$J52="Carencia",0,SAC_CORR!F52),IF(PRICE_CORR!$J52="Carencia",0,PRICE_CORR!F52))</f>
        <v>36.632029900692785</v>
      </c>
      <c r="H77" s="764">
        <f ca="1">IF($E$19="SAC",IF(SAC_CORR!$J52="Carencia",0,SAC_CORR!G52),IF(PRICE_CORR!$J52="Carencia",0,PRICE_CORR!G52))</f>
        <v>26.319999999999997</v>
      </c>
      <c r="I77" s="764">
        <f ca="1">IF($E$19="SAC",IF(SAC_CORR!$J52="Carencia",0,SAC_CORR!H52),IF(PRICE_CORR!$J52="Carencia",0,PRICE_CORR!H52))</f>
        <v>25</v>
      </c>
      <c r="J77" s="764">
        <f ca="1">IF($E$19="SAC",SAC_CORR!I52,PRICE_CORR!I52)</f>
        <v>2582.7748243301867</v>
      </c>
      <c r="K77" s="911"/>
      <c r="N77" s="765">
        <f t="shared" ca="1" si="2"/>
        <v>2582.7748243301867</v>
      </c>
      <c r="O77" s="766">
        <f t="shared" ca="1" si="0"/>
        <v>48.115031674237542</v>
      </c>
    </row>
    <row r="78" spans="2:15" ht="22.35" customHeight="1" thickTop="1" thickBot="1">
      <c r="B78" s="762">
        <f ca="1">IF($E$19="SAC",SAC_CORR!B53,PRICE_CORR!B53)</f>
        <v>45777</v>
      </c>
      <c r="C78" s="763">
        <f t="shared" ca="1" si="1"/>
        <v>2486.6348771532066</v>
      </c>
      <c r="D78" s="764">
        <f ca="1">IF($E$19="SAC",SAC_CORR!C53,PRICE_CORR!C53)</f>
        <v>889.99100827727909</v>
      </c>
      <c r="E78" s="764">
        <f ca="1">IF($E$19="SAC",IF(SAC_CORR!$J53="Carencia",0,SAC_CORR!D53),IF(PRICE_CORR!$J53="Carencia",0,PRICE_CORR!D53))</f>
        <v>1596.6438688759276</v>
      </c>
      <c r="F78" s="764">
        <f ca="1">IF($E$19="SAC",SAC_CORR!E53,PRICE_CORR!E53)</f>
        <v>172658.25560579202</v>
      </c>
      <c r="G78" s="764">
        <f ca="1">IF($E$19="SAC",IF(SAC_CORR!$J53="Carencia",0,SAC_CORR!F53),IF(PRICE_CORR!$J53="Carencia",0,PRICE_CORR!F53))</f>
        <v>36.445131788954555</v>
      </c>
      <c r="H78" s="764">
        <f ca="1">IF($E$19="SAC",IF(SAC_CORR!$J53="Carencia",0,SAC_CORR!G53),IF(PRICE_CORR!$J53="Carencia",0,PRICE_CORR!G53))</f>
        <v>26.319999999999997</v>
      </c>
      <c r="I78" s="764">
        <f ca="1">IF($E$19="SAC",IF(SAC_CORR!$J53="Carencia",0,SAC_CORR!H53),IF(PRICE_CORR!$J53="Carencia",0,PRICE_CORR!H53))</f>
        <v>25</v>
      </c>
      <c r="J78" s="764">
        <f ca="1">IF($E$19="SAC",SAC_CORR!I53,PRICE_CORR!I53)</f>
        <v>2574.4000089421615</v>
      </c>
      <c r="K78" s="911"/>
      <c r="N78" s="765">
        <f t="shared" ca="1" si="2"/>
        <v>2574.4000089421615</v>
      </c>
      <c r="O78" s="766">
        <f t="shared" ca="1" si="0"/>
        <v>47.584179380185844</v>
      </c>
    </row>
    <row r="79" spans="2:15" ht="22.35" customHeight="1" thickTop="1" thickBot="1">
      <c r="B79" s="762">
        <f ca="1">IF($E$19="SAC",SAC_CORR!B54,PRICE_CORR!B54)</f>
        <v>45807</v>
      </c>
      <c r="C79" s="763">
        <f t="shared" ca="1" si="1"/>
        <v>2478.4469598769197</v>
      </c>
      <c r="D79" s="764">
        <f ca="1">IF($E$19="SAC",SAC_CORR!C54,PRICE_CORR!C54)</f>
        <v>889.99100827727909</v>
      </c>
      <c r="E79" s="764">
        <f ca="1">IF($E$19="SAC",IF(SAC_CORR!$J54="Carencia",0,SAC_CORR!D54),IF(PRICE_CORR!$J54="Carencia",0,PRICE_CORR!D54))</f>
        <v>1588.4559515996407</v>
      </c>
      <c r="F79" s="764">
        <f ca="1">IF($E$19="SAC",SAC_CORR!E54,PRICE_CORR!E54)</f>
        <v>171768.26459751473</v>
      </c>
      <c r="G79" s="764">
        <f ca="1">IF($E$19="SAC",IF(SAC_CORR!$J54="Carencia",0,SAC_CORR!F54),IF(PRICE_CORR!$J54="Carencia",0,PRICE_CORR!F54))</f>
        <v>36.258233677216325</v>
      </c>
      <c r="H79" s="764">
        <f ca="1">IF($E$19="SAC",IF(SAC_CORR!$J54="Carencia",0,SAC_CORR!G54),IF(PRICE_CORR!$J54="Carencia",0,PRICE_CORR!G54))</f>
        <v>26.319999999999997</v>
      </c>
      <c r="I79" s="764">
        <f ca="1">IF($E$19="SAC",IF(SAC_CORR!$J54="Carencia",0,SAC_CORR!H54),IF(PRICE_CORR!$J54="Carencia",0,PRICE_CORR!H54))</f>
        <v>25</v>
      </c>
      <c r="J79" s="764">
        <f ca="1">IF($E$19="SAC",SAC_CORR!I54,PRICE_CORR!I54)</f>
        <v>2566.025193554136</v>
      </c>
      <c r="K79" s="911"/>
      <c r="N79" s="765">
        <f t="shared" ca="1" si="2"/>
        <v>2566.025193554136</v>
      </c>
      <c r="O79" s="766">
        <f t="shared" ca="1" si="0"/>
        <v>47.071096169191151</v>
      </c>
    </row>
    <row r="80" spans="2:15" ht="22.35" customHeight="1" thickTop="1" thickBot="1">
      <c r="B80" s="762">
        <f ca="1">IF($E$19="SAC",SAC_CORR!B55,PRICE_CORR!B55)</f>
        <v>45838</v>
      </c>
      <c r="C80" s="763">
        <f t="shared" ca="1" si="1"/>
        <v>2470.2590426006332</v>
      </c>
      <c r="D80" s="764">
        <f ca="1">IF($E$19="SAC",SAC_CORR!C55,PRICE_CORR!C55)</f>
        <v>889.99100827727909</v>
      </c>
      <c r="E80" s="764">
        <f ca="1">IF($E$19="SAC",IF(SAC_CORR!$J55="Carencia",0,SAC_CORR!D55),IF(PRICE_CORR!$J55="Carencia",0,PRICE_CORR!D55))</f>
        <v>1580.268034323354</v>
      </c>
      <c r="F80" s="764">
        <f ca="1">IF($E$19="SAC",SAC_CORR!E55,PRICE_CORR!E55)</f>
        <v>170878.27358923745</v>
      </c>
      <c r="G80" s="764">
        <f ca="1">IF($E$19="SAC",IF(SAC_CORR!$J55="Carencia",0,SAC_CORR!F55),IF(PRICE_CORR!$J55="Carencia",0,PRICE_CORR!F55))</f>
        <v>36.071335565478094</v>
      </c>
      <c r="H80" s="764">
        <f ca="1">IF($E$19="SAC",IF(SAC_CORR!$J55="Carencia",0,SAC_CORR!G55),IF(PRICE_CORR!$J55="Carencia",0,PRICE_CORR!G55))</f>
        <v>26.319999999999997</v>
      </c>
      <c r="I80" s="764">
        <f ca="1">IF($E$19="SAC",IF(SAC_CORR!$J55="Carencia",0,SAC_CORR!H55),IF(PRICE_CORR!$J55="Carencia",0,PRICE_CORR!H55))</f>
        <v>25</v>
      </c>
      <c r="J80" s="764">
        <f ca="1">IF($E$19="SAC",SAC_CORR!I55,PRICE_CORR!I55)</f>
        <v>2557.6503781661113</v>
      </c>
      <c r="K80" s="911"/>
      <c r="N80" s="765">
        <f t="shared" ca="1" si="2"/>
        <v>2557.6503781661113</v>
      </c>
      <c r="O80" s="766">
        <f t="shared" ca="1" si="0"/>
        <v>46.550933589755267</v>
      </c>
    </row>
    <row r="81" spans="2:15" ht="22.35" customHeight="1" thickTop="1" thickBot="1">
      <c r="B81" s="762">
        <f ca="1">IF($E$19="SAC",SAC_CORR!B56,PRICE_CORR!B56)</f>
        <v>45868</v>
      </c>
      <c r="C81" s="763">
        <f t="shared" ca="1" si="1"/>
        <v>2462.0711253243462</v>
      </c>
      <c r="D81" s="764">
        <f ca="1">IF($E$19="SAC",SAC_CORR!C56,PRICE_CORR!C56)</f>
        <v>889.99100827727909</v>
      </c>
      <c r="E81" s="764">
        <f ca="1">IF($E$19="SAC",IF(SAC_CORR!$J56="Carencia",0,SAC_CORR!D56),IF(PRICE_CORR!$J56="Carencia",0,PRICE_CORR!D56))</f>
        <v>1572.080117047067</v>
      </c>
      <c r="F81" s="764">
        <f ca="1">IF($E$19="SAC",SAC_CORR!E56,PRICE_CORR!E56)</f>
        <v>169988.28258096016</v>
      </c>
      <c r="G81" s="764">
        <f ca="1">IF($E$19="SAC",IF(SAC_CORR!$J56="Carencia",0,SAC_CORR!F56),IF(PRICE_CORR!$J56="Carencia",0,PRICE_CORR!F56))</f>
        <v>35.884437453739864</v>
      </c>
      <c r="H81" s="764">
        <f ca="1">IF($E$19="SAC",IF(SAC_CORR!$J56="Carencia",0,SAC_CORR!G56),IF(PRICE_CORR!$J56="Carencia",0,PRICE_CORR!G56))</f>
        <v>26.319999999999997</v>
      </c>
      <c r="I81" s="764">
        <f ca="1">IF($E$19="SAC",IF(SAC_CORR!$J56="Carencia",0,SAC_CORR!H56),IF(PRICE_CORR!$J56="Carencia",0,PRICE_CORR!H56))</f>
        <v>25</v>
      </c>
      <c r="J81" s="764">
        <f ca="1">IF($E$19="SAC",SAC_CORR!I56,PRICE_CORR!I56)</f>
        <v>2549.2755627780862</v>
      </c>
      <c r="K81" s="911"/>
      <c r="N81" s="765">
        <f t="shared" ca="1" si="2"/>
        <v>2549.2755627780862</v>
      </c>
      <c r="O81" s="766">
        <f t="shared" ca="1" si="0"/>
        <v>46.048167527254478</v>
      </c>
    </row>
    <row r="82" spans="2:15" ht="22.35" customHeight="1" thickTop="1" thickBot="1">
      <c r="B82" s="762">
        <f ca="1">IF($E$19="SAC",SAC_CORR!B57,PRICE_CORR!B57)</f>
        <v>45899</v>
      </c>
      <c r="C82" s="763">
        <f t="shared" ca="1" si="1"/>
        <v>2453.8832080480593</v>
      </c>
      <c r="D82" s="764">
        <f ca="1">IF($E$19="SAC",SAC_CORR!C57,PRICE_CORR!C57)</f>
        <v>889.99100827727909</v>
      </c>
      <c r="E82" s="764">
        <f ca="1">IF($E$19="SAC",IF(SAC_CORR!$J57="Carencia",0,SAC_CORR!D57),IF(PRICE_CORR!$J57="Carencia",0,PRICE_CORR!D57))</f>
        <v>1563.8921997707803</v>
      </c>
      <c r="F82" s="764">
        <f ca="1">IF($E$19="SAC",SAC_CORR!E57,PRICE_CORR!E57)</f>
        <v>169098.29157268288</v>
      </c>
      <c r="G82" s="764">
        <f ca="1">IF($E$19="SAC",IF(SAC_CORR!$J57="Carencia",0,SAC_CORR!F57),IF(PRICE_CORR!$J57="Carencia",0,PRICE_CORR!F57))</f>
        <v>35.697539342001633</v>
      </c>
      <c r="H82" s="764">
        <f ca="1">IF($E$19="SAC",IF(SAC_CORR!$J57="Carencia",0,SAC_CORR!G57),IF(PRICE_CORR!$J57="Carencia",0,PRICE_CORR!G57))</f>
        <v>26.319999999999997</v>
      </c>
      <c r="I82" s="764">
        <f ca="1">IF($E$19="SAC",IF(SAC_CORR!$J57="Carencia",0,SAC_CORR!H57),IF(PRICE_CORR!$J57="Carencia",0,PRICE_CORR!H57))</f>
        <v>25</v>
      </c>
      <c r="J82" s="764">
        <f ca="1">IF($E$19="SAC",SAC_CORR!I57,PRICE_CORR!I57)</f>
        <v>2540.900747390061</v>
      </c>
      <c r="K82" s="911"/>
      <c r="N82" s="765">
        <f t="shared" ca="1" si="2"/>
        <v>2540.900747390061</v>
      </c>
      <c r="O82" s="766">
        <f t="shared" ca="1" si="0"/>
        <v>45.538489146882576</v>
      </c>
    </row>
    <row r="83" spans="2:15" ht="22.35" customHeight="1" thickTop="1" thickBot="1">
      <c r="B83" s="762">
        <f ca="1">IF($E$19="SAC",SAC_CORR!B58,PRICE_CORR!B58)</f>
        <v>45930</v>
      </c>
      <c r="C83" s="763">
        <f t="shared" ca="1" si="1"/>
        <v>2445.6952907717723</v>
      </c>
      <c r="D83" s="764">
        <f ca="1">IF($E$19="SAC",SAC_CORR!C58,PRICE_CORR!C58)</f>
        <v>889.99100827727909</v>
      </c>
      <c r="E83" s="764">
        <f ca="1">IF($E$19="SAC",IF(SAC_CORR!$J58="Carencia",0,SAC_CORR!D58),IF(PRICE_CORR!$J58="Carencia",0,PRICE_CORR!D58))</f>
        <v>1555.7042824944933</v>
      </c>
      <c r="F83" s="764">
        <f ca="1">IF($E$19="SAC",SAC_CORR!E58,PRICE_CORR!E58)</f>
        <v>168208.3005644056</v>
      </c>
      <c r="G83" s="764">
        <f ca="1">IF($E$19="SAC",IF(SAC_CORR!$J58="Carencia",0,SAC_CORR!F58),IF(PRICE_CORR!$J58="Carencia",0,PRICE_CORR!F58))</f>
        <v>35.510641230263403</v>
      </c>
      <c r="H83" s="764">
        <f ca="1">IF($E$19="SAC",IF(SAC_CORR!$J58="Carencia",0,SAC_CORR!G58),IF(PRICE_CORR!$J58="Carencia",0,PRICE_CORR!G58))</f>
        <v>26.319999999999997</v>
      </c>
      <c r="I83" s="764">
        <f ca="1">IF($E$19="SAC",IF(SAC_CORR!$J58="Carencia",0,SAC_CORR!H58),IF(PRICE_CORR!$J58="Carencia",0,PRICE_CORR!H58))</f>
        <v>25</v>
      </c>
      <c r="J83" s="764">
        <f ca="1">IF($E$19="SAC",SAC_CORR!I58,PRICE_CORR!I58)</f>
        <v>2532.5259320020359</v>
      </c>
      <c r="K83" s="911"/>
      <c r="N83" s="765">
        <f t="shared" ca="1" si="2"/>
        <v>2532.5259320020359</v>
      </c>
      <c r="O83" s="766">
        <f t="shared" ca="1" si="0"/>
        <v>45.034043075684409</v>
      </c>
    </row>
    <row r="84" spans="2:15" ht="22.35" customHeight="1" thickTop="1" thickBot="1">
      <c r="B84" s="762">
        <f ca="1">IF($E$19="SAC",SAC_CORR!B59,PRICE_CORR!B59)</f>
        <v>45960</v>
      </c>
      <c r="C84" s="763">
        <f t="shared" ca="1" si="1"/>
        <v>2437.5073734954854</v>
      </c>
      <c r="D84" s="764">
        <f ca="1">IF($E$19="SAC",SAC_CORR!C59,PRICE_CORR!C59)</f>
        <v>889.99100827727909</v>
      </c>
      <c r="E84" s="764">
        <f ca="1">IF($E$19="SAC",IF(SAC_CORR!$J59="Carencia",0,SAC_CORR!D59),IF(PRICE_CORR!$J59="Carencia",0,PRICE_CORR!D59))</f>
        <v>1547.5163652182064</v>
      </c>
      <c r="F84" s="764">
        <f ca="1">IF($E$19="SAC",SAC_CORR!E59,PRICE_CORR!E59)</f>
        <v>167318.30955612831</v>
      </c>
      <c r="G84" s="764">
        <f ca="1">IF($E$19="SAC",IF(SAC_CORR!$J59="Carencia",0,SAC_CORR!F59),IF(PRICE_CORR!$J59="Carencia",0,PRICE_CORR!F59))</f>
        <v>35.323743118525179</v>
      </c>
      <c r="H84" s="764">
        <f ca="1">IF($E$19="SAC",IF(SAC_CORR!$J59="Carencia",0,SAC_CORR!G59),IF(PRICE_CORR!$J59="Carencia",0,PRICE_CORR!G59))</f>
        <v>26.319999999999997</v>
      </c>
      <c r="I84" s="764">
        <f ca="1">IF($E$19="SAC",IF(SAC_CORR!$J59="Carencia",0,SAC_CORR!H59),IF(PRICE_CORR!$J59="Carencia",0,PRICE_CORR!H59))</f>
        <v>25</v>
      </c>
      <c r="J84" s="764">
        <f ca="1">IF($E$19="SAC",SAC_CORR!I59,PRICE_CORR!I59)</f>
        <v>2524.1511166140108</v>
      </c>
      <c r="K84" s="911"/>
      <c r="N84" s="765">
        <f t="shared" ca="1" si="2"/>
        <v>2524.1511166140108</v>
      </c>
      <c r="O84" s="766">
        <f t="shared" ca="1" si="0"/>
        <v>44.546446196924038</v>
      </c>
    </row>
    <row r="85" spans="2:15" ht="22.35" customHeight="1" thickTop="1" thickBot="1">
      <c r="B85" s="762">
        <f ca="1">IF($E$19="SAC",SAC_CORR!B60,PRICE_CORR!B60)</f>
        <v>45991</v>
      </c>
      <c r="C85" s="763">
        <f t="shared" ca="1" si="1"/>
        <v>2429.3194562191989</v>
      </c>
      <c r="D85" s="764">
        <f ca="1">IF($E$19="SAC",SAC_CORR!C60,PRICE_CORR!C60)</f>
        <v>889.99100827727909</v>
      </c>
      <c r="E85" s="764">
        <f ca="1">IF($E$19="SAC",IF(SAC_CORR!$J60="Carencia",0,SAC_CORR!D60),IF(PRICE_CORR!$J60="Carencia",0,PRICE_CORR!D60))</f>
        <v>1539.3284479419196</v>
      </c>
      <c r="F85" s="764">
        <f ca="1">IF($E$19="SAC",SAC_CORR!E60,PRICE_CORR!E60)</f>
        <v>166428.31854785103</v>
      </c>
      <c r="G85" s="764">
        <f ca="1">IF($E$19="SAC",IF(SAC_CORR!$J60="Carencia",0,SAC_CORR!F60),IF(PRICE_CORR!$J60="Carencia",0,PRICE_CORR!F60))</f>
        <v>35.136845006786949</v>
      </c>
      <c r="H85" s="764">
        <f ca="1">IF($E$19="SAC",IF(SAC_CORR!$J60="Carencia",0,SAC_CORR!G60),IF(PRICE_CORR!$J60="Carencia",0,PRICE_CORR!G60))</f>
        <v>26.319999999999997</v>
      </c>
      <c r="I85" s="764">
        <f ca="1">IF($E$19="SAC",IF(SAC_CORR!$J60="Carencia",0,SAC_CORR!H60),IF(PRICE_CORR!$J60="Carencia",0,PRICE_CORR!H60))</f>
        <v>25</v>
      </c>
      <c r="J85" s="764">
        <f ca="1">IF($E$19="SAC",SAC_CORR!I60,PRICE_CORR!I60)</f>
        <v>2515.7763012259861</v>
      </c>
      <c r="K85" s="911"/>
      <c r="N85" s="765">
        <f t="shared" ca="1" si="2"/>
        <v>2515.7763012259861</v>
      </c>
      <c r="O85" s="766">
        <f t="shared" ca="1" si="0"/>
        <v>44.052181876309433</v>
      </c>
    </row>
    <row r="86" spans="2:15" ht="22.35" customHeight="1" thickTop="1" thickBot="1">
      <c r="B86" s="762">
        <f ca="1">IF($E$19="SAC",SAC_CORR!B61,PRICE_CORR!B61)</f>
        <v>46021</v>
      </c>
      <c r="C86" s="763">
        <f t="shared" ca="1" si="1"/>
        <v>2421.1315389429119</v>
      </c>
      <c r="D86" s="764">
        <f ca="1">IF($E$19="SAC",SAC_CORR!C61,PRICE_CORR!C61)</f>
        <v>889.99100827727909</v>
      </c>
      <c r="E86" s="764">
        <f ca="1">IF($E$19="SAC",IF(SAC_CORR!$J61="Carencia",0,SAC_CORR!D61),IF(PRICE_CORR!$J61="Carencia",0,PRICE_CORR!D61))</f>
        <v>1531.1405306656327</v>
      </c>
      <c r="F86" s="764">
        <f ca="1">IF($E$19="SAC",SAC_CORR!E61,PRICE_CORR!E61)</f>
        <v>165538.32753957374</v>
      </c>
      <c r="G86" s="764">
        <f ca="1">IF($E$19="SAC",IF(SAC_CORR!$J61="Carencia",0,SAC_CORR!F61),IF(PRICE_CORR!$J61="Carencia",0,PRICE_CORR!F61))</f>
        <v>34.949946895048718</v>
      </c>
      <c r="H86" s="764">
        <f ca="1">IF($E$19="SAC",IF(SAC_CORR!$J61="Carencia",0,SAC_CORR!G61),IF(PRICE_CORR!$J61="Carencia",0,PRICE_CORR!G61))</f>
        <v>26.319999999999997</v>
      </c>
      <c r="I86" s="764">
        <f ca="1">IF($E$19="SAC",IF(SAC_CORR!$J61="Carencia",0,SAC_CORR!H61),IF(PRICE_CORR!$J61="Carencia",0,PRICE_CORR!H61))</f>
        <v>25</v>
      </c>
      <c r="J86" s="764">
        <f ca="1">IF($E$19="SAC",SAC_CORR!I61,PRICE_CORR!I61)</f>
        <v>2507.401485837961</v>
      </c>
      <c r="K86" s="911"/>
      <c r="N86" s="765">
        <f t="shared" ca="1" si="2"/>
        <v>2507.401485837961</v>
      </c>
      <c r="O86" s="766">
        <f t="shared" ca="1" si="0"/>
        <v>43.574412335281984</v>
      </c>
    </row>
    <row r="87" spans="2:15" ht="22.35" customHeight="1" thickTop="1" thickBot="1">
      <c r="B87" s="762">
        <f ca="1">IF($E$19="SAC",SAC_CORR!B62,PRICE_CORR!B62)</f>
        <v>46052</v>
      </c>
      <c r="C87" s="763">
        <f t="shared" ca="1" si="1"/>
        <v>2412.9436216666249</v>
      </c>
      <c r="D87" s="764">
        <f ca="1">IF($E$19="SAC",SAC_CORR!C62,PRICE_CORR!C62)</f>
        <v>889.99100827727909</v>
      </c>
      <c r="E87" s="764">
        <f ca="1">IF($E$19="SAC",IF(SAC_CORR!$J62="Carencia",0,SAC_CORR!D62),IF(PRICE_CORR!$J62="Carencia",0,PRICE_CORR!D62))</f>
        <v>1522.952613389346</v>
      </c>
      <c r="F87" s="764">
        <f ca="1">IF($E$19="SAC",SAC_CORR!E62,PRICE_CORR!E62)</f>
        <v>164648.33653129646</v>
      </c>
      <c r="G87" s="764">
        <f ca="1">IF($E$19="SAC",IF(SAC_CORR!$J62="Carencia",0,SAC_CORR!F62),IF(PRICE_CORR!$J62="Carencia",0,PRICE_CORR!F62))</f>
        <v>34.763048783310488</v>
      </c>
      <c r="H87" s="764">
        <f ca="1">IF($E$19="SAC",IF(SAC_CORR!$J62="Carencia",0,SAC_CORR!G62),IF(PRICE_CORR!$J62="Carencia",0,PRICE_CORR!G62))</f>
        <v>26.319999999999997</v>
      </c>
      <c r="I87" s="764">
        <f ca="1">IF($E$19="SAC",IF(SAC_CORR!$J62="Carencia",0,SAC_CORR!H62),IF(PRICE_CORR!$J62="Carencia",0,PRICE_CORR!H62))</f>
        <v>25</v>
      </c>
      <c r="J87" s="764">
        <f ca="1">IF($E$19="SAC",SAC_CORR!I62,PRICE_CORR!I62)</f>
        <v>2499.0266704499354</v>
      </c>
      <c r="K87" s="911"/>
      <c r="N87" s="765">
        <f t="shared" ca="1" si="2"/>
        <v>2499.0266704499354</v>
      </c>
      <c r="O87" s="766">
        <f t="shared" ca="1" si="0"/>
        <v>43.09013371885748</v>
      </c>
    </row>
    <row r="88" spans="2:15" ht="22.35" customHeight="1" thickTop="1" thickBot="1">
      <c r="B88" s="762">
        <f ca="1">IF($E$19="SAC",SAC_CORR!B63,PRICE_CORR!B63)</f>
        <v>46081</v>
      </c>
      <c r="C88" s="763">
        <f t="shared" ca="1" si="1"/>
        <v>2404.755704390338</v>
      </c>
      <c r="D88" s="764">
        <f ca="1">IF($E$19="SAC",SAC_CORR!C63,PRICE_CORR!C63)</f>
        <v>889.99100827727909</v>
      </c>
      <c r="E88" s="764">
        <f ca="1">IF($E$19="SAC",IF(SAC_CORR!$J63="Carencia",0,SAC_CORR!D63),IF(PRICE_CORR!$J63="Carencia",0,PRICE_CORR!D63))</f>
        <v>1514.764696113059</v>
      </c>
      <c r="F88" s="764">
        <f ca="1">IF($E$19="SAC",SAC_CORR!E63,PRICE_CORR!E63)</f>
        <v>163758.34552301918</v>
      </c>
      <c r="G88" s="764">
        <f ca="1">IF($E$19="SAC",IF(SAC_CORR!$J63="Carencia",0,SAC_CORR!F63),IF(PRICE_CORR!$J63="Carencia",0,PRICE_CORR!F63))</f>
        <v>34.576150671572258</v>
      </c>
      <c r="H88" s="764">
        <f ca="1">IF($E$19="SAC",IF(SAC_CORR!$J63="Carencia",0,SAC_CORR!G63),IF(PRICE_CORR!$J63="Carencia",0,PRICE_CORR!G63))</f>
        <v>26.319999999999997</v>
      </c>
      <c r="I88" s="764">
        <f ca="1">IF($E$19="SAC",IF(SAC_CORR!$J63="Carencia",0,SAC_CORR!H63),IF(PRICE_CORR!$J63="Carencia",0,PRICE_CORR!H63))</f>
        <v>25</v>
      </c>
      <c r="J88" s="764">
        <f ca="1">IF($E$19="SAC",SAC_CORR!I63,PRICE_CORR!I63)</f>
        <v>2490.6518550619103</v>
      </c>
      <c r="K88" s="911"/>
      <c r="N88" s="765">
        <f t="shared" ca="1" si="2"/>
        <v>2490.6518550619103</v>
      </c>
      <c r="O88" s="766">
        <f t="shared" ca="1" si="0"/>
        <v>42.633169501873866</v>
      </c>
    </row>
    <row r="89" spans="2:15" ht="22.35" customHeight="1" thickTop="1" thickBot="1">
      <c r="B89" s="762">
        <f ca="1">IF($E$19="SAC",SAC_CORR!B64,PRICE_CORR!B64)</f>
        <v>46111</v>
      </c>
      <c r="C89" s="763">
        <f t="shared" ca="1" si="1"/>
        <v>2396.5677871140515</v>
      </c>
      <c r="D89" s="764">
        <f ca="1">IF($E$19="SAC",SAC_CORR!C64,PRICE_CORR!C64)</f>
        <v>889.99100827727909</v>
      </c>
      <c r="E89" s="764">
        <f ca="1">IF($E$19="SAC",IF(SAC_CORR!$J64="Carencia",0,SAC_CORR!D64),IF(PRICE_CORR!$J64="Carencia",0,PRICE_CORR!D64))</f>
        <v>1506.5767788367723</v>
      </c>
      <c r="F89" s="764">
        <f ca="1">IF($E$19="SAC",SAC_CORR!E64,PRICE_CORR!E64)</f>
        <v>162868.35451474189</v>
      </c>
      <c r="G89" s="764">
        <f ca="1">IF($E$19="SAC",IF(SAC_CORR!$J64="Carencia",0,SAC_CORR!F64),IF(PRICE_CORR!$J64="Carencia",0,PRICE_CORR!F64))</f>
        <v>34.389252559834027</v>
      </c>
      <c r="H89" s="764">
        <f ca="1">IF($E$19="SAC",IF(SAC_CORR!$J64="Carencia",0,SAC_CORR!G64),IF(PRICE_CORR!$J64="Carencia",0,PRICE_CORR!G64))</f>
        <v>26.319999999999997</v>
      </c>
      <c r="I89" s="764">
        <f ca="1">IF($E$19="SAC",IF(SAC_CORR!$J64="Carencia",0,SAC_CORR!H64),IF(PRICE_CORR!$J64="Carencia",0,PRICE_CORR!H64))</f>
        <v>25</v>
      </c>
      <c r="J89" s="764">
        <f ca="1">IF($E$19="SAC",SAC_CORR!I64,PRICE_CORR!I64)</f>
        <v>2482.2770396738856</v>
      </c>
      <c r="K89" s="911"/>
      <c r="N89" s="765">
        <f t="shared" ca="1" si="2"/>
        <v>2482.2770396738856</v>
      </c>
      <c r="O89" s="766">
        <f t="shared" ca="1" si="0"/>
        <v>42.169605491880027</v>
      </c>
    </row>
    <row r="90" spans="2:15" ht="22.35" customHeight="1" thickTop="1" thickBot="1">
      <c r="B90" s="762">
        <f ca="1">IF($E$19="SAC",SAC_CORR!B65,PRICE_CORR!B65)</f>
        <v>46142</v>
      </c>
      <c r="C90" s="763">
        <f t="shared" ca="1" si="1"/>
        <v>2388.3798698377645</v>
      </c>
      <c r="D90" s="764">
        <f ca="1">IF($E$19="SAC",SAC_CORR!C65,PRICE_CORR!C65)</f>
        <v>889.99100827727909</v>
      </c>
      <c r="E90" s="764">
        <f ca="1">IF($E$19="SAC",IF(SAC_CORR!$J65="Carencia",0,SAC_CORR!D65),IF(PRICE_CORR!$J65="Carencia",0,PRICE_CORR!D65))</f>
        <v>1498.3888615604853</v>
      </c>
      <c r="F90" s="764">
        <f ca="1">IF($E$19="SAC",SAC_CORR!E65,PRICE_CORR!E65)</f>
        <v>161978.36350646461</v>
      </c>
      <c r="G90" s="764">
        <f ca="1">IF($E$19="SAC",IF(SAC_CORR!$J65="Carencia",0,SAC_CORR!F65),IF(PRICE_CORR!$J65="Carencia",0,PRICE_CORR!F65))</f>
        <v>34.202354448095797</v>
      </c>
      <c r="H90" s="764">
        <f ca="1">IF($E$19="SAC",IF(SAC_CORR!$J65="Carencia",0,SAC_CORR!G65),IF(PRICE_CORR!$J65="Carencia",0,PRICE_CORR!G65))</f>
        <v>26.319999999999997</v>
      </c>
      <c r="I90" s="764">
        <f ca="1">IF($E$19="SAC",IF(SAC_CORR!$J65="Carencia",0,SAC_CORR!H65),IF(PRICE_CORR!$J65="Carencia",0,PRICE_CORR!H65))</f>
        <v>25</v>
      </c>
      <c r="J90" s="764">
        <f ca="1">IF($E$19="SAC",SAC_CORR!I65,PRICE_CORR!I65)</f>
        <v>2473.9022242858605</v>
      </c>
      <c r="K90" s="911"/>
      <c r="N90" s="765">
        <f t="shared" ca="1" si="2"/>
        <v>2473.9022242858605</v>
      </c>
      <c r="O90" s="766">
        <f t="shared" ca="1" si="0"/>
        <v>41.69976123673981</v>
      </c>
    </row>
    <row r="91" spans="2:15" ht="22.35" customHeight="1" thickTop="1" thickBot="1">
      <c r="B91" s="762">
        <f ca="1">IF($E$19="SAC",SAC_CORR!B66,PRICE_CORR!B66)</f>
        <v>46172</v>
      </c>
      <c r="C91" s="763">
        <f t="shared" ca="1" si="1"/>
        <v>2380.1919525614776</v>
      </c>
      <c r="D91" s="764">
        <f ca="1">IF($E$19="SAC",SAC_CORR!C66,PRICE_CORR!C66)</f>
        <v>889.99100827727909</v>
      </c>
      <c r="E91" s="764">
        <f ca="1">IF($E$19="SAC",IF(SAC_CORR!$J66="Carencia",0,SAC_CORR!D66),IF(PRICE_CORR!$J66="Carencia",0,PRICE_CORR!D66))</f>
        <v>1490.2009442841984</v>
      </c>
      <c r="F91" s="764">
        <f ca="1">IF($E$19="SAC",SAC_CORR!E66,PRICE_CORR!E66)</f>
        <v>161088.37249818732</v>
      </c>
      <c r="G91" s="764">
        <f ca="1">IF($E$19="SAC",IF(SAC_CORR!$J66="Carencia",0,SAC_CORR!F66),IF(PRICE_CORR!$J66="Carencia",0,PRICE_CORR!F66))</f>
        <v>34.015456336357566</v>
      </c>
      <c r="H91" s="764">
        <f ca="1">IF($E$19="SAC",IF(SAC_CORR!$J66="Carencia",0,SAC_CORR!G66),IF(PRICE_CORR!$J66="Carencia",0,PRICE_CORR!G66))</f>
        <v>26.319999999999997</v>
      </c>
      <c r="I91" s="764">
        <f ca="1">IF($E$19="SAC",IF(SAC_CORR!$J66="Carencia",0,SAC_CORR!H66),IF(PRICE_CORR!$J66="Carencia",0,PRICE_CORR!H66))</f>
        <v>25</v>
      </c>
      <c r="J91" s="764">
        <f ca="1">IF($E$19="SAC",SAC_CORR!I66,PRICE_CORR!I66)</f>
        <v>2465.5274088978354</v>
      </c>
      <c r="K91" s="911"/>
      <c r="N91" s="765">
        <f t="shared" ca="1" si="2"/>
        <v>2465.5274088978354</v>
      </c>
      <c r="O91" s="766">
        <f t="shared" ca="1" si="0"/>
        <v>41.245562221505452</v>
      </c>
    </row>
    <row r="92" spans="2:15" ht="22.35" customHeight="1" thickTop="1" thickBot="1">
      <c r="B92" s="762">
        <f ca="1">IF($E$19="SAC",SAC_CORR!B67,PRICE_CORR!B67)</f>
        <v>46203</v>
      </c>
      <c r="C92" s="763">
        <f t="shared" ca="1" si="1"/>
        <v>2372.0040352851906</v>
      </c>
      <c r="D92" s="764">
        <f ca="1">IF($E$19="SAC",SAC_CORR!C67,PRICE_CORR!C67)</f>
        <v>889.99100827727909</v>
      </c>
      <c r="E92" s="764">
        <f ca="1">IF($E$19="SAC",IF(SAC_CORR!$J67="Carencia",0,SAC_CORR!D67),IF(PRICE_CORR!$J67="Carencia",0,PRICE_CORR!D67))</f>
        <v>1482.0130270079117</v>
      </c>
      <c r="F92" s="764">
        <f ca="1">IF($E$19="SAC",SAC_CORR!E67,PRICE_CORR!E67)</f>
        <v>160198.38148991004</v>
      </c>
      <c r="G92" s="764">
        <f ca="1">IF($E$19="SAC",IF(SAC_CORR!$J67="Carencia",0,SAC_CORR!F67),IF(PRICE_CORR!$J67="Carencia",0,PRICE_CORR!F67))</f>
        <v>33.828558224619343</v>
      </c>
      <c r="H92" s="764">
        <f ca="1">IF($E$19="SAC",IF(SAC_CORR!$J67="Carencia",0,SAC_CORR!G67),IF(PRICE_CORR!$J67="Carencia",0,PRICE_CORR!G67))</f>
        <v>26.319999999999997</v>
      </c>
      <c r="I92" s="764">
        <f ca="1">IF($E$19="SAC",IF(SAC_CORR!$J67="Carencia",0,SAC_CORR!H67),IF(PRICE_CORR!$J67="Carencia",0,PRICE_CORR!H67))</f>
        <v>25</v>
      </c>
      <c r="J92" s="764">
        <f ca="1">IF($E$19="SAC",SAC_CORR!I67,PRICE_CORR!I67)</f>
        <v>2457.1525935098102</v>
      </c>
      <c r="K92" s="911"/>
      <c r="N92" s="765">
        <f t="shared" ca="1" si="2"/>
        <v>2457.1525935098102</v>
      </c>
      <c r="O92" s="766">
        <f t="shared" ca="1" si="0"/>
        <v>40.785233146649745</v>
      </c>
    </row>
    <row r="93" spans="2:15" ht="22.35" customHeight="1" thickTop="1" thickBot="1">
      <c r="B93" s="762">
        <f ca="1">IF($E$19="SAC",SAC_CORR!B68,PRICE_CORR!B68)</f>
        <v>46233</v>
      </c>
      <c r="C93" s="763">
        <f t="shared" ca="1" si="1"/>
        <v>2363.8161180089037</v>
      </c>
      <c r="D93" s="764">
        <f ca="1">IF($E$19="SAC",SAC_CORR!C68,PRICE_CORR!C68)</f>
        <v>889.99100827727909</v>
      </c>
      <c r="E93" s="764">
        <f ca="1">IF($E$19="SAC",IF(SAC_CORR!$J68="Carencia",0,SAC_CORR!D68),IF(PRICE_CORR!$J68="Carencia",0,PRICE_CORR!D68))</f>
        <v>1473.8251097316247</v>
      </c>
      <c r="F93" s="764">
        <f ca="1">IF($E$19="SAC",SAC_CORR!E68,PRICE_CORR!E68)</f>
        <v>159308.39048163276</v>
      </c>
      <c r="G93" s="764">
        <f ca="1">IF($E$19="SAC",IF(SAC_CORR!$J68="Carencia",0,SAC_CORR!F68),IF(PRICE_CORR!$J68="Carencia",0,PRICE_CORR!F68))</f>
        <v>33.641660112881112</v>
      </c>
      <c r="H93" s="764">
        <f ca="1">IF($E$19="SAC",IF(SAC_CORR!$J68="Carencia",0,SAC_CORR!G68),IF(PRICE_CORR!$J68="Carencia",0,PRICE_CORR!G68))</f>
        <v>26.319999999999997</v>
      </c>
      <c r="I93" s="764">
        <f ca="1">IF($E$19="SAC",IF(SAC_CORR!$J68="Carencia",0,SAC_CORR!H68),IF(PRICE_CORR!$J68="Carencia",0,PRICE_CORR!H68))</f>
        <v>25</v>
      </c>
      <c r="J93" s="764">
        <f ca="1">IF($E$19="SAC",SAC_CORR!I68,PRICE_CORR!I68)</f>
        <v>2448.7777781217851</v>
      </c>
      <c r="K93" s="911"/>
      <c r="N93" s="765">
        <f t="shared" ca="1" si="2"/>
        <v>2448.7777781217851</v>
      </c>
      <c r="O93" s="766">
        <f t="shared" ca="1" si="0"/>
        <v>40.340218701458909</v>
      </c>
    </row>
    <row r="94" spans="2:15" ht="22.35" customHeight="1" thickTop="1" thickBot="1">
      <c r="B94" s="762">
        <f ca="1">IF($E$19="SAC",SAC_CORR!B69,PRICE_CORR!B69)</f>
        <v>46264</v>
      </c>
      <c r="C94" s="763">
        <f t="shared" ca="1" si="1"/>
        <v>2355.6282007326172</v>
      </c>
      <c r="D94" s="764">
        <f ca="1">IF($E$19="SAC",SAC_CORR!C69,PRICE_CORR!C69)</f>
        <v>889.99100827727909</v>
      </c>
      <c r="E94" s="764">
        <f ca="1">IF($E$19="SAC",IF(SAC_CORR!$J69="Carencia",0,SAC_CORR!D69),IF(PRICE_CORR!$J69="Carencia",0,PRICE_CORR!D69))</f>
        <v>1465.637192455338</v>
      </c>
      <c r="F94" s="764">
        <f ca="1">IF($E$19="SAC",SAC_CORR!E69,PRICE_CORR!E69)</f>
        <v>158418.39947335547</v>
      </c>
      <c r="G94" s="764">
        <f ca="1">IF($E$19="SAC",IF(SAC_CORR!$J69="Carencia",0,SAC_CORR!F69),IF(PRICE_CORR!$J69="Carencia",0,PRICE_CORR!F69))</f>
        <v>33.454762001142882</v>
      </c>
      <c r="H94" s="764">
        <f ca="1">IF($E$19="SAC",IF(SAC_CORR!$J69="Carencia",0,SAC_CORR!G69),IF(PRICE_CORR!$J69="Carencia",0,PRICE_CORR!G69))</f>
        <v>26.319999999999997</v>
      </c>
      <c r="I94" s="764">
        <f ca="1">IF($E$19="SAC",IF(SAC_CORR!$J69="Carencia",0,SAC_CORR!H69),IF(PRICE_CORR!$J69="Carencia",0,PRICE_CORR!H69))</f>
        <v>25</v>
      </c>
      <c r="J94" s="764">
        <f ca="1">IF($E$19="SAC",SAC_CORR!I69,PRICE_CORR!I69)</f>
        <v>2440.4029627337604</v>
      </c>
      <c r="K94" s="911"/>
      <c r="N94" s="765">
        <f t="shared" ca="1" si="2"/>
        <v>2440.4029627337604</v>
      </c>
      <c r="O94" s="766">
        <f t="shared" ca="1" si="0"/>
        <v>39.889221198725956</v>
      </c>
    </row>
    <row r="95" spans="2:15" ht="22.35" customHeight="1" thickTop="1" thickBot="1">
      <c r="B95" s="762">
        <f ca="1">IF($E$19="SAC",SAC_CORR!B70,PRICE_CORR!B70)</f>
        <v>46295</v>
      </c>
      <c r="C95" s="763">
        <f t="shared" ca="1" si="1"/>
        <v>2347.4402834563302</v>
      </c>
      <c r="D95" s="764">
        <f ca="1">IF($E$19="SAC",SAC_CORR!C70,PRICE_CORR!C70)</f>
        <v>889.99100827727909</v>
      </c>
      <c r="E95" s="764">
        <f ca="1">IF($E$19="SAC",IF(SAC_CORR!$J70="Carencia",0,SAC_CORR!D70),IF(PRICE_CORR!$J70="Carencia",0,PRICE_CORR!D70))</f>
        <v>1457.449275179051</v>
      </c>
      <c r="F95" s="764">
        <f ca="1">IF($E$19="SAC",SAC_CORR!E70,PRICE_CORR!E70)</f>
        <v>157528.40846507819</v>
      </c>
      <c r="G95" s="764">
        <f ca="1">IF($E$19="SAC",IF(SAC_CORR!$J70="Carencia",0,SAC_CORR!F70),IF(PRICE_CORR!$J70="Carencia",0,PRICE_CORR!F70))</f>
        <v>33.267863889404651</v>
      </c>
      <c r="H95" s="764">
        <f ca="1">IF($E$19="SAC",IF(SAC_CORR!$J70="Carencia",0,SAC_CORR!G70),IF(PRICE_CORR!$J70="Carencia",0,PRICE_CORR!G70))</f>
        <v>26.319999999999997</v>
      </c>
      <c r="I95" s="764">
        <f ca="1">IF($E$19="SAC",IF(SAC_CORR!$J70="Carencia",0,SAC_CORR!H70),IF(PRICE_CORR!$J70="Carencia",0,PRICE_CORR!H70))</f>
        <v>25</v>
      </c>
      <c r="J95" s="764">
        <f ca="1">IF($E$19="SAC",SAC_CORR!I70,PRICE_CORR!I70)</f>
        <v>2432.0281473457349</v>
      </c>
      <c r="K95" s="911"/>
      <c r="N95" s="765">
        <f t="shared" ca="1" si="2"/>
        <v>2432.0281473457349</v>
      </c>
      <c r="O95" s="766">
        <f t="shared" ca="1" si="0"/>
        <v>39.442880170562461</v>
      </c>
    </row>
    <row r="96" spans="2:15" ht="22.35" customHeight="1" thickTop="1" thickBot="1">
      <c r="B96" s="762">
        <f ca="1">IF($E$19="SAC",SAC_CORR!B71,PRICE_CORR!B71)</f>
        <v>46325</v>
      </c>
      <c r="C96" s="763">
        <f t="shared" ca="1" si="1"/>
        <v>2339.2523661800433</v>
      </c>
      <c r="D96" s="764">
        <f ca="1">IF($E$19="SAC",SAC_CORR!C71,PRICE_CORR!C71)</f>
        <v>889.99100827727909</v>
      </c>
      <c r="E96" s="764">
        <f ca="1">IF($E$19="SAC",IF(SAC_CORR!$J71="Carencia",0,SAC_CORR!D71),IF(PRICE_CORR!$J71="Carencia",0,PRICE_CORR!D71))</f>
        <v>1449.2613579027641</v>
      </c>
      <c r="F96" s="764">
        <f ca="1">IF($E$19="SAC",SAC_CORR!E71,PRICE_CORR!E71)</f>
        <v>156638.4174568009</v>
      </c>
      <c r="G96" s="764">
        <f ca="1">IF($E$19="SAC",IF(SAC_CORR!$J71="Carencia",0,SAC_CORR!F71),IF(PRICE_CORR!$J71="Carencia",0,PRICE_CORR!F71))</f>
        <v>33.080965777666421</v>
      </c>
      <c r="H96" s="764">
        <f ca="1">IF($E$19="SAC",IF(SAC_CORR!$J71="Carencia",0,SAC_CORR!G71),IF(PRICE_CORR!$J71="Carencia",0,PRICE_CORR!G71))</f>
        <v>26.319999999999997</v>
      </c>
      <c r="I96" s="764">
        <f ca="1">IF($E$19="SAC",IF(SAC_CORR!$J71="Carencia",0,SAC_CORR!H71),IF(PRICE_CORR!$J71="Carencia",0,PRICE_CORR!H71))</f>
        <v>25</v>
      </c>
      <c r="J96" s="764">
        <f ca="1">IF($E$19="SAC",SAC_CORR!I71,PRICE_CORR!I71)</f>
        <v>2423.6533319577097</v>
      </c>
      <c r="K96" s="911"/>
      <c r="N96" s="765">
        <f t="shared" ca="1" si="2"/>
        <v>2423.6533319577097</v>
      </c>
      <c r="O96" s="766">
        <f t="shared" ca="1" si="0"/>
        <v>39.011368157196394</v>
      </c>
    </row>
    <row r="97" spans="2:15" ht="22.35" customHeight="1" thickTop="1" thickBot="1">
      <c r="B97" s="762">
        <f ca="1">IF($E$19="SAC",SAC_CORR!B72,PRICE_CORR!B72)</f>
        <v>46356</v>
      </c>
      <c r="C97" s="763">
        <f t="shared" ca="1" si="1"/>
        <v>2331.0644489037563</v>
      </c>
      <c r="D97" s="764">
        <f ca="1">IF($E$19="SAC",SAC_CORR!C72,PRICE_CORR!C72)</f>
        <v>889.99100827727909</v>
      </c>
      <c r="E97" s="764">
        <f ca="1">IF($E$19="SAC",IF(SAC_CORR!$J72="Carencia",0,SAC_CORR!D72),IF(PRICE_CORR!$J72="Carencia",0,PRICE_CORR!D72))</f>
        <v>1441.0734406264773</v>
      </c>
      <c r="F97" s="764">
        <f ca="1">IF($E$19="SAC",SAC_CORR!E72,PRICE_CORR!E72)</f>
        <v>155748.42644852362</v>
      </c>
      <c r="G97" s="764">
        <f ca="1">IF($E$19="SAC",IF(SAC_CORR!$J72="Carencia",0,SAC_CORR!F72),IF(PRICE_CORR!$J72="Carencia",0,PRICE_CORR!F72))</f>
        <v>32.894067665928191</v>
      </c>
      <c r="H97" s="764">
        <f ca="1">IF($E$19="SAC",IF(SAC_CORR!$J72="Carencia",0,SAC_CORR!G72),IF(PRICE_CORR!$J72="Carencia",0,PRICE_CORR!G72))</f>
        <v>26.319999999999997</v>
      </c>
      <c r="I97" s="764">
        <f ca="1">IF($E$19="SAC",IF(SAC_CORR!$J72="Carencia",0,SAC_CORR!H72),IF(PRICE_CORR!$J72="Carencia",0,PRICE_CORR!H72))</f>
        <v>25</v>
      </c>
      <c r="J97" s="764">
        <f ca="1">IF($E$19="SAC",SAC_CORR!I72,PRICE_CORR!I72)</f>
        <v>2415.2785165696846</v>
      </c>
      <c r="K97" s="911"/>
      <c r="N97" s="765">
        <f t="shared" ca="1" si="2"/>
        <v>2415.2785165696846</v>
      </c>
      <c r="O97" s="766">
        <f t="shared" ca="1" si="0"/>
        <v>38.574088513859152</v>
      </c>
    </row>
    <row r="98" spans="2:15" ht="22.35" customHeight="1" thickTop="1" thickBot="1">
      <c r="B98" s="762">
        <f ca="1">IF($E$19="SAC",SAC_CORR!B73,PRICE_CORR!B73)</f>
        <v>46386</v>
      </c>
      <c r="C98" s="763">
        <f t="shared" ca="1" si="1"/>
        <v>2322.8765316274694</v>
      </c>
      <c r="D98" s="764">
        <f ca="1">IF($E$19="SAC",SAC_CORR!C73,PRICE_CORR!C73)</f>
        <v>889.99100827727909</v>
      </c>
      <c r="E98" s="764">
        <f ca="1">IF($E$19="SAC",IF(SAC_CORR!$J73="Carencia",0,SAC_CORR!D73),IF(PRICE_CORR!$J73="Carencia",0,PRICE_CORR!D73))</f>
        <v>1432.8855233501904</v>
      </c>
      <c r="F98" s="764">
        <f ca="1">IF($E$19="SAC",SAC_CORR!E73,PRICE_CORR!E73)</f>
        <v>154858.43544024634</v>
      </c>
      <c r="G98" s="764">
        <f ca="1">IF($E$19="SAC",IF(SAC_CORR!$J73="Carencia",0,SAC_CORR!F73),IF(PRICE_CORR!$J73="Carencia",0,PRICE_CORR!F73))</f>
        <v>32.70716955418996</v>
      </c>
      <c r="H98" s="764">
        <f ca="1">IF($E$19="SAC",IF(SAC_CORR!$J73="Carencia",0,SAC_CORR!G73),IF(PRICE_CORR!$J73="Carencia",0,PRICE_CORR!G73))</f>
        <v>26.319999999999997</v>
      </c>
      <c r="I98" s="764">
        <f ca="1">IF($E$19="SAC",IF(SAC_CORR!$J73="Carencia",0,SAC_CORR!H73),IF(PRICE_CORR!$J73="Carencia",0,PRICE_CORR!H73))</f>
        <v>25</v>
      </c>
      <c r="J98" s="764">
        <f ca="1">IF($E$19="SAC",SAC_CORR!I73,PRICE_CORR!I73)</f>
        <v>2406.9037011816595</v>
      </c>
      <c r="K98" s="911"/>
      <c r="N98" s="765">
        <f t="shared" ca="1" si="2"/>
        <v>2406.9037011816595</v>
      </c>
      <c r="O98" s="766">
        <f t="shared" ca="1" si="0"/>
        <v>38.151323459373543</v>
      </c>
    </row>
    <row r="99" spans="2:15" ht="22.35" customHeight="1" thickTop="1" thickBot="1">
      <c r="B99" s="762">
        <f ca="1">IF($E$19="SAC",SAC_CORR!B74,PRICE_CORR!B74)</f>
        <v>46417</v>
      </c>
      <c r="C99" s="763">
        <f t="shared" ca="1" si="1"/>
        <v>2314.6886143511829</v>
      </c>
      <c r="D99" s="764">
        <f ca="1">IF($E$19="SAC",SAC_CORR!C74,PRICE_CORR!C74)</f>
        <v>889.99100827727909</v>
      </c>
      <c r="E99" s="764">
        <f ca="1">IF($E$19="SAC",IF(SAC_CORR!$J74="Carencia",0,SAC_CORR!D74),IF(PRICE_CORR!$J74="Carencia",0,PRICE_CORR!D74))</f>
        <v>1424.6976060739037</v>
      </c>
      <c r="F99" s="764">
        <f ca="1">IF($E$19="SAC",SAC_CORR!E74,PRICE_CORR!E74)</f>
        <v>153968.44443196905</v>
      </c>
      <c r="G99" s="764">
        <f ca="1">IF($E$19="SAC",IF(SAC_CORR!$J74="Carencia",0,SAC_CORR!F74),IF(PRICE_CORR!$J74="Carencia",0,PRICE_CORR!F74))</f>
        <v>32.52027144245173</v>
      </c>
      <c r="H99" s="764">
        <f ca="1">IF($E$19="SAC",IF(SAC_CORR!$J74="Carencia",0,SAC_CORR!G74),IF(PRICE_CORR!$J74="Carencia",0,PRICE_CORR!G74))</f>
        <v>26.319999999999997</v>
      </c>
      <c r="I99" s="764">
        <f ca="1">IF($E$19="SAC",IF(SAC_CORR!$J74="Carencia",0,SAC_CORR!H74),IF(PRICE_CORR!$J74="Carencia",0,PRICE_CORR!H74))</f>
        <v>25</v>
      </c>
      <c r="J99" s="764">
        <f ca="1">IF($E$19="SAC",SAC_CORR!I74,PRICE_CORR!I74)</f>
        <v>2398.5288857936348</v>
      </c>
      <c r="K99" s="911"/>
      <c r="N99" s="765">
        <f t="shared" ca="1" si="2"/>
        <v>2398.5288857936348</v>
      </c>
      <c r="O99" s="766">
        <f t="shared" ca="1" si="0"/>
        <v>37.722930073964399</v>
      </c>
    </row>
    <row r="100" spans="2:15" ht="22.35" customHeight="1" thickTop="1" thickBot="1">
      <c r="B100" s="762">
        <f ca="1">IF($E$19="SAC",SAC_CORR!B75,PRICE_CORR!B75)</f>
        <v>46446</v>
      </c>
      <c r="C100" s="763">
        <f t="shared" ca="1" si="1"/>
        <v>2306.5006970748959</v>
      </c>
      <c r="D100" s="764">
        <f ca="1">IF($E$19="SAC",SAC_CORR!C75,PRICE_CORR!C75)</f>
        <v>889.99100827727909</v>
      </c>
      <c r="E100" s="764">
        <f ca="1">IF($E$19="SAC",IF(SAC_CORR!$J75="Carencia",0,SAC_CORR!D75),IF(PRICE_CORR!$J75="Carencia",0,PRICE_CORR!D75))</f>
        <v>1416.5096887976167</v>
      </c>
      <c r="F100" s="764">
        <f ca="1">IF($E$19="SAC",SAC_CORR!E75,PRICE_CORR!E75)</f>
        <v>153078.45342369177</v>
      </c>
      <c r="G100" s="764">
        <f ca="1">IF($E$19="SAC",IF(SAC_CORR!$J75="Carencia",0,SAC_CORR!F75),IF(PRICE_CORR!$J75="Carencia",0,PRICE_CORR!F75))</f>
        <v>32.333373330713499</v>
      </c>
      <c r="H100" s="764">
        <f ca="1">IF($E$19="SAC",IF(SAC_CORR!$J75="Carencia",0,SAC_CORR!G75),IF(PRICE_CORR!$J75="Carencia",0,PRICE_CORR!G75))</f>
        <v>26.319999999999997</v>
      </c>
      <c r="I100" s="764">
        <f ca="1">IF($E$19="SAC",IF(SAC_CORR!$J75="Carencia",0,SAC_CORR!H75),IF(PRICE_CORR!$J75="Carencia",0,PRICE_CORR!H75))</f>
        <v>25</v>
      </c>
      <c r="J100" s="764">
        <f ca="1">IF($E$19="SAC",SAC_CORR!I75,PRICE_CORR!I75)</f>
        <v>2390.1540704056097</v>
      </c>
      <c r="K100" s="911"/>
      <c r="N100" s="765">
        <f t="shared" ca="1" si="2"/>
        <v>2390.1540704056097</v>
      </c>
      <c r="O100" s="766">
        <f t="shared" ca="1" si="0"/>
        <v>37.318518041919404</v>
      </c>
    </row>
    <row r="101" spans="2:15" ht="22.35" customHeight="1" thickTop="1" thickBot="1">
      <c r="B101" s="762">
        <f ca="1">IF($E$19="SAC",SAC_CORR!B76,PRICE_CORR!B76)</f>
        <v>46476</v>
      </c>
      <c r="C101" s="763">
        <f t="shared" ca="1" si="1"/>
        <v>2298.312779798609</v>
      </c>
      <c r="D101" s="764">
        <f ca="1">IF($E$19="SAC",SAC_CORR!C76,PRICE_CORR!C76)</f>
        <v>889.99100827727909</v>
      </c>
      <c r="E101" s="764">
        <f ca="1">IF($E$19="SAC",IF(SAC_CORR!$J76="Carencia",0,SAC_CORR!D76),IF(PRICE_CORR!$J76="Carencia",0,PRICE_CORR!D76))</f>
        <v>1408.32177152133</v>
      </c>
      <c r="F101" s="764">
        <f ca="1">IF($E$19="SAC",SAC_CORR!E76,PRICE_CORR!E76)</f>
        <v>152188.46241541448</v>
      </c>
      <c r="G101" s="764">
        <f ca="1">IF($E$19="SAC",IF(SAC_CORR!$J76="Carencia",0,SAC_CORR!F76),IF(PRICE_CORR!$J76="Carencia",0,PRICE_CORR!F76))</f>
        <v>32.146475218975276</v>
      </c>
      <c r="H101" s="764">
        <f ca="1">IF($E$19="SAC",IF(SAC_CORR!$J76="Carencia",0,SAC_CORR!G76),IF(PRICE_CORR!$J76="Carencia",0,PRICE_CORR!G76))</f>
        <v>26.319999999999997</v>
      </c>
      <c r="I101" s="764">
        <f ca="1">IF($E$19="SAC",IF(SAC_CORR!$J76="Carencia",0,SAC_CORR!H76),IF(PRICE_CORR!$J76="Carencia",0,PRICE_CORR!H76))</f>
        <v>25</v>
      </c>
      <c r="J101" s="764">
        <f ca="1">IF($E$19="SAC",SAC_CORR!I76,PRICE_CORR!I76)</f>
        <v>2381.7792550175845</v>
      </c>
      <c r="K101" s="911"/>
      <c r="N101" s="765">
        <f t="shared" ca="1" si="2"/>
        <v>2381.7792550175845</v>
      </c>
      <c r="O101" s="766">
        <f t="shared" ca="1" si="0"/>
        <v>36.908396630056991</v>
      </c>
    </row>
    <row r="102" spans="2:15" ht="22.35" customHeight="1" thickTop="1" thickBot="1">
      <c r="B102" s="762">
        <f ca="1">IF($E$19="SAC",SAC_CORR!B77,PRICE_CORR!B77)</f>
        <v>46507</v>
      </c>
      <c r="C102" s="763">
        <f t="shared" ca="1" si="1"/>
        <v>2290.124862522322</v>
      </c>
      <c r="D102" s="764">
        <f ca="1">IF($E$19="SAC",SAC_CORR!C77,PRICE_CORR!C77)</f>
        <v>889.99100827727909</v>
      </c>
      <c r="E102" s="764">
        <f ca="1">IF($E$19="SAC",IF(SAC_CORR!$J77="Carencia",0,SAC_CORR!D77),IF(PRICE_CORR!$J77="Carencia",0,PRICE_CORR!D77))</f>
        <v>1400.133854245043</v>
      </c>
      <c r="F102" s="764">
        <f ca="1">IF($E$19="SAC",SAC_CORR!E77,PRICE_CORR!E77)</f>
        <v>151298.4714071372</v>
      </c>
      <c r="G102" s="764">
        <f ca="1">IF($E$19="SAC",IF(SAC_CORR!$J77="Carencia",0,SAC_CORR!F77),IF(PRICE_CORR!$J77="Carencia",0,PRICE_CORR!F77))</f>
        <v>31.959577107237042</v>
      </c>
      <c r="H102" s="764">
        <f ca="1">IF($E$19="SAC",IF(SAC_CORR!$J77="Carencia",0,SAC_CORR!G77),IF(PRICE_CORR!$J77="Carencia",0,PRICE_CORR!G77))</f>
        <v>26.319999999999997</v>
      </c>
      <c r="I102" s="764">
        <f ca="1">IF($E$19="SAC",IF(SAC_CORR!$J77="Carencia",0,SAC_CORR!H77),IF(PRICE_CORR!$J77="Carencia",0,PRICE_CORR!H77))</f>
        <v>25</v>
      </c>
      <c r="J102" s="764">
        <f ca="1">IF($E$19="SAC",SAC_CORR!I77,PRICE_CORR!I77)</f>
        <v>2373.4044396295594</v>
      </c>
      <c r="K102" s="911"/>
      <c r="N102" s="765">
        <f t="shared" ca="1" si="2"/>
        <v>2373.4044396295594</v>
      </c>
      <c r="O102" s="766">
        <f t="shared" ca="1" si="0"/>
        <v>36.492848158868334</v>
      </c>
    </row>
    <row r="103" spans="2:15" ht="22.35" customHeight="1" thickTop="1" thickBot="1">
      <c r="B103" s="762">
        <f ca="1">IF($E$19="SAC",SAC_CORR!B78,PRICE_CORR!B78)</f>
        <v>46537</v>
      </c>
      <c r="C103" s="763">
        <f t="shared" ca="1" si="1"/>
        <v>2281.9369452460351</v>
      </c>
      <c r="D103" s="764">
        <f ca="1">IF($E$19="SAC",SAC_CORR!C78,PRICE_CORR!C78)</f>
        <v>889.99100827727909</v>
      </c>
      <c r="E103" s="764">
        <f ca="1">IF($E$19="SAC",IF(SAC_CORR!$J78="Carencia",0,SAC_CORR!D78),IF(PRICE_CORR!$J78="Carencia",0,PRICE_CORR!D78))</f>
        <v>1391.9459369687561</v>
      </c>
      <c r="F103" s="764">
        <f ca="1">IF($E$19="SAC",SAC_CORR!E78,PRICE_CORR!E78)</f>
        <v>150408.48039885992</v>
      </c>
      <c r="G103" s="764">
        <f ca="1">IF($E$19="SAC",IF(SAC_CORR!$J78="Carencia",0,SAC_CORR!F78),IF(PRICE_CORR!$J78="Carencia",0,PRICE_CORR!F78))</f>
        <v>31.772678995498815</v>
      </c>
      <c r="H103" s="764">
        <f ca="1">IF($E$19="SAC",IF(SAC_CORR!$J78="Carencia",0,SAC_CORR!G78),IF(PRICE_CORR!$J78="Carencia",0,PRICE_CORR!G78))</f>
        <v>26.319999999999997</v>
      </c>
      <c r="I103" s="764">
        <f ca="1">IF($E$19="SAC",IF(SAC_CORR!$J78="Carencia",0,SAC_CORR!H78),IF(PRICE_CORR!$J78="Carencia",0,PRICE_CORR!H78))</f>
        <v>25</v>
      </c>
      <c r="J103" s="764">
        <f ca="1">IF($E$19="SAC",SAC_CORR!I78,PRICE_CORR!I78)</f>
        <v>2365.0296242415338</v>
      </c>
      <c r="K103" s="911"/>
      <c r="N103" s="765">
        <f t="shared" ca="1" si="2"/>
        <v>2365.0296242415338</v>
      </c>
      <c r="O103" s="766">
        <f t="shared" ca="1" si="0"/>
        <v>36.091060668984497</v>
      </c>
    </row>
    <row r="104" spans="2:15" ht="22.35" customHeight="1" thickTop="1" thickBot="1">
      <c r="B104" s="762">
        <f ca="1">IF($E$19="SAC",SAC_CORR!B79,PRICE_CORR!B79)</f>
        <v>46568</v>
      </c>
      <c r="C104" s="763">
        <f t="shared" ca="1" si="1"/>
        <v>2273.7490279697486</v>
      </c>
      <c r="D104" s="764">
        <f ca="1">IF($E$19="SAC",SAC_CORR!C79,PRICE_CORR!C79)</f>
        <v>889.99100827727909</v>
      </c>
      <c r="E104" s="764">
        <f ca="1">IF($E$19="SAC",IF(SAC_CORR!$J79="Carencia",0,SAC_CORR!D79),IF(PRICE_CORR!$J79="Carencia",0,PRICE_CORR!D79))</f>
        <v>1383.7580196924694</v>
      </c>
      <c r="F104" s="764">
        <f ca="1">IF($E$19="SAC",SAC_CORR!E79,PRICE_CORR!E79)</f>
        <v>149518.48939058263</v>
      </c>
      <c r="G104" s="764">
        <f ca="1">IF($E$19="SAC",IF(SAC_CORR!$J79="Carencia",0,SAC_CORR!F79),IF(PRICE_CORR!$J79="Carencia",0,PRICE_CORR!F79))</f>
        <v>31.585780883760584</v>
      </c>
      <c r="H104" s="764">
        <f ca="1">IF($E$19="SAC",IF(SAC_CORR!$J79="Carencia",0,SAC_CORR!G79),IF(PRICE_CORR!$J79="Carencia",0,PRICE_CORR!G79))</f>
        <v>26.319999999999997</v>
      </c>
      <c r="I104" s="764">
        <f ca="1">IF($E$19="SAC",IF(SAC_CORR!$J79="Carencia",0,SAC_CORR!H79),IF(PRICE_CORR!$J79="Carencia",0,PRICE_CORR!H79))</f>
        <v>25</v>
      </c>
      <c r="J104" s="764">
        <f ca="1">IF($E$19="SAC",SAC_CORR!I79,PRICE_CORR!I79)</f>
        <v>2356.6548088535092</v>
      </c>
      <c r="K104" s="911"/>
      <c r="N104" s="765">
        <f t="shared" ca="1" si="2"/>
        <v>2356.6548088535092</v>
      </c>
      <c r="O104" s="766">
        <f t="shared" ca="1" si="0"/>
        <v>35.683978163324745</v>
      </c>
    </row>
    <row r="105" spans="2:15" ht="22.35" customHeight="1" thickTop="1" thickBot="1">
      <c r="B105" s="762">
        <f ca="1">IF($E$19="SAC",SAC_CORR!B80,PRICE_CORR!B80)</f>
        <v>46598</v>
      </c>
      <c r="C105" s="763">
        <f t="shared" ca="1" si="1"/>
        <v>2265.5611106934616</v>
      </c>
      <c r="D105" s="764">
        <f ca="1">IF($E$19="SAC",SAC_CORR!C80,PRICE_CORR!C80)</f>
        <v>889.99100827727909</v>
      </c>
      <c r="E105" s="764">
        <f ca="1">IF($E$19="SAC",IF(SAC_CORR!$J80="Carencia",0,SAC_CORR!D80),IF(PRICE_CORR!$J80="Carencia",0,PRICE_CORR!D80))</f>
        <v>1375.5701024161824</v>
      </c>
      <c r="F105" s="764">
        <f ca="1">IF($E$19="SAC",SAC_CORR!E80,PRICE_CORR!E80)</f>
        <v>148628.49838230535</v>
      </c>
      <c r="G105" s="764">
        <f ca="1">IF($E$19="SAC",IF(SAC_CORR!$J80="Carencia",0,SAC_CORR!F80),IF(PRICE_CORR!$J80="Carencia",0,PRICE_CORR!F80))</f>
        <v>31.398882772022354</v>
      </c>
      <c r="H105" s="764">
        <f ca="1">IF($E$19="SAC",IF(SAC_CORR!$J80="Carencia",0,SAC_CORR!G80),IF(PRICE_CORR!$J80="Carencia",0,PRICE_CORR!G80))</f>
        <v>26.319999999999997</v>
      </c>
      <c r="I105" s="764">
        <f ca="1">IF($E$19="SAC",IF(SAC_CORR!$J80="Carencia",0,SAC_CORR!H80),IF(PRICE_CORR!$J80="Carencia",0,PRICE_CORR!H80))</f>
        <v>25</v>
      </c>
      <c r="J105" s="764">
        <f ca="1">IF($E$19="SAC",SAC_CORR!I80,PRICE_CORR!I80)</f>
        <v>2348.279993465484</v>
      </c>
      <c r="K105" s="911"/>
      <c r="N105" s="765">
        <f t="shared" ca="1" si="2"/>
        <v>2348.279993465484</v>
      </c>
      <c r="O105" s="766">
        <f t="shared" ca="1" si="0"/>
        <v>35.290363430830311</v>
      </c>
    </row>
    <row r="106" spans="2:15" ht="22.35" customHeight="1" thickTop="1" thickBot="1">
      <c r="B106" s="762">
        <f ca="1">IF($E$19="SAC",SAC_CORR!B81,PRICE_CORR!B81)</f>
        <v>46629</v>
      </c>
      <c r="C106" s="763">
        <f t="shared" ca="1" si="1"/>
        <v>2257.3731934171747</v>
      </c>
      <c r="D106" s="764">
        <f ca="1">IF($E$19="SAC",SAC_CORR!C81,PRICE_CORR!C81)</f>
        <v>889.99100827727909</v>
      </c>
      <c r="E106" s="764">
        <f ca="1">IF($E$19="SAC",IF(SAC_CORR!$J81="Carencia",0,SAC_CORR!D81),IF(PRICE_CORR!$J81="Carencia",0,PRICE_CORR!D81))</f>
        <v>1367.3821851398957</v>
      </c>
      <c r="F106" s="764">
        <f ca="1">IF($E$19="SAC",SAC_CORR!E81,PRICE_CORR!E81)</f>
        <v>147738.50737402806</v>
      </c>
      <c r="G106" s="764">
        <f ca="1">IF($E$19="SAC",IF(SAC_CORR!$J81="Carencia",0,SAC_CORR!F81),IF(PRICE_CORR!$J81="Carencia",0,PRICE_CORR!F81))</f>
        <v>31.211984660284124</v>
      </c>
      <c r="H106" s="764">
        <f ca="1">IF($E$19="SAC",IF(SAC_CORR!$J81="Carencia",0,SAC_CORR!G81),IF(PRICE_CORR!$J81="Carencia",0,PRICE_CORR!G81))</f>
        <v>26.319999999999997</v>
      </c>
      <c r="I106" s="764">
        <f ca="1">IF($E$19="SAC",IF(SAC_CORR!$J81="Carencia",0,SAC_CORR!H81),IF(PRICE_CORR!$J81="Carencia",0,PRICE_CORR!H81))</f>
        <v>25</v>
      </c>
      <c r="J106" s="764">
        <f ca="1">IF($E$19="SAC",SAC_CORR!I81,PRICE_CORR!I81)</f>
        <v>2339.9051780774589</v>
      </c>
      <c r="K106" s="911"/>
      <c r="N106" s="765">
        <f t="shared" ca="1" si="2"/>
        <v>2339.9051780774589</v>
      </c>
      <c r="O106" s="766">
        <f t="shared" ca="1" si="0"/>
        <v>34.891582903453269</v>
      </c>
    </row>
    <row r="107" spans="2:15" ht="22.35" customHeight="1" thickTop="1" thickBot="1">
      <c r="B107" s="762">
        <f ca="1">IF($E$19="SAC",SAC_CORR!B82,PRICE_CORR!B82)</f>
        <v>46660</v>
      </c>
      <c r="C107" s="763">
        <f t="shared" ca="1" si="1"/>
        <v>2249.1852761408877</v>
      </c>
      <c r="D107" s="764">
        <f ca="1">IF($E$19="SAC",SAC_CORR!C82,PRICE_CORR!C82)</f>
        <v>889.99100827727909</v>
      </c>
      <c r="E107" s="764">
        <f ca="1">IF($E$19="SAC",IF(SAC_CORR!$J82="Carencia",0,SAC_CORR!D82),IF(PRICE_CORR!$J82="Carencia",0,PRICE_CORR!D82))</f>
        <v>1359.1942678636087</v>
      </c>
      <c r="F107" s="764">
        <f ca="1">IF($E$19="SAC",SAC_CORR!E82,PRICE_CORR!E82)</f>
        <v>146848.51636575078</v>
      </c>
      <c r="G107" s="764">
        <f ca="1">IF($E$19="SAC",IF(SAC_CORR!$J82="Carencia",0,SAC_CORR!F82),IF(PRICE_CORR!$J82="Carencia",0,PRICE_CORR!F82))</f>
        <v>31.025086548545893</v>
      </c>
      <c r="H107" s="764">
        <f ca="1">IF($E$19="SAC",IF(SAC_CORR!$J82="Carencia",0,SAC_CORR!G82),IF(PRICE_CORR!$J82="Carencia",0,PRICE_CORR!G82))</f>
        <v>26.319999999999997</v>
      </c>
      <c r="I107" s="764">
        <f ca="1">IF($E$19="SAC",IF(SAC_CORR!$J82="Carencia",0,SAC_CORR!H82),IF(PRICE_CORR!$J82="Carencia",0,PRICE_CORR!H82))</f>
        <v>25</v>
      </c>
      <c r="J107" s="764">
        <f ca="1">IF($E$19="SAC",SAC_CORR!I82,PRICE_CORR!I82)</f>
        <v>2331.5303626894338</v>
      </c>
      <c r="K107" s="911"/>
      <c r="N107" s="765">
        <f t="shared" ca="1" si="2"/>
        <v>2331.5303626894338</v>
      </c>
      <c r="O107" s="766">
        <f t="shared" ref="O107:O170" ca="1" si="3">(G107+H107)/(1.008)^(12*(B107-$B$43)/365)</f>
        <v>34.496944526668322</v>
      </c>
    </row>
    <row r="108" spans="2:15" ht="22.35" customHeight="1" thickTop="1" thickBot="1">
      <c r="B108" s="762">
        <f ca="1">IF($E$19="SAC",SAC_CORR!B83,PRICE_CORR!B83)</f>
        <v>46690</v>
      </c>
      <c r="C108" s="763">
        <f t="shared" ref="C108:C171" ca="1" si="4">IFERROR(D108+E108,"")</f>
        <v>2240.9973588646008</v>
      </c>
      <c r="D108" s="764">
        <f ca="1">IF($E$19="SAC",SAC_CORR!C83,PRICE_CORR!C83)</f>
        <v>889.99100827727909</v>
      </c>
      <c r="E108" s="764">
        <f ca="1">IF($E$19="SAC",IF(SAC_CORR!$J83="Carencia",0,SAC_CORR!D83),IF(PRICE_CORR!$J83="Carencia",0,PRICE_CORR!D83))</f>
        <v>1351.0063505873218</v>
      </c>
      <c r="F108" s="764">
        <f ca="1">IF($E$19="SAC",SAC_CORR!E83,PRICE_CORR!E83)</f>
        <v>145958.5253574735</v>
      </c>
      <c r="G108" s="764">
        <f ca="1">IF($E$19="SAC",IF(SAC_CORR!$J83="Carencia",0,SAC_CORR!F83),IF(PRICE_CORR!$J83="Carencia",0,PRICE_CORR!F83))</f>
        <v>30.838188436807666</v>
      </c>
      <c r="H108" s="764">
        <f ca="1">IF($E$19="SAC",IF(SAC_CORR!$J83="Carencia",0,SAC_CORR!G83),IF(PRICE_CORR!$J83="Carencia",0,PRICE_CORR!G83))</f>
        <v>26.319999999999997</v>
      </c>
      <c r="I108" s="764">
        <f ca="1">IF($E$19="SAC",IF(SAC_CORR!$J83="Carencia",0,SAC_CORR!H83),IF(PRICE_CORR!$J83="Carencia",0,PRICE_CORR!H83))</f>
        <v>25</v>
      </c>
      <c r="J108" s="764">
        <f ca="1">IF($E$19="SAC",SAC_CORR!I83,PRICE_CORR!I83)</f>
        <v>2323.1555473014087</v>
      </c>
      <c r="K108" s="911"/>
      <c r="N108" s="765">
        <f t="shared" ca="1" si="2"/>
        <v>2323.1555473014087</v>
      </c>
      <c r="O108" s="766">
        <f t="shared" ca="1" si="3"/>
        <v>34.115343314574787</v>
      </c>
    </row>
    <row r="109" spans="2:15" ht="22.35" customHeight="1" thickTop="1" thickBot="1">
      <c r="B109" s="762">
        <f ca="1">IF($E$19="SAC",SAC_CORR!B84,PRICE_CORR!B84)</f>
        <v>46721</v>
      </c>
      <c r="C109" s="763">
        <f t="shared" ca="1" si="4"/>
        <v>2232.8094415883143</v>
      </c>
      <c r="D109" s="764">
        <f ca="1">IF($E$19="SAC",SAC_CORR!C84,PRICE_CORR!C84)</f>
        <v>889.99100827727909</v>
      </c>
      <c r="E109" s="764">
        <f ca="1">IF($E$19="SAC",IF(SAC_CORR!$J84="Carencia",0,SAC_CORR!D84),IF(PRICE_CORR!$J84="Carencia",0,PRICE_CORR!D84))</f>
        <v>1342.8184333110351</v>
      </c>
      <c r="F109" s="764">
        <f ca="1">IF($E$19="SAC",SAC_CORR!E84,PRICE_CORR!E84)</f>
        <v>145068.53434919621</v>
      </c>
      <c r="G109" s="764">
        <f ca="1">IF($E$19="SAC",IF(SAC_CORR!$J84="Carencia",0,SAC_CORR!F84),IF(PRICE_CORR!$J84="Carencia",0,PRICE_CORR!F84))</f>
        <v>30.651290325069436</v>
      </c>
      <c r="H109" s="764">
        <f ca="1">IF($E$19="SAC",IF(SAC_CORR!$J84="Carencia",0,SAC_CORR!G84),IF(PRICE_CORR!$J84="Carencia",0,PRICE_CORR!G84))</f>
        <v>26.319999999999997</v>
      </c>
      <c r="I109" s="764">
        <f ca="1">IF($E$19="SAC",IF(SAC_CORR!$J84="Carencia",0,SAC_CORR!H84),IF(PRICE_CORR!$J84="Carencia",0,PRICE_CORR!H84))</f>
        <v>25</v>
      </c>
      <c r="J109" s="764">
        <f ca="1">IF($E$19="SAC",SAC_CORR!I84,PRICE_CORR!I84)</f>
        <v>2314.780731913384</v>
      </c>
      <c r="K109" s="911"/>
      <c r="N109" s="765">
        <f t="shared" ref="N109:N172" ca="1" si="5">J109</f>
        <v>2314.780731913384</v>
      </c>
      <c r="O109" s="766">
        <f t="shared" ca="1" si="3"/>
        <v>33.728765621220852</v>
      </c>
    </row>
    <row r="110" spans="2:15" ht="22.35" customHeight="1" thickTop="1" thickBot="1">
      <c r="B110" s="762">
        <f ca="1">IF($E$19="SAC",SAC_CORR!B85,PRICE_CORR!B85)</f>
        <v>46751</v>
      </c>
      <c r="C110" s="763">
        <f t="shared" ca="1" si="4"/>
        <v>2224.6215243120273</v>
      </c>
      <c r="D110" s="764">
        <f ca="1">IF($E$19="SAC",SAC_CORR!C85,PRICE_CORR!C85)</f>
        <v>889.99100827727909</v>
      </c>
      <c r="E110" s="764">
        <f ca="1">IF($E$19="SAC",IF(SAC_CORR!$J85="Carencia",0,SAC_CORR!D85),IF(PRICE_CORR!$J85="Carencia",0,PRICE_CORR!D85))</f>
        <v>1334.6305160347481</v>
      </c>
      <c r="F110" s="764">
        <f ca="1">IF($E$19="SAC",SAC_CORR!E85,PRICE_CORR!E85)</f>
        <v>144178.54334091893</v>
      </c>
      <c r="G110" s="764">
        <f ca="1">IF($E$19="SAC",IF(SAC_CORR!$J85="Carencia",0,SAC_CORR!F85),IF(PRICE_CORR!$J85="Carencia",0,PRICE_CORR!F85))</f>
        <v>30.464392213331205</v>
      </c>
      <c r="H110" s="764">
        <f ca="1">IF($E$19="SAC",IF(SAC_CORR!$J85="Carencia",0,SAC_CORR!G85),IF(PRICE_CORR!$J85="Carencia",0,PRICE_CORR!G85))</f>
        <v>26.319999999999997</v>
      </c>
      <c r="I110" s="764">
        <f ca="1">IF($E$19="SAC",IF(SAC_CORR!$J85="Carencia",0,SAC_CORR!H85),IF(PRICE_CORR!$J85="Carencia",0,PRICE_CORR!H85))</f>
        <v>25</v>
      </c>
      <c r="J110" s="764">
        <f ca="1">IF($E$19="SAC",SAC_CORR!I85,PRICE_CORR!I85)</f>
        <v>2306.4059165253589</v>
      </c>
      <c r="K110" s="911"/>
      <c r="N110" s="765">
        <f t="shared" ca="1" si="5"/>
        <v>2306.4059165253589</v>
      </c>
      <c r="O110" s="766">
        <f t="shared" ca="1" si="3"/>
        <v>33.354946307883459</v>
      </c>
    </row>
    <row r="111" spans="2:15" ht="22.35" customHeight="1" thickTop="1" thickBot="1">
      <c r="B111" s="762">
        <f ca="1">IF($E$19="SAC",SAC_CORR!B86,PRICE_CORR!B86)</f>
        <v>46782</v>
      </c>
      <c r="C111" s="763">
        <f t="shared" ca="1" si="4"/>
        <v>2216.4336070357404</v>
      </c>
      <c r="D111" s="764">
        <f ca="1">IF($E$19="SAC",SAC_CORR!C86,PRICE_CORR!C86)</f>
        <v>889.99100827727909</v>
      </c>
      <c r="E111" s="764">
        <f ca="1">IF($E$19="SAC",IF(SAC_CORR!$J86="Carencia",0,SAC_CORR!D86),IF(PRICE_CORR!$J86="Carencia",0,PRICE_CORR!D86))</f>
        <v>1326.4425987584614</v>
      </c>
      <c r="F111" s="764">
        <f ca="1">IF($E$19="SAC",SAC_CORR!E86,PRICE_CORR!E86)</f>
        <v>143288.55233264164</v>
      </c>
      <c r="G111" s="764">
        <f ca="1">IF($E$19="SAC",IF(SAC_CORR!$J86="Carencia",0,SAC_CORR!F86),IF(PRICE_CORR!$J86="Carencia",0,PRICE_CORR!F86))</f>
        <v>30.277494101592975</v>
      </c>
      <c r="H111" s="764">
        <f ca="1">IF($E$19="SAC",IF(SAC_CORR!$J86="Carencia",0,SAC_CORR!G86),IF(PRICE_CORR!$J86="Carencia",0,PRICE_CORR!G86))</f>
        <v>26.319999999999997</v>
      </c>
      <c r="I111" s="764">
        <f ca="1">IF($E$19="SAC",IF(SAC_CORR!$J86="Carencia",0,SAC_CORR!H86),IF(PRICE_CORR!$J86="Carencia",0,PRICE_CORR!H86))</f>
        <v>25</v>
      </c>
      <c r="J111" s="764">
        <f ca="1">IF($E$19="SAC",SAC_CORR!I86,PRICE_CORR!I86)</f>
        <v>2298.0311011373333</v>
      </c>
      <c r="K111" s="911"/>
      <c r="N111" s="765">
        <f t="shared" ca="1" si="5"/>
        <v>2298.0311011373333</v>
      </c>
      <c r="O111" s="766">
        <f t="shared" ca="1" si="3"/>
        <v>32.976272905513248</v>
      </c>
    </row>
    <row r="112" spans="2:15" ht="22.35" customHeight="1" thickTop="1" thickBot="1">
      <c r="B112" s="762">
        <f ca="1">IF($E$19="SAC",SAC_CORR!B87,PRICE_CORR!B87)</f>
        <v>46812</v>
      </c>
      <c r="C112" s="763">
        <f t="shared" ca="1" si="4"/>
        <v>2208.2456897594534</v>
      </c>
      <c r="D112" s="764">
        <f ca="1">IF($E$19="SAC",SAC_CORR!C87,PRICE_CORR!C87)</f>
        <v>889.99100827727909</v>
      </c>
      <c r="E112" s="764">
        <f ca="1">IF($E$19="SAC",IF(SAC_CORR!$J87="Carencia",0,SAC_CORR!D87),IF(PRICE_CORR!$J87="Carencia",0,PRICE_CORR!D87))</f>
        <v>1318.2546814821744</v>
      </c>
      <c r="F112" s="764">
        <f ca="1">IF($E$19="SAC",SAC_CORR!E87,PRICE_CORR!E87)</f>
        <v>142398.56132436436</v>
      </c>
      <c r="G112" s="764">
        <f ca="1">IF($E$19="SAC",IF(SAC_CORR!$J87="Carencia",0,SAC_CORR!F87),IF(PRICE_CORR!$J87="Carencia",0,PRICE_CORR!F87))</f>
        <v>30.090595989854748</v>
      </c>
      <c r="H112" s="764">
        <f ca="1">IF($E$19="SAC",IF(SAC_CORR!$J87="Carencia",0,SAC_CORR!G87),IF(PRICE_CORR!$J87="Carencia",0,PRICE_CORR!G87))</f>
        <v>26.319999999999997</v>
      </c>
      <c r="I112" s="764">
        <f ca="1">IF($E$19="SAC",IF(SAC_CORR!$J87="Carencia",0,SAC_CORR!H87),IF(PRICE_CORR!$J87="Carencia",0,PRICE_CORR!H87))</f>
        <v>25</v>
      </c>
      <c r="J112" s="764">
        <f ca="1">IF($E$19="SAC",SAC_CORR!I87,PRICE_CORR!I87)</f>
        <v>2289.6562857493082</v>
      </c>
      <c r="K112" s="911"/>
      <c r="N112" s="765">
        <f t="shared" ca="1" si="5"/>
        <v>2289.6562857493082</v>
      </c>
      <c r="O112" s="766">
        <f t="shared" ca="1" si="3"/>
        <v>32.610084661162247</v>
      </c>
    </row>
    <row r="113" spans="2:15" ht="22.35" customHeight="1" thickTop="1" thickBot="1">
      <c r="B113" s="762">
        <f ca="1">IF($E$19="SAC",SAC_CORR!B88,PRICE_CORR!B88)</f>
        <v>46842</v>
      </c>
      <c r="C113" s="763">
        <f t="shared" ca="1" si="4"/>
        <v>2200.0577724831664</v>
      </c>
      <c r="D113" s="764">
        <f ca="1">IF($E$19="SAC",SAC_CORR!C88,PRICE_CORR!C88)</f>
        <v>889.99100827727909</v>
      </c>
      <c r="E113" s="764">
        <f ca="1">IF($E$19="SAC",IF(SAC_CORR!$J88="Carencia",0,SAC_CORR!D88),IF(PRICE_CORR!$J88="Carencia",0,PRICE_CORR!D88))</f>
        <v>1310.0667642058875</v>
      </c>
      <c r="F113" s="764">
        <f ca="1">IF($E$19="SAC",SAC_CORR!E88,PRICE_CORR!E88)</f>
        <v>141508.57031608708</v>
      </c>
      <c r="G113" s="764">
        <f ca="1">IF($E$19="SAC",IF(SAC_CORR!$J88="Carencia",0,SAC_CORR!F88),IF(PRICE_CORR!$J88="Carencia",0,PRICE_CORR!F88))</f>
        <v>29.903697878116517</v>
      </c>
      <c r="H113" s="764">
        <f ca="1">IF($E$19="SAC",IF(SAC_CORR!$J88="Carencia",0,SAC_CORR!G88),IF(PRICE_CORR!$J88="Carencia",0,PRICE_CORR!G88))</f>
        <v>26.319999999999997</v>
      </c>
      <c r="I113" s="764">
        <f ca="1">IF($E$19="SAC",IF(SAC_CORR!$J88="Carencia",0,SAC_CORR!H88),IF(PRICE_CORR!$J88="Carencia",0,PRICE_CORR!H88))</f>
        <v>25</v>
      </c>
      <c r="J113" s="764">
        <f ca="1">IF($E$19="SAC",SAC_CORR!I88,PRICE_CORR!I88)</f>
        <v>2281.281470361283</v>
      </c>
      <c r="K113" s="911"/>
      <c r="N113" s="765">
        <f t="shared" ca="1" si="5"/>
        <v>2281.281470361283</v>
      </c>
      <c r="O113" s="766">
        <f t="shared" ca="1" si="3"/>
        <v>32.247608800159043</v>
      </c>
    </row>
    <row r="114" spans="2:15" ht="22.35" customHeight="1" thickTop="1" thickBot="1">
      <c r="B114" s="762">
        <f ca="1">IF($E$19="SAC",SAC_CORR!B89,PRICE_CORR!B89)</f>
        <v>46873</v>
      </c>
      <c r="C114" s="763">
        <f t="shared" ca="1" si="4"/>
        <v>2191.8698552068799</v>
      </c>
      <c r="D114" s="764">
        <f ca="1">IF($E$19="SAC",SAC_CORR!C89,PRICE_CORR!C89)</f>
        <v>889.99100827727909</v>
      </c>
      <c r="E114" s="764">
        <f ca="1">IF($E$19="SAC",IF(SAC_CORR!$J89="Carencia",0,SAC_CORR!D89),IF(PRICE_CORR!$J89="Carencia",0,PRICE_CORR!D89))</f>
        <v>1301.8788469296007</v>
      </c>
      <c r="F114" s="764">
        <f ca="1">IF($E$19="SAC",SAC_CORR!E89,PRICE_CORR!E89)</f>
        <v>140618.57930780979</v>
      </c>
      <c r="G114" s="764">
        <f ca="1">IF($E$19="SAC",IF(SAC_CORR!$J89="Carencia",0,SAC_CORR!F89),IF(PRICE_CORR!$J89="Carencia",0,PRICE_CORR!F89))</f>
        <v>29.716799766378287</v>
      </c>
      <c r="H114" s="764">
        <f ca="1">IF($E$19="SAC",IF(SAC_CORR!$J89="Carencia",0,SAC_CORR!G89),IF(PRICE_CORR!$J89="Carencia",0,PRICE_CORR!G89))</f>
        <v>26.319999999999997</v>
      </c>
      <c r="I114" s="764">
        <f ca="1">IF($E$19="SAC",IF(SAC_CORR!$J89="Carencia",0,SAC_CORR!H89),IF(PRICE_CORR!$J89="Carencia",0,PRICE_CORR!H89))</f>
        <v>25</v>
      </c>
      <c r="J114" s="764">
        <f ca="1">IF($E$19="SAC",SAC_CORR!I89,PRICE_CORR!I89)</f>
        <v>2272.9066549732584</v>
      </c>
      <c r="K114" s="911"/>
      <c r="N114" s="765">
        <f t="shared" ca="1" si="5"/>
        <v>2272.9066549732584</v>
      </c>
      <c r="O114" s="766">
        <f t="shared" ca="1" si="3"/>
        <v>31.880456911461593</v>
      </c>
    </row>
    <row r="115" spans="2:15" ht="22.35" customHeight="1" thickTop="1" thickBot="1">
      <c r="B115" s="762">
        <f ca="1">IF($E$19="SAC",SAC_CORR!B90,PRICE_CORR!B90)</f>
        <v>46903</v>
      </c>
      <c r="C115" s="763">
        <f t="shared" ca="1" si="4"/>
        <v>2183.681937930593</v>
      </c>
      <c r="D115" s="764">
        <f ca="1">IF($E$19="SAC",SAC_CORR!C90,PRICE_CORR!C90)</f>
        <v>889.99100827727909</v>
      </c>
      <c r="E115" s="764">
        <f ca="1">IF($E$19="SAC",IF(SAC_CORR!$J90="Carencia",0,SAC_CORR!D90),IF(PRICE_CORR!$J90="Carencia",0,PRICE_CORR!D90))</f>
        <v>1293.6909296533138</v>
      </c>
      <c r="F115" s="764">
        <f ca="1">IF($E$19="SAC",SAC_CORR!E90,PRICE_CORR!E90)</f>
        <v>139728.58829953251</v>
      </c>
      <c r="G115" s="764">
        <f ca="1">IF($E$19="SAC",IF(SAC_CORR!$J90="Carencia",0,SAC_CORR!F90),IF(PRICE_CORR!$J90="Carencia",0,PRICE_CORR!F90))</f>
        <v>29.529901654640057</v>
      </c>
      <c r="H115" s="764">
        <f ca="1">IF($E$19="SAC",IF(SAC_CORR!$J90="Carencia",0,SAC_CORR!G90),IF(PRICE_CORR!$J90="Carencia",0,PRICE_CORR!G90))</f>
        <v>26.319999999999997</v>
      </c>
      <c r="I115" s="764">
        <f ca="1">IF($E$19="SAC",IF(SAC_CORR!$J90="Carencia",0,SAC_CORR!H90),IF(PRICE_CORR!$J90="Carencia",0,PRICE_CORR!H90))</f>
        <v>25</v>
      </c>
      <c r="J115" s="764">
        <f ca="1">IF($E$19="SAC",SAC_CORR!I90,PRICE_CORR!I90)</f>
        <v>2264.5318395852332</v>
      </c>
      <c r="K115" s="911"/>
      <c r="N115" s="765">
        <f t="shared" ca="1" si="5"/>
        <v>2264.5318395852332</v>
      </c>
      <c r="O115" s="766">
        <f t="shared" ca="1" si="3"/>
        <v>31.525392128911125</v>
      </c>
    </row>
    <row r="116" spans="2:15" ht="22.35" customHeight="1" thickTop="1" thickBot="1">
      <c r="B116" s="762">
        <f ca="1">IF($E$19="SAC",SAC_CORR!B91,PRICE_CORR!B91)</f>
        <v>46934</v>
      </c>
      <c r="C116" s="763">
        <f t="shared" ca="1" si="4"/>
        <v>2175.494020654306</v>
      </c>
      <c r="D116" s="764">
        <f ca="1">IF($E$19="SAC",SAC_CORR!C91,PRICE_CORR!C91)</f>
        <v>889.99100827727909</v>
      </c>
      <c r="E116" s="764">
        <f ca="1">IF($E$19="SAC",IF(SAC_CORR!$J91="Carencia",0,SAC_CORR!D91),IF(PRICE_CORR!$J91="Carencia",0,PRICE_CORR!D91))</f>
        <v>1285.5030123770271</v>
      </c>
      <c r="F116" s="764">
        <f ca="1">IF($E$19="SAC",SAC_CORR!E91,PRICE_CORR!E91)</f>
        <v>138838.59729125522</v>
      </c>
      <c r="G116" s="764">
        <f ca="1">IF($E$19="SAC",IF(SAC_CORR!$J91="Carencia",0,SAC_CORR!F91),IF(PRICE_CORR!$J91="Carencia",0,PRICE_CORR!F91))</f>
        <v>29.34300354290183</v>
      </c>
      <c r="H116" s="764">
        <f ca="1">IF($E$19="SAC",IF(SAC_CORR!$J91="Carencia",0,SAC_CORR!G91),IF(PRICE_CORR!$J91="Carencia",0,PRICE_CORR!G91))</f>
        <v>26.319999999999997</v>
      </c>
      <c r="I116" s="764">
        <f ca="1">IF($E$19="SAC",IF(SAC_CORR!$J91="Carencia",0,SAC_CORR!H91),IF(PRICE_CORR!$J91="Carencia",0,PRICE_CORR!H91))</f>
        <v>25</v>
      </c>
      <c r="J116" s="764">
        <f ca="1">IF($E$19="SAC",SAC_CORR!I91,PRICE_CORR!I91)</f>
        <v>2256.1570241972081</v>
      </c>
      <c r="K116" s="911"/>
      <c r="N116" s="765">
        <f t="shared" ca="1" si="5"/>
        <v>2256.1570241972081</v>
      </c>
      <c r="O116" s="766">
        <f t="shared" ca="1" si="3"/>
        <v>31.165767249706438</v>
      </c>
    </row>
    <row r="117" spans="2:15" ht="22.35" customHeight="1" thickTop="1" thickBot="1">
      <c r="B117" s="762">
        <f ca="1">IF($E$19="SAC",SAC_CORR!B92,PRICE_CORR!B92)</f>
        <v>46964</v>
      </c>
      <c r="C117" s="763">
        <f t="shared" ca="1" si="4"/>
        <v>2167.3061033780191</v>
      </c>
      <c r="D117" s="764">
        <f ca="1">IF($E$19="SAC",SAC_CORR!C92,PRICE_CORR!C92)</f>
        <v>889.99100827727909</v>
      </c>
      <c r="E117" s="764">
        <f ca="1">IF($E$19="SAC",IF(SAC_CORR!$J92="Carencia",0,SAC_CORR!D92),IF(PRICE_CORR!$J92="Carencia",0,PRICE_CORR!D92))</f>
        <v>1277.3150951007401</v>
      </c>
      <c r="F117" s="764">
        <f ca="1">IF($E$19="SAC",SAC_CORR!E92,PRICE_CORR!E92)</f>
        <v>137948.60628297794</v>
      </c>
      <c r="G117" s="764">
        <f ca="1">IF($E$19="SAC",IF(SAC_CORR!$J92="Carencia",0,SAC_CORR!F92),IF(PRICE_CORR!$J92="Carencia",0,PRICE_CORR!F92))</f>
        <v>29.156105431163599</v>
      </c>
      <c r="H117" s="764">
        <f ca="1">IF($E$19="SAC",IF(SAC_CORR!$J92="Carencia",0,SAC_CORR!G92),IF(PRICE_CORR!$J92="Carencia",0,PRICE_CORR!G92))</f>
        <v>26.319999999999997</v>
      </c>
      <c r="I117" s="764">
        <f ca="1">IF($E$19="SAC",IF(SAC_CORR!$J92="Carencia",0,SAC_CORR!H92),IF(PRICE_CORR!$J92="Carencia",0,PRICE_CORR!H92))</f>
        <v>25</v>
      </c>
      <c r="J117" s="764">
        <f ca="1">IF($E$19="SAC",SAC_CORR!I92,PRICE_CORR!I92)</f>
        <v>2247.782208809183</v>
      </c>
      <c r="K117" s="911"/>
      <c r="N117" s="765">
        <f t="shared" ca="1" si="5"/>
        <v>2247.782208809183</v>
      </c>
      <c r="O117" s="766">
        <f t="shared" ca="1" si="3"/>
        <v>30.81796966652967</v>
      </c>
    </row>
    <row r="118" spans="2:15" ht="22.35" customHeight="1" thickTop="1" thickBot="1">
      <c r="B118" s="762">
        <f ca="1">IF($E$19="SAC",SAC_CORR!B93,PRICE_CORR!B93)</f>
        <v>46995</v>
      </c>
      <c r="C118" s="763">
        <f t="shared" ca="1" si="4"/>
        <v>2159.1181861017326</v>
      </c>
      <c r="D118" s="764">
        <f ca="1">IF($E$19="SAC",SAC_CORR!C93,PRICE_CORR!C93)</f>
        <v>889.99100827727909</v>
      </c>
      <c r="E118" s="764">
        <f ca="1">IF($E$19="SAC",IF(SAC_CORR!$J93="Carencia",0,SAC_CORR!D93),IF(PRICE_CORR!$J93="Carencia",0,PRICE_CORR!D93))</f>
        <v>1269.1271778244534</v>
      </c>
      <c r="F118" s="764">
        <f ca="1">IF($E$19="SAC",SAC_CORR!E93,PRICE_CORR!E93)</f>
        <v>137058.61527470066</v>
      </c>
      <c r="G118" s="764">
        <f ca="1">IF($E$19="SAC",IF(SAC_CORR!$J93="Carencia",0,SAC_CORR!F93),IF(PRICE_CORR!$J93="Carencia",0,PRICE_CORR!F93))</f>
        <v>28.969207319425369</v>
      </c>
      <c r="H118" s="764">
        <f ca="1">IF($E$19="SAC",IF(SAC_CORR!$J93="Carencia",0,SAC_CORR!G93),IF(PRICE_CORR!$J93="Carencia",0,PRICE_CORR!G93))</f>
        <v>26.319999999999997</v>
      </c>
      <c r="I118" s="764">
        <f ca="1">IF($E$19="SAC",IF(SAC_CORR!$J93="Carencia",0,SAC_CORR!H93),IF(PRICE_CORR!$J93="Carencia",0,PRICE_CORR!H93))</f>
        <v>25</v>
      </c>
      <c r="J118" s="764">
        <f ca="1">IF($E$19="SAC",SAC_CORR!I93,PRICE_CORR!I93)</f>
        <v>2239.4073934211583</v>
      </c>
      <c r="K118" s="911"/>
      <c r="N118" s="765">
        <f t="shared" ca="1" si="5"/>
        <v>2239.4073934211583</v>
      </c>
      <c r="O118" s="766">
        <f t="shared" ca="1" si="3"/>
        <v>30.465725417197437</v>
      </c>
    </row>
    <row r="119" spans="2:15" ht="22.35" customHeight="1" thickTop="1" thickBot="1">
      <c r="B119" s="762">
        <f ca="1">IF($E$19="SAC",SAC_CORR!B94,PRICE_CORR!B94)</f>
        <v>47026</v>
      </c>
      <c r="C119" s="763">
        <f t="shared" ca="1" si="4"/>
        <v>2150.9302688254456</v>
      </c>
      <c r="D119" s="764">
        <f ca="1">IF($E$19="SAC",SAC_CORR!C94,PRICE_CORR!C94)</f>
        <v>889.99100827727909</v>
      </c>
      <c r="E119" s="764">
        <f ca="1">IF($E$19="SAC",IF(SAC_CORR!$J94="Carencia",0,SAC_CORR!D94),IF(PRICE_CORR!$J94="Carencia",0,PRICE_CORR!D94))</f>
        <v>1260.9392605481664</v>
      </c>
      <c r="F119" s="764">
        <f ca="1">IF($E$19="SAC",SAC_CORR!E94,PRICE_CORR!E94)</f>
        <v>136168.62426642337</v>
      </c>
      <c r="G119" s="764">
        <f ca="1">IF($E$19="SAC",IF(SAC_CORR!$J94="Carencia",0,SAC_CORR!F94),IF(PRICE_CORR!$J94="Carencia",0,PRICE_CORR!F94))</f>
        <v>28.782309207687138</v>
      </c>
      <c r="H119" s="764">
        <f ca="1">IF($E$19="SAC",IF(SAC_CORR!$J94="Carencia",0,SAC_CORR!G94),IF(PRICE_CORR!$J94="Carencia",0,PRICE_CORR!G94))</f>
        <v>26.319999999999997</v>
      </c>
      <c r="I119" s="764">
        <f ca="1">IF($E$19="SAC",IF(SAC_CORR!$J94="Carencia",0,SAC_CORR!H94),IF(PRICE_CORR!$J94="Carencia",0,PRICE_CORR!H94))</f>
        <v>25</v>
      </c>
      <c r="J119" s="764">
        <f ca="1">IF($E$19="SAC",SAC_CORR!I94,PRICE_CORR!I94)</f>
        <v>2231.0325780331327</v>
      </c>
      <c r="K119" s="911"/>
      <c r="N119" s="765">
        <f t="shared" ca="1" si="5"/>
        <v>2231.0325780331327</v>
      </c>
      <c r="O119" s="766">
        <f t="shared" ca="1" si="3"/>
        <v>30.117163110563077</v>
      </c>
    </row>
    <row r="120" spans="2:15" ht="22.35" customHeight="1" thickTop="1" thickBot="1">
      <c r="B120" s="762">
        <f ca="1">IF($E$19="SAC",SAC_CORR!B95,PRICE_CORR!B95)</f>
        <v>47056</v>
      </c>
      <c r="C120" s="763">
        <f t="shared" ca="1" si="4"/>
        <v>2142.7423515491587</v>
      </c>
      <c r="D120" s="764">
        <f ca="1">IF($E$19="SAC",SAC_CORR!C95,PRICE_CORR!C95)</f>
        <v>889.99100827727909</v>
      </c>
      <c r="E120" s="764">
        <f ca="1">IF($E$19="SAC",IF(SAC_CORR!$J95="Carencia",0,SAC_CORR!D95),IF(PRICE_CORR!$J95="Carencia",0,PRICE_CORR!D95))</f>
        <v>1252.7513432718795</v>
      </c>
      <c r="F120" s="764">
        <f ca="1">IF($E$19="SAC",SAC_CORR!E95,PRICE_CORR!E95)</f>
        <v>135278.63325814609</v>
      </c>
      <c r="G120" s="764">
        <f ca="1">IF($E$19="SAC",IF(SAC_CORR!$J95="Carencia",0,SAC_CORR!F95),IF(PRICE_CORR!$J95="Carencia",0,PRICE_CORR!F95))</f>
        <v>28.595411095948908</v>
      </c>
      <c r="H120" s="764">
        <f ca="1">IF($E$19="SAC",IF(SAC_CORR!$J95="Carencia",0,SAC_CORR!G95),IF(PRICE_CORR!$J95="Carencia",0,PRICE_CORR!G95))</f>
        <v>26.319999999999997</v>
      </c>
      <c r="I120" s="764">
        <f ca="1">IF($E$19="SAC",IF(SAC_CORR!$J95="Carencia",0,SAC_CORR!H95),IF(PRICE_CORR!$J95="Carencia",0,PRICE_CORR!H95))</f>
        <v>25</v>
      </c>
      <c r="J120" s="764">
        <f ca="1">IF($E$19="SAC",SAC_CORR!I95,PRICE_CORR!I95)</f>
        <v>2222.6577626451076</v>
      </c>
      <c r="K120" s="911"/>
      <c r="N120" s="765">
        <f t="shared" ca="1" si="5"/>
        <v>2222.6577626451076</v>
      </c>
      <c r="O120" s="766">
        <f t="shared" ca="1" si="3"/>
        <v>29.780046603972782</v>
      </c>
    </row>
    <row r="121" spans="2:15" ht="22.35" customHeight="1" thickTop="1" thickBot="1">
      <c r="B121" s="762">
        <f ca="1">IF($E$19="SAC",SAC_CORR!B96,PRICE_CORR!B96)</f>
        <v>47087</v>
      </c>
      <c r="C121" s="763">
        <f t="shared" ca="1" si="4"/>
        <v>2134.5544342728717</v>
      </c>
      <c r="D121" s="764">
        <f ca="1">IF($E$19="SAC",SAC_CORR!C96,PRICE_CORR!C96)</f>
        <v>889.99100827727909</v>
      </c>
      <c r="E121" s="764">
        <f ca="1">IF($E$19="SAC",IF(SAC_CORR!$J96="Carencia",0,SAC_CORR!D96),IF(PRICE_CORR!$J96="Carencia",0,PRICE_CORR!D96))</f>
        <v>1244.5634259955928</v>
      </c>
      <c r="F121" s="764">
        <f ca="1">IF($E$19="SAC",SAC_CORR!E96,PRICE_CORR!E96)</f>
        <v>134388.6422498688</v>
      </c>
      <c r="G121" s="764">
        <f ca="1">IF($E$19="SAC",IF(SAC_CORR!$J96="Carencia",0,SAC_CORR!F96),IF(PRICE_CORR!$J96="Carencia",0,PRICE_CORR!F96))</f>
        <v>28.408512984210681</v>
      </c>
      <c r="H121" s="764">
        <f ca="1">IF($E$19="SAC",IF(SAC_CORR!$J96="Carencia",0,SAC_CORR!G96),IF(PRICE_CORR!$J96="Carencia",0,PRICE_CORR!G96))</f>
        <v>26.319999999999997</v>
      </c>
      <c r="I121" s="764">
        <f ca="1">IF($E$19="SAC",IF(SAC_CORR!$J96="Carencia",0,SAC_CORR!H96),IF(PRICE_CORR!$J96="Carencia",0,PRICE_CORR!H96))</f>
        <v>25</v>
      </c>
      <c r="J121" s="764">
        <f ca="1">IF($E$19="SAC",SAC_CORR!I96,PRICE_CORR!I96)</f>
        <v>2214.2829472570825</v>
      </c>
      <c r="K121" s="911"/>
      <c r="N121" s="765">
        <f t="shared" ca="1" si="5"/>
        <v>2214.2829472570825</v>
      </c>
      <c r="O121" s="766">
        <f t="shared" ca="1" si="3"/>
        <v>29.438649558609839</v>
      </c>
    </row>
    <row r="122" spans="2:15" ht="22.35" customHeight="1" thickTop="1" thickBot="1">
      <c r="B122" s="762">
        <f ca="1">IF($E$19="SAC",SAC_CORR!B97,PRICE_CORR!B97)</f>
        <v>47117</v>
      </c>
      <c r="C122" s="763">
        <f t="shared" ca="1" si="4"/>
        <v>2126.3665169965848</v>
      </c>
      <c r="D122" s="764">
        <f ca="1">IF($E$19="SAC",SAC_CORR!C97,PRICE_CORR!C97)</f>
        <v>889.99100827727909</v>
      </c>
      <c r="E122" s="764">
        <f ca="1">IF($E$19="SAC",IF(SAC_CORR!$J97="Carencia",0,SAC_CORR!D97),IF(PRICE_CORR!$J97="Carencia",0,PRICE_CORR!D97))</f>
        <v>1236.3755087193058</v>
      </c>
      <c r="F122" s="764">
        <f ca="1">IF($E$19="SAC",SAC_CORR!E97,PRICE_CORR!E97)</f>
        <v>133498.65124159152</v>
      </c>
      <c r="G122" s="764">
        <f ca="1">IF($E$19="SAC",IF(SAC_CORR!$J97="Carencia",0,SAC_CORR!F97),IF(PRICE_CORR!$J97="Carencia",0,PRICE_CORR!F97))</f>
        <v>28.22161487247245</v>
      </c>
      <c r="H122" s="764">
        <f ca="1">IF($E$19="SAC",IF(SAC_CORR!$J97="Carencia",0,SAC_CORR!G97),IF(PRICE_CORR!$J97="Carencia",0,PRICE_CORR!G97))</f>
        <v>26.319999999999997</v>
      </c>
      <c r="I122" s="764">
        <f ca="1">IF($E$19="SAC",IF(SAC_CORR!$J97="Carencia",0,SAC_CORR!H97),IF(PRICE_CORR!$J97="Carencia",0,PRICE_CORR!H97))</f>
        <v>25</v>
      </c>
      <c r="J122" s="764">
        <f ca="1">IF($E$19="SAC",SAC_CORR!I97,PRICE_CORR!I97)</f>
        <v>2205.9081318690573</v>
      </c>
      <c r="K122" s="911"/>
      <c r="N122" s="765">
        <f t="shared" ca="1" si="5"/>
        <v>2205.9081318690573</v>
      </c>
      <c r="O122" s="766">
        <f t="shared" ca="1" si="3"/>
        <v>29.108451348997626</v>
      </c>
    </row>
    <row r="123" spans="2:15" ht="22.35" customHeight="1" thickTop="1" thickBot="1">
      <c r="B123" s="762">
        <f ca="1">IF($E$19="SAC",SAC_CORR!B98,PRICE_CORR!B98)</f>
        <v>47148</v>
      </c>
      <c r="C123" s="763">
        <f t="shared" ca="1" si="4"/>
        <v>2118.1785997202983</v>
      </c>
      <c r="D123" s="764">
        <f ca="1">IF($E$19="SAC",SAC_CORR!C98,PRICE_CORR!C98)</f>
        <v>889.99100827727909</v>
      </c>
      <c r="E123" s="764">
        <f ca="1">IF($E$19="SAC",IF(SAC_CORR!$J98="Carencia",0,SAC_CORR!D98),IF(PRICE_CORR!$J98="Carencia",0,PRICE_CORR!D98))</f>
        <v>1228.1875914430191</v>
      </c>
      <c r="F123" s="764">
        <f ca="1">IF($E$19="SAC",SAC_CORR!E98,PRICE_CORR!E98)</f>
        <v>132608.66023331424</v>
      </c>
      <c r="G123" s="764">
        <f ca="1">IF($E$19="SAC",IF(SAC_CORR!$J98="Carencia",0,SAC_CORR!F98),IF(PRICE_CORR!$J98="Carencia",0,PRICE_CORR!F98))</f>
        <v>28.03471676073422</v>
      </c>
      <c r="H123" s="764">
        <f ca="1">IF($E$19="SAC",IF(SAC_CORR!$J98="Carencia",0,SAC_CORR!G98),IF(PRICE_CORR!$J98="Carencia",0,PRICE_CORR!G98))</f>
        <v>26.319999999999997</v>
      </c>
      <c r="I123" s="764">
        <f ca="1">IF($E$19="SAC",IF(SAC_CORR!$J98="Carencia",0,SAC_CORR!H98),IF(PRICE_CORR!$J98="Carencia",0,PRICE_CORR!H98))</f>
        <v>25</v>
      </c>
      <c r="J123" s="764">
        <f ca="1">IF($E$19="SAC",SAC_CORR!I98,PRICE_CORR!I98)</f>
        <v>2197.5333164810327</v>
      </c>
      <c r="K123" s="911"/>
      <c r="N123" s="765">
        <f t="shared" ca="1" si="5"/>
        <v>2197.5333164810327</v>
      </c>
      <c r="O123" s="766">
        <f t="shared" ca="1" si="3"/>
        <v>28.774079982985281</v>
      </c>
    </row>
    <row r="124" spans="2:15" ht="22.35" customHeight="1" thickTop="1" thickBot="1">
      <c r="B124" s="762">
        <f ca="1">IF($E$19="SAC",SAC_CORR!B99,PRICE_CORR!B99)</f>
        <v>47177</v>
      </c>
      <c r="C124" s="763">
        <f t="shared" ca="1" si="4"/>
        <v>2109.9906824440113</v>
      </c>
      <c r="D124" s="764">
        <f ca="1">IF($E$19="SAC",SAC_CORR!C99,PRICE_CORR!C99)</f>
        <v>889.99100827727909</v>
      </c>
      <c r="E124" s="764">
        <f ca="1">IF($E$19="SAC",IF(SAC_CORR!$J99="Carencia",0,SAC_CORR!D99),IF(PRICE_CORR!$J99="Carencia",0,PRICE_CORR!D99))</f>
        <v>1219.9996741667321</v>
      </c>
      <c r="F124" s="764">
        <f ca="1">IF($E$19="SAC",SAC_CORR!E99,PRICE_CORR!E99)</f>
        <v>131718.66922503695</v>
      </c>
      <c r="G124" s="764">
        <f ca="1">IF($E$19="SAC",IF(SAC_CORR!$J99="Carencia",0,SAC_CORR!F99),IF(PRICE_CORR!$J99="Carencia",0,PRICE_CORR!F99))</f>
        <v>27.84781864899599</v>
      </c>
      <c r="H124" s="764">
        <f ca="1">IF($E$19="SAC",IF(SAC_CORR!$J99="Carencia",0,SAC_CORR!G99),IF(PRICE_CORR!$J99="Carencia",0,PRICE_CORR!G99))</f>
        <v>26.319999999999997</v>
      </c>
      <c r="I124" s="764">
        <f ca="1">IF($E$19="SAC",IF(SAC_CORR!$J99="Carencia",0,SAC_CORR!H99),IF(PRICE_CORR!$J99="Carencia",0,PRICE_CORR!H99))</f>
        <v>25</v>
      </c>
      <c r="J124" s="764">
        <f ca="1">IF($E$19="SAC",SAC_CORR!I99,PRICE_CORR!I99)</f>
        <v>2189.1585010930075</v>
      </c>
      <c r="K124" s="911"/>
      <c r="N124" s="765">
        <f t="shared" ca="1" si="5"/>
        <v>2189.1585010930075</v>
      </c>
      <c r="O124" s="766">
        <f t="shared" ca="1" si="3"/>
        <v>28.458119560244722</v>
      </c>
    </row>
    <row r="125" spans="2:15" ht="22.35" customHeight="1" thickTop="1" thickBot="1">
      <c r="B125" s="762">
        <f ca="1">IF($E$19="SAC",SAC_CORR!B100,PRICE_CORR!B100)</f>
        <v>47207</v>
      </c>
      <c r="C125" s="763">
        <f t="shared" ca="1" si="4"/>
        <v>2101.8027651677244</v>
      </c>
      <c r="D125" s="764">
        <f ca="1">IF($E$19="SAC",SAC_CORR!C100,PRICE_CORR!C100)</f>
        <v>889.99100827727909</v>
      </c>
      <c r="E125" s="764">
        <f ca="1">IF($E$19="SAC",IF(SAC_CORR!$J100="Carencia",0,SAC_CORR!D100),IF(PRICE_CORR!$J100="Carencia",0,PRICE_CORR!D100))</f>
        <v>1211.8117568904452</v>
      </c>
      <c r="F125" s="764">
        <f ca="1">IF($E$19="SAC",SAC_CORR!E100,PRICE_CORR!E100)</f>
        <v>130828.67821675967</v>
      </c>
      <c r="G125" s="764">
        <f ca="1">IF($E$19="SAC",IF(SAC_CORR!$J100="Carencia",0,SAC_CORR!F100),IF(PRICE_CORR!$J100="Carencia",0,PRICE_CORR!F100))</f>
        <v>27.660920537257763</v>
      </c>
      <c r="H125" s="764">
        <f ca="1">IF($E$19="SAC",IF(SAC_CORR!$J100="Carencia",0,SAC_CORR!G100),IF(PRICE_CORR!$J100="Carencia",0,PRICE_CORR!G100))</f>
        <v>26.319999999999997</v>
      </c>
      <c r="I125" s="764">
        <f ca="1">IF($E$19="SAC",IF(SAC_CORR!$J100="Carencia",0,SAC_CORR!H100),IF(PRICE_CORR!$J100="Carencia",0,PRICE_CORR!H100))</f>
        <v>25</v>
      </c>
      <c r="J125" s="764">
        <f ca="1">IF($E$19="SAC",SAC_CORR!I100,PRICE_CORR!I100)</f>
        <v>2180.7836857049824</v>
      </c>
      <c r="K125" s="911"/>
      <c r="N125" s="765">
        <f t="shared" ca="1" si="5"/>
        <v>2180.7836857049824</v>
      </c>
      <c r="O125" s="766">
        <f t="shared" ca="1" si="3"/>
        <v>28.137921363183899</v>
      </c>
    </row>
    <row r="126" spans="2:15" ht="22.35" customHeight="1" thickTop="1" thickBot="1">
      <c r="B126" s="762">
        <f ca="1">IF($E$19="SAC",SAC_CORR!B101,PRICE_CORR!B101)</f>
        <v>47238</v>
      </c>
      <c r="C126" s="763">
        <f t="shared" ca="1" si="4"/>
        <v>2093.6148478914374</v>
      </c>
      <c r="D126" s="764">
        <f ca="1">IF($E$19="SAC",SAC_CORR!C101,PRICE_CORR!C101)</f>
        <v>889.99100827727909</v>
      </c>
      <c r="E126" s="764">
        <f ca="1">IF($E$19="SAC",IF(SAC_CORR!$J101="Carencia",0,SAC_CORR!D101),IF(PRICE_CORR!$J101="Carencia",0,PRICE_CORR!D101))</f>
        <v>1203.6238396141584</v>
      </c>
      <c r="F126" s="764">
        <f ca="1">IF($E$19="SAC",SAC_CORR!E101,PRICE_CORR!E101)</f>
        <v>129938.68720848238</v>
      </c>
      <c r="G126" s="764">
        <f ca="1">IF($E$19="SAC",IF(SAC_CORR!$J101="Carencia",0,SAC_CORR!F101),IF(PRICE_CORR!$J101="Carencia",0,PRICE_CORR!F101))</f>
        <v>27.474022425519532</v>
      </c>
      <c r="H126" s="764">
        <f ca="1">IF($E$19="SAC",IF(SAC_CORR!$J101="Carencia",0,SAC_CORR!G101),IF(PRICE_CORR!$J101="Carencia",0,PRICE_CORR!G101))</f>
        <v>26.319999999999997</v>
      </c>
      <c r="I126" s="764">
        <f ca="1">IF($E$19="SAC",IF(SAC_CORR!$J101="Carencia",0,SAC_CORR!H101),IF(PRICE_CORR!$J101="Carencia",0,PRICE_CORR!H101))</f>
        <v>25</v>
      </c>
      <c r="J126" s="764">
        <f ca="1">IF($E$19="SAC",SAC_CORR!I101,PRICE_CORR!I101)</f>
        <v>2172.4088703169573</v>
      </c>
      <c r="K126" s="911"/>
      <c r="N126" s="765">
        <f t="shared" ca="1" si="5"/>
        <v>2172.4088703169573</v>
      </c>
      <c r="O126" s="766">
        <f t="shared" ca="1" si="3"/>
        <v>27.813705152717223</v>
      </c>
    </row>
    <row r="127" spans="2:15" ht="22.35" customHeight="1" thickTop="1" thickBot="1">
      <c r="B127" s="762">
        <f ca="1">IF($E$19="SAC",SAC_CORR!B102,PRICE_CORR!B102)</f>
        <v>47268</v>
      </c>
      <c r="C127" s="763">
        <f t="shared" ca="1" si="4"/>
        <v>2085.4269306151505</v>
      </c>
      <c r="D127" s="764">
        <f ca="1">IF($E$19="SAC",SAC_CORR!C102,PRICE_CORR!C102)</f>
        <v>889.99100827727909</v>
      </c>
      <c r="E127" s="764">
        <f ca="1">IF($E$19="SAC",IF(SAC_CORR!$J102="Carencia",0,SAC_CORR!D102),IF(PRICE_CORR!$J102="Carencia",0,PRICE_CORR!D102))</f>
        <v>1195.4359223378715</v>
      </c>
      <c r="F127" s="764">
        <f ca="1">IF($E$19="SAC",SAC_CORR!E102,PRICE_CORR!E102)</f>
        <v>129048.6962002051</v>
      </c>
      <c r="G127" s="764">
        <f ca="1">IF($E$19="SAC",IF(SAC_CORR!$J102="Carencia",0,SAC_CORR!F102),IF(PRICE_CORR!$J102="Carencia",0,PRICE_CORR!F102))</f>
        <v>27.287124313781302</v>
      </c>
      <c r="H127" s="764">
        <f ca="1">IF($E$19="SAC",IF(SAC_CORR!$J102="Carencia",0,SAC_CORR!G102),IF(PRICE_CORR!$J102="Carencia",0,PRICE_CORR!G102))</f>
        <v>26.319999999999997</v>
      </c>
      <c r="I127" s="764">
        <f ca="1">IF($E$19="SAC",IF(SAC_CORR!$J102="Carencia",0,SAC_CORR!H102),IF(PRICE_CORR!$J102="Carencia",0,PRICE_CORR!H102))</f>
        <v>25</v>
      </c>
      <c r="J127" s="764">
        <f ca="1">IF($E$19="SAC",SAC_CORR!I102,PRICE_CORR!I102)</f>
        <v>2164.0340549289317</v>
      </c>
      <c r="K127" s="911"/>
      <c r="N127" s="765">
        <f t="shared" ca="1" si="5"/>
        <v>2164.0340549289317</v>
      </c>
      <c r="O127" s="766">
        <f t="shared" ca="1" si="3"/>
        <v>27.500095999699575</v>
      </c>
    </row>
    <row r="128" spans="2:15" ht="22.35" customHeight="1" thickTop="1" thickBot="1">
      <c r="B128" s="762">
        <f ca="1">IF($E$19="SAC",SAC_CORR!B103,PRICE_CORR!B103)</f>
        <v>47299</v>
      </c>
      <c r="C128" s="763">
        <f t="shared" ca="1" si="4"/>
        <v>2077.239013338864</v>
      </c>
      <c r="D128" s="764">
        <f ca="1">IF($E$19="SAC",SAC_CORR!C103,PRICE_CORR!C103)</f>
        <v>889.99100827727909</v>
      </c>
      <c r="E128" s="764">
        <f ca="1">IF($E$19="SAC",IF(SAC_CORR!$J103="Carencia",0,SAC_CORR!D103),IF(PRICE_CORR!$J103="Carencia",0,PRICE_CORR!D103))</f>
        <v>1187.2480050615848</v>
      </c>
      <c r="F128" s="764">
        <f ca="1">IF($E$19="SAC",SAC_CORR!E103,PRICE_CORR!E103)</f>
        <v>128158.70519192782</v>
      </c>
      <c r="G128" s="764">
        <f ca="1">IF($E$19="SAC",IF(SAC_CORR!$J103="Carencia",0,SAC_CORR!F103),IF(PRICE_CORR!$J103="Carencia",0,PRICE_CORR!F103))</f>
        <v>27.100226202043071</v>
      </c>
      <c r="H128" s="764">
        <f ca="1">IF($E$19="SAC",IF(SAC_CORR!$J103="Carencia",0,SAC_CORR!G103),IF(PRICE_CORR!$J103="Carencia",0,PRICE_CORR!G103))</f>
        <v>26.319999999999997</v>
      </c>
      <c r="I128" s="764">
        <f ca="1">IF($E$19="SAC",IF(SAC_CORR!$J103="Carencia",0,SAC_CORR!H103),IF(PRICE_CORR!$J103="Carencia",0,PRICE_CORR!H103))</f>
        <v>25</v>
      </c>
      <c r="J128" s="764">
        <f ca="1">IF($E$19="SAC",SAC_CORR!I103,PRICE_CORR!I103)</f>
        <v>2155.659239540907</v>
      </c>
      <c r="K128" s="911"/>
      <c r="N128" s="765">
        <f t="shared" ca="1" si="5"/>
        <v>2155.659239540907</v>
      </c>
      <c r="O128" s="766">
        <f t="shared" ca="1" si="3"/>
        <v>27.182570520939475</v>
      </c>
    </row>
    <row r="129" spans="2:15" ht="22.35" customHeight="1" thickTop="1" thickBot="1">
      <c r="B129" s="762">
        <f ca="1">IF($E$19="SAC",SAC_CORR!B104,PRICE_CORR!B104)</f>
        <v>47329</v>
      </c>
      <c r="C129" s="763">
        <f t="shared" ca="1" si="4"/>
        <v>2069.051096062577</v>
      </c>
      <c r="D129" s="764">
        <f ca="1">IF($E$19="SAC",SAC_CORR!C104,PRICE_CORR!C104)</f>
        <v>889.99100827727909</v>
      </c>
      <c r="E129" s="764">
        <f ca="1">IF($E$19="SAC",IF(SAC_CORR!$J104="Carencia",0,SAC_CORR!D104),IF(PRICE_CORR!$J104="Carencia",0,PRICE_CORR!D104))</f>
        <v>1179.0600877852978</v>
      </c>
      <c r="F129" s="764">
        <f ca="1">IF($E$19="SAC",SAC_CORR!E104,PRICE_CORR!E104)</f>
        <v>127268.71418365053</v>
      </c>
      <c r="G129" s="764">
        <f ca="1">IF($E$19="SAC",IF(SAC_CORR!$J104="Carencia",0,SAC_CORR!F104),IF(PRICE_CORR!$J104="Carencia",0,PRICE_CORR!F104))</f>
        <v>26.913328090304841</v>
      </c>
      <c r="H129" s="764">
        <f ca="1">IF($E$19="SAC",IF(SAC_CORR!$J104="Carencia",0,SAC_CORR!G104),IF(PRICE_CORR!$J104="Carencia",0,PRICE_CORR!G104))</f>
        <v>26.319999999999997</v>
      </c>
      <c r="I129" s="764">
        <f ca="1">IF($E$19="SAC",IF(SAC_CORR!$J104="Carencia",0,SAC_CORR!H104),IF(PRICE_CORR!$J104="Carencia",0,PRICE_CORR!H104))</f>
        <v>25</v>
      </c>
      <c r="J129" s="764">
        <f ca="1">IF($E$19="SAC",SAC_CORR!I104,PRICE_CORR!I104)</f>
        <v>2147.2844241528819</v>
      </c>
      <c r="K129" s="911"/>
      <c r="N129" s="765">
        <f t="shared" ca="1" si="5"/>
        <v>2147.2844241528819</v>
      </c>
      <c r="O129" s="766">
        <f t="shared" ca="1" si="3"/>
        <v>26.875421971186835</v>
      </c>
    </row>
    <row r="130" spans="2:15" ht="22.35" customHeight="1" thickTop="1" thickBot="1">
      <c r="B130" s="762">
        <f ca="1">IF($E$19="SAC",SAC_CORR!B105,PRICE_CORR!B105)</f>
        <v>47360</v>
      </c>
      <c r="C130" s="763">
        <f t="shared" ca="1" si="4"/>
        <v>2060.8631787862901</v>
      </c>
      <c r="D130" s="764">
        <f ca="1">IF($E$19="SAC",SAC_CORR!C105,PRICE_CORR!C105)</f>
        <v>889.99100827727909</v>
      </c>
      <c r="E130" s="764">
        <f ca="1">IF($E$19="SAC",IF(SAC_CORR!$J105="Carencia",0,SAC_CORR!D105),IF(PRICE_CORR!$J105="Carencia",0,PRICE_CORR!D105))</f>
        <v>1170.8721705090109</v>
      </c>
      <c r="F130" s="764">
        <f ca="1">IF($E$19="SAC",SAC_CORR!E105,PRICE_CORR!E105)</f>
        <v>126378.72317537325</v>
      </c>
      <c r="G130" s="764">
        <f ca="1">IF($E$19="SAC",IF(SAC_CORR!$J105="Carencia",0,SAC_CORR!F105),IF(PRICE_CORR!$J105="Carencia",0,PRICE_CORR!F105))</f>
        <v>26.726429978566614</v>
      </c>
      <c r="H130" s="764">
        <f ca="1">IF($E$19="SAC",IF(SAC_CORR!$J105="Carencia",0,SAC_CORR!G105),IF(PRICE_CORR!$J105="Carencia",0,PRICE_CORR!G105))</f>
        <v>26.319999999999997</v>
      </c>
      <c r="I130" s="764">
        <f ca="1">IF($E$19="SAC",IF(SAC_CORR!$J105="Carencia",0,SAC_CORR!H105),IF(PRICE_CORR!$J105="Carencia",0,PRICE_CORR!H105))</f>
        <v>25</v>
      </c>
      <c r="J130" s="764">
        <f ca="1">IF($E$19="SAC",SAC_CORR!I105,PRICE_CORR!I105)</f>
        <v>2138.9096087648568</v>
      </c>
      <c r="K130" s="911"/>
      <c r="N130" s="765">
        <f t="shared" ca="1" si="5"/>
        <v>2138.9096087648568</v>
      </c>
      <c r="O130" s="766">
        <f t="shared" ca="1" si="3"/>
        <v>26.564456569043788</v>
      </c>
    </row>
    <row r="131" spans="2:15" ht="22.35" customHeight="1" thickTop="1" thickBot="1">
      <c r="B131" s="762">
        <f ca="1">IF($E$19="SAC",SAC_CORR!B106,PRICE_CORR!B106)</f>
        <v>47391</v>
      </c>
      <c r="C131" s="763">
        <f t="shared" ca="1" si="4"/>
        <v>2052.6752615100031</v>
      </c>
      <c r="D131" s="764">
        <f ca="1">IF($E$19="SAC",SAC_CORR!C106,PRICE_CORR!C106)</f>
        <v>889.99100827727909</v>
      </c>
      <c r="E131" s="764">
        <f ca="1">IF($E$19="SAC",IF(SAC_CORR!$J106="Carencia",0,SAC_CORR!D106),IF(PRICE_CORR!$J106="Carencia",0,PRICE_CORR!D106))</f>
        <v>1162.6842532327241</v>
      </c>
      <c r="F131" s="764">
        <f ca="1">IF($E$19="SAC",SAC_CORR!E106,PRICE_CORR!E106)</f>
        <v>125488.73216709596</v>
      </c>
      <c r="G131" s="764">
        <f ca="1">IF($E$19="SAC",IF(SAC_CORR!$J106="Carencia",0,SAC_CORR!F106),IF(PRICE_CORR!$J106="Carencia",0,PRICE_CORR!F106))</f>
        <v>26.539531866828383</v>
      </c>
      <c r="H131" s="764">
        <f ca="1">IF($E$19="SAC",IF(SAC_CORR!$J106="Carencia",0,SAC_CORR!G106),IF(PRICE_CORR!$J106="Carencia",0,PRICE_CORR!G106))</f>
        <v>26.319999999999997</v>
      </c>
      <c r="I131" s="764">
        <f ca="1">IF($E$19="SAC",IF(SAC_CORR!$J106="Carencia",0,SAC_CORR!H106),IF(PRICE_CORR!$J106="Carencia",0,PRICE_CORR!H106))</f>
        <v>25</v>
      </c>
      <c r="J131" s="764">
        <f ca="1">IF($E$19="SAC",SAC_CORR!I106,PRICE_CORR!I106)</f>
        <v>2130.5347933768317</v>
      </c>
      <c r="K131" s="911"/>
      <c r="N131" s="765">
        <f t="shared" ca="1" si="5"/>
        <v>2130.5347933768317</v>
      </c>
      <c r="O131" s="766">
        <f t="shared" ca="1" si="3"/>
        <v>26.256763285821126</v>
      </c>
    </row>
    <row r="132" spans="2:15" ht="22.35" customHeight="1" thickTop="1" thickBot="1">
      <c r="B132" s="762">
        <f ca="1">IF($E$19="SAC",SAC_CORR!B107,PRICE_CORR!B107)</f>
        <v>47421</v>
      </c>
      <c r="C132" s="763">
        <f t="shared" ca="1" si="4"/>
        <v>2044.4873442337162</v>
      </c>
      <c r="D132" s="764">
        <f ca="1">IF($E$19="SAC",SAC_CORR!C107,PRICE_CORR!C107)</f>
        <v>889.99100827727909</v>
      </c>
      <c r="E132" s="764">
        <f ca="1">IF($E$19="SAC",IF(SAC_CORR!$J107="Carencia",0,SAC_CORR!D107),IF(PRICE_CORR!$J107="Carencia",0,PRICE_CORR!D107))</f>
        <v>1154.4963359564372</v>
      </c>
      <c r="F132" s="764">
        <f ca="1">IF($E$19="SAC",SAC_CORR!E107,PRICE_CORR!E107)</f>
        <v>124598.74115881868</v>
      </c>
      <c r="G132" s="764">
        <f ca="1">IF($E$19="SAC",IF(SAC_CORR!$J107="Carencia",0,SAC_CORR!F107),IF(PRICE_CORR!$J107="Carencia",0,PRICE_CORR!F107))</f>
        <v>26.352633755090153</v>
      </c>
      <c r="H132" s="764">
        <f ca="1">IF($E$19="SAC",IF(SAC_CORR!$J107="Carencia",0,SAC_CORR!G107),IF(PRICE_CORR!$J107="Carencia",0,PRICE_CORR!G107))</f>
        <v>26.319999999999997</v>
      </c>
      <c r="I132" s="764">
        <f ca="1">IF($E$19="SAC",IF(SAC_CORR!$J107="Carencia",0,SAC_CORR!H107),IF(PRICE_CORR!$J107="Carencia",0,PRICE_CORR!H107))</f>
        <v>25</v>
      </c>
      <c r="J132" s="764">
        <f ca="1">IF($E$19="SAC",SAC_CORR!I107,PRICE_CORR!I107)</f>
        <v>2122.1599779888065</v>
      </c>
      <c r="K132" s="911"/>
      <c r="N132" s="765">
        <f t="shared" ca="1" si="5"/>
        <v>2122.1599779888065</v>
      </c>
      <c r="O132" s="766">
        <f t="shared" ca="1" si="3"/>
        <v>25.959109078614336</v>
      </c>
    </row>
    <row r="133" spans="2:15" ht="22.35" customHeight="1" thickTop="1" thickBot="1">
      <c r="B133" s="762">
        <f ca="1">IF($E$19="SAC",SAC_CORR!B108,PRICE_CORR!B108)</f>
        <v>47452</v>
      </c>
      <c r="C133" s="763">
        <f t="shared" ca="1" si="4"/>
        <v>2036.2994269574297</v>
      </c>
      <c r="D133" s="764">
        <f ca="1">IF($E$19="SAC",SAC_CORR!C108,PRICE_CORR!C108)</f>
        <v>889.99100827727909</v>
      </c>
      <c r="E133" s="764">
        <f ca="1">IF($E$19="SAC",IF(SAC_CORR!$J108="Carencia",0,SAC_CORR!D108),IF(PRICE_CORR!$J108="Carencia",0,PRICE_CORR!D108))</f>
        <v>1146.3084186801505</v>
      </c>
      <c r="F133" s="764">
        <f ca="1">IF($E$19="SAC",SAC_CORR!E108,PRICE_CORR!E108)</f>
        <v>123708.7501505414</v>
      </c>
      <c r="G133" s="764">
        <f ca="1">IF($E$19="SAC",IF(SAC_CORR!$J108="Carencia",0,SAC_CORR!F108),IF(PRICE_CORR!$J108="Carencia",0,PRICE_CORR!F108))</f>
        <v>26.165735643351923</v>
      </c>
      <c r="H133" s="764">
        <f ca="1">IF($E$19="SAC",IF(SAC_CORR!$J108="Carencia",0,SAC_CORR!G108),IF(PRICE_CORR!$J108="Carencia",0,PRICE_CORR!G108))</f>
        <v>26.319999999999997</v>
      </c>
      <c r="I133" s="764">
        <f ca="1">IF($E$19="SAC",IF(SAC_CORR!$J108="Carencia",0,SAC_CORR!H108),IF(PRICE_CORR!$J108="Carencia",0,PRICE_CORR!H108))</f>
        <v>25</v>
      </c>
      <c r="J133" s="764">
        <f ca="1">IF($E$19="SAC",SAC_CORR!I108,PRICE_CORR!I108)</f>
        <v>2113.7851626007819</v>
      </c>
      <c r="K133" s="911"/>
      <c r="N133" s="765">
        <f t="shared" ca="1" si="5"/>
        <v>2113.7851626007819</v>
      </c>
      <c r="O133" s="766">
        <f t="shared" ca="1" si="3"/>
        <v>25.657783655550816</v>
      </c>
    </row>
    <row r="134" spans="2:15" ht="22.35" customHeight="1" thickTop="1" thickBot="1">
      <c r="B134" s="762">
        <f ca="1">IF($E$19="SAC",SAC_CORR!B109,PRICE_CORR!B109)</f>
        <v>47482</v>
      </c>
      <c r="C134" s="763">
        <f t="shared" ca="1" si="4"/>
        <v>2028.1115096811427</v>
      </c>
      <c r="D134" s="764">
        <f ca="1">IF($E$19="SAC",SAC_CORR!C109,PRICE_CORR!C109)</f>
        <v>889.99100827727909</v>
      </c>
      <c r="E134" s="764">
        <f ca="1">IF($E$19="SAC",IF(SAC_CORR!$J109="Carencia",0,SAC_CORR!D109),IF(PRICE_CORR!$J109="Carencia",0,PRICE_CORR!D109))</f>
        <v>1138.1205014038635</v>
      </c>
      <c r="F134" s="764">
        <f ca="1">IF($E$19="SAC",SAC_CORR!E109,PRICE_CORR!E109)</f>
        <v>122818.75914226411</v>
      </c>
      <c r="G134" s="764">
        <f ca="1">IF($E$19="SAC",IF(SAC_CORR!$J109="Carencia",0,SAC_CORR!F109),IF(PRICE_CORR!$J109="Carencia",0,PRICE_CORR!F109))</f>
        <v>25.978837531613696</v>
      </c>
      <c r="H134" s="764">
        <f ca="1">IF($E$19="SAC",IF(SAC_CORR!$J109="Carencia",0,SAC_CORR!G109),IF(PRICE_CORR!$J109="Carencia",0,PRICE_CORR!G109))</f>
        <v>26.319999999999997</v>
      </c>
      <c r="I134" s="764">
        <f ca="1">IF($E$19="SAC",IF(SAC_CORR!$J109="Carencia",0,SAC_CORR!H109),IF(PRICE_CORR!$J109="Carencia",0,PRICE_CORR!H109))</f>
        <v>25</v>
      </c>
      <c r="J134" s="764">
        <f ca="1">IF($E$19="SAC",SAC_CORR!I109,PRICE_CORR!I109)</f>
        <v>2105.4103472127567</v>
      </c>
      <c r="K134" s="911"/>
      <c r="N134" s="765">
        <f t="shared" ca="1" si="5"/>
        <v>2105.4103472127567</v>
      </c>
      <c r="O134" s="766">
        <f t="shared" ca="1" si="3"/>
        <v>25.366278619158035</v>
      </c>
    </row>
    <row r="135" spans="2:15" ht="22.35" customHeight="1" thickTop="1" thickBot="1">
      <c r="B135" s="762">
        <f ca="1">IF($E$19="SAC",SAC_CORR!B110,PRICE_CORR!B110)</f>
        <v>47513</v>
      </c>
      <c r="C135" s="763">
        <f t="shared" ca="1" si="4"/>
        <v>2019.9235924048558</v>
      </c>
      <c r="D135" s="764">
        <f ca="1">IF($E$19="SAC",SAC_CORR!C110,PRICE_CORR!C110)</f>
        <v>889.99100827727909</v>
      </c>
      <c r="E135" s="764">
        <f ca="1">IF($E$19="SAC",IF(SAC_CORR!$J110="Carencia",0,SAC_CORR!D110),IF(PRICE_CORR!$J110="Carencia",0,PRICE_CORR!D110))</f>
        <v>1129.9325841275768</v>
      </c>
      <c r="F135" s="764">
        <f ca="1">IF($E$19="SAC",SAC_CORR!E110,PRICE_CORR!E110)</f>
        <v>121928.76813398683</v>
      </c>
      <c r="G135" s="764">
        <f ca="1">IF($E$19="SAC",IF(SAC_CORR!$J110="Carencia",0,SAC_CORR!F110),IF(PRICE_CORR!$J110="Carencia",0,PRICE_CORR!F110))</f>
        <v>25.791939419875465</v>
      </c>
      <c r="H135" s="764">
        <f ca="1">IF($E$19="SAC",IF(SAC_CORR!$J110="Carencia",0,SAC_CORR!G110),IF(PRICE_CORR!$J110="Carencia",0,PRICE_CORR!G110))</f>
        <v>26.319999999999997</v>
      </c>
      <c r="I135" s="764">
        <f ca="1">IF($E$19="SAC",IF(SAC_CORR!$J110="Carencia",0,SAC_CORR!H110),IF(PRICE_CORR!$J110="Carencia",0,PRICE_CORR!H110))</f>
        <v>25</v>
      </c>
      <c r="J135" s="764">
        <f ca="1">IF($E$19="SAC",SAC_CORR!I110,PRICE_CORR!I110)</f>
        <v>2097.0355318247312</v>
      </c>
      <c r="K135" s="911"/>
      <c r="N135" s="765">
        <f t="shared" ca="1" si="5"/>
        <v>2097.0355318247312</v>
      </c>
      <c r="O135" s="766">
        <f t="shared" ca="1" si="3"/>
        <v>25.071196485626565</v>
      </c>
    </row>
    <row r="136" spans="2:15" ht="22.35" customHeight="1" thickTop="1" thickBot="1">
      <c r="B136" s="762">
        <f ca="1">IF($E$19="SAC",SAC_CORR!B111,PRICE_CORR!B111)</f>
        <v>47542</v>
      </c>
      <c r="C136" s="763">
        <f t="shared" ca="1" si="4"/>
        <v>2011.7356751285688</v>
      </c>
      <c r="D136" s="764">
        <f ca="1">IF($E$19="SAC",SAC_CORR!C111,PRICE_CORR!C111)</f>
        <v>889.99100827727909</v>
      </c>
      <c r="E136" s="764">
        <f ca="1">IF($E$19="SAC",IF(SAC_CORR!$J111="Carencia",0,SAC_CORR!D111),IF(PRICE_CORR!$J111="Carencia",0,PRICE_CORR!D111))</f>
        <v>1121.7446668512898</v>
      </c>
      <c r="F136" s="764">
        <f ca="1">IF($E$19="SAC",SAC_CORR!E111,PRICE_CORR!E111)</f>
        <v>121038.77712570954</v>
      </c>
      <c r="G136" s="764">
        <f ca="1">IF($E$19="SAC",IF(SAC_CORR!$J111="Carencia",0,SAC_CORR!F111),IF(PRICE_CORR!$J111="Carencia",0,PRICE_CORR!F111))</f>
        <v>25.605041308137235</v>
      </c>
      <c r="H136" s="764">
        <f ca="1">IF($E$19="SAC",IF(SAC_CORR!$J111="Carencia",0,SAC_CORR!G111),IF(PRICE_CORR!$J111="Carencia",0,PRICE_CORR!G111))</f>
        <v>26.319999999999997</v>
      </c>
      <c r="I136" s="764">
        <f ca="1">IF($E$19="SAC",IF(SAC_CORR!$J111="Carencia",0,SAC_CORR!H111),IF(PRICE_CORR!$J111="Carencia",0,PRICE_CORR!H111))</f>
        <v>25</v>
      </c>
      <c r="J136" s="764">
        <f ca="1">IF($E$19="SAC",SAC_CORR!I111,PRICE_CORR!I111)</f>
        <v>2088.660716436706</v>
      </c>
      <c r="K136" s="911"/>
      <c r="N136" s="765">
        <f t="shared" ca="1" si="5"/>
        <v>2088.660716436706</v>
      </c>
      <c r="O136" s="766">
        <f t="shared" ca="1" si="3"/>
        <v>24.792214357063056</v>
      </c>
    </row>
    <row r="137" spans="2:15" ht="22.35" customHeight="1" thickTop="1" thickBot="1">
      <c r="B137" s="762">
        <f ca="1">IF($E$19="SAC",SAC_CORR!B112,PRICE_CORR!B112)</f>
        <v>47572</v>
      </c>
      <c r="C137" s="763">
        <f t="shared" ca="1" si="4"/>
        <v>2003.5477578522818</v>
      </c>
      <c r="D137" s="764">
        <f ca="1">IF($E$19="SAC",SAC_CORR!C112,PRICE_CORR!C112)</f>
        <v>889.99100827727909</v>
      </c>
      <c r="E137" s="764">
        <f ca="1">IF($E$19="SAC",IF(SAC_CORR!$J112="Carencia",0,SAC_CORR!D112),IF(PRICE_CORR!$J112="Carencia",0,PRICE_CORR!D112))</f>
        <v>1113.5567495750029</v>
      </c>
      <c r="F137" s="764">
        <f ca="1">IF($E$19="SAC",SAC_CORR!E112,PRICE_CORR!E112)</f>
        <v>120148.78611743226</v>
      </c>
      <c r="G137" s="764">
        <f ca="1">IF($E$19="SAC",IF(SAC_CORR!$J112="Carencia",0,SAC_CORR!F112),IF(PRICE_CORR!$J112="Carencia",0,PRICE_CORR!F112))</f>
        <v>25.418143196399004</v>
      </c>
      <c r="H137" s="764">
        <f ca="1">IF($E$19="SAC",IF(SAC_CORR!$J112="Carencia",0,SAC_CORR!G112),IF(PRICE_CORR!$J112="Carencia",0,PRICE_CORR!G112))</f>
        <v>26.319999999999997</v>
      </c>
      <c r="I137" s="764">
        <f ca="1">IF($E$19="SAC",IF(SAC_CORR!$J112="Carencia",0,SAC_CORR!H112),IF(PRICE_CORR!$J112="Carencia",0,PRICE_CORR!H112))</f>
        <v>25</v>
      </c>
      <c r="J137" s="764">
        <f ca="1">IF($E$19="SAC",SAC_CORR!I112,PRICE_CORR!I112)</f>
        <v>2080.2859010486809</v>
      </c>
      <c r="K137" s="911"/>
      <c r="N137" s="765">
        <f t="shared" ca="1" si="5"/>
        <v>2080.2859010486809</v>
      </c>
      <c r="O137" s="766">
        <f t="shared" ca="1" si="3"/>
        <v>24.509597453680559</v>
      </c>
    </row>
    <row r="138" spans="2:15" ht="22.35" customHeight="1" thickTop="1" thickBot="1">
      <c r="B138" s="762">
        <f ca="1">IF($E$19="SAC",SAC_CORR!B113,PRICE_CORR!B113)</f>
        <v>47603</v>
      </c>
      <c r="C138" s="763">
        <f t="shared" ca="1" si="4"/>
        <v>1995.3598405759953</v>
      </c>
      <c r="D138" s="764">
        <f ca="1">IF($E$19="SAC",SAC_CORR!C113,PRICE_CORR!C113)</f>
        <v>889.99100827727909</v>
      </c>
      <c r="E138" s="764">
        <f ca="1">IF($E$19="SAC",IF(SAC_CORR!$J113="Carencia",0,SAC_CORR!D113),IF(PRICE_CORR!$J113="Carencia",0,PRICE_CORR!D113))</f>
        <v>1105.3688322987161</v>
      </c>
      <c r="F138" s="764">
        <f ca="1">IF($E$19="SAC",SAC_CORR!E113,PRICE_CORR!E113)</f>
        <v>119258.79510915498</v>
      </c>
      <c r="G138" s="764">
        <f ca="1">IF($E$19="SAC",IF(SAC_CORR!$J113="Carencia",0,SAC_CORR!F113),IF(PRICE_CORR!$J113="Carencia",0,PRICE_CORR!F113))</f>
        <v>25.231245084660777</v>
      </c>
      <c r="H138" s="764">
        <f ca="1">IF($E$19="SAC",IF(SAC_CORR!$J113="Carencia",0,SAC_CORR!G113),IF(PRICE_CORR!$J113="Carencia",0,PRICE_CORR!G113))</f>
        <v>26.319999999999997</v>
      </c>
      <c r="I138" s="764">
        <f ca="1">IF($E$19="SAC",IF(SAC_CORR!$J113="Carencia",0,SAC_CORR!H113),IF(PRICE_CORR!$J113="Carencia",0,PRICE_CORR!H113))</f>
        <v>25</v>
      </c>
      <c r="J138" s="764">
        <f ca="1">IF($E$19="SAC",SAC_CORR!I113,PRICE_CORR!I113)</f>
        <v>2071.9110856606558</v>
      </c>
      <c r="K138" s="911"/>
      <c r="N138" s="765">
        <f t="shared" ca="1" si="5"/>
        <v>2071.9110856606558</v>
      </c>
      <c r="O138" s="766">
        <f t="shared" ca="1" si="3"/>
        <v>24.223539427087566</v>
      </c>
    </row>
    <row r="139" spans="2:15" ht="22.35" customHeight="1" thickTop="1" thickBot="1">
      <c r="B139" s="762">
        <f ca="1">IF($E$19="SAC",SAC_CORR!B114,PRICE_CORR!B114)</f>
        <v>47633</v>
      </c>
      <c r="C139" s="763">
        <f t="shared" ca="1" si="4"/>
        <v>1987.1719232997084</v>
      </c>
      <c r="D139" s="764">
        <f ca="1">IF($E$19="SAC",SAC_CORR!C114,PRICE_CORR!C114)</f>
        <v>889.99100827727909</v>
      </c>
      <c r="E139" s="764">
        <f ca="1">IF($E$19="SAC",IF(SAC_CORR!$J114="Carencia",0,SAC_CORR!D114),IF(PRICE_CORR!$J114="Carencia",0,PRICE_CORR!D114))</f>
        <v>1097.1809150224292</v>
      </c>
      <c r="F139" s="764">
        <f ca="1">IF($E$19="SAC",SAC_CORR!E114,PRICE_CORR!E114)</f>
        <v>118368.80410087769</v>
      </c>
      <c r="G139" s="764">
        <f ca="1">IF($E$19="SAC",IF(SAC_CORR!$J114="Carencia",0,SAC_CORR!F114),IF(PRICE_CORR!$J114="Carencia",0,PRICE_CORR!F114))</f>
        <v>25.044346972922547</v>
      </c>
      <c r="H139" s="764">
        <f ca="1">IF($E$19="SAC",IF(SAC_CORR!$J114="Carencia",0,SAC_CORR!G114),IF(PRICE_CORR!$J114="Carencia",0,PRICE_CORR!G114))</f>
        <v>26.319999999999997</v>
      </c>
      <c r="I139" s="764">
        <f ca="1">IF($E$19="SAC",IF(SAC_CORR!$J114="Carencia",0,SAC_CORR!H114),IF(PRICE_CORR!$J114="Carencia",0,PRICE_CORR!H114))</f>
        <v>25</v>
      </c>
      <c r="J139" s="764">
        <f ca="1">IF($E$19="SAC",SAC_CORR!I114,PRICE_CORR!I114)</f>
        <v>2063.5362702726306</v>
      </c>
      <c r="K139" s="911"/>
      <c r="N139" s="765">
        <f t="shared" ca="1" si="5"/>
        <v>2063.5362702726306</v>
      </c>
      <c r="O139" s="766">
        <f t="shared" ca="1" si="3"/>
        <v>23.946777827974252</v>
      </c>
    </row>
    <row r="140" spans="2:15" ht="22.35" customHeight="1" thickTop="1" thickBot="1">
      <c r="B140" s="762">
        <f ca="1">IF($E$19="SAC",SAC_CORR!B115,PRICE_CORR!B115)</f>
        <v>47664</v>
      </c>
      <c r="C140" s="763">
        <f t="shared" ca="1" si="4"/>
        <v>1978.9840060234214</v>
      </c>
      <c r="D140" s="764">
        <f ca="1">IF($E$19="SAC",SAC_CORR!C115,PRICE_CORR!C115)</f>
        <v>889.99100827727909</v>
      </c>
      <c r="E140" s="764">
        <f ca="1">IF($E$19="SAC",IF(SAC_CORR!$J115="Carencia",0,SAC_CORR!D115),IF(PRICE_CORR!$J115="Carencia",0,PRICE_CORR!D115))</f>
        <v>1088.9929977461425</v>
      </c>
      <c r="F140" s="764">
        <f ca="1">IF($E$19="SAC",SAC_CORR!E115,PRICE_CORR!E115)</f>
        <v>117478.81309260041</v>
      </c>
      <c r="G140" s="764">
        <f ca="1">IF($E$19="SAC",IF(SAC_CORR!$J115="Carencia",0,SAC_CORR!F115),IF(PRICE_CORR!$J115="Carencia",0,PRICE_CORR!F115))</f>
        <v>24.857448861184317</v>
      </c>
      <c r="H140" s="764">
        <f ca="1">IF($E$19="SAC",IF(SAC_CORR!$J115="Carencia",0,SAC_CORR!G115),IF(PRICE_CORR!$J115="Carencia",0,PRICE_CORR!G115))</f>
        <v>26.319999999999997</v>
      </c>
      <c r="I140" s="764">
        <f ca="1">IF($E$19="SAC",IF(SAC_CORR!$J115="Carencia",0,SAC_CORR!H115),IF(PRICE_CORR!$J115="Carencia",0,PRICE_CORR!H115))</f>
        <v>25</v>
      </c>
      <c r="J140" s="764">
        <f ca="1">IF($E$19="SAC",SAC_CORR!I115,PRICE_CORR!I115)</f>
        <v>2055.1614548846055</v>
      </c>
      <c r="K140" s="911"/>
      <c r="N140" s="765">
        <f t="shared" ca="1" si="5"/>
        <v>2055.1614548846055</v>
      </c>
      <c r="O140" s="766">
        <f t="shared" ca="1" si="3"/>
        <v>23.666664183598279</v>
      </c>
    </row>
    <row r="141" spans="2:15" ht="22.35" customHeight="1" thickTop="1" thickBot="1">
      <c r="B141" s="762">
        <f ca="1">IF($E$19="SAC",SAC_CORR!B116,PRICE_CORR!B116)</f>
        <v>47694</v>
      </c>
      <c r="C141" s="763">
        <f t="shared" ca="1" si="4"/>
        <v>1970.7960887471345</v>
      </c>
      <c r="D141" s="764">
        <f ca="1">IF($E$19="SAC",SAC_CORR!C116,PRICE_CORR!C116)</f>
        <v>889.99100827727909</v>
      </c>
      <c r="E141" s="764">
        <f ca="1">IF($E$19="SAC",IF(SAC_CORR!$J116="Carencia",0,SAC_CORR!D116),IF(PRICE_CORR!$J116="Carencia",0,PRICE_CORR!D116))</f>
        <v>1080.8050804698555</v>
      </c>
      <c r="F141" s="764">
        <f ca="1">IF($E$19="SAC",SAC_CORR!E116,PRICE_CORR!E116)</f>
        <v>116588.82208432312</v>
      </c>
      <c r="G141" s="764">
        <f ca="1">IF($E$19="SAC",IF(SAC_CORR!$J116="Carencia",0,SAC_CORR!F116),IF(PRICE_CORR!$J116="Carencia",0,PRICE_CORR!F116))</f>
        <v>24.670550749446086</v>
      </c>
      <c r="H141" s="764">
        <f ca="1">IF($E$19="SAC",IF(SAC_CORR!$J116="Carencia",0,SAC_CORR!G116),IF(PRICE_CORR!$J116="Carencia",0,PRICE_CORR!G116))</f>
        <v>26.319999999999997</v>
      </c>
      <c r="I141" s="764">
        <f ca="1">IF($E$19="SAC",IF(SAC_CORR!$J116="Carencia",0,SAC_CORR!H116),IF(PRICE_CORR!$J116="Carencia",0,PRICE_CORR!H116))</f>
        <v>25</v>
      </c>
      <c r="J141" s="764">
        <f ca="1">IF($E$19="SAC",SAC_CORR!I116,PRICE_CORR!I116)</f>
        <v>2046.7866394965806</v>
      </c>
      <c r="K141" s="911"/>
      <c r="N141" s="765">
        <f t="shared" ca="1" si="5"/>
        <v>2046.7866394965806</v>
      </c>
      <c r="O141" s="766">
        <f t="shared" ca="1" si="3"/>
        <v>23.395643267087749</v>
      </c>
    </row>
    <row r="142" spans="2:15" ht="22.35" customHeight="1" thickTop="1" thickBot="1">
      <c r="B142" s="762">
        <f ca="1">IF($E$19="SAC",SAC_CORR!B117,PRICE_CORR!B117)</f>
        <v>47725</v>
      </c>
      <c r="C142" s="763">
        <f t="shared" ca="1" si="4"/>
        <v>1962.6081714708475</v>
      </c>
      <c r="D142" s="764">
        <f ca="1">IF($E$19="SAC",SAC_CORR!C117,PRICE_CORR!C117)</f>
        <v>889.99100827727909</v>
      </c>
      <c r="E142" s="764">
        <f ca="1">IF($E$19="SAC",IF(SAC_CORR!$J117="Carencia",0,SAC_CORR!D117),IF(PRICE_CORR!$J117="Carencia",0,PRICE_CORR!D117))</f>
        <v>1072.6171631935686</v>
      </c>
      <c r="F142" s="764">
        <f ca="1">IF($E$19="SAC",SAC_CORR!E117,PRICE_CORR!E117)</f>
        <v>115698.83107604584</v>
      </c>
      <c r="G142" s="764">
        <f ca="1">IF($E$19="SAC",IF(SAC_CORR!$J117="Carencia",0,SAC_CORR!F117),IF(PRICE_CORR!$J117="Carencia",0,PRICE_CORR!F117))</f>
        <v>24.483652637707856</v>
      </c>
      <c r="H142" s="764">
        <f ca="1">IF($E$19="SAC",IF(SAC_CORR!$J117="Carencia",0,SAC_CORR!G117),IF(PRICE_CORR!$J117="Carencia",0,PRICE_CORR!G117))</f>
        <v>26.319999999999997</v>
      </c>
      <c r="I142" s="764">
        <f ca="1">IF($E$19="SAC",IF(SAC_CORR!$J117="Carencia",0,SAC_CORR!H117),IF(PRICE_CORR!$J117="Carencia",0,PRICE_CORR!H117))</f>
        <v>25</v>
      </c>
      <c r="J142" s="764">
        <f ca="1">IF($E$19="SAC",SAC_CORR!I117,PRICE_CORR!I117)</f>
        <v>2038.4118241085553</v>
      </c>
      <c r="K142" s="911"/>
      <c r="N142" s="765">
        <f t="shared" ca="1" si="5"/>
        <v>2038.4118241085553</v>
      </c>
      <c r="O142" s="766">
        <f t="shared" ca="1" si="3"/>
        <v>23.121357423771993</v>
      </c>
    </row>
    <row r="143" spans="2:15" ht="22.35" customHeight="1" thickTop="1" thickBot="1">
      <c r="B143" s="762">
        <f ca="1">IF($E$19="SAC",SAC_CORR!B118,PRICE_CORR!B118)</f>
        <v>47756</v>
      </c>
      <c r="C143" s="763">
        <f t="shared" ca="1" si="4"/>
        <v>1954.420254194561</v>
      </c>
      <c r="D143" s="764">
        <f ca="1">IF($E$19="SAC",SAC_CORR!C118,PRICE_CORR!C118)</f>
        <v>889.99100827727909</v>
      </c>
      <c r="E143" s="764">
        <f ca="1">IF($E$19="SAC",IF(SAC_CORR!$J118="Carencia",0,SAC_CORR!D118),IF(PRICE_CORR!$J118="Carencia",0,PRICE_CORR!D118))</f>
        <v>1064.4292459172818</v>
      </c>
      <c r="F143" s="764">
        <f ca="1">IF($E$19="SAC",SAC_CORR!E118,PRICE_CORR!E118)</f>
        <v>114808.84006776856</v>
      </c>
      <c r="G143" s="764">
        <f ca="1">IF($E$19="SAC",IF(SAC_CORR!$J118="Carencia",0,SAC_CORR!F118),IF(PRICE_CORR!$J118="Carencia",0,PRICE_CORR!F118))</f>
        <v>24.296754525969629</v>
      </c>
      <c r="H143" s="764">
        <f ca="1">IF($E$19="SAC",IF(SAC_CORR!$J118="Carencia",0,SAC_CORR!G118),IF(PRICE_CORR!$J118="Carencia",0,PRICE_CORR!G118))</f>
        <v>26.319999999999997</v>
      </c>
      <c r="I143" s="764">
        <f ca="1">IF($E$19="SAC",IF(SAC_CORR!$J118="Carencia",0,SAC_CORR!H118),IF(PRICE_CORR!$J118="Carencia",0,PRICE_CORR!H118))</f>
        <v>25</v>
      </c>
      <c r="J143" s="764">
        <f ca="1">IF($E$19="SAC",SAC_CORR!I118,PRICE_CORR!I118)</f>
        <v>2030.0370087205306</v>
      </c>
      <c r="K143" s="911"/>
      <c r="N143" s="765">
        <f t="shared" ca="1" si="5"/>
        <v>2030.0370087205306</v>
      </c>
      <c r="O143" s="766">
        <f t="shared" ca="1" si="3"/>
        <v>22.84997800147725</v>
      </c>
    </row>
    <row r="144" spans="2:15" ht="22.35" customHeight="1" thickTop="1" thickBot="1">
      <c r="B144" s="762">
        <f ca="1">IF($E$19="SAC",SAC_CORR!B119,PRICE_CORR!B119)</f>
        <v>47786</v>
      </c>
      <c r="C144" s="763">
        <f t="shared" ca="1" si="4"/>
        <v>1946.2323369182741</v>
      </c>
      <c r="D144" s="764">
        <f ca="1">IF($E$19="SAC",SAC_CORR!C119,PRICE_CORR!C119)</f>
        <v>889.99100827727909</v>
      </c>
      <c r="E144" s="764">
        <f ca="1">IF($E$19="SAC",IF(SAC_CORR!$J119="Carencia",0,SAC_CORR!D119),IF(PRICE_CORR!$J119="Carencia",0,PRICE_CORR!D119))</f>
        <v>1056.2413286409949</v>
      </c>
      <c r="F144" s="764">
        <f ca="1">IF($E$19="SAC",SAC_CORR!E119,PRICE_CORR!E119)</f>
        <v>113918.84905949127</v>
      </c>
      <c r="G144" s="764">
        <f ca="1">IF($E$19="SAC",IF(SAC_CORR!$J119="Carencia",0,SAC_CORR!F119),IF(PRICE_CORR!$J119="Carencia",0,PRICE_CORR!F119))</f>
        <v>24.109856414231398</v>
      </c>
      <c r="H144" s="764">
        <f ca="1">IF($E$19="SAC",IF(SAC_CORR!$J119="Carencia",0,SAC_CORR!G119),IF(PRICE_CORR!$J119="Carencia",0,PRICE_CORR!G119))</f>
        <v>26.319999999999997</v>
      </c>
      <c r="I144" s="764">
        <f ca="1">IF($E$19="SAC",IF(SAC_CORR!$J119="Carencia",0,SAC_CORR!H119),IF(PRICE_CORR!$J119="Carencia",0,PRICE_CORR!H119))</f>
        <v>25</v>
      </c>
      <c r="J144" s="764">
        <f ca="1">IF($E$19="SAC",SAC_CORR!I119,PRICE_CORR!I119)</f>
        <v>2021.6621933325055</v>
      </c>
      <c r="K144" s="911"/>
      <c r="N144" s="765">
        <f t="shared" ca="1" si="5"/>
        <v>2021.6621933325055</v>
      </c>
      <c r="O144" s="766">
        <f t="shared" ca="1" si="3"/>
        <v>22.587392309833035</v>
      </c>
    </row>
    <row r="145" spans="2:15" ht="22.35" customHeight="1" thickTop="1" thickBot="1">
      <c r="B145" s="762">
        <f ca="1">IF($E$19="SAC",SAC_CORR!B120,PRICE_CORR!B120)</f>
        <v>47817</v>
      </c>
      <c r="C145" s="763">
        <f t="shared" ca="1" si="4"/>
        <v>1938.0444196419871</v>
      </c>
      <c r="D145" s="764">
        <f ca="1">IF($E$19="SAC",SAC_CORR!C120,PRICE_CORR!C120)</f>
        <v>889.99100827727909</v>
      </c>
      <c r="E145" s="764">
        <f ca="1">IF($E$19="SAC",IF(SAC_CORR!$J120="Carencia",0,SAC_CORR!D120),IF(PRICE_CORR!$J120="Carencia",0,PRICE_CORR!D120))</f>
        <v>1048.0534113647082</v>
      </c>
      <c r="F145" s="764">
        <f ca="1">IF($E$19="SAC",SAC_CORR!E120,PRICE_CORR!E120)</f>
        <v>113028.85805121399</v>
      </c>
      <c r="G145" s="764">
        <f ca="1">IF($E$19="SAC",IF(SAC_CORR!$J120="Carencia",0,SAC_CORR!F120),IF(PRICE_CORR!$J120="Carencia",0,PRICE_CORR!F120))</f>
        <v>23.922958302493168</v>
      </c>
      <c r="H145" s="764">
        <f ca="1">IF($E$19="SAC",IF(SAC_CORR!$J120="Carencia",0,SAC_CORR!G120),IF(PRICE_CORR!$J120="Carencia",0,PRICE_CORR!G120))</f>
        <v>26.319999999999997</v>
      </c>
      <c r="I145" s="764">
        <f ca="1">IF($E$19="SAC",IF(SAC_CORR!$J120="Carencia",0,SAC_CORR!H120),IF(PRICE_CORR!$J120="Carencia",0,PRICE_CORR!H120))</f>
        <v>25</v>
      </c>
      <c r="J145" s="764">
        <f ca="1">IF($E$19="SAC",SAC_CORR!I120,PRICE_CORR!I120)</f>
        <v>2013.2873779444803</v>
      </c>
      <c r="K145" s="911"/>
      <c r="N145" s="765">
        <f t="shared" ca="1" si="5"/>
        <v>2013.2873779444803</v>
      </c>
      <c r="O145" s="766">
        <f t="shared" ca="1" si="3"/>
        <v>22.321669192726095</v>
      </c>
    </row>
    <row r="146" spans="2:15" ht="22.35" customHeight="1" thickTop="1" thickBot="1">
      <c r="B146" s="762">
        <f ca="1">IF($E$19="SAC",SAC_CORR!B121,PRICE_CORR!B121)</f>
        <v>47847</v>
      </c>
      <c r="C146" s="763">
        <f t="shared" ca="1" si="4"/>
        <v>1929.8565023657002</v>
      </c>
      <c r="D146" s="764">
        <f ca="1">IF($E$19="SAC",SAC_CORR!C121,PRICE_CORR!C121)</f>
        <v>889.99100827727909</v>
      </c>
      <c r="E146" s="764">
        <f ca="1">IF($E$19="SAC",IF(SAC_CORR!$J121="Carencia",0,SAC_CORR!D121),IF(PRICE_CORR!$J121="Carencia",0,PRICE_CORR!D121))</f>
        <v>1039.8654940884212</v>
      </c>
      <c r="F146" s="764">
        <f ca="1">IF($E$19="SAC",SAC_CORR!E121,PRICE_CORR!E121)</f>
        <v>112138.8670429367</v>
      </c>
      <c r="G146" s="764">
        <f ca="1">IF($E$19="SAC",IF(SAC_CORR!$J121="Carencia",0,SAC_CORR!F121),IF(PRICE_CORR!$J121="Carencia",0,PRICE_CORR!F121))</f>
        <v>23.736060190754937</v>
      </c>
      <c r="H146" s="764">
        <f ca="1">IF($E$19="SAC",IF(SAC_CORR!$J121="Carencia",0,SAC_CORR!G121),IF(PRICE_CORR!$J121="Carencia",0,PRICE_CORR!G121))</f>
        <v>26.319999999999997</v>
      </c>
      <c r="I146" s="764">
        <f ca="1">IF($E$19="SAC",IF(SAC_CORR!$J121="Carencia",0,SAC_CORR!H121),IF(PRICE_CORR!$J121="Carencia",0,PRICE_CORR!H121))</f>
        <v>25</v>
      </c>
      <c r="J146" s="764">
        <f ca="1">IF($E$19="SAC",SAC_CORR!I121,PRICE_CORR!I121)</f>
        <v>2004.912562556455</v>
      </c>
      <c r="K146" s="911"/>
      <c r="N146" s="765">
        <f t="shared" ca="1" si="5"/>
        <v>2004.912562556455</v>
      </c>
      <c r="O146" s="766">
        <f t="shared" ca="1" si="3"/>
        <v>22.064546288760383</v>
      </c>
    </row>
    <row r="147" spans="2:15" ht="22.35" customHeight="1" thickTop="1" thickBot="1">
      <c r="B147" s="762">
        <f ca="1">IF($E$19="SAC",SAC_CORR!B122,PRICE_CORR!B122)</f>
        <v>47878</v>
      </c>
      <c r="C147" s="763">
        <f t="shared" ca="1" si="4"/>
        <v>1921.6685850894132</v>
      </c>
      <c r="D147" s="764">
        <f ca="1">IF($E$19="SAC",SAC_CORR!C122,PRICE_CORR!C122)</f>
        <v>889.99100827727909</v>
      </c>
      <c r="E147" s="764">
        <f ca="1">IF($E$19="SAC",IF(SAC_CORR!$J122="Carencia",0,SAC_CORR!D122),IF(PRICE_CORR!$J122="Carencia",0,PRICE_CORR!D122))</f>
        <v>1031.6775768121342</v>
      </c>
      <c r="F147" s="764">
        <f ca="1">IF($E$19="SAC",SAC_CORR!E122,PRICE_CORR!E122)</f>
        <v>111248.87603465942</v>
      </c>
      <c r="G147" s="764">
        <f ca="1">IF($E$19="SAC",IF(SAC_CORR!$J122="Carencia",0,SAC_CORR!F122),IF(PRICE_CORR!$J122="Carencia",0,PRICE_CORR!F122))</f>
        <v>23.54916207901671</v>
      </c>
      <c r="H147" s="764">
        <f ca="1">IF($E$19="SAC",IF(SAC_CORR!$J122="Carencia",0,SAC_CORR!G122),IF(PRICE_CORR!$J122="Carencia",0,PRICE_CORR!G122))</f>
        <v>26.319999999999997</v>
      </c>
      <c r="I147" s="764">
        <f ca="1">IF($E$19="SAC",IF(SAC_CORR!$J122="Carencia",0,SAC_CORR!H122),IF(PRICE_CORR!$J122="Carencia",0,PRICE_CORR!H122))</f>
        <v>25</v>
      </c>
      <c r="J147" s="764">
        <f ca="1">IF($E$19="SAC",SAC_CORR!I122,PRICE_CORR!I122)</f>
        <v>1996.5377471684299</v>
      </c>
      <c r="K147" s="911"/>
      <c r="N147" s="765">
        <f t="shared" ca="1" si="5"/>
        <v>1996.5377471684299</v>
      </c>
      <c r="O147" s="766">
        <f t="shared" ca="1" si="3"/>
        <v>21.804368340462741</v>
      </c>
    </row>
    <row r="148" spans="2:15" ht="22.35" customHeight="1" thickTop="1" thickBot="1">
      <c r="B148" s="762">
        <f ca="1">IF($E$19="SAC",SAC_CORR!B123,PRICE_CORR!B123)</f>
        <v>47907</v>
      </c>
      <c r="C148" s="763">
        <f t="shared" ca="1" si="4"/>
        <v>1913.4806678131267</v>
      </c>
      <c r="D148" s="764">
        <f ca="1">IF($E$19="SAC",SAC_CORR!C123,PRICE_CORR!C123)</f>
        <v>889.99100827727909</v>
      </c>
      <c r="E148" s="764">
        <f ca="1">IF($E$19="SAC",IF(SAC_CORR!$J123="Carencia",0,SAC_CORR!D123),IF(PRICE_CORR!$J123="Carencia",0,PRICE_CORR!D123))</f>
        <v>1023.4896595358475</v>
      </c>
      <c r="F148" s="764">
        <f ca="1">IF($E$19="SAC",SAC_CORR!E123,PRICE_CORR!E123)</f>
        <v>110358.88502638214</v>
      </c>
      <c r="G148" s="764">
        <f ca="1">IF($E$19="SAC",IF(SAC_CORR!$J123="Carencia",0,SAC_CORR!F123),IF(PRICE_CORR!$J123="Carencia",0,PRICE_CORR!F123))</f>
        <v>23.36226396727848</v>
      </c>
      <c r="H148" s="764">
        <f ca="1">IF($E$19="SAC",IF(SAC_CORR!$J123="Carencia",0,SAC_CORR!G123),IF(PRICE_CORR!$J123="Carencia",0,PRICE_CORR!G123))</f>
        <v>26.319999999999997</v>
      </c>
      <c r="I148" s="764">
        <f ca="1">IF($E$19="SAC",IF(SAC_CORR!$J123="Carencia",0,SAC_CORR!H123),IF(PRICE_CORR!$J123="Carencia",0,PRICE_CORR!H123))</f>
        <v>25</v>
      </c>
      <c r="J148" s="764">
        <f ca="1">IF($E$19="SAC",SAC_CORR!I123,PRICE_CORR!I123)</f>
        <v>1988.1629317804052</v>
      </c>
      <c r="K148" s="911"/>
      <c r="N148" s="765">
        <f t="shared" ca="1" si="5"/>
        <v>1988.1629317804052</v>
      </c>
      <c r="O148" s="766">
        <f t="shared" ca="1" si="3"/>
        <v>21.558247828051645</v>
      </c>
    </row>
    <row r="149" spans="2:15" ht="22.35" customHeight="1" thickTop="1" thickBot="1">
      <c r="B149" s="762">
        <f ca="1">IF($E$19="SAC",SAC_CORR!B124,PRICE_CORR!B124)</f>
        <v>47937</v>
      </c>
      <c r="C149" s="763">
        <f t="shared" ca="1" si="4"/>
        <v>1905.2927505368398</v>
      </c>
      <c r="D149" s="764">
        <f ca="1">IF($E$19="SAC",SAC_CORR!C124,PRICE_CORR!C124)</f>
        <v>889.99100827727909</v>
      </c>
      <c r="E149" s="764">
        <f ca="1">IF($E$19="SAC",IF(SAC_CORR!$J124="Carencia",0,SAC_CORR!D124),IF(PRICE_CORR!$J124="Carencia",0,PRICE_CORR!D124))</f>
        <v>1015.3017422595607</v>
      </c>
      <c r="F149" s="764">
        <f ca="1">IF($E$19="SAC",SAC_CORR!E124,PRICE_CORR!E124)</f>
        <v>109468.89401810485</v>
      </c>
      <c r="G149" s="764">
        <f ca="1">IF($E$19="SAC",IF(SAC_CORR!$J124="Carencia",0,SAC_CORR!F124),IF(PRICE_CORR!$J124="Carencia",0,PRICE_CORR!F124))</f>
        <v>23.17536585554025</v>
      </c>
      <c r="H149" s="764">
        <f ca="1">IF($E$19="SAC",IF(SAC_CORR!$J124="Carencia",0,SAC_CORR!G124),IF(PRICE_CORR!$J124="Carencia",0,PRICE_CORR!G124))</f>
        <v>26.319999999999997</v>
      </c>
      <c r="I149" s="764">
        <f ca="1">IF($E$19="SAC",IF(SAC_CORR!$J124="Carencia",0,SAC_CORR!H124),IF(PRICE_CORR!$J124="Carencia",0,PRICE_CORR!H124))</f>
        <v>25</v>
      </c>
      <c r="J149" s="764">
        <f ca="1">IF($E$19="SAC",SAC_CORR!I124,PRICE_CORR!I124)</f>
        <v>1979.7881163923801</v>
      </c>
      <c r="K149" s="911"/>
      <c r="N149" s="765">
        <f t="shared" ca="1" si="5"/>
        <v>1979.7881163923801</v>
      </c>
      <c r="O149" s="766">
        <f t="shared" ca="1" si="3"/>
        <v>21.309020805447261</v>
      </c>
    </row>
    <row r="150" spans="2:15" ht="22.35" customHeight="1" thickTop="1" thickBot="1">
      <c r="B150" s="762">
        <f ca="1">IF($E$19="SAC",SAC_CORR!B125,PRICE_CORR!B125)</f>
        <v>47968</v>
      </c>
      <c r="C150" s="763">
        <f t="shared" ca="1" si="4"/>
        <v>1897.1048332605528</v>
      </c>
      <c r="D150" s="764">
        <f ca="1">IF($E$19="SAC",SAC_CORR!C125,PRICE_CORR!C125)</f>
        <v>889.99100827727909</v>
      </c>
      <c r="E150" s="764">
        <f ca="1">IF($E$19="SAC",IF(SAC_CORR!$J125="Carencia",0,SAC_CORR!D125),IF(PRICE_CORR!$J125="Carencia",0,PRICE_CORR!D125))</f>
        <v>1007.1138249832737</v>
      </c>
      <c r="F150" s="764">
        <f ca="1">IF($E$19="SAC",SAC_CORR!E125,PRICE_CORR!E125)</f>
        <v>108578.90300982757</v>
      </c>
      <c r="G150" s="764">
        <f ca="1">IF($E$19="SAC",IF(SAC_CORR!$J125="Carencia",0,SAC_CORR!F125),IF(PRICE_CORR!$J125="Carencia",0,PRICE_CORR!F125))</f>
        <v>22.988467743802019</v>
      </c>
      <c r="H150" s="764">
        <f ca="1">IF($E$19="SAC",IF(SAC_CORR!$J125="Carencia",0,SAC_CORR!G125),IF(PRICE_CORR!$J125="Carencia",0,PRICE_CORR!G125))</f>
        <v>26.319999999999997</v>
      </c>
      <c r="I150" s="764">
        <f ca="1">IF($E$19="SAC",IF(SAC_CORR!$J125="Carencia",0,SAC_CORR!H125),IF(PRICE_CORR!$J125="Carencia",0,PRICE_CORR!H125))</f>
        <v>25</v>
      </c>
      <c r="J150" s="764">
        <f ca="1">IF($E$19="SAC",SAC_CORR!I125,PRICE_CORR!I125)</f>
        <v>1971.4133010043547</v>
      </c>
      <c r="K150" s="911"/>
      <c r="N150" s="765">
        <f t="shared" ca="1" si="5"/>
        <v>1971.4133010043547</v>
      </c>
      <c r="O150" s="766">
        <f t="shared" ca="1" si="3"/>
        <v>21.056857749306836</v>
      </c>
    </row>
    <row r="151" spans="2:15" ht="22.35" customHeight="1" thickTop="1" thickBot="1">
      <c r="B151" s="762">
        <f ca="1">IF($E$19="SAC",SAC_CORR!B126,PRICE_CORR!B126)</f>
        <v>47998</v>
      </c>
      <c r="C151" s="763">
        <f t="shared" ca="1" si="4"/>
        <v>1888.9169159842659</v>
      </c>
      <c r="D151" s="764">
        <f ca="1">IF($E$19="SAC",SAC_CORR!C126,PRICE_CORR!C126)</f>
        <v>889.99100827727909</v>
      </c>
      <c r="E151" s="764">
        <f ca="1">IF($E$19="SAC",IF(SAC_CORR!$J126="Carencia",0,SAC_CORR!D126),IF(PRICE_CORR!$J126="Carencia",0,PRICE_CORR!D126))</f>
        <v>998.92590770698689</v>
      </c>
      <c r="F151" s="764">
        <f ca="1">IF($E$19="SAC",SAC_CORR!E126,PRICE_CORR!E126)</f>
        <v>107688.91200155028</v>
      </c>
      <c r="G151" s="764">
        <f ca="1">IF($E$19="SAC",IF(SAC_CORR!$J126="Carencia",0,SAC_CORR!F126),IF(PRICE_CORR!$J126="Carencia",0,PRICE_CORR!F126))</f>
        <v>22.801569632063792</v>
      </c>
      <c r="H151" s="764">
        <f ca="1">IF($E$19="SAC",IF(SAC_CORR!$J126="Carencia",0,SAC_CORR!G126),IF(PRICE_CORR!$J126="Carencia",0,PRICE_CORR!G126))</f>
        <v>26.319999999999997</v>
      </c>
      <c r="I151" s="764">
        <f ca="1">IF($E$19="SAC",IF(SAC_CORR!$J126="Carencia",0,SAC_CORR!H126),IF(PRICE_CORR!$J126="Carencia",0,PRICE_CORR!H126))</f>
        <v>25</v>
      </c>
      <c r="J151" s="764">
        <f ca="1">IF($E$19="SAC",SAC_CORR!I126,PRICE_CORR!I126)</f>
        <v>1963.0384856163296</v>
      </c>
      <c r="K151" s="911"/>
      <c r="N151" s="765">
        <f t="shared" ca="1" si="5"/>
        <v>1963.0384856163296</v>
      </c>
      <c r="O151" s="766">
        <f t="shared" ca="1" si="3"/>
        <v>20.812831318409039</v>
      </c>
    </row>
    <row r="152" spans="2:15" ht="22.35" customHeight="1" thickTop="1" thickBot="1">
      <c r="B152" s="762">
        <f ca="1">IF($E$19="SAC",SAC_CORR!B127,PRICE_CORR!B127)</f>
        <v>48029</v>
      </c>
      <c r="C152" s="763">
        <f t="shared" ca="1" si="4"/>
        <v>1880.7289987079791</v>
      </c>
      <c r="D152" s="764">
        <f ca="1">IF($E$19="SAC",SAC_CORR!C127,PRICE_CORR!C127)</f>
        <v>889.99100827727909</v>
      </c>
      <c r="E152" s="764">
        <f ca="1">IF($E$19="SAC",IF(SAC_CORR!$J127="Carencia",0,SAC_CORR!D127),IF(PRICE_CORR!$J127="Carencia",0,PRICE_CORR!D127))</f>
        <v>990.73799043070005</v>
      </c>
      <c r="F152" s="764">
        <f ca="1">IF($E$19="SAC",SAC_CORR!E127,PRICE_CORR!E127)</f>
        <v>106798.920993273</v>
      </c>
      <c r="G152" s="764">
        <f ca="1">IF($E$19="SAC",IF(SAC_CORR!$J127="Carencia",0,SAC_CORR!F127),IF(PRICE_CORR!$J127="Carencia",0,PRICE_CORR!F127))</f>
        <v>22.614671520325562</v>
      </c>
      <c r="H152" s="764">
        <f ca="1">IF($E$19="SAC",IF(SAC_CORR!$J127="Carencia",0,SAC_CORR!G127),IF(PRICE_CORR!$J127="Carencia",0,PRICE_CORR!G127))</f>
        <v>26.319999999999997</v>
      </c>
      <c r="I152" s="764">
        <f ca="1">IF($E$19="SAC",IF(SAC_CORR!$J127="Carencia",0,SAC_CORR!H127),IF(PRICE_CORR!$J127="Carencia",0,PRICE_CORR!H127))</f>
        <v>25</v>
      </c>
      <c r="J152" s="764">
        <f ca="1">IF($E$19="SAC",SAC_CORR!I127,PRICE_CORR!I127)</f>
        <v>1954.6636702283047</v>
      </c>
      <c r="K152" s="911"/>
      <c r="N152" s="765">
        <f t="shared" ca="1" si="5"/>
        <v>1954.6636702283047</v>
      </c>
      <c r="O152" s="766">
        <f t="shared" ca="1" si="3"/>
        <v>20.565946776364594</v>
      </c>
    </row>
    <row r="153" spans="2:15" ht="22.35" customHeight="1" thickTop="1" thickBot="1">
      <c r="B153" s="762">
        <f ca="1">IF($E$19="SAC",SAC_CORR!B128,PRICE_CORR!B128)</f>
        <v>48059</v>
      </c>
      <c r="C153" s="763">
        <f t="shared" ca="1" si="4"/>
        <v>1872.5410814316924</v>
      </c>
      <c r="D153" s="764">
        <f ca="1">IF($E$19="SAC",SAC_CORR!C128,PRICE_CORR!C128)</f>
        <v>889.99100827727909</v>
      </c>
      <c r="E153" s="764">
        <f ca="1">IF($E$19="SAC",IF(SAC_CORR!$J128="Carencia",0,SAC_CORR!D128),IF(PRICE_CORR!$J128="Carencia",0,PRICE_CORR!D128))</f>
        <v>982.55007315441321</v>
      </c>
      <c r="F153" s="764">
        <f ca="1">IF($E$19="SAC",SAC_CORR!E128,PRICE_CORR!E128)</f>
        <v>105908.92998499572</v>
      </c>
      <c r="G153" s="764">
        <f ca="1">IF($E$19="SAC",IF(SAC_CORR!$J128="Carencia",0,SAC_CORR!F128),IF(PRICE_CORR!$J128="Carencia",0,PRICE_CORR!F128))</f>
        <v>22.427773408587331</v>
      </c>
      <c r="H153" s="764">
        <f ca="1">IF($E$19="SAC",IF(SAC_CORR!$J128="Carencia",0,SAC_CORR!G128),IF(PRICE_CORR!$J128="Carencia",0,PRICE_CORR!G128))</f>
        <v>26.319999999999997</v>
      </c>
      <c r="I153" s="764">
        <f ca="1">IF($E$19="SAC",IF(SAC_CORR!$J128="Carencia",0,SAC_CORR!H128),IF(PRICE_CORR!$J128="Carencia",0,PRICE_CORR!H128))</f>
        <v>25</v>
      </c>
      <c r="J153" s="764">
        <f ca="1">IF($E$19="SAC",SAC_CORR!I128,PRICE_CORR!I128)</f>
        <v>1946.2888548402798</v>
      </c>
      <c r="K153" s="911"/>
      <c r="N153" s="765">
        <f t="shared" ca="1" si="5"/>
        <v>1946.2888548402798</v>
      </c>
      <c r="O153" s="766">
        <f t="shared" ca="1" si="3"/>
        <v>20.327018682357917</v>
      </c>
    </row>
    <row r="154" spans="2:15" ht="22.35" customHeight="1" thickTop="1" thickBot="1">
      <c r="B154" s="762">
        <f ca="1">IF($E$19="SAC",SAC_CORR!B129,PRICE_CORR!B129)</f>
        <v>48090</v>
      </c>
      <c r="C154" s="763">
        <f t="shared" ca="1" si="4"/>
        <v>1864.3531641554055</v>
      </c>
      <c r="D154" s="764">
        <f ca="1">IF($E$19="SAC",SAC_CORR!C129,PRICE_CORR!C129)</f>
        <v>889.99100827727909</v>
      </c>
      <c r="E154" s="764">
        <f ca="1">IF($E$19="SAC",IF(SAC_CORR!$J129="Carencia",0,SAC_CORR!D129),IF(PRICE_CORR!$J129="Carencia",0,PRICE_CORR!D129))</f>
        <v>974.36215587812637</v>
      </c>
      <c r="F154" s="764">
        <f ca="1">IF($E$19="SAC",SAC_CORR!E129,PRICE_CORR!E129)</f>
        <v>105018.93897671843</v>
      </c>
      <c r="G154" s="764">
        <f ca="1">IF($E$19="SAC",IF(SAC_CORR!$J129="Carencia",0,SAC_CORR!F129),IF(PRICE_CORR!$J129="Carencia",0,PRICE_CORR!F129))</f>
        <v>22.240875296849101</v>
      </c>
      <c r="H154" s="764">
        <f ca="1">IF($E$19="SAC",IF(SAC_CORR!$J129="Carencia",0,SAC_CORR!G129),IF(PRICE_CORR!$J129="Carencia",0,PRICE_CORR!G129))</f>
        <v>26.319999999999997</v>
      </c>
      <c r="I154" s="764">
        <f ca="1">IF($E$19="SAC",IF(SAC_CORR!$J129="Carencia",0,SAC_CORR!H129),IF(PRICE_CORR!$J129="Carencia",0,PRICE_CORR!H129))</f>
        <v>25</v>
      </c>
      <c r="J154" s="764">
        <f ca="1">IF($E$19="SAC",SAC_CORR!I129,PRICE_CORR!I129)</f>
        <v>1937.9140394522544</v>
      </c>
      <c r="K154" s="911"/>
      <c r="N154" s="765">
        <f t="shared" ca="1" si="5"/>
        <v>1937.9140394522544</v>
      </c>
      <c r="O154" s="766">
        <f t="shared" ca="1" si="3"/>
        <v>20.085308666863771</v>
      </c>
    </row>
    <row r="155" spans="2:15" ht="22.35" customHeight="1" thickTop="1" thickBot="1">
      <c r="B155" s="762">
        <f ca="1">IF($E$19="SAC",SAC_CORR!B130,PRICE_CORR!B130)</f>
        <v>48121</v>
      </c>
      <c r="C155" s="763">
        <f t="shared" ca="1" si="4"/>
        <v>1856.1652468791185</v>
      </c>
      <c r="D155" s="764">
        <f ca="1">IF($E$19="SAC",SAC_CORR!C130,PRICE_CORR!C130)</f>
        <v>889.99100827727909</v>
      </c>
      <c r="E155" s="764">
        <f ca="1">IF($E$19="SAC",IF(SAC_CORR!$J130="Carencia",0,SAC_CORR!D130),IF(PRICE_CORR!$J130="Carencia",0,PRICE_CORR!D130))</f>
        <v>966.17423860183953</v>
      </c>
      <c r="F155" s="764">
        <f ca="1">IF($E$19="SAC",SAC_CORR!E130,PRICE_CORR!E130)</f>
        <v>104128.94796844115</v>
      </c>
      <c r="G155" s="764">
        <f ca="1">IF($E$19="SAC",IF(SAC_CORR!$J130="Carencia",0,SAC_CORR!F130),IF(PRICE_CORR!$J130="Carencia",0,PRICE_CORR!F130))</f>
        <v>22.05397718511087</v>
      </c>
      <c r="H155" s="764">
        <f ca="1">IF($E$19="SAC",IF(SAC_CORR!$J130="Carencia",0,SAC_CORR!G130),IF(PRICE_CORR!$J130="Carencia",0,PRICE_CORR!G130))</f>
        <v>26.319999999999997</v>
      </c>
      <c r="I155" s="764">
        <f ca="1">IF($E$19="SAC",IF(SAC_CORR!$J130="Carencia",0,SAC_CORR!H130),IF(PRICE_CORR!$J130="Carencia",0,PRICE_CORR!H130))</f>
        <v>25</v>
      </c>
      <c r="J155" s="764">
        <f ca="1">IF($E$19="SAC",SAC_CORR!I130,PRICE_CORR!I130)</f>
        <v>1929.5392240642293</v>
      </c>
      <c r="K155" s="911"/>
      <c r="N155" s="765">
        <f t="shared" ca="1" si="5"/>
        <v>1929.5392240642293</v>
      </c>
      <c r="O155" s="766">
        <f t="shared" ca="1" si="3"/>
        <v>19.846178860643569</v>
      </c>
    </row>
    <row r="156" spans="2:15" ht="22.35" customHeight="1" thickTop="1" thickBot="1">
      <c r="B156" s="762">
        <f ca="1">IF($E$19="SAC",SAC_CORR!B131,PRICE_CORR!B131)</f>
        <v>48151</v>
      </c>
      <c r="C156" s="763">
        <f t="shared" ca="1" si="4"/>
        <v>1847.9773296028316</v>
      </c>
      <c r="D156" s="764">
        <f ca="1">IF($E$19="SAC",SAC_CORR!C131,PRICE_CORR!C131)</f>
        <v>889.99100827727909</v>
      </c>
      <c r="E156" s="764">
        <f ca="1">IF($E$19="SAC",IF(SAC_CORR!$J131="Carencia",0,SAC_CORR!D131),IF(PRICE_CORR!$J131="Carencia",0,PRICE_CORR!D131))</f>
        <v>957.98632132555258</v>
      </c>
      <c r="F156" s="764">
        <f ca="1">IF($E$19="SAC",SAC_CORR!E131,PRICE_CORR!E131)</f>
        <v>103238.95696016387</v>
      </c>
      <c r="G156" s="764">
        <f ca="1">IF($E$19="SAC",IF(SAC_CORR!$J131="Carencia",0,SAC_CORR!F131),IF(PRICE_CORR!$J131="Carencia",0,PRICE_CORR!F131))</f>
        <v>21.867079073372643</v>
      </c>
      <c r="H156" s="764">
        <f ca="1">IF($E$19="SAC",IF(SAC_CORR!$J131="Carencia",0,SAC_CORR!G131),IF(PRICE_CORR!$J131="Carencia",0,PRICE_CORR!G131))</f>
        <v>26.319999999999997</v>
      </c>
      <c r="I156" s="764">
        <f ca="1">IF($E$19="SAC",IF(SAC_CORR!$J131="Carencia",0,SAC_CORR!H131),IF(PRICE_CORR!$J131="Carencia",0,PRICE_CORR!H131))</f>
        <v>25</v>
      </c>
      <c r="J156" s="764">
        <f ca="1">IF($E$19="SAC",SAC_CORR!I131,PRICE_CORR!I131)</f>
        <v>1921.1644086762042</v>
      </c>
      <c r="K156" s="911"/>
      <c r="N156" s="765">
        <f t="shared" ca="1" si="5"/>
        <v>1921.1644086762042</v>
      </c>
      <c r="O156" s="766">
        <f t="shared" ca="1" si="3"/>
        <v>19.614741083979531</v>
      </c>
    </row>
    <row r="157" spans="2:15" ht="22.35" customHeight="1" thickTop="1" thickBot="1">
      <c r="B157" s="762">
        <f ca="1">IF($E$19="SAC",SAC_CORR!B132,PRICE_CORR!B132)</f>
        <v>48182</v>
      </c>
      <c r="C157" s="763">
        <f t="shared" ca="1" si="4"/>
        <v>1839.7894123265448</v>
      </c>
      <c r="D157" s="764">
        <f ca="1">IF($E$19="SAC",SAC_CORR!C132,PRICE_CORR!C132)</f>
        <v>889.99100827727909</v>
      </c>
      <c r="E157" s="764">
        <f ca="1">IF($E$19="SAC",IF(SAC_CORR!$J132="Carencia",0,SAC_CORR!D132),IF(PRICE_CORR!$J132="Carencia",0,PRICE_CORR!D132))</f>
        <v>949.79840404926574</v>
      </c>
      <c r="F157" s="764">
        <f ca="1">IF($E$19="SAC",SAC_CORR!E132,PRICE_CORR!E132)</f>
        <v>102348.96595188658</v>
      </c>
      <c r="G157" s="764">
        <f ca="1">IF($E$19="SAC",IF(SAC_CORR!$J132="Carencia",0,SAC_CORR!F132),IF(PRICE_CORR!$J132="Carencia",0,PRICE_CORR!F132))</f>
        <v>21.680180961634413</v>
      </c>
      <c r="H157" s="764">
        <f ca="1">IF($E$19="SAC",IF(SAC_CORR!$J132="Carencia",0,SAC_CORR!G132),IF(PRICE_CORR!$J132="Carencia",0,PRICE_CORR!G132))</f>
        <v>26.319999999999997</v>
      </c>
      <c r="I157" s="764">
        <f ca="1">IF($E$19="SAC",IF(SAC_CORR!$J132="Carencia",0,SAC_CORR!H132),IF(PRICE_CORR!$J132="Carencia",0,PRICE_CORR!H132))</f>
        <v>25</v>
      </c>
      <c r="J157" s="764">
        <f ca="1">IF($E$19="SAC",SAC_CORR!I132,PRICE_CORR!I132)</f>
        <v>1912.7895932881793</v>
      </c>
      <c r="K157" s="911"/>
      <c r="N157" s="765">
        <f t="shared" ca="1" si="5"/>
        <v>1912.7895932881793</v>
      </c>
      <c r="O157" s="766">
        <f t="shared" ca="1" si="3"/>
        <v>19.380632848407497</v>
      </c>
    </row>
    <row r="158" spans="2:15" ht="22.35" customHeight="1" thickTop="1" thickBot="1">
      <c r="B158" s="762">
        <f ca="1">IF($E$19="SAC",SAC_CORR!B133,PRICE_CORR!B133)</f>
        <v>48212</v>
      </c>
      <c r="C158" s="763">
        <f t="shared" ca="1" si="4"/>
        <v>1831.6014950502581</v>
      </c>
      <c r="D158" s="764">
        <f ca="1">IF($E$19="SAC",SAC_CORR!C133,PRICE_CORR!C133)</f>
        <v>889.99100827727909</v>
      </c>
      <c r="E158" s="764">
        <f ca="1">IF($E$19="SAC",IF(SAC_CORR!$J133="Carencia",0,SAC_CORR!D133),IF(PRICE_CORR!$J133="Carencia",0,PRICE_CORR!D133))</f>
        <v>941.6104867729789</v>
      </c>
      <c r="F158" s="764">
        <f ca="1">IF($E$19="SAC",SAC_CORR!E133,PRICE_CORR!E133)</f>
        <v>101458.9749436093</v>
      </c>
      <c r="G158" s="764">
        <f ca="1">IF($E$19="SAC",IF(SAC_CORR!$J133="Carencia",0,SAC_CORR!F133),IF(PRICE_CORR!$J133="Carencia",0,PRICE_CORR!F133))</f>
        <v>21.493282849896183</v>
      </c>
      <c r="H158" s="764">
        <f ca="1">IF($E$19="SAC",IF(SAC_CORR!$J133="Carencia",0,SAC_CORR!G133),IF(PRICE_CORR!$J133="Carencia",0,PRICE_CORR!G133))</f>
        <v>26.319999999999997</v>
      </c>
      <c r="I158" s="764">
        <f ca="1">IF($E$19="SAC",IF(SAC_CORR!$J133="Carencia",0,SAC_CORR!H133),IF(PRICE_CORR!$J133="Carencia",0,PRICE_CORR!H133))</f>
        <v>25</v>
      </c>
      <c r="J158" s="764">
        <f ca="1">IF($E$19="SAC",SAC_CORR!I133,PRICE_CORR!I133)</f>
        <v>1904.4147779001541</v>
      </c>
      <c r="K158" s="911"/>
      <c r="N158" s="765">
        <f t="shared" ca="1" si="5"/>
        <v>1904.4147779001541</v>
      </c>
      <c r="O158" s="766">
        <f t="shared" ca="1" si="3"/>
        <v>19.154045524426731</v>
      </c>
    </row>
    <row r="159" spans="2:15" ht="22.35" customHeight="1" thickTop="1" thickBot="1">
      <c r="B159" s="762">
        <f ca="1">IF($E$19="SAC",SAC_CORR!B134,PRICE_CORR!B134)</f>
        <v>48243</v>
      </c>
      <c r="C159" s="763">
        <f t="shared" ca="1" si="4"/>
        <v>1823.4135777739712</v>
      </c>
      <c r="D159" s="764">
        <f ca="1">IF($E$19="SAC",SAC_CORR!C134,PRICE_CORR!C134)</f>
        <v>889.99100827727909</v>
      </c>
      <c r="E159" s="764">
        <f ca="1">IF($E$19="SAC",IF(SAC_CORR!$J134="Carencia",0,SAC_CORR!D134),IF(PRICE_CORR!$J134="Carencia",0,PRICE_CORR!D134))</f>
        <v>933.42256949669206</v>
      </c>
      <c r="F159" s="764">
        <f ca="1">IF($E$19="SAC",SAC_CORR!E134,PRICE_CORR!E134)</f>
        <v>100568.98393533201</v>
      </c>
      <c r="G159" s="764">
        <f ca="1">IF($E$19="SAC",IF(SAC_CORR!$J134="Carencia",0,SAC_CORR!F134),IF(PRICE_CORR!$J134="Carencia",0,PRICE_CORR!F134))</f>
        <v>21.306384738157952</v>
      </c>
      <c r="H159" s="764">
        <f ca="1">IF($E$19="SAC",IF(SAC_CORR!$J134="Carencia",0,SAC_CORR!G134),IF(PRICE_CORR!$J134="Carencia",0,PRICE_CORR!G134))</f>
        <v>26.319999999999997</v>
      </c>
      <c r="I159" s="764">
        <f ca="1">IF($E$19="SAC",IF(SAC_CORR!$J134="Carencia",0,SAC_CORR!H134),IF(PRICE_CORR!$J134="Carencia",0,PRICE_CORR!H134))</f>
        <v>25</v>
      </c>
      <c r="J159" s="764">
        <f ca="1">IF($E$19="SAC",SAC_CORR!I134,PRICE_CORR!I134)</f>
        <v>1896.039962512129</v>
      </c>
      <c r="K159" s="911"/>
      <c r="N159" s="765">
        <f t="shared" ca="1" si="5"/>
        <v>1896.039962512129</v>
      </c>
      <c r="O159" s="766">
        <f t="shared" ca="1" si="3"/>
        <v>18.924859743120706</v>
      </c>
    </row>
    <row r="160" spans="2:15" ht="22.35" customHeight="1" thickTop="1" thickBot="1">
      <c r="B160" s="762">
        <f ca="1">IF($E$19="SAC",SAC_CORR!B135,PRICE_CORR!B135)</f>
        <v>48273</v>
      </c>
      <c r="C160" s="763">
        <f t="shared" ca="1" si="4"/>
        <v>1815.2256604976842</v>
      </c>
      <c r="D160" s="764">
        <f ca="1">IF($E$19="SAC",SAC_CORR!C135,PRICE_CORR!C135)</f>
        <v>889.99100827727909</v>
      </c>
      <c r="E160" s="764">
        <f ca="1">IF($E$19="SAC",IF(SAC_CORR!$J135="Carencia",0,SAC_CORR!D135),IF(PRICE_CORR!$J135="Carencia",0,PRICE_CORR!D135))</f>
        <v>925.23465222040522</v>
      </c>
      <c r="F160" s="764">
        <f ca="1">IF($E$19="SAC",SAC_CORR!E135,PRICE_CORR!E135)</f>
        <v>99678.992927054729</v>
      </c>
      <c r="G160" s="764">
        <f ca="1">IF($E$19="SAC",IF(SAC_CORR!$J135="Carencia",0,SAC_CORR!F135),IF(PRICE_CORR!$J135="Carencia",0,PRICE_CORR!F135))</f>
        <v>21.119486626419725</v>
      </c>
      <c r="H160" s="764">
        <f ca="1">IF($E$19="SAC",IF(SAC_CORR!$J135="Carencia",0,SAC_CORR!G135),IF(PRICE_CORR!$J135="Carencia",0,PRICE_CORR!G135))</f>
        <v>26.319999999999997</v>
      </c>
      <c r="I160" s="764">
        <f ca="1">IF($E$19="SAC",IF(SAC_CORR!$J135="Carencia",0,SAC_CORR!H135),IF(PRICE_CORR!$J135="Carencia",0,PRICE_CORR!H135))</f>
        <v>25</v>
      </c>
      <c r="J160" s="764">
        <f ca="1">IF($E$19="SAC",SAC_CORR!I135,PRICE_CORR!I135)</f>
        <v>1887.6651471241039</v>
      </c>
      <c r="K160" s="911"/>
      <c r="N160" s="765">
        <f t="shared" ca="1" si="5"/>
        <v>1887.6651471241039</v>
      </c>
      <c r="O160" s="766">
        <f t="shared" ca="1" si="3"/>
        <v>18.703027247764552</v>
      </c>
    </row>
    <row r="161" spans="2:15" ht="22.35" customHeight="1" thickTop="1" thickBot="1">
      <c r="B161" s="762">
        <f ca="1">IF($E$19="SAC",SAC_CORR!B136,PRICE_CORR!B136)</f>
        <v>48303</v>
      </c>
      <c r="C161" s="763">
        <f t="shared" ca="1" si="4"/>
        <v>1807.0377432213972</v>
      </c>
      <c r="D161" s="764">
        <f ca="1">IF($E$19="SAC",SAC_CORR!C136,PRICE_CORR!C136)</f>
        <v>889.99100827727909</v>
      </c>
      <c r="E161" s="764">
        <f ca="1">IF($E$19="SAC",IF(SAC_CORR!$J136="Carencia",0,SAC_CORR!D136),IF(PRICE_CORR!$J136="Carencia",0,PRICE_CORR!D136))</f>
        <v>917.04673494411827</v>
      </c>
      <c r="F161" s="764">
        <f ca="1">IF($E$19="SAC",SAC_CORR!E136,PRICE_CORR!E136)</f>
        <v>98789.001918777445</v>
      </c>
      <c r="G161" s="764">
        <f ca="1">IF($E$19="SAC",IF(SAC_CORR!$J136="Carencia",0,SAC_CORR!F136),IF(PRICE_CORR!$J136="Carencia",0,PRICE_CORR!F136))</f>
        <v>20.932588514681495</v>
      </c>
      <c r="H161" s="764">
        <f ca="1">IF($E$19="SAC",IF(SAC_CORR!$J136="Carencia",0,SAC_CORR!G136),IF(PRICE_CORR!$J136="Carencia",0,PRICE_CORR!G136))</f>
        <v>26.319999999999997</v>
      </c>
      <c r="I161" s="764">
        <f ca="1">IF($E$19="SAC",IF(SAC_CORR!$J136="Carencia",0,SAC_CORR!H136),IF(PRICE_CORR!$J136="Carencia",0,PRICE_CORR!H136))</f>
        <v>25</v>
      </c>
      <c r="J161" s="764">
        <f ca="1">IF($E$19="SAC",SAC_CORR!I136,PRICE_CORR!I136)</f>
        <v>1879.2903317360788</v>
      </c>
      <c r="K161" s="911"/>
      <c r="N161" s="765">
        <f t="shared" ca="1" si="5"/>
        <v>1879.2903317360788</v>
      </c>
      <c r="O161" s="766">
        <f t="shared" ca="1" si="3"/>
        <v>18.483508124004221</v>
      </c>
    </row>
    <row r="162" spans="2:15" ht="22.35" customHeight="1" thickTop="1" thickBot="1">
      <c r="B162" s="762">
        <f ca="1">IF($E$19="SAC",SAC_CORR!B137,PRICE_CORR!B137)</f>
        <v>48334</v>
      </c>
      <c r="C162" s="763">
        <f t="shared" ca="1" si="4"/>
        <v>1798.8498259451105</v>
      </c>
      <c r="D162" s="764">
        <f ca="1">IF($E$19="SAC",SAC_CORR!C137,PRICE_CORR!C137)</f>
        <v>889.99100827727909</v>
      </c>
      <c r="E162" s="764">
        <f ca="1">IF($E$19="SAC",IF(SAC_CORR!$J137="Carencia",0,SAC_CORR!D137),IF(PRICE_CORR!$J137="Carencia",0,PRICE_CORR!D137))</f>
        <v>908.85881766783143</v>
      </c>
      <c r="F162" s="764">
        <f ca="1">IF($E$19="SAC",SAC_CORR!E137,PRICE_CORR!E137)</f>
        <v>97899.010910500161</v>
      </c>
      <c r="G162" s="764">
        <f ca="1">IF($E$19="SAC",IF(SAC_CORR!$J137="Carencia",0,SAC_CORR!F137),IF(PRICE_CORR!$J137="Carencia",0,PRICE_CORR!F137))</f>
        <v>20.745690402943264</v>
      </c>
      <c r="H162" s="764">
        <f ca="1">IF($E$19="SAC",IF(SAC_CORR!$J137="Carencia",0,SAC_CORR!G137),IF(PRICE_CORR!$J137="Carencia",0,PRICE_CORR!G137))</f>
        <v>26.319999999999997</v>
      </c>
      <c r="I162" s="764">
        <f ca="1">IF($E$19="SAC",IF(SAC_CORR!$J137="Carencia",0,SAC_CORR!H137),IF(PRICE_CORR!$J137="Carencia",0,PRICE_CORR!H137))</f>
        <v>25</v>
      </c>
      <c r="J162" s="764">
        <f ca="1">IF($E$19="SAC",SAC_CORR!I137,PRICE_CORR!I137)</f>
        <v>1870.9155163480536</v>
      </c>
      <c r="K162" s="911"/>
      <c r="N162" s="765">
        <f t="shared" ca="1" si="5"/>
        <v>1870.9155163480536</v>
      </c>
      <c r="O162" s="766">
        <f t="shared" ca="1" si="3"/>
        <v>18.261495206979102</v>
      </c>
    </row>
    <row r="163" spans="2:15" ht="22.35" customHeight="1" thickTop="1" thickBot="1">
      <c r="B163" s="762">
        <f ca="1">IF($E$19="SAC",SAC_CORR!B138,PRICE_CORR!B138)</f>
        <v>48364</v>
      </c>
      <c r="C163" s="763">
        <f t="shared" ca="1" si="4"/>
        <v>1790.6619086688238</v>
      </c>
      <c r="D163" s="764">
        <f ca="1">IF($E$19="SAC",SAC_CORR!C138,PRICE_CORR!C138)</f>
        <v>889.99100827727909</v>
      </c>
      <c r="E163" s="764">
        <f ca="1">IF($E$19="SAC",IF(SAC_CORR!$J138="Carencia",0,SAC_CORR!D138),IF(PRICE_CORR!$J138="Carencia",0,PRICE_CORR!D138))</f>
        <v>900.67090039154459</v>
      </c>
      <c r="F163" s="764">
        <f ca="1">IF($E$19="SAC",SAC_CORR!E138,PRICE_CORR!E138)</f>
        <v>97009.019902222877</v>
      </c>
      <c r="G163" s="764">
        <f ca="1">IF($E$19="SAC",IF(SAC_CORR!$J138="Carencia",0,SAC_CORR!F138),IF(PRICE_CORR!$J138="Carencia",0,PRICE_CORR!F138))</f>
        <v>20.558792291205034</v>
      </c>
      <c r="H163" s="764">
        <f ca="1">IF($E$19="SAC",IF(SAC_CORR!$J138="Carencia",0,SAC_CORR!G138),IF(PRICE_CORR!$J138="Carencia",0,PRICE_CORR!G138))</f>
        <v>26.319999999999997</v>
      </c>
      <c r="I163" s="764">
        <f ca="1">IF($E$19="SAC",IF(SAC_CORR!$J138="Carencia",0,SAC_CORR!H138),IF(PRICE_CORR!$J138="Carencia",0,PRICE_CORR!H138))</f>
        <v>25</v>
      </c>
      <c r="J163" s="764">
        <f ca="1">IF($E$19="SAC",SAC_CORR!I138,PRICE_CORR!I138)</f>
        <v>1862.5407009600287</v>
      </c>
      <c r="K163" s="911"/>
      <c r="N163" s="765">
        <f t="shared" ca="1" si="5"/>
        <v>1862.5407009600287</v>
      </c>
      <c r="O163" s="766">
        <f t="shared" ca="1" si="3"/>
        <v>18.046591468877725</v>
      </c>
    </row>
    <row r="164" spans="2:15" ht="22.35" customHeight="1" thickTop="1" thickBot="1">
      <c r="B164" s="762">
        <f ca="1">IF($E$19="SAC",SAC_CORR!B139,PRICE_CORR!B139)</f>
        <v>48395</v>
      </c>
      <c r="C164" s="763">
        <f t="shared" ca="1" si="4"/>
        <v>1782.4739913925368</v>
      </c>
      <c r="D164" s="764">
        <f ca="1">IF($E$19="SAC",SAC_CORR!C139,PRICE_CORR!C139)</f>
        <v>889.99100827727909</v>
      </c>
      <c r="E164" s="764">
        <f ca="1">IF($E$19="SAC",IF(SAC_CORR!$J139="Carencia",0,SAC_CORR!D139),IF(PRICE_CORR!$J139="Carencia",0,PRICE_CORR!D139))</f>
        <v>892.48298311525775</v>
      </c>
      <c r="F164" s="764">
        <f ca="1">IF($E$19="SAC",SAC_CORR!E139,PRICE_CORR!E139)</f>
        <v>96119.028893945593</v>
      </c>
      <c r="G164" s="764">
        <f ca="1">IF($E$19="SAC",IF(SAC_CORR!$J139="Carencia",0,SAC_CORR!F139),IF(PRICE_CORR!$J139="Carencia",0,PRICE_CORR!F139))</f>
        <v>20.371894179466803</v>
      </c>
      <c r="H164" s="764">
        <f ca="1">IF($E$19="SAC",IF(SAC_CORR!$J139="Carencia",0,SAC_CORR!G139),IF(PRICE_CORR!$J139="Carencia",0,PRICE_CORR!G139))</f>
        <v>26.319999999999997</v>
      </c>
      <c r="I164" s="764">
        <f ca="1">IF($E$19="SAC",IF(SAC_CORR!$J139="Carencia",0,SAC_CORR!H139),IF(PRICE_CORR!$J139="Carencia",0,PRICE_CORR!H139))</f>
        <v>25</v>
      </c>
      <c r="J164" s="764">
        <f ca="1">IF($E$19="SAC",SAC_CORR!I139,PRICE_CORR!I139)</f>
        <v>1854.1658855720036</v>
      </c>
      <c r="K164" s="911"/>
      <c r="N164" s="765">
        <f t="shared" ca="1" si="5"/>
        <v>1854.1658855720036</v>
      </c>
      <c r="O164" s="766">
        <f t="shared" ca="1" si="3"/>
        <v>17.829261980321348</v>
      </c>
    </row>
    <row r="165" spans="2:15" ht="22.35" customHeight="1" thickTop="1" thickBot="1">
      <c r="B165" s="762">
        <f ca="1">IF($E$19="SAC",SAC_CORR!B140,PRICE_CORR!B140)</f>
        <v>48425</v>
      </c>
      <c r="C165" s="763">
        <f t="shared" ca="1" si="4"/>
        <v>1774.2860741162499</v>
      </c>
      <c r="D165" s="764">
        <f ca="1">IF($E$19="SAC",SAC_CORR!C140,PRICE_CORR!C140)</f>
        <v>889.99100827727909</v>
      </c>
      <c r="E165" s="764">
        <f ca="1">IF($E$19="SAC",IF(SAC_CORR!$J140="Carencia",0,SAC_CORR!D140),IF(PRICE_CORR!$J140="Carencia",0,PRICE_CORR!D140))</f>
        <v>884.29506583897091</v>
      </c>
      <c r="F165" s="764">
        <f ca="1">IF($E$19="SAC",SAC_CORR!E140,PRICE_CORR!E140)</f>
        <v>95229.037885668309</v>
      </c>
      <c r="G165" s="764">
        <f ca="1">IF($E$19="SAC",IF(SAC_CORR!$J140="Carencia",0,SAC_CORR!F140),IF(PRICE_CORR!$J140="Carencia",0,PRICE_CORR!F140))</f>
        <v>20.184996067728576</v>
      </c>
      <c r="H165" s="764">
        <f ca="1">IF($E$19="SAC",IF(SAC_CORR!$J140="Carencia",0,SAC_CORR!G140),IF(PRICE_CORR!$J140="Carencia",0,PRICE_CORR!G140))</f>
        <v>26.319999999999997</v>
      </c>
      <c r="I165" s="764">
        <f ca="1">IF($E$19="SAC",IF(SAC_CORR!$J140="Carencia",0,SAC_CORR!H140),IF(PRICE_CORR!$J140="Carencia",0,PRICE_CORR!H140))</f>
        <v>25</v>
      </c>
      <c r="J165" s="764">
        <f ca="1">IF($E$19="SAC",SAC_CORR!I140,PRICE_CORR!I140)</f>
        <v>1845.7910701839785</v>
      </c>
      <c r="K165" s="911"/>
      <c r="N165" s="765">
        <f t="shared" ca="1" si="5"/>
        <v>1845.7910701839785</v>
      </c>
      <c r="O165" s="766">
        <f t="shared" ca="1" si="3"/>
        <v>17.618882461487772</v>
      </c>
    </row>
    <row r="166" spans="2:15" ht="22.35" customHeight="1" thickTop="1" thickBot="1">
      <c r="B166" s="762">
        <f ca="1">IF($E$19="SAC",SAC_CORR!B141,PRICE_CORR!B141)</f>
        <v>48456</v>
      </c>
      <c r="C166" s="763">
        <f t="shared" ca="1" si="4"/>
        <v>1766.0981568399632</v>
      </c>
      <c r="D166" s="764">
        <f ca="1">IF($E$19="SAC",SAC_CORR!C141,PRICE_CORR!C141)</f>
        <v>889.99100827727909</v>
      </c>
      <c r="E166" s="764">
        <f ca="1">IF($E$19="SAC",IF(SAC_CORR!$J141="Carencia",0,SAC_CORR!D141),IF(PRICE_CORR!$J141="Carencia",0,PRICE_CORR!D141))</f>
        <v>876.10714856268407</v>
      </c>
      <c r="F166" s="764">
        <f ca="1">IF($E$19="SAC",SAC_CORR!E141,PRICE_CORR!E141)</f>
        <v>94339.046877391025</v>
      </c>
      <c r="G166" s="764">
        <f ca="1">IF($E$19="SAC",IF(SAC_CORR!$J141="Carencia",0,SAC_CORR!F141),IF(PRICE_CORR!$J141="Carencia",0,PRICE_CORR!F141))</f>
        <v>19.998097955990346</v>
      </c>
      <c r="H166" s="764">
        <f ca="1">IF($E$19="SAC",IF(SAC_CORR!$J141="Carencia",0,SAC_CORR!G141),IF(PRICE_CORR!$J141="Carencia",0,PRICE_CORR!G141))</f>
        <v>26.319999999999997</v>
      </c>
      <c r="I166" s="764">
        <f ca="1">IF($E$19="SAC",IF(SAC_CORR!$J141="Carencia",0,SAC_CORR!H141),IF(PRICE_CORR!$J141="Carencia",0,PRICE_CORR!H141))</f>
        <v>25</v>
      </c>
      <c r="J166" s="764">
        <f ca="1">IF($E$19="SAC",SAC_CORR!I141,PRICE_CORR!I141)</f>
        <v>1837.4162547959534</v>
      </c>
      <c r="K166" s="911"/>
      <c r="N166" s="765">
        <f t="shared" ca="1" si="5"/>
        <v>1837.4162547959534</v>
      </c>
      <c r="O166" s="766">
        <f t="shared" ca="1" si="3"/>
        <v>17.40614370437795</v>
      </c>
    </row>
    <row r="167" spans="2:15" ht="22.35" customHeight="1" thickTop="1" thickBot="1">
      <c r="B167" s="762">
        <f ca="1">IF($E$19="SAC",SAC_CORR!B142,PRICE_CORR!B142)</f>
        <v>48487</v>
      </c>
      <c r="C167" s="763">
        <f t="shared" ca="1" si="4"/>
        <v>1757.9102395636762</v>
      </c>
      <c r="D167" s="764">
        <f ca="1">IF($E$19="SAC",SAC_CORR!C142,PRICE_CORR!C142)</f>
        <v>889.99100827727909</v>
      </c>
      <c r="E167" s="764">
        <f ca="1">IF($E$19="SAC",IF(SAC_CORR!$J142="Carencia",0,SAC_CORR!D142),IF(PRICE_CORR!$J142="Carencia",0,PRICE_CORR!D142))</f>
        <v>867.91923128639712</v>
      </c>
      <c r="F167" s="764">
        <f ca="1">IF($E$19="SAC",SAC_CORR!E142,PRICE_CORR!E142)</f>
        <v>93449.055869113741</v>
      </c>
      <c r="G167" s="764">
        <f ca="1">IF($E$19="SAC",IF(SAC_CORR!$J142="Carencia",0,SAC_CORR!F142),IF(PRICE_CORR!$J142="Carencia",0,PRICE_CORR!F142))</f>
        <v>19.811199844252116</v>
      </c>
      <c r="H167" s="764">
        <f ca="1">IF($E$19="SAC",IF(SAC_CORR!$J142="Carencia",0,SAC_CORR!G142),IF(PRICE_CORR!$J142="Carencia",0,PRICE_CORR!G142))</f>
        <v>26.319999999999997</v>
      </c>
      <c r="I167" s="764">
        <f ca="1">IF($E$19="SAC",IF(SAC_CORR!$J142="Carencia",0,SAC_CORR!H142),IF(PRICE_CORR!$J142="Carencia",0,PRICE_CORR!H142))</f>
        <v>25</v>
      </c>
      <c r="J167" s="764">
        <f ca="1">IF($E$19="SAC",SAC_CORR!I142,PRICE_CORR!I142)</f>
        <v>1829.0414394079282</v>
      </c>
      <c r="K167" s="911"/>
      <c r="N167" s="765">
        <f t="shared" ca="1" si="5"/>
        <v>1829.0414394079282</v>
      </c>
      <c r="O167" s="766">
        <f t="shared" ca="1" si="3"/>
        <v>17.195693670830373</v>
      </c>
    </row>
    <row r="168" spans="2:15" ht="22.35" customHeight="1" thickTop="1" thickBot="1">
      <c r="B168" s="762">
        <f ca="1">IF($E$19="SAC",SAC_CORR!B143,PRICE_CORR!B143)</f>
        <v>48517</v>
      </c>
      <c r="C168" s="763">
        <f t="shared" ca="1" si="4"/>
        <v>1749.7223222873895</v>
      </c>
      <c r="D168" s="764">
        <f ca="1">IF($E$19="SAC",SAC_CORR!C143,PRICE_CORR!C143)</f>
        <v>889.99100827727909</v>
      </c>
      <c r="E168" s="764">
        <f ca="1">IF($E$19="SAC",IF(SAC_CORR!$J143="Carencia",0,SAC_CORR!D143),IF(PRICE_CORR!$J143="Carencia",0,PRICE_CORR!D143))</f>
        <v>859.73131401011028</v>
      </c>
      <c r="F168" s="764">
        <f ca="1">IF($E$19="SAC",SAC_CORR!E143,PRICE_CORR!E143)</f>
        <v>92559.064860836457</v>
      </c>
      <c r="G168" s="764">
        <f ca="1">IF($E$19="SAC",IF(SAC_CORR!$J143="Carencia",0,SAC_CORR!F143),IF(PRICE_CORR!$J143="Carencia",0,PRICE_CORR!F143))</f>
        <v>19.624301732513885</v>
      </c>
      <c r="H168" s="764">
        <f ca="1">IF($E$19="SAC",IF(SAC_CORR!$J143="Carencia",0,SAC_CORR!G143),IF(PRICE_CORR!$J143="Carencia",0,PRICE_CORR!G143))</f>
        <v>26.319999999999997</v>
      </c>
      <c r="I168" s="764">
        <f ca="1">IF($E$19="SAC",IF(SAC_CORR!$J143="Carencia",0,SAC_CORR!H143),IF(PRICE_CORR!$J143="Carencia",0,PRICE_CORR!H143))</f>
        <v>25</v>
      </c>
      <c r="J168" s="764">
        <f ca="1">IF($E$19="SAC",SAC_CORR!I143,PRICE_CORR!I143)</f>
        <v>1820.6666240199033</v>
      </c>
      <c r="K168" s="911"/>
      <c r="N168" s="765">
        <f t="shared" ca="1" si="5"/>
        <v>1820.6666240199033</v>
      </c>
      <c r="O168" s="766">
        <f t="shared" ca="1" si="3"/>
        <v>16.991960008353036</v>
      </c>
    </row>
    <row r="169" spans="2:15" ht="22.35" customHeight="1" thickTop="1" thickBot="1">
      <c r="B169" s="762">
        <f ca="1">IF($E$19="SAC",SAC_CORR!B144,PRICE_CORR!B144)</f>
        <v>48548</v>
      </c>
      <c r="C169" s="763">
        <f t="shared" ca="1" si="4"/>
        <v>1741.5344050111025</v>
      </c>
      <c r="D169" s="764">
        <f ca="1">IF($E$19="SAC",SAC_CORR!C144,PRICE_CORR!C144)</f>
        <v>889.99100827727909</v>
      </c>
      <c r="E169" s="764">
        <f ca="1">IF($E$19="SAC",IF(SAC_CORR!$J144="Carencia",0,SAC_CORR!D144),IF(PRICE_CORR!$J144="Carencia",0,PRICE_CORR!D144))</f>
        <v>851.54339673382344</v>
      </c>
      <c r="F169" s="764">
        <f ca="1">IF($E$19="SAC",SAC_CORR!E144,PRICE_CORR!E144)</f>
        <v>91669.073852559173</v>
      </c>
      <c r="G169" s="764">
        <f ca="1">IF($E$19="SAC",IF(SAC_CORR!$J144="Carencia",0,SAC_CORR!F144),IF(PRICE_CORR!$J144="Carencia",0,PRICE_CORR!F144))</f>
        <v>19.437403620775658</v>
      </c>
      <c r="H169" s="764">
        <f ca="1">IF($E$19="SAC",IF(SAC_CORR!$J144="Carencia",0,SAC_CORR!G144),IF(PRICE_CORR!$J144="Carencia",0,PRICE_CORR!G144))</f>
        <v>26.319999999999997</v>
      </c>
      <c r="I169" s="764">
        <f ca="1">IF($E$19="SAC",IF(SAC_CORR!$J144="Carencia",0,SAC_CORR!H144),IF(PRICE_CORR!$J144="Carencia",0,PRICE_CORR!H144))</f>
        <v>25</v>
      </c>
      <c r="J169" s="764">
        <f ca="1">IF($E$19="SAC",SAC_CORR!I144,PRICE_CORR!I144)</f>
        <v>1812.2918086318782</v>
      </c>
      <c r="K169" s="911"/>
      <c r="N169" s="765">
        <f t="shared" ca="1" si="5"/>
        <v>1812.2918086318782</v>
      </c>
      <c r="O169" s="766">
        <f t="shared" ca="1" si="3"/>
        <v>16.785964370820601</v>
      </c>
    </row>
    <row r="170" spans="2:15" ht="22.35" customHeight="1" thickTop="1" thickBot="1">
      <c r="B170" s="762">
        <f ca="1">IF($E$19="SAC",SAC_CORR!B145,PRICE_CORR!B145)</f>
        <v>48578</v>
      </c>
      <c r="C170" s="763">
        <f t="shared" ca="1" si="4"/>
        <v>1733.3464877348156</v>
      </c>
      <c r="D170" s="764">
        <f ca="1">IF($E$19="SAC",SAC_CORR!C145,PRICE_CORR!C145)</f>
        <v>889.99100827727909</v>
      </c>
      <c r="E170" s="764">
        <f ca="1">IF($E$19="SAC",IF(SAC_CORR!$J145="Carencia",0,SAC_CORR!D145),IF(PRICE_CORR!$J145="Carencia",0,PRICE_CORR!D145))</f>
        <v>843.3554794575366</v>
      </c>
      <c r="F170" s="764">
        <f ca="1">IF($E$19="SAC",SAC_CORR!E145,PRICE_CORR!E145)</f>
        <v>90779.082844281889</v>
      </c>
      <c r="G170" s="764">
        <f ca="1">IF($E$19="SAC",IF(SAC_CORR!$J145="Carencia",0,SAC_CORR!F145),IF(PRICE_CORR!$J145="Carencia",0,PRICE_CORR!F145))</f>
        <v>19.250505509037428</v>
      </c>
      <c r="H170" s="764">
        <f ca="1">IF($E$19="SAC",IF(SAC_CORR!$J145="Carencia",0,SAC_CORR!G145),IF(PRICE_CORR!$J145="Carencia",0,PRICE_CORR!G145))</f>
        <v>26.319999999999997</v>
      </c>
      <c r="I170" s="764">
        <f ca="1">IF($E$19="SAC",IF(SAC_CORR!$J145="Carencia",0,SAC_CORR!H145),IF(PRICE_CORR!$J145="Carencia",0,PRICE_CORR!H145))</f>
        <v>25</v>
      </c>
      <c r="J170" s="764">
        <f ca="1">IF($E$19="SAC",SAC_CORR!I145,PRICE_CORR!I145)</f>
        <v>1803.9169932438529</v>
      </c>
      <c r="K170" s="911"/>
      <c r="N170" s="765">
        <f t="shared" ca="1" si="5"/>
        <v>1803.9169932438529</v>
      </c>
      <c r="O170" s="766">
        <f t="shared" ca="1" si="3"/>
        <v>16.586533949539412</v>
      </c>
    </row>
    <row r="171" spans="2:15" ht="22.35" customHeight="1" thickTop="1" thickBot="1">
      <c r="B171" s="762">
        <f ca="1">IF($E$19="SAC",SAC_CORR!B146,PRICE_CORR!B146)</f>
        <v>48609</v>
      </c>
      <c r="C171" s="763">
        <f t="shared" ca="1" si="4"/>
        <v>1725.1585704585289</v>
      </c>
      <c r="D171" s="764">
        <f ca="1">IF($E$19="SAC",SAC_CORR!C146,PRICE_CORR!C146)</f>
        <v>889.99100827727909</v>
      </c>
      <c r="E171" s="764">
        <f ca="1">IF($E$19="SAC",IF(SAC_CORR!$J146="Carencia",0,SAC_CORR!D146),IF(PRICE_CORR!$J146="Carencia",0,PRICE_CORR!D146))</f>
        <v>835.16756218124976</v>
      </c>
      <c r="F171" s="764">
        <f ca="1">IF($E$19="SAC",SAC_CORR!E146,PRICE_CORR!E146)</f>
        <v>89889.091836004605</v>
      </c>
      <c r="G171" s="764">
        <f ca="1">IF($E$19="SAC",IF(SAC_CORR!$J146="Carencia",0,SAC_CORR!F146),IF(PRICE_CORR!$J146="Carencia",0,PRICE_CORR!F146))</f>
        <v>19.063607397299197</v>
      </c>
      <c r="H171" s="764">
        <f ca="1">IF($E$19="SAC",IF(SAC_CORR!$J146="Carencia",0,SAC_CORR!G146),IF(PRICE_CORR!$J146="Carencia",0,PRICE_CORR!G146))</f>
        <v>26.319999999999997</v>
      </c>
      <c r="I171" s="764">
        <f ca="1">IF($E$19="SAC",IF(SAC_CORR!$J146="Carencia",0,SAC_CORR!H146),IF(PRICE_CORR!$J146="Carencia",0,PRICE_CORR!H146))</f>
        <v>25</v>
      </c>
      <c r="J171" s="764">
        <f ca="1">IF($E$19="SAC",SAC_CORR!I146,PRICE_CORR!I146)</f>
        <v>1795.542177855828</v>
      </c>
      <c r="K171" s="911"/>
      <c r="N171" s="765">
        <f t="shared" ca="1" si="5"/>
        <v>1795.542177855828</v>
      </c>
      <c r="O171" s="766">
        <f t="shared" ref="O171:O223" ca="1" si="6">(G171+H171)/(1.008)^(12*(B171-$B$43)/365)</f>
        <v>16.384904366746461</v>
      </c>
    </row>
    <row r="172" spans="2:15" ht="22.35" customHeight="1" thickTop="1" thickBot="1">
      <c r="B172" s="762">
        <f ca="1">IF($E$19="SAC",SAC_CORR!B147,PRICE_CORR!B147)</f>
        <v>48638</v>
      </c>
      <c r="C172" s="763">
        <f t="shared" ref="C172:C235" ca="1" si="7">IFERROR(D172+E172,"")</f>
        <v>1716.9706531822421</v>
      </c>
      <c r="D172" s="764">
        <f ca="1">IF($E$19="SAC",SAC_CORR!C147,PRICE_CORR!C147)</f>
        <v>889.99100827727909</v>
      </c>
      <c r="E172" s="764">
        <f ca="1">IF($E$19="SAC",IF(SAC_CORR!$J147="Carencia",0,SAC_CORR!D147),IF(PRICE_CORR!$J147="Carencia",0,PRICE_CORR!D147))</f>
        <v>826.97964490496292</v>
      </c>
      <c r="F172" s="764">
        <f ca="1">IF($E$19="SAC",SAC_CORR!E147,PRICE_CORR!E147)</f>
        <v>88999.100827727321</v>
      </c>
      <c r="G172" s="764">
        <f ca="1">IF($E$19="SAC",IF(SAC_CORR!$J147="Carencia",0,SAC_CORR!F147),IF(PRICE_CORR!$J147="Carencia",0,PRICE_CORR!F147))</f>
        <v>18.876709285560967</v>
      </c>
      <c r="H172" s="764">
        <f ca="1">IF($E$19="SAC",IF(SAC_CORR!$J147="Carencia",0,SAC_CORR!G147),IF(PRICE_CORR!$J147="Carencia",0,PRICE_CORR!G147))</f>
        <v>26.319999999999997</v>
      </c>
      <c r="I172" s="764">
        <f ca="1">IF($E$19="SAC",IF(SAC_CORR!$J147="Carencia",0,SAC_CORR!H147),IF(PRICE_CORR!$J147="Carencia",0,PRICE_CORR!H147))</f>
        <v>25</v>
      </c>
      <c r="J172" s="764">
        <f ca="1">IF($E$19="SAC",SAC_CORR!I147,PRICE_CORR!I147)</f>
        <v>1787.1673624678031</v>
      </c>
      <c r="K172" s="911"/>
      <c r="N172" s="765">
        <f t="shared" ca="1" si="5"/>
        <v>1787.1673624678031</v>
      </c>
      <c r="O172" s="766">
        <f t="shared" ca="1" si="6"/>
        <v>16.193933674144542</v>
      </c>
    </row>
    <row r="173" spans="2:15" ht="22.35" customHeight="1" thickTop="1" thickBot="1">
      <c r="B173" s="762">
        <f ca="1">IF($E$19="SAC",SAC_CORR!B148,PRICE_CORR!B148)</f>
        <v>48668</v>
      </c>
      <c r="C173" s="763">
        <f t="shared" ca="1" si="7"/>
        <v>1708.7827359059552</v>
      </c>
      <c r="D173" s="764">
        <f ca="1">IF($E$19="SAC",SAC_CORR!C148,PRICE_CORR!C148)</f>
        <v>889.99100827727909</v>
      </c>
      <c r="E173" s="764">
        <f ca="1">IF($E$19="SAC",IF(SAC_CORR!$J148="Carencia",0,SAC_CORR!D148),IF(PRICE_CORR!$J148="Carencia",0,PRICE_CORR!D148))</f>
        <v>818.79172762867597</v>
      </c>
      <c r="F173" s="764">
        <f ca="1">IF($E$19="SAC",SAC_CORR!E148,PRICE_CORR!E148)</f>
        <v>88109.109819450037</v>
      </c>
      <c r="G173" s="764">
        <f ca="1">IF($E$19="SAC",IF(SAC_CORR!$J148="Carencia",0,SAC_CORR!F148),IF(PRICE_CORR!$J148="Carencia",0,PRICE_CORR!F148))</f>
        <v>18.68981117382274</v>
      </c>
      <c r="H173" s="764">
        <f ca="1">IF($E$19="SAC",IF(SAC_CORR!$J148="Carencia",0,SAC_CORR!G148),IF(PRICE_CORR!$J148="Carencia",0,PRICE_CORR!G148))</f>
        <v>26.319999999999997</v>
      </c>
      <c r="I173" s="764">
        <f ca="1">IF($E$19="SAC",IF(SAC_CORR!$J148="Carencia",0,SAC_CORR!H148),IF(PRICE_CORR!$J148="Carencia",0,PRICE_CORR!H148))</f>
        <v>25</v>
      </c>
      <c r="J173" s="764">
        <f ca="1">IF($E$19="SAC",SAC_CORR!I148,PRICE_CORR!I148)</f>
        <v>1778.7925470797779</v>
      </c>
      <c r="K173" s="911"/>
      <c r="N173" s="765">
        <f t="shared" ref="N173:N236" ca="1" si="8">J173</f>
        <v>1778.7925470797779</v>
      </c>
      <c r="O173" s="766">
        <f t="shared" ca="1" si="6"/>
        <v>16.000722896168096</v>
      </c>
    </row>
    <row r="174" spans="2:15" ht="22.35" customHeight="1" thickTop="1" thickBot="1">
      <c r="B174" s="762">
        <f ca="1">IF($E$19="SAC",SAC_CORR!B149,PRICE_CORR!B149)</f>
        <v>48699</v>
      </c>
      <c r="C174" s="763">
        <f t="shared" ca="1" si="7"/>
        <v>1700.5948186296682</v>
      </c>
      <c r="D174" s="764">
        <f ca="1">IF($E$19="SAC",SAC_CORR!C149,PRICE_CORR!C149)</f>
        <v>889.99100827727909</v>
      </c>
      <c r="E174" s="764">
        <f ca="1">IF($E$19="SAC",IF(SAC_CORR!$J149="Carencia",0,SAC_CORR!D149),IF(PRICE_CORR!$J149="Carencia",0,PRICE_CORR!D149))</f>
        <v>810.60381035238913</v>
      </c>
      <c r="F174" s="764">
        <f ca="1">IF($E$19="SAC",SAC_CORR!E149,PRICE_CORR!E149)</f>
        <v>87219.118811172753</v>
      </c>
      <c r="G174" s="764">
        <f ca="1">IF($E$19="SAC",IF(SAC_CORR!$J149="Carencia",0,SAC_CORR!F149),IF(PRICE_CORR!$J149="Carencia",0,PRICE_CORR!F149))</f>
        <v>18.502913062084509</v>
      </c>
      <c r="H174" s="764">
        <f ca="1">IF($E$19="SAC",IF(SAC_CORR!$J149="Carencia",0,SAC_CORR!G149),IF(PRICE_CORR!$J149="Carencia",0,PRICE_CORR!G149))</f>
        <v>26.319999999999997</v>
      </c>
      <c r="I174" s="764">
        <f ca="1">IF($E$19="SAC",IF(SAC_CORR!$J149="Carencia",0,SAC_CORR!H149),IF(PRICE_CORR!$J149="Carencia",0,PRICE_CORR!H149))</f>
        <v>25</v>
      </c>
      <c r="J174" s="764">
        <f ca="1">IF($E$19="SAC",SAC_CORR!I149,PRICE_CORR!I149)</f>
        <v>1770.4177316917526</v>
      </c>
      <c r="K174" s="911"/>
      <c r="N174" s="765">
        <f t="shared" ca="1" si="8"/>
        <v>1770.4177316917526</v>
      </c>
      <c r="O174" s="766">
        <f t="shared" ca="1" si="6"/>
        <v>15.805403689541004</v>
      </c>
    </row>
    <row r="175" spans="2:15" ht="22.35" customHeight="1" thickTop="1" thickBot="1">
      <c r="B175" s="762">
        <f ca="1">IF($E$19="SAC",SAC_CORR!B150,PRICE_CORR!B150)</f>
        <v>48729</v>
      </c>
      <c r="C175" s="763">
        <f t="shared" ca="1" si="7"/>
        <v>1692.4069013533813</v>
      </c>
      <c r="D175" s="764">
        <f ca="1">IF($E$19="SAC",SAC_CORR!C150,PRICE_CORR!C150)</f>
        <v>889.99100827727909</v>
      </c>
      <c r="E175" s="764">
        <f ca="1">IF($E$19="SAC",IF(SAC_CORR!$J150="Carencia",0,SAC_CORR!D150),IF(PRICE_CORR!$J150="Carencia",0,PRICE_CORR!D150))</f>
        <v>802.41589307610229</v>
      </c>
      <c r="F175" s="764">
        <f ca="1">IF($E$19="SAC",SAC_CORR!E150,PRICE_CORR!E150)</f>
        <v>86329.127802895469</v>
      </c>
      <c r="G175" s="764">
        <f ca="1">IF($E$19="SAC",IF(SAC_CORR!$J150="Carencia",0,SAC_CORR!F150),IF(PRICE_CORR!$J150="Carencia",0,PRICE_CORR!F150))</f>
        <v>18.316014950346279</v>
      </c>
      <c r="H175" s="764">
        <f ca="1">IF($E$19="SAC",IF(SAC_CORR!$J150="Carencia",0,SAC_CORR!G150),IF(PRICE_CORR!$J150="Carencia",0,PRICE_CORR!G150))</f>
        <v>26.319999999999997</v>
      </c>
      <c r="I175" s="764">
        <f ca="1">IF($E$19="SAC",IF(SAC_CORR!$J150="Carencia",0,SAC_CORR!H150),IF(PRICE_CORR!$J150="Carencia",0,PRICE_CORR!H150))</f>
        <v>25</v>
      </c>
      <c r="J175" s="764">
        <f ca="1">IF($E$19="SAC",SAC_CORR!I150,PRICE_CORR!I150)</f>
        <v>1762.0429163037275</v>
      </c>
      <c r="K175" s="911"/>
      <c r="N175" s="765">
        <f t="shared" ca="1" si="8"/>
        <v>1762.0429163037275</v>
      </c>
      <c r="O175" s="766">
        <f t="shared" ca="1" si="6"/>
        <v>15.616287699787581</v>
      </c>
    </row>
    <row r="176" spans="2:15" ht="22.35" customHeight="1" thickTop="1" thickBot="1">
      <c r="B176" s="762">
        <f ca="1">IF($E$19="SAC",SAC_CORR!B151,PRICE_CORR!B151)</f>
        <v>48760</v>
      </c>
      <c r="C176" s="763">
        <f t="shared" ca="1" si="7"/>
        <v>1684.2189840770945</v>
      </c>
      <c r="D176" s="764">
        <f ca="1">IF($E$19="SAC",SAC_CORR!C151,PRICE_CORR!C151)</f>
        <v>889.99100827727909</v>
      </c>
      <c r="E176" s="764">
        <f ca="1">IF($E$19="SAC",IF(SAC_CORR!$J151="Carencia",0,SAC_CORR!D151),IF(PRICE_CORR!$J151="Carencia",0,PRICE_CORR!D151))</f>
        <v>794.22797579981545</v>
      </c>
      <c r="F176" s="764">
        <f ca="1">IF($E$19="SAC",SAC_CORR!E151,PRICE_CORR!E151)</f>
        <v>85439.136794618185</v>
      </c>
      <c r="G176" s="764">
        <f ca="1">IF($E$19="SAC",IF(SAC_CORR!$J151="Carencia",0,SAC_CORR!F151),IF(PRICE_CORR!$J151="Carencia",0,PRICE_CORR!F151))</f>
        <v>18.129116838608049</v>
      </c>
      <c r="H176" s="764">
        <f ca="1">IF($E$19="SAC",IF(SAC_CORR!$J151="Carencia",0,SAC_CORR!G151),IF(PRICE_CORR!$J151="Carencia",0,PRICE_CORR!G151))</f>
        <v>26.319999999999997</v>
      </c>
      <c r="I176" s="764">
        <f ca="1">IF($E$19="SAC",IF(SAC_CORR!$J151="Carencia",0,SAC_CORR!H151),IF(PRICE_CORR!$J151="Carencia",0,PRICE_CORR!H151))</f>
        <v>25</v>
      </c>
      <c r="J176" s="764">
        <f ca="1">IF($E$19="SAC",SAC_CORR!I151,PRICE_CORR!I151)</f>
        <v>1753.6681009157026</v>
      </c>
      <c r="K176" s="911"/>
      <c r="N176" s="765">
        <f t="shared" ca="1" si="8"/>
        <v>1753.6681009157026</v>
      </c>
      <c r="O176" s="766">
        <f t="shared" ca="1" si="6"/>
        <v>15.425122615330492</v>
      </c>
    </row>
    <row r="177" spans="2:15" ht="22.35" customHeight="1" thickTop="1" thickBot="1">
      <c r="B177" s="762">
        <f ca="1">IF($E$19="SAC",SAC_CORR!B152,PRICE_CORR!B152)</f>
        <v>48790</v>
      </c>
      <c r="C177" s="763">
        <f t="shared" ca="1" si="7"/>
        <v>1676.0310668008078</v>
      </c>
      <c r="D177" s="764">
        <f ca="1">IF($E$19="SAC",SAC_CORR!C152,PRICE_CORR!C152)</f>
        <v>889.99100827727909</v>
      </c>
      <c r="E177" s="764">
        <f ca="1">IF($E$19="SAC",IF(SAC_CORR!$J152="Carencia",0,SAC_CORR!D152),IF(PRICE_CORR!$J152="Carencia",0,PRICE_CORR!D152))</f>
        <v>786.04005852352861</v>
      </c>
      <c r="F177" s="764">
        <f ca="1">IF($E$19="SAC",SAC_CORR!E152,PRICE_CORR!E152)</f>
        <v>84549.145786340901</v>
      </c>
      <c r="G177" s="764">
        <f ca="1">IF($E$19="SAC",IF(SAC_CORR!$J152="Carencia",0,SAC_CORR!F152),IF(PRICE_CORR!$J152="Carencia",0,PRICE_CORR!F152))</f>
        <v>17.942218726869818</v>
      </c>
      <c r="H177" s="764">
        <f ca="1">IF($E$19="SAC",IF(SAC_CORR!$J152="Carencia",0,SAC_CORR!G152),IF(PRICE_CORR!$J152="Carencia",0,PRICE_CORR!G152))</f>
        <v>26.319999999999997</v>
      </c>
      <c r="I177" s="764">
        <f ca="1">IF($E$19="SAC",IF(SAC_CORR!$J152="Carencia",0,SAC_CORR!H152),IF(PRICE_CORR!$J152="Carencia",0,PRICE_CORR!H152))</f>
        <v>25</v>
      </c>
      <c r="J177" s="764">
        <f ca="1">IF($E$19="SAC",SAC_CORR!I152,PRICE_CORR!I152)</f>
        <v>1745.2932855276777</v>
      </c>
      <c r="K177" s="911"/>
      <c r="N177" s="765">
        <f t="shared" ca="1" si="8"/>
        <v>1745.2932855276777</v>
      </c>
      <c r="O177" s="766">
        <f t="shared" ca="1" si="6"/>
        <v>15.240020141720205</v>
      </c>
    </row>
    <row r="178" spans="2:15" ht="22.35" customHeight="1" thickTop="1" thickBot="1">
      <c r="B178" s="762">
        <f ca="1">IF($E$19="SAC",SAC_CORR!B153,PRICE_CORR!B153)</f>
        <v>48821</v>
      </c>
      <c r="C178" s="763">
        <f t="shared" ca="1" si="7"/>
        <v>1667.8431495245209</v>
      </c>
      <c r="D178" s="764">
        <f ca="1">IF($E$19="SAC",SAC_CORR!C153,PRICE_CORR!C153)</f>
        <v>889.99100827727909</v>
      </c>
      <c r="E178" s="764">
        <f ca="1">IF($E$19="SAC",IF(SAC_CORR!$J153="Carencia",0,SAC_CORR!D153),IF(PRICE_CORR!$J153="Carencia",0,PRICE_CORR!D153))</f>
        <v>777.85214124724178</v>
      </c>
      <c r="F178" s="764">
        <f ca="1">IF($E$19="SAC",SAC_CORR!E153,PRICE_CORR!E153)</f>
        <v>83659.154778063617</v>
      </c>
      <c r="G178" s="764">
        <f ca="1">IF($E$19="SAC",IF(SAC_CORR!$J153="Carencia",0,SAC_CORR!F153),IF(PRICE_CORR!$J153="Carencia",0,PRICE_CORR!F153))</f>
        <v>17.755320615131591</v>
      </c>
      <c r="H178" s="764">
        <f ca="1">IF($E$19="SAC",IF(SAC_CORR!$J153="Carencia",0,SAC_CORR!G153),IF(PRICE_CORR!$J153="Carencia",0,PRICE_CORR!G153))</f>
        <v>26.319999999999997</v>
      </c>
      <c r="I178" s="764">
        <f ca="1">IF($E$19="SAC",IF(SAC_CORR!$J153="Carencia",0,SAC_CORR!H153),IF(PRICE_CORR!$J153="Carencia",0,PRICE_CORR!H153))</f>
        <v>25</v>
      </c>
      <c r="J178" s="764">
        <f ca="1">IF($E$19="SAC",SAC_CORR!I153,PRICE_CORR!I153)</f>
        <v>1736.9184701396523</v>
      </c>
      <c r="K178" s="911"/>
      <c r="N178" s="765">
        <f t="shared" ca="1" si="8"/>
        <v>1736.9184701396523</v>
      </c>
      <c r="O178" s="766">
        <f t="shared" ca="1" si="6"/>
        <v>15.05292655599648</v>
      </c>
    </row>
    <row r="179" spans="2:15" ht="22.35" customHeight="1" thickTop="1" thickBot="1">
      <c r="B179" s="762">
        <f ca="1">IF($E$19="SAC",SAC_CORR!B154,PRICE_CORR!B154)</f>
        <v>48852</v>
      </c>
      <c r="C179" s="763">
        <f t="shared" ca="1" si="7"/>
        <v>1659.6552322482339</v>
      </c>
      <c r="D179" s="764">
        <f ca="1">IF($E$19="SAC",SAC_CORR!C154,PRICE_CORR!C154)</f>
        <v>889.99100827727909</v>
      </c>
      <c r="E179" s="764">
        <f ca="1">IF($E$19="SAC",IF(SAC_CORR!$J154="Carencia",0,SAC_CORR!D154),IF(PRICE_CORR!$J154="Carencia",0,PRICE_CORR!D154))</f>
        <v>769.66422397095482</v>
      </c>
      <c r="F179" s="764">
        <f ca="1">IF($E$19="SAC",SAC_CORR!E154,PRICE_CORR!E154)</f>
        <v>82769.163769786333</v>
      </c>
      <c r="G179" s="764">
        <f ca="1">IF($E$19="SAC",IF(SAC_CORR!$J154="Carencia",0,SAC_CORR!F154),IF(PRICE_CORR!$J154="Carencia",0,PRICE_CORR!F154))</f>
        <v>17.568422503393361</v>
      </c>
      <c r="H179" s="764">
        <f ca="1">IF($E$19="SAC",IF(SAC_CORR!$J154="Carencia",0,SAC_CORR!G154),IF(PRICE_CORR!$J154="Carencia",0,PRICE_CORR!G154))</f>
        <v>26.319999999999997</v>
      </c>
      <c r="I179" s="764">
        <f ca="1">IF($E$19="SAC",IF(SAC_CORR!$J154="Carencia",0,SAC_CORR!H154),IF(PRICE_CORR!$J154="Carencia",0,PRICE_CORR!H154))</f>
        <v>25</v>
      </c>
      <c r="J179" s="764">
        <f ca="1">IF($E$19="SAC",SAC_CORR!I154,PRICE_CORR!I154)</f>
        <v>1728.5436547516272</v>
      </c>
      <c r="K179" s="911"/>
      <c r="N179" s="765">
        <f t="shared" ca="1" si="8"/>
        <v>1728.5436547516272</v>
      </c>
      <c r="O179" s="766">
        <f t="shared" ca="1" si="6"/>
        <v>14.867862471338974</v>
      </c>
    </row>
    <row r="180" spans="2:15" ht="22.35" customHeight="1" thickTop="1" thickBot="1">
      <c r="B180" s="762">
        <f ca="1">IF($E$19="SAC",SAC_CORR!B155,PRICE_CORR!B155)</f>
        <v>48882</v>
      </c>
      <c r="C180" s="763">
        <f t="shared" ca="1" si="7"/>
        <v>1651.467314971947</v>
      </c>
      <c r="D180" s="764">
        <f ca="1">IF($E$19="SAC",SAC_CORR!C155,PRICE_CORR!C155)</f>
        <v>889.99100827727909</v>
      </c>
      <c r="E180" s="764">
        <f ca="1">IF($E$19="SAC",IF(SAC_CORR!$J155="Carencia",0,SAC_CORR!D155),IF(PRICE_CORR!$J155="Carencia",0,PRICE_CORR!D155))</f>
        <v>761.47630669466798</v>
      </c>
      <c r="F180" s="764">
        <f ca="1">IF($E$19="SAC",SAC_CORR!E155,PRICE_CORR!E155)</f>
        <v>81879.172761509049</v>
      </c>
      <c r="G180" s="764">
        <f ca="1">IF($E$19="SAC",IF(SAC_CORR!$J155="Carencia",0,SAC_CORR!F155),IF(PRICE_CORR!$J155="Carencia",0,PRICE_CORR!F155))</f>
        <v>17.38152439165513</v>
      </c>
      <c r="H180" s="764">
        <f ca="1">IF($E$19="SAC",IF(SAC_CORR!$J155="Carencia",0,SAC_CORR!G155),IF(PRICE_CORR!$J155="Carencia",0,PRICE_CORR!G155))</f>
        <v>26.319999999999997</v>
      </c>
      <c r="I180" s="764">
        <f ca="1">IF($E$19="SAC",IF(SAC_CORR!$J155="Carencia",0,SAC_CORR!H155),IF(PRICE_CORR!$J155="Carencia",0,PRICE_CORR!H155))</f>
        <v>25</v>
      </c>
      <c r="J180" s="764">
        <f ca="1">IF($E$19="SAC",SAC_CORR!I155,PRICE_CORR!I155)</f>
        <v>1720.168839363602</v>
      </c>
      <c r="K180" s="911"/>
      <c r="N180" s="765">
        <f t="shared" ca="1" si="8"/>
        <v>1720.168839363602</v>
      </c>
      <c r="O180" s="766">
        <f t="shared" ca="1" si="6"/>
        <v>14.688654739397089</v>
      </c>
    </row>
    <row r="181" spans="2:15" ht="22.35" customHeight="1" thickTop="1" thickBot="1">
      <c r="B181" s="762">
        <f ca="1">IF($E$19="SAC",SAC_CORR!B156,PRICE_CORR!B156)</f>
        <v>48913</v>
      </c>
      <c r="C181" s="763">
        <f t="shared" ca="1" si="7"/>
        <v>1643.2793976956602</v>
      </c>
      <c r="D181" s="764">
        <f ca="1">IF($E$19="SAC",SAC_CORR!C156,PRICE_CORR!C156)</f>
        <v>889.99100827727909</v>
      </c>
      <c r="E181" s="764">
        <f ca="1">IF($E$19="SAC",IF(SAC_CORR!$J156="Carencia",0,SAC_CORR!D156),IF(PRICE_CORR!$J156="Carencia",0,PRICE_CORR!D156))</f>
        <v>753.28838941838114</v>
      </c>
      <c r="F181" s="764">
        <f ca="1">IF($E$19="SAC",SAC_CORR!E156,PRICE_CORR!E156)</f>
        <v>80989.181753231765</v>
      </c>
      <c r="G181" s="764">
        <f ca="1">IF($E$19="SAC",IF(SAC_CORR!$J156="Carencia",0,SAC_CORR!F156),IF(PRICE_CORR!$J156="Carencia",0,PRICE_CORR!F156))</f>
        <v>17.1946262799169</v>
      </c>
      <c r="H181" s="764">
        <f ca="1">IF($E$19="SAC",IF(SAC_CORR!$J156="Carencia",0,SAC_CORR!G156),IF(PRICE_CORR!$J156="Carencia",0,PRICE_CORR!G156))</f>
        <v>26.319999999999997</v>
      </c>
      <c r="I181" s="764">
        <f ca="1">IF($E$19="SAC",IF(SAC_CORR!$J156="Carencia",0,SAC_CORR!H156),IF(PRICE_CORR!$J156="Carencia",0,PRICE_CORR!H156))</f>
        <v>25</v>
      </c>
      <c r="J181" s="764">
        <f ca="1">IF($E$19="SAC",SAC_CORR!I156,PRICE_CORR!I156)</f>
        <v>1711.7940239755771</v>
      </c>
      <c r="K181" s="911"/>
      <c r="N181" s="765">
        <f t="shared" ca="1" si="8"/>
        <v>1711.7940239755771</v>
      </c>
      <c r="O181" s="766">
        <f t="shared" ca="1" si="6"/>
        <v>14.507540646108641</v>
      </c>
    </row>
    <row r="182" spans="2:15" ht="22.35" customHeight="1" thickTop="1" thickBot="1">
      <c r="B182" s="762">
        <f ca="1">IF($E$19="SAC",SAC_CORR!B157,PRICE_CORR!B157)</f>
        <v>48943</v>
      </c>
      <c r="C182" s="763">
        <f t="shared" ca="1" si="7"/>
        <v>1635.0914804193735</v>
      </c>
      <c r="D182" s="764">
        <f ca="1">IF($E$19="SAC",SAC_CORR!C157,PRICE_CORR!C157)</f>
        <v>889.99100827727909</v>
      </c>
      <c r="E182" s="764">
        <f ca="1">IF($E$19="SAC",IF(SAC_CORR!$J157="Carencia",0,SAC_CORR!D157),IF(PRICE_CORR!$J157="Carencia",0,PRICE_CORR!D157))</f>
        <v>745.1004721420943</v>
      </c>
      <c r="F182" s="764">
        <f ca="1">IF($E$19="SAC",SAC_CORR!E157,PRICE_CORR!E157)</f>
        <v>80099.190744954481</v>
      </c>
      <c r="G182" s="764">
        <f ca="1">IF($E$19="SAC",IF(SAC_CORR!$J157="Carencia",0,SAC_CORR!F157),IF(PRICE_CORR!$J157="Carencia",0,PRICE_CORR!F157))</f>
        <v>17.007728168178673</v>
      </c>
      <c r="H182" s="764">
        <f ca="1">IF($E$19="SAC",IF(SAC_CORR!$J157="Carencia",0,SAC_CORR!G157),IF(PRICE_CORR!$J157="Carencia",0,PRICE_CORR!G157))</f>
        <v>26.319999999999997</v>
      </c>
      <c r="I182" s="764">
        <f ca="1">IF($E$19="SAC",IF(SAC_CORR!$J157="Carencia",0,SAC_CORR!H157),IF(PRICE_CORR!$J157="Carencia",0,PRICE_CORR!H157))</f>
        <v>25</v>
      </c>
      <c r="J182" s="764">
        <f ca="1">IF($E$19="SAC",SAC_CORR!I157,PRICE_CORR!I157)</f>
        <v>1703.419208587552</v>
      </c>
      <c r="K182" s="911"/>
      <c r="N182" s="765">
        <f t="shared" ca="1" si="8"/>
        <v>1703.419208587552</v>
      </c>
      <c r="O182" s="766">
        <f t="shared" ca="1" si="6"/>
        <v>14.332149458925214</v>
      </c>
    </row>
    <row r="183" spans="2:15" ht="22.35" customHeight="1" thickTop="1" thickBot="1">
      <c r="B183" s="762">
        <f ca="1">IF($E$19="SAC",SAC_CORR!B158,PRICE_CORR!B158)</f>
        <v>48974</v>
      </c>
      <c r="C183" s="763">
        <f t="shared" ca="1" si="7"/>
        <v>1626.9035631430866</v>
      </c>
      <c r="D183" s="764">
        <f ca="1">IF($E$19="SAC",SAC_CORR!C158,PRICE_CORR!C158)</f>
        <v>889.99100827727909</v>
      </c>
      <c r="E183" s="764">
        <f ca="1">IF($E$19="SAC",IF(SAC_CORR!$J158="Carencia",0,SAC_CORR!D158),IF(PRICE_CORR!$J158="Carencia",0,PRICE_CORR!D158))</f>
        <v>736.91255486580746</v>
      </c>
      <c r="F183" s="764">
        <f ca="1">IF($E$19="SAC",SAC_CORR!E158,PRICE_CORR!E158)</f>
        <v>79209.199736677198</v>
      </c>
      <c r="G183" s="764">
        <f ca="1">IF($E$19="SAC",IF(SAC_CORR!$J158="Carencia",0,SAC_CORR!F158),IF(PRICE_CORR!$J158="Carencia",0,PRICE_CORR!F158))</f>
        <v>16.820830056440442</v>
      </c>
      <c r="H183" s="764">
        <f ca="1">IF($E$19="SAC",IF(SAC_CORR!$J158="Carencia",0,SAC_CORR!G158),IF(PRICE_CORR!$J158="Carencia",0,PRICE_CORR!G158))</f>
        <v>26.319999999999997</v>
      </c>
      <c r="I183" s="764">
        <f ca="1">IF($E$19="SAC",IF(SAC_CORR!$J158="Carencia",0,SAC_CORR!H158),IF(PRICE_CORR!$J158="Carencia",0,PRICE_CORR!H158))</f>
        <v>25</v>
      </c>
      <c r="J183" s="764">
        <f ca="1">IF($E$19="SAC",SAC_CORR!I158,PRICE_CORR!I158)</f>
        <v>1695.0443931995269</v>
      </c>
      <c r="K183" s="911"/>
      <c r="N183" s="765">
        <f t="shared" ca="1" si="8"/>
        <v>1695.0443931995269</v>
      </c>
      <c r="O183" s="766">
        <f t="shared" ca="1" si="6"/>
        <v>14.154906628447424</v>
      </c>
    </row>
    <row r="184" spans="2:15" ht="22.35" customHeight="1" thickTop="1" thickBot="1">
      <c r="B184" s="762">
        <f ca="1">IF($E$19="SAC",SAC_CORR!B159,PRICE_CORR!B159)</f>
        <v>49003</v>
      </c>
      <c r="C184" s="763">
        <f t="shared" ca="1" si="7"/>
        <v>1618.7156458667996</v>
      </c>
      <c r="D184" s="764">
        <f ca="1">IF($E$19="SAC",SAC_CORR!C159,PRICE_CORR!C159)</f>
        <v>889.99100827727909</v>
      </c>
      <c r="E184" s="764">
        <f ca="1">IF($E$19="SAC",IF(SAC_CORR!$J159="Carencia",0,SAC_CORR!D159),IF(PRICE_CORR!$J159="Carencia",0,PRICE_CORR!D159))</f>
        <v>728.72463758952051</v>
      </c>
      <c r="F184" s="764">
        <f ca="1">IF($E$19="SAC",SAC_CORR!E159,PRICE_CORR!E159)</f>
        <v>78319.208728399914</v>
      </c>
      <c r="G184" s="764">
        <f ca="1">IF($E$19="SAC",IF(SAC_CORR!$J159="Carencia",0,SAC_CORR!F159),IF(PRICE_CORR!$J159="Carencia",0,PRICE_CORR!F159))</f>
        <v>16.633931944702212</v>
      </c>
      <c r="H184" s="764">
        <f ca="1">IF($E$19="SAC",IF(SAC_CORR!$J159="Carencia",0,SAC_CORR!G159),IF(PRICE_CORR!$J159="Carencia",0,PRICE_CORR!G159))</f>
        <v>26.319999999999997</v>
      </c>
      <c r="I184" s="764">
        <f ca="1">IF($E$19="SAC",IF(SAC_CORR!$J159="Carencia",0,SAC_CORR!H159),IF(PRICE_CORR!$J159="Carencia",0,PRICE_CORR!H159))</f>
        <v>25</v>
      </c>
      <c r="J184" s="764">
        <f ca="1">IF($E$19="SAC",SAC_CORR!I159,PRICE_CORR!I159)</f>
        <v>1686.6695778115018</v>
      </c>
      <c r="K184" s="911"/>
      <c r="N184" s="765">
        <f t="shared" ca="1" si="8"/>
        <v>1686.6695778115018</v>
      </c>
      <c r="O184" s="766">
        <f t="shared" ca="1" si="6"/>
        <v>13.986919651296702</v>
      </c>
    </row>
    <row r="185" spans="2:15" ht="22.35" customHeight="1" thickTop="1" thickBot="1">
      <c r="B185" s="762">
        <f ca="1">IF($E$19="SAC",SAC_CORR!B160,PRICE_CORR!B160)</f>
        <v>49033</v>
      </c>
      <c r="C185" s="763">
        <f t="shared" ca="1" si="7"/>
        <v>1610.5277285905127</v>
      </c>
      <c r="D185" s="764">
        <f ca="1">IF($E$19="SAC",SAC_CORR!C160,PRICE_CORR!C160)</f>
        <v>889.99100827727909</v>
      </c>
      <c r="E185" s="764">
        <f ca="1">IF($E$19="SAC",IF(SAC_CORR!$J160="Carencia",0,SAC_CORR!D160),IF(PRICE_CORR!$J160="Carencia",0,PRICE_CORR!D160))</f>
        <v>720.53672031323367</v>
      </c>
      <c r="F185" s="764">
        <f ca="1">IF($E$19="SAC",SAC_CORR!E160,PRICE_CORR!E160)</f>
        <v>77429.21772012263</v>
      </c>
      <c r="G185" s="764">
        <f ca="1">IF($E$19="SAC",IF(SAC_CORR!$J160="Carencia",0,SAC_CORR!F160),IF(PRICE_CORR!$J160="Carencia",0,PRICE_CORR!F160))</f>
        <v>16.447033832963982</v>
      </c>
      <c r="H185" s="764">
        <f ca="1">IF($E$19="SAC",IF(SAC_CORR!$J160="Carencia",0,SAC_CORR!G160),IF(PRICE_CORR!$J160="Carencia",0,PRICE_CORR!G160))</f>
        <v>26.319999999999997</v>
      </c>
      <c r="I185" s="764">
        <f ca="1">IF($E$19="SAC",IF(SAC_CORR!$J160="Carencia",0,SAC_CORR!H160),IF(PRICE_CORR!$J160="Carencia",0,PRICE_CORR!H160))</f>
        <v>25</v>
      </c>
      <c r="J185" s="764">
        <f ca="1">IF($E$19="SAC",SAC_CORR!I160,PRICE_CORR!I160)</f>
        <v>1678.2947624234766</v>
      </c>
      <c r="K185" s="911"/>
      <c r="N185" s="765">
        <f t="shared" ca="1" si="8"/>
        <v>1678.2947624234766</v>
      </c>
      <c r="O185" s="766">
        <f t="shared" ca="1" si="6"/>
        <v>13.817044553386237</v>
      </c>
    </row>
    <row r="186" spans="2:15" ht="22.35" customHeight="1" thickTop="1" thickBot="1">
      <c r="B186" s="762">
        <f ca="1">IF($E$19="SAC",SAC_CORR!B161,PRICE_CORR!B161)</f>
        <v>49064</v>
      </c>
      <c r="C186" s="763">
        <f t="shared" ca="1" si="7"/>
        <v>1602.3398113142259</v>
      </c>
      <c r="D186" s="764">
        <f ca="1">IF($E$19="SAC",SAC_CORR!C161,PRICE_CORR!C161)</f>
        <v>889.99100827727909</v>
      </c>
      <c r="E186" s="764">
        <f ca="1">IF($E$19="SAC",IF(SAC_CORR!$J161="Carencia",0,SAC_CORR!D161),IF(PRICE_CORR!$J161="Carencia",0,PRICE_CORR!D161))</f>
        <v>712.34880303694683</v>
      </c>
      <c r="F186" s="764">
        <f ca="1">IF($E$19="SAC",SAC_CORR!E161,PRICE_CORR!E161)</f>
        <v>76539.226711845346</v>
      </c>
      <c r="G186" s="764">
        <f ca="1">IF($E$19="SAC",IF(SAC_CORR!$J161="Carencia",0,SAC_CORR!F161),IF(PRICE_CORR!$J161="Carencia",0,PRICE_CORR!F161))</f>
        <v>16.260135721225751</v>
      </c>
      <c r="H186" s="764">
        <f ca="1">IF($E$19="SAC",IF(SAC_CORR!$J161="Carencia",0,SAC_CORR!G161),IF(PRICE_CORR!$J161="Carencia",0,PRICE_CORR!G161))</f>
        <v>26.319999999999997</v>
      </c>
      <c r="I186" s="764">
        <f ca="1">IF($E$19="SAC",IF(SAC_CORR!$J161="Carencia",0,SAC_CORR!H161),IF(PRICE_CORR!$J161="Carencia",0,PRICE_CORR!H161))</f>
        <v>25</v>
      </c>
      <c r="J186" s="764">
        <f ca="1">IF($E$19="SAC",SAC_CORR!I161,PRICE_CORR!I161)</f>
        <v>1669.9199470354515</v>
      </c>
      <c r="K186" s="911"/>
      <c r="N186" s="765">
        <f t="shared" ca="1" si="8"/>
        <v>1669.9199470354515</v>
      </c>
      <c r="O186" s="766">
        <f t="shared" ca="1" si="6"/>
        <v>13.645396846410529</v>
      </c>
    </row>
    <row r="187" spans="2:15" ht="22.35" customHeight="1" thickTop="1" thickBot="1">
      <c r="B187" s="762">
        <f ca="1">IF($E$19="SAC",SAC_CORR!B162,PRICE_CORR!B162)</f>
        <v>49094</v>
      </c>
      <c r="C187" s="763">
        <f t="shared" ca="1" si="7"/>
        <v>1594.1518940379392</v>
      </c>
      <c r="D187" s="764">
        <f ca="1">IF($E$19="SAC",SAC_CORR!C162,PRICE_CORR!C162)</f>
        <v>889.99100827727909</v>
      </c>
      <c r="E187" s="764">
        <f ca="1">IF($E$19="SAC",IF(SAC_CORR!$J162="Carencia",0,SAC_CORR!D162),IF(PRICE_CORR!$J162="Carencia",0,PRICE_CORR!D162))</f>
        <v>704.16088576065999</v>
      </c>
      <c r="F187" s="764">
        <f ca="1">IF($E$19="SAC",SAC_CORR!E162,PRICE_CORR!E162)</f>
        <v>75649.235703568062</v>
      </c>
      <c r="G187" s="764">
        <f ca="1">IF($E$19="SAC",IF(SAC_CORR!$J162="Carencia",0,SAC_CORR!F162),IF(PRICE_CORR!$J162="Carencia",0,PRICE_CORR!F162))</f>
        <v>16.073237609487524</v>
      </c>
      <c r="H187" s="764">
        <f ca="1">IF($E$19="SAC",IF(SAC_CORR!$J162="Carencia",0,SAC_CORR!G162),IF(PRICE_CORR!$J162="Carencia",0,PRICE_CORR!G162))</f>
        <v>26.319999999999997</v>
      </c>
      <c r="I187" s="764">
        <f ca="1">IF($E$19="SAC",IF(SAC_CORR!$J162="Carencia",0,SAC_CORR!H162),IF(PRICE_CORR!$J162="Carencia",0,PRICE_CORR!H162))</f>
        <v>25</v>
      </c>
      <c r="J187" s="764">
        <f ca="1">IF($E$19="SAC",SAC_CORR!I162,PRICE_CORR!I162)</f>
        <v>1661.5451316474266</v>
      </c>
      <c r="K187" s="911"/>
      <c r="N187" s="765">
        <f t="shared" ca="1" si="8"/>
        <v>1661.5451316474266</v>
      </c>
      <c r="O187" s="766">
        <f t="shared" ca="1" si="6"/>
        <v>13.479152505856218</v>
      </c>
    </row>
    <row r="188" spans="2:15" ht="22.35" customHeight="1" thickTop="1" thickBot="1">
      <c r="B188" s="762">
        <f ca="1">IF($E$19="SAC",SAC_CORR!B163,PRICE_CORR!B163)</f>
        <v>49125</v>
      </c>
      <c r="C188" s="763">
        <f t="shared" ca="1" si="7"/>
        <v>1585.9639767616522</v>
      </c>
      <c r="D188" s="764">
        <f ca="1">IF($E$19="SAC",SAC_CORR!C163,PRICE_CORR!C163)</f>
        <v>889.99100827727909</v>
      </c>
      <c r="E188" s="764">
        <f ca="1">IF($E$19="SAC",IF(SAC_CORR!$J163="Carencia",0,SAC_CORR!D163),IF(PRICE_CORR!$J163="Carencia",0,PRICE_CORR!D163))</f>
        <v>695.97296848437315</v>
      </c>
      <c r="F188" s="764">
        <f ca="1">IF($E$19="SAC",SAC_CORR!E163,PRICE_CORR!E163)</f>
        <v>74759.244695290778</v>
      </c>
      <c r="G188" s="764">
        <f ca="1">IF($E$19="SAC",IF(SAC_CORR!$J163="Carencia",0,SAC_CORR!F163),IF(PRICE_CORR!$J163="Carencia",0,PRICE_CORR!F163))</f>
        <v>15.886339497749294</v>
      </c>
      <c r="H188" s="764">
        <f ca="1">IF($E$19="SAC",IF(SAC_CORR!$J163="Carencia",0,SAC_CORR!G163),IF(PRICE_CORR!$J163="Carencia",0,PRICE_CORR!G163))</f>
        <v>26.319999999999997</v>
      </c>
      <c r="I188" s="764">
        <f ca="1">IF($E$19="SAC",IF(SAC_CORR!$J163="Carencia",0,SAC_CORR!H163),IF(PRICE_CORR!$J163="Carencia",0,PRICE_CORR!H163))</f>
        <v>25</v>
      </c>
      <c r="J188" s="764">
        <f ca="1">IF($E$19="SAC",SAC_CORR!I163,PRICE_CORR!I163)</f>
        <v>1653.1703162594015</v>
      </c>
      <c r="K188" s="911"/>
      <c r="N188" s="765">
        <f t="shared" ca="1" si="8"/>
        <v>1653.1703162594015</v>
      </c>
      <c r="O188" s="766">
        <f t="shared" ca="1" si="6"/>
        <v>13.311187203819919</v>
      </c>
    </row>
    <row r="189" spans="2:15" ht="22.35" customHeight="1" thickTop="1" thickBot="1">
      <c r="B189" s="762">
        <f ca="1">IF($E$19="SAC",SAC_CORR!B164,PRICE_CORR!B164)</f>
        <v>49155</v>
      </c>
      <c r="C189" s="763">
        <f t="shared" ca="1" si="7"/>
        <v>1577.7760594853653</v>
      </c>
      <c r="D189" s="764">
        <f ca="1">IF($E$19="SAC",SAC_CORR!C164,PRICE_CORR!C164)</f>
        <v>889.99100827727909</v>
      </c>
      <c r="E189" s="764">
        <f ca="1">IF($E$19="SAC",IF(SAC_CORR!$J164="Carencia",0,SAC_CORR!D164),IF(PRICE_CORR!$J164="Carencia",0,PRICE_CORR!D164))</f>
        <v>687.78505120808632</v>
      </c>
      <c r="F189" s="764">
        <f ca="1">IF($E$19="SAC",SAC_CORR!E164,PRICE_CORR!E164)</f>
        <v>73869.253687013494</v>
      </c>
      <c r="G189" s="764">
        <f ca="1">IF($E$19="SAC",IF(SAC_CORR!$J164="Carencia",0,SAC_CORR!F164),IF(PRICE_CORR!$J164="Carencia",0,PRICE_CORR!F164))</f>
        <v>15.699441386011063</v>
      </c>
      <c r="H189" s="764">
        <f ca="1">IF($E$19="SAC",IF(SAC_CORR!$J164="Carencia",0,SAC_CORR!G164),IF(PRICE_CORR!$J164="Carencia",0,PRICE_CORR!G164))</f>
        <v>26.319999999999997</v>
      </c>
      <c r="I189" s="764">
        <f ca="1">IF($E$19="SAC",IF(SAC_CORR!$J164="Carencia",0,SAC_CORR!H164),IF(PRICE_CORR!$J164="Carencia",0,PRICE_CORR!H164))</f>
        <v>25</v>
      </c>
      <c r="J189" s="764">
        <f ca="1">IF($E$19="SAC",SAC_CORR!I164,PRICE_CORR!I164)</f>
        <v>1644.7955008713764</v>
      </c>
      <c r="K189" s="911"/>
      <c r="N189" s="765">
        <f t="shared" ca="1" si="8"/>
        <v>1644.7955008713764</v>
      </c>
      <c r="O189" s="766">
        <f t="shared" ca="1" si="6"/>
        <v>13.148501196436783</v>
      </c>
    </row>
    <row r="190" spans="2:15" ht="22.35" customHeight="1" thickTop="1" thickBot="1">
      <c r="B190" s="762">
        <f ca="1">IF($E$19="SAC",SAC_CORR!B165,PRICE_CORR!B165)</f>
        <v>49186</v>
      </c>
      <c r="C190" s="763">
        <f t="shared" ca="1" si="7"/>
        <v>1569.5881422090783</v>
      </c>
      <c r="D190" s="764">
        <f ca="1">IF($E$19="SAC",SAC_CORR!C165,PRICE_CORR!C165)</f>
        <v>889.99100827727909</v>
      </c>
      <c r="E190" s="764">
        <f ca="1">IF($E$19="SAC",IF(SAC_CORR!$J165="Carencia",0,SAC_CORR!D165),IF(PRICE_CORR!$J165="Carencia",0,PRICE_CORR!D165))</f>
        <v>679.59713393179936</v>
      </c>
      <c r="F190" s="764">
        <f ca="1">IF($E$19="SAC",SAC_CORR!E165,PRICE_CORR!E165)</f>
        <v>72979.26267873621</v>
      </c>
      <c r="G190" s="764">
        <f ca="1">IF($E$19="SAC",IF(SAC_CORR!$J165="Carencia",0,SAC_CORR!F165),IF(PRICE_CORR!$J165="Carencia",0,PRICE_CORR!F165))</f>
        <v>15.512543274272835</v>
      </c>
      <c r="H190" s="764">
        <f ca="1">IF($E$19="SAC",IF(SAC_CORR!$J165="Carencia",0,SAC_CORR!G165),IF(PRICE_CORR!$J165="Carencia",0,PRICE_CORR!G165))</f>
        <v>26.319999999999997</v>
      </c>
      <c r="I190" s="764">
        <f ca="1">IF($E$19="SAC",IF(SAC_CORR!$J165="Carencia",0,SAC_CORR!H165),IF(PRICE_CORR!$J165="Carencia",0,PRICE_CORR!H165))</f>
        <v>25</v>
      </c>
      <c r="J190" s="764">
        <f ca="1">IF($E$19="SAC",SAC_CORR!I165,PRICE_CORR!I165)</f>
        <v>1636.420685483351</v>
      </c>
      <c r="K190" s="911"/>
      <c r="N190" s="765">
        <f t="shared" ca="1" si="8"/>
        <v>1636.420685483351</v>
      </c>
      <c r="O190" s="766">
        <f t="shared" ca="1" si="6"/>
        <v>12.984144683104628</v>
      </c>
    </row>
    <row r="191" spans="2:15" ht="22.35" customHeight="1" thickTop="1" thickBot="1">
      <c r="B191" s="762">
        <f ca="1">IF($E$19="SAC",SAC_CORR!B166,PRICE_CORR!B166)</f>
        <v>49217</v>
      </c>
      <c r="C191" s="763">
        <f t="shared" ca="1" si="7"/>
        <v>1561.4002249327916</v>
      </c>
      <c r="D191" s="764">
        <f ca="1">IF($E$19="SAC",SAC_CORR!C166,PRICE_CORR!C166)</f>
        <v>889.99100827727909</v>
      </c>
      <c r="E191" s="764">
        <f ca="1">IF($E$19="SAC",IF(SAC_CORR!$J166="Carencia",0,SAC_CORR!D166),IF(PRICE_CORR!$J166="Carencia",0,PRICE_CORR!D166))</f>
        <v>671.40921665551252</v>
      </c>
      <c r="F191" s="764">
        <f ca="1">IF($E$19="SAC",SAC_CORR!E166,PRICE_CORR!E166)</f>
        <v>72089.271670458926</v>
      </c>
      <c r="G191" s="764">
        <f ca="1">IF($E$19="SAC",IF(SAC_CORR!$J166="Carencia",0,SAC_CORR!F166),IF(PRICE_CORR!$J166="Carencia",0,PRICE_CORR!F166))</f>
        <v>15.325645162534604</v>
      </c>
      <c r="H191" s="764">
        <f ca="1">IF($E$19="SAC",IF(SAC_CORR!$J166="Carencia",0,SAC_CORR!G166),IF(PRICE_CORR!$J166="Carencia",0,PRICE_CORR!G166))</f>
        <v>26.319999999999997</v>
      </c>
      <c r="I191" s="764">
        <f ca="1">IF($E$19="SAC",IF(SAC_CORR!$J166="Carencia",0,SAC_CORR!H166),IF(PRICE_CORR!$J166="Carencia",0,PRICE_CORR!H166))</f>
        <v>25</v>
      </c>
      <c r="J191" s="764">
        <f ca="1">IF($E$19="SAC",SAC_CORR!I166,PRICE_CORR!I166)</f>
        <v>1628.0458700953261</v>
      </c>
      <c r="K191" s="911"/>
      <c r="N191" s="765">
        <f t="shared" ca="1" si="8"/>
        <v>1628.0458700953261</v>
      </c>
      <c r="O191" s="766">
        <f t="shared" ca="1" si="6"/>
        <v>12.821586693085564</v>
      </c>
    </row>
    <row r="192" spans="2:15" ht="22.35" customHeight="1" thickTop="1" thickBot="1">
      <c r="B192" s="762">
        <f ca="1">IF($E$19="SAC",SAC_CORR!B167,PRICE_CORR!B167)</f>
        <v>49247</v>
      </c>
      <c r="C192" s="763">
        <f t="shared" ca="1" si="7"/>
        <v>1553.2123076565049</v>
      </c>
      <c r="D192" s="764">
        <f ca="1">IF($E$19="SAC",SAC_CORR!C167,PRICE_CORR!C167)</f>
        <v>889.99100827727909</v>
      </c>
      <c r="E192" s="764">
        <f ca="1">IF($E$19="SAC",IF(SAC_CORR!$J167="Carencia",0,SAC_CORR!D167),IF(PRICE_CORR!$J167="Carencia",0,PRICE_CORR!D167))</f>
        <v>663.22129937922568</v>
      </c>
      <c r="F192" s="764">
        <f ca="1">IF($E$19="SAC",SAC_CORR!E167,PRICE_CORR!E167)</f>
        <v>71199.280662181642</v>
      </c>
      <c r="G192" s="764">
        <f ca="1">IF($E$19="SAC",IF(SAC_CORR!$J167="Carencia",0,SAC_CORR!F167),IF(PRICE_CORR!$J167="Carencia",0,PRICE_CORR!F167))</f>
        <v>15.138747050796376</v>
      </c>
      <c r="H192" s="764">
        <f ca="1">IF($E$19="SAC",IF(SAC_CORR!$J167="Carencia",0,SAC_CORR!G167),IF(PRICE_CORR!$J167="Carencia",0,PRICE_CORR!G167))</f>
        <v>26.319999999999997</v>
      </c>
      <c r="I192" s="764">
        <f ca="1">IF($E$19="SAC",IF(SAC_CORR!$J167="Carencia",0,SAC_CORR!H167),IF(PRICE_CORR!$J167="Carencia",0,PRICE_CORR!H167))</f>
        <v>25</v>
      </c>
      <c r="J192" s="764">
        <f ca="1">IF($E$19="SAC",SAC_CORR!I167,PRICE_CORR!I167)</f>
        <v>1619.6710547073012</v>
      </c>
      <c r="K192" s="911"/>
      <c r="N192" s="765">
        <f t="shared" ca="1" si="8"/>
        <v>1619.6710547073012</v>
      </c>
      <c r="O192" s="766">
        <f t="shared" ca="1" si="6"/>
        <v>12.66412603627537</v>
      </c>
    </row>
    <row r="193" spans="2:15" ht="22.35" customHeight="1" thickTop="1" thickBot="1">
      <c r="B193" s="762">
        <f ca="1">IF($E$19="SAC",SAC_CORR!B168,PRICE_CORR!B168)</f>
        <v>49278</v>
      </c>
      <c r="C193" s="763">
        <f t="shared" ca="1" si="7"/>
        <v>1545.0243903802179</v>
      </c>
      <c r="D193" s="764">
        <f ca="1">IF($E$19="SAC",SAC_CORR!C168,PRICE_CORR!C168)</f>
        <v>889.99100827727909</v>
      </c>
      <c r="E193" s="764">
        <f ca="1">IF($E$19="SAC",IF(SAC_CORR!$J168="Carencia",0,SAC_CORR!D168),IF(PRICE_CORR!$J168="Carencia",0,PRICE_CORR!D168))</f>
        <v>655.03338210293884</v>
      </c>
      <c r="F193" s="764">
        <f ca="1">IF($E$19="SAC",SAC_CORR!E168,PRICE_CORR!E168)</f>
        <v>70309.289653904358</v>
      </c>
      <c r="G193" s="764">
        <f ca="1">IF($E$19="SAC",IF(SAC_CORR!$J168="Carencia",0,SAC_CORR!F168),IF(PRICE_CORR!$J168="Carencia",0,PRICE_CORR!F168))</f>
        <v>14.951848939058145</v>
      </c>
      <c r="H193" s="764">
        <f ca="1">IF($E$19="SAC",IF(SAC_CORR!$J168="Carencia",0,SAC_CORR!G168),IF(PRICE_CORR!$J168="Carencia",0,PRICE_CORR!G168))</f>
        <v>26.319999999999997</v>
      </c>
      <c r="I193" s="764">
        <f ca="1">IF($E$19="SAC",IF(SAC_CORR!$J168="Carencia",0,SAC_CORR!H168),IF(PRICE_CORR!$J168="Carencia",0,PRICE_CORR!H168))</f>
        <v>25</v>
      </c>
      <c r="J193" s="764">
        <f ca="1">IF($E$19="SAC",SAC_CORR!I168,PRICE_CORR!I168)</f>
        <v>1611.2962393192761</v>
      </c>
      <c r="K193" s="911"/>
      <c r="N193" s="765">
        <f t="shared" ca="1" si="8"/>
        <v>1611.2962393192761</v>
      </c>
      <c r="O193" s="766">
        <f t="shared" ca="1" si="6"/>
        <v>12.505068585038675</v>
      </c>
    </row>
    <row r="194" spans="2:15" ht="22.35" customHeight="1" thickTop="1" thickBot="1">
      <c r="B194" s="762">
        <f ca="1">IF($E$19="SAC",SAC_CORR!B169,PRICE_CORR!B169)</f>
        <v>49308</v>
      </c>
      <c r="C194" s="763">
        <f t="shared" ca="1" si="7"/>
        <v>1536.836473103931</v>
      </c>
      <c r="D194" s="764">
        <f ca="1">IF($E$19="SAC",SAC_CORR!C169,PRICE_CORR!C169)</f>
        <v>889.99100827727909</v>
      </c>
      <c r="E194" s="764">
        <f ca="1">IF($E$19="SAC",IF(SAC_CORR!$J169="Carencia",0,SAC_CORR!D169),IF(PRICE_CORR!$J169="Carencia",0,PRICE_CORR!D169))</f>
        <v>646.84546482665201</v>
      </c>
      <c r="F194" s="764">
        <f ca="1">IF($E$19="SAC",SAC_CORR!E169,PRICE_CORR!E169)</f>
        <v>69419.298645627074</v>
      </c>
      <c r="G194" s="764">
        <f ca="1">IF($E$19="SAC",IF(SAC_CORR!$J169="Carencia",0,SAC_CORR!F169),IF(PRICE_CORR!$J169="Carencia",0,PRICE_CORR!F169))</f>
        <v>14.764950827319916</v>
      </c>
      <c r="H194" s="764">
        <f ca="1">IF($E$19="SAC",IF(SAC_CORR!$J169="Carencia",0,SAC_CORR!G169),IF(PRICE_CORR!$J169="Carencia",0,PRICE_CORR!G169))</f>
        <v>26.319999999999997</v>
      </c>
      <c r="I194" s="764">
        <f ca="1">IF($E$19="SAC",IF(SAC_CORR!$J169="Carencia",0,SAC_CORR!H169),IF(PRICE_CORR!$J169="Carencia",0,PRICE_CORR!H169))</f>
        <v>25</v>
      </c>
      <c r="J194" s="764">
        <f ca="1">IF($E$19="SAC",SAC_CORR!I169,PRICE_CORR!I169)</f>
        <v>1602.9214239312507</v>
      </c>
      <c r="K194" s="911"/>
      <c r="N194" s="765">
        <f t="shared" ca="1" si="8"/>
        <v>1602.9214239312507</v>
      </c>
      <c r="O194" s="766">
        <f t="shared" ca="1" si="6"/>
        <v>12.350990755939536</v>
      </c>
    </row>
    <row r="195" spans="2:15" ht="22.35" customHeight="1" thickTop="1" thickBot="1">
      <c r="B195" s="762">
        <f ca="1">IF($E$19="SAC",SAC_CORR!B170,PRICE_CORR!B170)</f>
        <v>49339</v>
      </c>
      <c r="C195" s="763">
        <f t="shared" ca="1" si="7"/>
        <v>1528.6485558276443</v>
      </c>
      <c r="D195" s="764">
        <f ca="1">IF($E$19="SAC",SAC_CORR!C170,PRICE_CORR!C170)</f>
        <v>889.99100827727909</v>
      </c>
      <c r="E195" s="764">
        <f ca="1">IF($E$19="SAC",IF(SAC_CORR!$J170="Carencia",0,SAC_CORR!D170),IF(PRICE_CORR!$J170="Carencia",0,PRICE_CORR!D170))</f>
        <v>638.65754755036517</v>
      </c>
      <c r="F195" s="764">
        <f ca="1">IF($E$19="SAC",SAC_CORR!E170,PRICE_CORR!E170)</f>
        <v>68529.30763734979</v>
      </c>
      <c r="G195" s="764">
        <f ca="1">IF($E$19="SAC",IF(SAC_CORR!$J170="Carencia",0,SAC_CORR!F170),IF(PRICE_CORR!$J170="Carencia",0,PRICE_CORR!F170))</f>
        <v>14.578052715581686</v>
      </c>
      <c r="H195" s="764">
        <f ca="1">IF($E$19="SAC",IF(SAC_CORR!$J170="Carencia",0,SAC_CORR!G170),IF(PRICE_CORR!$J170="Carencia",0,PRICE_CORR!G170))</f>
        <v>26.319999999999997</v>
      </c>
      <c r="I195" s="764">
        <f ca="1">IF($E$19="SAC",IF(SAC_CORR!$J170="Carencia",0,SAC_CORR!H170),IF(PRICE_CORR!$J170="Carencia",0,PRICE_CORR!H170))</f>
        <v>25</v>
      </c>
      <c r="J195" s="764">
        <f ca="1">IF($E$19="SAC",SAC_CORR!I170,PRICE_CORR!I170)</f>
        <v>1594.5466085432258</v>
      </c>
      <c r="K195" s="911"/>
      <c r="N195" s="765">
        <f t="shared" ca="1" si="8"/>
        <v>1594.5466085432258</v>
      </c>
      <c r="O195" s="766">
        <f t="shared" ca="1" si="6"/>
        <v>12.195363709092204</v>
      </c>
    </row>
    <row r="196" spans="2:15" ht="22.35" customHeight="1" thickTop="1" thickBot="1">
      <c r="B196" s="762">
        <f ca="1">IF($E$19="SAC",SAC_CORR!B171,PRICE_CORR!B171)</f>
        <v>49368</v>
      </c>
      <c r="C196" s="763">
        <f t="shared" ca="1" si="7"/>
        <v>1520.4606385513573</v>
      </c>
      <c r="D196" s="764">
        <f ca="1">IF($E$19="SAC",SAC_CORR!C171,PRICE_CORR!C171)</f>
        <v>889.99100827727909</v>
      </c>
      <c r="E196" s="764">
        <f ca="1">IF($E$19="SAC",IF(SAC_CORR!$J171="Carencia",0,SAC_CORR!D171),IF(PRICE_CORR!$J171="Carencia",0,PRICE_CORR!D171))</f>
        <v>630.46963027407821</v>
      </c>
      <c r="F196" s="764">
        <f ca="1">IF($E$19="SAC",SAC_CORR!E171,PRICE_CORR!E171)</f>
        <v>67639.316629072506</v>
      </c>
      <c r="G196" s="764">
        <f ca="1">IF($E$19="SAC",IF(SAC_CORR!$J171="Carencia",0,SAC_CORR!F171),IF(PRICE_CORR!$J171="Carencia",0,PRICE_CORR!F171))</f>
        <v>14.391154603843457</v>
      </c>
      <c r="H196" s="764">
        <f ca="1">IF($E$19="SAC",IF(SAC_CORR!$J171="Carencia",0,SAC_CORR!G171),IF(PRICE_CORR!$J171="Carencia",0,PRICE_CORR!G171))</f>
        <v>26.319999999999997</v>
      </c>
      <c r="I196" s="764">
        <f ca="1">IF($E$19="SAC",IF(SAC_CORR!$J171="Carencia",0,SAC_CORR!H171),IF(PRICE_CORR!$J171="Carencia",0,PRICE_CORR!H171))</f>
        <v>25</v>
      </c>
      <c r="J196" s="764">
        <f ca="1">IF($E$19="SAC",SAC_CORR!I171,PRICE_CORR!I171)</f>
        <v>1586.1717931552007</v>
      </c>
      <c r="K196" s="911"/>
      <c r="N196" s="765">
        <f t="shared" ca="1" si="8"/>
        <v>1586.1717931552007</v>
      </c>
      <c r="O196" s="766">
        <f t="shared" ca="1" si="6"/>
        <v>12.047756728398591</v>
      </c>
    </row>
    <row r="197" spans="2:15" ht="22.35" customHeight="1" thickTop="1" thickBot="1">
      <c r="B197" s="762">
        <f ca="1">IF($E$19="SAC",SAC_CORR!B172,PRICE_CORR!B172)</f>
        <v>49398</v>
      </c>
      <c r="C197" s="763">
        <f t="shared" ca="1" si="7"/>
        <v>1512.2727212750706</v>
      </c>
      <c r="D197" s="764">
        <f ca="1">IF($E$19="SAC",SAC_CORR!C172,PRICE_CORR!C172)</f>
        <v>889.99100827727909</v>
      </c>
      <c r="E197" s="764">
        <f ca="1">IF($E$19="SAC",IF(SAC_CORR!$J172="Carencia",0,SAC_CORR!D172),IF(PRICE_CORR!$J172="Carencia",0,PRICE_CORR!D172))</f>
        <v>622.28171299779137</v>
      </c>
      <c r="F197" s="764">
        <f ca="1">IF($E$19="SAC",SAC_CORR!E172,PRICE_CORR!E172)</f>
        <v>66749.325620795222</v>
      </c>
      <c r="G197" s="764">
        <f ca="1">IF($E$19="SAC",IF(SAC_CORR!$J172="Carencia",0,SAC_CORR!F172),IF(PRICE_CORR!$J172="Carencia",0,PRICE_CORR!F172))</f>
        <v>14.204256492105227</v>
      </c>
      <c r="H197" s="764">
        <f ca="1">IF($E$19="SAC",IF(SAC_CORR!$J172="Carencia",0,SAC_CORR!G172),IF(PRICE_CORR!$J172="Carencia",0,PRICE_CORR!G172))</f>
        <v>26.319999999999997</v>
      </c>
      <c r="I197" s="764">
        <f ca="1">IF($E$19="SAC",IF(SAC_CORR!$J172="Carencia",0,SAC_CORR!H172),IF(PRICE_CORR!$J172="Carencia",0,PRICE_CORR!H172))</f>
        <v>25</v>
      </c>
      <c r="J197" s="764">
        <f ca="1">IF($E$19="SAC",SAC_CORR!I172,PRICE_CORR!I172)</f>
        <v>1577.7969777671758</v>
      </c>
      <c r="K197" s="911"/>
      <c r="N197" s="765">
        <f t="shared" ca="1" si="8"/>
        <v>1577.7969777671758</v>
      </c>
      <c r="O197" s="766">
        <f t="shared" ca="1" si="6"/>
        <v>11.898568028263512</v>
      </c>
    </row>
    <row r="198" spans="2:15" ht="22.35" customHeight="1" thickTop="1" thickBot="1">
      <c r="B198" s="762">
        <f ca="1">IF($E$19="SAC",SAC_CORR!B173,PRICE_CORR!B173)</f>
        <v>49429</v>
      </c>
      <c r="C198" s="763">
        <f t="shared" ca="1" si="7"/>
        <v>1504.0848039987836</v>
      </c>
      <c r="D198" s="764">
        <f ca="1">IF($E$19="SAC",SAC_CORR!C173,PRICE_CORR!C173)</f>
        <v>889.99100827727909</v>
      </c>
      <c r="E198" s="764">
        <f ca="1">IF($E$19="SAC",IF(SAC_CORR!$J173="Carencia",0,SAC_CORR!D173),IF(PRICE_CORR!$J173="Carencia",0,PRICE_CORR!D173))</f>
        <v>614.09379572150453</v>
      </c>
      <c r="F198" s="764">
        <f ca="1">IF($E$19="SAC",SAC_CORR!E173,PRICE_CORR!E173)</f>
        <v>65859.334612517938</v>
      </c>
      <c r="G198" s="764">
        <f ca="1">IF($E$19="SAC",IF(SAC_CORR!$J173="Carencia",0,SAC_CORR!F173),IF(PRICE_CORR!$J173="Carencia",0,PRICE_CORR!F173))</f>
        <v>14.017358380366996</v>
      </c>
      <c r="H198" s="764">
        <f ca="1">IF($E$19="SAC",IF(SAC_CORR!$J173="Carencia",0,SAC_CORR!G173),IF(PRICE_CORR!$J173="Carencia",0,PRICE_CORR!G173))</f>
        <v>26.319999999999997</v>
      </c>
      <c r="I198" s="764">
        <f ca="1">IF($E$19="SAC",IF(SAC_CORR!$J173="Carencia",0,SAC_CORR!H173),IF(PRICE_CORR!$J173="Carencia",0,PRICE_CORR!H173))</f>
        <v>25</v>
      </c>
      <c r="J198" s="764">
        <f ca="1">IF($E$19="SAC",SAC_CORR!I173,PRICE_CORR!I173)</f>
        <v>1569.4221623791504</v>
      </c>
      <c r="K198" s="911"/>
      <c r="N198" s="765">
        <f t="shared" ca="1" si="8"/>
        <v>1569.4221623791504</v>
      </c>
      <c r="O198" s="766">
        <f t="shared" ca="1" si="6"/>
        <v>11.747898825066795</v>
      </c>
    </row>
    <row r="199" spans="2:15" ht="22.35" customHeight="1" thickTop="1" thickBot="1">
      <c r="B199" s="762">
        <f ca="1">IF($E$19="SAC",SAC_CORR!B174,PRICE_CORR!B174)</f>
        <v>49459</v>
      </c>
      <c r="C199" s="763">
        <f t="shared" ca="1" si="7"/>
        <v>1495.8968867224967</v>
      </c>
      <c r="D199" s="764">
        <f ca="1">IF($E$19="SAC",SAC_CORR!C174,PRICE_CORR!C174)</f>
        <v>889.99100827727909</v>
      </c>
      <c r="E199" s="764">
        <f ca="1">IF($E$19="SAC",IF(SAC_CORR!$J174="Carencia",0,SAC_CORR!D174),IF(PRICE_CORR!$J174="Carencia",0,PRICE_CORR!D174))</f>
        <v>605.9058784452177</v>
      </c>
      <c r="F199" s="764">
        <f ca="1">IF($E$19="SAC",SAC_CORR!E174,PRICE_CORR!E174)</f>
        <v>64969.343604240661</v>
      </c>
      <c r="G199" s="764">
        <f ca="1">IF($E$19="SAC",IF(SAC_CORR!$J174="Carencia",0,SAC_CORR!F174),IF(PRICE_CORR!$J174="Carencia",0,PRICE_CORR!F174))</f>
        <v>13.830460268628768</v>
      </c>
      <c r="H199" s="764">
        <f ca="1">IF($E$19="SAC",IF(SAC_CORR!$J174="Carencia",0,SAC_CORR!G174),IF(PRICE_CORR!$J174="Carencia",0,PRICE_CORR!G174))</f>
        <v>26.319999999999997</v>
      </c>
      <c r="I199" s="764">
        <f ca="1">IF($E$19="SAC",IF(SAC_CORR!$J174="Carencia",0,SAC_CORR!H174),IF(PRICE_CORR!$J174="Carencia",0,PRICE_CORR!H174))</f>
        <v>25</v>
      </c>
      <c r="J199" s="764">
        <f ca="1">IF($E$19="SAC",SAC_CORR!I174,PRICE_CORR!I174)</f>
        <v>1561.0473469911253</v>
      </c>
      <c r="K199" s="911"/>
      <c r="N199" s="765">
        <f t="shared" ca="1" si="8"/>
        <v>1561.0473469911253</v>
      </c>
      <c r="O199" s="766">
        <f t="shared" ca="1" si="6"/>
        <v>11.601927430487299</v>
      </c>
    </row>
    <row r="200" spans="2:15" ht="22.35" customHeight="1" thickTop="1" thickBot="1">
      <c r="B200" s="762">
        <f ca="1">IF($E$19="SAC",SAC_CORR!B175,PRICE_CORR!B175)</f>
        <v>49490</v>
      </c>
      <c r="C200" s="763">
        <f t="shared" ca="1" si="7"/>
        <v>1487.7089694462099</v>
      </c>
      <c r="D200" s="764">
        <f ca="1">IF($E$19="SAC",SAC_CORR!C175,PRICE_CORR!C175)</f>
        <v>889.99100827727909</v>
      </c>
      <c r="E200" s="764">
        <f ca="1">IF($E$19="SAC",IF(SAC_CORR!$J175="Carencia",0,SAC_CORR!D175),IF(PRICE_CORR!$J175="Carencia",0,PRICE_CORR!D175))</f>
        <v>597.71796116893086</v>
      </c>
      <c r="F200" s="764">
        <f ca="1">IF($E$19="SAC",SAC_CORR!E175,PRICE_CORR!E175)</f>
        <v>64079.352595963384</v>
      </c>
      <c r="G200" s="764">
        <f ca="1">IF($E$19="SAC",IF(SAC_CORR!$J175="Carencia",0,SAC_CORR!F175),IF(PRICE_CORR!$J175="Carencia",0,PRICE_CORR!F175))</f>
        <v>13.643562156890539</v>
      </c>
      <c r="H200" s="764">
        <f ca="1">IF($E$19="SAC",IF(SAC_CORR!$J175="Carencia",0,SAC_CORR!G175),IF(PRICE_CORR!$J175="Carencia",0,PRICE_CORR!G175))</f>
        <v>26.319999999999997</v>
      </c>
      <c r="I200" s="764">
        <f ca="1">IF($E$19="SAC",IF(SAC_CORR!$J175="Carencia",0,SAC_CORR!H175),IF(PRICE_CORR!$J175="Carencia",0,PRICE_CORR!H175))</f>
        <v>25</v>
      </c>
      <c r="J200" s="764">
        <f ca="1">IF($E$19="SAC",SAC_CORR!I175,PRICE_CORR!I175)</f>
        <v>1552.6725316031004</v>
      </c>
      <c r="K200" s="911"/>
      <c r="N200" s="765">
        <f t="shared" ca="1" si="8"/>
        <v>1552.6725316031004</v>
      </c>
      <c r="O200" s="766">
        <f t="shared" ca="1" si="6"/>
        <v>11.454520402501473</v>
      </c>
    </row>
    <row r="201" spans="2:15" ht="22.35" customHeight="1" thickTop="1" thickBot="1">
      <c r="B201" s="762">
        <f ca="1">IF($E$19="SAC",SAC_CORR!B176,PRICE_CORR!B176)</f>
        <v>49520</v>
      </c>
      <c r="C201" s="763">
        <f t="shared" ca="1" si="7"/>
        <v>1479.5210521699232</v>
      </c>
      <c r="D201" s="764">
        <f ca="1">IF($E$19="SAC",SAC_CORR!C176,PRICE_CORR!C176)</f>
        <v>889.99100827727909</v>
      </c>
      <c r="E201" s="764">
        <f ca="1">IF($E$19="SAC",IF(SAC_CORR!$J176="Carencia",0,SAC_CORR!D176),IF(PRICE_CORR!$J176="Carencia",0,PRICE_CORR!D176))</f>
        <v>589.53004389264413</v>
      </c>
      <c r="F201" s="764">
        <f ca="1">IF($E$19="SAC",SAC_CORR!E176,PRICE_CORR!E176)</f>
        <v>63189.361587686108</v>
      </c>
      <c r="G201" s="764">
        <f ca="1">IF($E$19="SAC",IF(SAC_CORR!$J176="Carencia",0,SAC_CORR!F176),IF(PRICE_CORR!$J176="Carencia",0,PRICE_CORR!F176))</f>
        <v>13.456664045152312</v>
      </c>
      <c r="H201" s="764">
        <f ca="1">IF($E$19="SAC",IF(SAC_CORR!$J176="Carencia",0,SAC_CORR!G176),IF(PRICE_CORR!$J176="Carencia",0,PRICE_CORR!G176))</f>
        <v>26.319999999999997</v>
      </c>
      <c r="I201" s="764">
        <f ca="1">IF($E$19="SAC",IF(SAC_CORR!$J176="Carencia",0,SAC_CORR!H176),IF(PRICE_CORR!$J176="Carencia",0,PRICE_CORR!H176))</f>
        <v>25</v>
      </c>
      <c r="J201" s="764">
        <f ca="1">IF($E$19="SAC",SAC_CORR!I176,PRICE_CORR!I176)</f>
        <v>1544.2977162150755</v>
      </c>
      <c r="K201" s="911"/>
      <c r="N201" s="765">
        <f t="shared" ca="1" si="8"/>
        <v>1544.2977162150755</v>
      </c>
      <c r="O201" s="766">
        <f t="shared" ca="1" si="6"/>
        <v>11.311701799338953</v>
      </c>
    </row>
    <row r="202" spans="2:15" ht="22.35" customHeight="1" thickTop="1" thickBot="1">
      <c r="B202" s="762">
        <f ca="1">IF($E$19="SAC",SAC_CORR!B177,PRICE_CORR!B177)</f>
        <v>49551</v>
      </c>
      <c r="C202" s="763">
        <f t="shared" ca="1" si="7"/>
        <v>1471.3331348936363</v>
      </c>
      <c r="D202" s="764">
        <f ca="1">IF($E$19="SAC",SAC_CORR!C177,PRICE_CORR!C177)</f>
        <v>889.99100827727909</v>
      </c>
      <c r="E202" s="764">
        <f ca="1">IF($E$19="SAC",IF(SAC_CORR!$J177="Carencia",0,SAC_CORR!D177),IF(PRICE_CORR!$J177="Carencia",0,PRICE_CORR!D177))</f>
        <v>581.34212661635729</v>
      </c>
      <c r="F202" s="764">
        <f ca="1">IF($E$19="SAC",SAC_CORR!E177,PRICE_CORR!E177)</f>
        <v>62299.370579408831</v>
      </c>
      <c r="G202" s="764">
        <f ca="1">IF($E$19="SAC",IF(SAC_CORR!$J177="Carencia",0,SAC_CORR!F177),IF(PRICE_CORR!$J177="Carencia",0,PRICE_CORR!F177))</f>
        <v>13.269765933414083</v>
      </c>
      <c r="H202" s="764">
        <f ca="1">IF($E$19="SAC",IF(SAC_CORR!$J177="Carencia",0,SAC_CORR!G177),IF(PRICE_CORR!$J177="Carencia",0,PRICE_CORR!G177))</f>
        <v>26.319999999999997</v>
      </c>
      <c r="I202" s="764">
        <f ca="1">IF($E$19="SAC",IF(SAC_CORR!$J177="Carencia",0,SAC_CORR!H177),IF(PRICE_CORR!$J177="Carencia",0,PRICE_CORR!H177))</f>
        <v>25</v>
      </c>
      <c r="J202" s="764">
        <f ca="1">IF($E$19="SAC",SAC_CORR!I177,PRICE_CORR!I177)</f>
        <v>1535.9229008270504</v>
      </c>
      <c r="K202" s="911"/>
      <c r="N202" s="765">
        <f t="shared" ca="1" si="8"/>
        <v>1535.9229008270504</v>
      </c>
      <c r="O202" s="766">
        <f t="shared" ca="1" si="6"/>
        <v>11.1674913818647</v>
      </c>
    </row>
    <row r="203" spans="2:15" ht="22.35" customHeight="1" thickTop="1" thickBot="1">
      <c r="B203" s="762">
        <f ca="1">IF($E$19="SAC",SAC_CORR!B178,PRICE_CORR!B178)</f>
        <v>49582</v>
      </c>
      <c r="C203" s="763">
        <f t="shared" ca="1" si="7"/>
        <v>1463.1452176173495</v>
      </c>
      <c r="D203" s="764">
        <f ca="1">IF($E$19="SAC",SAC_CORR!C178,PRICE_CORR!C178)</f>
        <v>889.99100827727909</v>
      </c>
      <c r="E203" s="764">
        <f ca="1">IF($E$19="SAC",IF(SAC_CORR!$J178="Carencia",0,SAC_CORR!D178),IF(PRICE_CORR!$J178="Carencia",0,PRICE_CORR!D178))</f>
        <v>573.15420934007045</v>
      </c>
      <c r="F203" s="764">
        <f ca="1">IF($E$19="SAC",SAC_CORR!E178,PRICE_CORR!E178)</f>
        <v>61409.379571131554</v>
      </c>
      <c r="G203" s="764">
        <f ca="1">IF($E$19="SAC",IF(SAC_CORR!$J178="Carencia",0,SAC_CORR!F178),IF(PRICE_CORR!$J178="Carencia",0,PRICE_CORR!F178))</f>
        <v>13.082867821675855</v>
      </c>
      <c r="H203" s="764">
        <f ca="1">IF($E$19="SAC",IF(SAC_CORR!$J178="Carencia",0,SAC_CORR!G178),IF(PRICE_CORR!$J178="Carencia",0,PRICE_CORR!G178))</f>
        <v>26.319999999999997</v>
      </c>
      <c r="I203" s="764">
        <f ca="1">IF($E$19="SAC",IF(SAC_CORR!$J178="Carencia",0,SAC_CORR!H178),IF(PRICE_CORR!$J178="Carencia",0,PRICE_CORR!H178))</f>
        <v>25</v>
      </c>
      <c r="J203" s="764">
        <f ca="1">IF($E$19="SAC",SAC_CORR!I178,PRICE_CORR!I178)</f>
        <v>1527.5480854390253</v>
      </c>
      <c r="K203" s="911"/>
      <c r="N203" s="765">
        <f t="shared" ca="1" si="8"/>
        <v>1527.5480854390253</v>
      </c>
      <c r="O203" s="766">
        <f t="shared" ca="1" si="6"/>
        <v>11.024873759021842</v>
      </c>
    </row>
    <row r="204" spans="2:15" ht="22.35" customHeight="1" thickTop="1" thickBot="1">
      <c r="B204" s="762">
        <f ca="1">IF($E$19="SAC",SAC_CORR!B179,PRICE_CORR!B179)</f>
        <v>49612</v>
      </c>
      <c r="C204" s="763">
        <f t="shared" ca="1" si="7"/>
        <v>1454.9573003410628</v>
      </c>
      <c r="D204" s="764">
        <f ca="1">IF($E$19="SAC",SAC_CORR!C179,PRICE_CORR!C179)</f>
        <v>889.99100827727909</v>
      </c>
      <c r="E204" s="764">
        <f ca="1">IF($E$19="SAC",IF(SAC_CORR!$J179="Carencia",0,SAC_CORR!D179),IF(PRICE_CORR!$J179="Carencia",0,PRICE_CORR!D179))</f>
        <v>564.96629206378373</v>
      </c>
      <c r="F204" s="764">
        <f ca="1">IF($E$19="SAC",SAC_CORR!E179,PRICE_CORR!E179)</f>
        <v>60519.388562854278</v>
      </c>
      <c r="G204" s="764">
        <f ca="1">IF($E$19="SAC",IF(SAC_CORR!$J179="Carencia",0,SAC_CORR!F179),IF(PRICE_CORR!$J179="Carencia",0,PRICE_CORR!F179))</f>
        <v>12.895969709937628</v>
      </c>
      <c r="H204" s="764">
        <f ca="1">IF($E$19="SAC",IF(SAC_CORR!$J179="Carencia",0,SAC_CORR!G179),IF(PRICE_CORR!$J179="Carencia",0,PRICE_CORR!G179))</f>
        <v>26.319999999999997</v>
      </c>
      <c r="I204" s="764">
        <f ca="1">IF($E$19="SAC",IF(SAC_CORR!$J179="Carencia",0,SAC_CORR!H179),IF(PRICE_CORR!$J179="Carencia",0,PRICE_CORR!H179))</f>
        <v>25</v>
      </c>
      <c r="J204" s="764">
        <f ca="1">IF($E$19="SAC",SAC_CORR!I179,PRICE_CORR!I179)</f>
        <v>1519.1732700510004</v>
      </c>
      <c r="K204" s="911"/>
      <c r="N204" s="765">
        <f t="shared" ca="1" si="8"/>
        <v>1519.1732700510004</v>
      </c>
      <c r="O204" s="766">
        <f t="shared" ca="1" si="6"/>
        <v>10.886684180190455</v>
      </c>
    </row>
    <row r="205" spans="2:15" ht="22.35" customHeight="1" thickTop="1" thickBot="1">
      <c r="B205" s="762">
        <f ca="1">IF($E$19="SAC",SAC_CORR!B180,PRICE_CORR!B180)</f>
        <v>49643</v>
      </c>
      <c r="C205" s="763">
        <f t="shared" ca="1" si="7"/>
        <v>1446.7693830647759</v>
      </c>
      <c r="D205" s="764">
        <f ca="1">IF($E$19="SAC",SAC_CORR!C180,PRICE_CORR!C180)</f>
        <v>889.99100827727909</v>
      </c>
      <c r="E205" s="764">
        <f ca="1">IF($E$19="SAC",IF(SAC_CORR!$J180="Carencia",0,SAC_CORR!D180),IF(PRICE_CORR!$J180="Carencia",0,PRICE_CORR!D180))</f>
        <v>556.77837478749689</v>
      </c>
      <c r="F205" s="764">
        <f ca="1">IF($E$19="SAC",SAC_CORR!E180,PRICE_CORR!E180)</f>
        <v>59629.397554577001</v>
      </c>
      <c r="G205" s="764">
        <f ca="1">IF($E$19="SAC",IF(SAC_CORR!$J180="Carencia",0,SAC_CORR!F180),IF(PRICE_CORR!$J180="Carencia",0,PRICE_CORR!F180))</f>
        <v>12.709071598199399</v>
      </c>
      <c r="H205" s="764">
        <f ca="1">IF($E$19="SAC",IF(SAC_CORR!$J180="Carencia",0,SAC_CORR!G180),IF(PRICE_CORR!$J180="Carencia",0,PRICE_CORR!G180))</f>
        <v>26.319999999999997</v>
      </c>
      <c r="I205" s="764">
        <f ca="1">IF($E$19="SAC",IF(SAC_CORR!$J180="Carencia",0,SAC_CORR!H180),IF(PRICE_CORR!$J180="Carencia",0,PRICE_CORR!H180))</f>
        <v>25</v>
      </c>
      <c r="J205" s="764">
        <f ca="1">IF($E$19="SAC",SAC_CORR!I180,PRICE_CORR!I180)</f>
        <v>1510.7984546629752</v>
      </c>
      <c r="K205" s="911"/>
      <c r="N205" s="765">
        <f t="shared" ca="1" si="8"/>
        <v>1510.7984546629752</v>
      </c>
      <c r="O205" s="766">
        <f t="shared" ca="1" si="6"/>
        <v>10.747166767900863</v>
      </c>
    </row>
    <row r="206" spans="2:15" ht="22.35" customHeight="1" thickTop="1" thickBot="1">
      <c r="B206" s="762">
        <f ca="1">IF($E$19="SAC",SAC_CORR!B181,PRICE_CORR!B181)</f>
        <v>49673</v>
      </c>
      <c r="C206" s="763">
        <f t="shared" ca="1" si="7"/>
        <v>1438.5814657884894</v>
      </c>
      <c r="D206" s="764">
        <f ca="1">IF($E$19="SAC",SAC_CORR!C181,PRICE_CORR!C181)</f>
        <v>889.99100827727909</v>
      </c>
      <c r="E206" s="764">
        <f ca="1">IF($E$19="SAC",IF(SAC_CORR!$J181="Carencia",0,SAC_CORR!D181),IF(PRICE_CORR!$J181="Carencia",0,PRICE_CORR!D181))</f>
        <v>548.59045751121016</v>
      </c>
      <c r="F206" s="764">
        <f ca="1">IF($E$19="SAC",SAC_CORR!E181,PRICE_CORR!E181)</f>
        <v>58739.406546299724</v>
      </c>
      <c r="G206" s="764">
        <f ca="1">IF($E$19="SAC",IF(SAC_CORR!$J181="Carencia",0,SAC_CORR!F181),IF(PRICE_CORR!$J181="Carencia",0,PRICE_CORR!F181))</f>
        <v>12.52217348646117</v>
      </c>
      <c r="H206" s="764">
        <f ca="1">IF($E$19="SAC",IF(SAC_CORR!$J181="Carencia",0,SAC_CORR!G181),IF(PRICE_CORR!$J181="Carencia",0,PRICE_CORR!G181))</f>
        <v>26.319999999999997</v>
      </c>
      <c r="I206" s="764">
        <f ca="1">IF($E$19="SAC",IF(SAC_CORR!$J181="Carencia",0,SAC_CORR!H181),IF(PRICE_CORR!$J181="Carencia",0,PRICE_CORR!H181))</f>
        <v>25</v>
      </c>
      <c r="J206" s="764">
        <f ca="1">IF($E$19="SAC",SAC_CORR!I181,PRICE_CORR!I181)</f>
        <v>1502.4236392749506</v>
      </c>
      <c r="K206" s="911"/>
      <c r="N206" s="765">
        <f t="shared" ca="1" si="8"/>
        <v>1502.4236392749506</v>
      </c>
      <c r="O206" s="766">
        <f t="shared" ca="1" si="6"/>
        <v>10.611973663941585</v>
      </c>
    </row>
    <row r="207" spans="2:15" ht="22.35" customHeight="1" thickTop="1" thickBot="1">
      <c r="B207" s="762">
        <f ca="1">IF($E$19="SAC",SAC_CORR!B182,PRICE_CORR!B182)</f>
        <v>49704</v>
      </c>
      <c r="C207" s="763">
        <f t="shared" ca="1" si="7"/>
        <v>1430.3935485122024</v>
      </c>
      <c r="D207" s="764">
        <f ca="1">IF($E$19="SAC",SAC_CORR!C182,PRICE_CORR!C182)</f>
        <v>889.99100827727909</v>
      </c>
      <c r="E207" s="764">
        <f ca="1">IF($E$19="SAC",IF(SAC_CORR!$J182="Carencia",0,SAC_CORR!D182),IF(PRICE_CORR!$J182="Carencia",0,PRICE_CORR!D182))</f>
        <v>540.40254023492332</v>
      </c>
      <c r="F207" s="764">
        <f ca="1">IF($E$19="SAC",SAC_CORR!E182,PRICE_CORR!E182)</f>
        <v>57849.415538022447</v>
      </c>
      <c r="G207" s="764">
        <f ca="1">IF($E$19="SAC",IF(SAC_CORR!$J182="Carencia",0,SAC_CORR!F182),IF(PRICE_CORR!$J182="Carencia",0,PRICE_CORR!F182))</f>
        <v>12.335275374722942</v>
      </c>
      <c r="H207" s="764">
        <f ca="1">IF($E$19="SAC",IF(SAC_CORR!$J182="Carencia",0,SAC_CORR!G182),IF(PRICE_CORR!$J182="Carencia",0,PRICE_CORR!G182))</f>
        <v>26.319999999999997</v>
      </c>
      <c r="I207" s="764">
        <f ca="1">IF($E$19="SAC",IF(SAC_CORR!$J182="Carencia",0,SAC_CORR!H182),IF(PRICE_CORR!$J182="Carencia",0,PRICE_CORR!H182))</f>
        <v>25</v>
      </c>
      <c r="J207" s="764">
        <f ca="1">IF($E$19="SAC",SAC_CORR!I182,PRICE_CORR!I182)</f>
        <v>1494.0488238869252</v>
      </c>
      <c r="K207" s="911"/>
      <c r="N207" s="765">
        <f t="shared" ca="1" si="8"/>
        <v>1494.0488238869252</v>
      </c>
      <c r="O207" s="766">
        <f t="shared" ca="1" si="6"/>
        <v>10.475494009253309</v>
      </c>
    </row>
    <row r="208" spans="2:15" ht="22.35" customHeight="1" thickTop="1" thickBot="1">
      <c r="B208" s="762">
        <f ca="1">IF($E$19="SAC",SAC_CORR!B183,PRICE_CORR!B183)</f>
        <v>49734</v>
      </c>
      <c r="C208" s="763">
        <f t="shared" ca="1" si="7"/>
        <v>1422.2056312359157</v>
      </c>
      <c r="D208" s="764">
        <f ca="1">IF($E$19="SAC",SAC_CORR!C183,PRICE_CORR!C183)</f>
        <v>889.99100827727909</v>
      </c>
      <c r="E208" s="764">
        <f ca="1">IF($E$19="SAC",IF(SAC_CORR!$J183="Carencia",0,SAC_CORR!D183),IF(PRICE_CORR!$J183="Carencia",0,PRICE_CORR!D183))</f>
        <v>532.2146229586366</v>
      </c>
      <c r="F208" s="764">
        <f ca="1">IF($E$19="SAC",SAC_CORR!E183,PRICE_CORR!E183)</f>
        <v>56959.424529745171</v>
      </c>
      <c r="G208" s="764">
        <f ca="1">IF($E$19="SAC",IF(SAC_CORR!$J183="Carencia",0,SAC_CORR!F183),IF(PRICE_CORR!$J183="Carencia",0,PRICE_CORR!F183))</f>
        <v>12.148377262984715</v>
      </c>
      <c r="H208" s="764">
        <f ca="1">IF($E$19="SAC",IF(SAC_CORR!$J183="Carencia",0,SAC_CORR!G183),IF(PRICE_CORR!$J183="Carencia",0,PRICE_CORR!G183))</f>
        <v>26.319999999999997</v>
      </c>
      <c r="I208" s="764">
        <f ca="1">IF($E$19="SAC",IF(SAC_CORR!$J183="Carencia",0,SAC_CORR!H183),IF(PRICE_CORR!$J183="Carencia",0,PRICE_CORR!H183))</f>
        <v>25</v>
      </c>
      <c r="J208" s="764">
        <f ca="1">IF($E$19="SAC",SAC_CORR!I183,PRICE_CORR!I183)</f>
        <v>1485.6740084989003</v>
      </c>
      <c r="K208" s="911"/>
      <c r="N208" s="765">
        <f t="shared" ca="1" si="8"/>
        <v>1485.6740084989003</v>
      </c>
      <c r="O208" s="766">
        <f t="shared" ca="1" si="6"/>
        <v>10.343237103412102</v>
      </c>
    </row>
    <row r="209" spans="2:15" ht="22.35" customHeight="1" thickTop="1" thickBot="1">
      <c r="B209" s="762">
        <f ca="1">IF($E$19="SAC",SAC_CORR!B184,PRICE_CORR!B184)</f>
        <v>49764</v>
      </c>
      <c r="C209" s="763">
        <f t="shared" ca="1" si="7"/>
        <v>1414.017713959629</v>
      </c>
      <c r="D209" s="764">
        <f ca="1">IF($E$19="SAC",SAC_CORR!C184,PRICE_CORR!C184)</f>
        <v>889.99100827727909</v>
      </c>
      <c r="E209" s="764">
        <f ca="1">IF($E$19="SAC",IF(SAC_CORR!$J184="Carencia",0,SAC_CORR!D184),IF(PRICE_CORR!$J184="Carencia",0,PRICE_CORR!D184))</f>
        <v>524.02670568234976</v>
      </c>
      <c r="F209" s="764">
        <f ca="1">IF($E$19="SAC",SAC_CORR!E184,PRICE_CORR!E184)</f>
        <v>56069.433521467894</v>
      </c>
      <c r="G209" s="764">
        <f ca="1">IF($E$19="SAC",IF(SAC_CORR!$J184="Carencia",0,SAC_CORR!F184),IF(PRICE_CORR!$J184="Carencia",0,PRICE_CORR!F184))</f>
        <v>11.961479151246486</v>
      </c>
      <c r="H209" s="764">
        <f ca="1">IF($E$19="SAC",IF(SAC_CORR!$J184="Carencia",0,SAC_CORR!G184),IF(PRICE_CORR!$J184="Carencia",0,PRICE_CORR!G184))</f>
        <v>26.319999999999997</v>
      </c>
      <c r="I209" s="764">
        <f ca="1">IF($E$19="SAC",IF(SAC_CORR!$J184="Carencia",0,SAC_CORR!H184),IF(PRICE_CORR!$J184="Carencia",0,PRICE_CORR!H184))</f>
        <v>25</v>
      </c>
      <c r="J209" s="764">
        <f ca="1">IF($E$19="SAC",SAC_CORR!I184,PRICE_CORR!I184)</f>
        <v>1477.2991931108754</v>
      </c>
      <c r="K209" s="911"/>
      <c r="N209" s="765">
        <f t="shared" ca="1" si="8"/>
        <v>1477.2991931108754</v>
      </c>
      <c r="O209" s="766">
        <f t="shared" ca="1" si="6"/>
        <v>10.212408920364986</v>
      </c>
    </row>
    <row r="210" spans="2:15" ht="22.35" customHeight="1" thickTop="1" thickBot="1">
      <c r="B210" s="762">
        <f ca="1">IF($E$19="SAC",SAC_CORR!B185,PRICE_CORR!B185)</f>
        <v>49795</v>
      </c>
      <c r="C210" s="763">
        <f t="shared" ca="1" si="7"/>
        <v>1405.829796683342</v>
      </c>
      <c r="D210" s="764">
        <f ca="1">IF($E$19="SAC",SAC_CORR!C185,PRICE_CORR!C185)</f>
        <v>889.99100827727909</v>
      </c>
      <c r="E210" s="764">
        <f ca="1">IF($E$19="SAC",IF(SAC_CORR!$J185="Carencia",0,SAC_CORR!D185),IF(PRICE_CORR!$J185="Carencia",0,PRICE_CORR!D185))</f>
        <v>515.83878840606292</v>
      </c>
      <c r="F210" s="764">
        <f ca="1">IF($E$19="SAC",SAC_CORR!E185,PRICE_CORR!E185)</f>
        <v>55179.442513190617</v>
      </c>
      <c r="G210" s="764">
        <f ca="1">IF($E$19="SAC",IF(SAC_CORR!$J185="Carencia",0,SAC_CORR!F185),IF(PRICE_CORR!$J185="Carencia",0,PRICE_CORR!F185))</f>
        <v>11.774581039508258</v>
      </c>
      <c r="H210" s="764">
        <f ca="1">IF($E$19="SAC",IF(SAC_CORR!$J185="Carencia",0,SAC_CORR!G185),IF(PRICE_CORR!$J185="Carencia",0,PRICE_CORR!G185))</f>
        <v>26.319999999999997</v>
      </c>
      <c r="I210" s="764">
        <f ca="1">IF($E$19="SAC",IF(SAC_CORR!$J185="Carencia",0,SAC_CORR!H185),IF(PRICE_CORR!$J185="Carencia",0,PRICE_CORR!H185))</f>
        <v>25</v>
      </c>
      <c r="J210" s="764">
        <f ca="1">IF($E$19="SAC",SAC_CORR!I185,PRICE_CORR!I185)</f>
        <v>1468.9243777228503</v>
      </c>
      <c r="K210" s="911"/>
      <c r="N210" s="765">
        <f t="shared" ca="1" si="8"/>
        <v>1468.9243777228503</v>
      </c>
      <c r="O210" s="766">
        <f t="shared" ca="1" si="6"/>
        <v>10.080354127959533</v>
      </c>
    </row>
    <row r="211" spans="2:15" ht="22.35" customHeight="1" thickTop="1" thickBot="1">
      <c r="B211" s="762">
        <f ca="1">IF($E$19="SAC",SAC_CORR!B186,PRICE_CORR!B186)</f>
        <v>49825</v>
      </c>
      <c r="C211" s="763">
        <f t="shared" ca="1" si="7"/>
        <v>1397.6418794070553</v>
      </c>
      <c r="D211" s="764">
        <f ca="1">IF($E$19="SAC",SAC_CORR!C186,PRICE_CORR!C186)</f>
        <v>889.99100827727909</v>
      </c>
      <c r="E211" s="764">
        <f ca="1">IF($E$19="SAC",IF(SAC_CORR!$J186="Carencia",0,SAC_CORR!D186),IF(PRICE_CORR!$J186="Carencia",0,PRICE_CORR!D186))</f>
        <v>507.65087112977619</v>
      </c>
      <c r="F211" s="764">
        <f ca="1">IF($E$19="SAC",SAC_CORR!E186,PRICE_CORR!E186)</f>
        <v>54289.451504913341</v>
      </c>
      <c r="G211" s="764">
        <f ca="1">IF($E$19="SAC",IF(SAC_CORR!$J186="Carencia",0,SAC_CORR!F186),IF(PRICE_CORR!$J186="Carencia",0,PRICE_CORR!F186))</f>
        <v>11.587682927770031</v>
      </c>
      <c r="H211" s="764">
        <f ca="1">IF($E$19="SAC",IF(SAC_CORR!$J186="Carencia",0,SAC_CORR!G186),IF(PRICE_CORR!$J186="Carencia",0,PRICE_CORR!G186))</f>
        <v>26.319999999999997</v>
      </c>
      <c r="I211" s="764">
        <f ca="1">IF($E$19="SAC",IF(SAC_CORR!$J186="Carencia",0,SAC_CORR!H186),IF(PRICE_CORR!$J186="Carencia",0,PRICE_CORR!H186))</f>
        <v>25</v>
      </c>
      <c r="J211" s="764">
        <f ca="1">IF($E$19="SAC",SAC_CORR!I186,PRICE_CORR!I186)</f>
        <v>1460.5495623348252</v>
      </c>
      <c r="K211" s="911"/>
      <c r="N211" s="765">
        <f t="shared" ca="1" si="8"/>
        <v>1460.5495623348252</v>
      </c>
      <c r="O211" s="766">
        <f t="shared" ca="1" si="6"/>
        <v>9.9523742655796852</v>
      </c>
    </row>
    <row r="212" spans="2:15" ht="22.35" customHeight="1" thickTop="1" thickBot="1">
      <c r="B212" s="762">
        <f ca="1">IF($E$19="SAC",SAC_CORR!B187,PRICE_CORR!B187)</f>
        <v>49856</v>
      </c>
      <c r="C212" s="763">
        <f t="shared" ca="1" si="7"/>
        <v>1389.4539621307686</v>
      </c>
      <c r="D212" s="764">
        <f ca="1">IF($E$19="SAC",SAC_CORR!C187,PRICE_CORR!C187)</f>
        <v>889.99100827727909</v>
      </c>
      <c r="E212" s="764">
        <f ca="1">IF($E$19="SAC",IF(SAC_CORR!$J187="Carencia",0,SAC_CORR!D187),IF(PRICE_CORR!$J187="Carencia",0,PRICE_CORR!D187))</f>
        <v>499.46295385348935</v>
      </c>
      <c r="F212" s="764">
        <f ca="1">IF($E$19="SAC",SAC_CORR!E187,PRICE_CORR!E187)</f>
        <v>53399.460496636064</v>
      </c>
      <c r="G212" s="764">
        <f ca="1">IF($E$19="SAC",IF(SAC_CORR!$J187="Carencia",0,SAC_CORR!F187),IF(PRICE_CORR!$J187="Carencia",0,PRICE_CORR!F187))</f>
        <v>11.400784816031802</v>
      </c>
      <c r="H212" s="764">
        <f ca="1">IF($E$19="SAC",IF(SAC_CORR!$J187="Carencia",0,SAC_CORR!G187),IF(PRICE_CORR!$J187="Carencia",0,PRICE_CORR!G187))</f>
        <v>26.319999999999997</v>
      </c>
      <c r="I212" s="764">
        <f ca="1">IF($E$19="SAC",IF(SAC_CORR!$J187="Carencia",0,SAC_CORR!H187),IF(PRICE_CORR!$J187="Carencia",0,PRICE_CORR!H187))</f>
        <v>25</v>
      </c>
      <c r="J212" s="764">
        <f ca="1">IF($E$19="SAC",SAC_CORR!I187,PRICE_CORR!I187)</f>
        <v>1452.1747469468003</v>
      </c>
      <c r="K212" s="911"/>
      <c r="N212" s="765">
        <f t="shared" ca="1" si="8"/>
        <v>1452.1747469468003</v>
      </c>
      <c r="O212" s="766">
        <f t="shared" ca="1" si="6"/>
        <v>9.823206682052616</v>
      </c>
    </row>
    <row r="213" spans="2:15" ht="22.35" customHeight="1" thickTop="1" thickBot="1">
      <c r="B213" s="762">
        <f ca="1">IF($E$19="SAC",SAC_CORR!B188,PRICE_CORR!B188)</f>
        <v>49886</v>
      </c>
      <c r="C213" s="763">
        <f t="shared" ca="1" si="7"/>
        <v>1381.2660448544816</v>
      </c>
      <c r="D213" s="764">
        <f ca="1">IF($E$19="SAC",SAC_CORR!C188,PRICE_CORR!C188)</f>
        <v>889.99100827727909</v>
      </c>
      <c r="E213" s="764">
        <f ca="1">IF($E$19="SAC",IF(SAC_CORR!$J188="Carencia",0,SAC_CORR!D188),IF(PRICE_CORR!$J188="Carencia",0,PRICE_CORR!D188))</f>
        <v>491.27503657720257</v>
      </c>
      <c r="F213" s="764">
        <f ca="1">IF($E$19="SAC",SAC_CORR!E188,PRICE_CORR!E188)</f>
        <v>52509.469488358787</v>
      </c>
      <c r="G213" s="764">
        <f ca="1">IF($E$19="SAC",IF(SAC_CORR!$J188="Carencia",0,SAC_CORR!F188),IF(PRICE_CORR!$J188="Carencia",0,PRICE_CORR!F188))</f>
        <v>11.213886704293573</v>
      </c>
      <c r="H213" s="764">
        <f ca="1">IF($E$19="SAC",IF(SAC_CORR!$J188="Carencia",0,SAC_CORR!G188),IF(PRICE_CORR!$J188="Carencia",0,PRICE_CORR!G188))</f>
        <v>26.319999999999997</v>
      </c>
      <c r="I213" s="764">
        <f ca="1">IF($E$19="SAC",IF(SAC_CORR!$J188="Carencia",0,SAC_CORR!H188),IF(PRICE_CORR!$J188="Carencia",0,PRICE_CORR!H188))</f>
        <v>25</v>
      </c>
      <c r="J213" s="764">
        <f ca="1">IF($E$19="SAC",SAC_CORR!I188,PRICE_CORR!I188)</f>
        <v>1443.7999315587751</v>
      </c>
      <c r="K213" s="911"/>
      <c r="N213" s="765">
        <f t="shared" ca="1" si="8"/>
        <v>1443.7999315587751</v>
      </c>
      <c r="O213" s="766">
        <f t="shared" ca="1" si="6"/>
        <v>9.6980177109146837</v>
      </c>
    </row>
    <row r="214" spans="2:15" ht="22.35" customHeight="1" thickTop="1" thickBot="1">
      <c r="B214" s="762">
        <f ca="1">IF($E$19="SAC",SAC_CORR!B189,PRICE_CORR!B189)</f>
        <v>49917</v>
      </c>
      <c r="C214" s="763">
        <f t="shared" ca="1" si="7"/>
        <v>1373.0781275781949</v>
      </c>
      <c r="D214" s="764">
        <f ca="1">IF($E$19="SAC",SAC_CORR!C189,PRICE_CORR!C189)</f>
        <v>889.99100827727909</v>
      </c>
      <c r="E214" s="764">
        <f ca="1">IF($E$19="SAC",IF(SAC_CORR!$J189="Carencia",0,SAC_CORR!D189),IF(PRICE_CORR!$J189="Carencia",0,PRICE_CORR!D189))</f>
        <v>483.08711930091579</v>
      </c>
      <c r="F214" s="764">
        <f ca="1">IF($E$19="SAC",SAC_CORR!E189,PRICE_CORR!E189)</f>
        <v>51619.47848008151</v>
      </c>
      <c r="G214" s="764">
        <f ca="1">IF($E$19="SAC",IF(SAC_CORR!$J189="Carencia",0,SAC_CORR!F189),IF(PRICE_CORR!$J189="Carencia",0,PRICE_CORR!F189))</f>
        <v>11.026988592555346</v>
      </c>
      <c r="H214" s="764">
        <f ca="1">IF($E$19="SAC",IF(SAC_CORR!$J189="Carencia",0,SAC_CORR!G189),IF(PRICE_CORR!$J189="Carencia",0,PRICE_CORR!G189))</f>
        <v>26.319999999999997</v>
      </c>
      <c r="I214" s="764">
        <f ca="1">IF($E$19="SAC",IF(SAC_CORR!$J189="Carencia",0,SAC_CORR!H189),IF(PRICE_CORR!$J189="Carencia",0,PRICE_CORR!H189))</f>
        <v>25</v>
      </c>
      <c r="J214" s="764">
        <f ca="1">IF($E$19="SAC",SAC_CORR!I189,PRICE_CORR!I189)</f>
        <v>1435.4251161707502</v>
      </c>
      <c r="K214" s="911"/>
      <c r="N214" s="765">
        <f t="shared" ca="1" si="8"/>
        <v>1435.4251161707502</v>
      </c>
      <c r="O214" s="766">
        <f t="shared" ca="1" si="6"/>
        <v>9.5716789821196482</v>
      </c>
    </row>
    <row r="215" spans="2:15" ht="22.35" customHeight="1" thickTop="1" thickBot="1">
      <c r="B215" s="762">
        <f ca="1">IF($E$19="SAC",SAC_CORR!B190,PRICE_CORR!B190)</f>
        <v>49948</v>
      </c>
      <c r="C215" s="763">
        <f t="shared" ca="1" si="7"/>
        <v>1364.8902103019082</v>
      </c>
      <c r="D215" s="764">
        <f ca="1">IF($E$19="SAC",SAC_CORR!C190,PRICE_CORR!C190)</f>
        <v>889.99100827727909</v>
      </c>
      <c r="E215" s="764">
        <f ca="1">IF($E$19="SAC",IF(SAC_CORR!$J190="Carencia",0,SAC_CORR!D190),IF(PRICE_CORR!$J190="Carencia",0,PRICE_CORR!D190))</f>
        <v>474.89920202462901</v>
      </c>
      <c r="F215" s="764">
        <f ca="1">IF($E$19="SAC",SAC_CORR!E190,PRICE_CORR!E190)</f>
        <v>50729.487471804234</v>
      </c>
      <c r="G215" s="764">
        <f ca="1">IF($E$19="SAC",IF(SAC_CORR!$J190="Carencia",0,SAC_CORR!F190),IF(PRICE_CORR!$J190="Carencia",0,PRICE_CORR!F190))</f>
        <v>10.840090480817118</v>
      </c>
      <c r="H215" s="764">
        <f ca="1">IF($E$19="SAC",IF(SAC_CORR!$J190="Carencia",0,SAC_CORR!G190),IF(PRICE_CORR!$J190="Carencia",0,PRICE_CORR!G190))</f>
        <v>26.319999999999997</v>
      </c>
      <c r="I215" s="764">
        <f ca="1">IF($E$19="SAC",IF(SAC_CORR!$J190="Carencia",0,SAC_CORR!H190),IF(PRICE_CORR!$J190="Carencia",0,PRICE_CORR!H190))</f>
        <v>25</v>
      </c>
      <c r="J215" s="764">
        <f ca="1">IF($E$19="SAC",SAC_CORR!I190,PRICE_CORR!I190)</f>
        <v>1427.0503007827251</v>
      </c>
      <c r="K215" s="911"/>
      <c r="N215" s="765">
        <f t="shared" ca="1" si="8"/>
        <v>1427.0503007827251</v>
      </c>
      <c r="O215" s="766">
        <f t="shared" ca="1" si="6"/>
        <v>9.4467495149227716</v>
      </c>
    </row>
    <row r="216" spans="2:15" ht="22.35" customHeight="1" thickTop="1" thickBot="1">
      <c r="B216" s="762">
        <f ca="1">IF($E$19="SAC",SAC_CORR!B191,PRICE_CORR!B191)</f>
        <v>49978</v>
      </c>
      <c r="C216" s="763">
        <f t="shared" ca="1" si="7"/>
        <v>1356.7022930256212</v>
      </c>
      <c r="D216" s="764">
        <f ca="1">IF($E$19="SAC",SAC_CORR!C191,PRICE_CORR!C191)</f>
        <v>889.99100827727909</v>
      </c>
      <c r="E216" s="764">
        <f ca="1">IF($E$19="SAC",IF(SAC_CORR!$J191="Carencia",0,SAC_CORR!D191),IF(PRICE_CORR!$J191="Carencia",0,PRICE_CORR!D191))</f>
        <v>466.71128474834222</v>
      </c>
      <c r="F216" s="764">
        <f ca="1">IF($E$19="SAC",SAC_CORR!E191,PRICE_CORR!E191)</f>
        <v>49839.496463526957</v>
      </c>
      <c r="G216" s="764">
        <f ca="1">IF($E$19="SAC",IF(SAC_CORR!$J191="Carencia",0,SAC_CORR!F191),IF(PRICE_CORR!$J191="Carencia",0,PRICE_CORR!F191))</f>
        <v>10.653192369078889</v>
      </c>
      <c r="H216" s="764">
        <f ca="1">IF($E$19="SAC",IF(SAC_CORR!$J191="Carencia",0,SAC_CORR!G191),IF(PRICE_CORR!$J191="Carencia",0,PRICE_CORR!G191))</f>
        <v>26.319999999999997</v>
      </c>
      <c r="I216" s="764">
        <f ca="1">IF($E$19="SAC",IF(SAC_CORR!$J191="Carencia",0,SAC_CORR!H191),IF(PRICE_CORR!$J191="Carencia",0,PRICE_CORR!H191))</f>
        <v>25</v>
      </c>
      <c r="J216" s="764">
        <f ca="1">IF($E$19="SAC",SAC_CORR!I191,PRICE_CORR!I191)</f>
        <v>1418.6754853947</v>
      </c>
      <c r="K216" s="911"/>
      <c r="N216" s="765">
        <f t="shared" ca="1" si="8"/>
        <v>1418.6754853947</v>
      </c>
      <c r="O216" s="766">
        <f t="shared" ca="1" si="6"/>
        <v>9.3256574741831511</v>
      </c>
    </row>
    <row r="217" spans="2:15" ht="22.35" customHeight="1" thickTop="1" thickBot="1">
      <c r="B217" s="762">
        <f ca="1">IF($E$19="SAC",SAC_CORR!B192,PRICE_CORR!B192)</f>
        <v>50009</v>
      </c>
      <c r="C217" s="763">
        <f t="shared" ca="1" si="7"/>
        <v>1348.5143757493345</v>
      </c>
      <c r="D217" s="764">
        <f ca="1">IF($E$19="SAC",SAC_CORR!C192,PRICE_CORR!C192)</f>
        <v>889.99100827727909</v>
      </c>
      <c r="E217" s="764">
        <f ca="1">IF($E$19="SAC",IF(SAC_CORR!$J192="Carencia",0,SAC_CORR!D192),IF(PRICE_CORR!$J192="Carencia",0,PRICE_CORR!D192))</f>
        <v>458.52336747205544</v>
      </c>
      <c r="F217" s="764">
        <f ca="1">IF($E$19="SAC",SAC_CORR!E192,PRICE_CORR!E192)</f>
        <v>48949.50545524968</v>
      </c>
      <c r="G217" s="764">
        <f ca="1">IF($E$19="SAC",IF(SAC_CORR!$J192="Carencia",0,SAC_CORR!F192),IF(PRICE_CORR!$J192="Carencia",0,PRICE_CORR!F192))</f>
        <v>10.466294257340662</v>
      </c>
      <c r="H217" s="764">
        <f ca="1">IF($E$19="SAC",IF(SAC_CORR!$J192="Carencia",0,SAC_CORR!G192),IF(PRICE_CORR!$J192="Carencia",0,PRICE_CORR!G192))</f>
        <v>26.319999999999997</v>
      </c>
      <c r="I217" s="764">
        <f ca="1">IF($E$19="SAC",IF(SAC_CORR!$J192="Carencia",0,SAC_CORR!H192),IF(PRICE_CORR!$J192="Carencia",0,PRICE_CORR!H192))</f>
        <v>25</v>
      </c>
      <c r="J217" s="764">
        <f ca="1">IF($E$19="SAC",SAC_CORR!I192,PRICE_CORR!I192)</f>
        <v>1410.3006700066751</v>
      </c>
      <c r="K217" s="911"/>
      <c r="N217" s="765">
        <f t="shared" ca="1" si="8"/>
        <v>1410.3006700066751</v>
      </c>
      <c r="O217" s="766">
        <f t="shared" ca="1" si="6"/>
        <v>9.2034710731729401</v>
      </c>
    </row>
    <row r="218" spans="2:15" ht="22.35" customHeight="1" thickTop="1" thickBot="1">
      <c r="B218" s="762">
        <f ca="1">IF($E$19="SAC",SAC_CORR!B193,PRICE_CORR!B193)</f>
        <v>50039</v>
      </c>
      <c r="C218" s="763">
        <f t="shared" ca="1" si="7"/>
        <v>1340.3264584730478</v>
      </c>
      <c r="D218" s="764">
        <f ca="1">IF($E$19="SAC",SAC_CORR!C193,PRICE_CORR!C193)</f>
        <v>889.99100827727909</v>
      </c>
      <c r="E218" s="764">
        <f ca="1">IF($E$19="SAC",IF(SAC_CORR!$J193="Carencia",0,SAC_CORR!D193),IF(PRICE_CORR!$J193="Carencia",0,PRICE_CORR!D193))</f>
        <v>450.3354501957686</v>
      </c>
      <c r="F218" s="764">
        <f ca="1">IF($E$19="SAC",SAC_CORR!E193,PRICE_CORR!E193)</f>
        <v>48059.514446972404</v>
      </c>
      <c r="G218" s="764">
        <f ca="1">IF($E$19="SAC",IF(SAC_CORR!$J193="Carencia",0,SAC_CORR!F193),IF(PRICE_CORR!$J193="Carencia",0,PRICE_CORR!F193))</f>
        <v>10.279396145602433</v>
      </c>
      <c r="H218" s="764">
        <f ca="1">IF($E$19="SAC",IF(SAC_CORR!$J193="Carencia",0,SAC_CORR!G193),IF(PRICE_CORR!$J193="Carencia",0,PRICE_CORR!G193))</f>
        <v>26.319999999999997</v>
      </c>
      <c r="I218" s="764">
        <f ca="1">IF($E$19="SAC",IF(SAC_CORR!$J193="Carencia",0,SAC_CORR!H193),IF(PRICE_CORR!$J193="Carencia",0,PRICE_CORR!H193))</f>
        <v>25</v>
      </c>
      <c r="J218" s="764">
        <f ca="1">IF($E$19="SAC",SAC_CORR!I193,PRICE_CORR!I193)</f>
        <v>1401.9258546186502</v>
      </c>
      <c r="K218" s="911"/>
      <c r="N218" s="765">
        <f t="shared" ca="1" si="8"/>
        <v>1401.9258546186502</v>
      </c>
      <c r="O218" s="766">
        <f t="shared" ca="1" si="6"/>
        <v>9.0850307922668314</v>
      </c>
    </row>
    <row r="219" spans="2:15" ht="22.35" customHeight="1" thickTop="1" thickBot="1">
      <c r="B219" s="762">
        <f ca="1">IF($E$19="SAC",SAC_CORR!B194,PRICE_CORR!B194)</f>
        <v>50070</v>
      </c>
      <c r="C219" s="763">
        <f t="shared" ca="1" si="7"/>
        <v>1332.1385411967608</v>
      </c>
      <c r="D219" s="764">
        <f ca="1">IF($E$19="SAC",SAC_CORR!C194,PRICE_CORR!C194)</f>
        <v>889.99100827727909</v>
      </c>
      <c r="E219" s="764">
        <f ca="1">IF($E$19="SAC",IF(SAC_CORR!$J194="Carencia",0,SAC_CORR!D194),IF(PRICE_CORR!$J194="Carencia",0,PRICE_CORR!D194))</f>
        <v>442.14753291948182</v>
      </c>
      <c r="F219" s="764">
        <f ca="1">IF($E$19="SAC",SAC_CORR!E194,PRICE_CORR!E194)</f>
        <v>47169.523438695127</v>
      </c>
      <c r="G219" s="764">
        <f ca="1">IF($E$19="SAC",IF(SAC_CORR!$J194="Carencia",0,SAC_CORR!F194),IF(PRICE_CORR!$J194="Carencia",0,PRICE_CORR!F194))</f>
        <v>10.092498033864205</v>
      </c>
      <c r="H219" s="764">
        <f ca="1">IF($E$19="SAC",IF(SAC_CORR!$J194="Carencia",0,SAC_CORR!G194),IF(PRICE_CORR!$J194="Carencia",0,PRICE_CORR!G194))</f>
        <v>26.319999999999997</v>
      </c>
      <c r="I219" s="764">
        <f ca="1">IF($E$19="SAC",IF(SAC_CORR!$J194="Carencia",0,SAC_CORR!H194),IF(PRICE_CORR!$J194="Carencia",0,PRICE_CORR!H194))</f>
        <v>25</v>
      </c>
      <c r="J219" s="764">
        <f ca="1">IF($E$19="SAC",SAC_CORR!I194,PRICE_CORR!I194)</f>
        <v>1393.5510392306248</v>
      </c>
      <c r="K219" s="911"/>
      <c r="N219" s="765">
        <f t="shared" ca="1" si="8"/>
        <v>1393.5510392306248</v>
      </c>
      <c r="O219" s="766">
        <f t="shared" ca="1" si="6"/>
        <v>8.9655318827652781</v>
      </c>
    </row>
    <row r="220" spans="2:15" ht="22.35" customHeight="1" thickTop="1" thickBot="1">
      <c r="B220" s="762">
        <f ca="1">IF($E$19="SAC",SAC_CORR!B195,PRICE_CORR!B195)</f>
        <v>50099</v>
      </c>
      <c r="C220" s="763">
        <f t="shared" ca="1" si="7"/>
        <v>1323.9506239204741</v>
      </c>
      <c r="D220" s="764">
        <f ca="1">IF($E$19="SAC",SAC_CORR!C195,PRICE_CORR!C195)</f>
        <v>889.99100827727909</v>
      </c>
      <c r="E220" s="764">
        <f ca="1">IF($E$19="SAC",IF(SAC_CORR!$J195="Carencia",0,SAC_CORR!D195),IF(PRICE_CORR!$J195="Carencia",0,PRICE_CORR!D195))</f>
        <v>433.95961564319504</v>
      </c>
      <c r="F220" s="764">
        <f ca="1">IF($E$19="SAC",SAC_CORR!E195,PRICE_CORR!E195)</f>
        <v>46279.53243041785</v>
      </c>
      <c r="G220" s="764">
        <f ca="1">IF($E$19="SAC",IF(SAC_CORR!$J195="Carencia",0,SAC_CORR!F195),IF(PRICE_CORR!$J195="Carencia",0,PRICE_CORR!F195))</f>
        <v>9.9055999221259778</v>
      </c>
      <c r="H220" s="764">
        <f ca="1">IF($E$19="SAC",IF(SAC_CORR!$J195="Carencia",0,SAC_CORR!G195),IF(PRICE_CORR!$J195="Carencia",0,PRICE_CORR!G195))</f>
        <v>26.319999999999997</v>
      </c>
      <c r="I220" s="764">
        <f ca="1">IF($E$19="SAC",IF(SAC_CORR!$J195="Carencia",0,SAC_CORR!H195),IF(PRICE_CORR!$J195="Carencia",0,PRICE_CORR!H195))</f>
        <v>25</v>
      </c>
      <c r="J220" s="764">
        <f ca="1">IF($E$19="SAC",SAC_CORR!I195,PRICE_CORR!I195)</f>
        <v>1385.1762238425999</v>
      </c>
      <c r="K220" s="911"/>
      <c r="N220" s="765">
        <f t="shared" ca="1" si="8"/>
        <v>1385.1762238425999</v>
      </c>
      <c r="O220" s="766">
        <f t="shared" ca="1" si="6"/>
        <v>8.8520083498755469</v>
      </c>
    </row>
    <row r="221" spans="2:15" ht="22.35" customHeight="1" thickTop="1" thickBot="1">
      <c r="B221" s="762">
        <f ca="1">IF($E$19="SAC",SAC_CORR!B196,PRICE_CORR!B196)</f>
        <v>50129</v>
      </c>
      <c r="C221" s="763">
        <f t="shared" ca="1" si="7"/>
        <v>1315.7627066441873</v>
      </c>
      <c r="D221" s="764">
        <f ca="1">IF($E$19="SAC",SAC_CORR!C196,PRICE_CORR!C196)</f>
        <v>889.99100827727909</v>
      </c>
      <c r="E221" s="764">
        <f ca="1">IF($E$19="SAC",IF(SAC_CORR!$J196="Carencia",0,SAC_CORR!D196),IF(PRICE_CORR!$J196="Carencia",0,PRICE_CORR!D196))</f>
        <v>425.77169836690825</v>
      </c>
      <c r="F221" s="764">
        <f ca="1">IF($E$19="SAC",SAC_CORR!E196,PRICE_CORR!E196)</f>
        <v>45389.541422140574</v>
      </c>
      <c r="G221" s="764">
        <f ca="1">IF($E$19="SAC",IF(SAC_CORR!$J196="Carencia",0,SAC_CORR!F196),IF(PRICE_CORR!$J196="Carencia",0,PRICE_CORR!F196))</f>
        <v>9.7187018103877492</v>
      </c>
      <c r="H221" s="764">
        <f ca="1">IF($E$19="SAC",IF(SAC_CORR!$J196="Carencia",0,SAC_CORR!G196),IF(PRICE_CORR!$J196="Carencia",0,PRICE_CORR!G196))</f>
        <v>26.319999999999997</v>
      </c>
      <c r="I221" s="764">
        <f ca="1">IF($E$19="SAC",IF(SAC_CORR!$J196="Carencia",0,SAC_CORR!H196),IF(PRICE_CORR!$J196="Carencia",0,PRICE_CORR!H196))</f>
        <v>25</v>
      </c>
      <c r="J221" s="764">
        <f ca="1">IF($E$19="SAC",SAC_CORR!I196,PRICE_CORR!I196)</f>
        <v>1376.801408454575</v>
      </c>
      <c r="K221" s="911"/>
      <c r="N221" s="765">
        <f t="shared" ca="1" si="8"/>
        <v>1376.801408454575</v>
      </c>
      <c r="O221" s="766">
        <f t="shared" ca="1" si="6"/>
        <v>8.7374004235506124</v>
      </c>
    </row>
    <row r="222" spans="2:15" ht="22.35" customHeight="1" thickTop="1" thickBot="1">
      <c r="B222" s="762">
        <f ca="1">IF($E$19="SAC",SAC_CORR!B197,PRICE_CORR!B197)</f>
        <v>50160</v>
      </c>
      <c r="C222" s="763">
        <f t="shared" ca="1" si="7"/>
        <v>1307.5747893679006</v>
      </c>
      <c r="D222" s="764">
        <f ca="1">IF($E$19="SAC",SAC_CORR!C197,PRICE_CORR!C197)</f>
        <v>889.99100827727909</v>
      </c>
      <c r="E222" s="764">
        <f ca="1">IF($E$19="SAC",IF(SAC_CORR!$J197="Carencia",0,SAC_CORR!D197),IF(PRICE_CORR!$J197="Carencia",0,PRICE_CORR!D197))</f>
        <v>417.58378109062147</v>
      </c>
      <c r="F222" s="764">
        <f ca="1">IF($E$19="SAC",SAC_CORR!E197,PRICE_CORR!E197)</f>
        <v>44499.550413863297</v>
      </c>
      <c r="G222" s="764">
        <f ca="1">IF($E$19="SAC",IF(SAC_CORR!$J197="Carencia",0,SAC_CORR!F197),IF(PRICE_CORR!$J197="Carencia",0,PRICE_CORR!F197))</f>
        <v>9.5318036986495205</v>
      </c>
      <c r="H222" s="764">
        <f ca="1">IF($E$19="SAC",IF(SAC_CORR!$J197="Carencia",0,SAC_CORR!G197),IF(PRICE_CORR!$J197="Carencia",0,PRICE_CORR!G197))</f>
        <v>26.319999999999997</v>
      </c>
      <c r="I222" s="764">
        <f ca="1">IF($E$19="SAC",IF(SAC_CORR!$J197="Carencia",0,SAC_CORR!H197),IF(PRICE_CORR!$J197="Carencia",0,PRICE_CORR!H197))</f>
        <v>25</v>
      </c>
      <c r="J222" s="764">
        <f ca="1">IF($E$19="SAC",SAC_CORR!I197,PRICE_CORR!I197)</f>
        <v>1368.4265930665501</v>
      </c>
      <c r="K222" s="911"/>
      <c r="N222" s="765">
        <f t="shared" ca="1" si="8"/>
        <v>1368.4265930665501</v>
      </c>
      <c r="O222" s="766">
        <f t="shared" ca="1" si="6"/>
        <v>8.6217854676972792</v>
      </c>
    </row>
    <row r="223" spans="2:15" ht="22.35" customHeight="1" thickTop="1" thickBot="1">
      <c r="B223" s="762">
        <f ca="1">IF($E$19="SAC",SAC_CORR!B198,PRICE_CORR!B198)</f>
        <v>50190</v>
      </c>
      <c r="C223" s="763">
        <f t="shared" ca="1" si="7"/>
        <v>1299.3868720916139</v>
      </c>
      <c r="D223" s="764">
        <f ca="1">IF($E$19="SAC",SAC_CORR!C198,PRICE_CORR!C198)</f>
        <v>889.99100827727909</v>
      </c>
      <c r="E223" s="764">
        <f ca="1">IF($E$19="SAC",IF(SAC_CORR!$J198="Carencia",0,SAC_CORR!D198),IF(PRICE_CORR!$J198="Carencia",0,PRICE_CORR!D198))</f>
        <v>409.39586381433469</v>
      </c>
      <c r="F223" s="764">
        <f ca="1">IF($E$19="SAC",SAC_CORR!E198,PRICE_CORR!E198)</f>
        <v>43609.55940558602</v>
      </c>
      <c r="G223" s="764">
        <f ca="1">IF($E$19="SAC",IF(SAC_CORR!$J198="Carencia",0,SAC_CORR!F198),IF(PRICE_CORR!$J198="Carencia",0,PRICE_CORR!F198))</f>
        <v>9.3449055869112936</v>
      </c>
      <c r="H223" s="764">
        <f ca="1">IF($E$19="SAC",IF(SAC_CORR!$J198="Carencia",0,SAC_CORR!G198),IF(PRICE_CORR!$J198="Carencia",0,PRICE_CORR!G198))</f>
        <v>26.319999999999997</v>
      </c>
      <c r="I223" s="764">
        <f ca="1">IF($E$19="SAC",IF(SAC_CORR!$J198="Carencia",0,SAC_CORR!H198),IF(PRICE_CORR!$J198="Carencia",0,PRICE_CORR!H198))</f>
        <v>25</v>
      </c>
      <c r="J223" s="764">
        <f ca="1">IF($E$19="SAC",SAC_CORR!I198,PRICE_CORR!I198)</f>
        <v>1360.051777678525</v>
      </c>
      <c r="K223" s="911"/>
      <c r="N223" s="765">
        <f t="shared" ca="1" si="8"/>
        <v>1360.051777678525</v>
      </c>
      <c r="O223" s="766">
        <f t="shared" ca="1" si="6"/>
        <v>8.5096981146062287</v>
      </c>
    </row>
    <row r="224" spans="2:15" ht="22.35" customHeight="1" thickTop="1" thickBot="1">
      <c r="B224" s="762">
        <f ca="1">IF($E$19="SAC",SAC_CORR!B199,PRICE_CORR!B199)</f>
        <v>50221</v>
      </c>
      <c r="C224" s="763">
        <f t="shared" ca="1" si="7"/>
        <v>1291.1989548153269</v>
      </c>
      <c r="D224" s="764">
        <f ca="1">IF($E$19="SAC",SAC_CORR!C199,PRICE_CORR!C199)</f>
        <v>889.99100827727909</v>
      </c>
      <c r="E224" s="764">
        <f ca="1">IF($E$19="SAC",IF(SAC_CORR!$J199="Carencia",0,SAC_CORR!D199),IF(PRICE_CORR!$J199="Carencia",0,PRICE_CORR!D199))</f>
        <v>401.20794653804785</v>
      </c>
      <c r="F224" s="764">
        <f ca="1">IF($E$19="SAC",SAC_CORR!E199,PRICE_CORR!E199)</f>
        <v>42719.568397308743</v>
      </c>
      <c r="G224" s="764">
        <f ca="1">IF($E$19="SAC",IF(SAC_CORR!$J199="Carencia",0,SAC_CORR!F199),IF(PRICE_CORR!$J199="Carencia",0,PRICE_CORR!F199))</f>
        <v>9.1580074751730649</v>
      </c>
      <c r="H224" s="764">
        <f ca="1">IF($E$19="SAC",IF(SAC_CORR!$J199="Carencia",0,SAC_CORR!G199),IF(PRICE_CORR!$J199="Carencia",0,PRICE_CORR!G199))</f>
        <v>26.319999999999997</v>
      </c>
      <c r="I224" s="764">
        <f ca="1">IF($E$19="SAC",IF(SAC_CORR!$J199="Carencia",0,SAC_CORR!H199),IF(PRICE_CORR!$J199="Carencia",0,PRICE_CORR!H199))</f>
        <v>25</v>
      </c>
      <c r="J224" s="764">
        <f ca="1">IF($E$19="SAC",SAC_CORR!I199,PRICE_CORR!I199)</f>
        <v>1351.6769622904999</v>
      </c>
      <c r="K224" s="911"/>
      <c r="N224" s="765">
        <f t="shared" ca="1" si="8"/>
        <v>1351.6769622904999</v>
      </c>
      <c r="O224" s="766">
        <f t="shared" ref="O224:O284" ca="1" si="9">IFERROR((G224+H224)/(1.008)^(12*(B224-$B$43)/365),"")</f>
        <v>8.3966373662336906</v>
      </c>
    </row>
    <row r="225" spans="2:15" ht="22.35" customHeight="1" thickTop="1" thickBot="1">
      <c r="B225" s="762">
        <f ca="1">IF($E$19="SAC",SAC_CORR!B200,PRICE_CORR!B200)</f>
        <v>50251</v>
      </c>
      <c r="C225" s="763">
        <f t="shared" ca="1" si="7"/>
        <v>1283.0110375390402</v>
      </c>
      <c r="D225" s="764">
        <f ca="1">IF($E$19="SAC",SAC_CORR!C200,PRICE_CORR!C200)</f>
        <v>889.99100827727909</v>
      </c>
      <c r="E225" s="764">
        <f ca="1">IF($E$19="SAC",IF(SAC_CORR!$J200="Carencia",0,SAC_CORR!D200),IF(PRICE_CORR!$J200="Carencia",0,PRICE_CORR!D200))</f>
        <v>393.02002926176107</v>
      </c>
      <c r="F225" s="764">
        <f ca="1">IF($E$19="SAC",SAC_CORR!E200,PRICE_CORR!E200)</f>
        <v>41829.577389031467</v>
      </c>
      <c r="G225" s="764">
        <f ca="1">IF($E$19="SAC",IF(SAC_CORR!$J200="Carencia",0,SAC_CORR!F200),IF(PRICE_CORR!$J200="Carencia",0,PRICE_CORR!F200))</f>
        <v>8.9711093634348362</v>
      </c>
      <c r="H225" s="764">
        <f ca="1">IF($E$19="SAC",IF(SAC_CORR!$J200="Carencia",0,SAC_CORR!G200),IF(PRICE_CORR!$J200="Carencia",0,PRICE_CORR!G200))</f>
        <v>26.319999999999997</v>
      </c>
      <c r="I225" s="764">
        <f ca="1">IF($E$19="SAC",IF(SAC_CORR!$J200="Carencia",0,SAC_CORR!H200),IF(PRICE_CORR!$J200="Carencia",0,PRICE_CORR!H200))</f>
        <v>25</v>
      </c>
      <c r="J225" s="764">
        <f ca="1">IF($E$19="SAC",SAC_CORR!I200,PRICE_CORR!I200)</f>
        <v>1343.302146902475</v>
      </c>
      <c r="K225" s="911"/>
      <c r="N225" s="765">
        <f t="shared" ca="1" si="8"/>
        <v>1343.302146902475</v>
      </c>
      <c r="O225" s="766">
        <f t="shared" ca="1" si="9"/>
        <v>8.2870194720748334</v>
      </c>
    </row>
    <row r="226" spans="2:15" ht="22.35" customHeight="1" thickTop="1" thickBot="1">
      <c r="B226" s="762">
        <f ca="1">IF($E$19="SAC",SAC_CORR!B201,PRICE_CORR!B201)</f>
        <v>50282</v>
      </c>
      <c r="C226" s="763">
        <f t="shared" ca="1" si="7"/>
        <v>1274.8231202627535</v>
      </c>
      <c r="D226" s="764">
        <f ca="1">IF($E$19="SAC",SAC_CORR!C201,PRICE_CORR!C201)</f>
        <v>889.99100827727909</v>
      </c>
      <c r="E226" s="764">
        <f ca="1">IF($E$19="SAC",IF(SAC_CORR!$J201="Carencia",0,SAC_CORR!D201),IF(PRICE_CORR!$J201="Carencia",0,PRICE_CORR!D201))</f>
        <v>384.83211198547428</v>
      </c>
      <c r="F226" s="764">
        <f ca="1">IF($E$19="SAC",SAC_CORR!E201,PRICE_CORR!E201)</f>
        <v>40939.58638075419</v>
      </c>
      <c r="G226" s="764">
        <f ca="1">IF($E$19="SAC",IF(SAC_CORR!$J201="Carencia",0,SAC_CORR!F201),IF(PRICE_CORR!$J201="Carencia",0,PRICE_CORR!F201))</f>
        <v>8.7842112516966075</v>
      </c>
      <c r="H226" s="764">
        <f ca="1">IF($E$19="SAC",IF(SAC_CORR!$J201="Carencia",0,SAC_CORR!G201),IF(PRICE_CORR!$J201="Carencia",0,PRICE_CORR!G201))</f>
        <v>26.319999999999997</v>
      </c>
      <c r="I226" s="764">
        <f ca="1">IF($E$19="SAC",IF(SAC_CORR!$J201="Carencia",0,SAC_CORR!H201),IF(PRICE_CORR!$J201="Carencia",0,PRICE_CORR!H201))</f>
        <v>25</v>
      </c>
      <c r="J226" s="764">
        <f ca="1">IF($E$19="SAC",SAC_CORR!I201,PRICE_CORR!I201)</f>
        <v>1334.9273315144501</v>
      </c>
      <c r="K226" s="911"/>
      <c r="N226" s="765">
        <f t="shared" ca="1" si="8"/>
        <v>1334.9273315144501</v>
      </c>
      <c r="O226" s="766">
        <f t="shared" ca="1" si="9"/>
        <v>8.1764610035583054</v>
      </c>
    </row>
    <row r="227" spans="2:15" ht="22.35" customHeight="1" thickTop="1" thickBot="1">
      <c r="B227" s="762">
        <f ca="1">IF($E$19="SAC",SAC_CORR!B202,PRICE_CORR!B202)</f>
        <v>50313</v>
      </c>
      <c r="C227" s="763">
        <f t="shared" ca="1" si="7"/>
        <v>1266.6352029864665</v>
      </c>
      <c r="D227" s="764">
        <f ca="1">IF($E$19="SAC",SAC_CORR!C202,PRICE_CORR!C202)</f>
        <v>889.99100827727909</v>
      </c>
      <c r="E227" s="764">
        <f ca="1">IF($E$19="SAC",IF(SAC_CORR!$J202="Carencia",0,SAC_CORR!D202),IF(PRICE_CORR!$J202="Carencia",0,PRICE_CORR!D202))</f>
        <v>376.6441947091875</v>
      </c>
      <c r="F227" s="764">
        <f ca="1">IF($E$19="SAC",SAC_CORR!E202,PRICE_CORR!E202)</f>
        <v>40049.595372476913</v>
      </c>
      <c r="G227" s="764">
        <f ca="1">IF($E$19="SAC",IF(SAC_CORR!$J202="Carencia",0,SAC_CORR!F202),IF(PRICE_CORR!$J202="Carencia",0,PRICE_CORR!F202))</f>
        <v>8.5973131399583806</v>
      </c>
      <c r="H227" s="764">
        <f ca="1">IF($E$19="SAC",IF(SAC_CORR!$J202="Carencia",0,SAC_CORR!G202),IF(PRICE_CORR!$J202="Carencia",0,PRICE_CORR!G202))</f>
        <v>26.319999999999997</v>
      </c>
      <c r="I227" s="764">
        <f ca="1">IF($E$19="SAC",IF(SAC_CORR!$J202="Carencia",0,SAC_CORR!H202),IF(PRICE_CORR!$J202="Carencia",0,PRICE_CORR!H202))</f>
        <v>25</v>
      </c>
      <c r="J227" s="764">
        <f ca="1">IF($E$19="SAC",SAC_CORR!I202,PRICE_CORR!I202)</f>
        <v>1326.552516126425</v>
      </c>
      <c r="K227" s="911"/>
      <c r="N227" s="765">
        <f t="shared" ca="1" si="8"/>
        <v>1326.552516126425</v>
      </c>
      <c r="O227" s="766">
        <f t="shared" ca="1" si="9"/>
        <v>8.067148835795253</v>
      </c>
    </row>
    <row r="228" spans="2:15" ht="22.35" customHeight="1" thickTop="1" thickBot="1">
      <c r="B228" s="762">
        <f ca="1">IF($E$19="SAC",SAC_CORR!B203,PRICE_CORR!B203)</f>
        <v>50343</v>
      </c>
      <c r="C228" s="763">
        <f t="shared" ca="1" si="7"/>
        <v>1258.4472857101798</v>
      </c>
      <c r="D228" s="764">
        <f ca="1">IF($E$19="SAC",SAC_CORR!C203,PRICE_CORR!C203)</f>
        <v>889.99100827727909</v>
      </c>
      <c r="E228" s="764">
        <f ca="1">IF($E$19="SAC",IF(SAC_CORR!$J203="Carencia",0,SAC_CORR!D203),IF(PRICE_CORR!$J203="Carencia",0,PRICE_CORR!D203))</f>
        <v>368.45627743290072</v>
      </c>
      <c r="F228" s="764">
        <f ca="1">IF($E$19="SAC",SAC_CORR!E203,PRICE_CORR!E203)</f>
        <v>39159.604364199637</v>
      </c>
      <c r="G228" s="764">
        <f ca="1">IF($E$19="SAC",IF(SAC_CORR!$J203="Carencia",0,SAC_CORR!F203),IF(PRICE_CORR!$J203="Carencia",0,PRICE_CORR!F203))</f>
        <v>8.410415028220152</v>
      </c>
      <c r="H228" s="764">
        <f ca="1">IF($E$19="SAC",IF(SAC_CORR!$J203="Carencia",0,SAC_CORR!G203),IF(PRICE_CORR!$J203="Carencia",0,PRICE_CORR!G203))</f>
        <v>26.319999999999997</v>
      </c>
      <c r="I228" s="764">
        <f ca="1">IF($E$19="SAC",IF(SAC_CORR!$J203="Carencia",0,SAC_CORR!H203),IF(PRICE_CORR!$J203="Carencia",0,PRICE_CORR!H203))</f>
        <v>25</v>
      </c>
      <c r="J228" s="764">
        <f ca="1">IF($E$19="SAC",SAC_CORR!I203,PRICE_CORR!I203)</f>
        <v>1318.1777007383998</v>
      </c>
      <c r="K228" s="911"/>
      <c r="N228" s="765">
        <f t="shared" ca="1" si="8"/>
        <v>1318.1777007383998</v>
      </c>
      <c r="O228" s="766">
        <f t="shared" ca="1" si="9"/>
        <v>7.961155329410091</v>
      </c>
    </row>
    <row r="229" spans="2:15" ht="22.35" customHeight="1" thickTop="1" thickBot="1">
      <c r="B229" s="762">
        <f ca="1">IF($E$19="SAC",SAC_CORR!B204,PRICE_CORR!B204)</f>
        <v>50374</v>
      </c>
      <c r="C229" s="763">
        <f t="shared" ca="1" si="7"/>
        <v>1250.2593684338931</v>
      </c>
      <c r="D229" s="764">
        <f ca="1">IF($E$19="SAC",SAC_CORR!C204,PRICE_CORR!C204)</f>
        <v>889.99100827727909</v>
      </c>
      <c r="E229" s="764">
        <f ca="1">IF($E$19="SAC",IF(SAC_CORR!$J204="Carencia",0,SAC_CORR!D204),IF(PRICE_CORR!$J204="Carencia",0,PRICE_CORR!D204))</f>
        <v>360.26836015661388</v>
      </c>
      <c r="F229" s="764">
        <f ca="1">IF($E$19="SAC",SAC_CORR!E204,PRICE_CORR!E204)</f>
        <v>38269.61335592236</v>
      </c>
      <c r="G229" s="764">
        <f ca="1">IF($E$19="SAC",IF(SAC_CORR!$J204="Carencia",0,SAC_CORR!F204),IF(PRICE_CORR!$J204="Carencia",0,PRICE_CORR!F204))</f>
        <v>8.2235169164819233</v>
      </c>
      <c r="H229" s="764">
        <f ca="1">IF($E$19="SAC",IF(SAC_CORR!$J204="Carencia",0,SAC_CORR!G204),IF(PRICE_CORR!$J204="Carencia",0,PRICE_CORR!G204))</f>
        <v>26.319999999999997</v>
      </c>
      <c r="I229" s="764">
        <f ca="1">IF($E$19="SAC",IF(SAC_CORR!$J204="Carencia",0,SAC_CORR!H204),IF(PRICE_CORR!$J204="Carencia",0,PRICE_CORR!H204))</f>
        <v>25</v>
      </c>
      <c r="J229" s="764">
        <f ca="1">IF($E$19="SAC",SAC_CORR!I204,PRICE_CORR!I204)</f>
        <v>1309.8028853503749</v>
      </c>
      <c r="K229" s="911"/>
      <c r="N229" s="765">
        <f t="shared" ca="1" si="8"/>
        <v>1309.8028853503749</v>
      </c>
      <c r="O229" s="766">
        <f t="shared" ca="1" si="9"/>
        <v>7.8542691098349309</v>
      </c>
    </row>
    <row r="230" spans="2:15" ht="22.35" customHeight="1" thickTop="1" thickBot="1">
      <c r="B230" s="762">
        <f ca="1">IF($E$19="SAC",SAC_CORR!B205,PRICE_CORR!B205)</f>
        <v>50404</v>
      </c>
      <c r="C230" s="763">
        <f t="shared" ca="1" si="7"/>
        <v>1242.0714511576061</v>
      </c>
      <c r="D230" s="764">
        <f ca="1">IF($E$19="SAC",SAC_CORR!C205,PRICE_CORR!C205)</f>
        <v>889.99100827727909</v>
      </c>
      <c r="E230" s="764">
        <f ca="1">IF($E$19="SAC",IF(SAC_CORR!$J205="Carencia",0,SAC_CORR!D205),IF(PRICE_CORR!$J205="Carencia",0,PRICE_CORR!D205))</f>
        <v>352.0804428803271</v>
      </c>
      <c r="F230" s="764">
        <f ca="1">IF($E$19="SAC",SAC_CORR!E205,PRICE_CORR!E205)</f>
        <v>37379.622347645083</v>
      </c>
      <c r="G230" s="764">
        <f ca="1">IF($E$19="SAC",IF(SAC_CORR!$J205="Carencia",0,SAC_CORR!F205),IF(PRICE_CORR!$J205="Carencia",0,PRICE_CORR!F205))</f>
        <v>8.0366188047436964</v>
      </c>
      <c r="H230" s="764">
        <f ca="1">IF($E$19="SAC",IF(SAC_CORR!$J205="Carencia",0,SAC_CORR!G205),IF(PRICE_CORR!$J205="Carencia",0,PRICE_CORR!G205))</f>
        <v>26.319999999999997</v>
      </c>
      <c r="I230" s="764">
        <f ca="1">IF($E$19="SAC",IF(SAC_CORR!$J205="Carencia",0,SAC_CORR!H205),IF(PRICE_CORR!$J205="Carencia",0,PRICE_CORR!H205))</f>
        <v>25</v>
      </c>
      <c r="J230" s="764">
        <f ca="1">IF($E$19="SAC",SAC_CORR!I205,PRICE_CORR!I205)</f>
        <v>1301.4280699623498</v>
      </c>
      <c r="K230" s="911"/>
      <c r="N230" s="765">
        <f t="shared" ca="1" si="8"/>
        <v>1301.4280699623498</v>
      </c>
      <c r="O230" s="766">
        <f t="shared" ca="1" si="9"/>
        <v>7.7506212479419929</v>
      </c>
    </row>
    <row r="231" spans="2:15" ht="22.35" customHeight="1" thickTop="1" thickBot="1">
      <c r="B231" s="762">
        <f ca="1">IF($E$19="SAC",SAC_CORR!B206,PRICE_CORR!B206)</f>
        <v>50435</v>
      </c>
      <c r="C231" s="763">
        <f t="shared" ca="1" si="7"/>
        <v>1233.8835338813194</v>
      </c>
      <c r="D231" s="764">
        <f ca="1">IF($E$19="SAC",SAC_CORR!C206,PRICE_CORR!C206)</f>
        <v>889.99100827727909</v>
      </c>
      <c r="E231" s="764">
        <f ca="1">IF($E$19="SAC",IF(SAC_CORR!$J206="Carencia",0,SAC_CORR!D206),IF(PRICE_CORR!$J206="Carencia",0,PRICE_CORR!D206))</f>
        <v>343.89252560404032</v>
      </c>
      <c r="F231" s="764">
        <f ca="1">IF($E$19="SAC",SAC_CORR!E206,PRICE_CORR!E206)</f>
        <v>36489.631339367807</v>
      </c>
      <c r="G231" s="764">
        <f ca="1">IF($E$19="SAC",IF(SAC_CORR!$J206="Carencia",0,SAC_CORR!F206),IF(PRICE_CORR!$J206="Carencia",0,PRICE_CORR!F206))</f>
        <v>7.8497206930054677</v>
      </c>
      <c r="H231" s="764">
        <f ca="1">IF($E$19="SAC",IF(SAC_CORR!$J206="Carencia",0,SAC_CORR!G206),IF(PRICE_CORR!$J206="Carencia",0,PRICE_CORR!G206))</f>
        <v>26.319999999999997</v>
      </c>
      <c r="I231" s="764">
        <f ca="1">IF($E$19="SAC",IF(SAC_CORR!$J206="Carencia",0,SAC_CORR!H206),IF(PRICE_CORR!$J206="Carencia",0,PRICE_CORR!H206))</f>
        <v>25</v>
      </c>
      <c r="J231" s="764">
        <f ca="1">IF($E$19="SAC",SAC_CORR!I206,PRICE_CORR!I206)</f>
        <v>1293.0532545743249</v>
      </c>
      <c r="K231" s="911"/>
      <c r="N231" s="765">
        <f t="shared" ca="1" si="8"/>
        <v>1293.0532545743249</v>
      </c>
      <c r="O231" s="766">
        <f t="shared" ca="1" si="9"/>
        <v>7.646111531517314</v>
      </c>
    </row>
    <row r="232" spans="2:15" ht="22.35" customHeight="1" thickTop="1" thickBot="1">
      <c r="B232" s="762">
        <f ca="1">IF($E$19="SAC",SAC_CORR!B207,PRICE_CORR!B207)</f>
        <v>50464</v>
      </c>
      <c r="C232" s="763">
        <f t="shared" ca="1" si="7"/>
        <v>1225.6956166050327</v>
      </c>
      <c r="D232" s="764">
        <f ca="1">IF($E$19="SAC",SAC_CORR!C207,PRICE_CORR!C207)</f>
        <v>889.99100827727909</v>
      </c>
      <c r="E232" s="764">
        <f ca="1">IF($E$19="SAC",IF(SAC_CORR!$J207="Carencia",0,SAC_CORR!D207),IF(PRICE_CORR!$J207="Carencia",0,PRICE_CORR!D207))</f>
        <v>335.70460832775353</v>
      </c>
      <c r="F232" s="764">
        <f ca="1">IF($E$19="SAC",SAC_CORR!E207,PRICE_CORR!E207)</f>
        <v>35599.64033109053</v>
      </c>
      <c r="G232" s="764">
        <f ca="1">IF($E$19="SAC",IF(SAC_CORR!$J207="Carencia",0,SAC_CORR!F207),IF(PRICE_CORR!$J207="Carencia",0,PRICE_CORR!F207))</f>
        <v>7.6628225812672399</v>
      </c>
      <c r="H232" s="764">
        <f ca="1">IF($E$19="SAC",IF(SAC_CORR!$J207="Carencia",0,SAC_CORR!G207),IF(PRICE_CORR!$J207="Carencia",0,PRICE_CORR!G207))</f>
        <v>26.319999999999997</v>
      </c>
      <c r="I232" s="764">
        <f ca="1">IF($E$19="SAC",IF(SAC_CORR!$J207="Carencia",0,SAC_CORR!H207),IF(PRICE_CORR!$J207="Carencia",0,PRICE_CORR!H207))</f>
        <v>25</v>
      </c>
      <c r="J232" s="764">
        <f ca="1">IF($E$19="SAC",SAC_CORR!I207,PRICE_CORR!I207)</f>
        <v>1284.6784391862998</v>
      </c>
      <c r="K232" s="911"/>
      <c r="N232" s="765">
        <f t="shared" ca="1" si="8"/>
        <v>1284.6784391862998</v>
      </c>
      <c r="O232" s="766">
        <f t="shared" ca="1" si="9"/>
        <v>7.5467383202862237</v>
      </c>
    </row>
    <row r="233" spans="2:15" ht="22.35" customHeight="1" thickTop="1" thickBot="1">
      <c r="B233" s="762">
        <f ca="1">IF($E$19="SAC",SAC_CORR!B208,PRICE_CORR!B208)</f>
        <v>50494</v>
      </c>
      <c r="C233" s="763">
        <f t="shared" ca="1" si="7"/>
        <v>1217.5076993287457</v>
      </c>
      <c r="D233" s="764">
        <f ca="1">IF($E$19="SAC",SAC_CORR!C208,PRICE_CORR!C208)</f>
        <v>889.99100827727909</v>
      </c>
      <c r="E233" s="764">
        <f ca="1">IF($E$19="SAC",IF(SAC_CORR!$J208="Carencia",0,SAC_CORR!D208),IF(PRICE_CORR!$J208="Carencia",0,PRICE_CORR!D208))</f>
        <v>327.51669105146675</v>
      </c>
      <c r="F233" s="764">
        <f ca="1">IF($E$19="SAC",SAC_CORR!E208,PRICE_CORR!E208)</f>
        <v>34709.649322813253</v>
      </c>
      <c r="G233" s="764">
        <f ca="1">IF($E$19="SAC",IF(SAC_CORR!$J208="Carencia",0,SAC_CORR!F208),IF(PRICE_CORR!$J208="Carencia",0,PRICE_CORR!F208))</f>
        <v>7.4759244695290112</v>
      </c>
      <c r="H233" s="764">
        <f ca="1">IF($E$19="SAC",IF(SAC_CORR!$J208="Carencia",0,SAC_CORR!G208),IF(PRICE_CORR!$J208="Carencia",0,PRICE_CORR!G208))</f>
        <v>26.319999999999997</v>
      </c>
      <c r="I233" s="764">
        <f ca="1">IF($E$19="SAC",IF(SAC_CORR!$J208="Carencia",0,SAC_CORR!H208),IF(PRICE_CORR!$J208="Carencia",0,PRICE_CORR!H208))</f>
        <v>25</v>
      </c>
      <c r="J233" s="764">
        <f ca="1">IF($E$19="SAC",SAC_CORR!I208,PRICE_CORR!I208)</f>
        <v>1276.3036237982747</v>
      </c>
      <c r="K233" s="911"/>
      <c r="N233" s="765">
        <f t="shared" ca="1" si="8"/>
        <v>1276.3036237982747</v>
      </c>
      <c r="O233" s="766">
        <f t="shared" ca="1" si="9"/>
        <v>7.4464803265008861</v>
      </c>
    </row>
    <row r="234" spans="2:15" ht="22.35" customHeight="1" thickTop="1" thickBot="1">
      <c r="B234" s="762">
        <f ca="1">IF($E$19="SAC",SAC_CORR!B209,PRICE_CORR!B209)</f>
        <v>50525</v>
      </c>
      <c r="C234" s="763">
        <f t="shared" ca="1" si="7"/>
        <v>1209.319782052459</v>
      </c>
      <c r="D234" s="764">
        <f ca="1">IF($E$19="SAC",SAC_CORR!C209,PRICE_CORR!C209)</f>
        <v>889.99100827727909</v>
      </c>
      <c r="E234" s="764">
        <f ca="1">IF($E$19="SAC",IF(SAC_CORR!$J209="Carencia",0,SAC_CORR!D209),IF(PRICE_CORR!$J209="Carencia",0,PRICE_CORR!D209))</f>
        <v>319.32877377517997</v>
      </c>
      <c r="F234" s="764">
        <f ca="1">IF($E$19="SAC",SAC_CORR!E209,PRICE_CORR!E209)</f>
        <v>33819.658314535976</v>
      </c>
      <c r="G234" s="764">
        <f ca="1">IF($E$19="SAC",IF(SAC_CORR!$J209="Carencia",0,SAC_CORR!F209),IF(PRICE_CORR!$J209="Carencia",0,PRICE_CORR!F209))</f>
        <v>7.2890263577907835</v>
      </c>
      <c r="H234" s="764">
        <f ca="1">IF($E$19="SAC",IF(SAC_CORR!$J209="Carencia",0,SAC_CORR!G209),IF(PRICE_CORR!$J209="Carencia",0,PRICE_CORR!G209))</f>
        <v>26.319999999999997</v>
      </c>
      <c r="I234" s="764">
        <f ca="1">IF($E$19="SAC",IF(SAC_CORR!$J209="Carencia",0,SAC_CORR!H209),IF(PRICE_CORR!$J209="Carencia",0,PRICE_CORR!H209))</f>
        <v>25</v>
      </c>
      <c r="J234" s="764">
        <f ca="1">IF($E$19="SAC",SAC_CORR!I209,PRICE_CORR!I209)</f>
        <v>1267.9288084102498</v>
      </c>
      <c r="K234" s="911"/>
      <c r="N234" s="765">
        <f t="shared" ca="1" si="8"/>
        <v>1267.9288084102498</v>
      </c>
      <c r="O234" s="766">
        <f t="shared" ca="1" si="9"/>
        <v>7.3454050362935845</v>
      </c>
    </row>
    <row r="235" spans="2:15" ht="22.35" customHeight="1" thickTop="1" thickBot="1">
      <c r="B235" s="762">
        <f ca="1">IF($E$19="SAC",SAC_CORR!B210,PRICE_CORR!B210)</f>
        <v>50555</v>
      </c>
      <c r="C235" s="763">
        <f t="shared" ca="1" si="7"/>
        <v>1201.1318647761723</v>
      </c>
      <c r="D235" s="764">
        <f ca="1">IF($E$19="SAC",SAC_CORR!C210,PRICE_CORR!C210)</f>
        <v>889.99100827727909</v>
      </c>
      <c r="E235" s="764">
        <f ca="1">IF($E$19="SAC",IF(SAC_CORR!$J210="Carencia",0,SAC_CORR!D210),IF(PRICE_CORR!$J210="Carencia",0,PRICE_CORR!D210))</f>
        <v>311.14085649889313</v>
      </c>
      <c r="F235" s="764">
        <f ca="1">IF($E$19="SAC",SAC_CORR!E210,PRICE_CORR!E210)</f>
        <v>32929.6673062587</v>
      </c>
      <c r="G235" s="764">
        <f ca="1">IF($E$19="SAC",IF(SAC_CORR!$J210="Carencia",0,SAC_CORR!F210),IF(PRICE_CORR!$J210="Carencia",0,PRICE_CORR!F210))</f>
        <v>7.1021282460525557</v>
      </c>
      <c r="H235" s="764">
        <f ca="1">IF($E$19="SAC",IF(SAC_CORR!$J210="Carencia",0,SAC_CORR!G210),IF(PRICE_CORR!$J210="Carencia",0,PRICE_CORR!G210))</f>
        <v>26.319999999999997</v>
      </c>
      <c r="I235" s="764">
        <f ca="1">IF($E$19="SAC",IF(SAC_CORR!$J210="Carencia",0,SAC_CORR!H210),IF(PRICE_CORR!$J210="Carencia",0,PRICE_CORR!H210))</f>
        <v>25</v>
      </c>
      <c r="J235" s="764">
        <f ca="1">IF($E$19="SAC",SAC_CORR!I210,PRICE_CORR!I210)</f>
        <v>1259.5539930222249</v>
      </c>
      <c r="K235" s="911"/>
      <c r="N235" s="765">
        <f t="shared" ca="1" si="8"/>
        <v>1259.5539930222249</v>
      </c>
      <c r="O235" s="766">
        <f t="shared" ca="1" si="9"/>
        <v>7.2473759571971259</v>
      </c>
    </row>
    <row r="236" spans="2:15" ht="22.35" customHeight="1" thickTop="1" thickBot="1">
      <c r="B236" s="762">
        <f ca="1">IF($E$19="SAC",SAC_CORR!B211,PRICE_CORR!B211)</f>
        <v>50586</v>
      </c>
      <c r="C236" s="763">
        <f t="shared" ref="C236:C284" ca="1" si="10">IFERROR(D236+E236,"")</f>
        <v>1192.9439474998853</v>
      </c>
      <c r="D236" s="764">
        <f ca="1">IF($E$19="SAC",SAC_CORR!C211,PRICE_CORR!C211)</f>
        <v>889.99100827727909</v>
      </c>
      <c r="E236" s="764">
        <f ca="1">IF($E$19="SAC",IF(SAC_CORR!$J211="Carencia",0,SAC_CORR!D211),IF(PRICE_CORR!$J211="Carencia",0,PRICE_CORR!D211))</f>
        <v>302.95293922260635</v>
      </c>
      <c r="F236" s="764">
        <f ca="1">IF($E$19="SAC",SAC_CORR!E211,PRICE_CORR!E211)</f>
        <v>32039.676297981419</v>
      </c>
      <c r="G236" s="764">
        <f ca="1">IF($E$19="SAC",IF(SAC_CORR!$J211="Carencia",0,SAC_CORR!F211),IF(PRICE_CORR!$J211="Carencia",0,PRICE_CORR!F211))</f>
        <v>6.915230134314327</v>
      </c>
      <c r="H236" s="764">
        <f ca="1">IF($E$19="SAC",IF(SAC_CORR!$J211="Carencia",0,SAC_CORR!G211),IF(PRICE_CORR!$J211="Carencia",0,PRICE_CORR!G211))</f>
        <v>26.319999999999997</v>
      </c>
      <c r="I236" s="764">
        <f ca="1">IF($E$19="SAC",IF(SAC_CORR!$J211="Carencia",0,SAC_CORR!H211),IF(PRICE_CORR!$J211="Carencia",0,PRICE_CORR!H211))</f>
        <v>25</v>
      </c>
      <c r="J236" s="764">
        <f ca="1">IF($E$19="SAC",SAC_CORR!I211,PRICE_CORR!I211)</f>
        <v>1251.1791776341995</v>
      </c>
      <c r="K236" s="911"/>
      <c r="N236" s="765">
        <f t="shared" ca="1" si="8"/>
        <v>1251.1791776341995</v>
      </c>
      <c r="O236" s="766">
        <f t="shared" ca="1" si="9"/>
        <v>7.1485585967962688</v>
      </c>
    </row>
    <row r="237" spans="2:15" ht="22.35" customHeight="1" thickTop="1" thickBot="1">
      <c r="B237" s="762">
        <f ca="1">IF($E$19="SAC",SAC_CORR!B212,PRICE_CORR!B212)</f>
        <v>50616</v>
      </c>
      <c r="C237" s="763">
        <f t="shared" ca="1" si="10"/>
        <v>1184.7560302235986</v>
      </c>
      <c r="D237" s="764">
        <f ca="1">IF($E$19="SAC",SAC_CORR!C212,PRICE_CORR!C212)</f>
        <v>889.99100827727909</v>
      </c>
      <c r="E237" s="764">
        <f ca="1">IF($E$19="SAC",IF(SAC_CORR!$J212="Carencia",0,SAC_CORR!D212),IF(PRICE_CORR!$J212="Carencia",0,PRICE_CORR!D212))</f>
        <v>294.76502194631951</v>
      </c>
      <c r="F237" s="764">
        <f ca="1">IF($E$19="SAC",SAC_CORR!E212,PRICE_CORR!E212)</f>
        <v>31149.685289704139</v>
      </c>
      <c r="G237" s="764">
        <f ca="1">IF($E$19="SAC",IF(SAC_CORR!$J212="Carencia",0,SAC_CORR!F212),IF(PRICE_CORR!$J212="Carencia",0,PRICE_CORR!F212))</f>
        <v>6.7283320225760983</v>
      </c>
      <c r="H237" s="764">
        <f ca="1">IF($E$19="SAC",IF(SAC_CORR!$J212="Carencia",0,SAC_CORR!G212),IF(PRICE_CORR!$J212="Carencia",0,PRICE_CORR!G212))</f>
        <v>26.319999999999997</v>
      </c>
      <c r="I237" s="764">
        <f ca="1">IF($E$19="SAC",IF(SAC_CORR!$J212="Carencia",0,SAC_CORR!H212),IF(PRICE_CORR!$J212="Carencia",0,PRICE_CORR!H212))</f>
        <v>25</v>
      </c>
      <c r="J237" s="764">
        <f ca="1">IF($E$19="SAC",SAC_CORR!I212,PRICE_CORR!I212)</f>
        <v>1242.8043622461746</v>
      </c>
      <c r="K237" s="911"/>
      <c r="N237" s="765">
        <f t="shared" ref="N237:N284" ca="1" si="11">J237</f>
        <v>1242.8043622461746</v>
      </c>
      <c r="O237" s="766">
        <f t="shared" ca="1" si="9"/>
        <v>7.0527129590217958</v>
      </c>
    </row>
    <row r="238" spans="2:15" ht="22.35" customHeight="1" thickTop="1" thickBot="1">
      <c r="B238" s="762">
        <f ca="1">IF($E$19="SAC",SAC_CORR!B213,PRICE_CORR!B213)</f>
        <v>50647</v>
      </c>
      <c r="C238" s="763">
        <f t="shared" ca="1" si="10"/>
        <v>1176.5681129473119</v>
      </c>
      <c r="D238" s="764">
        <f ca="1">IF($E$19="SAC",SAC_CORR!C213,PRICE_CORR!C213)</f>
        <v>889.99100827727909</v>
      </c>
      <c r="E238" s="764">
        <f ca="1">IF($E$19="SAC",IF(SAC_CORR!$J213="Carencia",0,SAC_CORR!D213),IF(PRICE_CORR!$J213="Carencia",0,PRICE_CORR!D213))</f>
        <v>286.57710467003272</v>
      </c>
      <c r="F238" s="764">
        <f ca="1">IF($E$19="SAC",SAC_CORR!E213,PRICE_CORR!E213)</f>
        <v>30259.694281426859</v>
      </c>
      <c r="G238" s="764">
        <f ca="1">IF($E$19="SAC",IF(SAC_CORR!$J213="Carencia",0,SAC_CORR!F213),IF(PRICE_CORR!$J213="Carencia",0,PRICE_CORR!F213))</f>
        <v>6.5414339108378696</v>
      </c>
      <c r="H238" s="764">
        <f ca="1">IF($E$19="SAC",IF(SAC_CORR!$J213="Carencia",0,SAC_CORR!G213),IF(PRICE_CORR!$J213="Carencia",0,PRICE_CORR!G213))</f>
        <v>26.319999999999997</v>
      </c>
      <c r="I238" s="764">
        <f ca="1">IF($E$19="SAC",IF(SAC_CORR!$J213="Carencia",0,SAC_CORR!H213),IF(PRICE_CORR!$J213="Carencia",0,PRICE_CORR!H213))</f>
        <v>25</v>
      </c>
      <c r="J238" s="764">
        <f ca="1">IF($E$19="SAC",SAC_CORR!I213,PRICE_CORR!I213)</f>
        <v>1234.4295468581497</v>
      </c>
      <c r="K238" s="911"/>
      <c r="N238" s="765">
        <f t="shared" ca="1" si="11"/>
        <v>1234.4295468581497</v>
      </c>
      <c r="O238" s="766">
        <f t="shared" ca="1" si="9"/>
        <v>6.9561073405082281</v>
      </c>
    </row>
    <row r="239" spans="2:15" ht="22.35" customHeight="1" thickTop="1" thickBot="1">
      <c r="B239" s="762">
        <f ca="1">IF($E$19="SAC",SAC_CORR!B214,PRICE_CORR!B214)</f>
        <v>50678</v>
      </c>
      <c r="C239" s="763">
        <f t="shared" ca="1" si="10"/>
        <v>1168.3801956710249</v>
      </c>
      <c r="D239" s="764">
        <f ca="1">IF($E$19="SAC",SAC_CORR!C214,PRICE_CORR!C214)</f>
        <v>889.99100827727909</v>
      </c>
      <c r="E239" s="764">
        <f ca="1">IF($E$19="SAC",IF(SAC_CORR!$J214="Carencia",0,SAC_CORR!D214),IF(PRICE_CORR!$J214="Carencia",0,PRICE_CORR!D214))</f>
        <v>278.38918739374589</v>
      </c>
      <c r="F239" s="764">
        <f ca="1">IF($E$19="SAC",SAC_CORR!E214,PRICE_CORR!E214)</f>
        <v>29369.703273149578</v>
      </c>
      <c r="G239" s="764">
        <f ca="1">IF($E$19="SAC",IF(SAC_CORR!$J214="Carencia",0,SAC_CORR!F214),IF(PRICE_CORR!$J214="Carencia",0,PRICE_CORR!F214))</f>
        <v>6.3545357990996409</v>
      </c>
      <c r="H239" s="764">
        <f ca="1">IF($E$19="SAC",IF(SAC_CORR!$J214="Carencia",0,SAC_CORR!G214),IF(PRICE_CORR!$J214="Carencia",0,PRICE_CORR!G214))</f>
        <v>26.319999999999997</v>
      </c>
      <c r="I239" s="764">
        <f ca="1">IF($E$19="SAC",IF(SAC_CORR!$J214="Carencia",0,SAC_CORR!H214),IF(PRICE_CORR!$J214="Carencia",0,PRICE_CORR!H214))</f>
        <v>25</v>
      </c>
      <c r="J239" s="764">
        <f ca="1">IF($E$19="SAC",SAC_CORR!I214,PRICE_CORR!I214)</f>
        <v>1226.0547314701246</v>
      </c>
      <c r="K239" s="911"/>
      <c r="N239" s="765">
        <f t="shared" ca="1" si="11"/>
        <v>1226.0547314701246</v>
      </c>
      <c r="O239" s="766">
        <f t="shared" ca="1" si="9"/>
        <v>6.8606030637492443</v>
      </c>
    </row>
    <row r="240" spans="2:15" ht="22.35" customHeight="1" thickTop="1" thickBot="1">
      <c r="B240" s="762">
        <f ca="1">IF($E$19="SAC",SAC_CORR!B215,PRICE_CORR!B215)</f>
        <v>50708</v>
      </c>
      <c r="C240" s="763">
        <f t="shared" ca="1" si="10"/>
        <v>1160.1922783947382</v>
      </c>
      <c r="D240" s="764">
        <f ca="1">IF($E$19="SAC",SAC_CORR!C215,PRICE_CORR!C215)</f>
        <v>889.99100827727909</v>
      </c>
      <c r="E240" s="764">
        <f ca="1">IF($E$19="SAC",IF(SAC_CORR!$J215="Carencia",0,SAC_CORR!D215),IF(PRICE_CORR!$J215="Carencia",0,PRICE_CORR!D215))</f>
        <v>270.20127011745905</v>
      </c>
      <c r="F240" s="764">
        <f ca="1">IF($E$19="SAC",SAC_CORR!E215,PRICE_CORR!E215)</f>
        <v>28479.712264872298</v>
      </c>
      <c r="G240" s="764">
        <f ca="1">IF($E$19="SAC",IF(SAC_CORR!$J215="Carencia",0,SAC_CORR!F215),IF(PRICE_CORR!$J215="Carencia",0,PRICE_CORR!F215))</f>
        <v>6.1676376873614114</v>
      </c>
      <c r="H240" s="764">
        <f ca="1">IF($E$19="SAC",IF(SAC_CORR!$J215="Carencia",0,SAC_CORR!G215),IF(PRICE_CORR!$J215="Carencia",0,PRICE_CORR!G215))</f>
        <v>26.319999999999997</v>
      </c>
      <c r="I240" s="764">
        <f ca="1">IF($E$19="SAC",IF(SAC_CORR!$J215="Carencia",0,SAC_CORR!H215),IF(PRICE_CORR!$J215="Carencia",0,PRICE_CORR!H215))</f>
        <v>25</v>
      </c>
      <c r="J240" s="764">
        <f ca="1">IF($E$19="SAC",SAC_CORR!I215,PRICE_CORR!I215)</f>
        <v>1217.6799160820995</v>
      </c>
      <c r="K240" s="911"/>
      <c r="N240" s="765">
        <f t="shared" ca="1" si="11"/>
        <v>1217.6799160820995</v>
      </c>
      <c r="O240" s="766">
        <f t="shared" ca="1" si="9"/>
        <v>6.7679613847330122</v>
      </c>
    </row>
    <row r="241" spans="2:15" ht="22.35" customHeight="1" thickTop="1" thickBot="1">
      <c r="B241" s="762">
        <f ca="1">IF($E$19="SAC",SAC_CORR!B216,PRICE_CORR!B216)</f>
        <v>50739</v>
      </c>
      <c r="C241" s="763">
        <f t="shared" ca="1" si="10"/>
        <v>1152.0043611184512</v>
      </c>
      <c r="D241" s="764">
        <f ca="1">IF($E$19="SAC",SAC_CORR!C216,PRICE_CORR!C216)</f>
        <v>889.99100827727909</v>
      </c>
      <c r="E241" s="764">
        <f ca="1">IF($E$19="SAC",IF(SAC_CORR!$J216="Carencia",0,SAC_CORR!D216),IF(PRICE_CORR!$J216="Carencia",0,PRICE_CORR!D216))</f>
        <v>262.01335284117221</v>
      </c>
      <c r="F241" s="764">
        <f ca="1">IF($E$19="SAC",SAC_CORR!E216,PRICE_CORR!E216)</f>
        <v>27589.721256595018</v>
      </c>
      <c r="G241" s="764">
        <f ca="1">IF($E$19="SAC",IF(SAC_CORR!$J216="Carencia",0,SAC_CORR!F216),IF(PRICE_CORR!$J216="Carencia",0,PRICE_CORR!F216))</f>
        <v>5.9807395756231827</v>
      </c>
      <c r="H241" s="764">
        <f ca="1">IF($E$19="SAC",IF(SAC_CORR!$J216="Carencia",0,SAC_CORR!G216),IF(PRICE_CORR!$J216="Carencia",0,PRICE_CORR!G216))</f>
        <v>26.319999999999997</v>
      </c>
      <c r="I241" s="764">
        <f ca="1">IF($E$19="SAC",IF(SAC_CORR!$J216="Carencia",0,SAC_CORR!H216),IF(PRICE_CORR!$J216="Carencia",0,PRICE_CORR!H216))</f>
        <v>25</v>
      </c>
      <c r="J241" s="764">
        <f ca="1">IF($E$19="SAC",SAC_CORR!I216,PRICE_CORR!I216)</f>
        <v>1209.3051006940743</v>
      </c>
      <c r="K241" s="911"/>
      <c r="N241" s="765">
        <f t="shared" ca="1" si="11"/>
        <v>1209.3051006940743</v>
      </c>
      <c r="O241" s="766">
        <f t="shared" ca="1" si="9"/>
        <v>6.6746009637133339</v>
      </c>
    </row>
    <row r="242" spans="2:15" ht="22.35" customHeight="1" thickTop="1" thickBot="1">
      <c r="B242" s="762">
        <f ca="1">IF($E$19="SAC",SAC_CORR!B217,PRICE_CORR!B217)</f>
        <v>50769</v>
      </c>
      <c r="C242" s="763">
        <f t="shared" ca="1" si="10"/>
        <v>1143.8164438421645</v>
      </c>
      <c r="D242" s="764">
        <f ca="1">IF($E$19="SAC",SAC_CORR!C217,PRICE_CORR!C217)</f>
        <v>889.99100827727909</v>
      </c>
      <c r="E242" s="764">
        <f ca="1">IF($E$19="SAC",IF(SAC_CORR!$J217="Carencia",0,SAC_CORR!D217),IF(PRICE_CORR!$J217="Carencia",0,PRICE_CORR!D217))</f>
        <v>253.8254355648854</v>
      </c>
      <c r="F242" s="764">
        <f ca="1">IF($E$19="SAC",SAC_CORR!E217,PRICE_CORR!E217)</f>
        <v>26699.730248317737</v>
      </c>
      <c r="G242" s="764">
        <f ca="1">IF($E$19="SAC",IF(SAC_CORR!$J217="Carencia",0,SAC_CORR!F217),IF(PRICE_CORR!$J217="Carencia",0,PRICE_CORR!F217))</f>
        <v>5.793841463884954</v>
      </c>
      <c r="H242" s="764">
        <f ca="1">IF($E$19="SAC",IF(SAC_CORR!$J217="Carencia",0,SAC_CORR!G217),IF(PRICE_CORR!$J217="Carencia",0,PRICE_CORR!G217))</f>
        <v>26.319999999999997</v>
      </c>
      <c r="I242" s="764">
        <f ca="1">IF($E$19="SAC",IF(SAC_CORR!$J217="Carencia",0,SAC_CORR!H217),IF(PRICE_CORR!$J217="Carencia",0,PRICE_CORR!H217))</f>
        <v>25</v>
      </c>
      <c r="J242" s="764">
        <f ca="1">IF($E$19="SAC",SAC_CORR!I217,PRICE_CORR!I217)</f>
        <v>1200.9302853060494</v>
      </c>
      <c r="K242" s="911"/>
      <c r="N242" s="765">
        <f t="shared" ca="1" si="11"/>
        <v>1200.9302853060494</v>
      </c>
      <c r="O242" s="766">
        <f t="shared" ca="1" si="9"/>
        <v>6.5840325920079286</v>
      </c>
    </row>
    <row r="243" spans="2:15" ht="22.35" customHeight="1" thickTop="1" thickBot="1">
      <c r="B243" s="762">
        <f ca="1">IF($E$19="SAC",SAC_CORR!B218,PRICE_CORR!B218)</f>
        <v>50800</v>
      </c>
      <c r="C243" s="763">
        <f t="shared" ca="1" si="10"/>
        <v>1135.6285265658776</v>
      </c>
      <c r="D243" s="764">
        <f ca="1">IF($E$19="SAC",SAC_CORR!C218,PRICE_CORR!C218)</f>
        <v>889.99100827727909</v>
      </c>
      <c r="E243" s="764">
        <f ca="1">IF($E$19="SAC",IF(SAC_CORR!$J218="Carencia",0,SAC_CORR!D218),IF(PRICE_CORR!$J218="Carencia",0,PRICE_CORR!D218))</f>
        <v>245.63751828859859</v>
      </c>
      <c r="F243" s="764">
        <f ca="1">IF($E$19="SAC",SAC_CORR!E218,PRICE_CORR!E218)</f>
        <v>25809.739240040457</v>
      </c>
      <c r="G243" s="764">
        <f ca="1">IF($E$19="SAC",IF(SAC_CORR!$J218="Carencia",0,SAC_CORR!F218),IF(PRICE_CORR!$J218="Carencia",0,PRICE_CORR!F218))</f>
        <v>5.6069433521467253</v>
      </c>
      <c r="H243" s="764">
        <f ca="1">IF($E$19="SAC",IF(SAC_CORR!$J218="Carencia",0,SAC_CORR!G218),IF(PRICE_CORR!$J218="Carencia",0,PRICE_CORR!G218))</f>
        <v>26.319999999999997</v>
      </c>
      <c r="I243" s="764">
        <f ca="1">IF($E$19="SAC",IF(SAC_CORR!$J218="Carencia",0,SAC_CORR!H218),IF(PRICE_CORR!$J218="Carencia",0,PRICE_CORR!H218))</f>
        <v>25</v>
      </c>
      <c r="J243" s="764">
        <f ca="1">IF($E$19="SAC",SAC_CORR!I218,PRICE_CORR!I218)</f>
        <v>1192.5554699180243</v>
      </c>
      <c r="K243" s="911"/>
      <c r="N243" s="765">
        <f t="shared" ca="1" si="11"/>
        <v>1192.5554699180243</v>
      </c>
      <c r="O243" s="766">
        <f t="shared" ca="1" si="9"/>
        <v>6.4927720555468653</v>
      </c>
    </row>
    <row r="244" spans="2:15" ht="22.35" customHeight="1" thickTop="1" thickBot="1">
      <c r="B244" s="762">
        <f ca="1">IF($E$19="SAC",SAC_CORR!B219,PRICE_CORR!B219)</f>
        <v>50829</v>
      </c>
      <c r="C244" s="763">
        <f t="shared" ca="1" si="10"/>
        <v>1127.4406092895908</v>
      </c>
      <c r="D244" s="764">
        <f ca="1">IF($E$19="SAC",SAC_CORR!C219,PRICE_CORR!C219)</f>
        <v>889.99100827727909</v>
      </c>
      <c r="E244" s="764">
        <f ca="1">IF($E$19="SAC",IF(SAC_CORR!$J219="Carencia",0,SAC_CORR!D219),IF(PRICE_CORR!$J219="Carencia",0,PRICE_CORR!D219))</f>
        <v>237.44960101231175</v>
      </c>
      <c r="F244" s="764">
        <f ca="1">IF($E$19="SAC",SAC_CORR!E219,PRICE_CORR!E219)</f>
        <v>24919.748231763177</v>
      </c>
      <c r="G244" s="764">
        <f ca="1">IF($E$19="SAC",IF(SAC_CORR!$J219="Carencia",0,SAC_CORR!F219),IF(PRICE_CORR!$J219="Carencia",0,PRICE_CORR!F219))</f>
        <v>5.4200452404084958</v>
      </c>
      <c r="H244" s="764">
        <f ca="1">IF($E$19="SAC",IF(SAC_CORR!$J219="Carencia",0,SAC_CORR!G219),IF(PRICE_CORR!$J219="Carencia",0,PRICE_CORR!G219))</f>
        <v>26.319999999999997</v>
      </c>
      <c r="I244" s="764">
        <f ca="1">IF($E$19="SAC",IF(SAC_CORR!$J219="Carencia",0,SAC_CORR!H219),IF(PRICE_CORR!$J219="Carencia",0,PRICE_CORR!H219))</f>
        <v>25</v>
      </c>
      <c r="J244" s="764">
        <f ca="1">IF($E$19="SAC",SAC_CORR!I219,PRICE_CORR!I219)</f>
        <v>1184.1806545299992</v>
      </c>
      <c r="K244" s="911"/>
      <c r="N244" s="765">
        <f t="shared" ca="1" si="11"/>
        <v>1184.1806545299992</v>
      </c>
      <c r="O244" s="766">
        <f t="shared" ca="1" si="9"/>
        <v>6.4059124566556545</v>
      </c>
    </row>
    <row r="245" spans="2:15" ht="22.35" customHeight="1" thickTop="1" thickBot="1">
      <c r="B245" s="762">
        <f ca="1">IF($E$19="SAC",SAC_CORR!B220,PRICE_CORR!B220)</f>
        <v>50859</v>
      </c>
      <c r="C245" s="763">
        <f t="shared" ca="1" si="10"/>
        <v>1119.2526920133041</v>
      </c>
      <c r="D245" s="764">
        <f ca="1">IF($E$19="SAC",SAC_CORR!C220,PRICE_CORR!C220)</f>
        <v>889.99100827727909</v>
      </c>
      <c r="E245" s="764">
        <f ca="1">IF($E$19="SAC",IF(SAC_CORR!$J220="Carencia",0,SAC_CORR!D220),IF(PRICE_CORR!$J220="Carencia",0,PRICE_CORR!D220))</f>
        <v>229.26168373602493</v>
      </c>
      <c r="F245" s="764">
        <f ca="1">IF($E$19="SAC",SAC_CORR!E220,PRICE_CORR!E220)</f>
        <v>24029.757223485896</v>
      </c>
      <c r="G245" s="764">
        <f ca="1">IF($E$19="SAC",IF(SAC_CORR!$J220="Carencia",0,SAC_CORR!F220),IF(PRICE_CORR!$J220="Carencia",0,PRICE_CORR!F220))</f>
        <v>5.2331471286702671</v>
      </c>
      <c r="H245" s="764">
        <f ca="1">IF($E$19="SAC",IF(SAC_CORR!$J220="Carencia",0,SAC_CORR!G220),IF(PRICE_CORR!$J220="Carencia",0,PRICE_CORR!G220))</f>
        <v>26.319999999999997</v>
      </c>
      <c r="I245" s="764">
        <f ca="1">IF($E$19="SAC",IF(SAC_CORR!$J220="Carencia",0,SAC_CORR!H220),IF(PRICE_CORR!$J220="Carencia",0,PRICE_CORR!H220))</f>
        <v>25</v>
      </c>
      <c r="J245" s="764">
        <f ca="1">IF($E$19="SAC",SAC_CORR!I220,PRICE_CORR!I220)</f>
        <v>1175.8058391419743</v>
      </c>
      <c r="K245" s="911"/>
      <c r="N245" s="765">
        <f t="shared" ca="1" si="11"/>
        <v>1175.8058391419743</v>
      </c>
      <c r="O245" s="766">
        <f t="shared" ca="1" si="9"/>
        <v>6.3183402986763788</v>
      </c>
    </row>
    <row r="246" spans="2:15" ht="22.35" customHeight="1" thickTop="1" thickBot="1">
      <c r="B246" s="762">
        <f ca="1">IF($E$19="SAC",SAC_CORR!B221,PRICE_CORR!B221)</f>
        <v>50890</v>
      </c>
      <c r="C246" s="763">
        <f t="shared" ca="1" si="10"/>
        <v>1111.0647747370172</v>
      </c>
      <c r="D246" s="764">
        <f ca="1">IF($E$19="SAC",SAC_CORR!C221,PRICE_CORR!C221)</f>
        <v>889.99100827727909</v>
      </c>
      <c r="E246" s="764">
        <f ca="1">IF($E$19="SAC",IF(SAC_CORR!$J221="Carencia",0,SAC_CORR!D221),IF(PRICE_CORR!$J221="Carencia",0,PRICE_CORR!D221))</f>
        <v>221.0737664597381</v>
      </c>
      <c r="F246" s="764">
        <f ca="1">IF($E$19="SAC",SAC_CORR!E221,PRICE_CORR!E221)</f>
        <v>23139.766215208616</v>
      </c>
      <c r="G246" s="764">
        <f ca="1">IF($E$19="SAC",IF(SAC_CORR!$J221="Carencia",0,SAC_CORR!F221),IF(PRICE_CORR!$J221="Carencia",0,PRICE_CORR!F221))</f>
        <v>5.0462490169320384</v>
      </c>
      <c r="H246" s="764">
        <f ca="1">IF($E$19="SAC",IF(SAC_CORR!$J221="Carencia",0,SAC_CORR!G221),IF(PRICE_CORR!$J221="Carencia",0,PRICE_CORR!G221))</f>
        <v>26.319999999999997</v>
      </c>
      <c r="I246" s="764">
        <f ca="1">IF($E$19="SAC",IF(SAC_CORR!$J221="Carencia",0,SAC_CORR!H221),IF(PRICE_CORR!$J221="Carencia",0,PRICE_CORR!H221))</f>
        <v>25</v>
      </c>
      <c r="J246" s="764">
        <f ca="1">IF($E$19="SAC",SAC_CORR!I221,PRICE_CORR!I221)</f>
        <v>1167.4310237539491</v>
      </c>
      <c r="K246" s="911"/>
      <c r="N246" s="765">
        <f t="shared" ca="1" si="11"/>
        <v>1167.4310237539491</v>
      </c>
      <c r="O246" s="766">
        <f t="shared" ca="1" si="9"/>
        <v>6.2301143481406509</v>
      </c>
    </row>
    <row r="247" spans="2:15" ht="22.35" customHeight="1" thickTop="1" thickBot="1">
      <c r="B247" s="762">
        <f ca="1">IF($E$19="SAC",SAC_CORR!B222,PRICE_CORR!B222)</f>
        <v>50920</v>
      </c>
      <c r="C247" s="763">
        <f t="shared" ca="1" si="10"/>
        <v>1102.8768574607304</v>
      </c>
      <c r="D247" s="764">
        <f ca="1">IF($E$19="SAC",SAC_CORR!C222,PRICE_CORR!C222)</f>
        <v>889.99100827727909</v>
      </c>
      <c r="E247" s="764">
        <f ca="1">IF($E$19="SAC",IF(SAC_CORR!$J222="Carencia",0,SAC_CORR!D222),IF(PRICE_CORR!$J222="Carencia",0,PRICE_CORR!D222))</f>
        <v>212.88584918345128</v>
      </c>
      <c r="F247" s="764">
        <f ca="1">IF($E$19="SAC",SAC_CORR!E222,PRICE_CORR!E222)</f>
        <v>22249.775206931336</v>
      </c>
      <c r="G247" s="764">
        <f ca="1">IF($E$19="SAC",IF(SAC_CORR!$J222="Carencia",0,SAC_CORR!F222),IF(PRICE_CORR!$J222="Carencia",0,PRICE_CORR!F222))</f>
        <v>4.8593509051938097</v>
      </c>
      <c r="H247" s="764">
        <f ca="1">IF($E$19="SAC",IF(SAC_CORR!$J222="Carencia",0,SAC_CORR!G222),IF(PRICE_CORR!$J222="Carencia",0,PRICE_CORR!G222))</f>
        <v>26.319999999999997</v>
      </c>
      <c r="I247" s="764">
        <f ca="1">IF($E$19="SAC",IF(SAC_CORR!$J222="Carencia",0,SAC_CORR!H222),IF(PRICE_CORR!$J222="Carencia",0,PRICE_CORR!H222))</f>
        <v>25</v>
      </c>
      <c r="J247" s="764">
        <f ca="1">IF($E$19="SAC",SAC_CORR!I222,PRICE_CORR!I222)</f>
        <v>1159.0562083659242</v>
      </c>
      <c r="K247" s="911"/>
      <c r="N247" s="765">
        <f t="shared" ca="1" si="11"/>
        <v>1159.0562083659242</v>
      </c>
      <c r="O247" s="766">
        <f t="shared" ca="1" si="9"/>
        <v>6.144511678737433</v>
      </c>
    </row>
    <row r="248" spans="2:15" ht="22.35" customHeight="1" thickTop="1" thickBot="1">
      <c r="B248" s="762">
        <f ca="1">IF($E$19="SAC",SAC_CORR!B223,PRICE_CORR!B223)</f>
        <v>50951</v>
      </c>
      <c r="C248" s="763">
        <f t="shared" ca="1" si="10"/>
        <v>1094.6889401844435</v>
      </c>
      <c r="D248" s="764">
        <f ca="1">IF($E$19="SAC",SAC_CORR!C223,PRICE_CORR!C223)</f>
        <v>889.99100827727909</v>
      </c>
      <c r="E248" s="764">
        <f ca="1">IF($E$19="SAC",IF(SAC_CORR!$J223="Carencia",0,SAC_CORR!D223),IF(PRICE_CORR!$J223="Carencia",0,PRICE_CORR!D223))</f>
        <v>204.69793190716445</v>
      </c>
      <c r="F248" s="764">
        <f ca="1">IF($E$19="SAC",SAC_CORR!E223,PRICE_CORR!E223)</f>
        <v>21359.784198654055</v>
      </c>
      <c r="G248" s="764">
        <f ca="1">IF($E$19="SAC",IF(SAC_CORR!$J223="Carencia",0,SAC_CORR!F223),IF(PRICE_CORR!$J223="Carencia",0,PRICE_CORR!F223))</f>
        <v>4.6724527934555811</v>
      </c>
      <c r="H248" s="764">
        <f ca="1">IF($E$19="SAC",IF(SAC_CORR!$J223="Carencia",0,SAC_CORR!G223),IF(PRICE_CORR!$J223="Carencia",0,PRICE_CORR!G223))</f>
        <v>26.319999999999997</v>
      </c>
      <c r="I248" s="764">
        <f ca="1">IF($E$19="SAC",IF(SAC_CORR!$J223="Carencia",0,SAC_CORR!H223),IF(PRICE_CORR!$J223="Carencia",0,PRICE_CORR!H223))</f>
        <v>25</v>
      </c>
      <c r="J248" s="764">
        <f ca="1">IF($E$19="SAC",SAC_CORR!I223,PRICE_CORR!I223)</f>
        <v>1150.6813929778989</v>
      </c>
      <c r="K248" s="911"/>
      <c r="N248" s="765">
        <f t="shared" ca="1" si="11"/>
        <v>1150.6813929778989</v>
      </c>
      <c r="O248" s="766">
        <f t="shared" ca="1" si="9"/>
        <v>6.0582801755099496</v>
      </c>
    </row>
    <row r="249" spans="2:15" ht="22.35" customHeight="1" thickTop="1" thickBot="1">
      <c r="B249" s="762">
        <f ca="1">IF($E$19="SAC",SAC_CORR!B224,PRICE_CORR!B224)</f>
        <v>50981</v>
      </c>
      <c r="C249" s="763">
        <f t="shared" ca="1" si="10"/>
        <v>1086.5010229081568</v>
      </c>
      <c r="D249" s="764">
        <f ca="1">IF($E$19="SAC",SAC_CORR!C224,PRICE_CORR!C224)</f>
        <v>889.99100827727909</v>
      </c>
      <c r="E249" s="764">
        <f ca="1">IF($E$19="SAC",IF(SAC_CORR!$J224="Carencia",0,SAC_CORR!D224),IF(PRICE_CORR!$J224="Carencia",0,PRICE_CORR!D224))</f>
        <v>196.51001463087763</v>
      </c>
      <c r="F249" s="764">
        <f ca="1">IF($E$19="SAC",SAC_CORR!E224,PRICE_CORR!E224)</f>
        <v>20469.793190376775</v>
      </c>
      <c r="G249" s="764">
        <f ca="1">IF($E$19="SAC",IF(SAC_CORR!$J224="Carencia",0,SAC_CORR!F224),IF(PRICE_CORR!$J224="Carencia",0,PRICE_CORR!F224))</f>
        <v>4.4855546817173515</v>
      </c>
      <c r="H249" s="764">
        <f ca="1">IF($E$19="SAC",IF(SAC_CORR!$J224="Carencia",0,SAC_CORR!G224),IF(PRICE_CORR!$J224="Carencia",0,PRICE_CORR!G224))</f>
        <v>26.319999999999997</v>
      </c>
      <c r="I249" s="764">
        <f ca="1">IF($E$19="SAC",IF(SAC_CORR!$J224="Carencia",0,SAC_CORR!H224),IF(PRICE_CORR!$J224="Carencia",0,PRICE_CORR!H224))</f>
        <v>25</v>
      </c>
      <c r="J249" s="764">
        <f ca="1">IF($E$19="SAC",SAC_CORR!I224,PRICE_CORR!I224)</f>
        <v>1142.306577589874</v>
      </c>
      <c r="K249" s="911"/>
      <c r="N249" s="765">
        <f t="shared" ca="1" si="11"/>
        <v>1142.306577589874</v>
      </c>
      <c r="O249" s="766">
        <f t="shared" ca="1" si="9"/>
        <v>5.9746065585060339</v>
      </c>
    </row>
    <row r="250" spans="2:15" ht="22.35" customHeight="1" thickTop="1" thickBot="1">
      <c r="B250" s="762">
        <f ca="1">IF($E$19="SAC",SAC_CORR!B225,PRICE_CORR!B225)</f>
        <v>51012</v>
      </c>
      <c r="C250" s="763">
        <f t="shared" ca="1" si="10"/>
        <v>1078.3131056318698</v>
      </c>
      <c r="D250" s="764">
        <f ca="1">IF($E$19="SAC",SAC_CORR!C225,PRICE_CORR!C225)</f>
        <v>889.99100827727909</v>
      </c>
      <c r="E250" s="764">
        <f ca="1">IF($E$19="SAC",IF(SAC_CORR!$J225="Carencia",0,SAC_CORR!D225),IF(PRICE_CORR!$J225="Carencia",0,PRICE_CORR!D225))</f>
        <v>188.3220973545908</v>
      </c>
      <c r="F250" s="764">
        <f ca="1">IF($E$19="SAC",SAC_CORR!E225,PRICE_CORR!E225)</f>
        <v>19579.802182099495</v>
      </c>
      <c r="G250" s="764">
        <f ca="1">IF($E$19="SAC",IF(SAC_CORR!$J225="Carencia",0,SAC_CORR!F225),IF(PRICE_CORR!$J225="Carencia",0,PRICE_CORR!F225))</f>
        <v>4.2986565699791228</v>
      </c>
      <c r="H250" s="764">
        <f ca="1">IF($E$19="SAC",IF(SAC_CORR!$J225="Carencia",0,SAC_CORR!G225),IF(PRICE_CORR!$J225="Carencia",0,PRICE_CORR!G225))</f>
        <v>26.319999999999997</v>
      </c>
      <c r="I250" s="764">
        <f ca="1">IF($E$19="SAC",IF(SAC_CORR!$J225="Carencia",0,SAC_CORR!H225),IF(PRICE_CORR!$J225="Carencia",0,PRICE_CORR!H225))</f>
        <v>25</v>
      </c>
      <c r="J250" s="764">
        <f ca="1">IF($E$19="SAC",SAC_CORR!I225,PRICE_CORR!I225)</f>
        <v>1133.9317622018489</v>
      </c>
      <c r="K250" s="911"/>
      <c r="N250" s="765">
        <f t="shared" ca="1" si="11"/>
        <v>1133.9317622018489</v>
      </c>
      <c r="O250" s="766">
        <f t="shared" ca="1" si="9"/>
        <v>5.8903284393781252</v>
      </c>
    </row>
    <row r="251" spans="2:15" ht="22.35" customHeight="1" thickTop="1" thickBot="1">
      <c r="B251" s="762">
        <f ca="1">IF($E$19="SAC",SAC_CORR!B226,PRICE_CORR!B226)</f>
        <v>51043</v>
      </c>
      <c r="C251" s="763">
        <f t="shared" ca="1" si="10"/>
        <v>1070.1251883555831</v>
      </c>
      <c r="D251" s="764">
        <f ca="1">IF($E$19="SAC",SAC_CORR!C226,PRICE_CORR!C226)</f>
        <v>889.99100827727909</v>
      </c>
      <c r="E251" s="764">
        <f ca="1">IF($E$19="SAC",IF(SAC_CORR!$J226="Carencia",0,SAC_CORR!D226),IF(PRICE_CORR!$J226="Carencia",0,PRICE_CORR!D226))</f>
        <v>180.13418007830398</v>
      </c>
      <c r="F251" s="764">
        <f ca="1">IF($E$19="SAC",SAC_CORR!E226,PRICE_CORR!E226)</f>
        <v>18689.811173822214</v>
      </c>
      <c r="G251" s="764">
        <f ca="1">IF($E$19="SAC",IF(SAC_CORR!$J226="Carencia",0,SAC_CORR!F226),IF(PRICE_CORR!$J226="Carencia",0,PRICE_CORR!F226))</f>
        <v>4.1117584582408941</v>
      </c>
      <c r="H251" s="764">
        <f ca="1">IF($E$19="SAC",IF(SAC_CORR!$J226="Carencia",0,SAC_CORR!G226),IF(PRICE_CORR!$J226="Carencia",0,PRICE_CORR!G226))</f>
        <v>26.319999999999997</v>
      </c>
      <c r="I251" s="764">
        <f ca="1">IF($E$19="SAC",IF(SAC_CORR!$J226="Carencia",0,SAC_CORR!H226),IF(PRICE_CORR!$J226="Carencia",0,PRICE_CORR!H226))</f>
        <v>25</v>
      </c>
      <c r="J251" s="764">
        <f ca="1">IF($E$19="SAC",SAC_CORR!I226,PRICE_CORR!I226)</f>
        <v>1125.556946813824</v>
      </c>
      <c r="K251" s="911"/>
      <c r="N251" s="765">
        <f t="shared" ca="1" si="11"/>
        <v>1125.556946813824</v>
      </c>
      <c r="O251" s="766">
        <f t="shared" ca="1" si="9"/>
        <v>5.8070227768016949</v>
      </c>
    </row>
    <row r="252" spans="2:15" ht="22.35" customHeight="1" thickTop="1" thickBot="1">
      <c r="B252" s="762">
        <f ca="1">IF($E$19="SAC",SAC_CORR!B227,PRICE_CORR!B227)</f>
        <v>51073</v>
      </c>
      <c r="C252" s="763">
        <f t="shared" ca="1" si="10"/>
        <v>1061.9372710792964</v>
      </c>
      <c r="D252" s="764">
        <f ca="1">IF($E$19="SAC",SAC_CORR!C227,PRICE_CORR!C227)</f>
        <v>889.99100827727909</v>
      </c>
      <c r="E252" s="764">
        <f ca="1">IF($E$19="SAC",IF(SAC_CORR!$J227="Carencia",0,SAC_CORR!D227),IF(PRICE_CORR!$J227="Carencia",0,PRICE_CORR!D227))</f>
        <v>171.94626280201715</v>
      </c>
      <c r="F252" s="764">
        <f ca="1">IF($E$19="SAC",SAC_CORR!E227,PRICE_CORR!E227)</f>
        <v>17799.820165544934</v>
      </c>
      <c r="G252" s="764">
        <f ca="1">IF($E$19="SAC",IF(SAC_CORR!$J227="Carencia",0,SAC_CORR!F227),IF(PRICE_CORR!$J227="Carencia",0,PRICE_CORR!F227))</f>
        <v>3.924860346502665</v>
      </c>
      <c r="H252" s="764">
        <f ca="1">IF($E$19="SAC",IF(SAC_CORR!$J227="Carencia",0,SAC_CORR!G227),IF(PRICE_CORR!$J227="Carencia",0,PRICE_CORR!G227))</f>
        <v>26.319999999999997</v>
      </c>
      <c r="I252" s="764">
        <f ca="1">IF($E$19="SAC",IF(SAC_CORR!$J227="Carencia",0,SAC_CORR!H227),IF(PRICE_CORR!$J227="Carencia",0,PRICE_CORR!H227))</f>
        <v>25</v>
      </c>
      <c r="J252" s="764">
        <f ca="1">IF($E$19="SAC",SAC_CORR!I227,PRICE_CORR!I227)</f>
        <v>1117.1821314257988</v>
      </c>
      <c r="K252" s="911"/>
      <c r="N252" s="765">
        <f t="shared" ca="1" si="11"/>
        <v>1117.1821314257988</v>
      </c>
      <c r="O252" s="766">
        <f t="shared" ca="1" si="9"/>
        <v>5.7261792281722954</v>
      </c>
    </row>
    <row r="253" spans="2:15" ht="22.35" customHeight="1" thickTop="1" thickBot="1">
      <c r="B253" s="762">
        <f ca="1">IF($E$19="SAC",SAC_CORR!B228,PRICE_CORR!B228)</f>
        <v>51104</v>
      </c>
      <c r="C253" s="763">
        <f t="shared" ca="1" si="10"/>
        <v>1053.7493538030094</v>
      </c>
      <c r="D253" s="764">
        <f ca="1">IF($E$19="SAC",SAC_CORR!C228,PRICE_CORR!C228)</f>
        <v>889.99100827727909</v>
      </c>
      <c r="E253" s="764">
        <f ca="1">IF($E$19="SAC",IF(SAC_CORR!$J228="Carencia",0,SAC_CORR!D228),IF(PRICE_CORR!$J228="Carencia",0,PRICE_CORR!D228))</f>
        <v>163.75834552573033</v>
      </c>
      <c r="F253" s="764">
        <f ca="1">IF($E$19="SAC",SAC_CORR!E228,PRICE_CORR!E228)</f>
        <v>16909.829157267653</v>
      </c>
      <c r="G253" s="764">
        <f ca="1">IF($E$19="SAC",IF(SAC_CORR!$J228="Carencia",0,SAC_CORR!F228),IF(PRICE_CORR!$J228="Carencia",0,PRICE_CORR!F228))</f>
        <v>3.7379622347644363</v>
      </c>
      <c r="H253" s="764">
        <f ca="1">IF($E$19="SAC",IF(SAC_CORR!$J228="Carencia",0,SAC_CORR!G228),IF(PRICE_CORR!$J228="Carencia",0,PRICE_CORR!G228))</f>
        <v>26.319999999999997</v>
      </c>
      <c r="I253" s="764">
        <f ca="1">IF($E$19="SAC",IF(SAC_CORR!$J228="Carencia",0,SAC_CORR!H228),IF(PRICE_CORR!$J228="Carencia",0,PRICE_CORR!H228))</f>
        <v>25</v>
      </c>
      <c r="J253" s="764">
        <f ca="1">IF($E$19="SAC",SAC_CORR!I228,PRICE_CORR!I228)</f>
        <v>1108.8073160377737</v>
      </c>
      <c r="K253" s="911"/>
      <c r="N253" s="765">
        <f t="shared" ca="1" si="11"/>
        <v>1108.8073160377737</v>
      </c>
      <c r="O253" s="766">
        <f t="shared" ca="1" si="9"/>
        <v>5.6447666035216804</v>
      </c>
    </row>
    <row r="254" spans="2:15" ht="22.35" customHeight="1" thickTop="1" thickBot="1">
      <c r="B254" s="762">
        <f ca="1">IF($E$19="SAC",SAC_CORR!B229,PRICE_CORR!B229)</f>
        <v>51134</v>
      </c>
      <c r="C254" s="763">
        <f t="shared" ca="1" si="10"/>
        <v>1045.5614365267227</v>
      </c>
      <c r="D254" s="764">
        <f ca="1">IF($E$19="SAC",SAC_CORR!C229,PRICE_CORR!C229)</f>
        <v>889.99100827727909</v>
      </c>
      <c r="E254" s="764">
        <f ca="1">IF($E$19="SAC",IF(SAC_CORR!$J229="Carencia",0,SAC_CORR!D229),IF(PRICE_CORR!$J229="Carencia",0,PRICE_CORR!D229))</f>
        <v>155.57042824944349</v>
      </c>
      <c r="F254" s="764">
        <f ca="1">IF($E$19="SAC",SAC_CORR!E229,PRICE_CORR!E229)</f>
        <v>16019.838148990375</v>
      </c>
      <c r="G254" s="764">
        <f ca="1">IF($E$19="SAC",IF(SAC_CORR!$J229="Carencia",0,SAC_CORR!F229),IF(PRICE_CORR!$J229="Carencia",0,PRICE_CORR!F229))</f>
        <v>3.5510641230262072</v>
      </c>
      <c r="H254" s="764">
        <f ca="1">IF($E$19="SAC",IF(SAC_CORR!$J229="Carencia",0,SAC_CORR!G229),IF(PRICE_CORR!$J229="Carencia",0,PRICE_CORR!G229))</f>
        <v>26.319999999999997</v>
      </c>
      <c r="I254" s="764">
        <f ca="1">IF($E$19="SAC",IF(SAC_CORR!$J229="Carencia",0,SAC_CORR!H229),IF(PRICE_CORR!$J229="Carencia",0,PRICE_CORR!H229))</f>
        <v>25</v>
      </c>
      <c r="J254" s="764">
        <f ca="1">IF($E$19="SAC",SAC_CORR!I229,PRICE_CORR!I229)</f>
        <v>1100.4325006497488</v>
      </c>
      <c r="K254" s="911"/>
      <c r="N254" s="765">
        <f t="shared" ca="1" si="11"/>
        <v>1100.4325006497488</v>
      </c>
      <c r="O254" s="766">
        <f t="shared" ca="1" si="9"/>
        <v>5.5657541882711605</v>
      </c>
    </row>
    <row r="255" spans="2:15" ht="22.35" customHeight="1" thickTop="1" thickBot="1">
      <c r="B255" s="762">
        <f ca="1">IF($E$19="SAC",SAC_CORR!B230,PRICE_CORR!B230)</f>
        <v>51165</v>
      </c>
      <c r="C255" s="763">
        <f t="shared" ca="1" si="10"/>
        <v>1037.3735192504357</v>
      </c>
      <c r="D255" s="764">
        <f ca="1">IF($E$19="SAC",SAC_CORR!C230,PRICE_CORR!C230)</f>
        <v>889.99100827727909</v>
      </c>
      <c r="E255" s="764">
        <f ca="1">IF($E$19="SAC",IF(SAC_CORR!$J230="Carencia",0,SAC_CORR!D230),IF(PRICE_CORR!$J230="Carencia",0,PRICE_CORR!D230))</f>
        <v>147.38251097315668</v>
      </c>
      <c r="F255" s="764">
        <f ca="1">IF($E$19="SAC",SAC_CORR!E230,PRICE_CORR!E230)</f>
        <v>15129.847140713096</v>
      </c>
      <c r="G255" s="764">
        <f ca="1">IF($E$19="SAC",IF(SAC_CORR!$J230="Carencia",0,SAC_CORR!F230),IF(PRICE_CORR!$J230="Carencia",0,PRICE_CORR!F230))</f>
        <v>3.364166011287979</v>
      </c>
      <c r="H255" s="764">
        <f ca="1">IF($E$19="SAC",IF(SAC_CORR!$J230="Carencia",0,SAC_CORR!G230),IF(PRICE_CORR!$J230="Carencia",0,PRICE_CORR!G230))</f>
        <v>26.319999999999997</v>
      </c>
      <c r="I255" s="764">
        <f ca="1">IF($E$19="SAC",IF(SAC_CORR!$J230="Carencia",0,SAC_CORR!H230),IF(PRICE_CORR!$J230="Carencia",0,PRICE_CORR!H230))</f>
        <v>25</v>
      </c>
      <c r="J255" s="764">
        <f ca="1">IF($E$19="SAC",SAC_CORR!I230,PRICE_CORR!I230)</f>
        <v>1092.0576852617237</v>
      </c>
      <c r="K255" s="911"/>
      <c r="N255" s="765">
        <f t="shared" ca="1" si="11"/>
        <v>1092.0576852617237</v>
      </c>
      <c r="O255" s="766">
        <f t="shared" ca="1" si="9"/>
        <v>5.4861955170684595</v>
      </c>
    </row>
    <row r="256" spans="2:15" ht="22.35" customHeight="1" thickTop="1" thickBot="1">
      <c r="B256" s="762">
        <f ca="1">IF($E$19="SAC",SAC_CORR!B231,PRICE_CORR!B231)</f>
        <v>51195</v>
      </c>
      <c r="C256" s="763">
        <f t="shared" ca="1" si="10"/>
        <v>1029.185601974149</v>
      </c>
      <c r="D256" s="764">
        <f ca="1">IF($E$19="SAC",SAC_CORR!C231,PRICE_CORR!C231)</f>
        <v>889.99100827727909</v>
      </c>
      <c r="E256" s="764">
        <f ca="1">IF($E$19="SAC",IF(SAC_CORR!$J231="Carencia",0,SAC_CORR!D231),IF(PRICE_CORR!$J231="Carencia",0,PRICE_CORR!D231))</f>
        <v>139.19459369686987</v>
      </c>
      <c r="F256" s="764">
        <f ca="1">IF($E$19="SAC",SAC_CORR!E231,PRICE_CORR!E231)</f>
        <v>14239.856132435818</v>
      </c>
      <c r="G256" s="764">
        <f ca="1">IF($E$19="SAC",IF(SAC_CORR!$J231="Carencia",0,SAC_CORR!F231),IF(PRICE_CORR!$J231="Carencia",0,PRICE_CORR!F231))</f>
        <v>3.1772678995497503</v>
      </c>
      <c r="H256" s="764">
        <f ca="1">IF($E$19="SAC",IF(SAC_CORR!$J231="Carencia",0,SAC_CORR!G231),IF(PRICE_CORR!$J231="Carencia",0,PRICE_CORR!G231))</f>
        <v>26.319999999999997</v>
      </c>
      <c r="I256" s="764">
        <f ca="1">IF($E$19="SAC",IF(SAC_CORR!$J231="Carencia",0,SAC_CORR!H231),IF(PRICE_CORR!$J231="Carencia",0,PRICE_CORR!H231))</f>
        <v>25</v>
      </c>
      <c r="J256" s="764">
        <f ca="1">IF($E$19="SAC",SAC_CORR!I231,PRICE_CORR!I231)</f>
        <v>1083.6828698736988</v>
      </c>
      <c r="K256" s="911"/>
      <c r="N256" s="765">
        <f t="shared" ca="1" si="11"/>
        <v>1083.6828698736988</v>
      </c>
      <c r="O256" s="766">
        <f t="shared" ca="1" si="9"/>
        <v>5.4089764946917871</v>
      </c>
    </row>
    <row r="257" spans="2:15" ht="22.35" customHeight="1" thickTop="1" thickBot="1">
      <c r="B257" s="762">
        <f ca="1">IF($E$19="SAC",SAC_CORR!B232,PRICE_CORR!B232)</f>
        <v>51225</v>
      </c>
      <c r="C257" s="763">
        <f t="shared" ca="1" si="10"/>
        <v>1020.9976846978622</v>
      </c>
      <c r="D257" s="764">
        <f ca="1">IF($E$19="SAC",SAC_CORR!C232,PRICE_CORR!C232)</f>
        <v>889.99100827727909</v>
      </c>
      <c r="E257" s="764">
        <f ca="1">IF($E$19="SAC",IF(SAC_CORR!$J232="Carencia",0,SAC_CORR!D232),IF(PRICE_CORR!$J232="Carencia",0,PRICE_CORR!D232))</f>
        <v>131.00667642058306</v>
      </c>
      <c r="F257" s="764">
        <f ca="1">IF($E$19="SAC",SAC_CORR!E232,PRICE_CORR!E232)</f>
        <v>13349.865124158539</v>
      </c>
      <c r="G257" s="764">
        <f ca="1">IF($E$19="SAC",IF(SAC_CORR!$J232="Carencia",0,SAC_CORR!F232),IF(PRICE_CORR!$J232="Carencia",0,PRICE_CORR!F232))</f>
        <v>2.9903697878115221</v>
      </c>
      <c r="H257" s="764">
        <f ca="1">IF($E$19="SAC",IF(SAC_CORR!$J232="Carencia",0,SAC_CORR!G232),IF(PRICE_CORR!$J232="Carencia",0,PRICE_CORR!G232))</f>
        <v>26.319999999999997</v>
      </c>
      <c r="I257" s="764">
        <f ca="1">IF($E$19="SAC",IF(SAC_CORR!$J232="Carencia",0,SAC_CORR!H232),IF(PRICE_CORR!$J232="Carencia",0,PRICE_CORR!H232))</f>
        <v>25</v>
      </c>
      <c r="J257" s="764">
        <f ca="1">IF($E$19="SAC",SAC_CORR!I232,PRICE_CORR!I232)</f>
        <v>1075.3080544856737</v>
      </c>
      <c r="K257" s="911"/>
      <c r="N257" s="765">
        <f t="shared" ca="1" si="11"/>
        <v>1075.3080544856737</v>
      </c>
      <c r="O257" s="766">
        <f t="shared" ca="1" si="9"/>
        <v>5.3326302472813092</v>
      </c>
    </row>
    <row r="258" spans="2:15" ht="22.35" customHeight="1" thickTop="1" thickBot="1">
      <c r="B258" s="762">
        <f ca="1">IF($E$19="SAC",SAC_CORR!B233,PRICE_CORR!B233)</f>
        <v>51256</v>
      </c>
      <c r="C258" s="763">
        <f t="shared" ca="1" si="10"/>
        <v>1012.8097674215753</v>
      </c>
      <c r="D258" s="764">
        <f ca="1">IF($E$19="SAC",SAC_CORR!C233,PRICE_CORR!C233)</f>
        <v>889.99100827727909</v>
      </c>
      <c r="E258" s="764">
        <f ca="1">IF($E$19="SAC",IF(SAC_CORR!$J233="Carencia",0,SAC_CORR!D233),IF(PRICE_CORR!$J233="Carencia",0,PRICE_CORR!D233))</f>
        <v>122.81875914429627</v>
      </c>
      <c r="F258" s="764">
        <f ca="1">IF($E$19="SAC",SAC_CORR!E233,PRICE_CORR!E233)</f>
        <v>12459.874115881261</v>
      </c>
      <c r="G258" s="764">
        <f ca="1">IF($E$19="SAC",IF(SAC_CORR!$J233="Carencia",0,SAC_CORR!F233),IF(PRICE_CORR!$J233="Carencia",0,PRICE_CORR!F233))</f>
        <v>2.8034716760732934</v>
      </c>
      <c r="H258" s="764">
        <f ca="1">IF($E$19="SAC",IF(SAC_CORR!$J233="Carencia",0,SAC_CORR!G233),IF(PRICE_CORR!$J233="Carencia",0,PRICE_CORR!G233))</f>
        <v>26.319999999999997</v>
      </c>
      <c r="I258" s="764">
        <f ca="1">IF($E$19="SAC",IF(SAC_CORR!$J233="Carencia",0,SAC_CORR!H233),IF(PRICE_CORR!$J233="Carencia",0,PRICE_CORR!H233))</f>
        <v>25</v>
      </c>
      <c r="J258" s="764">
        <f ca="1">IF($E$19="SAC",SAC_CORR!I233,PRICE_CORR!I233)</f>
        <v>1066.9332390976485</v>
      </c>
      <c r="K258" s="911"/>
      <c r="N258" s="765">
        <f t="shared" ca="1" si="11"/>
        <v>1066.9332390976485</v>
      </c>
      <c r="O258" s="766">
        <f t="shared" ca="1" si="9"/>
        <v>5.2557708223142354</v>
      </c>
    </row>
    <row r="259" spans="2:15" ht="22.35" customHeight="1" thickTop="1" thickBot="1">
      <c r="B259" s="762">
        <f ca="1">IF($E$19="SAC",SAC_CORR!B234,PRICE_CORR!B234)</f>
        <v>51286</v>
      </c>
      <c r="C259" s="763">
        <f t="shared" ca="1" si="10"/>
        <v>1004.6218501452886</v>
      </c>
      <c r="D259" s="764">
        <f ca="1">IF($E$19="SAC",SAC_CORR!C234,PRICE_CORR!C234)</f>
        <v>889.99100827727909</v>
      </c>
      <c r="E259" s="764">
        <f ca="1">IF($E$19="SAC",IF(SAC_CORR!$J234="Carencia",0,SAC_CORR!D234),IF(PRICE_CORR!$J234="Carencia",0,PRICE_CORR!D234))</f>
        <v>114.63084186800945</v>
      </c>
      <c r="F259" s="764">
        <f ca="1">IF($E$19="SAC",SAC_CORR!E234,PRICE_CORR!E234)</f>
        <v>11569.883107603982</v>
      </c>
      <c r="G259" s="764">
        <f ca="1">IF($E$19="SAC",IF(SAC_CORR!$J234="Carencia",0,SAC_CORR!F234),IF(PRICE_CORR!$J234="Carencia",0,PRICE_CORR!F234))</f>
        <v>2.6165735643350647</v>
      </c>
      <c r="H259" s="764">
        <f ca="1">IF($E$19="SAC",IF(SAC_CORR!$J234="Carencia",0,SAC_CORR!G234),IF(PRICE_CORR!$J234="Carencia",0,PRICE_CORR!G234))</f>
        <v>26.319999999999997</v>
      </c>
      <c r="I259" s="764">
        <f ca="1">IF($E$19="SAC",IF(SAC_CORR!$J234="Carencia",0,SAC_CORR!H234),IF(PRICE_CORR!$J234="Carencia",0,PRICE_CORR!H234))</f>
        <v>25</v>
      </c>
      <c r="J259" s="764">
        <f ca="1">IF($E$19="SAC",SAC_CORR!I234,PRICE_CORR!I234)</f>
        <v>1058.5584237096236</v>
      </c>
      <c r="K259" s="911"/>
      <c r="N259" s="765">
        <f t="shared" ca="1" si="11"/>
        <v>1058.5584237096236</v>
      </c>
      <c r="O259" s="766">
        <f t="shared" ca="1" si="9"/>
        <v>5.1811629611210392</v>
      </c>
    </row>
    <row r="260" spans="2:15" ht="22.35" customHeight="1" thickTop="1" thickBot="1">
      <c r="B260" s="762">
        <f ca="1">IF($E$19="SAC",SAC_CORR!B235,PRICE_CORR!B235)</f>
        <v>51317</v>
      </c>
      <c r="C260" s="763">
        <f t="shared" ca="1" si="10"/>
        <v>996.43393286900175</v>
      </c>
      <c r="D260" s="764">
        <f ca="1">IF($E$19="SAC",SAC_CORR!C235,PRICE_CORR!C235)</f>
        <v>889.99100827727909</v>
      </c>
      <c r="E260" s="764">
        <f ca="1">IF($E$19="SAC",IF(SAC_CORR!$J235="Carencia",0,SAC_CORR!D235),IF(PRICE_CORR!$J235="Carencia",0,PRICE_CORR!D235))</f>
        <v>106.44292459172264</v>
      </c>
      <c r="F260" s="764">
        <f ca="1">IF($E$19="SAC",SAC_CORR!E235,PRICE_CORR!E235)</f>
        <v>10679.892099326704</v>
      </c>
      <c r="G260" s="764">
        <f ca="1">IF($E$19="SAC",IF(SAC_CORR!$J235="Carencia",0,SAC_CORR!F235),IF(PRICE_CORR!$J235="Carencia",0,PRICE_CORR!F235))</f>
        <v>2.4296754525968365</v>
      </c>
      <c r="H260" s="764">
        <f ca="1">IF($E$19="SAC",IF(SAC_CORR!$J235="Carencia",0,SAC_CORR!G235),IF(PRICE_CORR!$J235="Carencia",0,PRICE_CORR!G235))</f>
        <v>26.319999999999997</v>
      </c>
      <c r="I260" s="764">
        <f ca="1">IF($E$19="SAC",IF(SAC_CORR!$J235="Carencia",0,SAC_CORR!H235),IF(PRICE_CORR!$J235="Carencia",0,PRICE_CORR!H235))</f>
        <v>25</v>
      </c>
      <c r="J260" s="764">
        <f ca="1">IF($E$19="SAC",SAC_CORR!I235,PRICE_CORR!I235)</f>
        <v>1050.1836083215985</v>
      </c>
      <c r="K260" s="911"/>
      <c r="N260" s="765">
        <f t="shared" ca="1" si="11"/>
        <v>1050.1836083215985</v>
      </c>
      <c r="O260" s="766">
        <f t="shared" ca="1" si="9"/>
        <v>5.1060633176343879</v>
      </c>
    </row>
    <row r="261" spans="2:15" ht="22.35" customHeight="1" thickTop="1" thickBot="1">
      <c r="B261" s="762">
        <f ca="1">IF($E$19="SAC",SAC_CORR!B236,PRICE_CORR!B236)</f>
        <v>51347</v>
      </c>
      <c r="C261" s="763">
        <f t="shared" ca="1" si="10"/>
        <v>988.24601559271491</v>
      </c>
      <c r="D261" s="764">
        <f ca="1">IF($E$19="SAC",SAC_CORR!C236,PRICE_CORR!C236)</f>
        <v>889.99100827727909</v>
      </c>
      <c r="E261" s="764">
        <f ca="1">IF($E$19="SAC",IF(SAC_CORR!$J236="Carencia",0,SAC_CORR!D236),IF(PRICE_CORR!$J236="Carencia",0,PRICE_CORR!D236))</f>
        <v>98.255007315435833</v>
      </c>
      <c r="F261" s="764">
        <f ca="1">IF($E$19="SAC",SAC_CORR!E236,PRICE_CORR!E236)</f>
        <v>9789.9010910494253</v>
      </c>
      <c r="G261" s="764">
        <f ca="1">IF($E$19="SAC",IF(SAC_CORR!$J236="Carencia",0,SAC_CORR!F236),IF(PRICE_CORR!$J236="Carencia",0,PRICE_CORR!F236))</f>
        <v>2.2427773408586078</v>
      </c>
      <c r="H261" s="764">
        <f ca="1">IF($E$19="SAC",IF(SAC_CORR!$J236="Carencia",0,SAC_CORR!G236),IF(PRICE_CORR!$J236="Carencia",0,PRICE_CORR!G236))</f>
        <v>26.319999999999997</v>
      </c>
      <c r="I261" s="764">
        <f ca="1">IF($E$19="SAC",IF(SAC_CORR!$J236="Carencia",0,SAC_CORR!H236),IF(PRICE_CORR!$J236="Carencia",0,PRICE_CORR!H236))</f>
        <v>25</v>
      </c>
      <c r="J261" s="764">
        <f ca="1">IF($E$19="SAC",SAC_CORR!I236,PRICE_CORR!I236)</f>
        <v>1041.8087929335736</v>
      </c>
      <c r="K261" s="911"/>
      <c r="N261" s="765">
        <f t="shared" ca="1" si="11"/>
        <v>1041.8087929335736</v>
      </c>
      <c r="O261" s="766">
        <f t="shared" ca="1" si="9"/>
        <v>5.0331579125438548</v>
      </c>
    </row>
    <row r="262" spans="2:15" ht="22.35" customHeight="1" thickTop="1" thickBot="1">
      <c r="B262" s="762">
        <f ca="1">IF($E$19="SAC",SAC_CORR!B237,PRICE_CORR!B237)</f>
        <v>51378</v>
      </c>
      <c r="C262" s="763">
        <f t="shared" ca="1" si="10"/>
        <v>980.05809831642807</v>
      </c>
      <c r="D262" s="764">
        <f ca="1">IF($E$19="SAC",SAC_CORR!C237,PRICE_CORR!C237)</f>
        <v>889.99100827727909</v>
      </c>
      <c r="E262" s="764">
        <f ca="1">IF($E$19="SAC",IF(SAC_CORR!$J237="Carencia",0,SAC_CORR!D237),IF(PRICE_CORR!$J237="Carencia",0,PRICE_CORR!D237))</f>
        <v>90.067090039149022</v>
      </c>
      <c r="F262" s="764">
        <f ca="1">IF($E$19="SAC",SAC_CORR!E237,PRICE_CORR!E237)</f>
        <v>8899.9100827721468</v>
      </c>
      <c r="G262" s="764">
        <f ca="1">IF($E$19="SAC",IF(SAC_CORR!$J237="Carencia",0,SAC_CORR!F237),IF(PRICE_CORR!$J237="Carencia",0,PRICE_CORR!F237))</f>
        <v>2.0558792291203796</v>
      </c>
      <c r="H262" s="764">
        <f ca="1">IF($E$19="SAC",IF(SAC_CORR!$J237="Carencia",0,SAC_CORR!G237),IF(PRICE_CORR!$J237="Carencia",0,PRICE_CORR!G237))</f>
        <v>26.319999999999997</v>
      </c>
      <c r="I262" s="764">
        <f ca="1">IF($E$19="SAC",IF(SAC_CORR!$J237="Carencia",0,SAC_CORR!H237),IF(PRICE_CORR!$J237="Carencia",0,PRICE_CORR!H237))</f>
        <v>25</v>
      </c>
      <c r="J262" s="764">
        <f ca="1">IF($E$19="SAC",SAC_CORR!I237,PRICE_CORR!I237)</f>
        <v>1033.4339775455485</v>
      </c>
      <c r="K262" s="911"/>
      <c r="N262" s="765">
        <f t="shared" ca="1" si="11"/>
        <v>1033.4339775455485</v>
      </c>
      <c r="O262" s="766">
        <f t="shared" ca="1" si="9"/>
        <v>4.9597815710354114</v>
      </c>
    </row>
    <row r="263" spans="2:15" ht="22.35" customHeight="1" thickTop="1" thickBot="1">
      <c r="B263" s="762">
        <f ca="1">IF($E$19="SAC",SAC_CORR!B238,PRICE_CORR!B238)</f>
        <v>51409</v>
      </c>
      <c r="C263" s="763">
        <f t="shared" ca="1" si="10"/>
        <v>971.87018104014135</v>
      </c>
      <c r="D263" s="764">
        <f ca="1">IF($E$19="SAC",SAC_CORR!C238,PRICE_CORR!C238)</f>
        <v>889.99100827727909</v>
      </c>
      <c r="E263" s="764">
        <f ca="1">IF($E$19="SAC",IF(SAC_CORR!$J238="Carencia",0,SAC_CORR!D238),IF(PRICE_CORR!$J238="Carencia",0,PRICE_CORR!D238))</f>
        <v>81.879172762862211</v>
      </c>
      <c r="F263" s="764">
        <f ca="1">IF($E$19="SAC",SAC_CORR!E238,PRICE_CORR!E238)</f>
        <v>8009.9190744948673</v>
      </c>
      <c r="G263" s="764">
        <f ca="1">IF($E$19="SAC",IF(SAC_CORR!$J238="Carencia",0,SAC_CORR!F238),IF(PRICE_CORR!$J238="Carencia",0,PRICE_CORR!F238))</f>
        <v>1.8689811173821509</v>
      </c>
      <c r="H263" s="764">
        <f ca="1">IF($E$19="SAC",IF(SAC_CORR!$J238="Carencia",0,SAC_CORR!G238),IF(PRICE_CORR!$J238="Carencia",0,PRICE_CORR!G238))</f>
        <v>26.319999999999997</v>
      </c>
      <c r="I263" s="764">
        <f ca="1">IF($E$19="SAC",IF(SAC_CORR!$J238="Carencia",0,SAC_CORR!H238),IF(PRICE_CORR!$J238="Carencia",0,PRICE_CORR!H238))</f>
        <v>25</v>
      </c>
      <c r="J263" s="764">
        <f ca="1">IF($E$19="SAC",SAC_CORR!I238,PRICE_CORR!I238)</f>
        <v>1025.0591621575236</v>
      </c>
      <c r="K263" s="911"/>
      <c r="N263" s="765">
        <f t="shared" ca="1" si="11"/>
        <v>1025.0591621575236</v>
      </c>
      <c r="O263" s="766">
        <f t="shared" ca="1" si="9"/>
        <v>4.8872629238445908</v>
      </c>
    </row>
    <row r="264" spans="2:15" ht="22.35" customHeight="1" thickTop="1" thickBot="1">
      <c r="B264" s="762">
        <f ca="1">IF($E$19="SAC",SAC_CORR!B239,PRICE_CORR!B239)</f>
        <v>51439</v>
      </c>
      <c r="C264" s="763">
        <f t="shared" ca="1" si="10"/>
        <v>963.68226376385451</v>
      </c>
      <c r="D264" s="764">
        <f ca="1">IF($E$19="SAC",SAC_CORR!C239,PRICE_CORR!C239)</f>
        <v>889.99100827727909</v>
      </c>
      <c r="E264" s="764">
        <f ca="1">IF($E$19="SAC",IF(SAC_CORR!$J239="Carencia",0,SAC_CORR!D239),IF(PRICE_CORR!$J239="Carencia",0,PRICE_CORR!D239))</f>
        <v>73.6912554865754</v>
      </c>
      <c r="F264" s="764">
        <f ca="1">IF($E$19="SAC",SAC_CORR!E239,PRICE_CORR!E239)</f>
        <v>7119.9280662175879</v>
      </c>
      <c r="G264" s="764">
        <f ca="1">IF($E$19="SAC",IF(SAC_CORR!$J239="Carencia",0,SAC_CORR!F239),IF(PRICE_CORR!$J239="Carencia",0,PRICE_CORR!F239))</f>
        <v>1.6820830056439222</v>
      </c>
      <c r="H264" s="764">
        <f ca="1">IF($E$19="SAC",IF(SAC_CORR!$J239="Carencia",0,SAC_CORR!G239),IF(PRICE_CORR!$J239="Carencia",0,PRICE_CORR!G239))</f>
        <v>26.319999999999997</v>
      </c>
      <c r="I264" s="764">
        <f ca="1">IF($E$19="SAC",IF(SAC_CORR!$J239="Carencia",0,SAC_CORR!H239),IF(PRICE_CORR!$J239="Carencia",0,PRICE_CORR!H239))</f>
        <v>25</v>
      </c>
      <c r="J264" s="764">
        <f ca="1">IF($E$19="SAC",SAC_CORR!I239,PRICE_CORR!I239)</f>
        <v>1016.6843467694985</v>
      </c>
      <c r="K264" s="911"/>
      <c r="N264" s="765">
        <f t="shared" ca="1" si="11"/>
        <v>1016.6843467694985</v>
      </c>
      <c r="O264" s="766">
        <f t="shared" ca="1" si="9"/>
        <v>4.8168545895685746</v>
      </c>
    </row>
    <row r="265" spans="2:15" ht="22.35" customHeight="1" thickTop="1" thickBot="1">
      <c r="B265" s="762">
        <f ca="1">IF($E$19="SAC",SAC_CORR!B240,PRICE_CORR!B240)</f>
        <v>51470</v>
      </c>
      <c r="C265" s="763">
        <f t="shared" ca="1" si="10"/>
        <v>955.49434648756767</v>
      </c>
      <c r="D265" s="764">
        <f ca="1">IF($E$19="SAC",SAC_CORR!C240,PRICE_CORR!C240)</f>
        <v>889.99100827727909</v>
      </c>
      <c r="E265" s="764">
        <f ca="1">IF($E$19="SAC",IF(SAC_CORR!$J240="Carencia",0,SAC_CORR!D240),IF(PRICE_CORR!$J240="Carencia",0,PRICE_CORR!D240))</f>
        <v>65.503338210288575</v>
      </c>
      <c r="F265" s="764">
        <f ca="1">IF($E$19="SAC",SAC_CORR!E240,PRICE_CORR!E240)</f>
        <v>6229.9370579403085</v>
      </c>
      <c r="G265" s="764">
        <f ca="1">IF($E$19="SAC",IF(SAC_CORR!$J240="Carencia",0,SAC_CORR!F240),IF(PRICE_CORR!$J240="Carencia",0,PRICE_CORR!F240))</f>
        <v>1.4951848939056935</v>
      </c>
      <c r="H265" s="764">
        <f ca="1">IF($E$19="SAC",IF(SAC_CORR!$J240="Carencia",0,SAC_CORR!G240),IF(PRICE_CORR!$J240="Carencia",0,PRICE_CORR!G240))</f>
        <v>26.319999999999997</v>
      </c>
      <c r="I265" s="764">
        <f ca="1">IF($E$19="SAC",IF(SAC_CORR!$J240="Carencia",0,SAC_CORR!H240),IF(PRICE_CORR!$J240="Carencia",0,PRICE_CORR!H240))</f>
        <v>25</v>
      </c>
      <c r="J265" s="764">
        <f ca="1">IF($E$19="SAC",SAC_CORR!I240,PRICE_CORR!I240)</f>
        <v>1008.3095313814734</v>
      </c>
      <c r="K265" s="911"/>
      <c r="N265" s="765">
        <f t="shared" ca="1" si="11"/>
        <v>1008.3095313814734</v>
      </c>
      <c r="O265" s="766">
        <f t="shared" ca="1" si="9"/>
        <v>4.7460056415780132</v>
      </c>
    </row>
    <row r="266" spans="2:15" ht="22.35" customHeight="1" thickTop="1" thickBot="1">
      <c r="B266" s="762">
        <f ca="1">IF($E$19="SAC",SAC_CORR!B241,PRICE_CORR!B241)</f>
        <v>51500</v>
      </c>
      <c r="C266" s="763">
        <f t="shared" ca="1" si="10"/>
        <v>947.30642921128083</v>
      </c>
      <c r="D266" s="764">
        <f ca="1">IF($E$19="SAC",SAC_CORR!C241,PRICE_CORR!C241)</f>
        <v>889.99100827727909</v>
      </c>
      <c r="E266" s="764">
        <f ca="1">IF($E$19="SAC",IF(SAC_CORR!$J241="Carencia",0,SAC_CORR!D241),IF(PRICE_CORR!$J241="Carencia",0,PRICE_CORR!D241))</f>
        <v>57.315420934001764</v>
      </c>
      <c r="F266" s="764">
        <f ca="1">IF($E$19="SAC",SAC_CORR!E241,PRICE_CORR!E241)</f>
        <v>5339.946049663029</v>
      </c>
      <c r="G266" s="764">
        <f ca="1">IF($E$19="SAC",IF(SAC_CORR!$J241="Carencia",0,SAC_CORR!F241),IF(PRICE_CORR!$J241="Carencia",0,PRICE_CORR!F241))</f>
        <v>1.3082867821674649</v>
      </c>
      <c r="H266" s="764">
        <f ca="1">IF($E$19="SAC",IF(SAC_CORR!$J241="Carencia",0,SAC_CORR!G241),IF(PRICE_CORR!$J241="Carencia",0,PRICE_CORR!G241))</f>
        <v>26.319999999999997</v>
      </c>
      <c r="I266" s="764">
        <f ca="1">IF($E$19="SAC",IF(SAC_CORR!$J241="Carencia",0,SAC_CORR!H241),IF(PRICE_CORR!$J241="Carencia",0,PRICE_CORR!H241))</f>
        <v>25</v>
      </c>
      <c r="J266" s="764">
        <f ca="1">IF($E$19="SAC",SAC_CORR!I241,PRICE_CORR!I241)</f>
        <v>999.93471599344832</v>
      </c>
      <c r="K266" s="911"/>
      <c r="N266" s="765">
        <f t="shared" ca="1" si="11"/>
        <v>999.93471599344832</v>
      </c>
      <c r="O266" s="766">
        <f t="shared" ca="1" si="9"/>
        <v>4.677212770234167</v>
      </c>
    </row>
    <row r="267" spans="2:15" ht="22.35" customHeight="1" thickTop="1" thickBot="1">
      <c r="B267" s="762">
        <f ca="1">IF($E$19="SAC",SAC_CORR!B242,PRICE_CORR!B242)</f>
        <v>51531</v>
      </c>
      <c r="C267" s="763">
        <f t="shared" ca="1" si="10"/>
        <v>939.11851193499399</v>
      </c>
      <c r="D267" s="764">
        <f ca="1">IF($E$19="SAC",SAC_CORR!C242,PRICE_CORR!C242)</f>
        <v>889.99100827727909</v>
      </c>
      <c r="E267" s="764">
        <f ca="1">IF($E$19="SAC",IF(SAC_CORR!$J242="Carencia",0,SAC_CORR!D242),IF(PRICE_CORR!$J242="Carencia",0,PRICE_CORR!D242))</f>
        <v>49.127503657714946</v>
      </c>
      <c r="F267" s="764">
        <f ca="1">IF($E$19="SAC",SAC_CORR!E242,PRICE_CORR!E242)</f>
        <v>4449.9550413857496</v>
      </c>
      <c r="G267" s="764">
        <f ca="1">IF($E$19="SAC",IF(SAC_CORR!$J242="Carencia",0,SAC_CORR!F242),IF(PRICE_CORR!$J242="Carencia",0,PRICE_CORR!F242))</f>
        <v>1.1213886704292362</v>
      </c>
      <c r="H267" s="764">
        <f ca="1">IF($E$19="SAC",IF(SAC_CORR!$J242="Carencia",0,SAC_CORR!G242),IF(PRICE_CORR!$J242="Carencia",0,PRICE_CORR!G242))</f>
        <v>26.319999999999997</v>
      </c>
      <c r="I267" s="764">
        <f ca="1">IF($E$19="SAC",IF(SAC_CORR!$J242="Carencia",0,SAC_CORR!H242),IF(PRICE_CORR!$J242="Carencia",0,PRICE_CORR!H242))</f>
        <v>25</v>
      </c>
      <c r="J267" s="764">
        <f ca="1">IF($E$19="SAC",SAC_CORR!I242,PRICE_CORR!I242)</f>
        <v>991.55990060542331</v>
      </c>
      <c r="K267" s="911"/>
      <c r="N267" s="765">
        <f t="shared" ca="1" si="11"/>
        <v>991.55990060542331</v>
      </c>
      <c r="O267" s="766">
        <f t="shared" ca="1" si="9"/>
        <v>4.6079988071764379</v>
      </c>
    </row>
    <row r="268" spans="2:15" ht="22.35" customHeight="1" thickTop="1" thickBot="1">
      <c r="B268" s="762">
        <f ca="1">IF($E$19="SAC",SAC_CORR!B243,PRICE_CORR!B243)</f>
        <v>51560</v>
      </c>
      <c r="C268" s="763">
        <f t="shared" ca="1" si="10"/>
        <v>930.93059465870726</v>
      </c>
      <c r="D268" s="764">
        <f ca="1">IF($E$19="SAC",SAC_CORR!C243,PRICE_CORR!C243)</f>
        <v>889.99100827727909</v>
      </c>
      <c r="E268" s="764">
        <f ca="1">IF($E$19="SAC",IF(SAC_CORR!$J243="Carencia",0,SAC_CORR!D243),IF(PRICE_CORR!$J243="Carencia",0,PRICE_CORR!D243))</f>
        <v>40.939586381428128</v>
      </c>
      <c r="F268" s="764">
        <f ca="1">IF($E$19="SAC",SAC_CORR!E243,PRICE_CORR!E243)</f>
        <v>3559.9640331084706</v>
      </c>
      <c r="G268" s="764">
        <f ca="1">IF($E$19="SAC",IF(SAC_CORR!$J243="Carencia",0,SAC_CORR!F243),IF(PRICE_CORR!$J243="Carencia",0,PRICE_CORR!F243))</f>
        <v>0.9344905586910075</v>
      </c>
      <c r="H268" s="764">
        <f ca="1">IF($E$19="SAC",IF(SAC_CORR!$J243="Carencia",0,SAC_CORR!G243),IF(PRICE_CORR!$J243="Carencia",0,PRICE_CORR!G243))</f>
        <v>26.319999999999997</v>
      </c>
      <c r="I268" s="764">
        <f ca="1">IF($E$19="SAC",IF(SAC_CORR!$J243="Carencia",0,SAC_CORR!H243),IF(PRICE_CORR!$J243="Carencia",0,PRICE_CORR!H243))</f>
        <v>25</v>
      </c>
      <c r="J268" s="764">
        <f ca="1">IF($E$19="SAC",SAC_CORR!I243,PRICE_CORR!I243)</f>
        <v>983.1850852173983</v>
      </c>
      <c r="K268" s="911"/>
      <c r="N268" s="765">
        <f t="shared" ca="1" si="11"/>
        <v>983.1850852173983</v>
      </c>
      <c r="O268" s="766">
        <f t="shared" ca="1" si="9"/>
        <v>4.5419775671590861</v>
      </c>
    </row>
    <row r="269" spans="2:15" ht="22.35" customHeight="1" thickTop="1" thickBot="1">
      <c r="B269" s="762">
        <f ca="1">IF($E$19="SAC",SAC_CORR!B244,PRICE_CORR!B244)</f>
        <v>51590</v>
      </c>
      <c r="C269" s="763">
        <f t="shared" ca="1" si="10"/>
        <v>922.74267738242042</v>
      </c>
      <c r="D269" s="764">
        <f ca="1">IF($E$19="SAC",SAC_CORR!C244,PRICE_CORR!C244)</f>
        <v>889.99100827727909</v>
      </c>
      <c r="E269" s="764">
        <f ca="1">IF($E$19="SAC",IF(SAC_CORR!$J244="Carencia",0,SAC_CORR!D244),IF(PRICE_CORR!$J244="Carencia",0,PRICE_CORR!D244))</f>
        <v>32.751669105141318</v>
      </c>
      <c r="F269" s="764">
        <f ca="1">IF($E$19="SAC",SAC_CORR!E244,PRICE_CORR!E244)</f>
        <v>2669.9730248311917</v>
      </c>
      <c r="G269" s="764">
        <f ca="1">IF($E$19="SAC",IF(SAC_CORR!$J244="Carencia",0,SAC_CORR!F244),IF(PRICE_CORR!$J244="Carencia",0,PRICE_CORR!F244))</f>
        <v>0.74759244695277882</v>
      </c>
      <c r="H269" s="764">
        <f ca="1">IF($E$19="SAC",IF(SAC_CORR!$J244="Carencia",0,SAC_CORR!G244),IF(PRICE_CORR!$J244="Carencia",0,PRICE_CORR!G244))</f>
        <v>26.319999999999997</v>
      </c>
      <c r="I269" s="764">
        <f ca="1">IF($E$19="SAC",IF(SAC_CORR!$J244="Carencia",0,SAC_CORR!H244),IF(PRICE_CORR!$J244="Carencia",0,PRICE_CORR!H244))</f>
        <v>25</v>
      </c>
      <c r="J269" s="764">
        <f ca="1">IF($E$19="SAC",SAC_CORR!I244,PRICE_CORR!I244)</f>
        <v>974.81026982937328</v>
      </c>
      <c r="K269" s="911"/>
      <c r="N269" s="765">
        <f t="shared" ca="1" si="11"/>
        <v>974.81026982937328</v>
      </c>
      <c r="O269" s="766">
        <f t="shared" ca="1" si="9"/>
        <v>4.4755191268323271</v>
      </c>
    </row>
    <row r="270" spans="2:15" ht="22.35" customHeight="1" thickTop="1" thickBot="1">
      <c r="B270" s="762">
        <f ca="1">IF($E$19="SAC",SAC_CORR!B245,PRICE_CORR!B245)</f>
        <v>51621</v>
      </c>
      <c r="C270" s="763">
        <f t="shared" ca="1" si="10"/>
        <v>914.55476010613359</v>
      </c>
      <c r="D270" s="764">
        <f ca="1">IF($E$19="SAC",SAC_CORR!C245,PRICE_CORR!C245)</f>
        <v>889.99100827727909</v>
      </c>
      <c r="E270" s="764">
        <f ca="1">IF($E$19="SAC",IF(SAC_CORR!$J245="Carencia",0,SAC_CORR!D245),IF(PRICE_CORR!$J245="Carencia",0,PRICE_CORR!D245))</f>
        <v>24.563751828854503</v>
      </c>
      <c r="F270" s="764">
        <f ca="1">IF($E$19="SAC",SAC_CORR!E245,PRICE_CORR!E245)</f>
        <v>1779.9820165539127</v>
      </c>
      <c r="G270" s="764">
        <f ca="1">IF($E$19="SAC",IF(SAC_CORR!$J245="Carencia",0,SAC_CORR!F245),IF(PRICE_CORR!$J245="Carencia",0,PRICE_CORR!F245))</f>
        <v>0.56069433521455025</v>
      </c>
      <c r="H270" s="764">
        <f ca="1">IF($E$19="SAC",IF(SAC_CORR!$J245="Carencia",0,SAC_CORR!G245),IF(PRICE_CORR!$J245="Carencia",0,PRICE_CORR!G245))</f>
        <v>26.319999999999997</v>
      </c>
      <c r="I270" s="764">
        <f ca="1">IF($E$19="SAC",IF(SAC_CORR!$J245="Carencia",0,SAC_CORR!H245),IF(PRICE_CORR!$J245="Carencia",0,PRICE_CORR!H245))</f>
        <v>25</v>
      </c>
      <c r="J270" s="764">
        <f ca="1">IF($E$19="SAC",SAC_CORR!I245,PRICE_CORR!I245)</f>
        <v>966.43545444134816</v>
      </c>
      <c r="K270" s="911"/>
      <c r="N270" s="765">
        <f t="shared" ca="1" si="11"/>
        <v>966.43545444134816</v>
      </c>
      <c r="O270" s="766">
        <f t="shared" ca="1" si="9"/>
        <v>4.408667774006874</v>
      </c>
    </row>
    <row r="271" spans="2:15" ht="22.35" customHeight="1" thickTop="1" thickBot="1">
      <c r="B271" s="762">
        <f ca="1">IF($E$19="SAC",SAC_CORR!B246,PRICE_CORR!B246)</f>
        <v>51651</v>
      </c>
      <c r="C271" s="763">
        <f t="shared" ca="1" si="10"/>
        <v>906.36684282984675</v>
      </c>
      <c r="D271" s="764">
        <f ca="1">IF($E$19="SAC",SAC_CORR!C246,PRICE_CORR!C246)</f>
        <v>889.99100827727909</v>
      </c>
      <c r="E271" s="764">
        <f ca="1">IF($E$19="SAC",IF(SAC_CORR!$J246="Carencia",0,SAC_CORR!D246),IF(PRICE_CORR!$J246="Carencia",0,PRICE_CORR!D246))</f>
        <v>16.375834552567689</v>
      </c>
      <c r="F271" s="764">
        <f ca="1">IF($E$19="SAC",SAC_CORR!E246,PRICE_CORR!E246)</f>
        <v>889.99100827663358</v>
      </c>
      <c r="G271" s="764">
        <f ca="1">IF($E$19="SAC",IF(SAC_CORR!$J246="Carencia",0,SAC_CORR!F246),IF(PRICE_CORR!$J246="Carencia",0,PRICE_CORR!F246))</f>
        <v>0.37379622347632169</v>
      </c>
      <c r="H271" s="764">
        <f ca="1">IF($E$19="SAC",IF(SAC_CORR!$J246="Carencia",0,SAC_CORR!G246),IF(PRICE_CORR!$J246="Carencia",0,PRICE_CORR!G246))</f>
        <v>26.319999999999997</v>
      </c>
      <c r="I271" s="764">
        <f ca="1">IF($E$19="SAC",IF(SAC_CORR!$J246="Carencia",0,SAC_CORR!H246),IF(PRICE_CORR!$J246="Carencia",0,PRICE_CORR!H246))</f>
        <v>25</v>
      </c>
      <c r="J271" s="764">
        <f ca="1">IF($E$19="SAC",SAC_CORR!I246,PRICE_CORR!I246)</f>
        <v>958.06063905332314</v>
      </c>
      <c r="K271" s="911"/>
      <c r="N271" s="765">
        <f t="shared" ca="1" si="11"/>
        <v>958.06063905332314</v>
      </c>
      <c r="O271" s="766">
        <f t="shared" ca="1" si="9"/>
        <v>4.3437428144439512</v>
      </c>
    </row>
    <row r="272" spans="2:15" ht="22.35" customHeight="1" thickTop="1" thickBot="1">
      <c r="B272" s="762">
        <f ca="1">IF($E$19="SAC",SAC_CORR!B247,PRICE_CORR!B247)</f>
        <v>51682</v>
      </c>
      <c r="C272" s="763">
        <f t="shared" ca="1" si="10"/>
        <v>898.17892555356002</v>
      </c>
      <c r="D272" s="764">
        <f ca="1">IF($E$19="SAC",SAC_CORR!C247,PRICE_CORR!C247)</f>
        <v>889.99100827727909</v>
      </c>
      <c r="E272" s="764">
        <f ca="1">IF($E$19="SAC",IF(SAC_CORR!$J247="Carencia",0,SAC_CORR!D247),IF(PRICE_CORR!$J247="Carencia",0,PRICE_CORR!D247))</f>
        <v>8.1879172762808761</v>
      </c>
      <c r="F272" s="764">
        <f ca="1">IF($E$19="SAC",SAC_CORR!E247,PRICE_CORR!E247)</f>
        <v>-6.4551386458333582E-10</v>
      </c>
      <c r="G272" s="764">
        <f ca="1">IF($E$19="SAC",IF(SAC_CORR!$J247="Carencia",0,SAC_CORR!F247),IF(PRICE_CORR!$J247="Carencia",0,PRICE_CORR!F247))</f>
        <v>0.18689811173809306</v>
      </c>
      <c r="H272" s="764">
        <f ca="1">IF($E$19="SAC",IF(SAC_CORR!$J247="Carencia",0,SAC_CORR!G247),IF(PRICE_CORR!$J247="Carencia",0,PRICE_CORR!G247))</f>
        <v>26.319999999999997</v>
      </c>
      <c r="I272" s="764">
        <f ca="1">IF($E$19="SAC",IF(SAC_CORR!$J247="Carencia",0,SAC_CORR!H247),IF(PRICE_CORR!$J247="Carencia",0,PRICE_CORR!H247))</f>
        <v>25</v>
      </c>
      <c r="J272" s="764">
        <f ca="1">IF($E$19="SAC",SAC_CORR!I247,PRICE_CORR!I247)</f>
        <v>949.68582366529813</v>
      </c>
      <c r="K272" s="911"/>
      <c r="N272" s="765">
        <f t="shared" ca="1" si="11"/>
        <v>949.68582366529813</v>
      </c>
      <c r="O272" s="766">
        <f t="shared" ca="1" si="9"/>
        <v>4.2784432219314716</v>
      </c>
    </row>
    <row r="273" spans="2:15" ht="22.35" customHeight="1" thickTop="1" thickBot="1">
      <c r="B273" s="762" t="str">
        <f ca="1">IF($E$19="SAC",SAC_CORR!B248,PRICE_CORR!B248)</f>
        <v/>
      </c>
      <c r="C273" s="763" t="str">
        <f t="shared" ca="1" si="10"/>
        <v/>
      </c>
      <c r="D273" s="764">
        <f ca="1">IF($E$19="SAC",SAC_CORR!C248,PRICE_CORR!C248)</f>
        <v>0</v>
      </c>
      <c r="E273" s="764" t="str">
        <f ca="1">IF($E$19="SAC",IF(SAC_CORR!$J248="Carencia",0,SAC_CORR!D248),IF(PRICE_CORR!$J248="Carencia",0,PRICE_CORR!D248))</f>
        <v/>
      </c>
      <c r="F273" s="764">
        <f ca="1">IF($E$19="SAC",SAC_CORR!E248,PRICE_CORR!E248)</f>
        <v>-6.4551386458333582E-10</v>
      </c>
      <c r="G273" s="764" t="str">
        <f ca="1">IF($E$19="SAC",IF(SAC_CORR!$J248="Carencia",0,SAC_CORR!F248),IF(PRICE_CORR!$J248="Carencia",0,PRICE_CORR!F248))</f>
        <v/>
      </c>
      <c r="H273" s="764" t="str">
        <f ca="1">IF($E$19="SAC",IF(SAC_CORR!$J248="Carencia",0,SAC_CORR!G248),IF(PRICE_CORR!$J248="Carencia",0,PRICE_CORR!G248))</f>
        <v/>
      </c>
      <c r="I273" s="764" t="str">
        <f ca="1">IF($E$19="SAC",IF(SAC_CORR!$J248="Carencia",0,SAC_CORR!H248),IF(PRICE_CORR!$J248="Carencia",0,PRICE_CORR!H248))</f>
        <v/>
      </c>
      <c r="J273" s="764">
        <f ca="1">IF($E$19="SAC",SAC_CORR!I248,PRICE_CORR!I248)</f>
        <v>0</v>
      </c>
      <c r="K273" s="911"/>
      <c r="N273" s="765">
        <f t="shared" ca="1" si="11"/>
        <v>0</v>
      </c>
      <c r="O273" s="766" t="str">
        <f t="shared" ca="1" si="9"/>
        <v/>
      </c>
    </row>
    <row r="274" spans="2:15" ht="22.35" customHeight="1" thickTop="1" thickBot="1">
      <c r="B274" s="762" t="str">
        <f ca="1">IF($E$19="SAC",SAC_CORR!B249,PRICE_CORR!B249)</f>
        <v/>
      </c>
      <c r="C274" s="763" t="str">
        <f t="shared" ca="1" si="10"/>
        <v/>
      </c>
      <c r="D274" s="764">
        <f ca="1">IF($E$19="SAC",SAC_CORR!C249,PRICE_CORR!C249)</f>
        <v>0</v>
      </c>
      <c r="E274" s="764" t="str">
        <f ca="1">IF($E$19="SAC",IF(SAC_CORR!$J249="Carencia",0,SAC_CORR!D249),IF(PRICE_CORR!$J249="Carencia",0,PRICE_CORR!D249))</f>
        <v/>
      </c>
      <c r="F274" s="764">
        <f ca="1">IF($E$19="SAC",SAC_CORR!E249,PRICE_CORR!E249)</f>
        <v>-6.4551386458333582E-10</v>
      </c>
      <c r="G274" s="764" t="str">
        <f ca="1">IF($E$19="SAC",IF(SAC_CORR!$J249="Carencia",0,SAC_CORR!F249),IF(PRICE_CORR!$J249="Carencia",0,PRICE_CORR!F249))</f>
        <v/>
      </c>
      <c r="H274" s="764" t="str">
        <f ca="1">IF($E$19="SAC",IF(SAC_CORR!$J249="Carencia",0,SAC_CORR!G249),IF(PRICE_CORR!$J249="Carencia",0,PRICE_CORR!G249))</f>
        <v/>
      </c>
      <c r="I274" s="764" t="str">
        <f ca="1">IF($E$19="SAC",IF(SAC_CORR!$J249="Carencia",0,SAC_CORR!H249),IF(PRICE_CORR!$J249="Carencia",0,PRICE_CORR!H249))</f>
        <v/>
      </c>
      <c r="J274" s="764">
        <f ca="1">IF($E$19="SAC",SAC_CORR!I249,PRICE_CORR!I249)</f>
        <v>0</v>
      </c>
      <c r="K274" s="911"/>
      <c r="N274" s="765">
        <f t="shared" ca="1" si="11"/>
        <v>0</v>
      </c>
      <c r="O274" s="766" t="str">
        <f t="shared" ca="1" si="9"/>
        <v/>
      </c>
    </row>
    <row r="275" spans="2:15" ht="22.35" customHeight="1" thickTop="1" thickBot="1">
      <c r="B275" s="762" t="str">
        <f ca="1">IF($E$19="SAC",SAC_CORR!B250,PRICE_CORR!B250)</f>
        <v/>
      </c>
      <c r="C275" s="763" t="str">
        <f t="shared" ca="1" si="10"/>
        <v/>
      </c>
      <c r="D275" s="764">
        <f ca="1">IF($E$19="SAC",SAC_CORR!C250,PRICE_CORR!C250)</f>
        <v>0</v>
      </c>
      <c r="E275" s="764" t="str">
        <f ca="1">IF($E$19="SAC",IF(SAC_CORR!$J250="Carencia",0,SAC_CORR!D250),IF(PRICE_CORR!$J250="Carencia",0,PRICE_CORR!D250))</f>
        <v/>
      </c>
      <c r="F275" s="764">
        <f ca="1">IF($E$19="SAC",SAC_CORR!E250,PRICE_CORR!E250)</f>
        <v>-6.4551386458333582E-10</v>
      </c>
      <c r="G275" s="764" t="str">
        <f ca="1">IF($E$19="SAC",IF(SAC_CORR!$J250="Carencia",0,SAC_CORR!F250),IF(PRICE_CORR!$J250="Carencia",0,PRICE_CORR!F250))</f>
        <v/>
      </c>
      <c r="H275" s="764" t="str">
        <f ca="1">IF($E$19="SAC",IF(SAC_CORR!$J250="Carencia",0,SAC_CORR!G250),IF(PRICE_CORR!$J250="Carencia",0,PRICE_CORR!G250))</f>
        <v/>
      </c>
      <c r="I275" s="764" t="str">
        <f ca="1">IF($E$19="SAC",IF(SAC_CORR!$J250="Carencia",0,SAC_CORR!H250),IF(PRICE_CORR!$J250="Carencia",0,PRICE_CORR!H250))</f>
        <v/>
      </c>
      <c r="J275" s="764">
        <f ca="1">IF($E$19="SAC",SAC_CORR!I250,PRICE_CORR!I250)</f>
        <v>0</v>
      </c>
      <c r="K275" s="911"/>
      <c r="N275" s="765">
        <f t="shared" ca="1" si="11"/>
        <v>0</v>
      </c>
      <c r="O275" s="766" t="str">
        <f t="shared" ca="1" si="9"/>
        <v/>
      </c>
    </row>
    <row r="276" spans="2:15" ht="22.35" customHeight="1" thickTop="1" thickBot="1">
      <c r="B276" s="762" t="str">
        <f ca="1">IF($E$19="SAC",SAC_CORR!B251,PRICE_CORR!B251)</f>
        <v/>
      </c>
      <c r="C276" s="763" t="str">
        <f t="shared" ca="1" si="10"/>
        <v/>
      </c>
      <c r="D276" s="764">
        <f ca="1">IF($E$19="SAC",SAC_CORR!C251,PRICE_CORR!C251)</f>
        <v>0</v>
      </c>
      <c r="E276" s="764" t="str">
        <f ca="1">IF($E$19="SAC",IF(SAC_CORR!$J251="Carencia",0,SAC_CORR!D251),IF(PRICE_CORR!$J251="Carencia",0,PRICE_CORR!D251))</f>
        <v/>
      </c>
      <c r="F276" s="764">
        <f ca="1">IF($E$19="SAC",SAC_CORR!E251,PRICE_CORR!E251)</f>
        <v>-6.4551386458333582E-10</v>
      </c>
      <c r="G276" s="764" t="str">
        <f ca="1">IF($E$19="SAC",IF(SAC_CORR!$J251="Carencia",0,SAC_CORR!F251),IF(PRICE_CORR!$J251="Carencia",0,PRICE_CORR!F251))</f>
        <v/>
      </c>
      <c r="H276" s="764" t="str">
        <f ca="1">IF($E$19="SAC",IF(SAC_CORR!$J251="Carencia",0,SAC_CORR!G251),IF(PRICE_CORR!$J251="Carencia",0,PRICE_CORR!G251))</f>
        <v/>
      </c>
      <c r="I276" s="764" t="str">
        <f ca="1">IF($E$19="SAC",IF(SAC_CORR!$J251="Carencia",0,SAC_CORR!H251),IF(PRICE_CORR!$J251="Carencia",0,PRICE_CORR!H251))</f>
        <v/>
      </c>
      <c r="J276" s="764">
        <f ca="1">IF($E$19="SAC",SAC_CORR!I251,PRICE_CORR!I251)</f>
        <v>0</v>
      </c>
      <c r="K276" s="911"/>
      <c r="N276" s="765">
        <f t="shared" ca="1" si="11"/>
        <v>0</v>
      </c>
      <c r="O276" s="766" t="str">
        <f t="shared" ca="1" si="9"/>
        <v/>
      </c>
    </row>
    <row r="277" spans="2:15" ht="22.35" customHeight="1" thickTop="1" thickBot="1">
      <c r="B277" s="762" t="str">
        <f ca="1">IF($E$19="SAC",SAC_CORR!B252,PRICE_CORR!B252)</f>
        <v/>
      </c>
      <c r="C277" s="763" t="str">
        <f t="shared" ca="1" si="10"/>
        <v/>
      </c>
      <c r="D277" s="764">
        <f ca="1">IF($E$19="SAC",SAC_CORR!C252,PRICE_CORR!C252)</f>
        <v>0</v>
      </c>
      <c r="E277" s="764" t="str">
        <f ca="1">IF($E$19="SAC",IF(SAC_CORR!$J252="Carencia",0,SAC_CORR!D252),IF(PRICE_CORR!$J252="Carencia",0,PRICE_CORR!D252))</f>
        <v/>
      </c>
      <c r="F277" s="764">
        <f ca="1">IF($E$19="SAC",SAC_CORR!E252,PRICE_CORR!E252)</f>
        <v>-6.4551386458333582E-10</v>
      </c>
      <c r="G277" s="764" t="str">
        <f ca="1">IF($E$19="SAC",IF(SAC_CORR!$J252="Carencia",0,SAC_CORR!F252),IF(PRICE_CORR!$J252="Carencia",0,PRICE_CORR!F252))</f>
        <v/>
      </c>
      <c r="H277" s="764" t="str">
        <f ca="1">IF($E$19="SAC",IF(SAC_CORR!$J252="Carencia",0,SAC_CORR!G252),IF(PRICE_CORR!$J252="Carencia",0,PRICE_CORR!G252))</f>
        <v/>
      </c>
      <c r="I277" s="764" t="str">
        <f ca="1">IF($E$19="SAC",IF(SAC_CORR!$J252="Carencia",0,SAC_CORR!H252),IF(PRICE_CORR!$J252="Carencia",0,PRICE_CORR!H252))</f>
        <v/>
      </c>
      <c r="J277" s="764">
        <f ca="1">IF($E$19="SAC",SAC_CORR!I252,PRICE_CORR!I252)</f>
        <v>0</v>
      </c>
      <c r="K277" s="911"/>
      <c r="N277" s="765">
        <f t="shared" ca="1" si="11"/>
        <v>0</v>
      </c>
      <c r="O277" s="766" t="str">
        <f t="shared" ca="1" si="9"/>
        <v/>
      </c>
    </row>
    <row r="278" spans="2:15" ht="22.35" customHeight="1" thickTop="1" thickBot="1">
      <c r="B278" s="762" t="str">
        <f ca="1">IF($E$19="SAC",SAC_CORR!B253,PRICE_CORR!B253)</f>
        <v/>
      </c>
      <c r="C278" s="763" t="str">
        <f t="shared" ca="1" si="10"/>
        <v/>
      </c>
      <c r="D278" s="764">
        <f ca="1">IF($E$19="SAC",SAC_CORR!C253,PRICE_CORR!C253)</f>
        <v>0</v>
      </c>
      <c r="E278" s="764" t="str">
        <f ca="1">IF($E$19="SAC",IF(SAC_CORR!$J253="Carencia",0,SAC_CORR!D253),IF(PRICE_CORR!$J253="Carencia",0,PRICE_CORR!D253))</f>
        <v/>
      </c>
      <c r="F278" s="764">
        <f ca="1">IF($E$19="SAC",SAC_CORR!E253,PRICE_CORR!E253)</f>
        <v>-6.4551386458333582E-10</v>
      </c>
      <c r="G278" s="764" t="str">
        <f ca="1">IF($E$19="SAC",IF(SAC_CORR!$J253="Carencia",0,SAC_CORR!F253),IF(PRICE_CORR!$J253="Carencia",0,PRICE_CORR!F253))</f>
        <v/>
      </c>
      <c r="H278" s="764" t="str">
        <f ca="1">IF($E$19="SAC",IF(SAC_CORR!$J253="Carencia",0,SAC_CORR!G253),IF(PRICE_CORR!$J253="Carencia",0,PRICE_CORR!G253))</f>
        <v/>
      </c>
      <c r="I278" s="764" t="str">
        <f ca="1">IF($E$19="SAC",IF(SAC_CORR!$J253="Carencia",0,SAC_CORR!H253),IF(PRICE_CORR!$J253="Carencia",0,PRICE_CORR!H253))</f>
        <v/>
      </c>
      <c r="J278" s="764">
        <f ca="1">IF($E$19="SAC",SAC_CORR!I253,PRICE_CORR!I253)</f>
        <v>0</v>
      </c>
      <c r="K278" s="911"/>
      <c r="N278" s="765">
        <f t="shared" ca="1" si="11"/>
        <v>0</v>
      </c>
      <c r="O278" s="766" t="str">
        <f t="shared" ca="1" si="9"/>
        <v/>
      </c>
    </row>
    <row r="279" spans="2:15" ht="22.35" customHeight="1" thickTop="1" thickBot="1">
      <c r="B279" s="762" t="str">
        <f ca="1">IF($E$19="SAC",SAC_CORR!B254,PRICE_CORR!B254)</f>
        <v/>
      </c>
      <c r="C279" s="763" t="str">
        <f t="shared" ca="1" si="10"/>
        <v/>
      </c>
      <c r="D279" s="764">
        <f ca="1">IF($E$19="SAC",SAC_CORR!C254,PRICE_CORR!C254)</f>
        <v>0</v>
      </c>
      <c r="E279" s="764" t="str">
        <f ca="1">IF($E$19="SAC",IF(SAC_CORR!$J254="Carencia",0,SAC_CORR!D254),IF(PRICE_CORR!$J254="Carencia",0,PRICE_CORR!D254))</f>
        <v/>
      </c>
      <c r="F279" s="764">
        <f ca="1">IF($E$19="SAC",SAC_CORR!E254,PRICE_CORR!E254)</f>
        <v>-6.4551386458333582E-10</v>
      </c>
      <c r="G279" s="764" t="str">
        <f ca="1">IF($E$19="SAC",IF(SAC_CORR!$J254="Carencia",0,SAC_CORR!F254),IF(PRICE_CORR!$J254="Carencia",0,PRICE_CORR!F254))</f>
        <v/>
      </c>
      <c r="H279" s="764" t="str">
        <f ca="1">IF($E$19="SAC",IF(SAC_CORR!$J254="Carencia",0,SAC_CORR!G254),IF(PRICE_CORR!$J254="Carencia",0,PRICE_CORR!G254))</f>
        <v/>
      </c>
      <c r="I279" s="764" t="str">
        <f ca="1">IF($E$19="SAC",IF(SAC_CORR!$J254="Carencia",0,SAC_CORR!H254),IF(PRICE_CORR!$J254="Carencia",0,PRICE_CORR!H254))</f>
        <v/>
      </c>
      <c r="J279" s="764">
        <f ca="1">IF($E$19="SAC",SAC_CORR!I254,PRICE_CORR!I254)</f>
        <v>0</v>
      </c>
      <c r="K279" s="911"/>
      <c r="N279" s="765">
        <f t="shared" ca="1" si="11"/>
        <v>0</v>
      </c>
      <c r="O279" s="766" t="str">
        <f t="shared" ca="1" si="9"/>
        <v/>
      </c>
    </row>
    <row r="280" spans="2:15" ht="22.35" customHeight="1" thickTop="1" thickBot="1">
      <c r="B280" s="762" t="str">
        <f ca="1">IF($E$19="SAC",SAC_CORR!B255,PRICE_CORR!B255)</f>
        <v/>
      </c>
      <c r="C280" s="763" t="str">
        <f t="shared" ca="1" si="10"/>
        <v/>
      </c>
      <c r="D280" s="764">
        <f ca="1">IF($E$19="SAC",SAC_CORR!C255,PRICE_CORR!C255)</f>
        <v>0</v>
      </c>
      <c r="E280" s="764" t="str">
        <f ca="1">IF($E$19="SAC",IF(SAC_CORR!$J255="Carencia",0,SAC_CORR!D255),IF(PRICE_CORR!$J255="Carencia",0,PRICE_CORR!D255))</f>
        <v/>
      </c>
      <c r="F280" s="764">
        <f ca="1">IF($E$19="SAC",SAC_CORR!E255,PRICE_CORR!E255)</f>
        <v>-6.4551386458333582E-10</v>
      </c>
      <c r="G280" s="764" t="str">
        <f ca="1">IF($E$19="SAC",IF(SAC_CORR!$J255="Carencia",0,SAC_CORR!F255),IF(PRICE_CORR!$J255="Carencia",0,PRICE_CORR!F255))</f>
        <v/>
      </c>
      <c r="H280" s="764" t="str">
        <f ca="1">IF($E$19="SAC",IF(SAC_CORR!$J255="Carencia",0,SAC_CORR!G255),IF(PRICE_CORR!$J255="Carencia",0,PRICE_CORR!G255))</f>
        <v/>
      </c>
      <c r="I280" s="764" t="str">
        <f ca="1">IF($E$19="SAC",IF(SAC_CORR!$J255="Carencia",0,SAC_CORR!H255),IF(PRICE_CORR!$J255="Carencia",0,PRICE_CORR!H255))</f>
        <v/>
      </c>
      <c r="J280" s="764">
        <f ca="1">IF($E$19="SAC",SAC_CORR!I255,PRICE_CORR!I255)</f>
        <v>0</v>
      </c>
      <c r="K280" s="911"/>
      <c r="N280" s="765">
        <f t="shared" ca="1" si="11"/>
        <v>0</v>
      </c>
      <c r="O280" s="766" t="str">
        <f t="shared" ca="1" si="9"/>
        <v/>
      </c>
    </row>
    <row r="281" spans="2:15" ht="22.35" customHeight="1" thickTop="1" thickBot="1">
      <c r="B281" s="762" t="str">
        <f ca="1">IF($E$19="SAC",SAC_CORR!B256,PRICE_CORR!B256)</f>
        <v/>
      </c>
      <c r="C281" s="763" t="str">
        <f t="shared" ca="1" si="10"/>
        <v/>
      </c>
      <c r="D281" s="764">
        <f ca="1">IF($E$19="SAC",SAC_CORR!C256,PRICE_CORR!C256)</f>
        <v>0</v>
      </c>
      <c r="E281" s="764" t="str">
        <f ca="1">IF($E$19="SAC",IF(SAC_CORR!$J256="Carencia",0,SAC_CORR!D256),IF(PRICE_CORR!$J256="Carencia",0,PRICE_CORR!D256))</f>
        <v/>
      </c>
      <c r="F281" s="764">
        <f ca="1">IF($E$19="SAC",SAC_CORR!E256,PRICE_CORR!E256)</f>
        <v>-6.4551386458333582E-10</v>
      </c>
      <c r="G281" s="764" t="str">
        <f ca="1">IF($E$19="SAC",IF(SAC_CORR!$J256="Carencia",0,SAC_CORR!F256),IF(PRICE_CORR!$J256="Carencia",0,PRICE_CORR!F256))</f>
        <v/>
      </c>
      <c r="H281" s="764" t="str">
        <f ca="1">IF($E$19="SAC",IF(SAC_CORR!$J256="Carencia",0,SAC_CORR!G256),IF(PRICE_CORR!$J256="Carencia",0,PRICE_CORR!G256))</f>
        <v/>
      </c>
      <c r="I281" s="764" t="str">
        <f ca="1">IF($E$19="SAC",IF(SAC_CORR!$J256="Carencia",0,SAC_CORR!H256),IF(PRICE_CORR!$J256="Carencia",0,PRICE_CORR!H256))</f>
        <v/>
      </c>
      <c r="J281" s="764">
        <f ca="1">IF($E$19="SAC",SAC_CORR!I256,PRICE_CORR!I256)</f>
        <v>0</v>
      </c>
      <c r="K281" s="911"/>
      <c r="N281" s="765">
        <f t="shared" ca="1" si="11"/>
        <v>0</v>
      </c>
      <c r="O281" s="766" t="str">
        <f t="shared" ca="1" si="9"/>
        <v/>
      </c>
    </row>
    <row r="282" spans="2:15" ht="22.35" customHeight="1" thickTop="1" thickBot="1">
      <c r="B282" s="762" t="str">
        <f ca="1">IF($E$19="SAC",SAC_CORR!B257,PRICE_CORR!B257)</f>
        <v/>
      </c>
      <c r="C282" s="763" t="str">
        <f t="shared" ca="1" si="10"/>
        <v/>
      </c>
      <c r="D282" s="764">
        <f ca="1">IF($E$19="SAC",SAC_CORR!C257,PRICE_CORR!C257)</f>
        <v>0</v>
      </c>
      <c r="E282" s="764" t="str">
        <f ca="1">IF($E$19="SAC",IF(SAC_CORR!$J257="Carencia",0,SAC_CORR!D257),IF(PRICE_CORR!$J257="Carencia",0,PRICE_CORR!D257))</f>
        <v/>
      </c>
      <c r="F282" s="764">
        <f ca="1">IF($E$19="SAC",SAC_CORR!E257,PRICE_CORR!E257)</f>
        <v>-6.4551386458333582E-10</v>
      </c>
      <c r="G282" s="764" t="str">
        <f ca="1">IF($E$19="SAC",IF(SAC_CORR!$J257="Carencia",0,SAC_CORR!F257),IF(PRICE_CORR!$J257="Carencia",0,PRICE_CORR!F257))</f>
        <v/>
      </c>
      <c r="H282" s="764" t="str">
        <f ca="1">IF($E$19="SAC",IF(SAC_CORR!$J257="Carencia",0,SAC_CORR!G257),IF(PRICE_CORR!$J257="Carencia",0,PRICE_CORR!G257))</f>
        <v/>
      </c>
      <c r="I282" s="764" t="str">
        <f ca="1">IF($E$19="SAC",IF(SAC_CORR!$J257="Carencia",0,SAC_CORR!H257),IF(PRICE_CORR!$J257="Carencia",0,PRICE_CORR!H257))</f>
        <v/>
      </c>
      <c r="J282" s="764">
        <f ca="1">IF($E$19="SAC",SAC_CORR!I257,PRICE_CORR!I257)</f>
        <v>0</v>
      </c>
      <c r="K282" s="911"/>
      <c r="N282" s="765">
        <f t="shared" ca="1" si="11"/>
        <v>0</v>
      </c>
      <c r="O282" s="766" t="str">
        <f t="shared" ca="1" si="9"/>
        <v/>
      </c>
    </row>
    <row r="283" spans="2:15" ht="22.35" customHeight="1" thickTop="1" thickBot="1">
      <c r="B283" s="762" t="str">
        <f ca="1">IF($E$19="SAC",SAC_CORR!B258,PRICE_CORR!B258)</f>
        <v/>
      </c>
      <c r="C283" s="763" t="str">
        <f t="shared" ca="1" si="10"/>
        <v/>
      </c>
      <c r="D283" s="764">
        <f ca="1">IF($E$19="SAC",SAC_CORR!C258,PRICE_CORR!C258)</f>
        <v>0</v>
      </c>
      <c r="E283" s="764" t="str">
        <f ca="1">IF($E$19="SAC",IF(SAC_CORR!$J258="Carencia",0,SAC_CORR!D258),IF(PRICE_CORR!$J258="Carencia",0,PRICE_CORR!D258))</f>
        <v/>
      </c>
      <c r="F283" s="764">
        <f ca="1">IF($E$19="SAC",SAC_CORR!E258,PRICE_CORR!E258)</f>
        <v>-6.4551386458333582E-10</v>
      </c>
      <c r="G283" s="764" t="str">
        <f ca="1">IF($E$19="SAC",IF(SAC_CORR!$J258="Carencia",0,SAC_CORR!F258),IF(PRICE_CORR!$J258="Carencia",0,PRICE_CORR!F258))</f>
        <v/>
      </c>
      <c r="H283" s="764" t="str">
        <f ca="1">IF($E$19="SAC",IF(SAC_CORR!$J258="Carencia",0,SAC_CORR!G258),IF(PRICE_CORR!$J258="Carencia",0,PRICE_CORR!G258))</f>
        <v/>
      </c>
      <c r="I283" s="764" t="str">
        <f ca="1">IF($E$19="SAC",IF(SAC_CORR!$J258="Carencia",0,SAC_CORR!H258),IF(PRICE_CORR!$J258="Carencia",0,PRICE_CORR!H258))</f>
        <v/>
      </c>
      <c r="J283" s="764">
        <f ca="1">IF($E$19="SAC",SAC_CORR!I258,PRICE_CORR!I258)</f>
        <v>0</v>
      </c>
      <c r="K283" s="911"/>
      <c r="N283" s="765">
        <f t="shared" ca="1" si="11"/>
        <v>0</v>
      </c>
      <c r="O283" s="766" t="str">
        <f t="shared" ca="1" si="9"/>
        <v/>
      </c>
    </row>
    <row r="284" spans="2:15" ht="22.35" customHeight="1" thickTop="1" thickBot="1">
      <c r="B284" s="762" t="str">
        <f ca="1">IF($E$19="SAC",SAC_CORR!B259,PRICE_CORR!B259)</f>
        <v/>
      </c>
      <c r="C284" s="763" t="str">
        <f t="shared" ca="1" si="10"/>
        <v/>
      </c>
      <c r="D284" s="764">
        <f ca="1">IF($E$19="SAC",SAC_CORR!C259,PRICE_CORR!C259)</f>
        <v>0</v>
      </c>
      <c r="E284" s="764" t="str">
        <f ca="1">IF($E$19="SAC",IF(SAC_CORR!$J259="Carencia",0,SAC_CORR!D259),IF(PRICE_CORR!$J259="Carencia",0,PRICE_CORR!D259))</f>
        <v/>
      </c>
      <c r="F284" s="764">
        <f ca="1">IF($E$19="SAC",SAC_CORR!E259,PRICE_CORR!E259)</f>
        <v>-6.4551386458333582E-10</v>
      </c>
      <c r="G284" s="764" t="str">
        <f ca="1">IF($E$19="SAC",IF(SAC_CORR!$J259="Carencia",0,SAC_CORR!F259),IF(PRICE_CORR!$J259="Carencia",0,PRICE_CORR!F259))</f>
        <v/>
      </c>
      <c r="H284" s="764" t="str">
        <f ca="1">IF($E$19="SAC",IF(SAC_CORR!$J259="Carencia",0,SAC_CORR!G259),IF(PRICE_CORR!$J259="Carencia",0,PRICE_CORR!G259))</f>
        <v/>
      </c>
      <c r="I284" s="764" t="str">
        <f ca="1">IF($E$19="SAC",IF(SAC_CORR!$J259="Carencia",0,SAC_CORR!H259),IF(PRICE_CORR!$J259="Carencia",0,PRICE_CORR!H259))</f>
        <v/>
      </c>
      <c r="J284" s="764">
        <f ca="1">IF($E$19="SAC",SAC_CORR!I259,PRICE_CORR!I259)</f>
        <v>0</v>
      </c>
      <c r="K284" s="911"/>
      <c r="N284" s="765">
        <f t="shared" ca="1" si="11"/>
        <v>0</v>
      </c>
      <c r="O284" s="766" t="str">
        <f t="shared" ca="1" si="9"/>
        <v/>
      </c>
    </row>
    <row r="285" spans="2:15" ht="22.35" customHeight="1" thickTop="1"/>
    <row r="286" spans="2:15" ht="22.35" customHeight="1">
      <c r="B286" s="1138" t="s">
        <v>85</v>
      </c>
      <c r="C286" s="1139"/>
      <c r="D286" s="1139"/>
      <c r="E286" s="1139"/>
      <c r="F286" s="1139"/>
      <c r="G286" s="1139"/>
      <c r="H286" s="1139"/>
      <c r="I286" s="1139"/>
      <c r="J286" s="1140"/>
      <c r="K286" s="912"/>
    </row>
    <row r="287" spans="2:15" ht="26.85" customHeight="1">
      <c r="B287" s="1141"/>
      <c r="C287" s="1142"/>
      <c r="D287" s="1142"/>
      <c r="E287" s="1142"/>
      <c r="F287" s="1142"/>
      <c r="G287" s="1142"/>
      <c r="H287" s="1142"/>
      <c r="I287" s="1142"/>
      <c r="J287" s="1143"/>
      <c r="K287" s="912"/>
    </row>
    <row r="288" spans="2:15" ht="22.35" customHeight="1">
      <c r="B288" s="767"/>
      <c r="C288" s="767"/>
      <c r="D288" s="767"/>
      <c r="E288" s="767"/>
      <c r="F288" s="767"/>
      <c r="G288" s="767"/>
      <c r="H288" s="767"/>
      <c r="I288" s="767"/>
    </row>
    <row r="289" spans="2:9" ht="22.35" customHeight="1">
      <c r="B289" s="767"/>
      <c r="C289" s="767"/>
      <c r="D289" s="767"/>
      <c r="E289" s="767"/>
      <c r="F289" s="767"/>
      <c r="G289" s="767"/>
      <c r="H289" s="767"/>
      <c r="I289" s="767"/>
    </row>
    <row r="290" spans="2:9" ht="22.35" customHeight="1">
      <c r="B290" s="717" t="s">
        <v>86</v>
      </c>
      <c r="D290" s="767"/>
      <c r="E290" s="767"/>
      <c r="F290" s="767"/>
      <c r="G290" s="767"/>
      <c r="H290" s="767"/>
      <c r="I290" s="767"/>
    </row>
    <row r="291" spans="2:9" ht="22.35" customHeight="1">
      <c r="B291" s="767"/>
      <c r="C291" s="767"/>
      <c r="D291" s="767"/>
      <c r="E291" s="767"/>
      <c r="F291" s="767"/>
      <c r="G291" s="767"/>
      <c r="H291" s="767"/>
      <c r="I291" s="767"/>
    </row>
    <row r="292" spans="2:9" ht="22.35" customHeight="1">
      <c r="B292" s="767"/>
      <c r="C292" s="767"/>
      <c r="D292" s="767"/>
      <c r="E292" s="767"/>
      <c r="F292" s="767"/>
      <c r="G292" s="767"/>
      <c r="H292" s="767"/>
      <c r="I292" s="767"/>
    </row>
    <row r="293" spans="2:9" ht="22.35" customHeight="1">
      <c r="B293" s="767"/>
      <c r="C293" s="718"/>
      <c r="D293" s="767"/>
      <c r="E293" s="767"/>
      <c r="F293" s="718"/>
      <c r="G293" s="718"/>
      <c r="H293" s="718"/>
      <c r="I293" s="767"/>
    </row>
    <row r="294" spans="2:9" ht="22.35" customHeight="1">
      <c r="B294" s="719" t="s">
        <v>87</v>
      </c>
      <c r="C294" s="718"/>
      <c r="D294" s="767"/>
      <c r="E294" s="767"/>
      <c r="F294" s="719" t="s">
        <v>87</v>
      </c>
      <c r="G294" s="718"/>
      <c r="H294" s="767"/>
      <c r="I294" s="767"/>
    </row>
    <row r="295" spans="2:9" ht="22.35" customHeight="1">
      <c r="B295" s="720" t="s">
        <v>88</v>
      </c>
      <c r="C295" s="718"/>
      <c r="D295" s="718"/>
      <c r="E295" s="718"/>
      <c r="F295" s="720" t="s">
        <v>89</v>
      </c>
      <c r="G295" s="718"/>
      <c r="H295" s="718"/>
      <c r="I295" s="718"/>
    </row>
    <row r="296" spans="2:9" ht="22.35" customHeight="1">
      <c r="B296" s="719"/>
      <c r="C296" s="718"/>
      <c r="D296" s="718"/>
      <c r="E296" s="718"/>
      <c r="F296" s="718"/>
      <c r="G296" s="718"/>
      <c r="H296" s="767"/>
      <c r="I296" s="767"/>
    </row>
    <row r="297" spans="2:9" ht="22.35" customHeight="1">
      <c r="B297" s="717" t="s">
        <v>90</v>
      </c>
      <c r="C297" s="767"/>
      <c r="D297" s="767"/>
      <c r="E297" s="767"/>
      <c r="F297" s="718"/>
      <c r="G297" s="718"/>
      <c r="H297" s="718"/>
      <c r="I297" s="767"/>
    </row>
    <row r="298" spans="2:9" ht="22.35" customHeight="1">
      <c r="B298" s="718"/>
      <c r="C298" s="767"/>
      <c r="D298" s="767"/>
      <c r="E298" s="767"/>
      <c r="F298" s="718"/>
      <c r="G298" s="718"/>
      <c r="H298" s="718"/>
      <c r="I298" s="767"/>
    </row>
    <row r="299" spans="2:9" ht="22.35" customHeight="1">
      <c r="B299" s="719" t="s">
        <v>87</v>
      </c>
      <c r="C299" s="718"/>
      <c r="D299" s="718"/>
      <c r="E299" s="718"/>
      <c r="F299" s="719" t="s">
        <v>87</v>
      </c>
      <c r="G299" s="718"/>
      <c r="H299" s="718"/>
      <c r="I299" s="718"/>
    </row>
    <row r="300" spans="2:9" ht="22.35" customHeight="1">
      <c r="B300" s="720" t="s">
        <v>88</v>
      </c>
      <c r="C300" s="718"/>
      <c r="D300" s="718"/>
      <c r="E300" s="719"/>
      <c r="F300" s="720" t="s">
        <v>91</v>
      </c>
      <c r="G300" s="718"/>
      <c r="H300" s="718"/>
      <c r="I300" s="718"/>
    </row>
    <row r="302" spans="2:9" ht="22.35" customHeight="1">
      <c r="B302" s="719" t="s">
        <v>87</v>
      </c>
      <c r="C302" s="718"/>
      <c r="D302" s="718"/>
      <c r="E302" s="718"/>
    </row>
    <row r="303" spans="2:9" ht="22.35" customHeight="1">
      <c r="B303" s="720" t="s">
        <v>92</v>
      </c>
      <c r="C303" s="718"/>
      <c r="D303" s="718"/>
      <c r="E303" s="718"/>
      <c r="F303" s="718"/>
      <c r="G303" s="718"/>
      <c r="H303" s="767"/>
      <c r="I303" s="767"/>
    </row>
    <row r="305" spans="2:10" ht="22.35" customHeight="1">
      <c r="B305" s="721" t="s">
        <v>93</v>
      </c>
      <c r="C305" s="718"/>
      <c r="D305" s="718"/>
      <c r="E305" s="718"/>
      <c r="F305" s="718"/>
      <c r="G305" s="767"/>
      <c r="H305" s="767"/>
      <c r="I305" s="767"/>
    </row>
    <row r="306" spans="2:10" ht="22.35" customHeight="1">
      <c r="B306" s="767"/>
      <c r="C306" s="718"/>
      <c r="D306" s="722"/>
      <c r="E306" s="767"/>
      <c r="F306" s="718"/>
      <c r="G306" s="718"/>
      <c r="H306" s="767"/>
      <c r="I306" s="767"/>
    </row>
    <row r="307" spans="2:10" ht="22.35" customHeight="1">
      <c r="B307" s="719" t="s">
        <v>87</v>
      </c>
      <c r="C307" s="767"/>
      <c r="D307" s="767"/>
      <c r="E307" s="767"/>
      <c r="F307" s="719" t="s">
        <v>87</v>
      </c>
      <c r="G307" s="767"/>
      <c r="H307" s="767"/>
      <c r="I307" s="767"/>
    </row>
    <row r="308" spans="2:10" ht="22.35" customHeight="1">
      <c r="B308" s="720" t="s">
        <v>94</v>
      </c>
      <c r="C308" s="767"/>
      <c r="D308" s="767"/>
      <c r="E308" s="767"/>
      <c r="F308" s="720" t="s">
        <v>95</v>
      </c>
      <c r="G308" s="718"/>
      <c r="H308" s="767"/>
      <c r="I308" s="767"/>
    </row>
    <row r="312" spans="2:10" ht="22.35" customHeight="1">
      <c r="B312" s="1132" t="s">
        <v>85</v>
      </c>
      <c r="C312" s="1133"/>
      <c r="D312" s="1133"/>
      <c r="E312" s="1133"/>
      <c r="F312" s="1133"/>
      <c r="G312" s="1133"/>
      <c r="H312" s="1133"/>
      <c r="I312" s="1133"/>
      <c r="J312" s="1134"/>
    </row>
    <row r="313" spans="2:10" ht="22.35" customHeight="1">
      <c r="B313" s="1135"/>
      <c r="C313" s="1136"/>
      <c r="D313" s="1136"/>
      <c r="E313" s="1136"/>
      <c r="F313" s="1136"/>
      <c r="G313" s="1136"/>
      <c r="H313" s="1136"/>
      <c r="I313" s="1136"/>
      <c r="J313" s="1137"/>
    </row>
  </sheetData>
  <sheetProtection formatCells="0" formatColumns="0" formatRows="0" insertColumns="0" insertRows="0" insertHyperlinks="0" sort="0" autoFilter="0" pivotTables="0"/>
  <mergeCells count="8">
    <mergeCell ref="B312:J313"/>
    <mergeCell ref="B286:J287"/>
    <mergeCell ref="B1:C2"/>
    <mergeCell ref="G1:J1"/>
    <mergeCell ref="G2:J2"/>
    <mergeCell ref="B30:C30"/>
    <mergeCell ref="E30:F30"/>
    <mergeCell ref="H30:I30"/>
  </mergeCells>
  <dataValidations count="1">
    <dataValidation errorStyle="warning" allowBlank="1" showInputMessage="1" showErrorMessage="1" errorTitle="Erro!" error="Escolher uma das opções da lista!" sqref="E19" xr:uid="{FC8E7F4A-59FB-41DD-915E-EC1D0959E2F5}"/>
  </dataValidations>
  <pageMargins left="0.70866141732283472" right="0.70866141732283472" top="0.74803149606299213" bottom="0.74803149606299213" header="0.31496062992125984" footer="0.31496062992125984"/>
  <pageSetup paperSize="9" scale="60" orientation="portrait" horizontalDpi="4294967294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7036-903E-4334-96AB-3EF15B060AE1}">
  <sheetPr codeName="Planilha11">
    <tabColor rgb="FF3C1A56"/>
  </sheetPr>
  <dimension ref="A1:AK430"/>
  <sheetViews>
    <sheetView showGridLines="0" view="pageBreakPreview" topLeftCell="E389" zoomScale="70" zoomScaleNormal="70" zoomScaleSheetLayoutView="70" zoomScalePageLayoutView="50" workbookViewId="0">
      <selection activeCell="E1" sqref="E1:P403"/>
    </sheetView>
  </sheetViews>
  <sheetFormatPr defaultColWidth="8.5703125" defaultRowHeight="15" outlineLevelRow="1"/>
  <cols>
    <col min="1" max="4" width="8.5703125" hidden="1" customWidth="1"/>
    <col min="5" max="5" width="7.5703125" customWidth="1"/>
    <col min="6" max="6" width="8.5703125" customWidth="1"/>
    <col min="7" max="7" width="12.28515625" customWidth="1"/>
    <col min="8" max="8" width="9.5703125" customWidth="1"/>
    <col min="9" max="9" width="12.5703125" customWidth="1"/>
    <col min="10" max="10" width="14.7109375" customWidth="1"/>
    <col min="11" max="12" width="12.5703125" customWidth="1"/>
    <col min="13" max="13" width="14" customWidth="1"/>
    <col min="14" max="14" width="13.42578125" customWidth="1"/>
    <col min="15" max="15" width="9.5703125" customWidth="1"/>
    <col min="16" max="16" width="8.5703125" customWidth="1"/>
    <col min="17" max="17" width="7.5703125" customWidth="1"/>
    <col min="18" max="18" width="8.5703125" hidden="1" customWidth="1"/>
  </cols>
  <sheetData>
    <row r="1" spans="2:37">
      <c r="V1" s="1252" t="s">
        <v>809</v>
      </c>
      <c r="W1" s="1252"/>
      <c r="X1" s="1252"/>
      <c r="Y1" s="1252"/>
      <c r="Z1" s="1252"/>
      <c r="AA1" s="1252"/>
      <c r="AB1" s="1252"/>
      <c r="AC1" s="1252"/>
      <c r="AD1" s="1252"/>
      <c r="AE1" s="1252"/>
      <c r="AF1" s="1252"/>
      <c r="AG1" s="1252"/>
      <c r="AH1" s="1252"/>
      <c r="AI1" s="1252"/>
      <c r="AJ1" s="1252"/>
      <c r="AK1" s="785"/>
    </row>
    <row r="2" spans="2:37">
      <c r="V2" s="1252"/>
      <c r="W2" s="1252"/>
      <c r="X2" s="1252"/>
      <c r="Y2" s="1252"/>
      <c r="Z2" s="1252"/>
      <c r="AA2" s="1252"/>
      <c r="AB2" s="1252"/>
      <c r="AC2" s="1252"/>
      <c r="AD2" s="1252"/>
      <c r="AE2" s="1252"/>
      <c r="AF2" s="1252"/>
      <c r="AG2" s="1252"/>
      <c r="AH2" s="1252"/>
      <c r="AI2" s="1252"/>
      <c r="AJ2" s="1252"/>
      <c r="AK2" s="785"/>
    </row>
    <row r="3" spans="2:37">
      <c r="V3" s="1252"/>
      <c r="W3" s="1252"/>
      <c r="X3" s="1252"/>
      <c r="Y3" s="1252"/>
      <c r="Z3" s="1252"/>
      <c r="AA3" s="1252"/>
      <c r="AB3" s="1252"/>
      <c r="AC3" s="1252"/>
      <c r="AD3" s="1252"/>
      <c r="AE3" s="1252"/>
      <c r="AF3" s="1252"/>
      <c r="AG3" s="1252"/>
      <c r="AH3" s="1252"/>
      <c r="AI3" s="1252"/>
      <c r="AJ3" s="1252"/>
      <c r="AK3" s="785"/>
    </row>
    <row r="4" spans="2:37">
      <c r="V4" s="1252"/>
      <c r="W4" s="1252"/>
      <c r="X4" s="1252"/>
      <c r="Y4" s="1252"/>
      <c r="Z4" s="1252"/>
      <c r="AA4" s="1252"/>
      <c r="AB4" s="1252"/>
      <c r="AC4" s="1252"/>
      <c r="AD4" s="1252"/>
      <c r="AE4" s="1252"/>
      <c r="AF4" s="1252"/>
      <c r="AG4" s="1252"/>
      <c r="AH4" s="1252"/>
      <c r="AI4" s="1252"/>
      <c r="AJ4" s="1252"/>
      <c r="AK4" s="785"/>
    </row>
    <row r="5" spans="2:37">
      <c r="V5" s="1252"/>
      <c r="W5" s="1252"/>
      <c r="X5" s="1252"/>
      <c r="Y5" s="1252"/>
      <c r="Z5" s="1252"/>
      <c r="AA5" s="1252"/>
      <c r="AB5" s="1252"/>
      <c r="AC5" s="1252"/>
      <c r="AD5" s="1252"/>
      <c r="AE5" s="1252"/>
      <c r="AF5" s="1252"/>
      <c r="AG5" s="1252"/>
      <c r="AH5" s="1252"/>
      <c r="AI5" s="1252"/>
      <c r="AJ5" s="1252"/>
      <c r="AK5" s="785"/>
    </row>
    <row r="6" spans="2:37">
      <c r="V6" s="1252"/>
      <c r="W6" s="1252"/>
      <c r="X6" s="1252"/>
      <c r="Y6" s="1252"/>
      <c r="Z6" s="1252"/>
      <c r="AA6" s="1252"/>
      <c r="AB6" s="1252"/>
      <c r="AC6" s="1252"/>
      <c r="AD6" s="1252"/>
      <c r="AE6" s="1252"/>
      <c r="AF6" s="1252"/>
      <c r="AG6" s="1252"/>
      <c r="AH6" s="1252"/>
      <c r="AI6" s="1252"/>
      <c r="AJ6" s="1252"/>
      <c r="AK6" s="785"/>
    </row>
    <row r="7" spans="2:37">
      <c r="V7" s="1252"/>
      <c r="W7" s="1252"/>
      <c r="X7" s="1252"/>
      <c r="Y7" s="1252"/>
      <c r="Z7" s="1252"/>
      <c r="AA7" s="1252"/>
      <c r="AB7" s="1252"/>
      <c r="AC7" s="1252"/>
      <c r="AD7" s="1252"/>
      <c r="AE7" s="1252"/>
      <c r="AF7" s="1252"/>
      <c r="AG7" s="1252"/>
      <c r="AH7" s="1252"/>
      <c r="AI7" s="1252"/>
      <c r="AJ7" s="1252"/>
      <c r="AK7" s="785"/>
    </row>
    <row r="8" spans="2:37">
      <c r="F8" s="785"/>
      <c r="G8" s="785"/>
      <c r="V8" s="1253" t="s">
        <v>810</v>
      </c>
      <c r="W8" s="1253"/>
      <c r="X8" s="1253"/>
      <c r="Y8" s="1253"/>
      <c r="Z8" s="1253"/>
      <c r="AA8" s="1253"/>
      <c r="AB8" s="1253"/>
      <c r="AC8" s="1253"/>
      <c r="AD8" s="1253"/>
      <c r="AE8" s="1253"/>
      <c r="AF8" s="1253"/>
      <c r="AG8" s="1253"/>
      <c r="AH8" s="1253"/>
      <c r="AI8" s="1253"/>
      <c r="AJ8" s="1253"/>
      <c r="AK8" s="1253"/>
    </row>
    <row r="9" spans="2:37">
      <c r="F9" s="785"/>
      <c r="G9" s="785"/>
      <c r="V9" s="1253"/>
      <c r="W9" s="1253"/>
      <c r="X9" s="1253"/>
      <c r="Y9" s="1253"/>
      <c r="Z9" s="1253"/>
      <c r="AA9" s="1253"/>
      <c r="AB9" s="1253"/>
      <c r="AC9" s="1253"/>
      <c r="AD9" s="1253"/>
      <c r="AE9" s="1253"/>
      <c r="AF9" s="1253"/>
      <c r="AG9" s="1253"/>
      <c r="AH9" s="1253"/>
      <c r="AI9" s="1253"/>
      <c r="AJ9" s="1253"/>
      <c r="AK9" s="1253"/>
    </row>
    <row r="10" spans="2:37">
      <c r="F10" s="785"/>
      <c r="G10" s="785"/>
      <c r="O10" s="785"/>
      <c r="P10" s="785"/>
      <c r="V10" s="1253"/>
      <c r="W10" s="1253"/>
      <c r="X10" s="1253"/>
      <c r="Y10" s="1253"/>
      <c r="Z10" s="1253"/>
      <c r="AA10" s="1253"/>
      <c r="AB10" s="1253"/>
      <c r="AC10" s="1253"/>
      <c r="AD10" s="1253"/>
      <c r="AE10" s="1253"/>
      <c r="AF10" s="1253"/>
      <c r="AG10" s="1253"/>
      <c r="AH10" s="1253"/>
      <c r="AI10" s="1253"/>
      <c r="AJ10" s="1253"/>
      <c r="AK10" s="1253"/>
    </row>
    <row r="11" spans="2:37" ht="14.85" customHeight="1">
      <c r="F11" s="799"/>
      <c r="G11" s="1168" t="str">
        <f>"Nome do Cliente - "&amp;Inputs!C22</f>
        <v>Nome do Cliente - AGOSTINHO FRANCISCO DE SOUZA</v>
      </c>
      <c r="H11" s="1169"/>
      <c r="I11" s="1169"/>
      <c r="J11" s="1169"/>
      <c r="K11" s="1169"/>
      <c r="L11" s="1169"/>
      <c r="M11" s="1169"/>
      <c r="N11" s="1169"/>
      <c r="O11" s="1170"/>
      <c r="P11" s="785"/>
      <c r="Q11" s="799"/>
      <c r="V11" s="1253"/>
      <c r="W11" s="1253"/>
      <c r="X11" s="1253"/>
      <c r="Y11" s="1253"/>
      <c r="Z11" s="1253"/>
      <c r="AA11" s="1253"/>
      <c r="AB11" s="1253"/>
      <c r="AC11" s="1253"/>
      <c r="AD11" s="1253"/>
      <c r="AE11" s="1253"/>
      <c r="AF11" s="1253"/>
      <c r="AG11" s="1253"/>
      <c r="AH11" s="1253"/>
      <c r="AI11" s="1253"/>
      <c r="AJ11" s="1253"/>
      <c r="AK11" s="1253"/>
    </row>
    <row r="12" spans="2:37" ht="14.85" customHeight="1">
      <c r="F12" s="799"/>
      <c r="G12" s="1171"/>
      <c r="H12" s="1172"/>
      <c r="I12" s="1172"/>
      <c r="J12" s="1172"/>
      <c r="K12" s="1172"/>
      <c r="L12" s="1172"/>
      <c r="M12" s="1172"/>
      <c r="N12" s="1172"/>
      <c r="O12" s="1173"/>
      <c r="P12" s="785"/>
      <c r="Q12" s="799"/>
      <c r="V12" s="1253"/>
      <c r="W12" s="1253"/>
      <c r="X12" s="1253"/>
      <c r="Y12" s="1253"/>
      <c r="Z12" s="1253"/>
      <c r="AA12" s="1253"/>
      <c r="AB12" s="1253"/>
      <c r="AC12" s="1253"/>
      <c r="AD12" s="1253"/>
      <c r="AE12" s="1253"/>
      <c r="AF12" s="1253"/>
      <c r="AG12" s="1253"/>
      <c r="AH12" s="1253"/>
      <c r="AI12" s="1253"/>
      <c r="AJ12" s="1253"/>
      <c r="AK12" s="1253"/>
    </row>
    <row r="13" spans="2:37" ht="14.85" customHeight="1">
      <c r="F13" s="799"/>
      <c r="G13" s="1171"/>
      <c r="H13" s="1172"/>
      <c r="I13" s="1172"/>
      <c r="J13" s="1172"/>
      <c r="K13" s="1172"/>
      <c r="L13" s="1172"/>
      <c r="M13" s="1172"/>
      <c r="N13" s="1172"/>
      <c r="O13" s="1173"/>
      <c r="P13" s="785"/>
      <c r="Q13" s="799"/>
      <c r="V13" s="1253"/>
      <c r="W13" s="1253"/>
      <c r="X13" s="1253"/>
      <c r="Y13" s="1253"/>
      <c r="Z13" s="1253"/>
      <c r="AA13" s="1253"/>
      <c r="AB13" s="1253"/>
      <c r="AC13" s="1253"/>
      <c r="AD13" s="1253"/>
      <c r="AE13" s="1253"/>
      <c r="AF13" s="1253"/>
      <c r="AG13" s="1253"/>
      <c r="AH13" s="1253"/>
      <c r="AI13" s="1253"/>
      <c r="AJ13" s="1253"/>
      <c r="AK13" s="1253"/>
    </row>
    <row r="14" spans="2:37" ht="14.85" customHeight="1">
      <c r="B14" s="798"/>
      <c r="C14" s="797"/>
      <c r="D14" s="797"/>
      <c r="E14" s="797"/>
      <c r="F14" s="797"/>
      <c r="G14" s="1174"/>
      <c r="H14" s="1175"/>
      <c r="I14" s="1175"/>
      <c r="J14" s="1175"/>
      <c r="K14" s="1175"/>
      <c r="L14" s="1175"/>
      <c r="M14" s="1175"/>
      <c r="N14" s="1175"/>
      <c r="O14" s="1176"/>
      <c r="P14" s="785"/>
      <c r="V14" s="1253"/>
      <c r="W14" s="1253"/>
      <c r="X14" s="1253"/>
      <c r="Y14" s="1253"/>
      <c r="Z14" s="1253"/>
      <c r="AA14" s="1253"/>
      <c r="AB14" s="1253"/>
      <c r="AC14" s="1253"/>
      <c r="AD14" s="1253"/>
      <c r="AE14" s="1253"/>
      <c r="AF14" s="1253"/>
      <c r="AG14" s="1253"/>
      <c r="AH14" s="1253"/>
      <c r="AI14" s="1253"/>
      <c r="AJ14" s="1253"/>
      <c r="AK14" s="1253"/>
    </row>
    <row r="15" spans="2:37">
      <c r="B15" s="797"/>
      <c r="C15" s="797"/>
      <c r="D15" s="797"/>
      <c r="E15" s="797"/>
      <c r="F15" s="797"/>
      <c r="G15" s="797"/>
      <c r="H15" s="797"/>
      <c r="O15" s="785"/>
      <c r="P15" s="785"/>
      <c r="V15" s="1253"/>
      <c r="W15" s="1253"/>
      <c r="X15" s="1253"/>
      <c r="Y15" s="1253"/>
      <c r="Z15" s="1253"/>
      <c r="AA15" s="1253"/>
      <c r="AB15" s="1253"/>
      <c r="AC15" s="1253"/>
      <c r="AD15" s="1253"/>
      <c r="AE15" s="1253"/>
      <c r="AF15" s="1253"/>
      <c r="AG15" s="1253"/>
      <c r="AH15" s="1253"/>
      <c r="AI15" s="1253"/>
      <c r="AJ15" s="1253"/>
      <c r="AK15" s="1253"/>
    </row>
    <row r="16" spans="2:37" ht="14.85" customHeight="1">
      <c r="B16" s="797"/>
      <c r="C16" s="797"/>
      <c r="D16" s="797"/>
      <c r="E16" s="797"/>
      <c r="F16" s="797"/>
      <c r="G16" s="797"/>
      <c r="H16" s="797"/>
      <c r="O16" s="785"/>
      <c r="P16" s="785"/>
      <c r="V16" s="1253" t="s">
        <v>811</v>
      </c>
      <c r="W16" s="1253"/>
      <c r="X16" s="1253"/>
      <c r="Y16" s="1253"/>
      <c r="Z16" s="1253"/>
      <c r="AA16" s="1253"/>
      <c r="AB16" s="1253"/>
      <c r="AC16" s="1253"/>
      <c r="AD16" s="1253"/>
      <c r="AE16" s="1253"/>
      <c r="AF16" s="1253"/>
      <c r="AG16" s="1253"/>
      <c r="AH16" s="1253"/>
      <c r="AI16" s="1253"/>
      <c r="AJ16" s="1253"/>
      <c r="AK16" s="1253"/>
    </row>
    <row r="17" spans="2:37" ht="14.85" customHeight="1">
      <c r="B17" s="797"/>
      <c r="C17" s="797"/>
      <c r="D17" s="797"/>
      <c r="E17" s="797"/>
      <c r="F17" s="797"/>
      <c r="G17" s="1183" t="s">
        <v>768</v>
      </c>
      <c r="H17" s="1183"/>
      <c r="I17" s="1183"/>
      <c r="J17" s="1183"/>
      <c r="K17" s="1183"/>
      <c r="L17" s="1184"/>
      <c r="M17" s="1185" t="str">
        <f ca="1">Rating!B5</f>
        <v>B+</v>
      </c>
      <c r="N17" s="1186"/>
      <c r="O17" s="1186"/>
      <c r="P17" s="785"/>
      <c r="V17" s="1253"/>
      <c r="W17" s="1253"/>
      <c r="X17" s="1253"/>
      <c r="Y17" s="1253"/>
      <c r="Z17" s="1253"/>
      <c r="AA17" s="1253"/>
      <c r="AB17" s="1253"/>
      <c r="AC17" s="1253"/>
      <c r="AD17" s="1253"/>
      <c r="AE17" s="1253"/>
      <c r="AF17" s="1253"/>
      <c r="AG17" s="1253"/>
      <c r="AH17" s="1253"/>
      <c r="AI17" s="1253"/>
      <c r="AJ17" s="1253"/>
      <c r="AK17" s="1253"/>
    </row>
    <row r="18" spans="2:37" ht="14.85" customHeight="1">
      <c r="G18" s="1183"/>
      <c r="H18" s="1183"/>
      <c r="I18" s="1183"/>
      <c r="J18" s="1183"/>
      <c r="K18" s="1183"/>
      <c r="L18" s="1184"/>
      <c r="M18" s="1185"/>
      <c r="N18" s="1186"/>
      <c r="O18" s="1186"/>
      <c r="V18" s="1253"/>
      <c r="W18" s="1253"/>
      <c r="X18" s="1253"/>
      <c r="Y18" s="1253"/>
      <c r="Z18" s="1253"/>
      <c r="AA18" s="1253"/>
      <c r="AB18" s="1253"/>
      <c r="AC18" s="1253"/>
      <c r="AD18" s="1253"/>
      <c r="AE18" s="1253"/>
      <c r="AF18" s="1253"/>
      <c r="AG18" s="1253"/>
      <c r="AH18" s="1253"/>
      <c r="AI18" s="1253"/>
      <c r="AJ18" s="1253"/>
      <c r="AK18" s="1253"/>
    </row>
    <row r="19" spans="2:37">
      <c r="G19" s="1183"/>
      <c r="H19" s="1183"/>
      <c r="I19" s="1183"/>
      <c r="J19" s="1183"/>
      <c r="K19" s="1183"/>
      <c r="L19" s="1184"/>
      <c r="M19" s="1185"/>
      <c r="N19" s="1186"/>
      <c r="O19" s="1186"/>
      <c r="V19" s="1253"/>
      <c r="W19" s="1253"/>
      <c r="X19" s="1253"/>
      <c r="Y19" s="1253"/>
      <c r="Z19" s="1253"/>
      <c r="AA19" s="1253"/>
      <c r="AB19" s="1253"/>
      <c r="AC19" s="1253"/>
      <c r="AD19" s="1253"/>
      <c r="AE19" s="1253"/>
      <c r="AF19" s="1253"/>
      <c r="AG19" s="1253"/>
      <c r="AH19" s="1253"/>
      <c r="AI19" s="1253"/>
      <c r="AJ19" s="1253"/>
      <c r="AK19" s="1253"/>
    </row>
    <row r="20" spans="2:37">
      <c r="I20" s="796"/>
      <c r="V20" s="1253"/>
      <c r="W20" s="1253"/>
      <c r="X20" s="1253"/>
      <c r="Y20" s="1253"/>
      <c r="Z20" s="1253"/>
      <c r="AA20" s="1253"/>
      <c r="AB20" s="1253"/>
      <c r="AC20" s="1253"/>
      <c r="AD20" s="1253"/>
      <c r="AE20" s="1253"/>
      <c r="AF20" s="1253"/>
      <c r="AG20" s="1253"/>
      <c r="AH20" s="1253"/>
      <c r="AI20" s="1253"/>
      <c r="AJ20" s="1253"/>
      <c r="AK20" s="1253"/>
    </row>
    <row r="21" spans="2:37">
      <c r="V21" s="1253"/>
      <c r="W21" s="1253"/>
      <c r="X21" s="1253"/>
      <c r="Y21" s="1253"/>
      <c r="Z21" s="1253"/>
      <c r="AA21" s="1253"/>
      <c r="AB21" s="1253"/>
      <c r="AC21" s="1253"/>
      <c r="AD21" s="1253"/>
      <c r="AE21" s="1253"/>
      <c r="AF21" s="1253"/>
      <c r="AG21" s="1253"/>
      <c r="AH21" s="1253"/>
      <c r="AI21" s="1253"/>
      <c r="AJ21" s="1253"/>
      <c r="AK21" s="1253"/>
    </row>
    <row r="22" spans="2:37" ht="14.85" customHeight="1">
      <c r="G22" s="1183" t="s">
        <v>753</v>
      </c>
      <c r="H22" s="1183"/>
      <c r="I22" s="1183"/>
      <c r="J22" s="1183"/>
      <c r="K22" s="1183"/>
      <c r="L22" s="1184"/>
      <c r="M22" s="1185" t="str">
        <f>Rating!B6&amp;""&amp;Rating!C6</f>
        <v>B-</v>
      </c>
      <c r="N22" s="1186"/>
      <c r="O22" s="1186"/>
      <c r="V22" s="1253" t="s">
        <v>812</v>
      </c>
      <c r="W22" s="1253"/>
      <c r="X22" s="1253"/>
      <c r="Y22" s="1253"/>
      <c r="Z22" s="1253"/>
      <c r="AA22" s="1253"/>
      <c r="AB22" s="1253"/>
      <c r="AC22" s="1253"/>
      <c r="AD22" s="1253"/>
      <c r="AE22" s="1253"/>
      <c r="AF22" s="1253"/>
      <c r="AG22" s="1253"/>
      <c r="AH22" s="1253"/>
      <c r="AI22" s="1253"/>
      <c r="AJ22" s="1253"/>
      <c r="AK22" s="1253"/>
    </row>
    <row r="23" spans="2:37" ht="14.85" customHeight="1">
      <c r="G23" s="1183"/>
      <c r="H23" s="1183"/>
      <c r="I23" s="1183"/>
      <c r="J23" s="1183"/>
      <c r="K23" s="1183"/>
      <c r="L23" s="1184"/>
      <c r="M23" s="1185"/>
      <c r="N23" s="1186"/>
      <c r="O23" s="1186"/>
      <c r="V23" s="1253"/>
      <c r="W23" s="1253"/>
      <c r="X23" s="1253"/>
      <c r="Y23" s="1253"/>
      <c r="Z23" s="1253"/>
      <c r="AA23" s="1253"/>
      <c r="AB23" s="1253"/>
      <c r="AC23" s="1253"/>
      <c r="AD23" s="1253"/>
      <c r="AE23" s="1253"/>
      <c r="AF23" s="1253"/>
      <c r="AG23" s="1253"/>
      <c r="AH23" s="1253"/>
      <c r="AI23" s="1253"/>
      <c r="AJ23" s="1253"/>
      <c r="AK23" s="1253"/>
    </row>
    <row r="24" spans="2:37" ht="14.85" customHeight="1">
      <c r="G24" s="1183"/>
      <c r="H24" s="1183"/>
      <c r="I24" s="1183"/>
      <c r="J24" s="1183"/>
      <c r="K24" s="1183"/>
      <c r="L24" s="1184"/>
      <c r="M24" s="1185"/>
      <c r="N24" s="1186"/>
      <c r="O24" s="1186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</row>
    <row r="26" spans="2:37" outlineLevel="1"/>
    <row r="27" spans="2:37" outlineLevel="1"/>
    <row r="28" spans="2:37" outlineLevel="1"/>
    <row r="29" spans="2:37" outlineLevel="1"/>
    <row r="30" spans="2:37" outlineLevel="1"/>
    <row r="31" spans="2:37" outlineLevel="1"/>
    <row r="32" spans="2:37" outlineLevel="1"/>
    <row r="33" spans="7:7" outlineLevel="1"/>
    <row r="34" spans="7:7" outlineLevel="1"/>
    <row r="35" spans="7:7" outlineLevel="1"/>
    <row r="36" spans="7:7" outlineLevel="1"/>
    <row r="37" spans="7:7" outlineLevel="1"/>
    <row r="38" spans="7:7" outlineLevel="1"/>
    <row r="39" spans="7:7" outlineLevel="1"/>
    <row r="40" spans="7:7" outlineLevel="1"/>
    <row r="41" spans="7:7" ht="15.75" outlineLevel="1">
      <c r="G41" s="794" t="s">
        <v>11032</v>
      </c>
    </row>
    <row r="42" spans="7:7" ht="15.75" outlineLevel="1">
      <c r="G42" s="795"/>
    </row>
    <row r="43" spans="7:7" ht="15.75" outlineLevel="1">
      <c r="G43" s="794" t="s">
        <v>11033</v>
      </c>
    </row>
    <row r="44" spans="7:7" outlineLevel="1"/>
    <row r="45" spans="7:7" ht="15.75" outlineLevel="1">
      <c r="G45" s="794" t="str">
        <f>"Originador: "&amp;Inputs!F13</f>
        <v>Originador: Orgânico</v>
      </c>
    </row>
    <row r="46" spans="7:7" outlineLevel="1"/>
    <row r="47" spans="7:7" outlineLevel="1"/>
    <row r="48" spans="7:7" outlineLevel="1"/>
    <row r="49" spans="5:25" outlineLevel="1"/>
    <row r="50" spans="5:25" outlineLevel="1"/>
    <row r="51" spans="5:25" outlineLevel="1"/>
    <row r="52" spans="5:25" outlineLevel="1"/>
    <row r="53" spans="5:25" outlineLevel="1"/>
    <row r="54" spans="5:25" outlineLevel="1"/>
    <row r="55" spans="5:25" outlineLevel="1"/>
    <row r="56" spans="5:25" outlineLevel="1">
      <c r="Y56" s="793"/>
    </row>
    <row r="57" spans="5:25" ht="16.5" thickBot="1">
      <c r="E57" s="773"/>
      <c r="F57" s="1200" t="s">
        <v>767</v>
      </c>
      <c r="G57" s="1200"/>
      <c r="H57" s="1200"/>
      <c r="I57" s="1200"/>
      <c r="J57" s="1200"/>
      <c r="K57" s="1200"/>
      <c r="L57" s="1200"/>
      <c r="M57" s="1200"/>
      <c r="N57" s="1200"/>
      <c r="O57" s="1200"/>
      <c r="P57" s="1200"/>
      <c r="R57" s="22"/>
    </row>
    <row r="58" spans="5:25" ht="15.75">
      <c r="E58" s="773"/>
      <c r="G58" s="1151"/>
      <c r="H58" s="1151"/>
      <c r="I58" s="1151"/>
      <c r="J58" s="1151"/>
      <c r="K58" s="1151"/>
      <c r="L58" s="1151"/>
      <c r="M58" s="1151"/>
      <c r="N58" s="1151"/>
      <c r="O58" s="1151"/>
      <c r="P58" s="1151"/>
      <c r="Q58" s="777"/>
      <c r="R58" s="792"/>
    </row>
    <row r="59" spans="5:25" ht="15.75">
      <c r="E59" s="773"/>
      <c r="F59" s="1179" t="s">
        <v>766</v>
      </c>
      <c r="G59" s="1179"/>
      <c r="H59" s="1179"/>
      <c r="I59" s="1179"/>
      <c r="J59" s="1179"/>
      <c r="K59" s="1179"/>
      <c r="L59" s="1179"/>
      <c r="M59" s="1179"/>
      <c r="N59" s="1179"/>
      <c r="O59" s="1179"/>
      <c r="P59" s="1179"/>
      <c r="Q59" s="777"/>
      <c r="R59" s="792"/>
    </row>
    <row r="61" spans="5:25" ht="14.85" customHeight="1">
      <c r="F61" s="1180" t="s">
        <v>11031</v>
      </c>
      <c r="G61" s="1180"/>
      <c r="H61" s="1180"/>
      <c r="I61" s="1180"/>
      <c r="J61" s="1180"/>
      <c r="K61" s="1180"/>
      <c r="L61" s="1180"/>
      <c r="M61" s="1180"/>
      <c r="N61" s="1180"/>
      <c r="O61" s="1180"/>
      <c r="P61" s="1180"/>
    </row>
    <row r="62" spans="5:25" ht="14.85" customHeight="1">
      <c r="F62" s="1180"/>
      <c r="G62" s="1180"/>
      <c r="H62" s="1180"/>
      <c r="I62" s="1180"/>
      <c r="J62" s="1180"/>
      <c r="K62" s="1180"/>
      <c r="L62" s="1180"/>
      <c r="M62" s="1180"/>
      <c r="N62" s="1180"/>
      <c r="O62" s="1180"/>
      <c r="P62" s="1180"/>
    </row>
    <row r="63" spans="5:25" ht="14.85" customHeight="1">
      <c r="F63" s="1180"/>
      <c r="G63" s="1180"/>
      <c r="H63" s="1180"/>
      <c r="I63" s="1180"/>
      <c r="J63" s="1180"/>
      <c r="K63" s="1180"/>
      <c r="L63" s="1180"/>
      <c r="M63" s="1180"/>
      <c r="N63" s="1180"/>
      <c r="O63" s="1180"/>
      <c r="P63" s="1180"/>
    </row>
    <row r="64" spans="5:25" ht="14.85" customHeight="1">
      <c r="F64" s="1180"/>
      <c r="G64" s="1180"/>
      <c r="H64" s="1180"/>
      <c r="I64" s="1180"/>
      <c r="J64" s="1180"/>
      <c r="K64" s="1180"/>
      <c r="L64" s="1180"/>
      <c r="M64" s="1180"/>
      <c r="N64" s="1180"/>
      <c r="O64" s="1180"/>
      <c r="P64" s="1180"/>
    </row>
    <row r="65" spans="4:16" ht="14.85" customHeight="1">
      <c r="F65" s="1180"/>
      <c r="G65" s="1180"/>
      <c r="H65" s="1180"/>
      <c r="I65" s="1180"/>
      <c r="J65" s="1180"/>
      <c r="K65" s="1180"/>
      <c r="L65" s="1180"/>
      <c r="M65" s="1180"/>
      <c r="N65" s="1180"/>
      <c r="O65" s="1180"/>
      <c r="P65" s="1180"/>
    </row>
    <row r="66" spans="4:16" ht="14.85" customHeight="1">
      <c r="D66" s="158"/>
      <c r="F66" s="1180"/>
      <c r="G66" s="1180"/>
      <c r="H66" s="1180"/>
      <c r="I66" s="1180"/>
      <c r="J66" s="1180"/>
      <c r="K66" s="1180"/>
      <c r="L66" s="1180"/>
      <c r="M66" s="1180"/>
      <c r="N66" s="1180"/>
      <c r="O66" s="1180"/>
      <c r="P66" s="1180"/>
    </row>
    <row r="67" spans="4:16" ht="14.85" customHeight="1">
      <c r="D67" s="158"/>
      <c r="F67" s="1180"/>
      <c r="G67" s="1180"/>
      <c r="H67" s="1180"/>
      <c r="I67" s="1180"/>
      <c r="J67" s="1180"/>
      <c r="K67" s="1180"/>
      <c r="L67" s="1180"/>
      <c r="M67" s="1180"/>
      <c r="N67" s="1180"/>
      <c r="O67" s="1180"/>
      <c r="P67" s="1180"/>
    </row>
    <row r="68" spans="4:16" ht="14.85" customHeight="1">
      <c r="D68" s="158"/>
      <c r="F68" s="1180"/>
      <c r="G68" s="1180"/>
      <c r="H68" s="1180"/>
      <c r="I68" s="1180"/>
      <c r="J68" s="1180"/>
      <c r="K68" s="1180"/>
      <c r="L68" s="1180"/>
      <c r="M68" s="1180"/>
      <c r="N68" s="1180"/>
      <c r="O68" s="1180"/>
      <c r="P68" s="1180"/>
    </row>
    <row r="69" spans="4:16">
      <c r="D69" s="158"/>
    </row>
    <row r="70" spans="4:16" ht="15.75" outlineLevel="1">
      <c r="D70" s="158"/>
      <c r="F70" s="1150" t="s">
        <v>765</v>
      </c>
      <c r="G70" s="1150"/>
      <c r="H70" s="1148" t="str">
        <f>Inputs!D44</f>
        <v>Sala Comercial</v>
      </c>
      <c r="I70" s="1148"/>
      <c r="J70" s="1148"/>
      <c r="L70" s="1150" t="s">
        <v>604</v>
      </c>
      <c r="M70" s="1150"/>
      <c r="N70" s="1178" t="str">
        <f>Inputs!D47</f>
        <v>SP</v>
      </c>
      <c r="O70" s="1178"/>
      <c r="P70" s="787">
        <f>Rating!K15</f>
        <v>20</v>
      </c>
    </row>
    <row r="71" spans="4:16" ht="14.85" customHeight="1" outlineLevel="1">
      <c r="D71" s="158"/>
      <c r="F71" s="1150" t="s">
        <v>764</v>
      </c>
      <c r="G71" s="1150"/>
      <c r="H71" s="1233" t="str">
        <f>Inputs!D48</f>
        <v>R VOLUNTARIOS DA PATRIA, 654</v>
      </c>
      <c r="I71" s="1233"/>
      <c r="J71" s="1233"/>
      <c r="L71" s="1150" t="s">
        <v>232</v>
      </c>
      <c r="M71" s="1150"/>
      <c r="N71" s="1178" t="str">
        <f>Inputs!D49</f>
        <v>Santana</v>
      </c>
      <c r="O71" s="1178"/>
      <c r="P71" s="787">
        <f>Rating!K16</f>
        <v>5</v>
      </c>
    </row>
    <row r="72" spans="4:16" ht="15.75" outlineLevel="1">
      <c r="G72" s="790"/>
      <c r="H72" s="789"/>
      <c r="I72" s="788"/>
      <c r="J72" s="788"/>
      <c r="L72" s="1150" t="s">
        <v>231</v>
      </c>
      <c r="M72" s="1150"/>
      <c r="N72" s="1178" t="str">
        <f>Inputs!D46</f>
        <v>São Paulo</v>
      </c>
      <c r="O72" s="1178"/>
      <c r="P72" s="787">
        <f>Rating!K17</f>
        <v>10</v>
      </c>
    </row>
    <row r="73" spans="4:16" ht="15.75" outlineLevel="1">
      <c r="F73" s="1150" t="s">
        <v>11002</v>
      </c>
      <c r="G73" s="1150"/>
      <c r="H73" s="1237">
        <f>Inputs!H48</f>
        <v>414000</v>
      </c>
      <c r="I73" s="1237"/>
      <c r="J73" s="1237"/>
      <c r="L73" s="1177" t="s">
        <v>600</v>
      </c>
      <c r="M73" s="1177"/>
      <c r="N73" s="1178" t="str">
        <f>Inputs!H50</f>
        <v>Bom</v>
      </c>
      <c r="O73" s="1178"/>
      <c r="P73" s="1149">
        <f>Rating!K18</f>
        <v>5</v>
      </c>
    </row>
    <row r="74" spans="4:16" ht="14.85" customHeight="1" outlineLevel="1">
      <c r="F74" s="1150" t="s">
        <v>763</v>
      </c>
      <c r="G74" s="1150"/>
      <c r="H74" s="1238">
        <f>Inputs!H47</f>
        <v>376000</v>
      </c>
      <c r="I74" s="1238"/>
      <c r="J74" s="1238"/>
      <c r="L74" s="1177"/>
      <c r="M74" s="1177"/>
      <c r="N74" s="1178"/>
      <c r="O74" s="1178"/>
      <c r="P74" s="1149">
        <f>Rating!K19</f>
        <v>10</v>
      </c>
    </row>
    <row r="75" spans="4:16" ht="15.75" outlineLevel="1">
      <c r="F75" s="1150" t="s">
        <v>762</v>
      </c>
      <c r="G75" s="1150"/>
      <c r="H75" s="1182">
        <f>Colateral!P69</f>
        <v>0</v>
      </c>
      <c r="I75" s="1182"/>
      <c r="J75" s="1182"/>
      <c r="L75" s="1150" t="s">
        <v>598</v>
      </c>
      <c r="M75" s="1150"/>
      <c r="N75" s="1178" t="str">
        <f>Inputs!D44</f>
        <v>Sala Comercial</v>
      </c>
      <c r="O75" s="1178"/>
      <c r="P75" s="787">
        <f>Rating!K19</f>
        <v>10</v>
      </c>
    </row>
    <row r="76" spans="4:16" ht="16.350000000000001" customHeight="1" outlineLevel="1">
      <c r="F76" s="1150" t="s">
        <v>771</v>
      </c>
      <c r="G76" s="1150"/>
      <c r="H76" s="1182" t="str">
        <f>IF(Inputs!G57="","",Inputs!G57)</f>
        <v>AGOSTINHO FRANCISCO DE SOUZA</v>
      </c>
      <c r="I76" s="1182"/>
      <c r="J76" s="1182"/>
      <c r="L76" s="1150" t="s">
        <v>594</v>
      </c>
      <c r="M76" s="1150"/>
      <c r="N76" s="1181">
        <f ca="1">Inputs!W13</f>
        <v>0.49264601449921586</v>
      </c>
      <c r="O76" s="1181"/>
      <c r="P76" s="787">
        <f ca="1">Rating!K20</f>
        <v>-2.5473414461585029</v>
      </c>
    </row>
    <row r="77" spans="4:16" ht="15.75" outlineLevel="1">
      <c r="F77" s="791"/>
      <c r="G77" s="791"/>
      <c r="H77" s="1148" t="str">
        <f>IF(Inputs!G58="","",Inputs!G58)</f>
        <v>MARIETE DIEGUES DE SOUZA</v>
      </c>
      <c r="I77" s="1148"/>
      <c r="J77" s="1148"/>
      <c r="L77" s="1150" t="s">
        <v>553</v>
      </c>
      <c r="M77" s="1150"/>
      <c r="N77" s="1178">
        <f>Colateral!K39</f>
        <v>46.73</v>
      </c>
      <c r="O77" s="1178"/>
      <c r="P77" s="787">
        <f>Rating!K21</f>
        <v>12.857142857142858</v>
      </c>
    </row>
    <row r="78" spans="4:16" ht="15.75" outlineLevel="1">
      <c r="F78" s="791"/>
      <c r="G78" s="791"/>
      <c r="H78" s="1148" t="str">
        <f>IF(Inputs!G59="","",Inputs!G59)</f>
        <v/>
      </c>
      <c r="I78" s="1148"/>
      <c r="J78" s="1148"/>
      <c r="L78" s="801"/>
      <c r="M78" s="801"/>
      <c r="N78" s="802"/>
      <c r="O78" s="802"/>
      <c r="P78" s="786"/>
    </row>
    <row r="79" spans="4:16" ht="15.75" outlineLevel="1">
      <c r="F79" s="806"/>
      <c r="G79" s="806"/>
      <c r="H79" s="807"/>
      <c r="I79" s="807"/>
      <c r="J79" s="807"/>
      <c r="L79" s="1150" t="s">
        <v>253</v>
      </c>
      <c r="M79" s="1150"/>
      <c r="N79" s="1254">
        <f>Inputs!E46</f>
        <v>12252023</v>
      </c>
      <c r="O79" s="1254"/>
      <c r="P79" s="786"/>
    </row>
    <row r="80" spans="4:16" ht="15.75" outlineLevel="1">
      <c r="F80" s="806"/>
      <c r="G80" s="806"/>
      <c r="H80" s="807"/>
      <c r="I80" s="807"/>
      <c r="J80" s="807"/>
      <c r="L80" s="801"/>
      <c r="M80" s="801"/>
      <c r="N80" s="802"/>
      <c r="O80" s="802"/>
      <c r="P80" s="786"/>
    </row>
    <row r="81" spans="6:16" ht="15.75">
      <c r="F81" s="806"/>
      <c r="G81" s="806"/>
      <c r="H81" s="807"/>
      <c r="I81" s="807"/>
      <c r="J81" s="807"/>
      <c r="L81" s="801"/>
      <c r="M81" s="801"/>
      <c r="N81" s="802"/>
      <c r="O81" s="802"/>
      <c r="P81" s="786"/>
    </row>
    <row r="82" spans="6:16" ht="15.75">
      <c r="F82" s="1179" t="s">
        <v>773</v>
      </c>
      <c r="G82" s="1179"/>
      <c r="H82" s="1179"/>
      <c r="I82" s="1179"/>
      <c r="J82" s="1179"/>
      <c r="K82" s="1179"/>
      <c r="L82" s="1179"/>
      <c r="M82" s="1179"/>
      <c r="N82" s="1179"/>
      <c r="O82" s="1179"/>
      <c r="P82" s="1179"/>
    </row>
    <row r="83" spans="6:16" ht="15.75">
      <c r="F83" s="806"/>
      <c r="G83" s="806"/>
      <c r="H83" s="807"/>
      <c r="I83" s="807"/>
      <c r="J83" s="807"/>
      <c r="L83" s="801"/>
      <c r="M83" s="801"/>
      <c r="N83" s="802"/>
      <c r="O83" s="802"/>
      <c r="P83" s="786"/>
    </row>
    <row r="84" spans="6:16" ht="15.75">
      <c r="L84" s="801"/>
      <c r="M84" s="801"/>
      <c r="N84" s="802"/>
      <c r="O84" s="802"/>
      <c r="P84" s="786"/>
    </row>
    <row r="85" spans="6:16">
      <c r="F85" s="22" t="s">
        <v>774</v>
      </c>
      <c r="G85" s="22"/>
      <c r="H85" s="22"/>
      <c r="I85" s="22"/>
      <c r="J85" s="22"/>
      <c r="L85" s="22" t="s">
        <v>775</v>
      </c>
      <c r="M85" s="22"/>
      <c r="N85" s="22"/>
      <c r="O85" s="22"/>
      <c r="P85" s="22"/>
    </row>
    <row r="86" spans="6:16">
      <c r="F86" s="808"/>
      <c r="G86" s="808"/>
      <c r="H86" s="800"/>
      <c r="I86" s="800"/>
      <c r="J86" s="800"/>
      <c r="L86" s="808"/>
      <c r="M86" s="808"/>
      <c r="N86" s="800"/>
      <c r="O86" s="800"/>
      <c r="P86" s="800"/>
    </row>
    <row r="87" spans="6:16">
      <c r="F87" s="808"/>
      <c r="G87" s="808"/>
      <c r="H87" s="800"/>
      <c r="I87" s="800"/>
      <c r="J87" s="800"/>
      <c r="L87" s="808"/>
      <c r="M87" s="808"/>
      <c r="N87" s="800"/>
      <c r="O87" s="800"/>
      <c r="P87" s="800"/>
    </row>
    <row r="88" spans="6:16">
      <c r="F88" s="808"/>
      <c r="G88" s="808"/>
      <c r="H88" s="800"/>
      <c r="I88" s="800"/>
      <c r="J88" s="800"/>
      <c r="L88" s="808"/>
      <c r="M88" s="808"/>
      <c r="N88" s="800"/>
      <c r="O88" s="800"/>
      <c r="P88" s="800"/>
    </row>
    <row r="89" spans="6:16">
      <c r="F89" s="808"/>
      <c r="G89" s="808"/>
      <c r="H89" s="800"/>
      <c r="I89" s="800"/>
      <c r="J89" s="800"/>
      <c r="L89" s="808"/>
      <c r="M89" s="808"/>
      <c r="N89" s="800"/>
      <c r="O89" s="800"/>
      <c r="P89" s="800"/>
    </row>
    <row r="90" spans="6:16">
      <c r="F90" s="808"/>
      <c r="G90" s="808"/>
      <c r="H90" s="800"/>
      <c r="I90" s="800"/>
      <c r="J90" s="800"/>
      <c r="L90" s="808"/>
      <c r="M90" s="808"/>
      <c r="N90" s="800"/>
      <c r="O90" s="800"/>
      <c r="P90" s="800"/>
    </row>
    <row r="91" spans="6:16">
      <c r="F91" s="808"/>
      <c r="G91" s="808"/>
      <c r="H91" s="800"/>
      <c r="I91" s="800"/>
      <c r="J91" s="800"/>
      <c r="L91" s="808"/>
      <c r="M91" s="808"/>
      <c r="N91" s="800"/>
      <c r="O91" s="800"/>
      <c r="P91" s="800"/>
    </row>
    <row r="92" spans="6:16">
      <c r="F92" s="808"/>
      <c r="G92" s="808"/>
      <c r="H92" s="800"/>
      <c r="I92" s="800"/>
      <c r="J92" s="800"/>
      <c r="L92" s="808"/>
      <c r="M92" s="808"/>
      <c r="N92" s="800"/>
      <c r="O92" s="800"/>
      <c r="P92" s="800"/>
    </row>
    <row r="93" spans="6:16">
      <c r="F93" s="808"/>
      <c r="G93" s="808"/>
      <c r="H93" s="800"/>
      <c r="I93" s="800"/>
      <c r="J93" s="800"/>
      <c r="L93" s="808"/>
      <c r="M93" s="808"/>
      <c r="N93" s="800"/>
      <c r="O93" s="800"/>
      <c r="P93" s="800"/>
    </row>
    <row r="94" spans="6:16">
      <c r="F94" s="808"/>
      <c r="G94" s="808"/>
      <c r="H94" s="800"/>
      <c r="I94" s="800"/>
      <c r="J94" s="800"/>
      <c r="L94" s="808"/>
      <c r="M94" s="808"/>
      <c r="N94" s="800"/>
      <c r="O94" s="800"/>
      <c r="P94" s="800"/>
    </row>
    <row r="95" spans="6:16">
      <c r="F95" s="808"/>
      <c r="G95" s="808"/>
      <c r="H95" s="800"/>
      <c r="I95" s="800"/>
      <c r="J95" s="800"/>
      <c r="L95" s="808"/>
      <c r="M95" s="808"/>
      <c r="N95" s="800"/>
      <c r="O95" s="800"/>
      <c r="P95" s="800"/>
    </row>
    <row r="96" spans="6:16">
      <c r="F96" s="808"/>
      <c r="G96" s="808"/>
      <c r="H96" s="800"/>
      <c r="I96" s="800"/>
      <c r="J96" s="800"/>
      <c r="L96" s="808"/>
      <c r="M96" s="808"/>
      <c r="N96" s="800"/>
      <c r="O96" s="800"/>
      <c r="P96" s="800"/>
    </row>
    <row r="97" spans="6:16">
      <c r="F97" s="808"/>
      <c r="G97" s="808"/>
      <c r="H97" s="800"/>
      <c r="I97" s="800"/>
      <c r="J97" s="800"/>
      <c r="L97" s="808"/>
      <c r="M97" s="808"/>
      <c r="N97" s="800"/>
      <c r="O97" s="800"/>
      <c r="P97" s="800"/>
    </row>
    <row r="98" spans="6:16">
      <c r="F98" s="808"/>
      <c r="G98" s="808"/>
      <c r="H98" s="800"/>
      <c r="I98" s="800"/>
      <c r="J98" s="800"/>
      <c r="L98" s="808"/>
      <c r="M98" s="808"/>
      <c r="N98" s="800"/>
      <c r="O98" s="800"/>
      <c r="P98" s="800"/>
    </row>
    <row r="99" spans="6:16">
      <c r="F99" s="808"/>
      <c r="G99" s="808"/>
      <c r="H99" s="800"/>
      <c r="I99" s="800"/>
      <c r="J99" s="800"/>
      <c r="L99" s="808"/>
      <c r="M99" s="808"/>
      <c r="N99" s="800"/>
      <c r="O99" s="800"/>
      <c r="P99" s="800"/>
    </row>
    <row r="100" spans="6:16">
      <c r="F100" s="808"/>
      <c r="G100" s="808"/>
      <c r="H100" s="800"/>
      <c r="I100" s="800"/>
      <c r="J100" s="800"/>
      <c r="L100" s="808"/>
      <c r="M100" s="808"/>
      <c r="N100" s="800"/>
      <c r="O100" s="800"/>
      <c r="P100" s="800"/>
    </row>
    <row r="101" spans="6:16">
      <c r="F101" s="808"/>
      <c r="G101" s="808"/>
      <c r="H101" s="800"/>
      <c r="I101" s="800"/>
      <c r="J101" s="800"/>
      <c r="L101" s="808"/>
      <c r="M101" s="808"/>
      <c r="N101" s="800"/>
      <c r="O101" s="800"/>
      <c r="P101" s="800"/>
    </row>
    <row r="102" spans="6:16" ht="15.75">
      <c r="F102" s="806"/>
      <c r="G102" s="806"/>
      <c r="H102" s="807"/>
      <c r="I102" s="807"/>
      <c r="J102" s="807"/>
      <c r="L102" s="801"/>
      <c r="M102" s="801"/>
      <c r="N102" s="802"/>
      <c r="O102" s="802"/>
      <c r="P102" s="786"/>
    </row>
    <row r="103" spans="6:16" ht="15.75" outlineLevel="1">
      <c r="F103" s="806"/>
      <c r="G103" s="806"/>
      <c r="H103" s="807"/>
      <c r="I103" s="807"/>
      <c r="J103" s="807"/>
      <c r="L103" s="801"/>
      <c r="M103" s="801"/>
      <c r="N103" s="802"/>
      <c r="O103" s="802"/>
      <c r="P103" s="786"/>
    </row>
    <row r="104" spans="6:16" ht="15.75" outlineLevel="1">
      <c r="F104" s="806"/>
      <c r="G104" s="806"/>
      <c r="H104" s="807"/>
      <c r="I104" s="807"/>
      <c r="J104" s="807"/>
      <c r="L104" s="801"/>
      <c r="M104" s="801"/>
      <c r="N104" s="802"/>
      <c r="O104" s="802"/>
      <c r="P104" s="786"/>
    </row>
    <row r="105" spans="6:16" ht="15.75" outlineLevel="1">
      <c r="F105" s="806"/>
      <c r="G105" s="806"/>
      <c r="H105" s="807"/>
      <c r="I105" s="807"/>
      <c r="J105" s="807"/>
      <c r="L105" s="801"/>
      <c r="M105" s="801"/>
      <c r="N105" s="802"/>
      <c r="O105" s="802"/>
      <c r="P105" s="786"/>
    </row>
    <row r="106" spans="6:16" ht="15.75" outlineLevel="1">
      <c r="F106" s="806"/>
      <c r="G106" s="806"/>
      <c r="H106" s="807"/>
      <c r="I106" s="807"/>
      <c r="J106" s="807"/>
      <c r="L106" s="801"/>
      <c r="M106" s="801"/>
      <c r="N106" s="802"/>
      <c r="O106" s="802"/>
      <c r="P106" s="786"/>
    </row>
    <row r="107" spans="6:16" ht="15.75" outlineLevel="1">
      <c r="F107" s="806" t="s">
        <v>791</v>
      </c>
      <c r="G107" s="806" t="str">
        <f>IF(Inputs!E8="","",Inputs!E8)</f>
        <v>https://app.pipefy.com/open-cards/528701355</v>
      </c>
      <c r="H107" s="807"/>
      <c r="I107" s="807"/>
      <c r="J107" s="807"/>
      <c r="L107" s="801"/>
      <c r="M107" s="801"/>
      <c r="N107" s="802"/>
      <c r="O107" s="802"/>
      <c r="P107" s="786"/>
    </row>
    <row r="108" spans="6:16" ht="15.75" outlineLevel="1">
      <c r="F108" s="806"/>
      <c r="G108" s="806"/>
      <c r="H108" s="807"/>
      <c r="I108" s="807"/>
      <c r="J108" s="807"/>
      <c r="L108" s="801"/>
      <c r="M108" s="801"/>
      <c r="N108" s="802"/>
      <c r="O108" s="802"/>
      <c r="P108" s="786"/>
    </row>
    <row r="109" spans="6:16" ht="15.75" outlineLevel="1">
      <c r="F109" s="806"/>
      <c r="G109" s="806"/>
      <c r="H109" s="807"/>
      <c r="I109" s="807"/>
      <c r="J109" s="807"/>
      <c r="L109" s="801"/>
      <c r="M109" s="801"/>
      <c r="N109" s="802"/>
      <c r="O109" s="802"/>
      <c r="P109" s="786"/>
    </row>
    <row r="110" spans="6:16" ht="15.75" outlineLevel="1">
      <c r="F110" s="806"/>
      <c r="G110" s="806"/>
      <c r="H110" s="807"/>
      <c r="I110" s="807"/>
      <c r="J110" s="807"/>
      <c r="L110" s="801"/>
      <c r="M110" s="801"/>
      <c r="N110" s="802"/>
      <c r="O110" s="802"/>
      <c r="P110" s="786"/>
    </row>
    <row r="111" spans="6:16" ht="15.75" outlineLevel="1">
      <c r="F111" s="806"/>
      <c r="G111" s="806"/>
      <c r="H111" s="807"/>
      <c r="I111" s="807"/>
      <c r="J111" s="807"/>
      <c r="L111" s="801"/>
      <c r="M111" s="801"/>
      <c r="N111" s="802"/>
      <c r="O111" s="802"/>
      <c r="P111" s="786"/>
    </row>
    <row r="112" spans="6:16" ht="15.75" outlineLevel="1">
      <c r="F112" s="809" t="s">
        <v>776</v>
      </c>
      <c r="G112" s="809"/>
      <c r="H112" s="810"/>
      <c r="I112" s="810"/>
      <c r="J112" s="810"/>
      <c r="K112" s="22"/>
      <c r="L112" s="811"/>
      <c r="M112" s="811"/>
      <c r="N112" s="812"/>
      <c r="O112" s="812"/>
      <c r="P112" s="813"/>
    </row>
    <row r="113" spans="6:16" ht="15.6" customHeight="1" outlineLevel="1">
      <c r="F113" s="1163"/>
      <c r="G113" s="1163"/>
      <c r="H113" s="1163"/>
      <c r="I113" s="1163"/>
      <c r="J113" s="1163"/>
      <c r="K113" s="1163"/>
      <c r="L113" s="1163"/>
      <c r="M113" s="1163"/>
      <c r="N113" s="1163"/>
      <c r="O113" s="1163"/>
      <c r="P113" s="1163"/>
    </row>
    <row r="114" spans="6:16" ht="15.6" customHeight="1" outlineLevel="1">
      <c r="F114" s="1163"/>
      <c r="G114" s="1163"/>
      <c r="H114" s="1163"/>
      <c r="I114" s="1163"/>
      <c r="J114" s="1163"/>
      <c r="K114" s="1163"/>
      <c r="L114" s="1163"/>
      <c r="M114" s="1163"/>
      <c r="N114" s="1163"/>
      <c r="O114" s="1163"/>
      <c r="P114" s="1163"/>
    </row>
    <row r="115" spans="6:16" ht="15.6" customHeight="1" outlineLevel="1">
      <c r="F115" s="1163"/>
      <c r="G115" s="1163"/>
      <c r="H115" s="1163"/>
      <c r="I115" s="1163"/>
      <c r="J115" s="1163"/>
      <c r="K115" s="1163"/>
      <c r="L115" s="1163"/>
      <c r="M115" s="1163"/>
      <c r="N115" s="1163"/>
      <c r="O115" s="1163"/>
      <c r="P115" s="1163"/>
    </row>
    <row r="116" spans="6:16" ht="15.6" customHeight="1" outlineLevel="1">
      <c r="F116" s="1163"/>
      <c r="G116" s="1163"/>
      <c r="H116" s="1163"/>
      <c r="I116" s="1163"/>
      <c r="J116" s="1163"/>
      <c r="K116" s="1163"/>
      <c r="L116" s="1163"/>
      <c r="M116" s="1163"/>
      <c r="N116" s="1163"/>
      <c r="O116" s="1163"/>
      <c r="P116" s="1163"/>
    </row>
    <row r="117" spans="6:16" ht="15.75" outlineLevel="1">
      <c r="F117" s="806"/>
      <c r="G117" s="806"/>
      <c r="H117" s="807"/>
      <c r="I117" s="807"/>
      <c r="J117" s="807"/>
      <c r="L117" s="801"/>
      <c r="M117" s="801"/>
      <c r="N117" s="802"/>
      <c r="O117" s="802"/>
      <c r="P117" s="786"/>
    </row>
    <row r="118" spans="6:16" ht="15.75" outlineLevel="1">
      <c r="F118" s="835" t="s">
        <v>790</v>
      </c>
      <c r="G118" s="806"/>
      <c r="H118" s="807"/>
      <c r="I118" s="807"/>
      <c r="J118" s="807"/>
      <c r="L118" s="801"/>
      <c r="M118" s="801"/>
      <c r="N118" s="802"/>
      <c r="O118" s="802"/>
      <c r="P118" s="786"/>
    </row>
    <row r="119" spans="6:16" ht="15.75" outlineLevel="1">
      <c r="F119" s="806"/>
      <c r="G119" s="806"/>
      <c r="H119" s="807"/>
      <c r="I119" s="807"/>
      <c r="J119" s="807"/>
      <c r="L119" s="801"/>
      <c r="M119" s="801"/>
      <c r="N119" s="802"/>
      <c r="O119" s="802"/>
      <c r="P119" s="786"/>
    </row>
    <row r="120" spans="6:16" ht="15.75" outlineLevel="1">
      <c r="F120" s="806"/>
      <c r="G120" s="806"/>
      <c r="H120" s="807"/>
      <c r="I120" s="807"/>
      <c r="J120" s="807"/>
      <c r="L120" s="801"/>
      <c r="M120" s="801"/>
      <c r="N120" s="802"/>
      <c r="O120" s="802"/>
      <c r="P120" s="786"/>
    </row>
    <row r="121" spans="6:16" ht="15.75" outlineLevel="1">
      <c r="F121" s="806"/>
      <c r="G121" s="806"/>
      <c r="H121" s="807"/>
      <c r="I121" s="807"/>
      <c r="J121" s="807"/>
      <c r="L121" s="801"/>
      <c r="M121" s="801"/>
      <c r="N121" s="802"/>
      <c r="O121" s="802"/>
      <c r="P121" s="786"/>
    </row>
    <row r="122" spans="6:16" ht="15.75" outlineLevel="1">
      <c r="F122" s="806"/>
      <c r="G122" s="806"/>
      <c r="H122" s="807"/>
      <c r="I122" s="807"/>
      <c r="J122" s="807"/>
      <c r="L122" s="801"/>
      <c r="M122" s="801"/>
      <c r="N122" s="802"/>
      <c r="O122" s="802"/>
      <c r="P122" s="786"/>
    </row>
    <row r="123" spans="6:16" outlineLevel="1">
      <c r="L123" s="803"/>
      <c r="M123" s="803"/>
      <c r="N123" s="803"/>
      <c r="O123" s="803"/>
      <c r="P123" s="803"/>
    </row>
    <row r="124" spans="6:16" ht="14.85" customHeight="1" outlineLevel="1"/>
    <row r="125" spans="6:16" ht="16.5" thickBot="1">
      <c r="F125" s="1200" t="s">
        <v>761</v>
      </c>
      <c r="G125" s="1200"/>
      <c r="H125" s="1200"/>
      <c r="I125" s="1200"/>
      <c r="J125" s="1200"/>
      <c r="K125" s="1200"/>
      <c r="L125" s="1200"/>
      <c r="M125" s="1200"/>
      <c r="N125" s="1200"/>
      <c r="O125" s="1200"/>
      <c r="P125" s="1200"/>
    </row>
    <row r="126" spans="6:16" ht="15.6" customHeight="1">
      <c r="F126" s="1180" t="s">
        <v>11028</v>
      </c>
      <c r="G126" s="1180"/>
      <c r="H126" s="1180"/>
      <c r="I126" s="1180"/>
      <c r="J126" s="1180"/>
      <c r="K126" s="1180"/>
      <c r="L126" s="1180"/>
      <c r="M126" s="1180"/>
      <c r="N126" s="1180"/>
      <c r="O126" s="1180"/>
      <c r="P126" s="1180"/>
    </row>
    <row r="127" spans="6:16" ht="14.85" customHeight="1">
      <c r="F127" s="1180"/>
      <c r="G127" s="1180"/>
      <c r="H127" s="1180"/>
      <c r="I127" s="1180"/>
      <c r="J127" s="1180"/>
      <c r="K127" s="1180"/>
      <c r="L127" s="1180"/>
      <c r="M127" s="1180"/>
      <c r="N127" s="1180"/>
      <c r="O127" s="1180"/>
      <c r="P127" s="1180"/>
    </row>
    <row r="128" spans="6:16" ht="14.85" customHeight="1">
      <c r="F128" s="1180"/>
      <c r="G128" s="1180"/>
      <c r="H128" s="1180"/>
      <c r="I128" s="1180"/>
      <c r="J128" s="1180"/>
      <c r="K128" s="1180"/>
      <c r="L128" s="1180"/>
      <c r="M128" s="1180"/>
      <c r="N128" s="1180"/>
      <c r="O128" s="1180"/>
      <c r="P128" s="1180"/>
    </row>
    <row r="129" spans="6:16" ht="14.85" customHeight="1">
      <c r="F129" s="1180"/>
      <c r="G129" s="1180"/>
      <c r="H129" s="1180"/>
      <c r="I129" s="1180"/>
      <c r="J129" s="1180"/>
      <c r="K129" s="1180"/>
      <c r="L129" s="1180"/>
      <c r="M129" s="1180"/>
      <c r="N129" s="1180"/>
      <c r="O129" s="1180"/>
      <c r="P129" s="1180"/>
    </row>
    <row r="130" spans="6:16" ht="14.85" customHeight="1">
      <c r="F130" s="1180"/>
      <c r="G130" s="1180"/>
      <c r="H130" s="1180"/>
      <c r="I130" s="1180"/>
      <c r="J130" s="1180"/>
      <c r="K130" s="1180"/>
      <c r="L130" s="1180"/>
      <c r="M130" s="1180"/>
      <c r="N130" s="1180"/>
      <c r="O130" s="1180"/>
      <c r="P130" s="1180"/>
    </row>
    <row r="131" spans="6:16" ht="14.85" customHeight="1">
      <c r="F131" s="1180"/>
      <c r="G131" s="1180"/>
      <c r="H131" s="1180"/>
      <c r="I131" s="1180"/>
      <c r="J131" s="1180"/>
      <c r="K131" s="1180"/>
      <c r="L131" s="1180"/>
      <c r="M131" s="1180"/>
      <c r="N131" s="1180"/>
      <c r="O131" s="1180"/>
      <c r="P131" s="1180"/>
    </row>
    <row r="132" spans="6:16" ht="15.6" customHeight="1">
      <c r="F132" s="1180"/>
      <c r="G132" s="1180"/>
      <c r="H132" s="1180"/>
      <c r="I132" s="1180"/>
      <c r="J132" s="1180"/>
      <c r="K132" s="1180"/>
      <c r="L132" s="1180"/>
      <c r="M132" s="1180"/>
      <c r="N132" s="1180"/>
      <c r="O132" s="1180"/>
      <c r="P132" s="1180"/>
    </row>
    <row r="133" spans="6:16" ht="15.6" customHeight="1">
      <c r="F133" s="1180"/>
      <c r="G133" s="1180"/>
      <c r="H133" s="1180"/>
      <c r="I133" s="1180"/>
      <c r="J133" s="1180"/>
      <c r="K133" s="1180"/>
      <c r="L133" s="1180"/>
      <c r="M133" s="1180"/>
      <c r="N133" s="1180"/>
      <c r="O133" s="1180"/>
      <c r="P133" s="1180"/>
    </row>
    <row r="134" spans="6:16" ht="15.6" customHeight="1">
      <c r="F134" s="1180"/>
      <c r="G134" s="1180"/>
      <c r="H134" s="1180"/>
      <c r="I134" s="1180"/>
      <c r="J134" s="1180"/>
      <c r="K134" s="1180"/>
      <c r="L134" s="1180"/>
      <c r="M134" s="1180"/>
      <c r="N134" s="1180"/>
      <c r="O134" s="1180"/>
      <c r="P134" s="1180"/>
    </row>
    <row r="135" spans="6:16" ht="15.6" customHeight="1">
      <c r="F135" s="1180"/>
      <c r="G135" s="1180"/>
      <c r="H135" s="1180"/>
      <c r="I135" s="1180"/>
      <c r="J135" s="1180"/>
      <c r="K135" s="1180"/>
      <c r="L135" s="1180"/>
      <c r="M135" s="1180"/>
      <c r="N135" s="1180"/>
      <c r="O135" s="1180"/>
      <c r="P135" s="1180"/>
    </row>
    <row r="136" spans="6:16" ht="14.85" customHeight="1">
      <c r="F136" s="1180"/>
      <c r="G136" s="1180"/>
      <c r="H136" s="1180"/>
      <c r="I136" s="1180"/>
      <c r="J136" s="1180"/>
      <c r="K136" s="1180"/>
      <c r="L136" s="1180"/>
      <c r="M136" s="1180"/>
      <c r="N136" s="1180"/>
      <c r="O136" s="1180"/>
      <c r="P136" s="1180"/>
    </row>
    <row r="137" spans="6:16" ht="14.85" customHeight="1">
      <c r="F137" s="1180"/>
      <c r="G137" s="1180"/>
      <c r="H137" s="1180"/>
      <c r="I137" s="1180"/>
      <c r="J137" s="1180"/>
      <c r="K137" s="1180"/>
      <c r="L137" s="1180"/>
      <c r="M137" s="1180"/>
      <c r="N137" s="1180"/>
      <c r="O137" s="1180"/>
      <c r="P137" s="1180"/>
    </row>
    <row r="138" spans="6:16" ht="14.85" customHeight="1">
      <c r="L138" s="819"/>
      <c r="M138" s="819"/>
      <c r="N138" s="819"/>
      <c r="O138" s="819"/>
      <c r="P138" s="819"/>
    </row>
    <row r="139" spans="6:16" ht="15.75" outlineLevel="1">
      <c r="F139" s="1164" t="s">
        <v>259</v>
      </c>
      <c r="G139" s="1164"/>
      <c r="H139" s="1164"/>
      <c r="I139" s="1164" t="s">
        <v>127</v>
      </c>
      <c r="J139" s="1164"/>
      <c r="L139" s="819"/>
      <c r="M139" s="819"/>
      <c r="N139" s="819"/>
      <c r="O139" s="819"/>
      <c r="P139" s="819"/>
    </row>
    <row r="140" spans="6:16" ht="15.75" outlineLevel="1">
      <c r="F140" s="1165" t="str">
        <f>IF(Inputs!C22="","",Inputs!C22)</f>
        <v>AGOSTINHO FRANCISCO DE SOUZA</v>
      </c>
      <c r="G140" s="1165"/>
      <c r="H140" s="1165"/>
      <c r="I140" s="1160" t="str">
        <f>IF(Inputs!G22="","",Inputs!G22)</f>
        <v>Fiduciante</v>
      </c>
      <c r="J140" s="1160"/>
      <c r="L140" s="819"/>
      <c r="M140" s="819"/>
      <c r="N140" s="819"/>
      <c r="O140" s="819"/>
      <c r="P140" s="819"/>
    </row>
    <row r="141" spans="6:16" ht="15.75" outlineLevel="1">
      <c r="F141" s="1166" t="str">
        <f>IF(Inputs!C23="","",Inputs!C23)</f>
        <v>MARIETE DIEGUES DE SOUZA</v>
      </c>
      <c r="G141" s="1166"/>
      <c r="H141" s="1166"/>
      <c r="I141" s="1234" t="str">
        <f>IF(Inputs!G23="","",Inputs!G23)</f>
        <v>Fiduciante</v>
      </c>
      <c r="J141" s="1234"/>
      <c r="L141" s="819"/>
      <c r="M141" s="819"/>
      <c r="N141" s="819"/>
      <c r="O141" s="819"/>
      <c r="P141" s="819"/>
    </row>
    <row r="142" spans="6:16" ht="15.75" outlineLevel="1">
      <c r="F142" s="1165" t="str">
        <f>IF(Inputs!C24="","",Inputs!C24)</f>
        <v>ELETRO VOLUNTARIOS LTDA</v>
      </c>
      <c r="G142" s="1165"/>
      <c r="H142" s="1165"/>
      <c r="I142" s="1160" t="str">
        <f>IF(Inputs!G24="","",Inputs!G24)</f>
        <v/>
      </c>
      <c r="J142" s="1160"/>
      <c r="L142" s="819"/>
      <c r="M142" s="819"/>
      <c r="N142" s="819"/>
      <c r="O142" s="819"/>
      <c r="P142" s="819"/>
    </row>
    <row r="143" spans="6:16" ht="15.75" outlineLevel="1">
      <c r="F143" s="1166" t="str">
        <f>IF(Inputs!C25="","",Inputs!C25)</f>
        <v/>
      </c>
      <c r="G143" s="1166"/>
      <c r="H143" s="1166"/>
      <c r="I143" s="1234" t="str">
        <f>IF(Inputs!G25="","",Inputs!G25)</f>
        <v/>
      </c>
      <c r="J143" s="1234"/>
      <c r="L143" s="820"/>
      <c r="M143" s="820"/>
      <c r="N143" s="820"/>
      <c r="O143" s="820"/>
      <c r="P143" s="820"/>
    </row>
    <row r="144" spans="6:16" ht="15.75" outlineLevel="1">
      <c r="F144" s="1165" t="str">
        <f>IF(Inputs!C26="","",Inputs!C26)</f>
        <v/>
      </c>
      <c r="G144" s="1165"/>
      <c r="H144" s="1165"/>
      <c r="I144" s="1160" t="str">
        <f>IF(Inputs!G26="","",Inputs!G26)</f>
        <v/>
      </c>
      <c r="J144" s="1160"/>
      <c r="L144" s="820"/>
      <c r="M144" s="820"/>
      <c r="N144" s="820"/>
      <c r="O144" s="820"/>
      <c r="P144" s="820"/>
    </row>
    <row r="145" spans="5:18" ht="15.75" outlineLevel="1">
      <c r="F145" s="1166"/>
      <c r="G145" s="1166"/>
      <c r="H145" s="1166"/>
      <c r="I145" s="1234"/>
      <c r="J145" s="1234"/>
      <c r="L145" s="820"/>
      <c r="M145" s="820"/>
      <c r="N145" s="820"/>
      <c r="O145" s="820"/>
      <c r="P145" s="820"/>
    </row>
    <row r="146" spans="5:18" outlineLevel="1">
      <c r="E146" s="773" t="s">
        <v>760</v>
      </c>
      <c r="R146" s="22"/>
    </row>
    <row r="147" spans="5:18" ht="14.85" customHeight="1" outlineLevel="1" thickBot="1">
      <c r="F147" s="1200" t="s">
        <v>759</v>
      </c>
      <c r="G147" s="1200"/>
      <c r="H147" s="1200"/>
      <c r="I147" s="1200"/>
      <c r="J147" s="1200"/>
      <c r="K147" s="1200"/>
      <c r="L147" s="1200"/>
      <c r="M147" s="1200"/>
      <c r="N147" s="1200"/>
      <c r="O147" s="1200"/>
      <c r="P147" s="1200"/>
    </row>
    <row r="148" spans="5:18" ht="15.75" outlineLevel="1">
      <c r="E148" s="773"/>
      <c r="F148" s="1221"/>
      <c r="G148" s="1221"/>
      <c r="H148" s="1221"/>
      <c r="I148" s="1221"/>
      <c r="J148" s="1221"/>
      <c r="K148" s="1221"/>
      <c r="L148" s="1221"/>
      <c r="M148" s="1221"/>
      <c r="N148" s="1221"/>
      <c r="O148" s="1221"/>
      <c r="P148" s="1221"/>
      <c r="Q148" s="777"/>
    </row>
    <row r="149" spans="5:18" ht="14.85" customHeight="1" outlineLevel="1">
      <c r="F149" t="str">
        <f>"Nome: "&amp;F140</f>
        <v>Nome: AGOSTINHO FRANCISCO DE SOUZA</v>
      </c>
      <c r="L149" t="str">
        <f>"Nome: "&amp;F141</f>
        <v>Nome: MARIETE DIEGUES DE SOUZA</v>
      </c>
    </row>
    <row r="150" spans="5:18" ht="14.85" customHeight="1" outlineLevel="1">
      <c r="F150" s="1162" t="s">
        <v>777</v>
      </c>
      <c r="G150" s="1162"/>
      <c r="H150" s="1157"/>
      <c r="I150" s="1157"/>
      <c r="J150" s="1157"/>
      <c r="K150" s="784"/>
      <c r="L150" s="1162" t="s">
        <v>781</v>
      </c>
      <c r="M150" s="1162"/>
      <c r="N150" s="1157"/>
      <c r="O150" s="1157"/>
      <c r="P150" s="1157"/>
    </row>
    <row r="151" spans="5:18" ht="14.85" customHeight="1" outlineLevel="1">
      <c r="F151" s="1152" t="s">
        <v>758</v>
      </c>
      <c r="G151" s="1153"/>
      <c r="H151" s="1158">
        <f>Renda!K36</f>
        <v>0</v>
      </c>
      <c r="I151" s="1158"/>
      <c r="J151" s="1159"/>
      <c r="K151" s="784"/>
      <c r="L151" s="1152" t="s">
        <v>758</v>
      </c>
      <c r="M151" s="1153"/>
      <c r="N151" s="1158">
        <f>Renda!V36</f>
        <v>0</v>
      </c>
      <c r="O151" s="1158"/>
      <c r="P151" s="1159"/>
    </row>
    <row r="152" spans="5:18" ht="14.85" customHeight="1" outlineLevel="1">
      <c r="F152" s="1161" t="s">
        <v>778</v>
      </c>
      <c r="G152" s="1161"/>
      <c r="H152" s="1158">
        <f>AVERAGE(Renda!D36:J36)</f>
        <v>21224.714285714286</v>
      </c>
      <c r="I152" s="1158"/>
      <c r="J152" s="1159"/>
      <c r="K152" s="818"/>
      <c r="L152" s="1161" t="s">
        <v>778</v>
      </c>
      <c r="M152" s="1161"/>
      <c r="N152" s="1158">
        <f>AVERAGE(Renda!O36:U36)</f>
        <v>0</v>
      </c>
      <c r="O152" s="1158"/>
      <c r="P152" s="1159"/>
    </row>
    <row r="153" spans="5:18" ht="15.75" outlineLevel="1">
      <c r="F153" s="1154" t="s">
        <v>779</v>
      </c>
      <c r="G153" s="1154"/>
      <c r="H153" s="1157"/>
      <c r="I153" s="1157"/>
      <c r="J153" s="1157"/>
      <c r="K153" s="784"/>
      <c r="L153" s="1154" t="s">
        <v>779</v>
      </c>
      <c r="M153" s="1154"/>
      <c r="N153" s="1157"/>
      <c r="O153" s="1157"/>
      <c r="P153" s="1157"/>
    </row>
    <row r="154" spans="5:18" ht="15.75" outlineLevel="1">
      <c r="F154" s="1155" t="s">
        <v>521</v>
      </c>
      <c r="G154" s="1156"/>
      <c r="H154" s="1158" t="str">
        <f>IF(Inputs!O10="","",Inputs!O10)</f>
        <v xml:space="preserve">Casado </v>
      </c>
      <c r="I154" s="1158"/>
      <c r="J154" s="1159"/>
      <c r="K154" s="784"/>
      <c r="L154" s="1155" t="s">
        <v>521</v>
      </c>
      <c r="M154" s="1156"/>
      <c r="N154" s="1158" t="str">
        <f>IF(Inputs!Q10="","",Inputs!Q10)</f>
        <v xml:space="preserve">Casado </v>
      </c>
      <c r="O154" s="1158"/>
      <c r="P154" s="1159"/>
    </row>
    <row r="155" spans="5:18" ht="15.75" outlineLevel="1">
      <c r="F155" s="1155" t="s">
        <v>516</v>
      </c>
      <c r="G155" s="1156"/>
      <c r="H155" s="1158" t="str">
        <f>IF(Inputs!O11="","",Inputs!O11)</f>
        <v>Sim</v>
      </c>
      <c r="I155" s="1158"/>
      <c r="J155" s="1159"/>
      <c r="K155" s="784"/>
      <c r="L155" s="1155" t="s">
        <v>516</v>
      </c>
      <c r="M155" s="1156"/>
      <c r="N155" s="1158" t="str">
        <f>IF(Inputs!Q11="","",Inputs!Q11)</f>
        <v>Sim</v>
      </c>
      <c r="O155" s="1158"/>
      <c r="P155" s="1159"/>
    </row>
    <row r="156" spans="5:18" ht="15.75" outlineLevel="1">
      <c r="F156" s="1155" t="s">
        <v>513</v>
      </c>
      <c r="G156" s="1156"/>
      <c r="H156" s="1158" t="str">
        <f>IF(Inputs!O12="","",Inputs!O12)</f>
        <v>Médio</v>
      </c>
      <c r="I156" s="1158"/>
      <c r="J156" s="1159"/>
      <c r="K156" s="784"/>
      <c r="L156" s="1155" t="s">
        <v>513</v>
      </c>
      <c r="M156" s="1156"/>
      <c r="N156" s="1158" t="str">
        <f>IF(Inputs!Q12="","",Inputs!Q12)</f>
        <v>Médio</v>
      </c>
      <c r="O156" s="1158"/>
      <c r="P156" s="1159"/>
    </row>
    <row r="157" spans="5:18" ht="15.75" outlineLevel="1">
      <c r="F157" s="1155" t="s">
        <v>508</v>
      </c>
      <c r="G157" s="1156"/>
      <c r="H157" s="1158" t="str">
        <f>IF(Inputs!O13="","",Inputs!O13)</f>
        <v>Liberal/Empresário</v>
      </c>
      <c r="I157" s="1158"/>
      <c r="J157" s="1159"/>
      <c r="K157" s="784"/>
      <c r="L157" s="1155" t="s">
        <v>508</v>
      </c>
      <c r="M157" s="1156"/>
      <c r="N157" s="1158" t="str">
        <f>IF(Inputs!Q13="","",Inputs!Q13)</f>
        <v>CLT</v>
      </c>
      <c r="O157" s="1158"/>
      <c r="P157" s="1159"/>
    </row>
    <row r="158" spans="5:18" ht="15.75" outlineLevel="1">
      <c r="F158" s="1230" t="s">
        <v>503</v>
      </c>
      <c r="G158" s="1231"/>
      <c r="H158" s="1195" t="str">
        <f>IF(Inputs!O14="","",Inputs!O14)</f>
        <v>&gt; 10 anos</v>
      </c>
      <c r="I158" s="1195"/>
      <c r="J158" s="1196"/>
      <c r="K158" s="784"/>
      <c r="L158" s="1230" t="s">
        <v>503</v>
      </c>
      <c r="M158" s="1231"/>
      <c r="N158" s="1195" t="str">
        <f>IF(Inputs!Q14="","",Inputs!Q14)</f>
        <v>&gt; 10 anos</v>
      </c>
      <c r="O158" s="1195"/>
      <c r="P158" s="1196"/>
    </row>
    <row r="159" spans="5:18" ht="15.75" outlineLevel="1">
      <c r="F159" s="1155" t="s">
        <v>497</v>
      </c>
      <c r="G159" s="1156"/>
      <c r="H159" s="1197">
        <f>IF(Inputs!O15="","",Inputs!O15)</f>
        <v>940</v>
      </c>
      <c r="I159" s="1197"/>
      <c r="J159" s="1198"/>
      <c r="K159" s="784"/>
      <c r="L159" s="1155" t="s">
        <v>497</v>
      </c>
      <c r="M159" s="1156"/>
      <c r="N159" s="1197">
        <f>IF(Inputs!Q15="","",Inputs!Q15)</f>
        <v>877</v>
      </c>
      <c r="O159" s="1197"/>
      <c r="P159" s="1198"/>
    </row>
    <row r="160" spans="5:18" ht="14.85" customHeight="1" outlineLevel="1">
      <c r="F160" s="1167" t="s">
        <v>780</v>
      </c>
      <c r="G160" s="1167"/>
      <c r="H160" s="1199">
        <f>Inputs!H22/Inputs!$H$29</f>
        <v>1</v>
      </c>
      <c r="I160" s="1199"/>
      <c r="J160" s="1199"/>
      <c r="K160" s="784"/>
      <c r="L160" s="1167" t="s">
        <v>780</v>
      </c>
      <c r="M160" s="1167"/>
      <c r="N160" s="1157"/>
      <c r="O160" s="1157"/>
      <c r="P160" s="1157"/>
    </row>
    <row r="161" spans="6:16" ht="14.85" customHeight="1" outlineLevel="1">
      <c r="F161" s="819"/>
      <c r="G161" s="819"/>
      <c r="H161" s="819"/>
      <c r="I161" s="819"/>
      <c r="J161" s="819"/>
      <c r="K161" s="784"/>
      <c r="L161" s="1229"/>
      <c r="M161" s="1229"/>
      <c r="N161" s="1232"/>
      <c r="O161" s="1232"/>
      <c r="P161" s="1232"/>
    </row>
    <row r="162" spans="6:16" ht="14.85" customHeight="1" outlineLevel="1">
      <c r="F162" s="819"/>
      <c r="G162" s="819"/>
      <c r="H162" s="819"/>
      <c r="I162" s="819"/>
      <c r="J162" s="819"/>
      <c r="K162" s="784"/>
      <c r="L162" s="1229"/>
      <c r="M162" s="1229"/>
      <c r="N162" s="1232"/>
      <c r="O162" s="1232"/>
      <c r="P162" s="1232"/>
    </row>
    <row r="163" spans="6:16" outlineLevel="1">
      <c r="F163" t="str">
        <f>"Nome: "&amp;F142</f>
        <v>Nome: ELETRO VOLUNTARIOS LTDA</v>
      </c>
      <c r="L163" t="str">
        <f>"Nome: "&amp;F143</f>
        <v xml:space="preserve">Nome: </v>
      </c>
    </row>
    <row r="164" spans="6:16" ht="15.75" outlineLevel="1">
      <c r="F164" s="1162" t="s">
        <v>777</v>
      </c>
      <c r="G164" s="1162"/>
      <c r="H164" s="1157"/>
      <c r="I164" s="1157"/>
      <c r="J164" s="1157"/>
      <c r="K164" s="818"/>
      <c r="L164" s="1162" t="s">
        <v>781</v>
      </c>
      <c r="M164" s="1162"/>
      <c r="N164" s="1157"/>
      <c r="O164" s="1157"/>
      <c r="P164" s="1157"/>
    </row>
    <row r="165" spans="6:16" ht="15.75" outlineLevel="1">
      <c r="F165" s="1152" t="s">
        <v>758</v>
      </c>
      <c r="G165" s="1153"/>
      <c r="H165" s="1158">
        <f>Renda!AG36</f>
        <v>0</v>
      </c>
      <c r="I165" s="1158"/>
      <c r="J165" s="1159"/>
      <c r="K165" s="818"/>
      <c r="L165" s="1152" t="s">
        <v>758</v>
      </c>
      <c r="M165" s="1153"/>
      <c r="N165" s="1158">
        <f>Renda!AR36</f>
        <v>0</v>
      </c>
      <c r="O165" s="1158"/>
      <c r="P165" s="1159"/>
    </row>
    <row r="166" spans="6:16" ht="15.75" outlineLevel="1">
      <c r="F166" s="1161" t="s">
        <v>778</v>
      </c>
      <c r="G166" s="1161"/>
      <c r="H166" s="1158">
        <f>AVERAGE(Renda!Z36:AF36)</f>
        <v>0</v>
      </c>
      <c r="I166" s="1158"/>
      <c r="J166" s="1159"/>
      <c r="K166" s="818"/>
      <c r="L166" s="1161" t="s">
        <v>778</v>
      </c>
      <c r="M166" s="1161"/>
      <c r="N166" s="1158">
        <f>AVERAGE(Renda!AK36:AQ36)</f>
        <v>0</v>
      </c>
      <c r="O166" s="1158"/>
      <c r="P166" s="1159"/>
    </row>
    <row r="167" spans="6:16" ht="15.75" outlineLevel="1">
      <c r="F167" s="1154" t="s">
        <v>779</v>
      </c>
      <c r="G167" s="1154"/>
      <c r="H167" s="1157"/>
      <c r="I167" s="1157"/>
      <c r="J167" s="1157"/>
      <c r="K167" s="818"/>
      <c r="L167" s="1154" t="s">
        <v>779</v>
      </c>
      <c r="M167" s="1154"/>
      <c r="N167" s="1157"/>
      <c r="O167" s="1157"/>
      <c r="P167" s="1157"/>
    </row>
    <row r="168" spans="6:16" ht="15.75" outlineLevel="1">
      <c r="F168" s="1155" t="s">
        <v>521</v>
      </c>
      <c r="G168" s="1156"/>
      <c r="H168" s="1158" t="str">
        <f>IF(Inputs!O26="","",Inputs!O26)</f>
        <v/>
      </c>
      <c r="I168" s="1158"/>
      <c r="J168" s="1159"/>
      <c r="K168" s="818"/>
      <c r="L168" s="1155" t="s">
        <v>521</v>
      </c>
      <c r="M168" s="1156"/>
      <c r="N168" s="1158" t="str">
        <f>IF(Inputs!Q18="","",Inputs!Q18)</f>
        <v/>
      </c>
      <c r="O168" s="1158"/>
      <c r="P168" s="1159"/>
    </row>
    <row r="169" spans="6:16" ht="15.75" outlineLevel="1">
      <c r="F169" s="1155" t="s">
        <v>516</v>
      </c>
      <c r="G169" s="1156"/>
      <c r="H169" s="1158" t="str">
        <f>IF(Inputs!O27="","",Inputs!O27)</f>
        <v/>
      </c>
      <c r="I169" s="1158"/>
      <c r="J169" s="1159"/>
      <c r="K169" s="818"/>
      <c r="L169" s="1155" t="s">
        <v>516</v>
      </c>
      <c r="M169" s="1156"/>
      <c r="N169" s="1158" t="str">
        <f>IF(Inputs!Q19="","",Inputs!Q19)</f>
        <v/>
      </c>
      <c r="O169" s="1158"/>
      <c r="P169" s="1159"/>
    </row>
    <row r="170" spans="6:16" ht="15.75" outlineLevel="1">
      <c r="F170" s="1155" t="s">
        <v>513</v>
      </c>
      <c r="G170" s="1156"/>
      <c r="H170" s="1158" t="str">
        <f>IF(Inputs!O28="","",Inputs!O28)</f>
        <v/>
      </c>
      <c r="I170" s="1158"/>
      <c r="J170" s="1159"/>
      <c r="K170" s="818"/>
      <c r="L170" s="1155" t="s">
        <v>513</v>
      </c>
      <c r="M170" s="1156"/>
      <c r="N170" s="1158" t="str">
        <f>IF(Inputs!Q20="","",Inputs!Q20)</f>
        <v/>
      </c>
      <c r="O170" s="1158"/>
      <c r="P170" s="1159"/>
    </row>
    <row r="171" spans="6:16" ht="15.75" outlineLevel="1">
      <c r="F171" s="1155" t="s">
        <v>508</v>
      </c>
      <c r="G171" s="1156"/>
      <c r="H171" s="1158" t="str">
        <f>IF(Inputs!O29="","",Inputs!O29)</f>
        <v/>
      </c>
      <c r="I171" s="1158"/>
      <c r="J171" s="1159"/>
      <c r="K171" s="818"/>
      <c r="L171" s="1155" t="s">
        <v>508</v>
      </c>
      <c r="M171" s="1156"/>
      <c r="N171" s="1158" t="str">
        <f>IF(Inputs!Q21="","",Inputs!Q21)</f>
        <v/>
      </c>
      <c r="O171" s="1158"/>
      <c r="P171" s="1159"/>
    </row>
    <row r="172" spans="6:16" ht="15.75" outlineLevel="1">
      <c r="F172" s="1230" t="s">
        <v>503</v>
      </c>
      <c r="G172" s="1231"/>
      <c r="H172" s="1195" t="str">
        <f>IF(Inputs!O30="","",Inputs!O30)</f>
        <v/>
      </c>
      <c r="I172" s="1195"/>
      <c r="J172" s="1196"/>
      <c r="K172" s="818"/>
      <c r="L172" s="1230" t="s">
        <v>503</v>
      </c>
      <c r="M172" s="1231"/>
      <c r="N172" s="1158" t="str">
        <f>IF(Inputs!Q22="","",Inputs!Q22)</f>
        <v/>
      </c>
      <c r="O172" s="1158"/>
      <c r="P172" s="1159"/>
    </row>
    <row r="173" spans="6:16" ht="15.75" outlineLevel="1">
      <c r="F173" s="1155" t="s">
        <v>497</v>
      </c>
      <c r="G173" s="1156"/>
      <c r="H173" s="1197" t="str">
        <f>IF(Inputs!O31="","",Inputs!O31)</f>
        <v/>
      </c>
      <c r="I173" s="1197"/>
      <c r="J173" s="1198"/>
      <c r="K173" s="818"/>
      <c r="L173" s="1155" t="s">
        <v>497</v>
      </c>
      <c r="M173" s="1156"/>
      <c r="N173" s="1158" t="str">
        <f>IF(Inputs!Q23="","",Inputs!Q23)</f>
        <v/>
      </c>
      <c r="O173" s="1158"/>
      <c r="P173" s="1159"/>
    </row>
    <row r="174" spans="6:16" ht="15.75" outlineLevel="1">
      <c r="F174" s="1167" t="s">
        <v>780</v>
      </c>
      <c r="G174" s="1167"/>
      <c r="H174" s="1199">
        <f>Inputs!H36/Inputs!$H$29</f>
        <v>0</v>
      </c>
      <c r="I174" s="1199"/>
      <c r="J174" s="1199"/>
      <c r="K174" s="818"/>
      <c r="L174" s="1167" t="s">
        <v>780</v>
      </c>
      <c r="M174" s="1167"/>
      <c r="N174" s="1157"/>
      <c r="O174" s="1157"/>
      <c r="P174" s="1157"/>
    </row>
    <row r="175" spans="6:16" ht="15.75" outlineLevel="1">
      <c r="F175" s="821"/>
      <c r="G175" s="821"/>
      <c r="H175" s="822"/>
      <c r="I175" s="822"/>
      <c r="J175" s="822"/>
      <c r="K175" s="823"/>
      <c r="L175" s="821"/>
      <c r="M175" s="821"/>
      <c r="N175" s="824"/>
      <c r="O175" s="824"/>
      <c r="P175" s="824"/>
    </row>
    <row r="176" spans="6:16" ht="16.5" outlineLevel="1" thickBot="1">
      <c r="F176" s="1200" t="s">
        <v>783</v>
      </c>
      <c r="G176" s="1200"/>
      <c r="H176" s="1200"/>
      <c r="I176" s="1200"/>
      <c r="J176" s="1200"/>
      <c r="K176" s="1200"/>
      <c r="L176" s="1200"/>
      <c r="M176" s="1200"/>
      <c r="N176" s="1200"/>
      <c r="O176" s="1200"/>
      <c r="P176" s="1200"/>
    </row>
    <row r="177" spans="6:16" outlineLevel="1"/>
    <row r="178" spans="6:16" outlineLevel="1">
      <c r="F178" t="str">
        <f>"Nome: "&amp;F144</f>
        <v xml:space="preserve">Nome: </v>
      </c>
      <c r="L178" t="str">
        <f>"Nome: "&amp;F145</f>
        <v xml:space="preserve">Nome: </v>
      </c>
    </row>
    <row r="179" spans="6:16" ht="15.75" outlineLevel="1">
      <c r="F179" s="1245" t="s">
        <v>777</v>
      </c>
      <c r="G179" s="1245"/>
      <c r="H179" s="1244"/>
      <c r="I179" s="1244"/>
      <c r="J179" s="1244"/>
      <c r="K179" s="818"/>
      <c r="L179" s="1245" t="s">
        <v>781</v>
      </c>
      <c r="M179" s="1245"/>
      <c r="N179" s="1244">
        <f>N180+N182</f>
        <v>0</v>
      </c>
      <c r="O179" s="1244"/>
      <c r="P179" s="1244"/>
    </row>
    <row r="180" spans="6:16" ht="15.75" outlineLevel="1">
      <c r="F180" s="1152" t="s">
        <v>758</v>
      </c>
      <c r="G180" s="1153"/>
      <c r="H180" s="1158">
        <f>Renda!BC36</f>
        <v>0</v>
      </c>
      <c r="I180" s="1158"/>
      <c r="J180" s="1159"/>
      <c r="K180" s="818"/>
      <c r="L180" s="1152" t="s">
        <v>758</v>
      </c>
      <c r="M180" s="1153"/>
      <c r="N180" s="1158">
        <f>Renda!BN36</f>
        <v>0</v>
      </c>
      <c r="O180" s="1158"/>
      <c r="P180" s="1159"/>
    </row>
    <row r="181" spans="6:16" ht="15.75" outlineLevel="1">
      <c r="F181" s="1161" t="s">
        <v>778</v>
      </c>
      <c r="G181" s="1161"/>
      <c r="H181" s="1158">
        <f>AVERAGE(Renda!AV36:BB36)</f>
        <v>0</v>
      </c>
      <c r="I181" s="1158"/>
      <c r="J181" s="1159"/>
      <c r="K181" s="818"/>
      <c r="L181" s="1161" t="s">
        <v>778</v>
      </c>
      <c r="M181" s="1161"/>
      <c r="N181" s="1158">
        <f>AVERAGE(Renda!BG36:BM36)</f>
        <v>0</v>
      </c>
      <c r="O181" s="1158"/>
      <c r="P181" s="1159"/>
    </row>
    <row r="182" spans="6:16" ht="15.75" outlineLevel="1">
      <c r="F182" s="1239" t="s">
        <v>779</v>
      </c>
      <c r="G182" s="1239"/>
      <c r="H182" s="1240"/>
      <c r="I182" s="1240"/>
      <c r="J182" s="1240"/>
      <c r="K182" s="818"/>
      <c r="L182" s="1239" t="s">
        <v>779</v>
      </c>
      <c r="M182" s="1239"/>
      <c r="N182" s="1240"/>
      <c r="O182" s="1240"/>
      <c r="P182" s="1240"/>
    </row>
    <row r="183" spans="6:16" ht="15.75" outlineLevel="1">
      <c r="F183" s="1155" t="s">
        <v>638</v>
      </c>
      <c r="G183" s="1156"/>
      <c r="H183" s="1158" t="str">
        <f>IF(Inputs!H34="","",Inputs!H34)</f>
        <v/>
      </c>
      <c r="I183" s="1158"/>
      <c r="J183" s="1159"/>
      <c r="K183" s="818"/>
      <c r="L183" s="1155" t="s">
        <v>638</v>
      </c>
      <c r="M183" s="1156"/>
      <c r="N183" s="1158" t="str">
        <f>IF(Inputs!H35="","",Inputs!H35)</f>
        <v/>
      </c>
      <c r="O183" s="1158"/>
      <c r="P183" s="1159"/>
    </row>
    <row r="184" spans="6:16" ht="15.75" outlineLevel="1">
      <c r="F184" s="1155" t="s">
        <v>782</v>
      </c>
      <c r="G184" s="1156"/>
      <c r="H184" s="1246">
        <f>Renda!AU38</f>
        <v>1</v>
      </c>
      <c r="I184" s="1246"/>
      <c r="J184" s="1247"/>
      <c r="K184" s="818"/>
      <c r="L184" s="1155" t="s">
        <v>782</v>
      </c>
      <c r="M184" s="1156"/>
      <c r="N184" s="1246">
        <f>Renda!BF38</f>
        <v>1</v>
      </c>
      <c r="O184" s="1246"/>
      <c r="P184" s="1247"/>
    </row>
    <row r="185" spans="6:16" ht="15.75" outlineLevel="1">
      <c r="F185" s="1155" t="s">
        <v>645</v>
      </c>
      <c r="G185" s="1156"/>
      <c r="H185" s="1158">
        <f>Renda!AX57</f>
        <v>0</v>
      </c>
      <c r="I185" s="1158"/>
      <c r="J185" s="1159"/>
      <c r="K185" s="818"/>
      <c r="L185" s="1155" t="s">
        <v>645</v>
      </c>
      <c r="M185" s="1156"/>
      <c r="N185" s="1158">
        <f>Renda!BH57</f>
        <v>0</v>
      </c>
      <c r="O185" s="1158"/>
      <c r="P185" s="1159"/>
    </row>
    <row r="186" spans="6:16" ht="15.75" outlineLevel="1">
      <c r="F186" s="1230" t="s">
        <v>660</v>
      </c>
      <c r="G186" s="1231"/>
      <c r="H186" s="1158">
        <f>Renda!AX70</f>
        <v>0</v>
      </c>
      <c r="I186" s="1158"/>
      <c r="J186" s="1159"/>
      <c r="K186" s="818"/>
      <c r="L186" s="1230" t="s">
        <v>660</v>
      </c>
      <c r="M186" s="1231"/>
      <c r="N186" s="1158">
        <f>Renda!BH70</f>
        <v>0</v>
      </c>
      <c r="O186" s="1158"/>
      <c r="P186" s="1159"/>
    </row>
    <row r="187" spans="6:16" ht="15.75" outlineLevel="1">
      <c r="F187" s="1241" t="s">
        <v>780</v>
      </c>
      <c r="G187" s="1241"/>
      <c r="H187" s="1242">
        <f>Inputs!H49/Inputs!$H$29</f>
        <v>0</v>
      </c>
      <c r="I187" s="1242"/>
      <c r="J187" s="1242"/>
      <c r="K187" s="818"/>
      <c r="L187" s="1241" t="s">
        <v>780</v>
      </c>
      <c r="M187" s="1241"/>
      <c r="N187" s="1243"/>
      <c r="O187" s="1243"/>
      <c r="P187" s="1243"/>
    </row>
    <row r="188" spans="6:16" ht="15.75" outlineLevel="1">
      <c r="F188" s="825"/>
      <c r="G188" s="825"/>
      <c r="H188" s="822"/>
      <c r="I188" s="822"/>
      <c r="J188" s="822"/>
      <c r="K188" s="823"/>
      <c r="L188" s="825"/>
      <c r="M188" s="825"/>
      <c r="N188" s="824"/>
      <c r="O188" s="824"/>
      <c r="P188" s="824"/>
    </row>
    <row r="189" spans="6:16" outlineLevel="1"/>
    <row r="190" spans="6:16" outlineLevel="1"/>
    <row r="191" spans="6:16" outlineLevel="1"/>
    <row r="192" spans="6:16" ht="20.85" customHeight="1" outlineLevel="1"/>
    <row r="193" spans="6:16" ht="20.85" customHeight="1" outlineLevel="1"/>
    <row r="194" spans="6:16" ht="20.85" customHeight="1" outlineLevel="1" thickBot="1">
      <c r="F194" s="1200" t="s">
        <v>784</v>
      </c>
      <c r="G194" s="1200"/>
      <c r="H194" s="1200"/>
      <c r="I194" s="1200"/>
      <c r="J194" s="1200"/>
      <c r="K194" s="1200"/>
      <c r="L194" s="1200"/>
      <c r="M194" s="1200"/>
      <c r="N194" s="1200"/>
      <c r="O194" s="1200"/>
      <c r="P194" s="1200"/>
    </row>
    <row r="195" spans="6:16" ht="20.85" customHeight="1" outlineLevel="1"/>
    <row r="196" spans="6:16" ht="23.85" customHeight="1" outlineLevel="1">
      <c r="F196" s="1201" t="str">
        <f>"Dívidas Proponente - "&amp;$F$140</f>
        <v>Dívidas Proponente - AGOSTINHO FRANCISCO DE SOUZA</v>
      </c>
      <c r="G196" s="1201"/>
      <c r="H196" s="1201"/>
      <c r="I196" s="1201"/>
      <c r="J196" s="776" t="s">
        <v>757</v>
      </c>
      <c r="K196" s="776" t="s">
        <v>426</v>
      </c>
      <c r="L196" s="776" t="s">
        <v>560</v>
      </c>
      <c r="M196" s="776" t="s">
        <v>418</v>
      </c>
      <c r="N196" s="776" t="s">
        <v>756</v>
      </c>
      <c r="O196" s="1202"/>
      <c r="P196" s="1202"/>
    </row>
    <row r="197" spans="6:16" ht="15.75" outlineLevel="1">
      <c r="F197" s="1203" t="str">
        <f>Inputs!V44</f>
        <v>Cartão de crédito - fatura pacr</v>
      </c>
      <c r="G197" s="1203"/>
      <c r="H197" s="1203"/>
      <c r="I197" s="1203"/>
      <c r="J197" s="783">
        <f>IF(SUM(K197:M197)=0,"",SUM(K197:M197))</f>
        <v>6868</v>
      </c>
      <c r="K197" s="783" t="str">
        <f>IF(Inputs!Y44=0,"",Inputs!Y44)</f>
        <v/>
      </c>
      <c r="L197" s="783" t="str">
        <f>IF(Inputs!Z44=0,"",Inputs!Z44)</f>
        <v/>
      </c>
      <c r="M197" s="783">
        <f>IF(Inputs!AA44=0,"",Inputs!AA44)</f>
        <v>6868</v>
      </c>
      <c r="N197" s="783" t="str">
        <f>IF(Inputs!AK44-SUM(Inputs!AG44:AI44)=0,"",Inputs!AK44-SUM(Inputs!AG44:AI44))</f>
        <v/>
      </c>
      <c r="O197" s="1204"/>
      <c r="P197" s="1204"/>
    </row>
    <row r="198" spans="6:16" ht="15" customHeight="1" outlineLevel="1">
      <c r="F198" s="1205" t="str">
        <f>Inputs!V45</f>
        <v xml:space="preserve">Crédito Pessoal s/ Consignação </v>
      </c>
      <c r="G198" s="1205"/>
      <c r="H198" s="1205"/>
      <c r="I198" s="1205"/>
      <c r="J198" s="782" t="str">
        <f t="shared" ref="J198:J203" si="0">IF(SUM(K198:M198)=0,"",SUM(K198:M198))</f>
        <v/>
      </c>
      <c r="K198" s="782" t="str">
        <f>IF(Inputs!Y45=0,"",Inputs!Y45)</f>
        <v/>
      </c>
      <c r="L198" s="782" t="str">
        <f>IF(Inputs!Z45=0,"",Inputs!Z45)</f>
        <v/>
      </c>
      <c r="M198" s="782" t="str">
        <f>IF(Inputs!AA45=0,"",Inputs!AA45)</f>
        <v/>
      </c>
      <c r="N198" s="782" t="str">
        <f>IF(Inputs!AK45-SUM(Inputs!AG45:AI45)=0,"",Inputs!AK45-SUM(Inputs!AG45:AI45))</f>
        <v/>
      </c>
      <c r="O198" s="1204"/>
      <c r="P198" s="1204"/>
    </row>
    <row r="199" spans="6:16" ht="15" customHeight="1" outlineLevel="1">
      <c r="F199" s="1206" t="str">
        <f>Inputs!V46</f>
        <v>Cheque especial</v>
      </c>
      <c r="G199" s="1206"/>
      <c r="H199" s="1206"/>
      <c r="I199" s="1206"/>
      <c r="J199" s="783">
        <f t="shared" si="0"/>
        <v>2.2400000000000002</v>
      </c>
      <c r="K199" s="783" t="str">
        <f>IF(Inputs!Y46=0,"",Inputs!Y46)</f>
        <v/>
      </c>
      <c r="L199" s="783" t="str">
        <f>IF(Inputs!Z46=0,"",Inputs!Z46)</f>
        <v/>
      </c>
      <c r="M199" s="783">
        <f>IF(Inputs!AA46=0,"",Inputs!AA46)</f>
        <v>2.2400000000000002</v>
      </c>
      <c r="N199" s="783" t="str">
        <f>IF(Inputs!AK46-SUM(Inputs!AG46:AI46)=0,"",Inputs!AK46-SUM(Inputs!AG46:AI46))</f>
        <v/>
      </c>
      <c r="O199" s="1204"/>
      <c r="P199" s="1204"/>
    </row>
    <row r="200" spans="6:16" ht="15" customHeight="1" outlineLevel="1">
      <c r="F200" s="1205" t="str">
        <f>Inputs!V47</f>
        <v>Cartão de crédito</v>
      </c>
      <c r="G200" s="1205"/>
      <c r="H200" s="1205"/>
      <c r="I200" s="1205"/>
      <c r="J200" s="782">
        <f t="shared" si="0"/>
        <v>14648</v>
      </c>
      <c r="K200" s="782" t="str">
        <f>IF(Inputs!Y47=0,"",Inputs!Y47)</f>
        <v/>
      </c>
      <c r="L200" s="782" t="str">
        <f>IF(Inputs!Z47=0,"",Inputs!Z47)</f>
        <v/>
      </c>
      <c r="M200" s="782">
        <f>IF(Inputs!AA47=0,"",Inputs!AA47)</f>
        <v>14648</v>
      </c>
      <c r="N200" s="782" t="str">
        <f>IF(Inputs!AK47-SUM(Inputs!AG47:AI47)=0,"",Inputs!AK47-SUM(Inputs!AG47:AI47))</f>
        <v/>
      </c>
      <c r="O200" s="1204"/>
      <c r="P200" s="1204"/>
    </row>
    <row r="201" spans="6:16" ht="15" customHeight="1" outlineLevel="1">
      <c r="F201" s="1206" t="str">
        <f>Inputs!V48</f>
        <v>Financiamento de Imóvel</v>
      </c>
      <c r="G201" s="1206"/>
      <c r="H201" s="1206"/>
      <c r="I201" s="1206"/>
      <c r="J201" s="783" t="str">
        <f t="shared" si="0"/>
        <v/>
      </c>
      <c r="K201" s="783" t="str">
        <f>IF(Inputs!Y48=0,"",Inputs!Y48)</f>
        <v/>
      </c>
      <c r="L201" s="783" t="str">
        <f>IF(Inputs!Z48=0,"",Inputs!Z48)</f>
        <v/>
      </c>
      <c r="M201" s="783" t="str">
        <f>IF(Inputs!AA48=0,"",Inputs!AA48)</f>
        <v/>
      </c>
      <c r="N201" s="783" t="str">
        <f>IF(Inputs!AK48-SUM(Inputs!AG48:AI48)=0,"",Inputs!AK48-SUM(Inputs!AG48:AI48))</f>
        <v/>
      </c>
      <c r="O201" s="1204"/>
      <c r="P201" s="1204"/>
    </row>
    <row r="202" spans="6:16" ht="15" customHeight="1" outlineLevel="1">
      <c r="F202" s="1205" t="str">
        <f>Inputs!V49</f>
        <v>Financiamento de Automóvel</v>
      </c>
      <c r="G202" s="1205"/>
      <c r="H202" s="1205"/>
      <c r="I202" s="1205"/>
      <c r="J202" s="782" t="str">
        <f t="shared" si="0"/>
        <v/>
      </c>
      <c r="K202" s="782" t="str">
        <f>IF(Inputs!Y49=0,"",Inputs!Y49)</f>
        <v/>
      </c>
      <c r="L202" s="782" t="str">
        <f>IF(Inputs!Z49=0,"",Inputs!Z49)</f>
        <v/>
      </c>
      <c r="M202" s="782" t="str">
        <f>IF(Inputs!AA49=0,"",Inputs!AA49)</f>
        <v/>
      </c>
      <c r="N202" s="782" t="str">
        <f>IF(Inputs!AK49-SUM(Inputs!AG49:AI49)=0,"",Inputs!AK49-SUM(Inputs!AG49:AI49))</f>
        <v/>
      </c>
      <c r="O202" s="1204"/>
      <c r="P202" s="1204"/>
    </row>
    <row r="203" spans="6:16" ht="15.75" outlineLevel="1">
      <c r="F203" s="1206" t="str">
        <f>Inputs!V50</f>
        <v>Outros</v>
      </c>
      <c r="G203" s="1206"/>
      <c r="H203" s="1206"/>
      <c r="I203" s="1206"/>
      <c r="J203" s="783" t="str">
        <f t="shared" si="0"/>
        <v/>
      </c>
      <c r="K203" s="783" t="str">
        <f>IF(Inputs!Y50=0,"",Inputs!Y50)</f>
        <v/>
      </c>
      <c r="L203" s="783" t="str">
        <f>IF(Inputs!Z50=0,"",Inputs!Z50)</f>
        <v/>
      </c>
      <c r="M203" s="783" t="str">
        <f>IF(Inputs!AA50=0,"",Inputs!AA50)</f>
        <v/>
      </c>
      <c r="N203" s="783" t="str">
        <f>IF(Inputs!AK50-SUM(Inputs!AG50:AI50)=0,"",Inputs!AK50-SUM(Inputs!AG50:AI50))</f>
        <v/>
      </c>
      <c r="O203" s="1204"/>
      <c r="P203" s="1204"/>
    </row>
    <row r="204" spans="6:16" ht="15.75" outlineLevel="1">
      <c r="F204" s="1228" t="s">
        <v>80</v>
      </c>
      <c r="G204" s="1228"/>
      <c r="H204" s="1228"/>
      <c r="I204" s="1228"/>
      <c r="J204" s="775">
        <f>IF(SUM(J197:J203)=0,"",SUM(J197:J203))</f>
        <v>21518.239999999998</v>
      </c>
      <c r="K204" s="775" t="str">
        <f t="shared" ref="K204:N204" si="1">IF(SUM(K197:K203)=0,"",SUM(K197:K203))</f>
        <v/>
      </c>
      <c r="L204" s="775" t="str">
        <f t="shared" si="1"/>
        <v/>
      </c>
      <c r="M204" s="775">
        <f t="shared" si="1"/>
        <v>21518.239999999998</v>
      </c>
      <c r="N204" s="775" t="str">
        <f t="shared" si="1"/>
        <v/>
      </c>
      <c r="O204" s="1235"/>
      <c r="P204" s="1235"/>
    </row>
    <row r="205" spans="6:16" outlineLevel="1"/>
    <row r="206" spans="6:16" ht="23.85" customHeight="1" outlineLevel="1">
      <c r="F206" s="1201" t="str">
        <f>"Dívidas Proponente - "&amp;$F$141</f>
        <v>Dívidas Proponente - MARIETE DIEGUES DE SOUZA</v>
      </c>
      <c r="G206" s="1201"/>
      <c r="H206" s="1201"/>
      <c r="I206" s="1201"/>
      <c r="J206" s="817" t="s">
        <v>757</v>
      </c>
      <c r="K206" s="817" t="s">
        <v>426</v>
      </c>
      <c r="L206" s="817" t="s">
        <v>560</v>
      </c>
      <c r="M206" s="817" t="s">
        <v>418</v>
      </c>
      <c r="N206" s="817" t="s">
        <v>756</v>
      </c>
      <c r="O206" s="1202"/>
      <c r="P206" s="1202"/>
    </row>
    <row r="207" spans="6:16" ht="15.75" outlineLevel="1">
      <c r="F207" s="1203" t="str">
        <f>Inputs!V55</f>
        <v>Crédito Pessoal</v>
      </c>
      <c r="G207" s="1203"/>
      <c r="H207" s="1203"/>
      <c r="I207" s="1203"/>
      <c r="J207" s="783" t="str">
        <f>IF(SUM(K207:M207)=0,"",SUM(K207:M207))</f>
        <v/>
      </c>
      <c r="K207" s="783" t="str">
        <f>IF(Inputs!Y55=0,"",Inputs!Y55)</f>
        <v/>
      </c>
      <c r="L207" s="783" t="str">
        <f>IF(Inputs!Z55=0,"",Inputs!Z55)</f>
        <v/>
      </c>
      <c r="M207" s="783" t="str">
        <f>IF(Inputs!AA55=0,"",Inputs!AA55)</f>
        <v/>
      </c>
      <c r="N207" s="783" t="str">
        <f>IF(Inputs!AK55-SUM(Inputs!AG55:AI55)=0,"",Inputs!AK55-SUM(Inputs!AG55:AI55))</f>
        <v/>
      </c>
      <c r="O207" s="1204"/>
      <c r="P207" s="1204"/>
    </row>
    <row r="208" spans="6:16" ht="15.75" outlineLevel="1">
      <c r="F208" s="1205" t="str">
        <f>Inputs!V56</f>
        <v xml:space="preserve">Crédito Pessoal s/ Consignação </v>
      </c>
      <c r="G208" s="1205"/>
      <c r="H208" s="1205"/>
      <c r="I208" s="1205"/>
      <c r="J208" s="782" t="str">
        <f t="shared" ref="J208:J213" si="2">IF(SUM(K208:M208)=0,"",SUM(K208:M208))</f>
        <v/>
      </c>
      <c r="K208" s="782" t="str">
        <f>IF(Inputs!Y56=0,"",Inputs!Y56)</f>
        <v/>
      </c>
      <c r="L208" s="782" t="str">
        <f>IF(Inputs!Z56=0,"",Inputs!Z56)</f>
        <v/>
      </c>
      <c r="M208" s="782" t="str">
        <f>IF(Inputs!AA56=0,"",Inputs!AA56)</f>
        <v/>
      </c>
      <c r="N208" s="782" t="str">
        <f>IF(Inputs!AK56-SUM(Inputs!AG56:AI56)=0,"",Inputs!AK56-SUM(Inputs!AG56:AI56))</f>
        <v/>
      </c>
      <c r="O208" s="1204"/>
      <c r="P208" s="1204"/>
    </row>
    <row r="209" spans="6:16" ht="15.75" outlineLevel="1">
      <c r="F209" s="1206" t="str">
        <f>Inputs!V57</f>
        <v>Cartão de crédito</v>
      </c>
      <c r="G209" s="1206"/>
      <c r="H209" s="1206"/>
      <c r="I209" s="1206"/>
      <c r="J209" s="783">
        <f t="shared" si="2"/>
        <v>45.6</v>
      </c>
      <c r="K209" s="783">
        <f>IF(Inputs!Y57=0,"",Inputs!Y57)</f>
        <v>45.6</v>
      </c>
      <c r="L209" s="783" t="str">
        <f>IF(Inputs!Z57=0,"",Inputs!Z57)</f>
        <v/>
      </c>
      <c r="M209" s="783" t="str">
        <f>IF(Inputs!AA57=0,"",Inputs!AA57)</f>
        <v/>
      </c>
      <c r="N209" s="783">
        <f>IF(Inputs!AK57-SUM(Inputs!AG57:AI57)=0,"",Inputs!AK57-SUM(Inputs!AG57:AI57))</f>
        <v>45.6</v>
      </c>
      <c r="O209" s="1204"/>
      <c r="P209" s="1204"/>
    </row>
    <row r="210" spans="6:16" ht="15.75" outlineLevel="1">
      <c r="F210" s="1205" t="str">
        <f>Inputs!V58</f>
        <v>Cartão de crédito</v>
      </c>
      <c r="G210" s="1205"/>
      <c r="H210" s="1205"/>
      <c r="I210" s="1205"/>
      <c r="J210" s="782">
        <f t="shared" si="2"/>
        <v>1225</v>
      </c>
      <c r="K210" s="782" t="str">
        <f>IF(Inputs!Y58=0,"",Inputs!Y58)</f>
        <v/>
      </c>
      <c r="L210" s="782" t="str">
        <f>IF(Inputs!Z58=0,"",Inputs!Z58)</f>
        <v/>
      </c>
      <c r="M210" s="782">
        <f>IF(Inputs!AA58=0,"",Inputs!AA58)</f>
        <v>1225</v>
      </c>
      <c r="N210" s="782" t="str">
        <f>IF(Inputs!AK58-SUM(Inputs!AG58:AI58)=0,"",Inputs!AK58-SUM(Inputs!AG58:AI58))</f>
        <v/>
      </c>
      <c r="O210" s="1204"/>
      <c r="P210" s="1204"/>
    </row>
    <row r="211" spans="6:16" ht="15.75" outlineLevel="1">
      <c r="F211" s="1206" t="str">
        <f>Inputs!V59</f>
        <v>Financiamento de Imóvel</v>
      </c>
      <c r="G211" s="1206"/>
      <c r="H211" s="1206"/>
      <c r="I211" s="1206"/>
      <c r="J211" s="783" t="str">
        <f t="shared" si="2"/>
        <v/>
      </c>
      <c r="K211" s="783" t="str">
        <f>IF(Inputs!Y59=0,"",Inputs!Y59)</f>
        <v/>
      </c>
      <c r="L211" s="783" t="str">
        <f>IF(Inputs!Z59=0,"",Inputs!Z59)</f>
        <v/>
      </c>
      <c r="M211" s="783" t="str">
        <f>IF(Inputs!AA59=0,"",Inputs!AA59)</f>
        <v/>
      </c>
      <c r="N211" s="783" t="str">
        <f>IF(Inputs!AK59-SUM(Inputs!AG59:AI59)=0,"",Inputs!AK59-SUM(Inputs!AG59:AI59))</f>
        <v/>
      </c>
      <c r="O211" s="1204"/>
      <c r="P211" s="1204"/>
    </row>
    <row r="212" spans="6:16" ht="15.75" outlineLevel="1">
      <c r="F212" s="1205" t="str">
        <f>Inputs!V60</f>
        <v>Financiamento de Automóvel</v>
      </c>
      <c r="G212" s="1205"/>
      <c r="H212" s="1205"/>
      <c r="I212" s="1205"/>
      <c r="J212" s="782" t="str">
        <f t="shared" si="2"/>
        <v/>
      </c>
      <c r="K212" s="782" t="str">
        <f>IF(Inputs!Y60=0,"",Inputs!Y60)</f>
        <v/>
      </c>
      <c r="L212" s="782" t="str">
        <f>IF(Inputs!Z60=0,"",Inputs!Z60)</f>
        <v/>
      </c>
      <c r="M212" s="782" t="str">
        <f>IF(Inputs!AA60=0,"",Inputs!AA60)</f>
        <v/>
      </c>
      <c r="N212" s="782" t="str">
        <f>IF(Inputs!AK60-SUM(Inputs!AG60:AI60)=0,"",Inputs!AK60-SUM(Inputs!AG60:AI60))</f>
        <v/>
      </c>
      <c r="O212" s="1204"/>
      <c r="P212" s="1204"/>
    </row>
    <row r="213" spans="6:16" ht="15.6" customHeight="1" outlineLevel="1">
      <c r="F213" s="1206" t="str">
        <f>Inputs!V61</f>
        <v>Outros</v>
      </c>
      <c r="G213" s="1206"/>
      <c r="H213" s="1206"/>
      <c r="I213" s="1206"/>
      <c r="J213" s="783" t="str">
        <f t="shared" si="2"/>
        <v/>
      </c>
      <c r="K213" s="783" t="str">
        <f>IF(Inputs!Y61=0,"",Inputs!Y61)</f>
        <v/>
      </c>
      <c r="L213" s="783" t="str">
        <f>IF(Inputs!Z61=0,"",Inputs!Z61)</f>
        <v/>
      </c>
      <c r="M213" s="783" t="str">
        <f>IF(Inputs!AA61=0,"",Inputs!AA61)</f>
        <v/>
      </c>
      <c r="N213" s="783" t="str">
        <f>IF(Inputs!AK61-SUM(Inputs!AG61:AI61)=0,"",Inputs!AK61-SUM(Inputs!AG61:AI61))</f>
        <v/>
      </c>
      <c r="O213" s="1204"/>
      <c r="P213" s="1204"/>
    </row>
    <row r="214" spans="6:16" ht="15.75" outlineLevel="1">
      <c r="F214" s="1228" t="s">
        <v>80</v>
      </c>
      <c r="G214" s="1228"/>
      <c r="H214" s="1228"/>
      <c r="I214" s="1228"/>
      <c r="J214" s="816">
        <f>IF(SUM(J207:J213)=0,"",SUM(J207:J213))</f>
        <v>1270.5999999999999</v>
      </c>
      <c r="K214" s="816">
        <f t="shared" ref="K214" si="3">IF(SUM(K207:K213)=0,"",SUM(K207:K213))</f>
        <v>45.6</v>
      </c>
      <c r="L214" s="816" t="str">
        <f t="shared" ref="L214" si="4">IF(SUM(L207:L213)=0,"",SUM(L207:L213))</f>
        <v/>
      </c>
      <c r="M214" s="816">
        <f t="shared" ref="M214" si="5">IF(SUM(M207:M213)=0,"",SUM(M207:M213))</f>
        <v>1225</v>
      </c>
      <c r="N214" s="816">
        <f t="shared" ref="N214" si="6">IF(SUM(N207:N213)=0,"",SUM(N207:N213))</f>
        <v>45.6</v>
      </c>
      <c r="O214" s="1235"/>
      <c r="P214" s="1235"/>
    </row>
    <row r="215" spans="6:16" ht="15.75" outlineLevel="1">
      <c r="F215" s="826"/>
      <c r="G215" s="826"/>
      <c r="H215" s="826"/>
      <c r="I215" s="826"/>
      <c r="J215" s="780"/>
      <c r="K215" s="780"/>
      <c r="L215" s="780"/>
      <c r="M215" s="780"/>
      <c r="N215" s="780"/>
      <c r="O215" s="780"/>
      <c r="P215" s="780"/>
    </row>
    <row r="216" spans="6:16" ht="24" customHeight="1" outlineLevel="1">
      <c r="F216" s="1201" t="str">
        <f>"Dívidas Proponente - "&amp;$F$142</f>
        <v>Dívidas Proponente - ELETRO VOLUNTARIOS LTDA</v>
      </c>
      <c r="G216" s="1201"/>
      <c r="H216" s="1201"/>
      <c r="I216" s="1201"/>
      <c r="J216" s="817" t="s">
        <v>757</v>
      </c>
      <c r="K216" s="817" t="s">
        <v>426</v>
      </c>
      <c r="L216" s="817" t="s">
        <v>560</v>
      </c>
      <c r="M216" s="817" t="s">
        <v>418</v>
      </c>
      <c r="N216" s="817" t="s">
        <v>756</v>
      </c>
      <c r="O216" s="1202"/>
      <c r="P216" s="1202"/>
    </row>
    <row r="217" spans="6:16" ht="15.75" outlineLevel="1">
      <c r="F217" s="1203" t="str">
        <f>Inputs!V66</f>
        <v>Crédito Pessoal</v>
      </c>
      <c r="G217" s="1203"/>
      <c r="H217" s="1203"/>
      <c r="I217" s="1203"/>
      <c r="J217" s="783" t="str">
        <f>IF(SUM(K217:M217)=0,"",SUM(K217:M217))</f>
        <v/>
      </c>
      <c r="K217" s="783" t="str">
        <f>IF(Inputs!Y66=0,"",Inputs!Y66)</f>
        <v/>
      </c>
      <c r="L217" s="783" t="str">
        <f>IF(Inputs!Z66=0,"",Inputs!Z66)</f>
        <v/>
      </c>
      <c r="M217" s="783" t="str">
        <f>IF(Inputs!AA66=0,"",Inputs!AA66)</f>
        <v/>
      </c>
      <c r="N217" s="783" t="str">
        <f>IF(Inputs!AK66-SUM(Inputs!AG65:AI66)=0,"",Inputs!AK66-SUM(Inputs!AG66:AI66))</f>
        <v/>
      </c>
      <c r="O217" s="1204"/>
      <c r="P217" s="1204"/>
    </row>
    <row r="218" spans="6:16" ht="15.75" outlineLevel="1">
      <c r="F218" s="1205" t="str">
        <f>Inputs!V67</f>
        <v xml:space="preserve">Crédito Pessoal s/ Consignação </v>
      </c>
      <c r="G218" s="1205"/>
      <c r="H218" s="1205"/>
      <c r="I218" s="1205"/>
      <c r="J218" s="782" t="str">
        <f t="shared" ref="J218:J223" si="7">IF(SUM(K218:M218)=0,"",SUM(K218:M218))</f>
        <v/>
      </c>
      <c r="K218" s="782" t="str">
        <f>IF(Inputs!Y67=0,"",Inputs!Y67)</f>
        <v/>
      </c>
      <c r="L218" s="782" t="str">
        <f>IF(Inputs!Z67=0,"",Inputs!Z67)</f>
        <v/>
      </c>
      <c r="M218" s="782" t="str">
        <f>IF(Inputs!AA67=0,"",Inputs!AA67)</f>
        <v/>
      </c>
      <c r="N218" s="782" t="str">
        <f>IF(Inputs!AK67-SUM(Inputs!AG66:AI67)=0,"",Inputs!AK67-SUM(Inputs!AG67:AI67))</f>
        <v/>
      </c>
      <c r="O218" s="1204"/>
      <c r="P218" s="1204"/>
    </row>
    <row r="219" spans="6:16" ht="15.75" outlineLevel="1">
      <c r="F219" s="1206" t="str">
        <f>Inputs!V68</f>
        <v>Cheque especial</v>
      </c>
      <c r="G219" s="1206"/>
      <c r="H219" s="1206"/>
      <c r="I219" s="1206"/>
      <c r="J219" s="783" t="str">
        <f t="shared" si="7"/>
        <v/>
      </c>
      <c r="K219" s="783" t="str">
        <f>IF(Inputs!Y68=0,"",Inputs!Y68)</f>
        <v/>
      </c>
      <c r="L219" s="783" t="str">
        <f>IF(Inputs!Z68=0,"",Inputs!Z68)</f>
        <v/>
      </c>
      <c r="M219" s="783" t="str">
        <f>IF(Inputs!AA68=0,"",Inputs!AA68)</f>
        <v/>
      </c>
      <c r="N219" s="783" t="str">
        <f>IF(Inputs!AK68-SUM(Inputs!AG67:AI68)=0,"",Inputs!AK68-SUM(Inputs!AG68:AI68))</f>
        <v/>
      </c>
      <c r="O219" s="1204"/>
      <c r="P219" s="1204"/>
    </row>
    <row r="220" spans="6:16" ht="15.75" outlineLevel="1">
      <c r="F220" s="1205" t="str">
        <f>Inputs!V69</f>
        <v>Cartão de crédito</v>
      </c>
      <c r="G220" s="1205"/>
      <c r="H220" s="1205"/>
      <c r="I220" s="1205"/>
      <c r="J220" s="782" t="str">
        <f t="shared" si="7"/>
        <v/>
      </c>
      <c r="K220" s="782" t="str">
        <f>IF(Inputs!Y69=0,"",Inputs!Y69)</f>
        <v/>
      </c>
      <c r="L220" s="782" t="str">
        <f>IF(Inputs!Z69=0,"",Inputs!Z69)</f>
        <v/>
      </c>
      <c r="M220" s="782" t="str">
        <f>IF(Inputs!AA69=0,"",Inputs!AA69)</f>
        <v/>
      </c>
      <c r="N220" s="782" t="str">
        <f>IF(Inputs!AK69-SUM(Inputs!AG68:AI69)=0,"",Inputs!AK69-SUM(Inputs!AG69:AI69))</f>
        <v/>
      </c>
      <c r="O220" s="1204"/>
      <c r="P220" s="1204"/>
    </row>
    <row r="221" spans="6:16" ht="15.75" outlineLevel="1">
      <c r="F221" s="1206" t="str">
        <f>Inputs!V70</f>
        <v>Financiamento de Imóvel</v>
      </c>
      <c r="G221" s="1206"/>
      <c r="H221" s="1206"/>
      <c r="I221" s="1206"/>
      <c r="J221" s="783" t="str">
        <f t="shared" si="7"/>
        <v/>
      </c>
      <c r="K221" s="783" t="str">
        <f>IF(Inputs!Y70=0,"",Inputs!Y70)</f>
        <v/>
      </c>
      <c r="L221" s="783" t="str">
        <f>IF(Inputs!Z70=0,"",Inputs!Z70)</f>
        <v/>
      </c>
      <c r="M221" s="783" t="str">
        <f>IF(Inputs!AA70=0,"",Inputs!AA70)</f>
        <v/>
      </c>
      <c r="N221" s="783" t="str">
        <f>IF(Inputs!AK70-SUM(Inputs!AG69:AI70)=0,"",Inputs!AK70-SUM(Inputs!AG70:AI70))</f>
        <v/>
      </c>
      <c r="O221" s="1204"/>
      <c r="P221" s="1204"/>
    </row>
    <row r="222" spans="6:16" ht="15.75" outlineLevel="1">
      <c r="F222" s="1205" t="str">
        <f>Inputs!V71</f>
        <v>Financiamento de Automóvel</v>
      </c>
      <c r="G222" s="1205"/>
      <c r="H222" s="1205"/>
      <c r="I222" s="1205"/>
      <c r="J222" s="782" t="str">
        <f t="shared" si="7"/>
        <v/>
      </c>
      <c r="K222" s="782" t="str">
        <f>IF(Inputs!Y71=0,"",Inputs!Y71)</f>
        <v/>
      </c>
      <c r="L222" s="782" t="str">
        <f>IF(Inputs!Z71=0,"",Inputs!Z71)</f>
        <v/>
      </c>
      <c r="M222" s="782" t="str">
        <f>IF(Inputs!AA71=0,"",Inputs!AA71)</f>
        <v/>
      </c>
      <c r="N222" s="782" t="str">
        <f>IF(Inputs!AK71-SUM(Inputs!AG70:AI71)=0,"",Inputs!AK71-SUM(Inputs!AG71:AI71))</f>
        <v/>
      </c>
      <c r="O222" s="1204"/>
      <c r="P222" s="1204"/>
    </row>
    <row r="223" spans="6:16" ht="15.6" customHeight="1" outlineLevel="1">
      <c r="F223" s="1206" t="str">
        <f>Inputs!V72</f>
        <v>Outros</v>
      </c>
      <c r="G223" s="1206"/>
      <c r="H223" s="1206"/>
      <c r="I223" s="1206"/>
      <c r="J223" s="783" t="str">
        <f t="shared" si="7"/>
        <v/>
      </c>
      <c r="K223" s="783" t="str">
        <f>IF(Inputs!Y72=0,"",Inputs!Y72)</f>
        <v/>
      </c>
      <c r="L223" s="783" t="str">
        <f>IF(Inputs!Z72=0,"",Inputs!Z72)</f>
        <v/>
      </c>
      <c r="M223" s="783" t="str">
        <f>IF(Inputs!AA72=0,"",Inputs!AA72)</f>
        <v/>
      </c>
      <c r="N223" s="783" t="str">
        <f>IF(Inputs!AK72-SUM(Inputs!AG71:AI72)=0,"",Inputs!AK72-SUM(Inputs!AG72:AI72))</f>
        <v/>
      </c>
      <c r="O223" s="1204"/>
      <c r="P223" s="1204"/>
    </row>
    <row r="224" spans="6:16" ht="15.75" outlineLevel="1">
      <c r="F224" s="1228" t="s">
        <v>80</v>
      </c>
      <c r="G224" s="1228"/>
      <c r="H224" s="1228"/>
      <c r="I224" s="1228"/>
      <c r="J224" s="816" t="str">
        <f>IF(SUM(J217:J223)=0,"",SUM(J217:J223))</f>
        <v/>
      </c>
      <c r="K224" s="816" t="str">
        <f t="shared" ref="K224" si="8">IF(SUM(K217:K223)=0,"",SUM(K217:K223))</f>
        <v/>
      </c>
      <c r="L224" s="816" t="str">
        <f t="shared" ref="L224" si="9">IF(SUM(L217:L223)=0,"",SUM(L217:L223))</f>
        <v/>
      </c>
      <c r="M224" s="816" t="str">
        <f t="shared" ref="M224" si="10">IF(SUM(M217:M223)=0,"",SUM(M217:M223))</f>
        <v/>
      </c>
      <c r="N224" s="816" t="str">
        <f t="shared" ref="N224" si="11">IF(SUM(N217:N223)=0,"",SUM(N217:N223))</f>
        <v/>
      </c>
      <c r="O224" s="1235"/>
      <c r="P224" s="1235"/>
    </row>
    <row r="225" spans="6:16" ht="15.75" outlineLevel="1">
      <c r="F225" s="826"/>
      <c r="G225" s="826"/>
      <c r="H225" s="826"/>
      <c r="I225" s="826"/>
      <c r="J225" s="780"/>
      <c r="K225" s="780"/>
      <c r="L225" s="780"/>
      <c r="M225" s="780"/>
      <c r="N225" s="780"/>
      <c r="O225" s="780"/>
      <c r="P225" s="780"/>
    </row>
    <row r="226" spans="6:16" ht="24" customHeight="1" outlineLevel="1">
      <c r="F226" s="1201" t="str">
        <f>"Dívidas Proponente - "&amp;$F$143</f>
        <v xml:space="preserve">Dívidas Proponente - </v>
      </c>
      <c r="G226" s="1201"/>
      <c r="H226" s="1201"/>
      <c r="I226" s="1201"/>
      <c r="J226" s="817" t="s">
        <v>757</v>
      </c>
      <c r="K226" s="817" t="s">
        <v>426</v>
      </c>
      <c r="L226" s="817" t="s">
        <v>560</v>
      </c>
      <c r="M226" s="817" t="s">
        <v>418</v>
      </c>
      <c r="N226" s="817" t="s">
        <v>756</v>
      </c>
      <c r="O226" s="1202"/>
      <c r="P226" s="1202"/>
    </row>
    <row r="227" spans="6:16" ht="15.75" outlineLevel="1">
      <c r="F227" s="1203" t="str">
        <f>Inputs!V77</f>
        <v>Crédito Pessoal</v>
      </c>
      <c r="G227" s="1203"/>
      <c r="H227" s="1203"/>
      <c r="I227" s="1203"/>
      <c r="J227" s="783" t="str">
        <f>IF(SUM(K227:M227)=0,"",SUM(K227:M227))</f>
        <v/>
      </c>
      <c r="K227" s="783" t="str">
        <f>IF(Inputs!Y77=0,"",Inputs!Y77)</f>
        <v/>
      </c>
      <c r="L227" s="783" t="str">
        <f>IF(Inputs!Z77=0,"",Inputs!Z77)</f>
        <v/>
      </c>
      <c r="M227" s="783" t="str">
        <f>IF(Inputs!AA77=0,"",Inputs!AA77)</f>
        <v/>
      </c>
      <c r="N227" s="783" t="str">
        <f>IF(Inputs!AK77-SUM(Inputs!AG77:AI77)=0,"",Inputs!AK77-SUM(Inputs!AG77:AI77))</f>
        <v/>
      </c>
      <c r="O227" s="1204"/>
      <c r="P227" s="1204"/>
    </row>
    <row r="228" spans="6:16" ht="15.75" outlineLevel="1">
      <c r="F228" s="1205" t="str">
        <f>Inputs!V78</f>
        <v xml:space="preserve">Crédito Pessoal s/ Consignação </v>
      </c>
      <c r="G228" s="1205"/>
      <c r="H228" s="1205"/>
      <c r="I228" s="1205"/>
      <c r="J228" s="782" t="str">
        <f t="shared" ref="J228:J233" si="12">IF(SUM(K228:M228)=0,"",SUM(K228:M228))</f>
        <v/>
      </c>
      <c r="K228" s="782" t="str">
        <f>IF(Inputs!Y78=0,"",Inputs!Y78)</f>
        <v/>
      </c>
      <c r="L228" s="782" t="str">
        <f>IF(Inputs!Z78=0,"",Inputs!Z78)</f>
        <v/>
      </c>
      <c r="M228" s="782" t="str">
        <f>IF(Inputs!AA78=0,"",Inputs!AA78)</f>
        <v/>
      </c>
      <c r="N228" s="782" t="str">
        <f>IF(Inputs!AK78-SUM(Inputs!AG78:AI78)=0,"",Inputs!AK78-SUM(Inputs!AG78:AI78))</f>
        <v/>
      </c>
      <c r="O228" s="1204"/>
      <c r="P228" s="1204"/>
    </row>
    <row r="229" spans="6:16" ht="15.75" outlineLevel="1">
      <c r="F229" s="1206" t="str">
        <f>Inputs!V79</f>
        <v>Cheque especial</v>
      </c>
      <c r="G229" s="1206"/>
      <c r="H229" s="1206"/>
      <c r="I229" s="1206"/>
      <c r="J229" s="783" t="str">
        <f t="shared" si="12"/>
        <v/>
      </c>
      <c r="K229" s="783" t="str">
        <f>IF(Inputs!Y79=0,"",Inputs!Y79)</f>
        <v/>
      </c>
      <c r="L229" s="783" t="str">
        <f>IF(Inputs!Z79=0,"",Inputs!Z79)</f>
        <v/>
      </c>
      <c r="M229" s="783" t="str">
        <f>IF(Inputs!AA79=0,"",Inputs!AA79)</f>
        <v/>
      </c>
      <c r="N229" s="783" t="str">
        <f>IF(Inputs!AK79-SUM(Inputs!AG79:AI79)=0,"",Inputs!AK79-SUM(Inputs!AG79:AI79))</f>
        <v/>
      </c>
      <c r="O229" s="1204"/>
      <c r="P229" s="1204"/>
    </row>
    <row r="230" spans="6:16" ht="15.75" outlineLevel="1">
      <c r="F230" s="1205" t="str">
        <f>Inputs!V80</f>
        <v>Cartão de crédito</v>
      </c>
      <c r="G230" s="1205"/>
      <c r="H230" s="1205"/>
      <c r="I230" s="1205"/>
      <c r="J230" s="782" t="str">
        <f t="shared" si="12"/>
        <v/>
      </c>
      <c r="K230" s="782" t="str">
        <f>IF(Inputs!Y80=0,"",Inputs!Y80)</f>
        <v/>
      </c>
      <c r="L230" s="782" t="str">
        <f>IF(Inputs!Z80=0,"",Inputs!Z80)</f>
        <v/>
      </c>
      <c r="M230" s="782" t="str">
        <f>IF(Inputs!AA80=0,"",Inputs!AA80)</f>
        <v/>
      </c>
      <c r="N230" s="782" t="str">
        <f>IF(Inputs!AK80-SUM(Inputs!AG80:AI80)=0,"",Inputs!AK80-SUM(Inputs!AG80:AI80))</f>
        <v/>
      </c>
      <c r="O230" s="1204"/>
      <c r="P230" s="1204"/>
    </row>
    <row r="231" spans="6:16" ht="15.75" outlineLevel="1">
      <c r="F231" s="1206" t="str">
        <f>Inputs!V81</f>
        <v>Financiamento de Imóvel</v>
      </c>
      <c r="G231" s="1206"/>
      <c r="H231" s="1206"/>
      <c r="I231" s="1206"/>
      <c r="J231" s="783" t="str">
        <f t="shared" si="12"/>
        <v/>
      </c>
      <c r="K231" s="783" t="str">
        <f>IF(Inputs!Y81=0,"",Inputs!Y81)</f>
        <v/>
      </c>
      <c r="L231" s="783" t="str">
        <f>IF(Inputs!Z81=0,"",Inputs!Z81)</f>
        <v/>
      </c>
      <c r="M231" s="783" t="str">
        <f>IF(Inputs!AA81=0,"",Inputs!AA81)</f>
        <v/>
      </c>
      <c r="N231" s="783" t="str">
        <f>IF(Inputs!AK81-SUM(Inputs!AG81:AI81)=0,"",Inputs!AK81-SUM(Inputs!AG81:AI81))</f>
        <v/>
      </c>
      <c r="O231" s="1204"/>
      <c r="P231" s="1204"/>
    </row>
    <row r="232" spans="6:16" ht="15.75" outlineLevel="1">
      <c r="F232" s="1205" t="str">
        <f>Inputs!V82</f>
        <v>Financiamento de Automóvel</v>
      </c>
      <c r="G232" s="1205"/>
      <c r="H232" s="1205"/>
      <c r="I232" s="1205"/>
      <c r="J232" s="782" t="str">
        <f t="shared" si="12"/>
        <v/>
      </c>
      <c r="K232" s="782" t="str">
        <f>IF(Inputs!Y82=0,"",Inputs!Y82)</f>
        <v/>
      </c>
      <c r="L232" s="782" t="str">
        <f>IF(Inputs!Z82=0,"",Inputs!Z82)</f>
        <v/>
      </c>
      <c r="M232" s="782" t="str">
        <f>IF(Inputs!AA82=0,"",Inputs!AA82)</f>
        <v/>
      </c>
      <c r="N232" s="782" t="str">
        <f>IF(Inputs!AK82-SUM(Inputs!AG82:AI82)=0,"",Inputs!AK82-SUM(Inputs!AG82:AI82))</f>
        <v/>
      </c>
      <c r="O232" s="1204"/>
      <c r="P232" s="1204"/>
    </row>
    <row r="233" spans="6:16" ht="15.6" customHeight="1" outlineLevel="1">
      <c r="F233" s="1206" t="str">
        <f>Inputs!V83</f>
        <v>Outros</v>
      </c>
      <c r="G233" s="1206"/>
      <c r="H233" s="1206"/>
      <c r="I233" s="1206"/>
      <c r="J233" s="783" t="str">
        <f t="shared" si="12"/>
        <v/>
      </c>
      <c r="K233" s="783" t="str">
        <f>IF(Inputs!Y83=0,"",Inputs!Y83)</f>
        <v/>
      </c>
      <c r="L233" s="783" t="str">
        <f>IF(Inputs!Z83=0,"",Inputs!Z83)</f>
        <v/>
      </c>
      <c r="M233" s="783" t="str">
        <f>IF(Inputs!AA83=0,"",Inputs!AA83)</f>
        <v/>
      </c>
      <c r="N233" s="783" t="str">
        <f>IF(Inputs!AK83-SUM(Inputs!AG83:AI83)=0,"",Inputs!AK83-SUM(Inputs!AG83:AI83))</f>
        <v/>
      </c>
      <c r="O233" s="1204"/>
      <c r="P233" s="1204"/>
    </row>
    <row r="234" spans="6:16" ht="15.75" outlineLevel="1">
      <c r="F234" s="1228" t="s">
        <v>80</v>
      </c>
      <c r="G234" s="1228"/>
      <c r="H234" s="1228"/>
      <c r="I234" s="1228"/>
      <c r="J234" s="816" t="str">
        <f>IF(SUM(J227:J233)=0,"",SUM(J227:J233))</f>
        <v/>
      </c>
      <c r="K234" s="816" t="str">
        <f t="shared" ref="K234" si="13">IF(SUM(K227:K233)=0,"",SUM(K227:K233))</f>
        <v/>
      </c>
      <c r="L234" s="816" t="str">
        <f t="shared" ref="L234" si="14">IF(SUM(L227:L233)=0,"",SUM(L227:L233))</f>
        <v/>
      </c>
      <c r="M234" s="816" t="str">
        <f t="shared" ref="M234" si="15">IF(SUM(M227:M233)=0,"",SUM(M227:M233))</f>
        <v/>
      </c>
      <c r="N234" s="816" t="str">
        <f t="shared" ref="N234" si="16">IF(SUM(N227:N233)=0,"",SUM(N227:N233))</f>
        <v/>
      </c>
      <c r="O234" s="1235"/>
      <c r="P234" s="1235"/>
    </row>
    <row r="235" spans="6:16" ht="15.75" outlineLevel="1">
      <c r="F235" s="826"/>
      <c r="G235" s="826"/>
      <c r="H235" s="826"/>
      <c r="I235" s="826"/>
      <c r="J235" s="780"/>
      <c r="K235" s="780"/>
      <c r="L235" s="780"/>
      <c r="M235" s="780"/>
      <c r="N235" s="780"/>
      <c r="O235" s="780"/>
      <c r="P235" s="780"/>
    </row>
    <row r="236" spans="6:16" ht="24" customHeight="1" outlineLevel="1">
      <c r="F236" s="1201" t="str">
        <f>"Dívidas Proponente - "&amp;$F$144</f>
        <v xml:space="preserve">Dívidas Proponente - </v>
      </c>
      <c r="G236" s="1201"/>
      <c r="H236" s="1201"/>
      <c r="I236" s="1201"/>
      <c r="J236" s="817" t="s">
        <v>757</v>
      </c>
      <c r="K236" s="817" t="s">
        <v>426</v>
      </c>
      <c r="L236" s="817" t="s">
        <v>560</v>
      </c>
      <c r="M236" s="817" t="s">
        <v>418</v>
      </c>
      <c r="N236" s="817" t="s">
        <v>756</v>
      </c>
      <c r="O236" s="1202"/>
      <c r="P236" s="1202"/>
    </row>
    <row r="237" spans="6:16" ht="15.75" outlineLevel="1">
      <c r="F237" s="1203" t="str">
        <f>Inputs!V88</f>
        <v>Crédito Pessoal</v>
      </c>
      <c r="G237" s="1203"/>
      <c r="H237" s="1203"/>
      <c r="I237" s="1203"/>
      <c r="J237" s="783" t="str">
        <f>IF(SUM(K237:M237)=0,"",SUM(K237:M237))</f>
        <v/>
      </c>
      <c r="K237" s="783" t="str">
        <f>IF(Inputs!Y88=0,"",Inputs!Y88)</f>
        <v/>
      </c>
      <c r="L237" s="783" t="str">
        <f>IF(Inputs!Z88=0,"",Inputs!Z88)</f>
        <v/>
      </c>
      <c r="M237" s="783" t="str">
        <f>IF(Inputs!AA88=0,"",Inputs!AA88)</f>
        <v/>
      </c>
      <c r="N237" s="783" t="str">
        <f>IF(Inputs!AK88-SUM(Inputs!AG88:AI88)=0,"",Inputs!AK88-SUM(Inputs!AG88:AI88))</f>
        <v/>
      </c>
      <c r="O237" s="1204"/>
      <c r="P237" s="1204"/>
    </row>
    <row r="238" spans="6:16" ht="15.75" outlineLevel="1">
      <c r="F238" s="1205" t="str">
        <f>Inputs!V89</f>
        <v xml:space="preserve">Crédito Pessoal s/ Consignação </v>
      </c>
      <c r="G238" s="1205"/>
      <c r="H238" s="1205"/>
      <c r="I238" s="1205"/>
      <c r="J238" s="782" t="str">
        <f t="shared" ref="J238:J243" si="17">IF(SUM(K238:M238)=0,"",SUM(K238:M238))</f>
        <v/>
      </c>
      <c r="K238" s="782" t="str">
        <f>IF(Inputs!Y89=0,"",Inputs!Y89)</f>
        <v/>
      </c>
      <c r="L238" s="782" t="str">
        <f>IF(Inputs!Z89=0,"",Inputs!Z89)</f>
        <v/>
      </c>
      <c r="M238" s="782" t="str">
        <f>IF(Inputs!AA89=0,"",Inputs!AA89)</f>
        <v/>
      </c>
      <c r="N238" s="782" t="str">
        <f>IF(Inputs!AK89-SUM(Inputs!AG89:AI89)=0,"",Inputs!AK89-SUM(Inputs!AG89:AI89))</f>
        <v/>
      </c>
      <c r="O238" s="1204"/>
      <c r="P238" s="1204"/>
    </row>
    <row r="239" spans="6:16" ht="15.75" outlineLevel="1">
      <c r="F239" s="1206" t="str">
        <f>Inputs!V90</f>
        <v>Cheque especial</v>
      </c>
      <c r="G239" s="1206"/>
      <c r="H239" s="1206"/>
      <c r="I239" s="1206"/>
      <c r="J239" s="783" t="str">
        <f t="shared" si="17"/>
        <v/>
      </c>
      <c r="K239" s="783" t="str">
        <f>IF(Inputs!Y90=0,"",Inputs!Y90)</f>
        <v/>
      </c>
      <c r="L239" s="783" t="str">
        <f>IF(Inputs!Z90=0,"",Inputs!Z90)</f>
        <v/>
      </c>
      <c r="M239" s="783" t="str">
        <f>IF(Inputs!AA90=0,"",Inputs!AA90)</f>
        <v/>
      </c>
      <c r="N239" s="783" t="str">
        <f>IF(Inputs!AK90-SUM(Inputs!AG90:AI90)=0,"",Inputs!AK90-SUM(Inputs!AG90:AI90))</f>
        <v/>
      </c>
      <c r="O239" s="1204"/>
      <c r="P239" s="1204"/>
    </row>
    <row r="240" spans="6:16" ht="15.75" outlineLevel="1">
      <c r="F240" s="1205" t="str">
        <f>Inputs!V91</f>
        <v>Cartão de crédito</v>
      </c>
      <c r="G240" s="1205"/>
      <c r="H240" s="1205"/>
      <c r="I240" s="1205"/>
      <c r="J240" s="782" t="str">
        <f t="shared" si="17"/>
        <v/>
      </c>
      <c r="K240" s="782" t="str">
        <f>IF(Inputs!Y91=0,"",Inputs!Y91)</f>
        <v/>
      </c>
      <c r="L240" s="782" t="str">
        <f>IF(Inputs!Z91=0,"",Inputs!Z91)</f>
        <v/>
      </c>
      <c r="M240" s="782" t="str">
        <f>IF(Inputs!AA91=0,"",Inputs!AA91)</f>
        <v/>
      </c>
      <c r="N240" s="782" t="str">
        <f>IF(Inputs!AK91-SUM(Inputs!AG91:AI91)=0,"",Inputs!AK91-SUM(Inputs!AG91:AI91))</f>
        <v/>
      </c>
      <c r="O240" s="1204"/>
      <c r="P240" s="1204"/>
    </row>
    <row r="241" spans="6:16" ht="15.75" outlineLevel="1">
      <c r="F241" s="1206" t="str">
        <f>Inputs!V92</f>
        <v>Financiamento de Imóvel</v>
      </c>
      <c r="G241" s="1206"/>
      <c r="H241" s="1206"/>
      <c r="I241" s="1206"/>
      <c r="J241" s="783" t="str">
        <f t="shared" si="17"/>
        <v/>
      </c>
      <c r="K241" s="783" t="str">
        <f>IF(Inputs!Y92=0,"",Inputs!Y92)</f>
        <v/>
      </c>
      <c r="L241" s="783" t="str">
        <f>IF(Inputs!Z92=0,"",Inputs!Z92)</f>
        <v/>
      </c>
      <c r="M241" s="783" t="str">
        <f>IF(Inputs!AA92=0,"",Inputs!AA92)</f>
        <v/>
      </c>
      <c r="N241" s="783" t="str">
        <f>IF(Inputs!AK92-SUM(Inputs!AG92:AI92)=0,"",Inputs!AK92-SUM(Inputs!AG92:AI92))</f>
        <v/>
      </c>
      <c r="O241" s="1204"/>
      <c r="P241" s="1204"/>
    </row>
    <row r="242" spans="6:16" ht="15.75" outlineLevel="1">
      <c r="F242" s="1205" t="str">
        <f>Inputs!V93</f>
        <v>Financiamento de Automóvel</v>
      </c>
      <c r="G242" s="1205"/>
      <c r="H242" s="1205"/>
      <c r="I242" s="1205"/>
      <c r="J242" s="782" t="str">
        <f t="shared" si="17"/>
        <v/>
      </c>
      <c r="K242" s="782" t="str">
        <f>IF(Inputs!Y93=0,"",Inputs!Y93)</f>
        <v/>
      </c>
      <c r="L242" s="782" t="str">
        <f>IF(Inputs!Z93=0,"",Inputs!Z93)</f>
        <v/>
      </c>
      <c r="M242" s="782" t="str">
        <f>IF(Inputs!AA93=0,"",Inputs!AA93)</f>
        <v/>
      </c>
      <c r="N242" s="782" t="str">
        <f>IF(Inputs!AK93-SUM(Inputs!AG93:AI93)=0,"",Inputs!AK93-SUM(Inputs!AG93:AI93))</f>
        <v/>
      </c>
      <c r="O242" s="1204"/>
      <c r="P242" s="1204"/>
    </row>
    <row r="243" spans="6:16" ht="15.6" customHeight="1" outlineLevel="1">
      <c r="F243" s="1206" t="str">
        <f>Inputs!V94</f>
        <v>Outros</v>
      </c>
      <c r="G243" s="1206"/>
      <c r="H243" s="1206"/>
      <c r="I243" s="1206"/>
      <c r="J243" s="783" t="str">
        <f t="shared" si="17"/>
        <v/>
      </c>
      <c r="K243" s="783" t="str">
        <f>IF(Inputs!Y94=0,"",Inputs!Y94)</f>
        <v/>
      </c>
      <c r="L243" s="783" t="str">
        <f>IF(Inputs!Z94=0,"",Inputs!Z94)</f>
        <v/>
      </c>
      <c r="M243" s="783" t="str">
        <f>IF(Inputs!AA94=0,"",Inputs!AA94)</f>
        <v/>
      </c>
      <c r="N243" s="783" t="str">
        <f>IF(Inputs!AK94-SUM(Inputs!AG94:AI94)=0,"",Inputs!AK94-SUM(Inputs!AG94:AI94))</f>
        <v/>
      </c>
      <c r="O243" s="1204"/>
      <c r="P243" s="1204"/>
    </row>
    <row r="244" spans="6:16" ht="15.75" outlineLevel="1">
      <c r="F244" s="1228" t="s">
        <v>80</v>
      </c>
      <c r="G244" s="1228"/>
      <c r="H244" s="1228"/>
      <c r="I244" s="1228"/>
      <c r="J244" s="816" t="str">
        <f>IF(SUM(J237:J243)=0,"",SUM(J237:J243))</f>
        <v/>
      </c>
      <c r="K244" s="816" t="str">
        <f t="shared" ref="K244" si="18">IF(SUM(K237:K243)=0,"",SUM(K237:K243))</f>
        <v/>
      </c>
      <c r="L244" s="816" t="str">
        <f t="shared" ref="L244" si="19">IF(SUM(L237:L243)=0,"",SUM(L237:L243))</f>
        <v/>
      </c>
      <c r="M244" s="816" t="str">
        <f t="shared" ref="M244" si="20">IF(SUM(M237:M243)=0,"",SUM(M237:M243))</f>
        <v/>
      </c>
      <c r="N244" s="816" t="str">
        <f t="shared" ref="N244" si="21">IF(SUM(N237:N243)=0,"",SUM(N237:N243))</f>
        <v/>
      </c>
      <c r="O244" s="1235"/>
      <c r="P244" s="1235"/>
    </row>
    <row r="245" spans="6:16" ht="15.75" outlineLevel="1">
      <c r="F245" s="826"/>
      <c r="G245" s="826"/>
      <c r="H245" s="826"/>
      <c r="I245" s="826"/>
      <c r="J245" s="780"/>
      <c r="K245" s="780"/>
      <c r="L245" s="780"/>
      <c r="M245" s="780"/>
      <c r="N245" s="780"/>
      <c r="O245" s="780"/>
      <c r="P245" s="780"/>
    </row>
    <row r="246" spans="6:16" ht="24" customHeight="1" outlineLevel="1">
      <c r="F246" s="1201" t="str">
        <f>"Dívidas Proponente - "&amp;$F$145</f>
        <v xml:space="preserve">Dívidas Proponente - </v>
      </c>
      <c r="G246" s="1201"/>
      <c r="H246" s="1201"/>
      <c r="I246" s="1201"/>
      <c r="J246" s="817" t="s">
        <v>757</v>
      </c>
      <c r="K246" s="817" t="s">
        <v>426</v>
      </c>
      <c r="L246" s="817" t="s">
        <v>560</v>
      </c>
      <c r="M246" s="817" t="s">
        <v>418</v>
      </c>
      <c r="N246" s="817" t="s">
        <v>756</v>
      </c>
      <c r="O246" s="1202"/>
      <c r="P246" s="1202"/>
    </row>
    <row r="247" spans="6:16" ht="15.75" outlineLevel="1">
      <c r="F247" s="1248" t="str">
        <f>Inputs!V99</f>
        <v>Crédito Pessoal</v>
      </c>
      <c r="G247" s="1248"/>
      <c r="H247" s="1248"/>
      <c r="I247" s="1248"/>
      <c r="J247" s="783" t="str">
        <f>IF(SUM(K247:M247)=0,"",SUM(K247:M247))</f>
        <v/>
      </c>
      <c r="K247" s="783" t="str">
        <f>IF(Inputs!Y99=0,"",Inputs!Y99)</f>
        <v/>
      </c>
      <c r="L247" s="783" t="str">
        <f>IF(Inputs!Z99=0,"",Inputs!Z99)</f>
        <v/>
      </c>
      <c r="M247" s="783" t="str">
        <f>IF(Inputs!AA99=0,"",Inputs!AA99)</f>
        <v/>
      </c>
      <c r="N247" s="783" t="str">
        <f>IF(Inputs!AK99-SUM(Inputs!AG99:AI99)=0,"",Inputs!AK99-SUM(Inputs!AG99:AI99))</f>
        <v/>
      </c>
      <c r="O247" s="1204"/>
      <c r="P247" s="1204"/>
    </row>
    <row r="248" spans="6:16" ht="15.75" outlineLevel="1">
      <c r="F248" s="1249" t="str">
        <f>Inputs!V100</f>
        <v xml:space="preserve">Crédito Pessoal s/ Consignação </v>
      </c>
      <c r="G248" s="1249"/>
      <c r="H248" s="1249"/>
      <c r="I248" s="1249"/>
      <c r="J248" s="782" t="str">
        <f t="shared" ref="J248:J253" si="22">IF(SUM(K248:M248)=0,"",SUM(K248:M248))</f>
        <v/>
      </c>
      <c r="K248" s="782" t="str">
        <f>IF(Inputs!Y100=0,"",Inputs!Y100)</f>
        <v/>
      </c>
      <c r="L248" s="782" t="str">
        <f>IF(Inputs!Z100=0,"",Inputs!Z100)</f>
        <v/>
      </c>
      <c r="M248" s="782" t="str">
        <f>IF(Inputs!AA100=0,"",Inputs!AA100)</f>
        <v/>
      </c>
      <c r="N248" s="782" t="str">
        <f>IF(Inputs!AK100-SUM(Inputs!AG100:AI100)=0,"",Inputs!AK100-SUM(Inputs!AG100:AI100))</f>
        <v/>
      </c>
      <c r="O248" s="1204"/>
      <c r="P248" s="1204"/>
    </row>
    <row r="249" spans="6:16" ht="15.75" outlineLevel="1">
      <c r="F249" s="1206" t="str">
        <f>Inputs!V101</f>
        <v>Cheque especial</v>
      </c>
      <c r="G249" s="1206"/>
      <c r="H249" s="1206"/>
      <c r="I249" s="1206"/>
      <c r="J249" s="783" t="str">
        <f t="shared" si="22"/>
        <v/>
      </c>
      <c r="K249" s="783" t="str">
        <f>IF(Inputs!Y101=0,"",Inputs!Y101)</f>
        <v/>
      </c>
      <c r="L249" s="783" t="str">
        <f>IF(Inputs!Z101=0,"",Inputs!Z101)</f>
        <v/>
      </c>
      <c r="M249" s="783" t="str">
        <f>IF(Inputs!AA101=0,"",Inputs!AA101)</f>
        <v/>
      </c>
      <c r="N249" s="783" t="str">
        <f>IF(Inputs!AK101-SUM(Inputs!AG101:AI101)=0,"",Inputs!AK101-SUM(Inputs!AG101:AI101))</f>
        <v/>
      </c>
      <c r="O249" s="1204"/>
      <c r="P249" s="1204"/>
    </row>
    <row r="250" spans="6:16" ht="15.75" outlineLevel="1">
      <c r="F250" s="1205" t="str">
        <f>Inputs!V102</f>
        <v>Cartão de crédito</v>
      </c>
      <c r="G250" s="1205"/>
      <c r="H250" s="1205"/>
      <c r="I250" s="1205"/>
      <c r="J250" s="782" t="str">
        <f t="shared" si="22"/>
        <v/>
      </c>
      <c r="K250" s="782" t="str">
        <f>IF(Inputs!Y102=0,"",Inputs!Y102)</f>
        <v/>
      </c>
      <c r="L250" s="782" t="str">
        <f>IF(Inputs!Z102=0,"",Inputs!Z102)</f>
        <v/>
      </c>
      <c r="M250" s="782" t="str">
        <f>IF(Inputs!AA102=0,"",Inputs!AA102)</f>
        <v/>
      </c>
      <c r="N250" s="782" t="str">
        <f>IF(Inputs!AK102-SUM(Inputs!AG102:AI102)=0,"",Inputs!AK102-SUM(Inputs!AG102:AI102))</f>
        <v/>
      </c>
      <c r="O250" s="1204"/>
      <c r="P250" s="1204"/>
    </row>
    <row r="251" spans="6:16" ht="15.75" outlineLevel="1">
      <c r="F251" s="1206" t="str">
        <f>Inputs!V103</f>
        <v>Financiamento de Imóvel</v>
      </c>
      <c r="G251" s="1206"/>
      <c r="H251" s="1206"/>
      <c r="I251" s="1206"/>
      <c r="J251" s="783" t="str">
        <f t="shared" si="22"/>
        <v/>
      </c>
      <c r="K251" s="783" t="str">
        <f>IF(Inputs!Y103=0,"",Inputs!Y103)</f>
        <v/>
      </c>
      <c r="L251" s="783" t="str">
        <f>IF(Inputs!Z103=0,"",Inputs!Z103)</f>
        <v/>
      </c>
      <c r="M251" s="783" t="str">
        <f>IF(Inputs!AA103=0,"",Inputs!AA103)</f>
        <v/>
      </c>
      <c r="N251" s="783" t="str">
        <f>IF(Inputs!AK103-SUM(Inputs!AG103:AI103)=0,"",Inputs!AK103-SUM(Inputs!AG103:AI103))</f>
        <v/>
      </c>
      <c r="O251" s="1204"/>
      <c r="P251" s="1204"/>
    </row>
    <row r="252" spans="6:16" ht="15.75" outlineLevel="1">
      <c r="F252" s="1205" t="str">
        <f>Inputs!V104</f>
        <v>Financiamento de Automóvel</v>
      </c>
      <c r="G252" s="1205"/>
      <c r="H252" s="1205"/>
      <c r="I252" s="1205"/>
      <c r="J252" s="782" t="str">
        <f t="shared" si="22"/>
        <v/>
      </c>
      <c r="K252" s="782" t="str">
        <f>IF(Inputs!Y104=0,"",Inputs!Y104)</f>
        <v/>
      </c>
      <c r="L252" s="782" t="str">
        <f>IF(Inputs!Z104=0,"",Inputs!Z104)</f>
        <v/>
      </c>
      <c r="M252" s="782" t="str">
        <f>IF(Inputs!AA104=0,"",Inputs!AA104)</f>
        <v/>
      </c>
      <c r="N252" s="782" t="str">
        <f>IF(Inputs!AK104-SUM(Inputs!AG104:AI104)=0,"",Inputs!AK104-SUM(Inputs!AG104:AI104))</f>
        <v/>
      </c>
      <c r="O252" s="1204"/>
      <c r="P252" s="1204"/>
    </row>
    <row r="253" spans="6:16" ht="15.75" outlineLevel="1">
      <c r="F253" s="1205" t="str">
        <f>Inputs!V105</f>
        <v>Outros</v>
      </c>
      <c r="G253" s="1205"/>
      <c r="H253" s="1205"/>
      <c r="I253" s="1205"/>
      <c r="J253" s="782" t="str">
        <f t="shared" si="22"/>
        <v/>
      </c>
      <c r="K253" s="782" t="str">
        <f>IF(Inputs!Y105=0,"",Inputs!Y105)</f>
        <v/>
      </c>
      <c r="L253" s="782" t="str">
        <f>IF(Inputs!Z105=0,"",Inputs!Z105)</f>
        <v/>
      </c>
      <c r="M253" s="782" t="str">
        <f>IF(Inputs!AA105=0,"",Inputs!AA105)</f>
        <v/>
      </c>
      <c r="N253" s="782" t="str">
        <f>IF(Inputs!AK105-SUM(Inputs!AG105:AI105)=0,"",Inputs!AK105-SUM(Inputs!AG105:AI105))</f>
        <v/>
      </c>
      <c r="O253" s="1204"/>
      <c r="P253" s="1204"/>
    </row>
    <row r="254" spans="6:16" ht="15.75" outlineLevel="1">
      <c r="F254" s="1228" t="s">
        <v>80</v>
      </c>
      <c r="G254" s="1228"/>
      <c r="H254" s="1228"/>
      <c r="I254" s="1228"/>
      <c r="J254" s="816" t="str">
        <f>IF(SUM(J247:J253)=0,"",SUM(J247:J253))</f>
        <v/>
      </c>
      <c r="K254" s="816" t="str">
        <f t="shared" ref="K254" si="23">IF(SUM(K247:K253)=0,"",SUM(K247:K253))</f>
        <v/>
      </c>
      <c r="L254" s="816" t="str">
        <f t="shared" ref="L254" si="24">IF(SUM(L247:L253)=0,"",SUM(L247:L253))</f>
        <v/>
      </c>
      <c r="M254" s="816" t="str">
        <f t="shared" ref="M254" si="25">IF(SUM(M247:M253)=0,"",SUM(M247:M253))</f>
        <v/>
      </c>
      <c r="N254" s="816" t="str">
        <f t="shared" ref="N254" si="26">IF(SUM(N247:N253)=0,"",SUM(N247:N253))</f>
        <v/>
      </c>
      <c r="O254" s="1235"/>
      <c r="P254" s="1235"/>
    </row>
    <row r="255" spans="6:16" ht="15.75" outlineLevel="1">
      <c r="F255" s="826"/>
      <c r="G255" s="826"/>
      <c r="H255" s="826"/>
      <c r="I255" s="826"/>
      <c r="J255" s="780"/>
      <c r="K255" s="780"/>
      <c r="L255" s="780"/>
      <c r="M255" s="780"/>
      <c r="N255" s="780"/>
      <c r="O255" s="780"/>
      <c r="P255" s="780"/>
    </row>
    <row r="256" spans="6:16" ht="15.75" outlineLevel="1">
      <c r="F256" s="826"/>
      <c r="G256" s="826"/>
      <c r="H256" s="826"/>
      <c r="I256" s="826"/>
      <c r="J256" s="780"/>
      <c r="K256" s="780"/>
      <c r="L256" s="780"/>
      <c r="M256" s="780"/>
      <c r="N256" s="780"/>
      <c r="O256" s="780"/>
      <c r="P256" s="780"/>
    </row>
    <row r="257" spans="6:16" ht="15.75" outlineLevel="1">
      <c r="F257" s="826"/>
      <c r="G257" s="826"/>
      <c r="H257" s="826"/>
      <c r="I257" s="826"/>
      <c r="J257" s="990"/>
      <c r="K257" s="990"/>
      <c r="L257" s="990"/>
      <c r="M257" s="990"/>
      <c r="N257" s="990"/>
      <c r="O257" s="990"/>
      <c r="P257" s="990"/>
    </row>
    <row r="258" spans="6:16" ht="15.75" outlineLevel="1">
      <c r="F258" s="826"/>
      <c r="G258" s="826"/>
      <c r="H258" s="826"/>
      <c r="I258" s="826"/>
      <c r="J258" s="990"/>
      <c r="K258" s="990"/>
      <c r="L258" s="990"/>
      <c r="M258" s="990"/>
      <c r="N258" s="990"/>
      <c r="O258" s="990"/>
      <c r="P258" s="990"/>
    </row>
    <row r="259" spans="6:16" ht="15.75" outlineLevel="1">
      <c r="F259" s="826"/>
      <c r="G259" s="826"/>
      <c r="H259" s="826"/>
      <c r="I259" s="826"/>
      <c r="J259" s="990"/>
      <c r="K259" s="990"/>
      <c r="L259" s="990"/>
      <c r="M259" s="990"/>
      <c r="N259" s="990"/>
      <c r="O259" s="990"/>
      <c r="P259" s="990"/>
    </row>
    <row r="260" spans="6:16" ht="15.75" outlineLevel="1">
      <c r="F260" s="826"/>
      <c r="G260" s="826"/>
      <c r="H260" s="826"/>
      <c r="I260" s="826"/>
      <c r="J260" s="990"/>
      <c r="K260" s="990"/>
      <c r="L260" s="990"/>
      <c r="M260" s="990"/>
      <c r="N260" s="990"/>
      <c r="O260" s="990"/>
      <c r="P260" s="990"/>
    </row>
    <row r="261" spans="6:16" outlineLevel="1"/>
    <row r="262" spans="6:16" ht="16.5" outlineLevel="1" thickBot="1">
      <c r="F262" s="1200" t="s">
        <v>785</v>
      </c>
      <c r="G262" s="1200"/>
      <c r="H262" s="1200"/>
      <c r="I262" s="1200"/>
      <c r="J262" s="1200"/>
      <c r="K262" s="1200"/>
      <c r="L262" s="1200"/>
      <c r="M262" s="1200"/>
      <c r="N262" s="1200"/>
      <c r="O262" s="1200"/>
      <c r="P262" s="1200"/>
    </row>
    <row r="263" spans="6:16" outlineLevel="1"/>
    <row r="264" spans="6:16" outlineLevel="1"/>
    <row r="265" spans="6:16" ht="31.5" outlineLevel="1">
      <c r="F265" s="1201" t="str">
        <f>"Outras Pendências - "&amp;$F$140</f>
        <v>Outras Pendências - AGOSTINHO FRANCISCO DE SOUZA</v>
      </c>
      <c r="G265" s="1201"/>
      <c r="H265" s="1201"/>
      <c r="I265" s="1201"/>
      <c r="J265" s="817" t="s">
        <v>421</v>
      </c>
      <c r="K265" s="817" t="s">
        <v>420</v>
      </c>
      <c r="L265" s="817" t="s">
        <v>419</v>
      </c>
    </row>
    <row r="266" spans="6:16" ht="15.75" outlineLevel="1">
      <c r="F266" s="1248" t="str">
        <f>IF(Inputs!AF44=0,"",Inputs!AF44)</f>
        <v/>
      </c>
      <c r="G266" s="1248"/>
      <c r="H266" s="1248"/>
      <c r="I266" s="1248"/>
      <c r="J266" s="783" t="str">
        <f>IF(Inputs!AG44=0,"",Inputs!AG44)</f>
        <v/>
      </c>
      <c r="K266" s="783" t="str">
        <f>IF(Inputs!AH44=0,"",Inputs!AH44)</f>
        <v/>
      </c>
      <c r="L266" s="783" t="str">
        <f>IF(Inputs!AI44=0,"",Inputs!AI44)</f>
        <v/>
      </c>
    </row>
    <row r="267" spans="6:16" ht="15.75" outlineLevel="1">
      <c r="F267" s="1249" t="str">
        <f>IF(Inputs!AF78=0,"",Inputs!AF78)</f>
        <v/>
      </c>
      <c r="G267" s="1249"/>
      <c r="H267" s="1249"/>
      <c r="I267" s="1249"/>
      <c r="J267" s="782" t="str">
        <f>IF(Inputs!AG45=0,"",Inputs!AG45)</f>
        <v/>
      </c>
      <c r="K267" s="782" t="str">
        <f>IF(Inputs!AH45=0,"",Inputs!AH45)</f>
        <v/>
      </c>
      <c r="L267" s="782" t="str">
        <f>IF(Inputs!AI45=0,"",Inputs!AI45)</f>
        <v/>
      </c>
      <c r="M267" s="830"/>
      <c r="N267" s="830"/>
      <c r="O267" s="830"/>
      <c r="P267" s="830"/>
    </row>
    <row r="268" spans="6:16" ht="15" customHeight="1" outlineLevel="1">
      <c r="F268" s="1248" t="str">
        <f>IF(Inputs!AF79=0,"",Inputs!AF79)</f>
        <v/>
      </c>
      <c r="G268" s="1248"/>
      <c r="H268" s="1248"/>
      <c r="I268" s="1248"/>
      <c r="J268" s="783" t="str">
        <f>IF(Inputs!AG46=0,"",Inputs!AG46)</f>
        <v/>
      </c>
      <c r="K268" s="783" t="str">
        <f>IF(Inputs!AH46=0,"",Inputs!AH46)</f>
        <v/>
      </c>
      <c r="L268" s="783" t="str">
        <f>IF(Inputs!AI46=0,"",Inputs!AI46)</f>
        <v/>
      </c>
      <c r="M268" s="827"/>
      <c r="N268" s="827"/>
      <c r="O268" s="827"/>
      <c r="P268" s="827"/>
    </row>
    <row r="269" spans="6:16" ht="15" customHeight="1" outlineLevel="1">
      <c r="F269" s="1249" t="str">
        <f>IF(Inputs!AF80=0,"",Inputs!AF80)</f>
        <v/>
      </c>
      <c r="G269" s="1249"/>
      <c r="H269" s="1249"/>
      <c r="I269" s="1249"/>
      <c r="J269" s="782" t="str">
        <f>IF(Inputs!AG47=0,"",Inputs!AG47)</f>
        <v/>
      </c>
      <c r="K269" s="782" t="str">
        <f>IF(Inputs!AH47=0,"",Inputs!AH47)</f>
        <v/>
      </c>
      <c r="L269" s="782" t="str">
        <f>IF(Inputs!AI47=0,"",Inputs!AI47)</f>
        <v/>
      </c>
      <c r="M269" s="827"/>
      <c r="N269" s="827"/>
      <c r="O269" s="827"/>
      <c r="P269" s="827"/>
    </row>
    <row r="270" spans="6:16" ht="15" customHeight="1" outlineLevel="1">
      <c r="F270" s="1248" t="str">
        <f>IF(Inputs!AF81=0,"",Inputs!AF81)</f>
        <v/>
      </c>
      <c r="G270" s="1248"/>
      <c r="H270" s="1248"/>
      <c r="I270" s="1248"/>
      <c r="J270" s="783" t="str">
        <f>IF(Inputs!AG48=0,"",Inputs!AG48)</f>
        <v/>
      </c>
      <c r="K270" s="783" t="str">
        <f>IF(Inputs!AH48=0,"",Inputs!AH48)</f>
        <v/>
      </c>
      <c r="L270" s="783" t="str">
        <f>IF(Inputs!AI48=0,"",Inputs!AI48)</f>
        <v/>
      </c>
      <c r="M270" s="827"/>
      <c r="N270" s="827"/>
      <c r="O270" s="827"/>
      <c r="P270" s="827"/>
    </row>
    <row r="271" spans="6:16" ht="15" customHeight="1" outlineLevel="1">
      <c r="F271" s="1249" t="str">
        <f>IF(Inputs!AF82=0,"",Inputs!AF82)</f>
        <v/>
      </c>
      <c r="G271" s="1249"/>
      <c r="H271" s="1249"/>
      <c r="I271" s="1249"/>
      <c r="J271" s="782" t="str">
        <f>IF(Inputs!AG49=0,"",Inputs!AG49)</f>
        <v/>
      </c>
      <c r="K271" s="782" t="str">
        <f>IF(Inputs!AH49=0,"",Inputs!AH49)</f>
        <v/>
      </c>
      <c r="L271" s="782" t="str">
        <f>IF(Inputs!AI49=0,"",Inputs!AI49)</f>
        <v/>
      </c>
      <c r="M271" s="827"/>
      <c r="N271" s="827"/>
      <c r="O271" s="827"/>
      <c r="P271" s="827"/>
    </row>
    <row r="272" spans="6:16" ht="15" customHeight="1" outlineLevel="1">
      <c r="F272" s="1248" t="str">
        <f>IF(Inputs!AF83=0,"",Inputs!AF83)</f>
        <v/>
      </c>
      <c r="G272" s="1248"/>
      <c r="H272" s="1248"/>
      <c r="I272" s="1248"/>
      <c r="J272" s="783" t="str">
        <f>IF(Inputs!AG50=0,"",Inputs!AG50)</f>
        <v/>
      </c>
      <c r="K272" s="783" t="str">
        <f>IF(Inputs!AH50=0,"",Inputs!AH50)</f>
        <v/>
      </c>
      <c r="L272" s="783" t="str">
        <f>IF(Inputs!AI50=0,"",Inputs!AI50)</f>
        <v/>
      </c>
      <c r="M272" s="827"/>
      <c r="N272" s="827"/>
      <c r="O272" s="827"/>
      <c r="P272" s="827"/>
    </row>
    <row r="273" spans="6:16" ht="15.75" outlineLevel="1">
      <c r="F273" s="829"/>
      <c r="G273" s="829"/>
      <c r="H273" s="829"/>
      <c r="I273" s="829"/>
      <c r="J273" s="828"/>
      <c r="K273" s="827"/>
      <c r="L273" s="827"/>
      <c r="M273" s="827"/>
      <c r="N273" s="827"/>
      <c r="O273" s="827"/>
      <c r="P273" s="827"/>
    </row>
    <row r="274" spans="6:16" ht="31.5" outlineLevel="1">
      <c r="F274" s="1201" t="str">
        <f>"Outras Pendências - "&amp;$F$141</f>
        <v>Outras Pendências - MARIETE DIEGUES DE SOUZA</v>
      </c>
      <c r="G274" s="1201"/>
      <c r="H274" s="1201"/>
      <c r="I274" s="1201"/>
      <c r="J274" s="817" t="s">
        <v>421</v>
      </c>
      <c r="K274" s="817" t="s">
        <v>420</v>
      </c>
      <c r="L274" s="817" t="s">
        <v>419</v>
      </c>
      <c r="M274" s="827"/>
      <c r="N274" s="827"/>
      <c r="O274" s="827"/>
      <c r="P274" s="827"/>
    </row>
    <row r="275" spans="6:16" ht="15.75" outlineLevel="1">
      <c r="F275" s="1248" t="str">
        <f>IF(Inputs!AF55=0,"",Inputs!AF55)</f>
        <v/>
      </c>
      <c r="G275" s="1248"/>
      <c r="H275" s="1248"/>
      <c r="I275" s="1248"/>
      <c r="J275" s="783" t="str">
        <f>IF(Inputs!AG55=0,"",Inputs!AG55)</f>
        <v/>
      </c>
      <c r="K275" s="783" t="str">
        <f>IF(Inputs!AH55=0,"",Inputs!AH55)</f>
        <v/>
      </c>
      <c r="L275" s="783" t="str">
        <f>IF(Inputs!AI55=0,"",Inputs!AI55)</f>
        <v/>
      </c>
      <c r="M275" s="827"/>
      <c r="N275" s="827"/>
      <c r="O275" s="827"/>
      <c r="P275" s="827"/>
    </row>
    <row r="276" spans="6:16" ht="15.75" outlineLevel="1">
      <c r="F276" s="1249" t="str">
        <f>IF(Inputs!AF56=0,"",Inputs!AF56)</f>
        <v/>
      </c>
      <c r="G276" s="1249"/>
      <c r="H276" s="1249"/>
      <c r="I276" s="1249"/>
      <c r="J276" s="782" t="str">
        <f>IF(Inputs!AG56=0,"",Inputs!AG56)</f>
        <v/>
      </c>
      <c r="K276" s="782" t="str">
        <f>IF(Inputs!AH56=0,"",Inputs!AH56)</f>
        <v/>
      </c>
      <c r="L276" s="782" t="str">
        <f>IF(Inputs!AI56=0,"",Inputs!AI56)</f>
        <v/>
      </c>
      <c r="M276" s="827"/>
      <c r="N276" s="827"/>
      <c r="O276" s="827"/>
      <c r="P276" s="827"/>
    </row>
    <row r="277" spans="6:16" ht="15" customHeight="1" outlineLevel="1">
      <c r="F277" s="1248" t="str">
        <f>IF(Inputs!AF57=0,"",Inputs!AF57)</f>
        <v/>
      </c>
      <c r="G277" s="1248"/>
      <c r="H277" s="1248"/>
      <c r="I277" s="1248"/>
      <c r="J277" s="783" t="str">
        <f>IF(Inputs!AG57=0,"",Inputs!AG57)</f>
        <v/>
      </c>
      <c r="K277" s="783" t="str">
        <f>IF(Inputs!AH57=0,"",Inputs!AH57)</f>
        <v/>
      </c>
      <c r="L277" s="783" t="str">
        <f>IF(Inputs!AI57=0,"",Inputs!AI57)</f>
        <v/>
      </c>
    </row>
    <row r="278" spans="6:16" ht="15" customHeight="1" outlineLevel="1">
      <c r="F278" s="1249" t="str">
        <f>IF(Inputs!AF58=0,"",Inputs!AF58)</f>
        <v/>
      </c>
      <c r="G278" s="1249"/>
      <c r="H278" s="1249"/>
      <c r="I278" s="1249"/>
      <c r="J278" s="782" t="str">
        <f>IF(Inputs!AG58=0,"",Inputs!AG58)</f>
        <v/>
      </c>
      <c r="K278" s="782" t="str">
        <f>IF(Inputs!AH58=0,"",Inputs!AH58)</f>
        <v/>
      </c>
      <c r="L278" s="782" t="str">
        <f>IF(Inputs!AI58=0,"",Inputs!AI58)</f>
        <v/>
      </c>
    </row>
    <row r="279" spans="6:16" ht="15" customHeight="1" outlineLevel="1">
      <c r="F279" s="1248" t="str">
        <f>IF(Inputs!AF59=0,"",Inputs!AF59)</f>
        <v/>
      </c>
      <c r="G279" s="1248"/>
      <c r="H279" s="1248"/>
      <c r="I279" s="1248"/>
      <c r="J279" s="783" t="str">
        <f>IF(Inputs!AG59=0,"",Inputs!AG59)</f>
        <v/>
      </c>
      <c r="K279" s="783" t="str">
        <f>IF(Inputs!AH59=0,"",Inputs!AH59)</f>
        <v/>
      </c>
      <c r="L279" s="783" t="str">
        <f>IF(Inputs!AI59=0,"",Inputs!AI59)</f>
        <v/>
      </c>
    </row>
    <row r="280" spans="6:16" ht="15" customHeight="1" outlineLevel="1">
      <c r="F280" s="1249" t="str">
        <f>IF(Inputs!AF60=0,"",Inputs!AF60)</f>
        <v/>
      </c>
      <c r="G280" s="1249"/>
      <c r="H280" s="1249"/>
      <c r="I280" s="1249"/>
      <c r="J280" s="782" t="str">
        <f>IF(Inputs!AG60=0,"",Inputs!AG60)</f>
        <v/>
      </c>
      <c r="K280" s="782" t="str">
        <f>IF(Inputs!AH60=0,"",Inputs!AH60)</f>
        <v/>
      </c>
      <c r="L280" s="782" t="str">
        <f>IF(Inputs!AI60=0,"",Inputs!AI60)</f>
        <v/>
      </c>
    </row>
    <row r="281" spans="6:16" ht="15" customHeight="1" outlineLevel="1">
      <c r="F281" s="1248" t="str">
        <f>IF(Inputs!AF61=0,"",Inputs!AF61)</f>
        <v/>
      </c>
      <c r="G281" s="1248"/>
      <c r="H281" s="1248"/>
      <c r="I281" s="1248"/>
      <c r="J281" s="783" t="str">
        <f>IF(Inputs!AG61=0,"",Inputs!AG61)</f>
        <v/>
      </c>
      <c r="K281" s="783" t="str">
        <f>IF(Inputs!AH61=0,"",Inputs!AH61)</f>
        <v/>
      </c>
      <c r="L281" s="783" t="str">
        <f>IF(Inputs!AI61=0,"",Inputs!AI61)</f>
        <v/>
      </c>
    </row>
    <row r="282" spans="6:16" outlineLevel="1"/>
    <row r="283" spans="6:16" ht="15" customHeight="1" outlineLevel="1">
      <c r="F283" s="1201" t="str">
        <f>"Outras Pendências - "&amp;$F$142</f>
        <v>Outras Pendências - ELETRO VOLUNTARIOS LTDA</v>
      </c>
      <c r="G283" s="1201"/>
      <c r="H283" s="1201"/>
      <c r="I283" s="1201"/>
      <c r="J283" s="817" t="s">
        <v>421</v>
      </c>
      <c r="K283" s="817" t="s">
        <v>420</v>
      </c>
      <c r="L283" s="817" t="s">
        <v>419</v>
      </c>
    </row>
    <row r="284" spans="6:16" ht="15" customHeight="1" outlineLevel="1">
      <c r="F284" s="1248" t="str">
        <f>IF(Inputs!AF66=0,"",Inputs!AF66)</f>
        <v/>
      </c>
      <c r="G284" s="1248"/>
      <c r="H284" s="1248"/>
      <c r="I284" s="1248"/>
      <c r="J284" s="783" t="str">
        <f>IF(Inputs!AG66=0,"",Inputs!AG66)</f>
        <v/>
      </c>
      <c r="K284" s="783" t="str">
        <f>IF(Inputs!AH66=0,"",Inputs!AH66)</f>
        <v/>
      </c>
      <c r="L284" s="783" t="str">
        <f>IF(Inputs!AI66=0,"",Inputs!AI66)</f>
        <v/>
      </c>
    </row>
    <row r="285" spans="6:16" ht="15" customHeight="1" outlineLevel="1">
      <c r="F285" s="1249" t="str">
        <f>IF(Inputs!AF67=0,"",Inputs!AF67)</f>
        <v/>
      </c>
      <c r="G285" s="1249"/>
      <c r="H285" s="1249"/>
      <c r="I285" s="1249"/>
      <c r="J285" s="782" t="str">
        <f>IF(Inputs!AG67=0,"",Inputs!AG67)</f>
        <v/>
      </c>
      <c r="K285" s="782" t="str">
        <f>IF(Inputs!AH67=0,"",Inputs!AH67)</f>
        <v/>
      </c>
      <c r="L285" s="782" t="str">
        <f>IF(Inputs!AI67=0,"",Inputs!AI67)</f>
        <v/>
      </c>
    </row>
    <row r="286" spans="6:16" ht="15" customHeight="1" outlineLevel="1">
      <c r="F286" s="1248" t="str">
        <f>IF(Inputs!AF68=0,"",Inputs!AF68)</f>
        <v/>
      </c>
      <c r="G286" s="1248"/>
      <c r="H286" s="1248"/>
      <c r="I286" s="1248"/>
      <c r="J286" s="783" t="str">
        <f>IF(Inputs!AG68=0,"",Inputs!AG68)</f>
        <v/>
      </c>
      <c r="K286" s="783" t="str">
        <f>IF(Inputs!AH68=0,"",Inputs!AH68)</f>
        <v/>
      </c>
      <c r="L286" s="783" t="str">
        <f>IF(Inputs!AI68=0,"",Inputs!AI68)</f>
        <v/>
      </c>
    </row>
    <row r="287" spans="6:16" ht="15" customHeight="1" outlineLevel="1">
      <c r="F287" s="1249" t="str">
        <f>IF(Inputs!AF69=0,"",Inputs!AF69)</f>
        <v/>
      </c>
      <c r="G287" s="1249"/>
      <c r="H287" s="1249"/>
      <c r="I287" s="1249"/>
      <c r="J287" s="782" t="str">
        <f>IF(Inputs!AG69=0,"",Inputs!AG69)</f>
        <v/>
      </c>
      <c r="K287" s="782" t="str">
        <f>IF(Inputs!AH69=0,"",Inputs!AH69)</f>
        <v/>
      </c>
      <c r="L287" s="782" t="str">
        <f>IF(Inputs!AI69=0,"",Inputs!AI69)</f>
        <v/>
      </c>
    </row>
    <row r="288" spans="6:16" ht="15" customHeight="1" outlineLevel="1">
      <c r="F288" s="1248" t="str">
        <f>IF(Inputs!AF70=0,"",Inputs!AF70)</f>
        <v/>
      </c>
      <c r="G288" s="1248"/>
      <c r="H288" s="1248"/>
      <c r="I288" s="1248"/>
      <c r="J288" s="783" t="str">
        <f>IF(Inputs!AG70=0,"",Inputs!AG70)</f>
        <v/>
      </c>
      <c r="K288" s="783" t="str">
        <f>IF(Inputs!AH70=0,"",Inputs!AH70)</f>
        <v/>
      </c>
      <c r="L288" s="783" t="str">
        <f>IF(Inputs!AI70=0,"",Inputs!AI70)</f>
        <v/>
      </c>
    </row>
    <row r="289" spans="6:12" ht="15" customHeight="1" outlineLevel="1">
      <c r="F289" s="1249" t="str">
        <f>IF(Inputs!AF71=0,"",Inputs!AF71)</f>
        <v/>
      </c>
      <c r="G289" s="1249"/>
      <c r="H289" s="1249"/>
      <c r="I289" s="1249"/>
      <c r="J289" s="782" t="str">
        <f>IF(Inputs!AG71=0,"",Inputs!AG71)</f>
        <v/>
      </c>
      <c r="K289" s="782" t="str">
        <f>IF(Inputs!AH71=0,"",Inputs!AH71)</f>
        <v/>
      </c>
      <c r="L289" s="782" t="str">
        <f>IF(Inputs!AI71=0,"",Inputs!AI71)</f>
        <v/>
      </c>
    </row>
    <row r="290" spans="6:12" ht="15" customHeight="1" outlineLevel="1">
      <c r="F290" s="1248" t="str">
        <f>IF(Inputs!AF72=0,"",Inputs!AF72)</f>
        <v/>
      </c>
      <c r="G290" s="1248"/>
      <c r="H290" s="1248"/>
      <c r="I290" s="1248"/>
      <c r="J290" s="783" t="str">
        <f>IF(Inputs!AG72=0,"",Inputs!AG72)</f>
        <v/>
      </c>
      <c r="K290" s="783" t="str">
        <f>IF(Inputs!AH72=0,"",Inputs!AH72)</f>
        <v/>
      </c>
      <c r="L290" s="783" t="str">
        <f>IF(Inputs!AI72=0,"",Inputs!AI72)</f>
        <v/>
      </c>
    </row>
    <row r="291" spans="6:12" ht="15" customHeight="1" outlineLevel="1"/>
    <row r="292" spans="6:12" ht="15" customHeight="1" outlineLevel="1">
      <c r="F292" s="1201" t="str">
        <f>"Outras Pendências - "&amp;$F$143</f>
        <v xml:space="preserve">Outras Pendências - </v>
      </c>
      <c r="G292" s="1201"/>
      <c r="H292" s="1201"/>
      <c r="I292" s="1201"/>
      <c r="J292" s="817" t="s">
        <v>421</v>
      </c>
      <c r="K292" s="817" t="s">
        <v>420</v>
      </c>
      <c r="L292" s="817" t="s">
        <v>419</v>
      </c>
    </row>
    <row r="293" spans="6:12" ht="15" customHeight="1" outlineLevel="1">
      <c r="F293" s="1248" t="str">
        <f>IF(Inputs!AF77=0,"",Inputs!AF77)</f>
        <v/>
      </c>
      <c r="G293" s="1248"/>
      <c r="H293" s="1248"/>
      <c r="I293" s="1248"/>
      <c r="J293" s="783" t="str">
        <f>IF(Inputs!AG77=0,"",Inputs!AG75)</f>
        <v/>
      </c>
      <c r="K293" s="783" t="str">
        <f>IF(Inputs!AH77=0,"",Inputs!AH75)</f>
        <v/>
      </c>
      <c r="L293" s="783" t="str">
        <f>IF(Inputs!AI77=0,"",Inputs!AI75)</f>
        <v/>
      </c>
    </row>
    <row r="294" spans="6:12" ht="15" customHeight="1" outlineLevel="1">
      <c r="F294" s="1249" t="str">
        <f>IF(Inputs!AF78=0,"",Inputs!AF78)</f>
        <v/>
      </c>
      <c r="G294" s="1249"/>
      <c r="H294" s="1249"/>
      <c r="I294" s="1249"/>
      <c r="J294" s="782" t="str">
        <f>IF(Inputs!AG78=0,"",Inputs!AG76)</f>
        <v/>
      </c>
      <c r="K294" s="782" t="str">
        <f>IF(Inputs!AH78=0,"",Inputs!AH76)</f>
        <v/>
      </c>
      <c r="L294" s="782" t="str">
        <f>IF(Inputs!AI78=0,"",Inputs!AI76)</f>
        <v/>
      </c>
    </row>
    <row r="295" spans="6:12" ht="15" customHeight="1" outlineLevel="1">
      <c r="F295" s="1248" t="str">
        <f>IF(Inputs!AF79=0,"",Inputs!AF79)</f>
        <v/>
      </c>
      <c r="G295" s="1248"/>
      <c r="H295" s="1248"/>
      <c r="I295" s="1248"/>
      <c r="J295" s="783" t="str">
        <f>IF(Inputs!AG79=0,"",Inputs!AG77)</f>
        <v/>
      </c>
      <c r="K295" s="783" t="str">
        <f>IF(Inputs!AH79=0,"",Inputs!AH77)</f>
        <v/>
      </c>
      <c r="L295" s="783" t="str">
        <f>IF(Inputs!AI79=0,"",Inputs!AI77)</f>
        <v/>
      </c>
    </row>
    <row r="296" spans="6:12" ht="15" customHeight="1" outlineLevel="1">
      <c r="F296" s="1249" t="str">
        <f>IF(Inputs!AF80=0,"",Inputs!AF80)</f>
        <v/>
      </c>
      <c r="G296" s="1249"/>
      <c r="H296" s="1249"/>
      <c r="I296" s="1249"/>
      <c r="J296" s="782" t="str">
        <f>IF(Inputs!AG80=0,"",Inputs!AG78)</f>
        <v/>
      </c>
      <c r="K296" s="782" t="str">
        <f>IF(Inputs!AH80=0,"",Inputs!AH78)</f>
        <v/>
      </c>
      <c r="L296" s="782" t="str">
        <f>IF(Inputs!AI80=0,"",Inputs!AI78)</f>
        <v/>
      </c>
    </row>
    <row r="297" spans="6:12" ht="15" customHeight="1" outlineLevel="1">
      <c r="F297" s="1248" t="str">
        <f>IF(Inputs!AF81=0,"",Inputs!AF81)</f>
        <v/>
      </c>
      <c r="G297" s="1248"/>
      <c r="H297" s="1248"/>
      <c r="I297" s="1248"/>
      <c r="J297" s="783" t="str">
        <f>IF(Inputs!AG81=0,"",Inputs!AG79)</f>
        <v/>
      </c>
      <c r="K297" s="783" t="str">
        <f>IF(Inputs!AH81=0,"",Inputs!AH79)</f>
        <v/>
      </c>
      <c r="L297" s="783" t="str">
        <f>IF(Inputs!AI81=0,"",Inputs!AI79)</f>
        <v/>
      </c>
    </row>
    <row r="298" spans="6:12" ht="15" customHeight="1" outlineLevel="1">
      <c r="F298" s="1249" t="str">
        <f>IF(Inputs!AF82=0,"",Inputs!AF82)</f>
        <v/>
      </c>
      <c r="G298" s="1249"/>
      <c r="H298" s="1249"/>
      <c r="I298" s="1249"/>
      <c r="J298" s="782" t="str">
        <f>IF(Inputs!AG82=0,"",Inputs!AG80)</f>
        <v/>
      </c>
      <c r="K298" s="782" t="str">
        <f>IF(Inputs!AH82=0,"",Inputs!AH80)</f>
        <v/>
      </c>
      <c r="L298" s="782" t="str">
        <f>IF(Inputs!AI82=0,"",Inputs!AI80)</f>
        <v/>
      </c>
    </row>
    <row r="299" spans="6:12" ht="15" customHeight="1" outlineLevel="1">
      <c r="F299" s="1248" t="str">
        <f>IF(Inputs!AF83=0,"",Inputs!AF83)</f>
        <v/>
      </c>
      <c r="G299" s="1248"/>
      <c r="H299" s="1248"/>
      <c r="I299" s="1248"/>
      <c r="J299" s="783" t="str">
        <f>IF(Inputs!AG83=0,"",Inputs!AG81)</f>
        <v/>
      </c>
      <c r="K299" s="783" t="str">
        <f>IF(Inputs!AH83=0,"",Inputs!AH81)</f>
        <v/>
      </c>
      <c r="L299" s="783" t="str">
        <f>IF(Inputs!AI83=0,"",Inputs!AI81)</f>
        <v/>
      </c>
    </row>
    <row r="300" spans="6:12" ht="15" customHeight="1" outlineLevel="1"/>
    <row r="301" spans="6:12" ht="15" customHeight="1" outlineLevel="1">
      <c r="F301" s="1201" t="str">
        <f>"Outras Pendências - "&amp;$F$144</f>
        <v xml:space="preserve">Outras Pendências - </v>
      </c>
      <c r="G301" s="1201"/>
      <c r="H301" s="1201"/>
      <c r="I301" s="1201"/>
      <c r="J301" s="817" t="s">
        <v>421</v>
      </c>
      <c r="K301" s="817" t="s">
        <v>420</v>
      </c>
      <c r="L301" s="817" t="s">
        <v>419</v>
      </c>
    </row>
    <row r="302" spans="6:12" ht="15" customHeight="1" outlineLevel="1">
      <c r="F302" s="1248" t="str">
        <f>IF(Inputs!AF88=0,"",Inputs!AF88)</f>
        <v/>
      </c>
      <c r="G302" s="1248"/>
      <c r="H302" s="1248"/>
      <c r="I302" s="1248"/>
      <c r="J302" s="783" t="str">
        <f>IF(Inputs!AG88=0,"",Inputs!AG88)</f>
        <v/>
      </c>
      <c r="K302" s="783" t="str">
        <f>IF(Inputs!AH88=0,"",Inputs!AH88)</f>
        <v/>
      </c>
      <c r="L302" s="783" t="str">
        <f>IF(Inputs!AI88=0,"",Inputs!AI88)</f>
        <v/>
      </c>
    </row>
    <row r="303" spans="6:12" ht="15" customHeight="1" outlineLevel="1">
      <c r="F303" s="1249" t="str">
        <f>IF(Inputs!AF89=0,"",Inputs!AF89)</f>
        <v/>
      </c>
      <c r="G303" s="1249"/>
      <c r="H303" s="1249"/>
      <c r="I303" s="1249"/>
      <c r="J303" s="782" t="str">
        <f>IF(Inputs!AG89=0,"",Inputs!AG89)</f>
        <v/>
      </c>
      <c r="K303" s="782" t="str">
        <f>IF(Inputs!AH89=0,"",Inputs!AH89)</f>
        <v/>
      </c>
      <c r="L303" s="782" t="str">
        <f>IF(Inputs!AI89=0,"",Inputs!AI89)</f>
        <v/>
      </c>
    </row>
    <row r="304" spans="6:12" ht="15" customHeight="1" outlineLevel="1">
      <c r="F304" s="1248" t="str">
        <f>IF(Inputs!AF90=0,"",Inputs!AF90)</f>
        <v/>
      </c>
      <c r="G304" s="1248"/>
      <c r="H304" s="1248"/>
      <c r="I304" s="1248"/>
      <c r="J304" s="783" t="str">
        <f>IF(Inputs!AG90=0,"",Inputs!AG90)</f>
        <v/>
      </c>
      <c r="K304" s="783" t="str">
        <f>IF(Inputs!AH90=0,"",Inputs!AH90)</f>
        <v/>
      </c>
      <c r="L304" s="783" t="str">
        <f>IF(Inputs!AI90=0,"",Inputs!AI90)</f>
        <v/>
      </c>
    </row>
    <row r="305" spans="6:16" ht="15" customHeight="1" outlineLevel="1">
      <c r="F305" s="1249" t="str">
        <f>IF(Inputs!AF91=0,"",Inputs!AF91)</f>
        <v/>
      </c>
      <c r="G305" s="1249"/>
      <c r="H305" s="1249"/>
      <c r="I305" s="1249"/>
      <c r="J305" s="782" t="str">
        <f>IF(Inputs!AG91=0,"",Inputs!AG91)</f>
        <v/>
      </c>
      <c r="K305" s="782" t="str">
        <f>IF(Inputs!AH91=0,"",Inputs!AH91)</f>
        <v/>
      </c>
      <c r="L305" s="782" t="str">
        <f>IF(Inputs!AI91=0,"",Inputs!AI91)</f>
        <v/>
      </c>
    </row>
    <row r="306" spans="6:16" ht="15" customHeight="1" outlineLevel="1">
      <c r="F306" s="1248" t="str">
        <f>IF(Inputs!AF92=0,"",Inputs!AF92)</f>
        <v/>
      </c>
      <c r="G306" s="1248"/>
      <c r="H306" s="1248"/>
      <c r="I306" s="1248"/>
      <c r="J306" s="783" t="str">
        <f>IF(Inputs!AG92=0,"",Inputs!AG92)</f>
        <v/>
      </c>
      <c r="K306" s="783" t="str">
        <f>IF(Inputs!AH92=0,"",Inputs!AH92)</f>
        <v/>
      </c>
      <c r="L306" s="783" t="str">
        <f>IF(Inputs!AI92=0,"",Inputs!AI92)</f>
        <v/>
      </c>
    </row>
    <row r="307" spans="6:16" ht="15" customHeight="1" outlineLevel="1">
      <c r="F307" s="1249" t="str">
        <f>IF(Inputs!AF93=0,"",Inputs!AF93)</f>
        <v/>
      </c>
      <c r="G307" s="1249"/>
      <c r="H307" s="1249"/>
      <c r="I307" s="1249"/>
      <c r="J307" s="782" t="str">
        <f>IF(Inputs!AG93=0,"",Inputs!AG93)</f>
        <v/>
      </c>
      <c r="K307" s="782" t="str">
        <f>IF(Inputs!AH93=0,"",Inputs!AH93)</f>
        <v/>
      </c>
      <c r="L307" s="782" t="str">
        <f>IF(Inputs!AI93=0,"",Inputs!AI93)</f>
        <v/>
      </c>
    </row>
    <row r="308" spans="6:16" ht="15" customHeight="1" outlineLevel="1">
      <c r="F308" s="1248" t="str">
        <f>IF(Inputs!AF94=0,"",Inputs!AF94)</f>
        <v/>
      </c>
      <c r="G308" s="1248"/>
      <c r="H308" s="1248"/>
      <c r="I308" s="1248"/>
      <c r="J308" s="783" t="str">
        <f>IF(Inputs!AG94=0,"",Inputs!AG94)</f>
        <v/>
      </c>
      <c r="K308" s="783" t="str">
        <f>IF(Inputs!AH94=0,"",Inputs!AH94)</f>
        <v/>
      </c>
      <c r="L308" s="783" t="str">
        <f>IF(Inputs!AI94=0,"",Inputs!AI94)</f>
        <v/>
      </c>
    </row>
    <row r="309" spans="6:16" ht="15" customHeight="1" outlineLevel="1"/>
    <row r="310" spans="6:16" ht="15" customHeight="1" outlineLevel="1">
      <c r="F310" s="1201" t="str">
        <f>"Outras Pendências - "&amp;$F$145</f>
        <v xml:space="preserve">Outras Pendências - </v>
      </c>
      <c r="G310" s="1201"/>
      <c r="H310" s="1201"/>
      <c r="I310" s="1201"/>
      <c r="J310" s="817" t="s">
        <v>421</v>
      </c>
      <c r="K310" s="817" t="s">
        <v>420</v>
      </c>
      <c r="L310" s="817" t="s">
        <v>419</v>
      </c>
    </row>
    <row r="311" spans="6:16" ht="15" customHeight="1" outlineLevel="1">
      <c r="F311" s="1248" t="str">
        <f>IF(Inputs!AF99=0,"",Inputs!AF99)</f>
        <v/>
      </c>
      <c r="G311" s="1248"/>
      <c r="H311" s="1248"/>
      <c r="I311" s="1248"/>
      <c r="J311" s="783" t="str">
        <f>IF(Inputs!AG99=0,"",Inputs!AG99)</f>
        <v/>
      </c>
      <c r="K311" s="783" t="str">
        <f>IF(Inputs!AH99=0,"",Inputs!AH99)</f>
        <v/>
      </c>
      <c r="L311" s="783" t="str">
        <f>IF(Inputs!AI99=0,"",Inputs!AI99)</f>
        <v/>
      </c>
    </row>
    <row r="312" spans="6:16" ht="15" customHeight="1" outlineLevel="1">
      <c r="F312" s="1249" t="str">
        <f>IF(Inputs!AF100=0,"",Inputs!AF100)</f>
        <v/>
      </c>
      <c r="G312" s="1249"/>
      <c r="H312" s="1249"/>
      <c r="I312" s="1249"/>
      <c r="J312" s="782" t="str">
        <f>IF(Inputs!AG100=0,"",Inputs!AG100)</f>
        <v/>
      </c>
      <c r="K312" s="782" t="str">
        <f>IF(Inputs!AH100=0,"",Inputs!AH100)</f>
        <v/>
      </c>
      <c r="L312" s="782" t="str">
        <f>IF(Inputs!AI100=0,"",Inputs!AI100)</f>
        <v/>
      </c>
    </row>
    <row r="313" spans="6:16" ht="15" customHeight="1" outlineLevel="1">
      <c r="F313" s="1248" t="str">
        <f>IF(Inputs!AF101=0,"",Inputs!AF101)</f>
        <v/>
      </c>
      <c r="G313" s="1248"/>
      <c r="H313" s="1248"/>
      <c r="I313" s="1248"/>
      <c r="J313" s="783" t="str">
        <f>IF(Inputs!AG101=0,"",Inputs!AG101)</f>
        <v/>
      </c>
      <c r="K313" s="783" t="str">
        <f>IF(Inputs!AH101=0,"",Inputs!AH101)</f>
        <v/>
      </c>
      <c r="L313" s="783" t="str">
        <f>IF(Inputs!AI101=0,"",Inputs!AI101)</f>
        <v/>
      </c>
    </row>
    <row r="314" spans="6:16" ht="15" customHeight="1" outlineLevel="1">
      <c r="F314" s="1249" t="str">
        <f>IF(Inputs!AF102=0,"",Inputs!AF102)</f>
        <v/>
      </c>
      <c r="G314" s="1249"/>
      <c r="H314" s="1249"/>
      <c r="I314" s="1249"/>
      <c r="J314" s="782" t="str">
        <f>IF(Inputs!AG102=0,"",Inputs!AG102)</f>
        <v/>
      </c>
      <c r="K314" s="782" t="str">
        <f>IF(Inputs!AH102=0,"",Inputs!AH102)</f>
        <v/>
      </c>
      <c r="L314" s="782" t="str">
        <f>IF(Inputs!AI102=0,"",Inputs!AI102)</f>
        <v/>
      </c>
    </row>
    <row r="315" spans="6:16" ht="15" customHeight="1" outlineLevel="1">
      <c r="F315" s="1248" t="str">
        <f>IF(Inputs!AF103=0,"",Inputs!AF103)</f>
        <v/>
      </c>
      <c r="G315" s="1248"/>
      <c r="H315" s="1248"/>
      <c r="I315" s="1248"/>
      <c r="J315" s="783" t="str">
        <f>IF(Inputs!AG103=0,"",Inputs!AG103)</f>
        <v/>
      </c>
      <c r="K315" s="783" t="str">
        <f>IF(Inputs!AH103=0,"",Inputs!AH103)</f>
        <v/>
      </c>
      <c r="L315" s="783" t="str">
        <f>IF(Inputs!AI103=0,"",Inputs!AI103)</f>
        <v/>
      </c>
    </row>
    <row r="316" spans="6:16" ht="15" customHeight="1" outlineLevel="1">
      <c r="F316" s="1249" t="str">
        <f>IF(Inputs!AF104=0,"",Inputs!AF104)</f>
        <v/>
      </c>
      <c r="G316" s="1249"/>
      <c r="H316" s="1249"/>
      <c r="I316" s="1249"/>
      <c r="J316" s="782" t="str">
        <f>IF(Inputs!AG104=0,"",Inputs!AG104)</f>
        <v/>
      </c>
      <c r="K316" s="782" t="str">
        <f>IF(Inputs!AH104=0,"",Inputs!AH104)</f>
        <v/>
      </c>
      <c r="L316" s="782" t="str">
        <f>IF(Inputs!AI104=0,"",Inputs!AI104)</f>
        <v/>
      </c>
    </row>
    <row r="317" spans="6:16" ht="15" customHeight="1" outlineLevel="1">
      <c r="F317" s="1248" t="str">
        <f>IF(Inputs!AF105=0,"",Inputs!AF105)</f>
        <v/>
      </c>
      <c r="G317" s="1248"/>
      <c r="H317" s="1248"/>
      <c r="I317" s="1248"/>
      <c r="J317" s="783" t="str">
        <f>IF(Inputs!AG105=0,"",Inputs!AG105)</f>
        <v/>
      </c>
      <c r="K317" s="783" t="str">
        <f>IF(Inputs!AH105=0,"",Inputs!AH105)</f>
        <v/>
      </c>
      <c r="L317" s="783" t="str">
        <f>IF(Inputs!AI105=0,"",Inputs!AI105)</f>
        <v/>
      </c>
    </row>
    <row r="318" spans="6:16" ht="15" customHeight="1" outlineLevel="1"/>
    <row r="319" spans="6:16" outlineLevel="1"/>
    <row r="320" spans="6:16" ht="14.85" customHeight="1" outlineLevel="1">
      <c r="F320" s="774"/>
      <c r="G320" s="774"/>
      <c r="H320" s="774"/>
      <c r="I320" s="774"/>
      <c r="J320" s="774"/>
      <c r="K320" s="774"/>
      <c r="L320" s="774"/>
      <c r="M320" s="774"/>
      <c r="N320" s="774"/>
      <c r="O320" s="774"/>
      <c r="P320" s="774"/>
    </row>
    <row r="321" spans="5:17" ht="15.75" outlineLevel="1">
      <c r="E321" s="778"/>
      <c r="F321" s="781"/>
      <c r="G321" s="781"/>
      <c r="H321" s="781"/>
      <c r="I321" s="781"/>
      <c r="J321" s="780"/>
      <c r="K321" s="780"/>
      <c r="L321" s="780"/>
      <c r="M321" s="780"/>
      <c r="N321" s="780"/>
      <c r="O321" s="779"/>
      <c r="P321" s="779"/>
      <c r="Q321" s="778"/>
    </row>
    <row r="322" spans="5:17" ht="15.75" outlineLevel="1">
      <c r="E322" s="778"/>
      <c r="F322" s="781"/>
      <c r="G322" s="781"/>
      <c r="H322" s="781"/>
      <c r="I322" s="781"/>
      <c r="J322" s="780"/>
      <c r="K322" s="780"/>
      <c r="L322" s="780"/>
      <c r="M322" s="780"/>
      <c r="N322" s="780"/>
      <c r="O322" s="779"/>
      <c r="P322" s="779"/>
      <c r="Q322" s="778"/>
    </row>
    <row r="323" spans="5:17" ht="15.75" outlineLevel="1">
      <c r="E323" s="778"/>
      <c r="F323" s="781"/>
      <c r="G323" s="781"/>
      <c r="H323" s="781"/>
      <c r="I323" s="781"/>
      <c r="J323" s="780"/>
      <c r="K323" s="780"/>
      <c r="L323" s="780"/>
      <c r="M323" s="780"/>
      <c r="N323" s="780"/>
      <c r="O323" s="779"/>
      <c r="P323" s="779"/>
      <c r="Q323" s="778"/>
    </row>
    <row r="324" spans="5:17" outlineLevel="1"/>
    <row r="325" spans="5:17" outlineLevel="1"/>
    <row r="326" spans="5:17" outlineLevel="1"/>
    <row r="327" spans="5:17" outlineLevel="1"/>
    <row r="328" spans="5:17" outlineLevel="1"/>
    <row r="329" spans="5:17" outlineLevel="1"/>
    <row r="330" spans="5:17" outlineLevel="1"/>
    <row r="331" spans="5:17" outlineLevel="1">
      <c r="E331" s="773"/>
    </row>
    <row r="332" spans="5:17" ht="14.85" customHeight="1" outlineLevel="1" thickBot="1">
      <c r="F332" s="1200" t="s">
        <v>792</v>
      </c>
      <c r="G332" s="1200"/>
      <c r="H332" s="1200"/>
      <c r="I332" s="1200"/>
      <c r="J332" s="1200"/>
      <c r="K332" s="1200"/>
      <c r="L332" s="1200"/>
      <c r="M332" s="1200"/>
      <c r="N332" s="1200"/>
      <c r="O332" s="1200"/>
      <c r="P332" s="1200"/>
    </row>
    <row r="333" spans="5:17" ht="14.85" customHeight="1" outlineLevel="1">
      <c r="F333" s="774"/>
      <c r="G333" s="774"/>
      <c r="H333" s="774"/>
      <c r="I333" s="774"/>
      <c r="J333" s="774"/>
      <c r="K333" s="774"/>
      <c r="L333" s="774"/>
      <c r="M333" s="774"/>
      <c r="N333" s="774"/>
      <c r="O333" s="774"/>
      <c r="P333" s="774"/>
    </row>
    <row r="334" spans="5:17" outlineLevel="1">
      <c r="J334" s="1191"/>
      <c r="K334" s="1191"/>
      <c r="L334" s="1191"/>
      <c r="M334" s="1191"/>
    </row>
    <row r="335" spans="5:17" ht="15.75" outlineLevel="1">
      <c r="H335" s="1251" t="s">
        <v>786</v>
      </c>
      <c r="I335" s="1251"/>
      <c r="J335" s="1251"/>
      <c r="K335" s="1251"/>
      <c r="L335" s="1251"/>
      <c r="M335" s="1251"/>
      <c r="N335" s="1251"/>
    </row>
    <row r="336" spans="5:17" ht="15.75" outlineLevel="1">
      <c r="H336" s="1192" t="s">
        <v>519</v>
      </c>
      <c r="I336" s="1193"/>
      <c r="J336" s="1193"/>
      <c r="K336" s="1194"/>
      <c r="L336" s="1187">
        <f ca="1">Inputs!W10</f>
        <v>185234.90145170517</v>
      </c>
      <c r="M336" s="1187"/>
      <c r="N336" s="1188"/>
    </row>
    <row r="337" spans="8:14" ht="14.85" customHeight="1" outlineLevel="1">
      <c r="H337" s="1192" t="s">
        <v>515</v>
      </c>
      <c r="I337" s="1193"/>
      <c r="J337" s="1193"/>
      <c r="K337" s="1194"/>
      <c r="L337" s="1187">
        <f>Inputs!W11</f>
        <v>169200</v>
      </c>
      <c r="M337" s="1187"/>
      <c r="N337" s="1188"/>
    </row>
    <row r="338" spans="8:14" ht="15.75" outlineLevel="1">
      <c r="H338" s="1192" t="s">
        <v>4</v>
      </c>
      <c r="I338" s="1193"/>
      <c r="J338" s="1193"/>
      <c r="K338" s="1194"/>
      <c r="L338" s="1189">
        <f>Inputs!W20</f>
        <v>6768</v>
      </c>
      <c r="M338" s="1189"/>
      <c r="N338" s="1190"/>
    </row>
    <row r="339" spans="8:14" ht="15.75" outlineLevel="1">
      <c r="H339" s="1192" t="s">
        <v>3</v>
      </c>
      <c r="I339" s="1193"/>
      <c r="J339" s="1193"/>
      <c r="K339" s="1194"/>
      <c r="L339" s="1187">
        <f ca="1">Inputs!W21</f>
        <v>6224.2314517051609</v>
      </c>
      <c r="M339" s="1187"/>
      <c r="N339" s="1188"/>
    </row>
    <row r="340" spans="8:14" ht="14.85" customHeight="1" outlineLevel="1">
      <c r="H340" s="1192" t="s">
        <v>478</v>
      </c>
      <c r="I340" s="1193"/>
      <c r="J340" s="1193"/>
      <c r="K340" s="1194"/>
      <c r="L340" s="1187">
        <f>Inputs!W22</f>
        <v>3042.67</v>
      </c>
      <c r="M340" s="1187"/>
      <c r="N340" s="1188"/>
    </row>
    <row r="341" spans="8:14" ht="14.85" customHeight="1" outlineLevel="1">
      <c r="H341" s="1192" t="s">
        <v>477</v>
      </c>
      <c r="I341" s="1193"/>
      <c r="J341" s="1193"/>
      <c r="K341" s="1194"/>
      <c r="L341" s="1187">
        <f>Inputs!W23</f>
        <v>25</v>
      </c>
      <c r="M341" s="1187"/>
      <c r="N341" s="1188"/>
    </row>
    <row r="342" spans="8:14" ht="15.75" outlineLevel="1">
      <c r="H342" s="1192" t="s">
        <v>18</v>
      </c>
      <c r="I342" s="1193"/>
      <c r="J342" s="1193"/>
      <c r="K342" s="1194"/>
      <c r="L342" s="1207">
        <f>Inputs!W24</f>
        <v>2.1000000000000001E-4</v>
      </c>
      <c r="M342" s="1207"/>
      <c r="N342" s="1208"/>
    </row>
    <row r="343" spans="8:14" ht="15.75" outlineLevel="1">
      <c r="H343" s="1192" t="s">
        <v>19</v>
      </c>
      <c r="I343" s="1193"/>
      <c r="J343" s="1193"/>
      <c r="K343" s="1194"/>
      <c r="L343" s="1207">
        <f>Inputs!W25</f>
        <v>6.9999999999999994E-5</v>
      </c>
      <c r="M343" s="1207"/>
      <c r="N343" s="1208"/>
    </row>
    <row r="344" spans="8:14" ht="14.85" customHeight="1" outlineLevel="1">
      <c r="H344" s="1192" t="s">
        <v>7</v>
      </c>
      <c r="I344" s="1193"/>
      <c r="J344" s="1193"/>
      <c r="K344" s="1194"/>
      <c r="L344" s="1209">
        <f ca="1">Inputs!W29</f>
        <v>228</v>
      </c>
      <c r="M344" s="1210"/>
      <c r="N344" s="1211"/>
    </row>
    <row r="345" spans="8:14" ht="14.85" customHeight="1" outlineLevel="1">
      <c r="H345" s="1192" t="s">
        <v>491</v>
      </c>
      <c r="I345" s="1193"/>
      <c r="J345" s="1193"/>
      <c r="K345" s="1194"/>
      <c r="L345" s="1187">
        <f ca="1">Inputs!W17</f>
        <v>2800.5200244188391</v>
      </c>
      <c r="M345" s="1187"/>
      <c r="N345" s="1188"/>
    </row>
    <row r="346" spans="8:14" ht="15.75" outlineLevel="1">
      <c r="H346" s="1225" t="s">
        <v>69</v>
      </c>
      <c r="I346" s="1226"/>
      <c r="J346" s="1226"/>
      <c r="K346" s="1227"/>
      <c r="L346" s="1187" t="str">
        <f>Inputs!W30</f>
        <v>IPCA</v>
      </c>
      <c r="M346" s="1187"/>
      <c r="N346" s="1188"/>
    </row>
    <row r="347" spans="8:14" ht="15.75" outlineLevel="1">
      <c r="H347" s="1225" t="s">
        <v>463</v>
      </c>
      <c r="I347" s="1226"/>
      <c r="J347" s="1226"/>
      <c r="K347" s="1227"/>
      <c r="L347" s="1187" t="str">
        <f>Inputs!W31</f>
        <v>SAC</v>
      </c>
      <c r="M347" s="1187"/>
      <c r="N347" s="1188"/>
    </row>
    <row r="348" spans="8:14" ht="14.85" customHeight="1" outlineLevel="1">
      <c r="H348" s="1192" t="s">
        <v>459</v>
      </c>
      <c r="I348" s="1193"/>
      <c r="J348" s="1193"/>
      <c r="K348" s="1194"/>
      <c r="L348" s="1222">
        <f>Inputs!W32</f>
        <v>9.1999999999999998E-3</v>
      </c>
      <c r="M348" s="1222"/>
      <c r="N348" s="1223"/>
    </row>
    <row r="349" spans="8:14" ht="14.85" customHeight="1" outlineLevel="1">
      <c r="H349" s="1192" t="s">
        <v>458</v>
      </c>
      <c r="I349" s="1193"/>
      <c r="J349" s="1193"/>
      <c r="K349" s="1194"/>
      <c r="L349" s="1222">
        <f>Inputs!W33</f>
        <v>0.11616115026912621</v>
      </c>
      <c r="M349" s="1222"/>
      <c r="N349" s="1223"/>
    </row>
    <row r="350" spans="8:14" ht="15.75" outlineLevel="1">
      <c r="H350" s="1192" t="s">
        <v>457</v>
      </c>
      <c r="I350" s="1193"/>
      <c r="J350" s="1193"/>
      <c r="K350" s="1194"/>
      <c r="L350" s="1222">
        <f ca="1">Inputs!W34</f>
        <v>1.1281085405271396E-2</v>
      </c>
      <c r="M350" s="1222"/>
      <c r="N350" s="1223"/>
    </row>
    <row r="351" spans="8:14" ht="15.75" outlineLevel="1">
      <c r="H351" s="1192" t="s">
        <v>456</v>
      </c>
      <c r="I351" s="1193"/>
      <c r="J351" s="1193"/>
      <c r="K351" s="1194"/>
      <c r="L351" s="1222">
        <f ca="1">Inputs!W35</f>
        <v>0.14409638500653799</v>
      </c>
      <c r="M351" s="1222"/>
      <c r="N351" s="1223"/>
    </row>
    <row r="352" spans="8:14" outlineLevel="1"/>
    <row r="353" spans="5:16" outlineLevel="1"/>
    <row r="354" spans="5:16" outlineLevel="1"/>
    <row r="355" spans="5:16" outlineLevel="1"/>
    <row r="356" spans="5:16" ht="14.85" customHeight="1" outlineLevel="1" thickBot="1">
      <c r="F356" s="1200" t="s">
        <v>755</v>
      </c>
      <c r="G356" s="1200"/>
      <c r="H356" s="1200"/>
      <c r="I356" s="1200"/>
      <c r="J356" s="1200"/>
      <c r="K356" s="1200"/>
      <c r="L356" s="1200"/>
      <c r="M356" s="1200"/>
      <c r="N356" s="1200"/>
      <c r="O356" s="1200"/>
      <c r="P356" s="1200"/>
    </row>
    <row r="357" spans="5:16" outlineLevel="1">
      <c r="E357" s="773"/>
    </row>
    <row r="358" spans="5:16" ht="14.85" customHeight="1" outlineLevel="1"/>
    <row r="359" spans="5:16" ht="14.85" customHeight="1" outlineLevel="1">
      <c r="E359" s="46"/>
      <c r="F359" s="1164" t="s">
        <v>754</v>
      </c>
      <c r="G359" s="1164"/>
      <c r="H359" s="1164"/>
      <c r="I359" s="1164"/>
      <c r="J359" s="1164"/>
      <c r="K359" s="1164"/>
      <c r="M359" s="1164" t="s">
        <v>753</v>
      </c>
      <c r="N359" s="1164"/>
      <c r="O359" s="1164"/>
      <c r="P359" s="1164"/>
    </row>
    <row r="360" spans="5:16" outlineLevel="1"/>
    <row r="361" spans="5:16" ht="15.6" customHeight="1" outlineLevel="1">
      <c r="F361" s="1218" t="s">
        <v>607</v>
      </c>
      <c r="G361" s="1218"/>
      <c r="H361" s="1218"/>
      <c r="I361" s="1218"/>
      <c r="J361" s="1218"/>
      <c r="K361" s="1218"/>
      <c r="M361" s="1224" t="s">
        <v>752</v>
      </c>
      <c r="N361" s="1224"/>
      <c r="O361" s="1224"/>
      <c r="P361" s="1224"/>
    </row>
    <row r="362" spans="5:16" ht="14.85" customHeight="1" outlineLevel="1">
      <c r="F362" s="1212" t="s">
        <v>588</v>
      </c>
      <c r="G362" s="1212"/>
      <c r="H362" s="1212"/>
      <c r="I362" s="1215">
        <f ca="1">Rating!F15</f>
        <v>8.656213508662057E-2</v>
      </c>
      <c r="J362" s="1215"/>
      <c r="K362" s="772">
        <f ca="1">Rating!G15</f>
        <v>29.229190997044753</v>
      </c>
      <c r="M362" s="1224"/>
      <c r="N362" s="1224"/>
      <c r="O362" s="1224"/>
      <c r="P362" s="1224"/>
    </row>
    <row r="363" spans="5:16" ht="14.85" customHeight="1" outlineLevel="1">
      <c r="F363" s="1212" t="s">
        <v>580</v>
      </c>
      <c r="G363" s="1212"/>
      <c r="H363" s="1212"/>
      <c r="I363" s="1213">
        <f>Rating!F16</f>
        <v>940</v>
      </c>
      <c r="J363" s="1214"/>
      <c r="K363" s="772">
        <f>Rating!G16</f>
        <v>27.6</v>
      </c>
      <c r="M363" s="1224"/>
      <c r="N363" s="1224"/>
      <c r="O363" s="1224"/>
      <c r="P363" s="1224"/>
    </row>
    <row r="364" spans="5:16" ht="14.85" customHeight="1" outlineLevel="1">
      <c r="F364" s="1212" t="s">
        <v>751</v>
      </c>
      <c r="G364" s="1212"/>
      <c r="H364" s="1212"/>
      <c r="I364" s="1214" t="str">
        <f>Rating!F17</f>
        <v>Não</v>
      </c>
      <c r="J364" s="1214"/>
      <c r="K364" s="772">
        <f>Rating!G17</f>
        <v>10</v>
      </c>
      <c r="M364" s="1224"/>
      <c r="N364" s="1224"/>
      <c r="O364" s="1224"/>
      <c r="P364" s="1224"/>
    </row>
    <row r="365" spans="5:16" ht="15.75" outlineLevel="1">
      <c r="F365" s="1212" t="s">
        <v>426</v>
      </c>
      <c r="G365" s="1212"/>
      <c r="H365" s="1212"/>
      <c r="I365" s="1215">
        <f>Rating!F18</f>
        <v>1.2127659574468085E-4</v>
      </c>
      <c r="J365" s="1215"/>
      <c r="K365" s="772">
        <f>Rating!G18</f>
        <v>19.983829787234043</v>
      </c>
      <c r="M365" s="1224"/>
      <c r="N365" s="1224"/>
      <c r="O365" s="1224"/>
      <c r="P365" s="1224"/>
    </row>
    <row r="366" spans="5:16" ht="15.75" outlineLevel="1">
      <c r="F366" s="1212" t="s">
        <v>560</v>
      </c>
      <c r="G366" s="1212"/>
      <c r="H366" s="1212"/>
      <c r="I366" s="1215">
        <f>Rating!F19</f>
        <v>0</v>
      </c>
      <c r="J366" s="1215"/>
      <c r="K366" s="772">
        <f>Rating!G19</f>
        <v>20</v>
      </c>
      <c r="M366" s="1224"/>
      <c r="N366" s="1224"/>
      <c r="O366" s="1224"/>
      <c r="P366" s="1224"/>
    </row>
    <row r="367" spans="5:16" ht="14.85" customHeight="1" outlineLevel="1">
      <c r="F367" s="1212" t="s">
        <v>595</v>
      </c>
      <c r="G367" s="1212"/>
      <c r="H367" s="1212"/>
      <c r="I367" s="1215">
        <f>Rating!F20</f>
        <v>0.73784488554086314</v>
      </c>
      <c r="J367" s="1215"/>
      <c r="K367" s="772">
        <f>Rating!G20</f>
        <v>9.7568977108172632</v>
      </c>
      <c r="M367" s="1224"/>
      <c r="N367" s="1224"/>
      <c r="O367" s="1224"/>
      <c r="P367" s="1224"/>
    </row>
    <row r="368" spans="5:16" ht="14.85" customHeight="1" outlineLevel="1">
      <c r="F368" s="1212" t="s">
        <v>592</v>
      </c>
      <c r="G368" s="1212"/>
      <c r="H368" s="1212"/>
      <c r="I368" s="1215">
        <f ca="1">Rating!F21</f>
        <v>0.34626303950998522</v>
      </c>
      <c r="J368" s="1215"/>
      <c r="K368" s="772">
        <f ca="1">Rating!G21</f>
        <v>1.9252607901997043</v>
      </c>
      <c r="M368" s="1224"/>
      <c r="N368" s="1224"/>
      <c r="O368" s="1224"/>
      <c r="P368" s="1224"/>
    </row>
    <row r="369" spans="6:16" ht="14.85" customHeight="1" outlineLevel="1">
      <c r="M369" s="1224"/>
      <c r="N369" s="1224"/>
      <c r="O369" s="1224"/>
      <c r="P369" s="1224"/>
    </row>
    <row r="370" spans="6:16" ht="14.85" customHeight="1" outlineLevel="1">
      <c r="F370" s="1218" t="s">
        <v>608</v>
      </c>
      <c r="G370" s="1218"/>
      <c r="H370" s="1218"/>
      <c r="I370" s="1218"/>
      <c r="J370" s="1218"/>
      <c r="K370" s="1218"/>
      <c r="M370" s="1224"/>
      <c r="N370" s="1224"/>
      <c r="O370" s="1224"/>
      <c r="P370" s="1224"/>
    </row>
    <row r="371" spans="6:16" ht="15.75" outlineLevel="1">
      <c r="F371" s="1212" t="s">
        <v>562</v>
      </c>
      <c r="G371" s="1212"/>
      <c r="H371" s="1212"/>
      <c r="I371" s="1217">
        <f ca="1">Rating!B15</f>
        <v>61</v>
      </c>
      <c r="J371" s="1217"/>
      <c r="K371" s="772">
        <f ca="1">Rating!C15</f>
        <v>7.0666666666666664</v>
      </c>
      <c r="M371" s="1224"/>
      <c r="N371" s="1224"/>
      <c r="O371" s="1224"/>
      <c r="P371" s="1224"/>
    </row>
    <row r="372" spans="6:16" ht="15.75" outlineLevel="1">
      <c r="F372" s="1212" t="s">
        <v>516</v>
      </c>
      <c r="G372" s="1212"/>
      <c r="H372" s="1212"/>
      <c r="I372" s="1217" t="str">
        <f>Rating!B16</f>
        <v>Sim</v>
      </c>
      <c r="J372" s="1217"/>
      <c r="K372" s="772">
        <f>Rating!C16</f>
        <v>5</v>
      </c>
      <c r="M372" s="1224"/>
      <c r="N372" s="1224"/>
      <c r="O372" s="1224"/>
      <c r="P372" s="1224"/>
    </row>
    <row r="373" spans="6:16" ht="14.85" customHeight="1" outlineLevel="1">
      <c r="F373" s="1212" t="s">
        <v>521</v>
      </c>
      <c r="G373" s="1212"/>
      <c r="H373" s="1212"/>
      <c r="I373" s="1217" t="str">
        <f>Rating!B17</f>
        <v xml:space="preserve">Casado </v>
      </c>
      <c r="J373" s="1217"/>
      <c r="K373" s="772">
        <f>Rating!C17</f>
        <v>15</v>
      </c>
    </row>
    <row r="374" spans="6:16" ht="14.85" customHeight="1" outlineLevel="1">
      <c r="F374" s="1212" t="s">
        <v>589</v>
      </c>
      <c r="G374" s="1212"/>
      <c r="H374" s="1212"/>
      <c r="I374" s="1217" t="str">
        <f>Rating!B18</f>
        <v>Médio</v>
      </c>
      <c r="J374" s="1217"/>
      <c r="K374" s="772">
        <f>Rating!C18</f>
        <v>15</v>
      </c>
    </row>
    <row r="375" spans="6:16" ht="15.75" outlineLevel="1">
      <c r="F375" s="1212" t="s">
        <v>508</v>
      </c>
      <c r="G375" s="1212"/>
      <c r="H375" s="1212"/>
      <c r="I375" s="1217" t="str">
        <f>Rating!B19</f>
        <v>Liberal/Empresário</v>
      </c>
      <c r="J375" s="1217"/>
      <c r="K375" s="772">
        <f>Rating!C19</f>
        <v>5</v>
      </c>
    </row>
    <row r="376" spans="6:16" ht="14.85" customHeight="1" outlineLevel="1">
      <c r="F376" s="1212" t="s">
        <v>635</v>
      </c>
      <c r="G376" s="1212"/>
      <c r="H376" s="1212"/>
      <c r="I376" s="1217">
        <f>Rating!B20</f>
        <v>0</v>
      </c>
      <c r="J376" s="1217"/>
      <c r="K376" s="772" t="str">
        <f>Rating!C20</f>
        <v/>
      </c>
    </row>
    <row r="377" spans="6:16" ht="14.85" customHeight="1" outlineLevel="1">
      <c r="F377" s="1212" t="s">
        <v>503</v>
      </c>
      <c r="G377" s="1212"/>
      <c r="H377" s="1212"/>
      <c r="I377" s="1217" t="str">
        <f>Rating!B21</f>
        <v>&gt; 10 anos</v>
      </c>
      <c r="J377" s="1217"/>
      <c r="K377" s="772">
        <f>Rating!C21</f>
        <v>20</v>
      </c>
    </row>
    <row r="378" spans="6:16" s="814" customFormat="1" ht="14.85" customHeight="1" outlineLevel="1">
      <c r="F378" s="1219" t="s">
        <v>636</v>
      </c>
      <c r="G378" s="1219"/>
      <c r="H378" s="1219"/>
      <c r="I378" s="1236">
        <f>Rating!B22</f>
        <v>0</v>
      </c>
      <c r="J378" s="1236"/>
      <c r="K378" s="831" t="str">
        <f>Rating!C22</f>
        <v/>
      </c>
    </row>
    <row r="379" spans="6:16" ht="15.75" outlineLevel="1">
      <c r="F379" s="1220" t="s">
        <v>591</v>
      </c>
      <c r="G379" s="1220"/>
      <c r="H379" s="1220"/>
      <c r="I379" s="1216" t="str">
        <f ca="1">Rating!C23</f>
        <v>A</v>
      </c>
      <c r="J379" s="1216"/>
      <c r="K379" s="771">
        <f ca="1">Rating!B23</f>
        <v>185.56184595196243</v>
      </c>
    </row>
    <row r="380" spans="6:16" outlineLevel="1"/>
    <row r="381" spans="6:16" ht="15.75" outlineLevel="1">
      <c r="F381" s="1218" t="s">
        <v>606</v>
      </c>
      <c r="G381" s="1218"/>
      <c r="H381" s="1218"/>
      <c r="I381" s="1218"/>
      <c r="J381" s="1218"/>
      <c r="K381" s="1218"/>
    </row>
    <row r="382" spans="6:16" ht="14.85" customHeight="1" outlineLevel="1">
      <c r="F382" s="1212" t="s">
        <v>604</v>
      </c>
      <c r="G382" s="1212"/>
      <c r="H382" s="1212"/>
      <c r="I382" s="1217" t="str">
        <f>Rating!J15</f>
        <v>SP</v>
      </c>
      <c r="J382" s="1217"/>
      <c r="K382" s="772">
        <v>0</v>
      </c>
    </row>
    <row r="383" spans="6:16" ht="15.75" outlineLevel="1">
      <c r="F383" s="1212" t="s">
        <v>232</v>
      </c>
      <c r="G383" s="1212"/>
      <c r="H383" s="1212"/>
      <c r="I383" s="1217" t="str">
        <f>Rating!J16</f>
        <v>Bom</v>
      </c>
      <c r="J383" s="1217"/>
      <c r="K383" s="772">
        <v>0</v>
      </c>
    </row>
    <row r="384" spans="6:16" ht="15.75" outlineLevel="1">
      <c r="F384" s="1212" t="s">
        <v>231</v>
      </c>
      <c r="G384" s="1212"/>
      <c r="H384" s="1212"/>
      <c r="I384" s="1217" t="str">
        <f>Rating!J17</f>
        <v>Grande</v>
      </c>
      <c r="J384" s="1217"/>
      <c r="K384" s="772">
        <v>0</v>
      </c>
    </row>
    <row r="385" spans="5:16" ht="14.85" customHeight="1" outlineLevel="1">
      <c r="F385" s="1212" t="s">
        <v>600</v>
      </c>
      <c r="G385" s="1212"/>
      <c r="H385" s="1212"/>
      <c r="I385" s="1217" t="str">
        <f>Rating!J18</f>
        <v>Bom</v>
      </c>
      <c r="J385" s="1217"/>
      <c r="K385" s="772">
        <v>0</v>
      </c>
    </row>
    <row r="386" spans="5:16" ht="14.85" customHeight="1" outlineLevel="1">
      <c r="F386" s="1212" t="s">
        <v>598</v>
      </c>
      <c r="G386" s="1212"/>
      <c r="H386" s="1212"/>
      <c r="I386" s="1217" t="str">
        <f>Rating!J19</f>
        <v>Sala Comercial</v>
      </c>
      <c r="J386" s="1217"/>
      <c r="K386" s="772">
        <v>0</v>
      </c>
    </row>
    <row r="387" spans="5:16" ht="15.75" outlineLevel="1">
      <c r="F387" s="1212" t="s">
        <v>496</v>
      </c>
      <c r="G387" s="1212"/>
      <c r="H387" s="1212"/>
      <c r="I387" s="1217">
        <f ca="1">Rating!J20</f>
        <v>0.52547341446158502</v>
      </c>
      <c r="J387" s="1217"/>
      <c r="K387" s="772">
        <v>0</v>
      </c>
    </row>
    <row r="388" spans="5:16" ht="14.85" customHeight="1" outlineLevel="1">
      <c r="F388" s="1212" t="s">
        <v>553</v>
      </c>
      <c r="G388" s="1212"/>
      <c r="H388" s="1212"/>
      <c r="I388" s="1217">
        <f>Rating!J21</f>
        <v>0</v>
      </c>
      <c r="J388" s="1217"/>
      <c r="K388" s="772">
        <v>0</v>
      </c>
    </row>
    <row r="389" spans="5:16" ht="15.75" outlineLevel="1">
      <c r="F389" s="1216" t="s">
        <v>590</v>
      </c>
      <c r="G389" s="1216"/>
      <c r="H389" s="1216"/>
      <c r="I389" s="1216" t="str">
        <f ca="1">Rating!K22</f>
        <v>B</v>
      </c>
      <c r="J389" s="1216"/>
      <c r="K389" s="771">
        <f ca="1">Rating!J22</f>
        <v>60.309801410984349</v>
      </c>
    </row>
    <row r="390" spans="5:16" outlineLevel="1"/>
    <row r="391" spans="5:16" ht="14.85" customHeight="1" outlineLevel="1" thickBot="1">
      <c r="F391" s="1200" t="s">
        <v>750</v>
      </c>
      <c r="G391" s="1200"/>
      <c r="H391" s="1200"/>
      <c r="I391" s="1200"/>
      <c r="J391" s="1200"/>
      <c r="K391" s="1200"/>
      <c r="L391" s="1200"/>
      <c r="M391" s="1200"/>
      <c r="N391" s="1200"/>
      <c r="O391" s="1200"/>
      <c r="P391" s="1200"/>
    </row>
    <row r="393" spans="5:16">
      <c r="E393" s="769"/>
      <c r="F393" s="1180" t="s">
        <v>11034</v>
      </c>
      <c r="G393" s="1180"/>
      <c r="H393" s="1180"/>
      <c r="I393" s="1180"/>
      <c r="J393" s="1180"/>
      <c r="K393" s="1180"/>
      <c r="L393" s="1180"/>
      <c r="M393" s="1180"/>
      <c r="N393" s="1180"/>
      <c r="O393" s="1180"/>
      <c r="P393" s="1180"/>
    </row>
    <row r="394" spans="5:16">
      <c r="E394" s="768"/>
      <c r="F394" s="1180"/>
      <c r="G394" s="1180"/>
      <c r="H394" s="1180"/>
      <c r="I394" s="1180"/>
      <c r="J394" s="1180"/>
      <c r="K394" s="1180"/>
      <c r="L394" s="1180"/>
      <c r="M394" s="1180"/>
      <c r="N394" s="1180"/>
      <c r="O394" s="1180"/>
      <c r="P394" s="1180"/>
    </row>
    <row r="395" spans="5:16">
      <c r="E395" s="768"/>
      <c r="F395" s="1180"/>
      <c r="G395" s="1180"/>
      <c r="H395" s="1180"/>
      <c r="I395" s="1180"/>
      <c r="J395" s="1180"/>
      <c r="K395" s="1180"/>
      <c r="L395" s="1180"/>
      <c r="M395" s="1180"/>
      <c r="N395" s="1180"/>
      <c r="O395" s="1180"/>
      <c r="P395" s="1180"/>
    </row>
    <row r="396" spans="5:16">
      <c r="E396" s="768"/>
      <c r="F396" s="1180"/>
      <c r="G396" s="1180"/>
      <c r="H396" s="1180"/>
      <c r="I396" s="1180"/>
      <c r="J396" s="1180"/>
      <c r="K396" s="1180"/>
      <c r="L396" s="1180"/>
      <c r="M396" s="1180"/>
      <c r="N396" s="1180"/>
      <c r="O396" s="1180"/>
      <c r="P396" s="1180"/>
    </row>
    <row r="397" spans="5:16">
      <c r="E397" s="768"/>
      <c r="F397" s="1180"/>
      <c r="G397" s="1180"/>
      <c r="H397" s="1180"/>
      <c r="I397" s="1180"/>
      <c r="J397" s="1180"/>
      <c r="K397" s="1180"/>
      <c r="L397" s="1180"/>
      <c r="M397" s="1180"/>
      <c r="N397" s="1180"/>
      <c r="O397" s="1180"/>
      <c r="P397" s="1180"/>
    </row>
    <row r="398" spans="5:16">
      <c r="E398" s="768"/>
      <c r="F398" s="1180"/>
      <c r="G398" s="1180"/>
      <c r="H398" s="1180"/>
      <c r="I398" s="1180"/>
      <c r="J398" s="1180"/>
      <c r="K398" s="1180"/>
      <c r="L398" s="1180"/>
      <c r="M398" s="1180"/>
      <c r="N398" s="1180"/>
      <c r="O398" s="1180"/>
      <c r="P398" s="1180"/>
    </row>
    <row r="399" spans="5:16">
      <c r="E399" s="768"/>
      <c r="F399" s="1180"/>
      <c r="G399" s="1180"/>
      <c r="H399" s="1180"/>
      <c r="I399" s="1180"/>
      <c r="J399" s="1180"/>
      <c r="K399" s="1180"/>
      <c r="L399" s="1180"/>
      <c r="M399" s="1180"/>
      <c r="N399" s="1180"/>
      <c r="O399" s="1180"/>
      <c r="P399" s="1180"/>
    </row>
    <row r="400" spans="5:16">
      <c r="E400" s="768"/>
      <c r="F400" s="1180"/>
      <c r="G400" s="1180"/>
      <c r="H400" s="1180"/>
      <c r="I400" s="1180"/>
      <c r="J400" s="1180"/>
      <c r="K400" s="1180"/>
      <c r="L400" s="1180"/>
      <c r="M400" s="1180"/>
      <c r="N400" s="1180"/>
      <c r="O400" s="1180"/>
      <c r="P400" s="1180"/>
    </row>
    <row r="401" spans="5:16" ht="14.85" customHeight="1">
      <c r="E401" s="768"/>
      <c r="F401" s="1180"/>
      <c r="G401" s="1180"/>
      <c r="H401" s="1180"/>
      <c r="I401" s="1180"/>
      <c r="J401" s="1180"/>
      <c r="K401" s="1180"/>
      <c r="L401" s="1180"/>
      <c r="M401" s="1180"/>
      <c r="N401" s="1180"/>
      <c r="O401" s="1180"/>
      <c r="P401" s="1180"/>
    </row>
    <row r="402" spans="5:16" ht="14.85" customHeight="1">
      <c r="E402" s="770"/>
      <c r="F402" s="1180"/>
      <c r="G402" s="1180"/>
      <c r="H402" s="1180"/>
      <c r="I402" s="1180"/>
      <c r="J402" s="1180"/>
      <c r="K402" s="1180"/>
      <c r="L402" s="1180"/>
      <c r="M402" s="1180"/>
      <c r="N402" s="1180"/>
      <c r="O402" s="1180"/>
      <c r="P402" s="1180"/>
    </row>
    <row r="403" spans="5:16">
      <c r="F403" s="1180"/>
      <c r="G403" s="1180"/>
      <c r="H403" s="1180"/>
      <c r="I403" s="1180"/>
      <c r="J403" s="1180"/>
      <c r="K403" s="1180"/>
      <c r="L403" s="1180"/>
      <c r="M403" s="1180"/>
      <c r="N403" s="1180"/>
      <c r="O403" s="1180"/>
      <c r="P403" s="1180"/>
    </row>
    <row r="404" spans="5:16" ht="15.75">
      <c r="F404" s="836"/>
      <c r="G404" s="836"/>
      <c r="H404" s="836"/>
      <c r="I404" s="836"/>
      <c r="J404" s="836"/>
      <c r="K404" s="836"/>
      <c r="L404" s="836"/>
      <c r="M404" s="836"/>
      <c r="N404" s="836"/>
      <c r="O404" s="836"/>
      <c r="P404" s="836"/>
    </row>
    <row r="405" spans="5:16" ht="15.75">
      <c r="F405" s="836"/>
      <c r="G405" s="836"/>
      <c r="H405" s="836"/>
      <c r="I405" s="836"/>
      <c r="J405" s="836"/>
      <c r="K405" s="836"/>
      <c r="L405" s="836"/>
      <c r="M405" s="836"/>
      <c r="N405" s="836"/>
      <c r="O405" s="836"/>
      <c r="P405" s="836"/>
    </row>
    <row r="406" spans="5:16">
      <c r="F406" t="s">
        <v>760</v>
      </c>
    </row>
    <row r="407" spans="5:16" ht="16.5" thickBot="1">
      <c r="F407" s="1200" t="s">
        <v>788</v>
      </c>
      <c r="G407" s="1200"/>
      <c r="H407" s="1200"/>
      <c r="I407" s="1200"/>
      <c r="J407" s="1200"/>
      <c r="K407" s="1200"/>
      <c r="L407" s="1200"/>
      <c r="M407" s="1200"/>
      <c r="N407" s="1200"/>
      <c r="O407" s="1200"/>
      <c r="P407" s="1200"/>
    </row>
    <row r="409" spans="5:16" ht="15.75">
      <c r="F409" s="1179" t="s">
        <v>259</v>
      </c>
      <c r="G409" s="1179"/>
      <c r="H409" s="1179"/>
      <c r="I409" s="832" t="s">
        <v>123</v>
      </c>
      <c r="J409" s="832" t="s">
        <v>406</v>
      </c>
      <c r="K409" s="815" t="s">
        <v>789</v>
      </c>
      <c r="L409" s="832" t="s">
        <v>787</v>
      </c>
    </row>
    <row r="410" spans="5:16" ht="15.75">
      <c r="F410" s="1165" t="s">
        <v>475</v>
      </c>
      <c r="G410" s="1165"/>
      <c r="H410" s="1165"/>
      <c r="I410" s="833" t="str">
        <f>IFERROR(IF(VLOOKUP(F410,Inputs!$C$22:$G$27,5,0)=I$409,"X",""),"")</f>
        <v/>
      </c>
      <c r="J410" s="833" t="str">
        <f>IFERROR(IF(VLOOKUP(F410,Inputs!$C$22:$G$27,5,0)=J$409,"X",""),"")</f>
        <v/>
      </c>
      <c r="K410" s="833" t="str">
        <f>IFERROR(IF(VLOOKUP(F410,Inputs!$C$22:$G$27,5,0)=K$409,"X",""),"")</f>
        <v/>
      </c>
      <c r="L410" s="833" t="str">
        <f>IFERROR(IF(VLOOKUP(F410,Inputs!$C$34:$D$36,1,0)&lt;&gt;"","X",""),"")</f>
        <v/>
      </c>
    </row>
    <row r="411" spans="5:16" ht="15.75">
      <c r="F411" s="1250" t="s">
        <v>480</v>
      </c>
      <c r="G411" s="1250"/>
      <c r="H411" s="1250"/>
      <c r="I411" s="834" t="str">
        <f>IFERROR(IF(VLOOKUP(F411,Inputs!$C$22:$G$27,5,0)=I$409,"X",""),"")</f>
        <v/>
      </c>
      <c r="J411" s="834" t="str">
        <f>IFERROR(IF(VLOOKUP(F411,Inputs!$C$22:$G$27,5,0)=J$409,"X",""),"")</f>
        <v/>
      </c>
      <c r="K411" s="834" t="str">
        <f>IFERROR(IF(VLOOKUP(F411,Inputs!$C$22:$G$27,5,0)=K$409,"X",""),"")</f>
        <v/>
      </c>
      <c r="L411" s="834" t="str">
        <f>IFERROR(IF(VLOOKUP(F411,Inputs!$C$34:$D$36,1,0)&lt;&gt;"","X",""),"")</f>
        <v/>
      </c>
    </row>
    <row r="412" spans="5:16" ht="15.75">
      <c r="F412" s="1165"/>
      <c r="G412" s="1165"/>
      <c r="H412" s="1165"/>
      <c r="I412" s="833" t="str">
        <f>IFERROR(IF(VLOOKUP(F412,Inputs!$C$22:$G$27,5,0)=I$409,"X",""),"")</f>
        <v/>
      </c>
      <c r="J412" s="833" t="str">
        <f>IFERROR(IF(VLOOKUP(F412,Inputs!$C$22:$G$27,5,0)=J$409,"X",""),"")</f>
        <v/>
      </c>
      <c r="K412" s="833" t="str">
        <f>IFERROR(IF(VLOOKUP(F412,Inputs!$C$22:$G$27,5,0)=K$409,"X",""),"")</f>
        <v/>
      </c>
      <c r="L412" s="833" t="str">
        <f>IFERROR(IF(VLOOKUP(F412,Inputs!$C$34:$D$36,1,0)&lt;&gt;"","X",""),"")</f>
        <v/>
      </c>
    </row>
    <row r="413" spans="5:16" ht="15.75">
      <c r="F413" s="1250"/>
      <c r="G413" s="1250"/>
      <c r="H413" s="1250"/>
      <c r="I413" s="834" t="str">
        <f>IFERROR(IF(VLOOKUP(F413,Inputs!$C$22:$G$27,5,0)=I$409,"X",""),"")</f>
        <v/>
      </c>
      <c r="J413" s="834" t="str">
        <f>IFERROR(IF(VLOOKUP(F413,Inputs!$C$22:$G$27,5,0)=J$409,"X",""),"")</f>
        <v/>
      </c>
      <c r="K413" s="834" t="str">
        <f>IFERROR(IF(VLOOKUP(F413,Inputs!$C$22:$G$27,5,0)=K$409,"X",""),"")</f>
        <v/>
      </c>
      <c r="L413" s="834" t="str">
        <f>IFERROR(IF(VLOOKUP(F413,Inputs!$C$34:$D$36,1,0)&lt;&gt;"","X",""),"")</f>
        <v/>
      </c>
    </row>
    <row r="414" spans="5:16" ht="15.75">
      <c r="F414" s="1165"/>
      <c r="G414" s="1165"/>
      <c r="H414" s="1165"/>
      <c r="I414" s="833" t="str">
        <f>IFERROR(IF(VLOOKUP(F414,Inputs!$C$22:$G$27,5,0)=I$409,"X",""),"")</f>
        <v/>
      </c>
      <c r="J414" s="833" t="str">
        <f>IFERROR(IF(VLOOKUP(F414,Inputs!$C$22:$G$27,5,0)=J$409,"X",""),"")</f>
        <v/>
      </c>
      <c r="K414" s="833" t="str">
        <f>IFERROR(IF(VLOOKUP(F414,Inputs!$C$22:$G$27,5,0)=K$409,"X",""),"")</f>
        <v/>
      </c>
      <c r="L414" s="833" t="str">
        <f>IFERROR(IF(VLOOKUP(F414,Inputs!$C$34:$D$36,1,0)&lt;&gt;"","X",""),"")</f>
        <v/>
      </c>
    </row>
    <row r="415" spans="5:16" ht="15.75">
      <c r="F415" s="1250"/>
      <c r="G415" s="1250"/>
      <c r="H415" s="1250"/>
      <c r="I415" s="834" t="str">
        <f>IFERROR(IF(VLOOKUP(F415,Inputs!$C$22:$G$27,5,0)=I$409,"X",""),"")</f>
        <v/>
      </c>
      <c r="J415" s="834" t="str">
        <f>IFERROR(IF(VLOOKUP(F415,Inputs!$C$22:$G$27,5,0)=J$409,"X",""),"")</f>
        <v/>
      </c>
      <c r="K415" s="834" t="str">
        <f>IFERROR(IF(VLOOKUP(F415,Inputs!$C$22:$G$27,5,0)=K$409,"X",""),"")</f>
        <v/>
      </c>
      <c r="L415" s="834" t="str">
        <f>IFERROR(IF(VLOOKUP(F415,Inputs!$C$34:$D$36,1,0)&lt;&gt;"","X",""),"")</f>
        <v/>
      </c>
    </row>
    <row r="416" spans="5:16" ht="15.75">
      <c r="F416" s="1165"/>
      <c r="G416" s="1165"/>
      <c r="H416" s="1165"/>
      <c r="I416" s="833" t="str">
        <f>IFERROR(IF(VLOOKUP(F416,Inputs!$C$22:$G$27,5,0)=I$409,"X",""),"")</f>
        <v/>
      </c>
      <c r="J416" s="833" t="str">
        <f>IFERROR(IF(VLOOKUP(F416,Inputs!$C$22:$G$27,5,0)=J$409,"X",""),"")</f>
        <v/>
      </c>
      <c r="K416" s="833" t="str">
        <f>IFERROR(IF(VLOOKUP(F416,Inputs!$C$22:$G$27,5,0)=K$409,"X",""),"")</f>
        <v/>
      </c>
      <c r="L416" s="833" t="str">
        <f>IFERROR(IF(VLOOKUP(F416,Inputs!$C$34:$D$36,1,0)&lt;&gt;"","X",""),"")</f>
        <v/>
      </c>
    </row>
    <row r="417" spans="5:16" ht="15.75">
      <c r="F417" s="837"/>
      <c r="G417" s="837"/>
      <c r="H417" s="837"/>
      <c r="I417" s="838"/>
      <c r="J417" s="838"/>
      <c r="K417" s="838"/>
      <c r="L417" s="838"/>
    </row>
    <row r="420" spans="5:16">
      <c r="E420" s="769"/>
      <c r="F420" s="1163" t="s">
        <v>749</v>
      </c>
      <c r="G420" s="1163"/>
      <c r="H420" s="1163"/>
      <c r="I420" s="1163"/>
      <c r="J420" s="1163"/>
      <c r="K420" s="1163"/>
      <c r="L420" s="1163"/>
      <c r="M420" s="1163"/>
      <c r="N420" s="1163"/>
      <c r="O420" s="1163"/>
      <c r="P420" s="1163"/>
    </row>
    <row r="421" spans="5:16">
      <c r="E421" s="768"/>
      <c r="F421" s="1163"/>
      <c r="G421" s="1163"/>
      <c r="H421" s="1163"/>
      <c r="I421" s="1163"/>
      <c r="J421" s="1163"/>
      <c r="K421" s="1163"/>
      <c r="L421" s="1163"/>
      <c r="M421" s="1163"/>
      <c r="N421" s="1163"/>
      <c r="O421" s="1163"/>
      <c r="P421" s="1163"/>
    </row>
    <row r="422" spans="5:16">
      <c r="E422" s="768"/>
      <c r="F422" s="1163"/>
      <c r="G422" s="1163"/>
      <c r="H422" s="1163"/>
      <c r="I422" s="1163"/>
      <c r="J422" s="1163"/>
      <c r="K422" s="1163"/>
      <c r="L422" s="1163"/>
      <c r="M422" s="1163"/>
      <c r="N422" s="1163"/>
      <c r="O422" s="1163"/>
      <c r="P422" s="1163"/>
    </row>
    <row r="423" spans="5:16">
      <c r="E423" s="768"/>
      <c r="F423" s="1163"/>
      <c r="G423" s="1163"/>
      <c r="H423" s="1163"/>
      <c r="I423" s="1163"/>
      <c r="J423" s="1163"/>
      <c r="K423" s="1163"/>
      <c r="L423" s="1163"/>
      <c r="M423" s="1163"/>
      <c r="N423" s="1163"/>
      <c r="O423" s="1163"/>
      <c r="P423" s="1163"/>
    </row>
    <row r="424" spans="5:16">
      <c r="E424" s="768"/>
      <c r="F424" s="1163"/>
      <c r="G424" s="1163"/>
      <c r="H424" s="1163"/>
      <c r="I424" s="1163"/>
      <c r="J424" s="1163"/>
      <c r="K424" s="1163"/>
      <c r="L424" s="1163"/>
      <c r="M424" s="1163"/>
      <c r="N424" s="1163"/>
      <c r="O424" s="1163"/>
      <c r="P424" s="1163"/>
    </row>
    <row r="425" spans="5:16">
      <c r="E425" s="768"/>
      <c r="F425" s="1163"/>
      <c r="G425" s="1163"/>
      <c r="H425" s="1163"/>
      <c r="I425" s="1163"/>
      <c r="J425" s="1163"/>
      <c r="K425" s="1163"/>
      <c r="L425" s="1163"/>
      <c r="M425" s="1163"/>
      <c r="N425" s="1163"/>
      <c r="O425" s="1163"/>
      <c r="P425" s="1163"/>
    </row>
    <row r="426" spans="5:16">
      <c r="E426" s="768"/>
      <c r="F426" s="1163"/>
      <c r="G426" s="1163"/>
      <c r="H426" s="1163"/>
      <c r="I426" s="1163"/>
      <c r="J426" s="1163"/>
      <c r="K426" s="1163"/>
      <c r="L426" s="1163"/>
      <c r="M426" s="1163"/>
      <c r="N426" s="1163"/>
      <c r="O426" s="1163"/>
      <c r="P426" s="1163"/>
    </row>
    <row r="427" spans="5:16">
      <c r="F427" s="1163"/>
      <c r="G427" s="1163"/>
      <c r="H427" s="1163"/>
      <c r="I427" s="1163"/>
      <c r="J427" s="1163"/>
      <c r="K427" s="1163"/>
      <c r="L427" s="1163"/>
      <c r="M427" s="1163"/>
      <c r="N427" s="1163"/>
      <c r="O427" s="1163"/>
      <c r="P427" s="1163"/>
    </row>
    <row r="428" spans="5:16">
      <c r="F428" s="1163"/>
      <c r="G428" s="1163"/>
      <c r="H428" s="1163"/>
      <c r="I428" s="1163"/>
      <c r="J428" s="1163"/>
      <c r="K428" s="1163"/>
      <c r="L428" s="1163"/>
      <c r="M428" s="1163"/>
      <c r="N428" s="1163"/>
      <c r="O428" s="1163"/>
      <c r="P428" s="1163"/>
    </row>
    <row r="429" spans="5:16">
      <c r="F429" s="1163"/>
      <c r="G429" s="1163"/>
      <c r="H429" s="1163"/>
      <c r="I429" s="1163"/>
      <c r="J429" s="1163"/>
      <c r="K429" s="1163"/>
      <c r="L429" s="1163"/>
      <c r="M429" s="1163"/>
      <c r="N429" s="1163"/>
      <c r="O429" s="1163"/>
      <c r="P429" s="1163"/>
    </row>
    <row r="430" spans="5:16">
      <c r="F430" s="1163"/>
      <c r="G430" s="1163"/>
      <c r="H430" s="1163"/>
      <c r="I430" s="1163"/>
      <c r="J430" s="1163"/>
      <c r="K430" s="1163"/>
      <c r="L430" s="1163"/>
      <c r="M430" s="1163"/>
      <c r="N430" s="1163"/>
      <c r="O430" s="1163"/>
      <c r="P430" s="1163"/>
    </row>
  </sheetData>
  <mergeCells count="453">
    <mergeCell ref="V1:AJ7"/>
    <mergeCell ref="V8:AK15"/>
    <mergeCell ref="V16:AK21"/>
    <mergeCell ref="V22:AK24"/>
    <mergeCell ref="N79:O79"/>
    <mergeCell ref="F409:H409"/>
    <mergeCell ref="F410:H410"/>
    <mergeCell ref="F411:H411"/>
    <mergeCell ref="F412:H412"/>
    <mergeCell ref="F296:I296"/>
    <mergeCell ref="F297:I297"/>
    <mergeCell ref="F298:I298"/>
    <mergeCell ref="F299:I299"/>
    <mergeCell ref="F301:I301"/>
    <mergeCell ref="F302:I302"/>
    <mergeCell ref="F283:I283"/>
    <mergeCell ref="F284:I284"/>
    <mergeCell ref="F285:I285"/>
    <mergeCell ref="F286:I286"/>
    <mergeCell ref="F287:I287"/>
    <mergeCell ref="F288:I288"/>
    <mergeCell ref="F289:I289"/>
    <mergeCell ref="F290:I290"/>
    <mergeCell ref="F292:I292"/>
    <mergeCell ref="F413:H413"/>
    <mergeCell ref="F414:H414"/>
    <mergeCell ref="F415:H415"/>
    <mergeCell ref="F416:H416"/>
    <mergeCell ref="L79:M79"/>
    <mergeCell ref="F313:I313"/>
    <mergeCell ref="F314:I314"/>
    <mergeCell ref="F315:I315"/>
    <mergeCell ref="F316:I316"/>
    <mergeCell ref="F317:I317"/>
    <mergeCell ref="H335:N335"/>
    <mergeCell ref="F407:P407"/>
    <mergeCell ref="F303:I303"/>
    <mergeCell ref="F304:I304"/>
    <mergeCell ref="F305:I305"/>
    <mergeCell ref="F306:I306"/>
    <mergeCell ref="F307:I307"/>
    <mergeCell ref="F308:I308"/>
    <mergeCell ref="F310:I310"/>
    <mergeCell ref="F311:I311"/>
    <mergeCell ref="F312:I312"/>
    <mergeCell ref="F293:I293"/>
    <mergeCell ref="F294:I294"/>
    <mergeCell ref="F295:I295"/>
    <mergeCell ref="F274:I274"/>
    <mergeCell ref="F275:I275"/>
    <mergeCell ref="F272:I272"/>
    <mergeCell ref="F276:I276"/>
    <mergeCell ref="F277:I277"/>
    <mergeCell ref="F278:I278"/>
    <mergeCell ref="F279:I279"/>
    <mergeCell ref="F280:I280"/>
    <mergeCell ref="F281:I281"/>
    <mergeCell ref="F254:I254"/>
    <mergeCell ref="O254:P254"/>
    <mergeCell ref="F262:P262"/>
    <mergeCell ref="F265:I265"/>
    <mergeCell ref="F266:I266"/>
    <mergeCell ref="F267:I267"/>
    <mergeCell ref="F268:I268"/>
    <mergeCell ref="F270:I270"/>
    <mergeCell ref="F271:I271"/>
    <mergeCell ref="F269:I269"/>
    <mergeCell ref="F249:I249"/>
    <mergeCell ref="O249:P249"/>
    <mergeCell ref="F250:I250"/>
    <mergeCell ref="O250:P250"/>
    <mergeCell ref="F251:I251"/>
    <mergeCell ref="O251:P251"/>
    <mergeCell ref="F252:I252"/>
    <mergeCell ref="O252:P252"/>
    <mergeCell ref="F253:I253"/>
    <mergeCell ref="O253:P253"/>
    <mergeCell ref="F243:I243"/>
    <mergeCell ref="O243:P243"/>
    <mergeCell ref="F244:I244"/>
    <mergeCell ref="O244:P244"/>
    <mergeCell ref="F246:I246"/>
    <mergeCell ref="O246:P246"/>
    <mergeCell ref="F247:I247"/>
    <mergeCell ref="O247:P247"/>
    <mergeCell ref="F248:I248"/>
    <mergeCell ref="O248:P248"/>
    <mergeCell ref="F238:I238"/>
    <mergeCell ref="O238:P238"/>
    <mergeCell ref="F239:I239"/>
    <mergeCell ref="O239:P239"/>
    <mergeCell ref="F240:I240"/>
    <mergeCell ref="O240:P240"/>
    <mergeCell ref="F241:I241"/>
    <mergeCell ref="O241:P241"/>
    <mergeCell ref="F242:I242"/>
    <mergeCell ref="O242:P242"/>
    <mergeCell ref="F232:I232"/>
    <mergeCell ref="O232:P232"/>
    <mergeCell ref="F233:I233"/>
    <mergeCell ref="O233:P233"/>
    <mergeCell ref="F234:I234"/>
    <mergeCell ref="O234:P234"/>
    <mergeCell ref="F236:I236"/>
    <mergeCell ref="O236:P236"/>
    <mergeCell ref="F237:I237"/>
    <mergeCell ref="O237:P237"/>
    <mergeCell ref="F227:I227"/>
    <mergeCell ref="O227:P227"/>
    <mergeCell ref="F228:I228"/>
    <mergeCell ref="O228:P228"/>
    <mergeCell ref="F229:I229"/>
    <mergeCell ref="O229:P229"/>
    <mergeCell ref="F230:I230"/>
    <mergeCell ref="O230:P230"/>
    <mergeCell ref="F231:I231"/>
    <mergeCell ref="O231:P231"/>
    <mergeCell ref="F221:I221"/>
    <mergeCell ref="O221:P221"/>
    <mergeCell ref="F222:I222"/>
    <mergeCell ref="O222:P222"/>
    <mergeCell ref="F223:I223"/>
    <mergeCell ref="O223:P223"/>
    <mergeCell ref="F224:I224"/>
    <mergeCell ref="O224:P224"/>
    <mergeCell ref="F226:I226"/>
    <mergeCell ref="O226:P226"/>
    <mergeCell ref="F216:I216"/>
    <mergeCell ref="O216:P216"/>
    <mergeCell ref="F217:I217"/>
    <mergeCell ref="O217:P217"/>
    <mergeCell ref="F218:I218"/>
    <mergeCell ref="O218:P218"/>
    <mergeCell ref="F219:I219"/>
    <mergeCell ref="O219:P219"/>
    <mergeCell ref="F220:I220"/>
    <mergeCell ref="O220:P220"/>
    <mergeCell ref="F210:I210"/>
    <mergeCell ref="O210:P210"/>
    <mergeCell ref="F211:I211"/>
    <mergeCell ref="O211:P211"/>
    <mergeCell ref="F212:I212"/>
    <mergeCell ref="O212:P212"/>
    <mergeCell ref="F213:I213"/>
    <mergeCell ref="O213:P213"/>
    <mergeCell ref="F214:I214"/>
    <mergeCell ref="O214:P214"/>
    <mergeCell ref="F187:G187"/>
    <mergeCell ref="H187:J187"/>
    <mergeCell ref="L187:M187"/>
    <mergeCell ref="N187:P187"/>
    <mergeCell ref="F145:H145"/>
    <mergeCell ref="I145:J145"/>
    <mergeCell ref="F126:P137"/>
    <mergeCell ref="N179:P179"/>
    <mergeCell ref="L179:M179"/>
    <mergeCell ref="H179:J179"/>
    <mergeCell ref="F179:G179"/>
    <mergeCell ref="F176:P176"/>
    <mergeCell ref="F186:G186"/>
    <mergeCell ref="H186:J186"/>
    <mergeCell ref="L186:M186"/>
    <mergeCell ref="N186:P186"/>
    <mergeCell ref="F183:G183"/>
    <mergeCell ref="H183:J183"/>
    <mergeCell ref="L183:M183"/>
    <mergeCell ref="N183:P183"/>
    <mergeCell ref="F184:G184"/>
    <mergeCell ref="H184:J184"/>
    <mergeCell ref="L184:M184"/>
    <mergeCell ref="N184:P184"/>
    <mergeCell ref="F185:G185"/>
    <mergeCell ref="H185:J185"/>
    <mergeCell ref="L185:M185"/>
    <mergeCell ref="N185:P185"/>
    <mergeCell ref="F180:G180"/>
    <mergeCell ref="H180:J180"/>
    <mergeCell ref="L180:M180"/>
    <mergeCell ref="N180:P180"/>
    <mergeCell ref="F181:G181"/>
    <mergeCell ref="H181:J181"/>
    <mergeCell ref="L181:M181"/>
    <mergeCell ref="N181:P181"/>
    <mergeCell ref="F182:G182"/>
    <mergeCell ref="H182:J182"/>
    <mergeCell ref="L182:M182"/>
    <mergeCell ref="N182:P182"/>
    <mergeCell ref="F173:G173"/>
    <mergeCell ref="H173:J173"/>
    <mergeCell ref="L173:M173"/>
    <mergeCell ref="N173:P173"/>
    <mergeCell ref="F174:G174"/>
    <mergeCell ref="H174:J174"/>
    <mergeCell ref="L174:M174"/>
    <mergeCell ref="N174:P174"/>
    <mergeCell ref="F170:G170"/>
    <mergeCell ref="H170:J170"/>
    <mergeCell ref="L170:M170"/>
    <mergeCell ref="N170:P170"/>
    <mergeCell ref="F171:G171"/>
    <mergeCell ref="H171:J171"/>
    <mergeCell ref="L171:M171"/>
    <mergeCell ref="N171:P171"/>
    <mergeCell ref="F172:G172"/>
    <mergeCell ref="H172:J172"/>
    <mergeCell ref="L172:M172"/>
    <mergeCell ref="N172:P172"/>
    <mergeCell ref="F167:G167"/>
    <mergeCell ref="H167:J167"/>
    <mergeCell ref="L167:M167"/>
    <mergeCell ref="N167:P167"/>
    <mergeCell ref="F168:G168"/>
    <mergeCell ref="H168:J168"/>
    <mergeCell ref="L168:M168"/>
    <mergeCell ref="N168:P168"/>
    <mergeCell ref="F169:G169"/>
    <mergeCell ref="H169:J169"/>
    <mergeCell ref="L169:M169"/>
    <mergeCell ref="N169:P169"/>
    <mergeCell ref="F164:G164"/>
    <mergeCell ref="H164:J164"/>
    <mergeCell ref="L164:M164"/>
    <mergeCell ref="N164:P164"/>
    <mergeCell ref="F165:G165"/>
    <mergeCell ref="H165:J165"/>
    <mergeCell ref="L165:M165"/>
    <mergeCell ref="N165:P165"/>
    <mergeCell ref="F166:G166"/>
    <mergeCell ref="H166:J166"/>
    <mergeCell ref="L166:M166"/>
    <mergeCell ref="N166:P166"/>
    <mergeCell ref="L155:M155"/>
    <mergeCell ref="N155:P155"/>
    <mergeCell ref="L156:M156"/>
    <mergeCell ref="N156:P156"/>
    <mergeCell ref="L157:M157"/>
    <mergeCell ref="N157:P157"/>
    <mergeCell ref="L158:M158"/>
    <mergeCell ref="N158:P158"/>
    <mergeCell ref="L159:M159"/>
    <mergeCell ref="N159:P159"/>
    <mergeCell ref="I141:J141"/>
    <mergeCell ref="I142:J142"/>
    <mergeCell ref="N151:P151"/>
    <mergeCell ref="L152:M152"/>
    <mergeCell ref="N152:P152"/>
    <mergeCell ref="L153:M153"/>
    <mergeCell ref="N153:P153"/>
    <mergeCell ref="L154:M154"/>
    <mergeCell ref="N154:P154"/>
    <mergeCell ref="F391:P391"/>
    <mergeCell ref="F393:P403"/>
    <mergeCell ref="F420:P430"/>
    <mergeCell ref="F57:P57"/>
    <mergeCell ref="F82:P82"/>
    <mergeCell ref="F356:P356"/>
    <mergeCell ref="F332:P332"/>
    <mergeCell ref="O202:P202"/>
    <mergeCell ref="O203:P203"/>
    <mergeCell ref="O204:P204"/>
    <mergeCell ref="F196:I196"/>
    <mergeCell ref="F197:I197"/>
    <mergeCell ref="F198:I198"/>
    <mergeCell ref="F199:I199"/>
    <mergeCell ref="F200:I200"/>
    <mergeCell ref="F201:I201"/>
    <mergeCell ref="F202:I202"/>
    <mergeCell ref="F370:K370"/>
    <mergeCell ref="F371:H371"/>
    <mergeCell ref="I378:J378"/>
    <mergeCell ref="F76:G76"/>
    <mergeCell ref="H73:J73"/>
    <mergeCell ref="H74:J74"/>
    <mergeCell ref="F73:G73"/>
    <mergeCell ref="M22:O24"/>
    <mergeCell ref="F203:I203"/>
    <mergeCell ref="F204:I204"/>
    <mergeCell ref="O196:P196"/>
    <mergeCell ref="O197:P197"/>
    <mergeCell ref="O198:P198"/>
    <mergeCell ref="O199:P199"/>
    <mergeCell ref="H70:J70"/>
    <mergeCell ref="F150:G150"/>
    <mergeCell ref="H150:J150"/>
    <mergeCell ref="H151:J151"/>
    <mergeCell ref="L161:M161"/>
    <mergeCell ref="L162:M162"/>
    <mergeCell ref="F156:G156"/>
    <mergeCell ref="F157:G157"/>
    <mergeCell ref="F158:G158"/>
    <mergeCell ref="F159:G159"/>
    <mergeCell ref="N162:P162"/>
    <mergeCell ref="N161:P161"/>
    <mergeCell ref="F71:G71"/>
    <mergeCell ref="H71:J71"/>
    <mergeCell ref="F143:H143"/>
    <mergeCell ref="I143:J143"/>
    <mergeCell ref="F144:H144"/>
    <mergeCell ref="I368:J368"/>
    <mergeCell ref="I371:J371"/>
    <mergeCell ref="F372:H372"/>
    <mergeCell ref="I372:J372"/>
    <mergeCell ref="F373:H373"/>
    <mergeCell ref="I373:J373"/>
    <mergeCell ref="F366:H366"/>
    <mergeCell ref="I366:J366"/>
    <mergeCell ref="F367:H367"/>
    <mergeCell ref="I367:J367"/>
    <mergeCell ref="F368:H368"/>
    <mergeCell ref="F361:K361"/>
    <mergeCell ref="F362:H362"/>
    <mergeCell ref="F74:G74"/>
    <mergeCell ref="F75:G75"/>
    <mergeCell ref="F148:P148"/>
    <mergeCell ref="H75:J75"/>
    <mergeCell ref="F147:P147"/>
    <mergeCell ref="F125:P125"/>
    <mergeCell ref="M359:P359"/>
    <mergeCell ref="L351:N351"/>
    <mergeCell ref="I362:J362"/>
    <mergeCell ref="H351:K351"/>
    <mergeCell ref="F359:K359"/>
    <mergeCell ref="M361:P372"/>
    <mergeCell ref="H345:K345"/>
    <mergeCell ref="H346:K346"/>
    <mergeCell ref="H347:K347"/>
    <mergeCell ref="H348:K348"/>
    <mergeCell ref="H349:K349"/>
    <mergeCell ref="H350:K350"/>
    <mergeCell ref="L348:N348"/>
    <mergeCell ref="L349:N349"/>
    <mergeCell ref="L350:N350"/>
    <mergeCell ref="L345:N345"/>
    <mergeCell ref="F384:H384"/>
    <mergeCell ref="I384:J384"/>
    <mergeCell ref="F379:H379"/>
    <mergeCell ref="I379:J379"/>
    <mergeCell ref="F374:H374"/>
    <mergeCell ref="I374:J374"/>
    <mergeCell ref="F375:H375"/>
    <mergeCell ref="I375:J375"/>
    <mergeCell ref="F376:H376"/>
    <mergeCell ref="I376:J376"/>
    <mergeCell ref="F363:H363"/>
    <mergeCell ref="I363:J363"/>
    <mergeCell ref="F364:H364"/>
    <mergeCell ref="I364:J364"/>
    <mergeCell ref="F365:H365"/>
    <mergeCell ref="I365:J365"/>
    <mergeCell ref="F389:H389"/>
    <mergeCell ref="I389:J389"/>
    <mergeCell ref="F385:H385"/>
    <mergeCell ref="I385:J385"/>
    <mergeCell ref="F386:H386"/>
    <mergeCell ref="I386:J386"/>
    <mergeCell ref="F387:H387"/>
    <mergeCell ref="I387:J387"/>
    <mergeCell ref="F381:K381"/>
    <mergeCell ref="F388:H388"/>
    <mergeCell ref="I388:J388"/>
    <mergeCell ref="F377:H377"/>
    <mergeCell ref="I377:J377"/>
    <mergeCell ref="F378:H378"/>
    <mergeCell ref="F382:H382"/>
    <mergeCell ref="I382:J382"/>
    <mergeCell ref="F383:H383"/>
    <mergeCell ref="I383:J383"/>
    <mergeCell ref="L346:N346"/>
    <mergeCell ref="L347:N347"/>
    <mergeCell ref="H339:K339"/>
    <mergeCell ref="H341:K341"/>
    <mergeCell ref="H342:K342"/>
    <mergeCell ref="H343:K343"/>
    <mergeCell ref="H344:K344"/>
    <mergeCell ref="L342:N342"/>
    <mergeCell ref="L343:N343"/>
    <mergeCell ref="L344:N344"/>
    <mergeCell ref="L339:N339"/>
    <mergeCell ref="L340:N340"/>
    <mergeCell ref="L341:N341"/>
    <mergeCell ref="H340:K340"/>
    <mergeCell ref="L336:N336"/>
    <mergeCell ref="L337:N337"/>
    <mergeCell ref="L338:N338"/>
    <mergeCell ref="J334:M334"/>
    <mergeCell ref="H336:K336"/>
    <mergeCell ref="H337:K337"/>
    <mergeCell ref="H338:K338"/>
    <mergeCell ref="H157:J157"/>
    <mergeCell ref="H158:J158"/>
    <mergeCell ref="H159:J159"/>
    <mergeCell ref="H160:J160"/>
    <mergeCell ref="L160:M160"/>
    <mergeCell ref="N160:P160"/>
    <mergeCell ref="F194:P194"/>
    <mergeCell ref="F206:I206"/>
    <mergeCell ref="O206:P206"/>
    <mergeCell ref="F207:I207"/>
    <mergeCell ref="O207:P207"/>
    <mergeCell ref="F208:I208"/>
    <mergeCell ref="O208:P208"/>
    <mergeCell ref="F209:I209"/>
    <mergeCell ref="O209:P209"/>
    <mergeCell ref="O200:P200"/>
    <mergeCell ref="O201:P201"/>
    <mergeCell ref="H156:J156"/>
    <mergeCell ref="F160:G160"/>
    <mergeCell ref="F142:H142"/>
    <mergeCell ref="G11:O14"/>
    <mergeCell ref="L73:M74"/>
    <mergeCell ref="N73:O74"/>
    <mergeCell ref="F59:P59"/>
    <mergeCell ref="F61:P68"/>
    <mergeCell ref="F70:G70"/>
    <mergeCell ref="L70:M70"/>
    <mergeCell ref="N70:O70"/>
    <mergeCell ref="L71:M71"/>
    <mergeCell ref="N71:O71"/>
    <mergeCell ref="L72:M72"/>
    <mergeCell ref="N72:O72"/>
    <mergeCell ref="L76:M76"/>
    <mergeCell ref="N76:O76"/>
    <mergeCell ref="H76:J76"/>
    <mergeCell ref="L77:M77"/>
    <mergeCell ref="N77:O77"/>
    <mergeCell ref="N75:O75"/>
    <mergeCell ref="G22:L24"/>
    <mergeCell ref="G17:L19"/>
    <mergeCell ref="M17:O19"/>
    <mergeCell ref="H77:J77"/>
    <mergeCell ref="P73:P74"/>
    <mergeCell ref="L75:M75"/>
    <mergeCell ref="G58:P58"/>
    <mergeCell ref="F151:G151"/>
    <mergeCell ref="F153:G153"/>
    <mergeCell ref="F154:G154"/>
    <mergeCell ref="F155:G155"/>
    <mergeCell ref="H153:J153"/>
    <mergeCell ref="H154:J154"/>
    <mergeCell ref="H155:J155"/>
    <mergeCell ref="I144:J144"/>
    <mergeCell ref="F152:G152"/>
    <mergeCell ref="H152:J152"/>
    <mergeCell ref="L150:M150"/>
    <mergeCell ref="N150:P150"/>
    <mergeCell ref="L151:M151"/>
    <mergeCell ref="H78:J78"/>
    <mergeCell ref="F113:P116"/>
    <mergeCell ref="F139:H139"/>
    <mergeCell ref="I139:J139"/>
    <mergeCell ref="F140:H140"/>
    <mergeCell ref="I140:J140"/>
    <mergeCell ref="F141:H141"/>
  </mergeCells>
  <conditionalFormatting sqref="K371">
    <cfRule type="containsText" dxfId="3" priority="2" operator="containsText" text="FALSO">
      <formula>NOT(ISERROR(SEARCH("FALSO",K371)))</formula>
    </cfRule>
  </conditionalFormatting>
  <conditionalFormatting sqref="K372:K378">
    <cfRule type="containsText" dxfId="2" priority="1" operator="containsText" text="FALSO">
      <formula>NOT(ISERROR(SEARCH("FALSO",K372)))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0" orientation="portrait" r:id="rId1"/>
  <rowBreaks count="1" manualBreakCount="1">
    <brk id="52" max="16383" man="1"/>
  </rowBreaks>
  <colBreaks count="1" manualBreakCount="1">
    <brk id="4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DBBD4C-7221-4D5C-80CB-4CADD819FDB9}">
          <x14:formula1>
            <xm:f>' Relatorio'!$B$50:$B$58</xm:f>
          </x14:formula1>
          <xm:sqref>F410:F417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A40FC-5F87-4A6C-B7FE-B284E70D6EFD}">
  <sheetPr codeName="Planilha3">
    <tabColor theme="2" tint="-9.9978637043366805E-2"/>
  </sheetPr>
  <dimension ref="A2:V339"/>
  <sheetViews>
    <sheetView showGridLines="0" workbookViewId="0">
      <selection activeCell="G7" sqref="G7"/>
    </sheetView>
  </sheetViews>
  <sheetFormatPr defaultRowHeight="15"/>
  <cols>
    <col min="2" max="2" width="23.5703125" bestFit="1" customWidth="1"/>
    <col min="3" max="3" width="14.5703125" bestFit="1" customWidth="1"/>
    <col min="4" max="4" width="15.7109375" bestFit="1" customWidth="1"/>
    <col min="5" max="5" width="16" bestFit="1" customWidth="1"/>
    <col min="6" max="6" width="12.5703125" bestFit="1" customWidth="1"/>
    <col min="7" max="7" width="8.7109375" bestFit="1" customWidth="1"/>
    <col min="8" max="8" width="11.28515625" bestFit="1" customWidth="1"/>
    <col min="9" max="9" width="12.42578125" bestFit="1" customWidth="1"/>
    <col min="12" max="12" width="13.7109375" bestFit="1" customWidth="1"/>
    <col min="14" max="14" width="14.5703125" bestFit="1" customWidth="1"/>
    <col min="15" max="15" width="10.42578125" customWidth="1"/>
    <col min="16" max="16" width="18.5703125" bestFit="1" customWidth="1"/>
    <col min="18" max="18" width="13.42578125" bestFit="1" customWidth="1"/>
    <col min="19" max="19" width="13.42578125" customWidth="1"/>
    <col min="22" max="22" width="14.5703125" style="31" bestFit="1" customWidth="1"/>
  </cols>
  <sheetData>
    <row r="2" spans="2:22">
      <c r="B2" s="1" t="s">
        <v>0</v>
      </c>
      <c r="C2" s="2">
        <f ca="1">SUM(C4:C7)</f>
        <v>185234.90145170517</v>
      </c>
      <c r="D2" s="10"/>
      <c r="E2" s="1" t="s">
        <v>25</v>
      </c>
      <c r="F2" s="574">
        <v>44720</v>
      </c>
      <c r="H2" s="174" t="s">
        <v>37</v>
      </c>
      <c r="I2" s="18" t="s">
        <v>30</v>
      </c>
      <c r="K2" s="1255" t="s">
        <v>56</v>
      </c>
      <c r="L2" s="1256"/>
    </row>
    <row r="3" spans="2:22">
      <c r="B3" s="3" t="s">
        <v>1</v>
      </c>
      <c r="C3" s="4" t="s">
        <v>45</v>
      </c>
      <c r="E3" s="3" t="s">
        <v>31</v>
      </c>
      <c r="F3" s="575">
        <v>30</v>
      </c>
      <c r="H3" s="3" t="s">
        <v>24</v>
      </c>
      <c r="I3" s="16">
        <v>8.2000000000000001E-5</v>
      </c>
      <c r="K3" s="3" t="s">
        <v>54</v>
      </c>
      <c r="L3" s="44">
        <f ca="1">V14</f>
        <v>-1.9595026969909668E-6</v>
      </c>
    </row>
    <row r="4" spans="2:22">
      <c r="B4" s="5" t="s">
        <v>44</v>
      </c>
      <c r="C4" s="26">
        <f ca="1">'SAC_IOF Ñ USAR'!C4</f>
        <v>6224.2314517051609</v>
      </c>
      <c r="D4" s="10"/>
      <c r="E4" s="5" t="s">
        <v>32</v>
      </c>
      <c r="F4" s="6">
        <f ca="1">C4</f>
        <v>6224.2314517051609</v>
      </c>
      <c r="H4" s="7" t="s">
        <v>36</v>
      </c>
      <c r="I4" s="17">
        <v>4.1E-5</v>
      </c>
      <c r="K4" s="7" t="s">
        <v>57</v>
      </c>
      <c r="L4" s="17">
        <v>9.2000000001526382E-3</v>
      </c>
    </row>
    <row r="5" spans="2:22">
      <c r="B5" s="3" t="s">
        <v>4</v>
      </c>
      <c r="C5" s="34">
        <f>Inputs!W20</f>
        <v>6768</v>
      </c>
      <c r="E5" s="15" t="s">
        <v>23</v>
      </c>
      <c r="F5" s="203" t="str">
        <f>Inputs!D14</f>
        <v>PF</v>
      </c>
    </row>
    <row r="6" spans="2:22">
      <c r="B6" s="5" t="s">
        <v>5</v>
      </c>
      <c r="C6" s="35">
        <f>Inputs!W22</f>
        <v>3042.67</v>
      </c>
      <c r="H6" s="174" t="s">
        <v>39</v>
      </c>
      <c r="I6" s="18" t="s">
        <v>30</v>
      </c>
      <c r="K6" s="59"/>
    </row>
    <row r="7" spans="2:22">
      <c r="B7" s="3" t="s">
        <v>6</v>
      </c>
      <c r="C7" s="36">
        <f>Inputs!W11</f>
        <v>169200</v>
      </c>
      <c r="H7" s="3" t="s">
        <v>27</v>
      </c>
      <c r="I7" s="16">
        <f>Inputs!W24</f>
        <v>2.1000000000000001E-4</v>
      </c>
    </row>
    <row r="8" spans="2:22">
      <c r="B8" s="5" t="s">
        <v>7</v>
      </c>
      <c r="C8" s="37">
        <f ca="1">Inputs!W29</f>
        <v>228</v>
      </c>
      <c r="D8" s="56" t="s">
        <v>112</v>
      </c>
      <c r="H8" s="7" t="s">
        <v>28</v>
      </c>
      <c r="I8" s="17">
        <f>Inputs!W25</f>
        <v>6.9999999999999994E-5</v>
      </c>
    </row>
    <row r="9" spans="2:22">
      <c r="B9" s="3" t="s">
        <v>52</v>
      </c>
      <c r="C9" s="38">
        <f>Inputs!W32</f>
        <v>9.1999999999999998E-3</v>
      </c>
      <c r="D9" s="55">
        <f>L4</f>
        <v>9.2000000001526382E-3</v>
      </c>
      <c r="E9" s="49"/>
      <c r="F9" s="50"/>
    </row>
    <row r="10" spans="2:22">
      <c r="B10" s="5" t="s">
        <v>9</v>
      </c>
      <c r="C10" s="26">
        <f ca="1">MAX(I19:I339)</f>
        <v>2800.5200244188391</v>
      </c>
      <c r="H10" s="9" t="s">
        <v>20</v>
      </c>
      <c r="I10" s="12">
        <f>Inputs!W23</f>
        <v>25</v>
      </c>
      <c r="L10" s="29"/>
      <c r="N10" s="30"/>
    </row>
    <row r="11" spans="2:22">
      <c r="B11" s="3" t="s">
        <v>10</v>
      </c>
      <c r="C11" s="39">
        <f>Inputs!W12</f>
        <v>376000</v>
      </c>
      <c r="D11" s="52"/>
      <c r="E11" s="28"/>
      <c r="F11" s="13"/>
      <c r="R11" s="13"/>
      <c r="S11" s="13"/>
    </row>
    <row r="12" spans="2:22">
      <c r="B12" s="5" t="s">
        <v>11</v>
      </c>
      <c r="C12" s="40">
        <f>Inputs!D16</f>
        <v>6</v>
      </c>
      <c r="F12" s="13"/>
      <c r="H12" s="1255" t="s">
        <v>15</v>
      </c>
      <c r="I12" s="1256"/>
      <c r="L12" s="28"/>
      <c r="U12" t="s">
        <v>52</v>
      </c>
    </row>
    <row r="13" spans="2:22" ht="14.85" customHeight="1">
      <c r="B13" s="3" t="s">
        <v>12</v>
      </c>
      <c r="C13" s="202">
        <f>Inputs!E17</f>
        <v>0</v>
      </c>
      <c r="D13" s="47">
        <f ca="1">IFERROR(SUMIFS(L18:L339,K18:K339,"Pula",J18:J339,"")/C13,0)</f>
        <v>0</v>
      </c>
      <c r="E13" s="187"/>
      <c r="F13" s="187"/>
      <c r="H13" s="3" t="s">
        <v>15</v>
      </c>
      <c r="I13" s="44">
        <f ca="1">_xlfn.XLOOKUP(IF(C12&gt;0.1,C12,IF(A19="I","I",0)),$A:$A,$E:$E)/($C$8-$D$13-$C$12)</f>
        <v>889.99100827727909</v>
      </c>
      <c r="L13" s="28"/>
      <c r="P13" t="s">
        <v>41</v>
      </c>
      <c r="R13" s="13">
        <f ca="1">SUM(R18:R339)</f>
        <v>5520.3388261886748</v>
      </c>
      <c r="S13" s="13"/>
      <c r="U13" t="s">
        <v>53</v>
      </c>
      <c r="V13" s="31">
        <f ca="1">'SAC_PULA Ñ USAR'!T18</f>
        <v>185762.69294595925</v>
      </c>
    </row>
    <row r="14" spans="2:22" ht="14.85" customHeight="1">
      <c r="B14" s="5" t="s">
        <v>13</v>
      </c>
      <c r="C14" s="188">
        <f ca="1">(1+IRR(V18:V339))^12-1</f>
        <v>0.14409638500653799</v>
      </c>
      <c r="E14" s="187"/>
      <c r="F14" s="187"/>
      <c r="H14" s="7" t="s">
        <v>47</v>
      </c>
      <c r="I14" s="60">
        <f ca="1">_xlfn.XLOOKUP(C8,A:A,E:E)</f>
        <v>-6.4551386458333582E-10</v>
      </c>
      <c r="N14" s="10">
        <f ca="1">P18*(180-3-15)</f>
        <v>135171.41457286594</v>
      </c>
      <c r="P14" s="22" t="s">
        <v>42</v>
      </c>
      <c r="Q14" s="22"/>
      <c r="R14" s="23">
        <f ca="1">E18*0.38%</f>
        <v>703.8926255164796</v>
      </c>
      <c r="S14" s="512"/>
      <c r="U14" t="s">
        <v>54</v>
      </c>
      <c r="V14" s="31">
        <f ca="1">V13-U18</f>
        <v>-1.9595026969909668E-6</v>
      </c>
    </row>
    <row r="15" spans="2:22">
      <c r="B15" s="15" t="s">
        <v>634</v>
      </c>
      <c r="C15" s="186">
        <f ca="1">ROUND((MAX(B19:B339)-B18)/365*12,0)</f>
        <v>229</v>
      </c>
      <c r="D15" s="13"/>
      <c r="E15" s="13"/>
      <c r="N15" s="10"/>
      <c r="P15" t="s">
        <v>43</v>
      </c>
      <c r="R15" s="13">
        <f ca="1">R13+R14</f>
        <v>6224.2314517051545</v>
      </c>
      <c r="S15" s="514">
        <f ca="1">R15/C2</f>
        <v>3.3601828828828728E-2</v>
      </c>
    </row>
    <row r="16" spans="2:22">
      <c r="C16" s="10"/>
      <c r="D16" s="13"/>
      <c r="E16" s="13"/>
      <c r="G16" s="28"/>
    </row>
    <row r="17" spans="1:22" ht="38.25">
      <c r="A17" s="8" t="s">
        <v>35</v>
      </c>
      <c r="B17" s="8" t="s">
        <v>14</v>
      </c>
      <c r="C17" s="8" t="s">
        <v>15</v>
      </c>
      <c r="D17" s="8" t="s">
        <v>16</v>
      </c>
      <c r="E17" s="8" t="s">
        <v>17</v>
      </c>
      <c r="F17" s="8" t="s">
        <v>18</v>
      </c>
      <c r="G17" s="8" t="s">
        <v>19</v>
      </c>
      <c r="H17" s="8" t="s">
        <v>20</v>
      </c>
      <c r="I17" s="8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U17" s="22" t="s">
        <v>49</v>
      </c>
      <c r="V17" s="48" t="s">
        <v>50</v>
      </c>
    </row>
    <row r="18" spans="1:22">
      <c r="A18" s="180">
        <f>'SAC_IOF Ñ USAR'!A18</f>
        <v>0</v>
      </c>
      <c r="B18" s="185">
        <f>F2</f>
        <v>44720</v>
      </c>
      <c r="C18" s="182"/>
      <c r="D18" s="182"/>
      <c r="E18" s="184">
        <f ca="1">C2</f>
        <v>185234.90145170517</v>
      </c>
      <c r="F18" s="183"/>
      <c r="G18" s="182"/>
      <c r="H18" s="181"/>
      <c r="I18" s="25"/>
      <c r="J18" s="9" t="str">
        <f>'SAC_IOF Ñ USAR'!J18</f>
        <v>Carencia</v>
      </c>
      <c r="K18" s="9" t="str">
        <f>'SAC_IOF Ñ USAR'!K18</f>
        <v/>
      </c>
      <c r="L18" s="9">
        <f>'SAC_IOF Ñ USAR'!L18</f>
        <v>6</v>
      </c>
      <c r="N18" s="9"/>
      <c r="O18" s="9"/>
      <c r="P18" s="175">
        <f t="shared" ref="P18:P81" ca="1" si="0">IF(A18&lt;&gt;"",$E$18/($C$8-$C$12-$D$13),"")</f>
        <v>834.39144798065388</v>
      </c>
      <c r="Q18" s="11" t="str">
        <f t="shared" ref="Q18:Q81" si="1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ca="1" si="2">IFERROR(Q18*P18,"")</f>
        <v/>
      </c>
      <c r="U18">
        <f ca="1">U19/(1+C9)^((B19-B18)/_xlfn.DAYS(EDATE(B18,1),B18))</f>
        <v>185762.69294791875</v>
      </c>
      <c r="V18" s="31">
        <f>-C7</f>
        <v>-169200</v>
      </c>
    </row>
    <row r="19" spans="1:22">
      <c r="A19" s="180" t="str">
        <f>'SAC_IOF Ñ USAR'!A19</f>
        <v>I</v>
      </c>
      <c r="B19" s="179">
        <f>'SAC_IOF Ñ USAR'!B19</f>
        <v>44742</v>
      </c>
      <c r="C19" s="177">
        <f t="shared" ref="C19:C82" si="3">IFERROR(IF(OR(J19="Carencia",K19="Pula",A19=""),0,$I$13),"")</f>
        <v>0</v>
      </c>
      <c r="D19" s="24">
        <f ca="1">IFERROR(IF(DAY(B19)=DAY(B18),IF(K19="Pula",0,IF(B19=B18,0,($D$9)*E18)),IF(AND($C$12=0,F3&lt;DAY(F2)),($D$9)*E18,((1+$D$9)^(N19/_xlfn.DAYS(EDATE(B18,1),B18))-1)*E18)),"")</f>
        <v>1248.1910715151771</v>
      </c>
      <c r="E19" s="177">
        <f t="shared" ref="E19:E82" ca="1" si="4">IFERROR(IF(OR(J19="Carencia",K19="Pula"),E18+D19+SUM(F19:H19),(E18-C19)),"")</f>
        <v>186483.09252322034</v>
      </c>
      <c r="F19" s="178" t="str">
        <f t="shared" ref="F19:F82" si="5">IFERROR(IF(OR(AND(DAY(B19)=DAY(B18),MONTH(B19)&lt;&gt;MONTH(B18)),MONTH(B19)&lt;&gt;MONTH(B18)),IF(K19="Pula",0,E18*$I$7),""),"")</f>
        <v/>
      </c>
      <c r="G19" s="178">
        <f t="shared" ref="G19:G82" si="6">IFERROR(IF(OR(AND(DAY(B19)=DAY(B18),MONTH(B19)&lt;&gt;MONTH(B18)),MONTH(B19)&lt;&gt;MONTH(B18)),IF(K19="Pula",0,$C$11*$I$8),0),"")</f>
        <v>0</v>
      </c>
      <c r="H19" s="177">
        <f t="shared" ref="H19:H82" si="7">IFERROR(IF(OR(AND(DAY(B19)=DAY(B18),MONTH(B19)&lt;&gt;MONTH(B18)),MONTH(B19)&lt;&gt;MONTH(B18)),IF(K19="Pula",0,$I$10),0),"")</f>
        <v>0</v>
      </c>
      <c r="I19" s="25">
        <f t="shared" ref="I19:I82" si="8">IFERROR(IF(OR(J19="Carencia",K19="Pula"),0,SUM(C19:D19,F19:H19)),"")</f>
        <v>0</v>
      </c>
      <c r="J19" s="9" t="str">
        <f>'SAC_IOF Ñ USAR'!J19</f>
        <v>Carencia</v>
      </c>
      <c r="K19" s="9" t="str">
        <f>'SAC_IOF Ñ USAR'!K19</f>
        <v/>
      </c>
      <c r="L19" s="9">
        <f>'SAC_IOF Ñ USAR'!L19</f>
        <v>6</v>
      </c>
      <c r="N19" s="176">
        <f t="shared" ref="N19:N82" si="9">IFERROR(B19-B18,"")</f>
        <v>22</v>
      </c>
      <c r="O19" s="176">
        <f>N19</f>
        <v>22</v>
      </c>
      <c r="P19" s="175">
        <f t="shared" ca="1" si="0"/>
        <v>834.39144798065388</v>
      </c>
      <c r="Q19" s="11" t="str">
        <f t="shared" si="1"/>
        <v/>
      </c>
      <c r="R19" s="12" t="str">
        <f t="shared" ca="1" si="2"/>
        <v/>
      </c>
      <c r="S19" s="513"/>
      <c r="U19">
        <f ca="1">NPV(C9,U20:U339)</f>
        <v>187014.44050163138</v>
      </c>
      <c r="V19" s="31" t="str">
        <f>IF(A19=1,0,"")</f>
        <v/>
      </c>
    </row>
    <row r="20" spans="1:22">
      <c r="A20" s="180">
        <f>'SAC_IOF Ñ USAR'!A20</f>
        <v>1</v>
      </c>
      <c r="B20" s="179">
        <f>'SAC_IOF Ñ USAR'!B20</f>
        <v>44772</v>
      </c>
      <c r="C20" s="177">
        <f t="shared" si="3"/>
        <v>0</v>
      </c>
      <c r="D20" s="24">
        <f t="shared" ref="D20:D83" ca="1" si="10">IFERROR(IF(DAY(B20)=DAY(B19),IF(K20="Pula",0,($D$9)*E19),IF(AND(K20="Pula",J20=""),0,IF(AND($F$3=30,OR(AND(DAY(B19)=28,MONTH(B19)=2),AND(DAY(B19)=29,MONTH(B19)=2))),$D$9*E19,$D$9*E19))),"")</f>
        <v>1715.6444512420917</v>
      </c>
      <c r="E20" s="177">
        <f t="shared" ca="1" si="4"/>
        <v>188289.21842389231</v>
      </c>
      <c r="F20" s="178">
        <f t="shared" ca="1" si="5"/>
        <v>39.161449429876271</v>
      </c>
      <c r="G20" s="178">
        <f t="shared" si="6"/>
        <v>26.319999999999997</v>
      </c>
      <c r="H20" s="177">
        <f t="shared" si="7"/>
        <v>25</v>
      </c>
      <c r="I20" s="25">
        <f t="shared" si="8"/>
        <v>0</v>
      </c>
      <c r="J20" s="9" t="str">
        <f>'SAC_IOF Ñ USAR'!J20</f>
        <v>Carencia</v>
      </c>
      <c r="K20" s="9" t="str">
        <f>'SAC_IOF Ñ USAR'!K20</f>
        <v/>
      </c>
      <c r="L20" s="9">
        <f>'SAC_IOF Ñ USAR'!L20</f>
        <v>7</v>
      </c>
      <c r="N20" s="176">
        <f t="shared" si="9"/>
        <v>30</v>
      </c>
      <c r="O20" s="176">
        <f t="shared" ref="O20:O83" si="11">IFERROR(N20+O19,"")</f>
        <v>52</v>
      </c>
      <c r="P20" s="175">
        <f t="shared" ca="1" si="0"/>
        <v>834.39144798065388</v>
      </c>
      <c r="Q20" s="11" t="str">
        <f t="shared" si="1"/>
        <v/>
      </c>
      <c r="R20" s="12" t="str">
        <f t="shared" ca="1" si="2"/>
        <v/>
      </c>
      <c r="S20" s="513"/>
      <c r="U20">
        <f t="shared" ref="U20:U83" si="12">IFERROR(IF(OR(J20="Carencia",K20="Pula"),0,C20+D20),"")</f>
        <v>0</v>
      </c>
      <c r="V20" s="31">
        <f t="shared" ref="V20:V83" si="13">IFERROR(I20,0)</f>
        <v>0</v>
      </c>
    </row>
    <row r="21" spans="1:22">
      <c r="A21" s="180">
        <f ca="1">'SAC_IOF Ñ USAR'!A21</f>
        <v>2</v>
      </c>
      <c r="B21" s="179">
        <f ca="1">'SAC_IOF Ñ USAR'!B21</f>
        <v>44803</v>
      </c>
      <c r="C21" s="177">
        <f t="shared" ca="1" si="3"/>
        <v>0</v>
      </c>
      <c r="D21" s="24">
        <f t="shared" ca="1" si="10"/>
        <v>1732.2608095285493</v>
      </c>
      <c r="E21" s="177">
        <f t="shared" ca="1" si="4"/>
        <v>190112.33996928987</v>
      </c>
      <c r="F21" s="178">
        <f t="shared" ca="1" si="5"/>
        <v>39.540735869017389</v>
      </c>
      <c r="G21" s="178">
        <f t="shared" ca="1" si="6"/>
        <v>26.319999999999997</v>
      </c>
      <c r="H21" s="177">
        <f t="shared" ca="1" si="7"/>
        <v>25</v>
      </c>
      <c r="I21" s="25">
        <f t="shared" ca="1" si="8"/>
        <v>0</v>
      </c>
      <c r="J21" s="9" t="str">
        <f ca="1">'SAC_IOF Ñ USAR'!J21</f>
        <v>Carencia</v>
      </c>
      <c r="K21" s="9" t="str">
        <f ca="1">'SAC_IOF Ñ USAR'!K21</f>
        <v/>
      </c>
      <c r="L21" s="9">
        <f ca="1">'SAC_IOF Ñ USAR'!L21</f>
        <v>8</v>
      </c>
      <c r="N21" s="176">
        <f t="shared" ca="1" si="9"/>
        <v>31</v>
      </c>
      <c r="O21" s="176">
        <f t="shared" ca="1" si="11"/>
        <v>83</v>
      </c>
      <c r="P21" s="175">
        <f t="shared" ca="1" si="0"/>
        <v>834.39144798065388</v>
      </c>
      <c r="Q21" s="11" t="str">
        <f t="shared" ca="1" si="1"/>
        <v/>
      </c>
      <c r="R21" s="12" t="str">
        <f t="shared" ca="1" si="2"/>
        <v/>
      </c>
      <c r="S21" s="513"/>
      <c r="U21">
        <f t="shared" ca="1" si="12"/>
        <v>0</v>
      </c>
      <c r="V21" s="31">
        <f t="shared" ca="1" si="13"/>
        <v>0</v>
      </c>
    </row>
    <row r="22" spans="1:22">
      <c r="A22" s="180">
        <f ca="1">'SAC_IOF Ñ USAR'!A22</f>
        <v>3</v>
      </c>
      <c r="B22" s="179">
        <f ca="1">'SAC_IOF Ñ USAR'!B22</f>
        <v>44834</v>
      </c>
      <c r="C22" s="177">
        <f t="shared" ca="1" si="3"/>
        <v>0</v>
      </c>
      <c r="D22" s="24">
        <f t="shared" ca="1" si="10"/>
        <v>1749.0335277464851</v>
      </c>
      <c r="E22" s="177">
        <f t="shared" ca="1" si="4"/>
        <v>191952.61708842989</v>
      </c>
      <c r="F22" s="178">
        <f t="shared" ca="1" si="5"/>
        <v>39.923591393550872</v>
      </c>
      <c r="G22" s="178">
        <f t="shared" ca="1" si="6"/>
        <v>26.319999999999997</v>
      </c>
      <c r="H22" s="177">
        <f t="shared" ca="1" si="7"/>
        <v>25</v>
      </c>
      <c r="I22" s="25">
        <f t="shared" ca="1" si="8"/>
        <v>0</v>
      </c>
      <c r="J22" s="9" t="str">
        <f ca="1">'SAC_IOF Ñ USAR'!J22</f>
        <v>Carencia</v>
      </c>
      <c r="K22" s="9" t="str">
        <f ca="1">'SAC_IOF Ñ USAR'!K22</f>
        <v/>
      </c>
      <c r="L22" s="9">
        <f ca="1">'SAC_IOF Ñ USAR'!L22</f>
        <v>9</v>
      </c>
      <c r="N22" s="176">
        <f t="shared" ca="1" si="9"/>
        <v>31</v>
      </c>
      <c r="O22" s="176">
        <f t="shared" ca="1" si="11"/>
        <v>114</v>
      </c>
      <c r="P22" s="175">
        <f t="shared" ca="1" si="0"/>
        <v>834.39144798065388</v>
      </c>
      <c r="Q22" s="11" t="str">
        <f t="shared" ca="1" si="1"/>
        <v/>
      </c>
      <c r="R22" s="12" t="str">
        <f t="shared" ca="1" si="2"/>
        <v/>
      </c>
      <c r="S22" s="513"/>
      <c r="U22">
        <f t="shared" ca="1" si="12"/>
        <v>0</v>
      </c>
      <c r="V22" s="31">
        <f t="shared" ca="1" si="13"/>
        <v>0</v>
      </c>
    </row>
    <row r="23" spans="1:22">
      <c r="A23" s="180">
        <f ca="1">'SAC_IOF Ñ USAR'!A23</f>
        <v>4</v>
      </c>
      <c r="B23" s="179">
        <f ca="1">'SAC_IOF Ñ USAR'!B23</f>
        <v>44864</v>
      </c>
      <c r="C23" s="177">
        <f t="shared" ca="1" si="3"/>
        <v>0</v>
      </c>
      <c r="D23" s="24">
        <f t="shared" ca="1" si="10"/>
        <v>1765.9640772428543</v>
      </c>
      <c r="E23" s="177">
        <f t="shared" ca="1" si="4"/>
        <v>193810.21121526131</v>
      </c>
      <c r="F23" s="178">
        <f t="shared" ca="1" si="5"/>
        <v>40.31004958857028</v>
      </c>
      <c r="G23" s="178">
        <f t="shared" ca="1" si="6"/>
        <v>26.319999999999997</v>
      </c>
      <c r="H23" s="177">
        <f t="shared" ca="1" si="7"/>
        <v>25</v>
      </c>
      <c r="I23" s="25">
        <f t="shared" ca="1" si="8"/>
        <v>0</v>
      </c>
      <c r="J23" s="9" t="str">
        <f ca="1">'SAC_IOF Ñ USAR'!J23</f>
        <v>Carencia</v>
      </c>
      <c r="K23" s="9" t="str">
        <f ca="1">'SAC_IOF Ñ USAR'!K23</f>
        <v/>
      </c>
      <c r="L23" s="9">
        <f ca="1">'SAC_IOF Ñ USAR'!L23</f>
        <v>10</v>
      </c>
      <c r="N23" s="176">
        <f t="shared" ca="1" si="9"/>
        <v>30</v>
      </c>
      <c r="O23" s="176">
        <f t="shared" ca="1" si="11"/>
        <v>144</v>
      </c>
      <c r="P23" s="175">
        <f t="shared" ca="1" si="0"/>
        <v>834.39144798065388</v>
      </c>
      <c r="Q23" s="11" t="str">
        <f t="shared" ca="1" si="1"/>
        <v/>
      </c>
      <c r="R23" s="12" t="str">
        <f t="shared" ca="1" si="2"/>
        <v/>
      </c>
      <c r="S23" s="513"/>
      <c r="U23">
        <f t="shared" ca="1" si="12"/>
        <v>0</v>
      </c>
      <c r="V23" s="31">
        <f t="shared" ca="1" si="13"/>
        <v>0</v>
      </c>
    </row>
    <row r="24" spans="1:22">
      <c r="A24" s="180">
        <f ca="1">'SAC_IOF Ñ USAR'!A24</f>
        <v>5</v>
      </c>
      <c r="B24" s="179">
        <f ca="1">'SAC_IOF Ñ USAR'!B24</f>
        <v>44895</v>
      </c>
      <c r="C24" s="177">
        <f t="shared" ca="1" si="3"/>
        <v>0</v>
      </c>
      <c r="D24" s="24">
        <f t="shared" ca="1" si="10"/>
        <v>1783.053943209987</v>
      </c>
      <c r="E24" s="177">
        <f t="shared" ca="1" si="4"/>
        <v>195685.28530282649</v>
      </c>
      <c r="F24" s="178">
        <f t="shared" ca="1" si="5"/>
        <v>40.700144355204877</v>
      </c>
      <c r="G24" s="178">
        <f t="shared" ca="1" si="6"/>
        <v>26.319999999999997</v>
      </c>
      <c r="H24" s="177">
        <f t="shared" ca="1" si="7"/>
        <v>25</v>
      </c>
      <c r="I24" s="25">
        <f t="shared" ca="1" si="8"/>
        <v>0</v>
      </c>
      <c r="J24" s="9" t="str">
        <f ca="1">'SAC_IOF Ñ USAR'!J24</f>
        <v>Carencia</v>
      </c>
      <c r="K24" s="9" t="str">
        <f ca="1">'SAC_IOF Ñ USAR'!K24</f>
        <v/>
      </c>
      <c r="L24" s="9">
        <f ca="1">'SAC_IOF Ñ USAR'!L24</f>
        <v>11</v>
      </c>
      <c r="N24" s="176">
        <f t="shared" ca="1" si="9"/>
        <v>31</v>
      </c>
      <c r="O24" s="176">
        <f t="shared" ca="1" si="11"/>
        <v>175</v>
      </c>
      <c r="P24" s="175">
        <f t="shared" ca="1" si="0"/>
        <v>834.39144798065388</v>
      </c>
      <c r="Q24" s="11" t="str">
        <f t="shared" ca="1" si="1"/>
        <v/>
      </c>
      <c r="R24" s="12" t="str">
        <f t="shared" ca="1" si="2"/>
        <v/>
      </c>
      <c r="S24" s="513"/>
      <c r="U24">
        <f t="shared" ca="1" si="12"/>
        <v>0</v>
      </c>
      <c r="V24" s="31">
        <f t="shared" ca="1" si="13"/>
        <v>0</v>
      </c>
    </row>
    <row r="25" spans="1:22">
      <c r="A25" s="180">
        <f ca="1">'SAC_IOF Ñ USAR'!A25</f>
        <v>6</v>
      </c>
      <c r="B25" s="179">
        <f ca="1">'SAC_IOF Ñ USAR'!B25</f>
        <v>44925</v>
      </c>
      <c r="C25" s="177">
        <f t="shared" ca="1" si="3"/>
        <v>0</v>
      </c>
      <c r="D25" s="24">
        <f t="shared" ca="1" si="10"/>
        <v>1800.3046248158728</v>
      </c>
      <c r="E25" s="177">
        <f t="shared" ca="1" si="4"/>
        <v>197578.00383755597</v>
      </c>
      <c r="F25" s="178">
        <f t="shared" ca="1" si="5"/>
        <v>41.093909913593563</v>
      </c>
      <c r="G25" s="178">
        <f t="shared" ca="1" si="6"/>
        <v>26.319999999999997</v>
      </c>
      <c r="H25" s="177">
        <f t="shared" ca="1" si="7"/>
        <v>25</v>
      </c>
      <c r="I25" s="25">
        <f t="shared" ca="1" si="8"/>
        <v>0</v>
      </c>
      <c r="J25" s="9" t="str">
        <f ca="1">'SAC_IOF Ñ USAR'!J25</f>
        <v>Carencia</v>
      </c>
      <c r="K25" s="9" t="str">
        <f ca="1">'SAC_IOF Ñ USAR'!K25</f>
        <v/>
      </c>
      <c r="L25" s="9">
        <f ca="1">'SAC_IOF Ñ USAR'!L25</f>
        <v>12</v>
      </c>
      <c r="N25" s="176">
        <f t="shared" ca="1" si="9"/>
        <v>30</v>
      </c>
      <c r="O25" s="176">
        <f t="shared" ca="1" si="11"/>
        <v>205</v>
      </c>
      <c r="P25" s="175">
        <f t="shared" ca="1" si="0"/>
        <v>834.39144798065388</v>
      </c>
      <c r="Q25" s="11" t="str">
        <f t="shared" ca="1" si="1"/>
        <v/>
      </c>
      <c r="R25" s="12" t="str">
        <f t="shared" ca="1" si="2"/>
        <v/>
      </c>
      <c r="S25" s="513"/>
      <c r="U25">
        <f t="shared" ca="1" si="12"/>
        <v>0</v>
      </c>
      <c r="V25" s="31">
        <f t="shared" ca="1" si="13"/>
        <v>0</v>
      </c>
    </row>
    <row r="26" spans="1:22">
      <c r="A26" s="180">
        <f ca="1">'SAC_IOF Ñ USAR'!A26</f>
        <v>7</v>
      </c>
      <c r="B26" s="179">
        <f ca="1">'SAC_IOF Ñ USAR'!B26</f>
        <v>44956</v>
      </c>
      <c r="C26" s="177">
        <f t="shared" ca="1" si="3"/>
        <v>889.99100827727909</v>
      </c>
      <c r="D26" s="24">
        <f t="shared" ca="1" si="10"/>
        <v>1817.7176353356729</v>
      </c>
      <c r="E26" s="177">
        <f t="shared" ca="1" si="4"/>
        <v>196688.01282927868</v>
      </c>
      <c r="F26" s="178">
        <f t="shared" ca="1" si="5"/>
        <v>41.491380805886756</v>
      </c>
      <c r="G26" s="178">
        <f t="shared" ca="1" si="6"/>
        <v>26.319999999999997</v>
      </c>
      <c r="H26" s="177">
        <f t="shared" ca="1" si="7"/>
        <v>25</v>
      </c>
      <c r="I26" s="25">
        <f t="shared" ca="1" si="8"/>
        <v>2800.5200244188391</v>
      </c>
      <c r="J26" s="9" t="str">
        <f ca="1">'SAC_IOF Ñ USAR'!J26</f>
        <v/>
      </c>
      <c r="K26" s="9" t="str">
        <f ca="1">'SAC_IOF Ñ USAR'!K26</f>
        <v/>
      </c>
      <c r="L26" s="9">
        <f ca="1">'SAC_IOF Ñ USAR'!L26</f>
        <v>1</v>
      </c>
      <c r="N26" s="176">
        <f t="shared" ca="1" si="9"/>
        <v>31</v>
      </c>
      <c r="O26" s="176">
        <f t="shared" ca="1" si="11"/>
        <v>236</v>
      </c>
      <c r="P26" s="175">
        <f t="shared" ca="1" si="0"/>
        <v>834.39144798065388</v>
      </c>
      <c r="Q26" s="11">
        <f t="shared" ca="1" si="1"/>
        <v>1.9352000000000001E-2</v>
      </c>
      <c r="R26" s="12">
        <f t="shared" ca="1" si="2"/>
        <v>16.147143301321616</v>
      </c>
      <c r="S26" s="513"/>
      <c r="U26">
        <f t="shared" ca="1" si="12"/>
        <v>2707.7086436129521</v>
      </c>
      <c r="V26" s="31">
        <f t="shared" ca="1" si="13"/>
        <v>2800.5200244188391</v>
      </c>
    </row>
    <row r="27" spans="1:22">
      <c r="A27" s="180">
        <f ca="1">'SAC_IOF Ñ USAR'!A27</f>
        <v>8</v>
      </c>
      <c r="B27" s="179">
        <f ca="1">'SAC_IOF Ñ USAR'!B27</f>
        <v>44985</v>
      </c>
      <c r="C27" s="177">
        <f t="shared" ca="1" si="3"/>
        <v>889.99100827727909</v>
      </c>
      <c r="D27" s="24">
        <f t="shared" ca="1" si="10"/>
        <v>1809.5297180593859</v>
      </c>
      <c r="E27" s="177">
        <f t="shared" ca="1" si="4"/>
        <v>195798.0218210014</v>
      </c>
      <c r="F27" s="178">
        <f t="shared" ca="1" si="5"/>
        <v>41.304482694148525</v>
      </c>
      <c r="G27" s="178">
        <f t="shared" ca="1" si="6"/>
        <v>26.319999999999997</v>
      </c>
      <c r="H27" s="177">
        <f t="shared" ca="1" si="7"/>
        <v>25</v>
      </c>
      <c r="I27" s="25">
        <f t="shared" ca="1" si="8"/>
        <v>2792.1452090308139</v>
      </c>
      <c r="J27" s="9" t="str">
        <f ca="1">'SAC_IOF Ñ USAR'!J27</f>
        <v/>
      </c>
      <c r="K27" s="9" t="str">
        <f ca="1">'SAC_IOF Ñ USAR'!K27</f>
        <v/>
      </c>
      <c r="L27" s="9">
        <f ca="1">'SAC_IOF Ñ USAR'!L27</f>
        <v>2</v>
      </c>
      <c r="N27" s="176">
        <f t="shared" ca="1" si="9"/>
        <v>29</v>
      </c>
      <c r="O27" s="176">
        <f t="shared" ca="1" si="11"/>
        <v>265</v>
      </c>
      <c r="P27" s="175">
        <f t="shared" ca="1" si="0"/>
        <v>834.39144798065388</v>
      </c>
      <c r="Q27" s="11">
        <f t="shared" ca="1" si="1"/>
        <v>2.1729999999999999E-2</v>
      </c>
      <c r="R27" s="12">
        <f t="shared" ca="1" si="2"/>
        <v>18.131326164619608</v>
      </c>
      <c r="S27" s="513"/>
      <c r="U27">
        <f t="shared" ca="1" si="12"/>
        <v>2699.5207263366651</v>
      </c>
      <c r="V27" s="31">
        <f t="shared" ca="1" si="13"/>
        <v>2792.1452090308139</v>
      </c>
    </row>
    <row r="28" spans="1:22">
      <c r="A28" s="180">
        <f ca="1">'SAC_IOF Ñ USAR'!A28</f>
        <v>9</v>
      </c>
      <c r="B28" s="179">
        <f ca="1">'SAC_IOF Ñ USAR'!B28</f>
        <v>45015</v>
      </c>
      <c r="C28" s="177">
        <f t="shared" ca="1" si="3"/>
        <v>889.99100827727909</v>
      </c>
      <c r="D28" s="24">
        <f t="shared" ca="1" si="10"/>
        <v>1801.3418007830992</v>
      </c>
      <c r="E28" s="177">
        <f t="shared" ca="1" si="4"/>
        <v>194908.03081272412</v>
      </c>
      <c r="F28" s="178">
        <f t="shared" ca="1" si="5"/>
        <v>41.117584582410295</v>
      </c>
      <c r="G28" s="178">
        <f t="shared" ca="1" si="6"/>
        <v>26.319999999999997</v>
      </c>
      <c r="H28" s="177">
        <f t="shared" ca="1" si="7"/>
        <v>25</v>
      </c>
      <c r="I28" s="25">
        <f t="shared" ca="1" si="8"/>
        <v>2783.7703936427888</v>
      </c>
      <c r="J28" s="9" t="str">
        <f ca="1">'SAC_IOF Ñ USAR'!J28</f>
        <v/>
      </c>
      <c r="K28" s="9" t="str">
        <f ca="1">'SAC_IOF Ñ USAR'!K28</f>
        <v/>
      </c>
      <c r="L28" s="9">
        <f ca="1">'SAC_IOF Ñ USAR'!L28</f>
        <v>3</v>
      </c>
      <c r="N28" s="176">
        <f t="shared" ca="1" si="9"/>
        <v>30</v>
      </c>
      <c r="O28" s="176">
        <f t="shared" ca="1" si="11"/>
        <v>295</v>
      </c>
      <c r="P28" s="175">
        <f t="shared" ca="1" si="0"/>
        <v>834.39144798065388</v>
      </c>
      <c r="Q28" s="11">
        <f t="shared" ca="1" si="1"/>
        <v>2.419E-2</v>
      </c>
      <c r="R28" s="12">
        <f t="shared" ca="1" si="2"/>
        <v>20.183929126652018</v>
      </c>
      <c r="S28" s="513"/>
      <c r="U28">
        <f t="shared" ca="1" si="12"/>
        <v>2691.3328090603782</v>
      </c>
      <c r="V28" s="31">
        <f t="shared" ca="1" si="13"/>
        <v>2783.7703936427888</v>
      </c>
    </row>
    <row r="29" spans="1:22">
      <c r="A29" s="180">
        <f ca="1">'SAC_IOF Ñ USAR'!A29</f>
        <v>10</v>
      </c>
      <c r="B29" s="179">
        <f ca="1">'SAC_IOF Ñ USAR'!B29</f>
        <v>45046</v>
      </c>
      <c r="C29" s="177">
        <f t="shared" ca="1" si="3"/>
        <v>889.99100827727909</v>
      </c>
      <c r="D29" s="24">
        <f t="shared" ca="1" si="10"/>
        <v>1793.1538835068122</v>
      </c>
      <c r="E29" s="177">
        <f t="shared" ca="1" si="4"/>
        <v>194018.03980444683</v>
      </c>
      <c r="F29" s="178">
        <f t="shared" ca="1" si="5"/>
        <v>40.930686470672065</v>
      </c>
      <c r="G29" s="178">
        <f t="shared" ca="1" si="6"/>
        <v>26.319999999999997</v>
      </c>
      <c r="H29" s="177">
        <f t="shared" ca="1" si="7"/>
        <v>25</v>
      </c>
      <c r="I29" s="25">
        <f t="shared" ca="1" si="8"/>
        <v>2775.3955782547632</v>
      </c>
      <c r="J29" s="9" t="str">
        <f ca="1">'SAC_IOF Ñ USAR'!J29</f>
        <v/>
      </c>
      <c r="K29" s="9" t="str">
        <f ca="1">'SAC_IOF Ñ USAR'!K29</f>
        <v/>
      </c>
      <c r="L29" s="9">
        <f ca="1">'SAC_IOF Ñ USAR'!L29</f>
        <v>4</v>
      </c>
      <c r="N29" s="176">
        <f t="shared" ca="1" si="9"/>
        <v>31</v>
      </c>
      <c r="O29" s="176">
        <f t="shared" ca="1" si="11"/>
        <v>326</v>
      </c>
      <c r="P29" s="175">
        <f t="shared" ca="1" si="0"/>
        <v>834.39144798065388</v>
      </c>
      <c r="Q29" s="11">
        <f t="shared" ca="1" si="1"/>
        <v>2.6731999999999999E-2</v>
      </c>
      <c r="R29" s="12">
        <f t="shared" ca="1" si="2"/>
        <v>22.304952187418838</v>
      </c>
      <c r="S29" s="513"/>
      <c r="U29">
        <f t="shared" ca="1" si="12"/>
        <v>2683.1448917840912</v>
      </c>
      <c r="V29" s="31">
        <f t="shared" ca="1" si="13"/>
        <v>2775.3955782547632</v>
      </c>
    </row>
    <row r="30" spans="1:22">
      <c r="A30" s="180">
        <f ca="1">'SAC_IOF Ñ USAR'!A30</f>
        <v>11</v>
      </c>
      <c r="B30" s="179">
        <f ca="1">'SAC_IOF Ñ USAR'!B30</f>
        <v>45076</v>
      </c>
      <c r="C30" s="177">
        <f t="shared" ca="1" si="3"/>
        <v>889.99100827727909</v>
      </c>
      <c r="D30" s="24">
        <f t="shared" ca="1" si="10"/>
        <v>1784.9659662305255</v>
      </c>
      <c r="E30" s="177">
        <f t="shared" ca="1" si="4"/>
        <v>193128.04879616955</v>
      </c>
      <c r="F30" s="178">
        <f t="shared" ca="1" si="5"/>
        <v>40.743788358933834</v>
      </c>
      <c r="G30" s="178">
        <f t="shared" ca="1" si="6"/>
        <v>26.319999999999997</v>
      </c>
      <c r="H30" s="177">
        <f t="shared" ca="1" si="7"/>
        <v>25</v>
      </c>
      <c r="I30" s="25">
        <f t="shared" ca="1" si="8"/>
        <v>2767.0207628667386</v>
      </c>
      <c r="J30" s="9" t="str">
        <f ca="1">'SAC_IOF Ñ USAR'!J30</f>
        <v/>
      </c>
      <c r="K30" s="9" t="str">
        <f ca="1">'SAC_IOF Ñ USAR'!K30</f>
        <v/>
      </c>
      <c r="L30" s="9">
        <f ca="1">'SAC_IOF Ñ USAR'!L30</f>
        <v>5</v>
      </c>
      <c r="N30" s="176">
        <f t="shared" ca="1" si="9"/>
        <v>30</v>
      </c>
      <c r="O30" s="176">
        <f t="shared" ca="1" si="11"/>
        <v>356</v>
      </c>
      <c r="P30" s="175">
        <f t="shared" ca="1" si="0"/>
        <v>834.39144798065388</v>
      </c>
      <c r="Q30" s="11">
        <f t="shared" ca="1" si="1"/>
        <v>2.9191999999999999E-2</v>
      </c>
      <c r="R30" s="12">
        <f t="shared" ca="1" si="2"/>
        <v>24.357555149451247</v>
      </c>
      <c r="S30" s="513"/>
      <c r="U30">
        <f t="shared" ca="1" si="12"/>
        <v>2674.9569745078047</v>
      </c>
      <c r="V30" s="31">
        <f t="shared" ca="1" si="13"/>
        <v>2767.0207628667386</v>
      </c>
    </row>
    <row r="31" spans="1:22">
      <c r="A31" s="180">
        <f ca="1">'SAC_IOF Ñ USAR'!A31</f>
        <v>12</v>
      </c>
      <c r="B31" s="179">
        <f ca="1">'SAC_IOF Ñ USAR'!B31</f>
        <v>45107</v>
      </c>
      <c r="C31" s="177">
        <f t="shared" ca="1" si="3"/>
        <v>889.99100827727909</v>
      </c>
      <c r="D31" s="24">
        <f t="shared" ca="1" si="10"/>
        <v>1776.7780489542386</v>
      </c>
      <c r="E31" s="177">
        <f t="shared" ca="1" si="4"/>
        <v>192238.05778789226</v>
      </c>
      <c r="F31" s="178">
        <f t="shared" ca="1" si="5"/>
        <v>40.556890247195604</v>
      </c>
      <c r="G31" s="178">
        <f t="shared" ca="1" si="6"/>
        <v>26.319999999999997</v>
      </c>
      <c r="H31" s="177">
        <f t="shared" ca="1" si="7"/>
        <v>25</v>
      </c>
      <c r="I31" s="25">
        <f t="shared" ca="1" si="8"/>
        <v>2758.6459474787134</v>
      </c>
      <c r="J31" s="9" t="str">
        <f ca="1">'SAC_IOF Ñ USAR'!J31</f>
        <v/>
      </c>
      <c r="K31" s="9" t="str">
        <f ca="1">'SAC_IOF Ñ USAR'!K31</f>
        <v/>
      </c>
      <c r="L31" s="9">
        <f ca="1">'SAC_IOF Ñ USAR'!L31</f>
        <v>6</v>
      </c>
      <c r="N31" s="176">
        <f t="shared" ca="1" si="9"/>
        <v>31</v>
      </c>
      <c r="O31" s="176">
        <f t="shared" ca="1" si="11"/>
        <v>387</v>
      </c>
      <c r="P31" s="175">
        <f t="shared" ca="1" si="0"/>
        <v>834.39144798065388</v>
      </c>
      <c r="Q31" s="11">
        <f t="shared" ca="1" si="1"/>
        <v>2.9930000000000002E-2</v>
      </c>
      <c r="R31" s="12">
        <f t="shared" ca="1" si="2"/>
        <v>24.973336038060971</v>
      </c>
      <c r="S31" s="513"/>
      <c r="U31">
        <f t="shared" ca="1" si="12"/>
        <v>2666.7690572315178</v>
      </c>
      <c r="V31" s="31">
        <f t="shared" ca="1" si="13"/>
        <v>2758.6459474787134</v>
      </c>
    </row>
    <row r="32" spans="1:22">
      <c r="A32" s="180">
        <f ca="1">'SAC_IOF Ñ USAR'!A32</f>
        <v>13</v>
      </c>
      <c r="B32" s="179">
        <f ca="1">'SAC_IOF Ñ USAR'!B32</f>
        <v>45137</v>
      </c>
      <c r="C32" s="177">
        <f t="shared" ca="1" si="3"/>
        <v>889.99100827727909</v>
      </c>
      <c r="D32" s="24">
        <f t="shared" ca="1" si="10"/>
        <v>1768.5901316779516</v>
      </c>
      <c r="E32" s="177">
        <f t="shared" ca="1" si="4"/>
        <v>191348.06677961498</v>
      </c>
      <c r="F32" s="178">
        <f t="shared" ca="1" si="5"/>
        <v>40.36999213545738</v>
      </c>
      <c r="G32" s="178">
        <f t="shared" ca="1" si="6"/>
        <v>26.319999999999997</v>
      </c>
      <c r="H32" s="177">
        <f t="shared" ca="1" si="7"/>
        <v>25</v>
      </c>
      <c r="I32" s="25">
        <f t="shared" ca="1" si="8"/>
        <v>2750.2711320906883</v>
      </c>
      <c r="J32" s="9" t="str">
        <f ca="1">'SAC_IOF Ñ USAR'!J32</f>
        <v/>
      </c>
      <c r="K32" s="9" t="str">
        <f ca="1">'SAC_IOF Ñ USAR'!K32</f>
        <v/>
      </c>
      <c r="L32" s="9">
        <f ca="1">'SAC_IOF Ñ USAR'!L32</f>
        <v>7</v>
      </c>
      <c r="N32" s="176">
        <f t="shared" ca="1" si="9"/>
        <v>30</v>
      </c>
      <c r="O32" s="176">
        <f t="shared" ca="1" si="11"/>
        <v>417</v>
      </c>
      <c r="P32" s="175">
        <f t="shared" ca="1" si="0"/>
        <v>834.39144798065388</v>
      </c>
      <c r="Q32" s="11">
        <f t="shared" ca="1" si="1"/>
        <v>2.9930000000000002E-2</v>
      </c>
      <c r="R32" s="12">
        <f t="shared" ca="1" si="2"/>
        <v>24.973336038060971</v>
      </c>
      <c r="S32" s="513"/>
      <c r="U32">
        <f t="shared" ca="1" si="12"/>
        <v>2658.5811399552308</v>
      </c>
      <c r="V32" s="31">
        <f t="shared" ca="1" si="13"/>
        <v>2750.2711320906883</v>
      </c>
    </row>
    <row r="33" spans="1:22">
      <c r="A33" s="180">
        <f ca="1">'SAC_IOF Ñ USAR'!A33</f>
        <v>14</v>
      </c>
      <c r="B33" s="179">
        <f ca="1">'SAC_IOF Ñ USAR'!B33</f>
        <v>45168</v>
      </c>
      <c r="C33" s="177">
        <f t="shared" ca="1" si="3"/>
        <v>889.99100827727909</v>
      </c>
      <c r="D33" s="24">
        <f t="shared" ca="1" si="10"/>
        <v>1760.4022144016649</v>
      </c>
      <c r="E33" s="177">
        <f t="shared" ca="1" si="4"/>
        <v>190458.0757713377</v>
      </c>
      <c r="F33" s="178">
        <f t="shared" ca="1" si="5"/>
        <v>40.18309402371915</v>
      </c>
      <c r="G33" s="178">
        <f t="shared" ca="1" si="6"/>
        <v>26.319999999999997</v>
      </c>
      <c r="H33" s="177">
        <f t="shared" ca="1" si="7"/>
        <v>25</v>
      </c>
      <c r="I33" s="25">
        <f t="shared" ca="1" si="8"/>
        <v>2741.8963167026632</v>
      </c>
      <c r="J33" s="9" t="str">
        <f ca="1">'SAC_IOF Ñ USAR'!J33</f>
        <v/>
      </c>
      <c r="K33" s="9" t="str">
        <f ca="1">'SAC_IOF Ñ USAR'!K33</f>
        <v/>
      </c>
      <c r="L33" s="9">
        <f ca="1">'SAC_IOF Ñ USAR'!L33</f>
        <v>8</v>
      </c>
      <c r="N33" s="176">
        <f t="shared" ca="1" si="9"/>
        <v>31</v>
      </c>
      <c r="O33" s="176">
        <f t="shared" ca="1" si="11"/>
        <v>448</v>
      </c>
      <c r="P33" s="175">
        <f t="shared" ca="1" si="0"/>
        <v>834.39144798065388</v>
      </c>
      <c r="Q33" s="11">
        <f t="shared" ca="1" si="1"/>
        <v>2.9930000000000002E-2</v>
      </c>
      <c r="R33" s="12">
        <f t="shared" ca="1" si="2"/>
        <v>24.973336038060971</v>
      </c>
      <c r="S33" s="513"/>
      <c r="U33">
        <f t="shared" ca="1" si="12"/>
        <v>2650.3932226789439</v>
      </c>
      <c r="V33" s="31">
        <f t="shared" ca="1" si="13"/>
        <v>2741.8963167026632</v>
      </c>
    </row>
    <row r="34" spans="1:22">
      <c r="A34" s="180">
        <f ca="1">'SAC_IOF Ñ USAR'!A34</f>
        <v>15</v>
      </c>
      <c r="B34" s="179">
        <f ca="1">'SAC_IOF Ñ USAR'!B34</f>
        <v>45199</v>
      </c>
      <c r="C34" s="177">
        <f t="shared" ca="1" si="3"/>
        <v>889.99100827727909</v>
      </c>
      <c r="D34" s="24">
        <f t="shared" ca="1" si="10"/>
        <v>1752.2142971253779</v>
      </c>
      <c r="E34" s="177">
        <f t="shared" ca="1" si="4"/>
        <v>189568.08476306041</v>
      </c>
      <c r="F34" s="178">
        <f t="shared" ca="1" si="5"/>
        <v>39.996195911980919</v>
      </c>
      <c r="G34" s="178">
        <f t="shared" ca="1" si="6"/>
        <v>26.319999999999997</v>
      </c>
      <c r="H34" s="177">
        <f t="shared" ca="1" si="7"/>
        <v>25</v>
      </c>
      <c r="I34" s="25">
        <f t="shared" ca="1" si="8"/>
        <v>2733.521501314638</v>
      </c>
      <c r="J34" s="9" t="str">
        <f ca="1">'SAC_IOF Ñ USAR'!J34</f>
        <v/>
      </c>
      <c r="K34" s="9" t="str">
        <f ca="1">'SAC_IOF Ñ USAR'!K34</f>
        <v/>
      </c>
      <c r="L34" s="9">
        <f ca="1">'SAC_IOF Ñ USAR'!L34</f>
        <v>9</v>
      </c>
      <c r="N34" s="176">
        <f t="shared" ca="1" si="9"/>
        <v>31</v>
      </c>
      <c r="O34" s="176">
        <f t="shared" ca="1" si="11"/>
        <v>479</v>
      </c>
      <c r="P34" s="175">
        <f t="shared" ca="1" si="0"/>
        <v>834.39144798065388</v>
      </c>
      <c r="Q34" s="11">
        <f t="shared" ca="1" si="1"/>
        <v>2.9930000000000002E-2</v>
      </c>
      <c r="R34" s="12">
        <f t="shared" ca="1" si="2"/>
        <v>24.973336038060971</v>
      </c>
      <c r="S34" s="513"/>
      <c r="U34">
        <f t="shared" ca="1" si="12"/>
        <v>2642.2053054026569</v>
      </c>
      <c r="V34" s="31">
        <f t="shared" ca="1" si="13"/>
        <v>2733.521501314638</v>
      </c>
    </row>
    <row r="35" spans="1:22">
      <c r="A35" s="180">
        <f ca="1">'SAC_IOF Ñ USAR'!A35</f>
        <v>16</v>
      </c>
      <c r="B35" s="179">
        <f ca="1">'SAC_IOF Ñ USAR'!B35</f>
        <v>45229</v>
      </c>
      <c r="C35" s="177">
        <f t="shared" ca="1" si="3"/>
        <v>889.99100827727909</v>
      </c>
      <c r="D35" s="24">
        <f t="shared" ca="1" si="10"/>
        <v>1744.0263798490912</v>
      </c>
      <c r="E35" s="177">
        <f t="shared" ca="1" si="4"/>
        <v>188678.09375478313</v>
      </c>
      <c r="F35" s="178">
        <f t="shared" ca="1" si="5"/>
        <v>39.809297800242689</v>
      </c>
      <c r="G35" s="178">
        <f t="shared" ca="1" si="6"/>
        <v>26.319999999999997</v>
      </c>
      <c r="H35" s="177">
        <f t="shared" ca="1" si="7"/>
        <v>25</v>
      </c>
      <c r="I35" s="25">
        <f t="shared" ca="1" si="8"/>
        <v>2725.1466859266134</v>
      </c>
      <c r="J35" s="9" t="str">
        <f ca="1">'SAC_IOF Ñ USAR'!J35</f>
        <v/>
      </c>
      <c r="K35" s="9" t="str">
        <f ca="1">'SAC_IOF Ñ USAR'!K35</f>
        <v/>
      </c>
      <c r="L35" s="9">
        <f ca="1">'SAC_IOF Ñ USAR'!L35</f>
        <v>10</v>
      </c>
      <c r="N35" s="176">
        <f t="shared" ca="1" si="9"/>
        <v>30</v>
      </c>
      <c r="O35" s="176">
        <f t="shared" ca="1" si="11"/>
        <v>509</v>
      </c>
      <c r="P35" s="175">
        <f t="shared" ca="1" si="0"/>
        <v>834.39144798065388</v>
      </c>
      <c r="Q35" s="11">
        <f t="shared" ca="1" si="1"/>
        <v>2.9930000000000002E-2</v>
      </c>
      <c r="R35" s="12">
        <f t="shared" ca="1" si="2"/>
        <v>24.973336038060971</v>
      </c>
      <c r="S35" s="513"/>
      <c r="U35">
        <f t="shared" ca="1" si="12"/>
        <v>2634.0173881263704</v>
      </c>
      <c r="V35" s="31">
        <f t="shared" ca="1" si="13"/>
        <v>2725.1466859266134</v>
      </c>
    </row>
    <row r="36" spans="1:22">
      <c r="A36" s="180">
        <f ca="1">'SAC_IOF Ñ USAR'!A36</f>
        <v>17</v>
      </c>
      <c r="B36" s="179">
        <f ca="1">'SAC_IOF Ñ USAR'!B36</f>
        <v>45260</v>
      </c>
      <c r="C36" s="177">
        <f t="shared" ca="1" si="3"/>
        <v>889.99100827727909</v>
      </c>
      <c r="D36" s="24">
        <f t="shared" ca="1" si="10"/>
        <v>1735.8384625728042</v>
      </c>
      <c r="E36" s="177">
        <f t="shared" ca="1" si="4"/>
        <v>187788.10274650584</v>
      </c>
      <c r="F36" s="178">
        <f t="shared" ca="1" si="5"/>
        <v>39.622399688504458</v>
      </c>
      <c r="G36" s="178">
        <f t="shared" ca="1" si="6"/>
        <v>26.319999999999997</v>
      </c>
      <c r="H36" s="177">
        <f t="shared" ca="1" si="7"/>
        <v>25</v>
      </c>
      <c r="I36" s="25">
        <f t="shared" ca="1" si="8"/>
        <v>2716.7718705385882</v>
      </c>
      <c r="J36" s="9" t="str">
        <f ca="1">'SAC_IOF Ñ USAR'!J36</f>
        <v/>
      </c>
      <c r="K36" s="9" t="str">
        <f ca="1">'SAC_IOF Ñ USAR'!K36</f>
        <v/>
      </c>
      <c r="L36" s="9">
        <f ca="1">'SAC_IOF Ñ USAR'!L36</f>
        <v>11</v>
      </c>
      <c r="N36" s="176">
        <f t="shared" ca="1" si="9"/>
        <v>31</v>
      </c>
      <c r="O36" s="176">
        <f t="shared" ca="1" si="11"/>
        <v>540</v>
      </c>
      <c r="P36" s="175">
        <f t="shared" ca="1" si="0"/>
        <v>834.39144798065388</v>
      </c>
      <c r="Q36" s="11">
        <f t="shared" ca="1" si="1"/>
        <v>2.9930000000000002E-2</v>
      </c>
      <c r="R36" s="12">
        <f t="shared" ca="1" si="2"/>
        <v>24.973336038060971</v>
      </c>
      <c r="S36" s="513"/>
      <c r="U36">
        <f t="shared" ca="1" si="12"/>
        <v>2625.8294708500835</v>
      </c>
      <c r="V36" s="31">
        <f t="shared" ca="1" si="13"/>
        <v>2716.7718705385882</v>
      </c>
    </row>
    <row r="37" spans="1:22">
      <c r="A37" s="180">
        <f ca="1">'SAC_IOF Ñ USAR'!A37</f>
        <v>18</v>
      </c>
      <c r="B37" s="179">
        <f ca="1">'SAC_IOF Ñ USAR'!B37</f>
        <v>45290</v>
      </c>
      <c r="C37" s="177">
        <f t="shared" ca="1" si="3"/>
        <v>889.99100827727909</v>
      </c>
      <c r="D37" s="24">
        <f t="shared" ca="1" si="10"/>
        <v>1727.6505452965173</v>
      </c>
      <c r="E37" s="177">
        <f t="shared" ca="1" si="4"/>
        <v>186898.11173822856</v>
      </c>
      <c r="F37" s="178">
        <f t="shared" ca="1" si="5"/>
        <v>39.435501576766228</v>
      </c>
      <c r="G37" s="178">
        <f t="shared" ca="1" si="6"/>
        <v>26.319999999999997</v>
      </c>
      <c r="H37" s="177">
        <f t="shared" ca="1" si="7"/>
        <v>25</v>
      </c>
      <c r="I37" s="25">
        <f t="shared" ca="1" si="8"/>
        <v>2708.3970551505631</v>
      </c>
      <c r="J37" s="9" t="str">
        <f ca="1">'SAC_IOF Ñ USAR'!J37</f>
        <v/>
      </c>
      <c r="K37" s="9" t="str">
        <f ca="1">'SAC_IOF Ñ USAR'!K37</f>
        <v/>
      </c>
      <c r="L37" s="9">
        <f ca="1">'SAC_IOF Ñ USAR'!L37</f>
        <v>12</v>
      </c>
      <c r="N37" s="176">
        <f t="shared" ca="1" si="9"/>
        <v>30</v>
      </c>
      <c r="O37" s="176">
        <f t="shared" ca="1" si="11"/>
        <v>570</v>
      </c>
      <c r="P37" s="175">
        <f t="shared" ca="1" si="0"/>
        <v>834.39144798065388</v>
      </c>
      <c r="Q37" s="11">
        <f t="shared" ca="1" si="1"/>
        <v>2.9930000000000002E-2</v>
      </c>
      <c r="R37" s="12">
        <f t="shared" ca="1" si="2"/>
        <v>24.973336038060971</v>
      </c>
      <c r="S37" s="513"/>
      <c r="U37">
        <f t="shared" ca="1" si="12"/>
        <v>2617.6415535737965</v>
      </c>
      <c r="V37" s="31">
        <f t="shared" ca="1" si="13"/>
        <v>2708.3970551505631</v>
      </c>
    </row>
    <row r="38" spans="1:22">
      <c r="A38" s="180">
        <f ca="1">'SAC_IOF Ñ USAR'!A38</f>
        <v>19</v>
      </c>
      <c r="B38" s="179">
        <f ca="1">'SAC_IOF Ñ USAR'!B38</f>
        <v>45321</v>
      </c>
      <c r="C38" s="177">
        <f t="shared" ca="1" si="3"/>
        <v>889.99100827727909</v>
      </c>
      <c r="D38" s="24">
        <f t="shared" ca="1" si="10"/>
        <v>1719.4626280202306</v>
      </c>
      <c r="E38" s="177">
        <f t="shared" ca="1" si="4"/>
        <v>186008.12072995128</v>
      </c>
      <c r="F38" s="178">
        <f t="shared" ca="1" si="5"/>
        <v>39.248603465027998</v>
      </c>
      <c r="G38" s="178">
        <f t="shared" ca="1" si="6"/>
        <v>26.319999999999997</v>
      </c>
      <c r="H38" s="177">
        <f t="shared" ca="1" si="7"/>
        <v>25</v>
      </c>
      <c r="I38" s="25">
        <f t="shared" ca="1" si="8"/>
        <v>2700.0222397625375</v>
      </c>
      <c r="J38" s="9" t="str">
        <f ca="1">'SAC_IOF Ñ USAR'!J38</f>
        <v/>
      </c>
      <c r="K38" s="9" t="str">
        <f ca="1">'SAC_IOF Ñ USAR'!K38</f>
        <v/>
      </c>
      <c r="L38" s="9">
        <f ca="1">'SAC_IOF Ñ USAR'!L38</f>
        <v>1</v>
      </c>
      <c r="N38" s="176">
        <f t="shared" ca="1" si="9"/>
        <v>31</v>
      </c>
      <c r="O38" s="176">
        <f t="shared" ca="1" si="11"/>
        <v>601</v>
      </c>
      <c r="P38" s="175">
        <f t="shared" ca="1" si="0"/>
        <v>834.39144798065388</v>
      </c>
      <c r="Q38" s="11">
        <f t="shared" ca="1" si="1"/>
        <v>2.9930000000000002E-2</v>
      </c>
      <c r="R38" s="12">
        <f t="shared" ca="1" si="2"/>
        <v>24.973336038060971</v>
      </c>
      <c r="S38" s="513"/>
      <c r="U38">
        <f t="shared" ca="1" si="12"/>
        <v>2609.4536362975095</v>
      </c>
      <c r="V38" s="31">
        <f t="shared" ca="1" si="13"/>
        <v>2700.0222397625375</v>
      </c>
    </row>
    <row r="39" spans="1:22">
      <c r="A39" s="180">
        <f ca="1">'SAC_IOF Ñ USAR'!A39</f>
        <v>20</v>
      </c>
      <c r="B39" s="179">
        <f ca="1">'SAC_IOF Ñ USAR'!B39</f>
        <v>45351</v>
      </c>
      <c r="C39" s="177">
        <f t="shared" ca="1" si="3"/>
        <v>889.99100827727909</v>
      </c>
      <c r="D39" s="24">
        <f t="shared" ca="1" si="10"/>
        <v>1711.2747107439436</v>
      </c>
      <c r="E39" s="177">
        <f t="shared" ca="1" si="4"/>
        <v>185118.12972167399</v>
      </c>
      <c r="F39" s="178">
        <f t="shared" ca="1" si="5"/>
        <v>39.061705353289767</v>
      </c>
      <c r="G39" s="178">
        <f t="shared" ca="1" si="6"/>
        <v>26.319999999999997</v>
      </c>
      <c r="H39" s="177">
        <f t="shared" ca="1" si="7"/>
        <v>25</v>
      </c>
      <c r="I39" s="25">
        <f t="shared" ca="1" si="8"/>
        <v>2691.6474243745124</v>
      </c>
      <c r="J39" s="9" t="str">
        <f ca="1">'SAC_IOF Ñ USAR'!J39</f>
        <v/>
      </c>
      <c r="K39" s="9" t="str">
        <f ca="1">'SAC_IOF Ñ USAR'!K39</f>
        <v/>
      </c>
      <c r="L39" s="9">
        <f ca="1">'SAC_IOF Ñ USAR'!L39</f>
        <v>2</v>
      </c>
      <c r="N39" s="176">
        <f t="shared" ca="1" si="9"/>
        <v>30</v>
      </c>
      <c r="O39" s="176">
        <f t="shared" ca="1" si="11"/>
        <v>631</v>
      </c>
      <c r="P39" s="175">
        <f t="shared" ca="1" si="0"/>
        <v>834.39144798065388</v>
      </c>
      <c r="Q39" s="11">
        <f t="shared" ca="1" si="1"/>
        <v>2.9930000000000002E-2</v>
      </c>
      <c r="R39" s="12">
        <f t="shared" ca="1" si="2"/>
        <v>24.973336038060971</v>
      </c>
      <c r="S39" s="513"/>
      <c r="U39">
        <f t="shared" ca="1" si="12"/>
        <v>2601.2657190212226</v>
      </c>
      <c r="V39" s="31">
        <f t="shared" ca="1" si="13"/>
        <v>2691.6474243745124</v>
      </c>
    </row>
    <row r="40" spans="1:22">
      <c r="A40" s="180">
        <f ca="1">'SAC_IOF Ñ USAR'!A40</f>
        <v>21</v>
      </c>
      <c r="B40" s="179">
        <f ca="1">'SAC_IOF Ñ USAR'!B40</f>
        <v>45381</v>
      </c>
      <c r="C40" s="177">
        <f t="shared" ca="1" si="3"/>
        <v>889.99100827727909</v>
      </c>
      <c r="D40" s="24">
        <f t="shared" ca="1" si="10"/>
        <v>1703.0867934676569</v>
      </c>
      <c r="E40" s="177">
        <f t="shared" ca="1" si="4"/>
        <v>184228.13871339671</v>
      </c>
      <c r="F40" s="178">
        <f t="shared" ca="1" si="5"/>
        <v>38.874807241551537</v>
      </c>
      <c r="G40" s="178">
        <f t="shared" ca="1" si="6"/>
        <v>26.319999999999997</v>
      </c>
      <c r="H40" s="177">
        <f t="shared" ca="1" si="7"/>
        <v>25</v>
      </c>
      <c r="I40" s="25">
        <f t="shared" ca="1" si="8"/>
        <v>2683.2726089864877</v>
      </c>
      <c r="J40" s="9" t="str">
        <f ca="1">'SAC_IOF Ñ USAR'!J40</f>
        <v/>
      </c>
      <c r="K40" s="9" t="str">
        <f ca="1">'SAC_IOF Ñ USAR'!K40</f>
        <v/>
      </c>
      <c r="L40" s="9">
        <f ca="1">'SAC_IOF Ñ USAR'!L40</f>
        <v>3</v>
      </c>
      <c r="N40" s="176">
        <f t="shared" ca="1" si="9"/>
        <v>30</v>
      </c>
      <c r="O40" s="176">
        <f t="shared" ca="1" si="11"/>
        <v>661</v>
      </c>
      <c r="P40" s="175">
        <f t="shared" ca="1" si="0"/>
        <v>834.39144798065388</v>
      </c>
      <c r="Q40" s="11">
        <f t="shared" ca="1" si="1"/>
        <v>2.9930000000000002E-2</v>
      </c>
      <c r="R40" s="12">
        <f t="shared" ca="1" si="2"/>
        <v>24.973336038060971</v>
      </c>
      <c r="S40" s="513"/>
      <c r="U40">
        <f t="shared" ca="1" si="12"/>
        <v>2593.0778017449361</v>
      </c>
      <c r="V40" s="31">
        <f t="shared" ca="1" si="13"/>
        <v>2683.2726089864877</v>
      </c>
    </row>
    <row r="41" spans="1:22">
      <c r="A41" s="180">
        <f ca="1">'SAC_IOF Ñ USAR'!A41</f>
        <v>22</v>
      </c>
      <c r="B41" s="179">
        <f ca="1">'SAC_IOF Ñ USAR'!B41</f>
        <v>45412</v>
      </c>
      <c r="C41" s="177">
        <f t="shared" ca="1" si="3"/>
        <v>889.99100827727909</v>
      </c>
      <c r="D41" s="24">
        <f t="shared" ca="1" si="10"/>
        <v>1694.8988761913699</v>
      </c>
      <c r="E41" s="177">
        <f t="shared" ca="1" si="4"/>
        <v>183338.14770511942</v>
      </c>
      <c r="F41" s="178">
        <f t="shared" ca="1" si="5"/>
        <v>38.687909129813313</v>
      </c>
      <c r="G41" s="178">
        <f t="shared" ca="1" si="6"/>
        <v>26.319999999999997</v>
      </c>
      <c r="H41" s="177">
        <f t="shared" ca="1" si="7"/>
        <v>25</v>
      </c>
      <c r="I41" s="25">
        <f t="shared" ca="1" si="8"/>
        <v>2674.8977935984626</v>
      </c>
      <c r="J41" s="9" t="str">
        <f ca="1">'SAC_IOF Ñ USAR'!J41</f>
        <v/>
      </c>
      <c r="K41" s="9" t="str">
        <f ca="1">'SAC_IOF Ñ USAR'!K41</f>
        <v/>
      </c>
      <c r="L41" s="9">
        <f ca="1">'SAC_IOF Ñ USAR'!L41</f>
        <v>4</v>
      </c>
      <c r="N41" s="176">
        <f t="shared" ca="1" si="9"/>
        <v>31</v>
      </c>
      <c r="O41" s="176">
        <f t="shared" ca="1" si="11"/>
        <v>692</v>
      </c>
      <c r="P41" s="175">
        <f t="shared" ca="1" si="0"/>
        <v>834.39144798065388</v>
      </c>
      <c r="Q41" s="11">
        <f t="shared" ca="1" si="1"/>
        <v>2.9930000000000002E-2</v>
      </c>
      <c r="R41" s="12">
        <f t="shared" ca="1" si="2"/>
        <v>24.973336038060971</v>
      </c>
      <c r="S41" s="513"/>
      <c r="U41">
        <f t="shared" ca="1" si="12"/>
        <v>2584.8898844686491</v>
      </c>
      <c r="V41" s="31">
        <f t="shared" ca="1" si="13"/>
        <v>2674.8977935984626</v>
      </c>
    </row>
    <row r="42" spans="1:22">
      <c r="A42" s="180">
        <f ca="1">'SAC_IOF Ñ USAR'!A42</f>
        <v>23</v>
      </c>
      <c r="B42" s="179">
        <f ca="1">'SAC_IOF Ñ USAR'!B42</f>
        <v>45442</v>
      </c>
      <c r="C42" s="177">
        <f t="shared" ca="1" si="3"/>
        <v>889.99100827727909</v>
      </c>
      <c r="D42" s="24">
        <f t="shared" ca="1" si="10"/>
        <v>1686.710958915083</v>
      </c>
      <c r="E42" s="177">
        <f t="shared" ca="1" si="4"/>
        <v>182448.15669684214</v>
      </c>
      <c r="F42" s="178">
        <f t="shared" ca="1" si="5"/>
        <v>38.501011018075083</v>
      </c>
      <c r="G42" s="178">
        <f t="shared" ca="1" si="6"/>
        <v>26.319999999999997</v>
      </c>
      <c r="H42" s="177">
        <f t="shared" ca="1" si="7"/>
        <v>25</v>
      </c>
      <c r="I42" s="25">
        <f t="shared" ca="1" si="8"/>
        <v>2666.5229782104375</v>
      </c>
      <c r="J42" s="9" t="str">
        <f ca="1">'SAC_IOF Ñ USAR'!J42</f>
        <v/>
      </c>
      <c r="K42" s="9" t="str">
        <f ca="1">'SAC_IOF Ñ USAR'!K42</f>
        <v/>
      </c>
      <c r="L42" s="9">
        <f ca="1">'SAC_IOF Ñ USAR'!L42</f>
        <v>5</v>
      </c>
      <c r="N42" s="176">
        <f t="shared" ca="1" si="9"/>
        <v>30</v>
      </c>
      <c r="O42" s="176">
        <f t="shared" ca="1" si="11"/>
        <v>722</v>
      </c>
      <c r="P42" s="175">
        <f t="shared" ca="1" si="0"/>
        <v>834.39144798065388</v>
      </c>
      <c r="Q42" s="11">
        <f t="shared" ca="1" si="1"/>
        <v>2.9930000000000002E-2</v>
      </c>
      <c r="R42" s="12">
        <f t="shared" ca="1" si="2"/>
        <v>24.973336038060971</v>
      </c>
      <c r="S42" s="513"/>
      <c r="U42">
        <f t="shared" ca="1" si="12"/>
        <v>2576.7019671923622</v>
      </c>
      <c r="V42" s="31">
        <f t="shared" ca="1" si="13"/>
        <v>2666.5229782104375</v>
      </c>
    </row>
    <row r="43" spans="1:22">
      <c r="A43" s="180">
        <f ca="1">'SAC_IOF Ñ USAR'!A43</f>
        <v>24</v>
      </c>
      <c r="B43" s="179">
        <f ca="1">'SAC_IOF Ñ USAR'!B43</f>
        <v>45473</v>
      </c>
      <c r="C43" s="177">
        <f t="shared" ca="1" si="3"/>
        <v>889.99100827727909</v>
      </c>
      <c r="D43" s="24">
        <f t="shared" ca="1" si="10"/>
        <v>1678.5230416387963</v>
      </c>
      <c r="E43" s="177">
        <f t="shared" ca="1" si="4"/>
        <v>181558.16568856486</v>
      </c>
      <c r="F43" s="178">
        <f t="shared" ca="1" si="5"/>
        <v>38.314112906336852</v>
      </c>
      <c r="G43" s="178">
        <f t="shared" ca="1" si="6"/>
        <v>26.319999999999997</v>
      </c>
      <c r="H43" s="177">
        <f t="shared" ca="1" si="7"/>
        <v>25</v>
      </c>
      <c r="I43" s="25">
        <f t="shared" ca="1" si="8"/>
        <v>2658.1481628224124</v>
      </c>
      <c r="J43" s="9" t="str">
        <f ca="1">'SAC_IOF Ñ USAR'!J43</f>
        <v/>
      </c>
      <c r="K43" s="9" t="str">
        <f ca="1">'SAC_IOF Ñ USAR'!K43</f>
        <v/>
      </c>
      <c r="L43" s="9">
        <f ca="1">'SAC_IOF Ñ USAR'!L43</f>
        <v>6</v>
      </c>
      <c r="N43" s="176">
        <f t="shared" ca="1" si="9"/>
        <v>31</v>
      </c>
      <c r="O43" s="176">
        <f t="shared" ca="1" si="11"/>
        <v>753</v>
      </c>
      <c r="P43" s="175">
        <f t="shared" ca="1" si="0"/>
        <v>834.39144798065388</v>
      </c>
      <c r="Q43" s="11">
        <f t="shared" ca="1" si="1"/>
        <v>2.9930000000000002E-2</v>
      </c>
      <c r="R43" s="12">
        <f t="shared" ca="1" si="2"/>
        <v>24.973336038060971</v>
      </c>
      <c r="S43" s="513"/>
      <c r="U43">
        <f t="shared" ca="1" si="12"/>
        <v>2568.5140499160752</v>
      </c>
      <c r="V43" s="31">
        <f t="shared" ca="1" si="13"/>
        <v>2658.1481628224124</v>
      </c>
    </row>
    <row r="44" spans="1:22">
      <c r="A44" s="180">
        <f ca="1">'SAC_IOF Ñ USAR'!A44</f>
        <v>25</v>
      </c>
      <c r="B44" s="179">
        <f ca="1">'SAC_IOF Ñ USAR'!B44</f>
        <v>45503</v>
      </c>
      <c r="C44" s="177">
        <f t="shared" ca="1" si="3"/>
        <v>889.99100827727909</v>
      </c>
      <c r="D44" s="24">
        <f t="shared" ca="1" si="10"/>
        <v>1670.3351243625093</v>
      </c>
      <c r="E44" s="177">
        <f t="shared" ca="1" si="4"/>
        <v>180668.17468028757</v>
      </c>
      <c r="F44" s="178">
        <f t="shared" ca="1" si="5"/>
        <v>38.127214794598622</v>
      </c>
      <c r="G44" s="178">
        <f t="shared" ca="1" si="6"/>
        <v>26.319999999999997</v>
      </c>
      <c r="H44" s="177">
        <f t="shared" ca="1" si="7"/>
        <v>25</v>
      </c>
      <c r="I44" s="25">
        <f t="shared" ca="1" si="8"/>
        <v>2649.7733474343872</v>
      </c>
      <c r="J44" s="9" t="str">
        <f ca="1">'SAC_IOF Ñ USAR'!J44</f>
        <v/>
      </c>
      <c r="K44" s="9" t="str">
        <f ca="1">'SAC_IOF Ñ USAR'!K44</f>
        <v/>
      </c>
      <c r="L44" s="9">
        <f ca="1">'SAC_IOF Ñ USAR'!L44</f>
        <v>7</v>
      </c>
      <c r="N44" s="176">
        <f t="shared" ca="1" si="9"/>
        <v>30</v>
      </c>
      <c r="O44" s="176">
        <f t="shared" ca="1" si="11"/>
        <v>783</v>
      </c>
      <c r="P44" s="175">
        <f t="shared" ca="1" si="0"/>
        <v>834.39144798065388</v>
      </c>
      <c r="Q44" s="11">
        <f t="shared" ca="1" si="1"/>
        <v>2.9930000000000002E-2</v>
      </c>
      <c r="R44" s="12">
        <f t="shared" ca="1" si="2"/>
        <v>24.973336038060971</v>
      </c>
      <c r="S44" s="513"/>
      <c r="U44">
        <f t="shared" ca="1" si="12"/>
        <v>2560.3261326397883</v>
      </c>
      <c r="V44" s="31">
        <f t="shared" ca="1" si="13"/>
        <v>2649.7733474343872</v>
      </c>
    </row>
    <row r="45" spans="1:22">
      <c r="A45" s="180">
        <f ca="1">'SAC_IOF Ñ USAR'!A45</f>
        <v>26</v>
      </c>
      <c r="B45" s="179">
        <f ca="1">'SAC_IOF Ñ USAR'!B45</f>
        <v>45534</v>
      </c>
      <c r="C45" s="177">
        <f t="shared" ca="1" si="3"/>
        <v>889.99100827727909</v>
      </c>
      <c r="D45" s="24">
        <f t="shared" ca="1" si="10"/>
        <v>1662.1472070862226</v>
      </c>
      <c r="E45" s="177">
        <f t="shared" ca="1" si="4"/>
        <v>179778.18367201029</v>
      </c>
      <c r="F45" s="178">
        <f t="shared" ca="1" si="5"/>
        <v>37.940316682860391</v>
      </c>
      <c r="G45" s="178">
        <f t="shared" ca="1" si="6"/>
        <v>26.319999999999997</v>
      </c>
      <c r="H45" s="177">
        <f t="shared" ca="1" si="7"/>
        <v>25</v>
      </c>
      <c r="I45" s="25">
        <f t="shared" ca="1" si="8"/>
        <v>2641.3985320463626</v>
      </c>
      <c r="J45" s="9" t="str">
        <f ca="1">'SAC_IOF Ñ USAR'!J45</f>
        <v/>
      </c>
      <c r="K45" s="9" t="str">
        <f ca="1">'SAC_IOF Ñ USAR'!K45</f>
        <v/>
      </c>
      <c r="L45" s="9">
        <f ca="1">'SAC_IOF Ñ USAR'!L45</f>
        <v>8</v>
      </c>
      <c r="N45" s="176">
        <f t="shared" ca="1" si="9"/>
        <v>31</v>
      </c>
      <c r="O45" s="176">
        <f t="shared" ca="1" si="11"/>
        <v>814</v>
      </c>
      <c r="P45" s="175">
        <f t="shared" ca="1" si="0"/>
        <v>834.39144798065388</v>
      </c>
      <c r="Q45" s="11">
        <f t="shared" ca="1" si="1"/>
        <v>2.9930000000000002E-2</v>
      </c>
      <c r="R45" s="12">
        <f t="shared" ca="1" si="2"/>
        <v>24.973336038060971</v>
      </c>
      <c r="S45" s="513"/>
      <c r="U45">
        <f t="shared" ca="1" si="12"/>
        <v>2552.1382153635018</v>
      </c>
      <c r="V45" s="31">
        <f t="shared" ca="1" si="13"/>
        <v>2641.3985320463626</v>
      </c>
    </row>
    <row r="46" spans="1:22">
      <c r="A46" s="180">
        <f ca="1">'SAC_IOF Ñ USAR'!A46</f>
        <v>27</v>
      </c>
      <c r="B46" s="179">
        <f ca="1">'SAC_IOF Ñ USAR'!B46</f>
        <v>45565</v>
      </c>
      <c r="C46" s="177">
        <f t="shared" ca="1" si="3"/>
        <v>889.99100827727909</v>
      </c>
      <c r="D46" s="24">
        <f t="shared" ca="1" si="10"/>
        <v>1653.9592898099356</v>
      </c>
      <c r="E46" s="177">
        <f t="shared" ca="1" si="4"/>
        <v>178888.192663733</v>
      </c>
      <c r="F46" s="178">
        <f t="shared" ca="1" si="5"/>
        <v>37.753418571122161</v>
      </c>
      <c r="G46" s="178">
        <f t="shared" ca="1" si="6"/>
        <v>26.319999999999997</v>
      </c>
      <c r="H46" s="177">
        <f t="shared" ca="1" si="7"/>
        <v>25</v>
      </c>
      <c r="I46" s="25">
        <f t="shared" ca="1" si="8"/>
        <v>2633.023716658337</v>
      </c>
      <c r="J46" s="9" t="str">
        <f ca="1">'SAC_IOF Ñ USAR'!J46</f>
        <v/>
      </c>
      <c r="K46" s="9" t="str">
        <f ca="1">'SAC_IOF Ñ USAR'!K46</f>
        <v/>
      </c>
      <c r="L46" s="9">
        <f ca="1">'SAC_IOF Ñ USAR'!L46</f>
        <v>9</v>
      </c>
      <c r="N46" s="176">
        <f t="shared" ca="1" si="9"/>
        <v>31</v>
      </c>
      <c r="O46" s="176">
        <f t="shared" ca="1" si="11"/>
        <v>845</v>
      </c>
      <c r="P46" s="175">
        <f t="shared" ca="1" si="0"/>
        <v>834.39144798065388</v>
      </c>
      <c r="Q46" s="11">
        <f t="shared" ca="1" si="1"/>
        <v>2.9930000000000002E-2</v>
      </c>
      <c r="R46" s="12">
        <f t="shared" ca="1" si="2"/>
        <v>24.973336038060971</v>
      </c>
      <c r="S46" s="513"/>
      <c r="U46">
        <f t="shared" ca="1" si="12"/>
        <v>2543.9502980872148</v>
      </c>
      <c r="V46" s="31">
        <f t="shared" ca="1" si="13"/>
        <v>2633.023716658337</v>
      </c>
    </row>
    <row r="47" spans="1:22">
      <c r="A47" s="180">
        <f ca="1">'SAC_IOF Ñ USAR'!A47</f>
        <v>28</v>
      </c>
      <c r="B47" s="179">
        <f ca="1">'SAC_IOF Ñ USAR'!B47</f>
        <v>45595</v>
      </c>
      <c r="C47" s="177">
        <f t="shared" ca="1" si="3"/>
        <v>889.99100827727909</v>
      </c>
      <c r="D47" s="24">
        <f t="shared" ca="1" si="10"/>
        <v>1645.7713725336489</v>
      </c>
      <c r="E47" s="177">
        <f t="shared" ca="1" si="4"/>
        <v>177998.20165545572</v>
      </c>
      <c r="F47" s="178">
        <f t="shared" ca="1" si="5"/>
        <v>37.566520459383931</v>
      </c>
      <c r="G47" s="178">
        <f t="shared" ca="1" si="6"/>
        <v>26.319999999999997</v>
      </c>
      <c r="H47" s="177">
        <f t="shared" ca="1" si="7"/>
        <v>25</v>
      </c>
      <c r="I47" s="25">
        <f t="shared" ca="1" si="8"/>
        <v>2624.6489012703119</v>
      </c>
      <c r="J47" s="9" t="str">
        <f ca="1">'SAC_IOF Ñ USAR'!J47</f>
        <v/>
      </c>
      <c r="K47" s="9" t="str">
        <f ca="1">'SAC_IOF Ñ USAR'!K47</f>
        <v/>
      </c>
      <c r="L47" s="9">
        <f ca="1">'SAC_IOF Ñ USAR'!L47</f>
        <v>10</v>
      </c>
      <c r="N47" s="176">
        <f t="shared" ca="1" si="9"/>
        <v>30</v>
      </c>
      <c r="O47" s="176">
        <f t="shared" ca="1" si="11"/>
        <v>875</v>
      </c>
      <c r="P47" s="175">
        <f t="shared" ca="1" si="0"/>
        <v>834.39144798065388</v>
      </c>
      <c r="Q47" s="11">
        <f t="shared" ca="1" si="1"/>
        <v>2.9930000000000002E-2</v>
      </c>
      <c r="R47" s="12">
        <f t="shared" ca="1" si="2"/>
        <v>24.973336038060971</v>
      </c>
      <c r="S47" s="513"/>
      <c r="U47">
        <f t="shared" ca="1" si="12"/>
        <v>2535.7623808109279</v>
      </c>
      <c r="V47" s="31">
        <f t="shared" ca="1" si="13"/>
        <v>2624.6489012703119</v>
      </c>
    </row>
    <row r="48" spans="1:22">
      <c r="A48" s="180">
        <f ca="1">'SAC_IOF Ñ USAR'!A48</f>
        <v>29</v>
      </c>
      <c r="B48" s="179">
        <f ca="1">'SAC_IOF Ñ USAR'!B48</f>
        <v>45626</v>
      </c>
      <c r="C48" s="177">
        <f t="shared" ca="1" si="3"/>
        <v>889.99100827727909</v>
      </c>
      <c r="D48" s="24">
        <f t="shared" ca="1" si="10"/>
        <v>1637.5834552573619</v>
      </c>
      <c r="E48" s="177">
        <f t="shared" ca="1" si="4"/>
        <v>177108.21064717844</v>
      </c>
      <c r="F48" s="178">
        <f t="shared" ca="1" si="5"/>
        <v>37.3796223476457</v>
      </c>
      <c r="G48" s="178">
        <f t="shared" ca="1" si="6"/>
        <v>26.319999999999997</v>
      </c>
      <c r="H48" s="177">
        <f t="shared" ca="1" si="7"/>
        <v>25</v>
      </c>
      <c r="I48" s="25">
        <f t="shared" ca="1" si="8"/>
        <v>2616.2740858822867</v>
      </c>
      <c r="J48" s="9" t="str">
        <f ca="1">'SAC_IOF Ñ USAR'!J48</f>
        <v/>
      </c>
      <c r="K48" s="9" t="str">
        <f ca="1">'SAC_IOF Ñ USAR'!K48</f>
        <v/>
      </c>
      <c r="L48" s="9">
        <f ca="1">'SAC_IOF Ñ USAR'!L48</f>
        <v>11</v>
      </c>
      <c r="N48" s="176">
        <f t="shared" ca="1" si="9"/>
        <v>31</v>
      </c>
      <c r="O48" s="176">
        <f t="shared" ca="1" si="11"/>
        <v>906</v>
      </c>
      <c r="P48" s="175">
        <f t="shared" ca="1" si="0"/>
        <v>834.39144798065388</v>
      </c>
      <c r="Q48" s="11">
        <f t="shared" ca="1" si="1"/>
        <v>2.9930000000000002E-2</v>
      </c>
      <c r="R48" s="12">
        <f t="shared" ca="1" si="2"/>
        <v>24.973336038060971</v>
      </c>
      <c r="S48" s="513"/>
      <c r="U48">
        <f t="shared" ca="1" si="12"/>
        <v>2527.5744635346409</v>
      </c>
      <c r="V48" s="31">
        <f t="shared" ca="1" si="13"/>
        <v>2616.2740858822867</v>
      </c>
    </row>
    <row r="49" spans="1:22">
      <c r="A49" s="180">
        <f ca="1">'SAC_IOF Ñ USAR'!A49</f>
        <v>30</v>
      </c>
      <c r="B49" s="179">
        <f ca="1">'SAC_IOF Ñ USAR'!B49</f>
        <v>45656</v>
      </c>
      <c r="C49" s="177">
        <f t="shared" ca="1" si="3"/>
        <v>889.99100827727909</v>
      </c>
      <c r="D49" s="24">
        <f t="shared" ca="1" si="10"/>
        <v>1629.395537981075</v>
      </c>
      <c r="E49" s="177">
        <f t="shared" ca="1" si="4"/>
        <v>176218.21963890115</v>
      </c>
      <c r="F49" s="178">
        <f t="shared" ca="1" si="5"/>
        <v>37.19272423590747</v>
      </c>
      <c r="G49" s="178">
        <f t="shared" ca="1" si="6"/>
        <v>26.319999999999997</v>
      </c>
      <c r="H49" s="177">
        <f t="shared" ca="1" si="7"/>
        <v>25</v>
      </c>
      <c r="I49" s="25">
        <f t="shared" ca="1" si="8"/>
        <v>2607.8992704942616</v>
      </c>
      <c r="J49" s="9" t="str">
        <f ca="1">'SAC_IOF Ñ USAR'!J49</f>
        <v/>
      </c>
      <c r="K49" s="9" t="str">
        <f ca="1">'SAC_IOF Ñ USAR'!K49</f>
        <v/>
      </c>
      <c r="L49" s="9">
        <f ca="1">'SAC_IOF Ñ USAR'!L49</f>
        <v>12</v>
      </c>
      <c r="N49" s="176">
        <f t="shared" ca="1" si="9"/>
        <v>30</v>
      </c>
      <c r="O49" s="176">
        <f t="shared" ca="1" si="11"/>
        <v>936</v>
      </c>
      <c r="P49" s="175">
        <f t="shared" ca="1" si="0"/>
        <v>834.39144798065388</v>
      </c>
      <c r="Q49" s="11">
        <f t="shared" ca="1" si="1"/>
        <v>2.9930000000000002E-2</v>
      </c>
      <c r="R49" s="12">
        <f t="shared" ca="1" si="2"/>
        <v>24.973336038060971</v>
      </c>
      <c r="S49" s="513"/>
      <c r="U49">
        <f t="shared" ca="1" si="12"/>
        <v>2519.386546258354</v>
      </c>
      <c r="V49" s="31">
        <f t="shared" ca="1" si="13"/>
        <v>2607.8992704942616</v>
      </c>
    </row>
    <row r="50" spans="1:22">
      <c r="A50" s="180">
        <f ca="1">'SAC_IOF Ñ USAR'!A50</f>
        <v>31</v>
      </c>
      <c r="B50" s="179">
        <f ca="1">'SAC_IOF Ñ USAR'!B50</f>
        <v>45687</v>
      </c>
      <c r="C50" s="177">
        <f t="shared" ca="1" si="3"/>
        <v>889.99100827727909</v>
      </c>
      <c r="D50" s="24">
        <f t="shared" ca="1" si="10"/>
        <v>1621.2076207047883</v>
      </c>
      <c r="E50" s="177">
        <f t="shared" ca="1" si="4"/>
        <v>175328.22863062387</v>
      </c>
      <c r="F50" s="178">
        <f t="shared" ca="1" si="5"/>
        <v>37.005826124169246</v>
      </c>
      <c r="G50" s="178">
        <f t="shared" ca="1" si="6"/>
        <v>26.319999999999997</v>
      </c>
      <c r="H50" s="177">
        <f t="shared" ca="1" si="7"/>
        <v>25</v>
      </c>
      <c r="I50" s="25">
        <f t="shared" ca="1" si="8"/>
        <v>2599.5244551062369</v>
      </c>
      <c r="J50" s="9" t="str">
        <f ca="1">'SAC_IOF Ñ USAR'!J50</f>
        <v/>
      </c>
      <c r="K50" s="9" t="str">
        <f ca="1">'SAC_IOF Ñ USAR'!K50</f>
        <v/>
      </c>
      <c r="L50" s="9">
        <f ca="1">'SAC_IOF Ñ USAR'!L50</f>
        <v>1</v>
      </c>
      <c r="N50" s="176">
        <f t="shared" ca="1" si="9"/>
        <v>31</v>
      </c>
      <c r="O50" s="176">
        <f t="shared" ca="1" si="11"/>
        <v>967</v>
      </c>
      <c r="P50" s="175">
        <f t="shared" ca="1" si="0"/>
        <v>834.39144798065388</v>
      </c>
      <c r="Q50" s="11">
        <f t="shared" ca="1" si="1"/>
        <v>2.9930000000000002E-2</v>
      </c>
      <c r="R50" s="12">
        <f t="shared" ca="1" si="2"/>
        <v>24.973336038060971</v>
      </c>
      <c r="S50" s="513"/>
      <c r="U50">
        <f t="shared" ca="1" si="12"/>
        <v>2511.1986289820675</v>
      </c>
      <c r="V50" s="31">
        <f t="shared" ca="1" si="13"/>
        <v>2599.5244551062369</v>
      </c>
    </row>
    <row r="51" spans="1:22">
      <c r="A51" s="180">
        <f ca="1">'SAC_IOF Ñ USAR'!A51</f>
        <v>32</v>
      </c>
      <c r="B51" s="179">
        <f ca="1">'SAC_IOF Ñ USAR'!B51</f>
        <v>45716</v>
      </c>
      <c r="C51" s="177">
        <f t="shared" ca="1" si="3"/>
        <v>889.99100827727909</v>
      </c>
      <c r="D51" s="24">
        <f t="shared" ca="1" si="10"/>
        <v>1613.0197034285013</v>
      </c>
      <c r="E51" s="177">
        <f t="shared" ca="1" si="4"/>
        <v>174438.23762234658</v>
      </c>
      <c r="F51" s="178">
        <f t="shared" ca="1" si="5"/>
        <v>36.818928012431016</v>
      </c>
      <c r="G51" s="178">
        <f t="shared" ca="1" si="6"/>
        <v>26.319999999999997</v>
      </c>
      <c r="H51" s="177">
        <f t="shared" ca="1" si="7"/>
        <v>25</v>
      </c>
      <c r="I51" s="25">
        <f t="shared" ca="1" si="8"/>
        <v>2591.1496397182118</v>
      </c>
      <c r="J51" s="9" t="str">
        <f ca="1">'SAC_IOF Ñ USAR'!J51</f>
        <v/>
      </c>
      <c r="K51" s="9" t="str">
        <f ca="1">'SAC_IOF Ñ USAR'!K51</f>
        <v/>
      </c>
      <c r="L51" s="9">
        <f ca="1">'SAC_IOF Ñ USAR'!L51</f>
        <v>2</v>
      </c>
      <c r="N51" s="176">
        <f t="shared" ca="1" si="9"/>
        <v>29</v>
      </c>
      <c r="O51" s="176">
        <f t="shared" ca="1" si="11"/>
        <v>996</v>
      </c>
      <c r="P51" s="175">
        <f t="shared" ca="1" si="0"/>
        <v>834.39144798065388</v>
      </c>
      <c r="Q51" s="11">
        <f t="shared" ca="1" si="1"/>
        <v>2.9930000000000002E-2</v>
      </c>
      <c r="R51" s="12">
        <f t="shared" ca="1" si="2"/>
        <v>24.973336038060971</v>
      </c>
      <c r="S51" s="513"/>
      <c r="U51">
        <f t="shared" ca="1" si="12"/>
        <v>2503.0107117057805</v>
      </c>
      <c r="V51" s="31">
        <f t="shared" ca="1" si="13"/>
        <v>2591.1496397182118</v>
      </c>
    </row>
    <row r="52" spans="1:22">
      <c r="A52" s="180">
        <f ca="1">'SAC_IOF Ñ USAR'!A52</f>
        <v>33</v>
      </c>
      <c r="B52" s="179">
        <f ca="1">'SAC_IOF Ñ USAR'!B52</f>
        <v>45746</v>
      </c>
      <c r="C52" s="177">
        <f t="shared" ca="1" si="3"/>
        <v>889.99100827727909</v>
      </c>
      <c r="D52" s="24">
        <f t="shared" ca="1" si="10"/>
        <v>1604.8317861522146</v>
      </c>
      <c r="E52" s="177">
        <f t="shared" ca="1" si="4"/>
        <v>173548.2466140693</v>
      </c>
      <c r="F52" s="178">
        <f t="shared" ca="1" si="5"/>
        <v>36.632029900692785</v>
      </c>
      <c r="G52" s="178">
        <f t="shared" ca="1" si="6"/>
        <v>26.319999999999997</v>
      </c>
      <c r="H52" s="177">
        <f t="shared" ca="1" si="7"/>
        <v>25</v>
      </c>
      <c r="I52" s="25">
        <f t="shared" ca="1" si="8"/>
        <v>2582.7748243301867</v>
      </c>
      <c r="J52" s="9" t="str">
        <f ca="1">'SAC_IOF Ñ USAR'!J52</f>
        <v/>
      </c>
      <c r="K52" s="9" t="str">
        <f ca="1">'SAC_IOF Ñ USAR'!K52</f>
        <v/>
      </c>
      <c r="L52" s="9">
        <f ca="1">'SAC_IOF Ñ USAR'!L52</f>
        <v>3</v>
      </c>
      <c r="N52" s="176">
        <f t="shared" ca="1" si="9"/>
        <v>30</v>
      </c>
      <c r="O52" s="176">
        <f t="shared" ca="1" si="11"/>
        <v>1026</v>
      </c>
      <c r="P52" s="175">
        <f t="shared" ca="1" si="0"/>
        <v>834.39144798065388</v>
      </c>
      <c r="Q52" s="11">
        <f t="shared" ca="1" si="1"/>
        <v>2.9930000000000002E-2</v>
      </c>
      <c r="R52" s="12">
        <f t="shared" ca="1" si="2"/>
        <v>24.973336038060971</v>
      </c>
      <c r="S52" s="513"/>
      <c r="U52">
        <f t="shared" ca="1" si="12"/>
        <v>2494.8227944294936</v>
      </c>
      <c r="V52" s="31">
        <f t="shared" ca="1" si="13"/>
        <v>2582.7748243301867</v>
      </c>
    </row>
    <row r="53" spans="1:22">
      <c r="A53" s="180">
        <f ca="1">'SAC_IOF Ñ USAR'!A53</f>
        <v>34</v>
      </c>
      <c r="B53" s="179">
        <f ca="1">'SAC_IOF Ñ USAR'!B53</f>
        <v>45777</v>
      </c>
      <c r="C53" s="177">
        <f t="shared" ca="1" si="3"/>
        <v>889.99100827727909</v>
      </c>
      <c r="D53" s="24">
        <f t="shared" ca="1" si="10"/>
        <v>1596.6438688759276</v>
      </c>
      <c r="E53" s="177">
        <f t="shared" ca="1" si="4"/>
        <v>172658.25560579202</v>
      </c>
      <c r="F53" s="178">
        <f t="shared" ca="1" si="5"/>
        <v>36.445131788954555</v>
      </c>
      <c r="G53" s="178">
        <f t="shared" ca="1" si="6"/>
        <v>26.319999999999997</v>
      </c>
      <c r="H53" s="177">
        <f t="shared" ca="1" si="7"/>
        <v>25</v>
      </c>
      <c r="I53" s="25">
        <f t="shared" ca="1" si="8"/>
        <v>2574.4000089421615</v>
      </c>
      <c r="J53" s="9" t="str">
        <f ca="1">'SAC_IOF Ñ USAR'!J53</f>
        <v/>
      </c>
      <c r="K53" s="9" t="str">
        <f ca="1">'SAC_IOF Ñ USAR'!K53</f>
        <v/>
      </c>
      <c r="L53" s="9">
        <f ca="1">'SAC_IOF Ñ USAR'!L53</f>
        <v>4</v>
      </c>
      <c r="N53" s="176">
        <f t="shared" ca="1" si="9"/>
        <v>31</v>
      </c>
      <c r="O53" s="176">
        <f t="shared" ca="1" si="11"/>
        <v>1057</v>
      </c>
      <c r="P53" s="175">
        <f t="shared" ca="1" si="0"/>
        <v>834.39144798065388</v>
      </c>
      <c r="Q53" s="11">
        <f t="shared" ca="1" si="1"/>
        <v>2.9930000000000002E-2</v>
      </c>
      <c r="R53" s="12">
        <f t="shared" ca="1" si="2"/>
        <v>24.973336038060971</v>
      </c>
      <c r="S53" s="513"/>
      <c r="U53">
        <f t="shared" ca="1" si="12"/>
        <v>2486.6348771532066</v>
      </c>
      <c r="V53" s="31">
        <f t="shared" ca="1" si="13"/>
        <v>2574.4000089421615</v>
      </c>
    </row>
    <row r="54" spans="1:22">
      <c r="A54" s="180">
        <f ca="1">'SAC_IOF Ñ USAR'!A54</f>
        <v>35</v>
      </c>
      <c r="B54" s="179">
        <f ca="1">'SAC_IOF Ñ USAR'!B54</f>
        <v>45807</v>
      </c>
      <c r="C54" s="177">
        <f t="shared" ca="1" si="3"/>
        <v>889.99100827727909</v>
      </c>
      <c r="D54" s="24">
        <f t="shared" ca="1" si="10"/>
        <v>1588.4559515996407</v>
      </c>
      <c r="E54" s="177">
        <f t="shared" ca="1" si="4"/>
        <v>171768.26459751473</v>
      </c>
      <c r="F54" s="178">
        <f t="shared" ca="1" si="5"/>
        <v>36.258233677216325</v>
      </c>
      <c r="G54" s="178">
        <f t="shared" ca="1" si="6"/>
        <v>26.319999999999997</v>
      </c>
      <c r="H54" s="177">
        <f t="shared" ca="1" si="7"/>
        <v>25</v>
      </c>
      <c r="I54" s="25">
        <f t="shared" ca="1" si="8"/>
        <v>2566.025193554136</v>
      </c>
      <c r="J54" s="9" t="str">
        <f ca="1">'SAC_IOF Ñ USAR'!J54</f>
        <v/>
      </c>
      <c r="K54" s="9" t="str">
        <f ca="1">'SAC_IOF Ñ USAR'!K54</f>
        <v/>
      </c>
      <c r="L54" s="9">
        <f ca="1">'SAC_IOF Ñ USAR'!L54</f>
        <v>5</v>
      </c>
      <c r="N54" s="176">
        <f t="shared" ca="1" si="9"/>
        <v>30</v>
      </c>
      <c r="O54" s="176">
        <f t="shared" ca="1" si="11"/>
        <v>1087</v>
      </c>
      <c r="P54" s="175">
        <f t="shared" ca="1" si="0"/>
        <v>834.39144798065388</v>
      </c>
      <c r="Q54" s="11">
        <f t="shared" ca="1" si="1"/>
        <v>2.9930000000000002E-2</v>
      </c>
      <c r="R54" s="12">
        <f t="shared" ca="1" si="2"/>
        <v>24.973336038060971</v>
      </c>
      <c r="S54" s="513"/>
      <c r="U54">
        <f t="shared" ca="1" si="12"/>
        <v>2478.4469598769197</v>
      </c>
      <c r="V54" s="31">
        <f t="shared" ca="1" si="13"/>
        <v>2566.025193554136</v>
      </c>
    </row>
    <row r="55" spans="1:22">
      <c r="A55" s="180">
        <f ca="1">'SAC_IOF Ñ USAR'!A55</f>
        <v>36</v>
      </c>
      <c r="B55" s="179">
        <f ca="1">'SAC_IOF Ñ USAR'!B55</f>
        <v>45838</v>
      </c>
      <c r="C55" s="177">
        <f t="shared" ca="1" si="3"/>
        <v>889.99100827727909</v>
      </c>
      <c r="D55" s="24">
        <f t="shared" ca="1" si="10"/>
        <v>1580.268034323354</v>
      </c>
      <c r="E55" s="177">
        <f t="shared" ca="1" si="4"/>
        <v>170878.27358923745</v>
      </c>
      <c r="F55" s="178">
        <f t="shared" ca="1" si="5"/>
        <v>36.071335565478094</v>
      </c>
      <c r="G55" s="178">
        <f t="shared" ca="1" si="6"/>
        <v>26.319999999999997</v>
      </c>
      <c r="H55" s="177">
        <f t="shared" ca="1" si="7"/>
        <v>25</v>
      </c>
      <c r="I55" s="25">
        <f t="shared" ca="1" si="8"/>
        <v>2557.6503781661113</v>
      </c>
      <c r="J55" s="9" t="str">
        <f ca="1">'SAC_IOF Ñ USAR'!J55</f>
        <v/>
      </c>
      <c r="K55" s="9" t="str">
        <f ca="1">'SAC_IOF Ñ USAR'!K55</f>
        <v/>
      </c>
      <c r="L55" s="9">
        <f ca="1">'SAC_IOF Ñ USAR'!L55</f>
        <v>6</v>
      </c>
      <c r="N55" s="176">
        <f t="shared" ca="1" si="9"/>
        <v>31</v>
      </c>
      <c r="O55" s="176">
        <f t="shared" ca="1" si="11"/>
        <v>1118</v>
      </c>
      <c r="P55" s="175">
        <f t="shared" ca="1" si="0"/>
        <v>834.39144798065388</v>
      </c>
      <c r="Q55" s="11">
        <f t="shared" ca="1" si="1"/>
        <v>2.9930000000000002E-2</v>
      </c>
      <c r="R55" s="12">
        <f t="shared" ca="1" si="2"/>
        <v>24.973336038060971</v>
      </c>
      <c r="S55" s="513"/>
      <c r="U55">
        <f t="shared" ca="1" si="12"/>
        <v>2470.2590426006332</v>
      </c>
      <c r="V55" s="31">
        <f t="shared" ca="1" si="13"/>
        <v>2557.6503781661113</v>
      </c>
    </row>
    <row r="56" spans="1:22">
      <c r="A56" s="180">
        <f ca="1">'SAC_IOF Ñ USAR'!A56</f>
        <v>37</v>
      </c>
      <c r="B56" s="179">
        <f ca="1">'SAC_IOF Ñ USAR'!B56</f>
        <v>45868</v>
      </c>
      <c r="C56" s="177">
        <f t="shared" ca="1" si="3"/>
        <v>889.99100827727909</v>
      </c>
      <c r="D56" s="24">
        <f t="shared" ca="1" si="10"/>
        <v>1572.080117047067</v>
      </c>
      <c r="E56" s="177">
        <f t="shared" ca="1" si="4"/>
        <v>169988.28258096016</v>
      </c>
      <c r="F56" s="178">
        <f t="shared" ca="1" si="5"/>
        <v>35.884437453739864</v>
      </c>
      <c r="G56" s="178">
        <f t="shared" ca="1" si="6"/>
        <v>26.319999999999997</v>
      </c>
      <c r="H56" s="177">
        <f t="shared" ca="1" si="7"/>
        <v>25</v>
      </c>
      <c r="I56" s="25">
        <f t="shared" ca="1" si="8"/>
        <v>2549.2755627780862</v>
      </c>
      <c r="J56" s="9" t="str">
        <f ca="1">'SAC_IOF Ñ USAR'!J56</f>
        <v/>
      </c>
      <c r="K56" s="9" t="str">
        <f ca="1">'SAC_IOF Ñ USAR'!K56</f>
        <v/>
      </c>
      <c r="L56" s="9">
        <f ca="1">'SAC_IOF Ñ USAR'!L56</f>
        <v>7</v>
      </c>
      <c r="N56" s="176">
        <f t="shared" ca="1" si="9"/>
        <v>30</v>
      </c>
      <c r="O56" s="176">
        <f t="shared" ca="1" si="11"/>
        <v>1148</v>
      </c>
      <c r="P56" s="175">
        <f t="shared" ca="1" si="0"/>
        <v>834.39144798065388</v>
      </c>
      <c r="Q56" s="11">
        <f t="shared" ca="1" si="1"/>
        <v>2.9930000000000002E-2</v>
      </c>
      <c r="R56" s="12">
        <f t="shared" ca="1" si="2"/>
        <v>24.973336038060971</v>
      </c>
      <c r="S56" s="513"/>
      <c r="U56">
        <f t="shared" ca="1" si="12"/>
        <v>2462.0711253243462</v>
      </c>
      <c r="V56" s="31">
        <f t="shared" ca="1" si="13"/>
        <v>2549.2755627780862</v>
      </c>
    </row>
    <row r="57" spans="1:22">
      <c r="A57" s="180">
        <f ca="1">'SAC_IOF Ñ USAR'!A57</f>
        <v>38</v>
      </c>
      <c r="B57" s="179">
        <f ca="1">'SAC_IOF Ñ USAR'!B57</f>
        <v>45899</v>
      </c>
      <c r="C57" s="177">
        <f t="shared" ca="1" si="3"/>
        <v>889.99100827727909</v>
      </c>
      <c r="D57" s="24">
        <f t="shared" ca="1" si="10"/>
        <v>1563.8921997707803</v>
      </c>
      <c r="E57" s="177">
        <f t="shared" ca="1" si="4"/>
        <v>169098.29157268288</v>
      </c>
      <c r="F57" s="178">
        <f t="shared" ca="1" si="5"/>
        <v>35.697539342001633</v>
      </c>
      <c r="G57" s="178">
        <f t="shared" ca="1" si="6"/>
        <v>26.319999999999997</v>
      </c>
      <c r="H57" s="177">
        <f t="shared" ca="1" si="7"/>
        <v>25</v>
      </c>
      <c r="I57" s="25">
        <f t="shared" ca="1" si="8"/>
        <v>2540.900747390061</v>
      </c>
      <c r="J57" s="9" t="str">
        <f ca="1">'SAC_IOF Ñ USAR'!J57</f>
        <v/>
      </c>
      <c r="K57" s="9" t="str">
        <f ca="1">'SAC_IOF Ñ USAR'!K57</f>
        <v/>
      </c>
      <c r="L57" s="9">
        <f ca="1">'SAC_IOF Ñ USAR'!L57</f>
        <v>8</v>
      </c>
      <c r="N57" s="176">
        <f t="shared" ca="1" si="9"/>
        <v>31</v>
      </c>
      <c r="O57" s="176">
        <f t="shared" ca="1" si="11"/>
        <v>1179</v>
      </c>
      <c r="P57" s="175">
        <f t="shared" ca="1" si="0"/>
        <v>834.39144798065388</v>
      </c>
      <c r="Q57" s="11">
        <f t="shared" ca="1" si="1"/>
        <v>2.9930000000000002E-2</v>
      </c>
      <c r="R57" s="12">
        <f t="shared" ca="1" si="2"/>
        <v>24.973336038060971</v>
      </c>
      <c r="S57" s="513"/>
      <c r="U57">
        <f t="shared" ca="1" si="12"/>
        <v>2453.8832080480593</v>
      </c>
      <c r="V57" s="31">
        <f t="shared" ca="1" si="13"/>
        <v>2540.900747390061</v>
      </c>
    </row>
    <row r="58" spans="1:22">
      <c r="A58" s="180">
        <f ca="1">'SAC_IOF Ñ USAR'!A58</f>
        <v>39</v>
      </c>
      <c r="B58" s="179">
        <f ca="1">'SAC_IOF Ñ USAR'!B58</f>
        <v>45930</v>
      </c>
      <c r="C58" s="177">
        <f t="shared" ca="1" si="3"/>
        <v>889.99100827727909</v>
      </c>
      <c r="D58" s="24">
        <f t="shared" ca="1" si="10"/>
        <v>1555.7042824944933</v>
      </c>
      <c r="E58" s="177">
        <f t="shared" ca="1" si="4"/>
        <v>168208.3005644056</v>
      </c>
      <c r="F58" s="178">
        <f t="shared" ca="1" si="5"/>
        <v>35.510641230263403</v>
      </c>
      <c r="G58" s="178">
        <f t="shared" ca="1" si="6"/>
        <v>26.319999999999997</v>
      </c>
      <c r="H58" s="177">
        <f t="shared" ca="1" si="7"/>
        <v>25</v>
      </c>
      <c r="I58" s="25">
        <f t="shared" ca="1" si="8"/>
        <v>2532.5259320020359</v>
      </c>
      <c r="J58" s="9" t="str">
        <f ca="1">'SAC_IOF Ñ USAR'!J58</f>
        <v/>
      </c>
      <c r="K58" s="9" t="str">
        <f ca="1">'SAC_IOF Ñ USAR'!K58</f>
        <v/>
      </c>
      <c r="L58" s="9">
        <f ca="1">'SAC_IOF Ñ USAR'!L58</f>
        <v>9</v>
      </c>
      <c r="N58" s="176">
        <f t="shared" ca="1" si="9"/>
        <v>31</v>
      </c>
      <c r="O58" s="176">
        <f t="shared" ca="1" si="11"/>
        <v>1210</v>
      </c>
      <c r="P58" s="175">
        <f t="shared" ca="1" si="0"/>
        <v>834.39144798065388</v>
      </c>
      <c r="Q58" s="11">
        <f t="shared" ca="1" si="1"/>
        <v>2.9930000000000002E-2</v>
      </c>
      <c r="R58" s="12">
        <f t="shared" ca="1" si="2"/>
        <v>24.973336038060971</v>
      </c>
      <c r="S58" s="513"/>
      <c r="U58">
        <f t="shared" ca="1" si="12"/>
        <v>2445.6952907717723</v>
      </c>
      <c r="V58" s="31">
        <f t="shared" ca="1" si="13"/>
        <v>2532.5259320020359</v>
      </c>
    </row>
    <row r="59" spans="1:22">
      <c r="A59" s="180">
        <f ca="1">'SAC_IOF Ñ USAR'!A59</f>
        <v>40</v>
      </c>
      <c r="B59" s="179">
        <f ca="1">'SAC_IOF Ñ USAR'!B59</f>
        <v>45960</v>
      </c>
      <c r="C59" s="177">
        <f t="shared" ca="1" si="3"/>
        <v>889.99100827727909</v>
      </c>
      <c r="D59" s="24">
        <f t="shared" ca="1" si="10"/>
        <v>1547.5163652182064</v>
      </c>
      <c r="E59" s="177">
        <f t="shared" ca="1" si="4"/>
        <v>167318.30955612831</v>
      </c>
      <c r="F59" s="178">
        <f t="shared" ca="1" si="5"/>
        <v>35.323743118525179</v>
      </c>
      <c r="G59" s="178">
        <f t="shared" ca="1" si="6"/>
        <v>26.319999999999997</v>
      </c>
      <c r="H59" s="177">
        <f t="shared" ca="1" si="7"/>
        <v>25</v>
      </c>
      <c r="I59" s="25">
        <f t="shared" ca="1" si="8"/>
        <v>2524.1511166140108</v>
      </c>
      <c r="J59" s="9" t="str">
        <f ca="1">'SAC_IOF Ñ USAR'!J59</f>
        <v/>
      </c>
      <c r="K59" s="9" t="str">
        <f ca="1">'SAC_IOF Ñ USAR'!K59</f>
        <v/>
      </c>
      <c r="L59" s="9">
        <f ca="1">'SAC_IOF Ñ USAR'!L59</f>
        <v>10</v>
      </c>
      <c r="N59" s="176">
        <f t="shared" ca="1" si="9"/>
        <v>30</v>
      </c>
      <c r="O59" s="176">
        <f t="shared" ca="1" si="11"/>
        <v>1240</v>
      </c>
      <c r="P59" s="175">
        <f t="shared" ca="1" si="0"/>
        <v>834.39144798065388</v>
      </c>
      <c r="Q59" s="11">
        <f t="shared" ca="1" si="1"/>
        <v>2.9930000000000002E-2</v>
      </c>
      <c r="R59" s="12">
        <f t="shared" ca="1" si="2"/>
        <v>24.973336038060971</v>
      </c>
      <c r="S59" s="513"/>
      <c r="U59">
        <f t="shared" ca="1" si="12"/>
        <v>2437.5073734954854</v>
      </c>
      <c r="V59" s="31">
        <f t="shared" ca="1" si="13"/>
        <v>2524.1511166140108</v>
      </c>
    </row>
    <row r="60" spans="1:22">
      <c r="A60" s="180">
        <f ca="1">'SAC_IOF Ñ USAR'!A60</f>
        <v>41</v>
      </c>
      <c r="B60" s="179">
        <f ca="1">'SAC_IOF Ñ USAR'!B60</f>
        <v>45991</v>
      </c>
      <c r="C60" s="177">
        <f t="shared" ca="1" si="3"/>
        <v>889.99100827727909</v>
      </c>
      <c r="D60" s="24">
        <f t="shared" ca="1" si="10"/>
        <v>1539.3284479419196</v>
      </c>
      <c r="E60" s="177">
        <f t="shared" ca="1" si="4"/>
        <v>166428.31854785103</v>
      </c>
      <c r="F60" s="178">
        <f t="shared" ca="1" si="5"/>
        <v>35.136845006786949</v>
      </c>
      <c r="G60" s="178">
        <f t="shared" ca="1" si="6"/>
        <v>26.319999999999997</v>
      </c>
      <c r="H60" s="177">
        <f t="shared" ca="1" si="7"/>
        <v>25</v>
      </c>
      <c r="I60" s="25">
        <f t="shared" ca="1" si="8"/>
        <v>2515.7763012259861</v>
      </c>
      <c r="J60" s="9" t="str">
        <f ca="1">'SAC_IOF Ñ USAR'!J60</f>
        <v/>
      </c>
      <c r="K60" s="9" t="str">
        <f ca="1">'SAC_IOF Ñ USAR'!K60</f>
        <v/>
      </c>
      <c r="L60" s="9">
        <f ca="1">'SAC_IOF Ñ USAR'!L60</f>
        <v>11</v>
      </c>
      <c r="N60" s="176">
        <f t="shared" ca="1" si="9"/>
        <v>31</v>
      </c>
      <c r="O60" s="176">
        <f t="shared" ca="1" si="11"/>
        <v>1271</v>
      </c>
      <c r="P60" s="175">
        <f t="shared" ca="1" si="0"/>
        <v>834.39144798065388</v>
      </c>
      <c r="Q60" s="11">
        <f t="shared" ca="1" si="1"/>
        <v>2.9930000000000002E-2</v>
      </c>
      <c r="R60" s="12">
        <f t="shared" ca="1" si="2"/>
        <v>24.973336038060971</v>
      </c>
      <c r="S60" s="513"/>
      <c r="U60">
        <f t="shared" ca="1" si="12"/>
        <v>2429.3194562191989</v>
      </c>
      <c r="V60" s="31">
        <f t="shared" ca="1" si="13"/>
        <v>2515.7763012259861</v>
      </c>
    </row>
    <row r="61" spans="1:22">
      <c r="A61" s="180">
        <f ca="1">'SAC_IOF Ñ USAR'!A61</f>
        <v>42</v>
      </c>
      <c r="B61" s="179">
        <f ca="1">'SAC_IOF Ñ USAR'!B61</f>
        <v>46021</v>
      </c>
      <c r="C61" s="177">
        <f t="shared" ca="1" si="3"/>
        <v>889.99100827727909</v>
      </c>
      <c r="D61" s="24">
        <f t="shared" ca="1" si="10"/>
        <v>1531.1405306656327</v>
      </c>
      <c r="E61" s="177">
        <f t="shared" ca="1" si="4"/>
        <v>165538.32753957374</v>
      </c>
      <c r="F61" s="178">
        <f t="shared" ca="1" si="5"/>
        <v>34.949946895048718</v>
      </c>
      <c r="G61" s="178">
        <f t="shared" ca="1" si="6"/>
        <v>26.319999999999997</v>
      </c>
      <c r="H61" s="177">
        <f t="shared" ca="1" si="7"/>
        <v>25</v>
      </c>
      <c r="I61" s="25">
        <f t="shared" ca="1" si="8"/>
        <v>2507.401485837961</v>
      </c>
      <c r="J61" s="9" t="str">
        <f ca="1">'SAC_IOF Ñ USAR'!J61</f>
        <v/>
      </c>
      <c r="K61" s="9" t="str">
        <f ca="1">'SAC_IOF Ñ USAR'!K61</f>
        <v/>
      </c>
      <c r="L61" s="9">
        <f ca="1">'SAC_IOF Ñ USAR'!L61</f>
        <v>12</v>
      </c>
      <c r="N61" s="176">
        <f t="shared" ca="1" si="9"/>
        <v>30</v>
      </c>
      <c r="O61" s="176">
        <f t="shared" ca="1" si="11"/>
        <v>1301</v>
      </c>
      <c r="P61" s="175">
        <f t="shared" ca="1" si="0"/>
        <v>834.39144798065388</v>
      </c>
      <c r="Q61" s="11">
        <f t="shared" ca="1" si="1"/>
        <v>2.9930000000000002E-2</v>
      </c>
      <c r="R61" s="12">
        <f t="shared" ca="1" si="2"/>
        <v>24.973336038060971</v>
      </c>
      <c r="S61" s="513"/>
      <c r="U61">
        <f t="shared" ca="1" si="12"/>
        <v>2421.1315389429119</v>
      </c>
      <c r="V61" s="31">
        <f t="shared" ca="1" si="13"/>
        <v>2507.401485837961</v>
      </c>
    </row>
    <row r="62" spans="1:22">
      <c r="A62" s="180">
        <f ca="1">'SAC_IOF Ñ USAR'!A62</f>
        <v>43</v>
      </c>
      <c r="B62" s="179">
        <f ca="1">'SAC_IOF Ñ USAR'!B62</f>
        <v>46052</v>
      </c>
      <c r="C62" s="177">
        <f t="shared" ca="1" si="3"/>
        <v>889.99100827727909</v>
      </c>
      <c r="D62" s="24">
        <f t="shared" ca="1" si="10"/>
        <v>1522.952613389346</v>
      </c>
      <c r="E62" s="177">
        <f t="shared" ca="1" si="4"/>
        <v>164648.33653129646</v>
      </c>
      <c r="F62" s="178">
        <f t="shared" ca="1" si="5"/>
        <v>34.763048783310488</v>
      </c>
      <c r="G62" s="178">
        <f t="shared" ca="1" si="6"/>
        <v>26.319999999999997</v>
      </c>
      <c r="H62" s="177">
        <f t="shared" ca="1" si="7"/>
        <v>25</v>
      </c>
      <c r="I62" s="25">
        <f t="shared" ca="1" si="8"/>
        <v>2499.0266704499354</v>
      </c>
      <c r="J62" s="9" t="str">
        <f ca="1">'SAC_IOF Ñ USAR'!J62</f>
        <v/>
      </c>
      <c r="K62" s="9" t="str">
        <f ca="1">'SAC_IOF Ñ USAR'!K62</f>
        <v/>
      </c>
      <c r="L62" s="9">
        <f ca="1">'SAC_IOF Ñ USAR'!L62</f>
        <v>1</v>
      </c>
      <c r="N62" s="176">
        <f t="shared" ca="1" si="9"/>
        <v>31</v>
      </c>
      <c r="O62" s="176">
        <f t="shared" ca="1" si="11"/>
        <v>1332</v>
      </c>
      <c r="P62" s="175">
        <f t="shared" ca="1" si="0"/>
        <v>834.39144798065388</v>
      </c>
      <c r="Q62" s="11">
        <f t="shared" ca="1" si="1"/>
        <v>2.9930000000000002E-2</v>
      </c>
      <c r="R62" s="12">
        <f t="shared" ca="1" si="2"/>
        <v>24.973336038060971</v>
      </c>
      <c r="S62" s="513"/>
      <c r="U62">
        <f t="shared" ca="1" si="12"/>
        <v>2412.9436216666249</v>
      </c>
      <c r="V62" s="31">
        <f t="shared" ca="1" si="13"/>
        <v>2499.0266704499354</v>
      </c>
    </row>
    <row r="63" spans="1:22">
      <c r="A63" s="180">
        <f ca="1">'SAC_IOF Ñ USAR'!A63</f>
        <v>44</v>
      </c>
      <c r="B63" s="179">
        <f ca="1">'SAC_IOF Ñ USAR'!B63</f>
        <v>46081</v>
      </c>
      <c r="C63" s="177">
        <f t="shared" ca="1" si="3"/>
        <v>889.99100827727909</v>
      </c>
      <c r="D63" s="24">
        <f t="shared" ca="1" si="10"/>
        <v>1514.764696113059</v>
      </c>
      <c r="E63" s="177">
        <f t="shared" ca="1" si="4"/>
        <v>163758.34552301918</v>
      </c>
      <c r="F63" s="178">
        <f t="shared" ca="1" si="5"/>
        <v>34.576150671572258</v>
      </c>
      <c r="G63" s="178">
        <f t="shared" ca="1" si="6"/>
        <v>26.319999999999997</v>
      </c>
      <c r="H63" s="177">
        <f t="shared" ca="1" si="7"/>
        <v>25</v>
      </c>
      <c r="I63" s="25">
        <f t="shared" ca="1" si="8"/>
        <v>2490.6518550619103</v>
      </c>
      <c r="J63" s="9" t="str">
        <f ca="1">'SAC_IOF Ñ USAR'!J63</f>
        <v/>
      </c>
      <c r="K63" s="9" t="str">
        <f ca="1">'SAC_IOF Ñ USAR'!K63</f>
        <v/>
      </c>
      <c r="L63" s="9">
        <f ca="1">'SAC_IOF Ñ USAR'!L63</f>
        <v>2</v>
      </c>
      <c r="N63" s="176">
        <f t="shared" ca="1" si="9"/>
        <v>29</v>
      </c>
      <c r="O63" s="176">
        <f t="shared" ca="1" si="11"/>
        <v>1361</v>
      </c>
      <c r="P63" s="175">
        <f t="shared" ca="1" si="0"/>
        <v>834.39144798065388</v>
      </c>
      <c r="Q63" s="11">
        <f t="shared" ca="1" si="1"/>
        <v>2.9930000000000002E-2</v>
      </c>
      <c r="R63" s="12">
        <f t="shared" ca="1" si="2"/>
        <v>24.973336038060971</v>
      </c>
      <c r="S63" s="513"/>
      <c r="U63">
        <f t="shared" ca="1" si="12"/>
        <v>2404.755704390338</v>
      </c>
      <c r="V63" s="31">
        <f t="shared" ca="1" si="13"/>
        <v>2490.6518550619103</v>
      </c>
    </row>
    <row r="64" spans="1:22">
      <c r="A64" s="180">
        <f ca="1">'SAC_IOF Ñ USAR'!A64</f>
        <v>45</v>
      </c>
      <c r="B64" s="179">
        <f ca="1">'SAC_IOF Ñ USAR'!B64</f>
        <v>46111</v>
      </c>
      <c r="C64" s="177">
        <f t="shared" ca="1" si="3"/>
        <v>889.99100827727909</v>
      </c>
      <c r="D64" s="24">
        <f t="shared" ca="1" si="10"/>
        <v>1506.5767788367723</v>
      </c>
      <c r="E64" s="177">
        <f t="shared" ca="1" si="4"/>
        <v>162868.35451474189</v>
      </c>
      <c r="F64" s="178">
        <f t="shared" ca="1" si="5"/>
        <v>34.389252559834027</v>
      </c>
      <c r="G64" s="178">
        <f t="shared" ca="1" si="6"/>
        <v>26.319999999999997</v>
      </c>
      <c r="H64" s="177">
        <f t="shared" ca="1" si="7"/>
        <v>25</v>
      </c>
      <c r="I64" s="25">
        <f t="shared" ca="1" si="8"/>
        <v>2482.2770396738856</v>
      </c>
      <c r="J64" s="9" t="str">
        <f ca="1">'SAC_IOF Ñ USAR'!J64</f>
        <v/>
      </c>
      <c r="K64" s="9" t="str">
        <f ca="1">'SAC_IOF Ñ USAR'!K64</f>
        <v/>
      </c>
      <c r="L64" s="9">
        <f ca="1">'SAC_IOF Ñ USAR'!L64</f>
        <v>3</v>
      </c>
      <c r="N64" s="176">
        <f t="shared" ca="1" si="9"/>
        <v>30</v>
      </c>
      <c r="O64" s="176">
        <f t="shared" ca="1" si="11"/>
        <v>1391</v>
      </c>
      <c r="P64" s="175">
        <f t="shared" ca="1" si="0"/>
        <v>834.39144798065388</v>
      </c>
      <c r="Q64" s="11">
        <f t="shared" ca="1" si="1"/>
        <v>2.9930000000000002E-2</v>
      </c>
      <c r="R64" s="12">
        <f t="shared" ca="1" si="2"/>
        <v>24.973336038060971</v>
      </c>
      <c r="S64" s="513"/>
      <c r="U64">
        <f t="shared" ca="1" si="12"/>
        <v>2396.5677871140515</v>
      </c>
      <c r="V64" s="31">
        <f t="shared" ca="1" si="13"/>
        <v>2482.2770396738856</v>
      </c>
    </row>
    <row r="65" spans="1:22">
      <c r="A65" s="180">
        <f ca="1">'SAC_IOF Ñ USAR'!A65</f>
        <v>46</v>
      </c>
      <c r="B65" s="179">
        <f ca="1">'SAC_IOF Ñ USAR'!B65</f>
        <v>46142</v>
      </c>
      <c r="C65" s="177">
        <f t="shared" ca="1" si="3"/>
        <v>889.99100827727909</v>
      </c>
      <c r="D65" s="24">
        <f t="shared" ca="1" si="10"/>
        <v>1498.3888615604853</v>
      </c>
      <c r="E65" s="177">
        <f t="shared" ca="1" si="4"/>
        <v>161978.36350646461</v>
      </c>
      <c r="F65" s="178">
        <f t="shared" ca="1" si="5"/>
        <v>34.202354448095797</v>
      </c>
      <c r="G65" s="178">
        <f t="shared" ca="1" si="6"/>
        <v>26.319999999999997</v>
      </c>
      <c r="H65" s="177">
        <f t="shared" ca="1" si="7"/>
        <v>25</v>
      </c>
      <c r="I65" s="25">
        <f t="shared" ca="1" si="8"/>
        <v>2473.9022242858605</v>
      </c>
      <c r="J65" s="9" t="str">
        <f ca="1">'SAC_IOF Ñ USAR'!J65</f>
        <v/>
      </c>
      <c r="K65" s="9" t="str">
        <f ca="1">'SAC_IOF Ñ USAR'!K65</f>
        <v/>
      </c>
      <c r="L65" s="9">
        <f ca="1">'SAC_IOF Ñ USAR'!L65</f>
        <v>4</v>
      </c>
      <c r="N65" s="176">
        <f t="shared" ca="1" si="9"/>
        <v>31</v>
      </c>
      <c r="O65" s="176">
        <f t="shared" ca="1" si="11"/>
        <v>1422</v>
      </c>
      <c r="P65" s="175">
        <f t="shared" ca="1" si="0"/>
        <v>834.39144798065388</v>
      </c>
      <c r="Q65" s="11">
        <f t="shared" ca="1" si="1"/>
        <v>2.9930000000000002E-2</v>
      </c>
      <c r="R65" s="12">
        <f t="shared" ca="1" si="2"/>
        <v>24.973336038060971</v>
      </c>
      <c r="S65" s="513"/>
      <c r="U65">
        <f t="shared" ca="1" si="12"/>
        <v>2388.3798698377645</v>
      </c>
      <c r="V65" s="31">
        <f t="shared" ca="1" si="13"/>
        <v>2473.9022242858605</v>
      </c>
    </row>
    <row r="66" spans="1:22">
      <c r="A66" s="180">
        <f ca="1">'SAC_IOF Ñ USAR'!A66</f>
        <v>47</v>
      </c>
      <c r="B66" s="179">
        <f ca="1">'SAC_IOF Ñ USAR'!B66</f>
        <v>46172</v>
      </c>
      <c r="C66" s="177">
        <f t="shared" ca="1" si="3"/>
        <v>889.99100827727909</v>
      </c>
      <c r="D66" s="24">
        <f t="shared" ca="1" si="10"/>
        <v>1490.2009442841984</v>
      </c>
      <c r="E66" s="177">
        <f t="shared" ca="1" si="4"/>
        <v>161088.37249818732</v>
      </c>
      <c r="F66" s="178">
        <f t="shared" ca="1" si="5"/>
        <v>34.015456336357566</v>
      </c>
      <c r="G66" s="178">
        <f t="shared" ca="1" si="6"/>
        <v>26.319999999999997</v>
      </c>
      <c r="H66" s="177">
        <f t="shared" ca="1" si="7"/>
        <v>25</v>
      </c>
      <c r="I66" s="25">
        <f t="shared" ca="1" si="8"/>
        <v>2465.5274088978354</v>
      </c>
      <c r="J66" s="9" t="str">
        <f ca="1">'SAC_IOF Ñ USAR'!J66</f>
        <v/>
      </c>
      <c r="K66" s="9" t="str">
        <f ca="1">'SAC_IOF Ñ USAR'!K66</f>
        <v/>
      </c>
      <c r="L66" s="9">
        <f ca="1">'SAC_IOF Ñ USAR'!L66</f>
        <v>5</v>
      </c>
      <c r="N66" s="176">
        <f t="shared" ca="1" si="9"/>
        <v>30</v>
      </c>
      <c r="O66" s="176">
        <f t="shared" ca="1" si="11"/>
        <v>1452</v>
      </c>
      <c r="P66" s="175">
        <f t="shared" ca="1" si="0"/>
        <v>834.39144798065388</v>
      </c>
      <c r="Q66" s="11">
        <f t="shared" ca="1" si="1"/>
        <v>2.9930000000000002E-2</v>
      </c>
      <c r="R66" s="12">
        <f t="shared" ca="1" si="2"/>
        <v>24.973336038060971</v>
      </c>
      <c r="S66" s="513"/>
      <c r="U66">
        <f t="shared" ca="1" si="12"/>
        <v>2380.1919525614776</v>
      </c>
      <c r="V66" s="31">
        <f t="shared" ca="1" si="13"/>
        <v>2465.5274088978354</v>
      </c>
    </row>
    <row r="67" spans="1:22">
      <c r="A67" s="180">
        <f ca="1">'SAC_IOF Ñ USAR'!A67</f>
        <v>48</v>
      </c>
      <c r="B67" s="179">
        <f ca="1">'SAC_IOF Ñ USAR'!B67</f>
        <v>46203</v>
      </c>
      <c r="C67" s="177">
        <f t="shared" ca="1" si="3"/>
        <v>889.99100827727909</v>
      </c>
      <c r="D67" s="24">
        <f t="shared" ca="1" si="10"/>
        <v>1482.0130270079117</v>
      </c>
      <c r="E67" s="177">
        <f t="shared" ca="1" si="4"/>
        <v>160198.38148991004</v>
      </c>
      <c r="F67" s="178">
        <f t="shared" ca="1" si="5"/>
        <v>33.828558224619343</v>
      </c>
      <c r="G67" s="178">
        <f t="shared" ca="1" si="6"/>
        <v>26.319999999999997</v>
      </c>
      <c r="H67" s="177">
        <f t="shared" ca="1" si="7"/>
        <v>25</v>
      </c>
      <c r="I67" s="25">
        <f t="shared" ca="1" si="8"/>
        <v>2457.1525935098102</v>
      </c>
      <c r="J67" s="9" t="str">
        <f ca="1">'SAC_IOF Ñ USAR'!J67</f>
        <v/>
      </c>
      <c r="K67" s="9" t="str">
        <f ca="1">'SAC_IOF Ñ USAR'!K67</f>
        <v/>
      </c>
      <c r="L67" s="9">
        <f ca="1">'SAC_IOF Ñ USAR'!L67</f>
        <v>6</v>
      </c>
      <c r="N67" s="176">
        <f t="shared" ca="1" si="9"/>
        <v>31</v>
      </c>
      <c r="O67" s="176">
        <f t="shared" ca="1" si="11"/>
        <v>1483</v>
      </c>
      <c r="P67" s="175">
        <f t="shared" ca="1" si="0"/>
        <v>834.39144798065388</v>
      </c>
      <c r="Q67" s="11">
        <f t="shared" ca="1" si="1"/>
        <v>2.9930000000000002E-2</v>
      </c>
      <c r="R67" s="12">
        <f t="shared" ca="1" si="2"/>
        <v>24.973336038060971</v>
      </c>
      <c r="S67" s="513"/>
      <c r="U67">
        <f t="shared" ca="1" si="12"/>
        <v>2372.0040352851906</v>
      </c>
      <c r="V67" s="31">
        <f t="shared" ca="1" si="13"/>
        <v>2457.1525935098102</v>
      </c>
    </row>
    <row r="68" spans="1:22">
      <c r="A68" s="180">
        <f ca="1">'SAC_IOF Ñ USAR'!A68</f>
        <v>49</v>
      </c>
      <c r="B68" s="179">
        <f ca="1">'SAC_IOF Ñ USAR'!B68</f>
        <v>46233</v>
      </c>
      <c r="C68" s="177">
        <f t="shared" ca="1" si="3"/>
        <v>889.99100827727909</v>
      </c>
      <c r="D68" s="24">
        <f t="shared" ca="1" si="10"/>
        <v>1473.8251097316247</v>
      </c>
      <c r="E68" s="177">
        <f t="shared" ca="1" si="4"/>
        <v>159308.39048163276</v>
      </c>
      <c r="F68" s="178">
        <f t="shared" ca="1" si="5"/>
        <v>33.641660112881112</v>
      </c>
      <c r="G68" s="178">
        <f t="shared" ca="1" si="6"/>
        <v>26.319999999999997</v>
      </c>
      <c r="H68" s="177">
        <f t="shared" ca="1" si="7"/>
        <v>25</v>
      </c>
      <c r="I68" s="25">
        <f t="shared" ca="1" si="8"/>
        <v>2448.7777781217851</v>
      </c>
      <c r="J68" s="9" t="str">
        <f ca="1">'SAC_IOF Ñ USAR'!J68</f>
        <v/>
      </c>
      <c r="K68" s="9" t="str">
        <f ca="1">'SAC_IOF Ñ USAR'!K68</f>
        <v/>
      </c>
      <c r="L68" s="9">
        <f ca="1">'SAC_IOF Ñ USAR'!L68</f>
        <v>7</v>
      </c>
      <c r="N68" s="176">
        <f t="shared" ca="1" si="9"/>
        <v>30</v>
      </c>
      <c r="O68" s="176">
        <f t="shared" ca="1" si="11"/>
        <v>1513</v>
      </c>
      <c r="P68" s="175">
        <f t="shared" ca="1" si="0"/>
        <v>834.39144798065388</v>
      </c>
      <c r="Q68" s="11">
        <f t="shared" ca="1" si="1"/>
        <v>2.9930000000000002E-2</v>
      </c>
      <c r="R68" s="12">
        <f t="shared" ca="1" si="2"/>
        <v>24.973336038060971</v>
      </c>
      <c r="S68" s="513"/>
      <c r="U68">
        <f t="shared" ca="1" si="12"/>
        <v>2363.8161180089037</v>
      </c>
      <c r="V68" s="31">
        <f t="shared" ca="1" si="13"/>
        <v>2448.7777781217851</v>
      </c>
    </row>
    <row r="69" spans="1:22">
      <c r="A69" s="180">
        <f ca="1">'SAC_IOF Ñ USAR'!A69</f>
        <v>50</v>
      </c>
      <c r="B69" s="179">
        <f ca="1">'SAC_IOF Ñ USAR'!B69</f>
        <v>46264</v>
      </c>
      <c r="C69" s="177">
        <f t="shared" ca="1" si="3"/>
        <v>889.99100827727909</v>
      </c>
      <c r="D69" s="24">
        <f t="shared" ca="1" si="10"/>
        <v>1465.637192455338</v>
      </c>
      <c r="E69" s="177">
        <f t="shared" ca="1" si="4"/>
        <v>158418.39947335547</v>
      </c>
      <c r="F69" s="178">
        <f t="shared" ca="1" si="5"/>
        <v>33.454762001142882</v>
      </c>
      <c r="G69" s="178">
        <f t="shared" ca="1" si="6"/>
        <v>26.319999999999997</v>
      </c>
      <c r="H69" s="177">
        <f t="shared" ca="1" si="7"/>
        <v>25</v>
      </c>
      <c r="I69" s="25">
        <f t="shared" ca="1" si="8"/>
        <v>2440.4029627337604</v>
      </c>
      <c r="J69" s="9" t="str">
        <f ca="1">'SAC_IOF Ñ USAR'!J69</f>
        <v/>
      </c>
      <c r="K69" s="9" t="str">
        <f ca="1">'SAC_IOF Ñ USAR'!K69</f>
        <v/>
      </c>
      <c r="L69" s="9">
        <f ca="1">'SAC_IOF Ñ USAR'!L69</f>
        <v>8</v>
      </c>
      <c r="N69" s="176">
        <f t="shared" ca="1" si="9"/>
        <v>31</v>
      </c>
      <c r="O69" s="176">
        <f t="shared" ca="1" si="11"/>
        <v>1544</v>
      </c>
      <c r="P69" s="175">
        <f t="shared" ca="1" si="0"/>
        <v>834.39144798065388</v>
      </c>
      <c r="Q69" s="11">
        <f t="shared" ca="1" si="1"/>
        <v>2.9930000000000002E-2</v>
      </c>
      <c r="R69" s="12">
        <f t="shared" ca="1" si="2"/>
        <v>24.973336038060971</v>
      </c>
      <c r="S69" s="513"/>
      <c r="U69">
        <f t="shared" ca="1" si="12"/>
        <v>2355.6282007326172</v>
      </c>
      <c r="V69" s="31">
        <f t="shared" ca="1" si="13"/>
        <v>2440.4029627337604</v>
      </c>
    </row>
    <row r="70" spans="1:22">
      <c r="A70" s="180">
        <f ca="1">'SAC_IOF Ñ USAR'!A70</f>
        <v>51</v>
      </c>
      <c r="B70" s="179">
        <f ca="1">'SAC_IOF Ñ USAR'!B70</f>
        <v>46295</v>
      </c>
      <c r="C70" s="177">
        <f t="shared" ca="1" si="3"/>
        <v>889.99100827727909</v>
      </c>
      <c r="D70" s="24">
        <f t="shared" ca="1" si="10"/>
        <v>1457.449275179051</v>
      </c>
      <c r="E70" s="177">
        <f t="shared" ca="1" si="4"/>
        <v>157528.40846507819</v>
      </c>
      <c r="F70" s="178">
        <f t="shared" ca="1" si="5"/>
        <v>33.267863889404651</v>
      </c>
      <c r="G70" s="178">
        <f t="shared" ca="1" si="6"/>
        <v>26.319999999999997</v>
      </c>
      <c r="H70" s="177">
        <f t="shared" ca="1" si="7"/>
        <v>25</v>
      </c>
      <c r="I70" s="25">
        <f t="shared" ca="1" si="8"/>
        <v>2432.0281473457349</v>
      </c>
      <c r="J70" s="9" t="str">
        <f ca="1">'SAC_IOF Ñ USAR'!J70</f>
        <v/>
      </c>
      <c r="K70" s="9" t="str">
        <f ca="1">'SAC_IOF Ñ USAR'!K70</f>
        <v/>
      </c>
      <c r="L70" s="9">
        <f ca="1">'SAC_IOF Ñ USAR'!L70</f>
        <v>9</v>
      </c>
      <c r="N70" s="176">
        <f t="shared" ca="1" si="9"/>
        <v>31</v>
      </c>
      <c r="O70" s="176">
        <f t="shared" ca="1" si="11"/>
        <v>1575</v>
      </c>
      <c r="P70" s="175">
        <f t="shared" ca="1" si="0"/>
        <v>834.39144798065388</v>
      </c>
      <c r="Q70" s="11">
        <f t="shared" ca="1" si="1"/>
        <v>2.9930000000000002E-2</v>
      </c>
      <c r="R70" s="12">
        <f t="shared" ca="1" si="2"/>
        <v>24.973336038060971</v>
      </c>
      <c r="S70" s="513"/>
      <c r="U70">
        <f t="shared" ca="1" si="12"/>
        <v>2347.4402834563302</v>
      </c>
      <c r="V70" s="31">
        <f t="shared" ca="1" si="13"/>
        <v>2432.0281473457349</v>
      </c>
    </row>
    <row r="71" spans="1:22">
      <c r="A71" s="180">
        <f ca="1">'SAC_IOF Ñ USAR'!A71</f>
        <v>52</v>
      </c>
      <c r="B71" s="179">
        <f ca="1">'SAC_IOF Ñ USAR'!B71</f>
        <v>46325</v>
      </c>
      <c r="C71" s="177">
        <f t="shared" ca="1" si="3"/>
        <v>889.99100827727909</v>
      </c>
      <c r="D71" s="24">
        <f t="shared" ca="1" si="10"/>
        <v>1449.2613579027641</v>
      </c>
      <c r="E71" s="177">
        <f t="shared" ca="1" si="4"/>
        <v>156638.4174568009</v>
      </c>
      <c r="F71" s="178">
        <f t="shared" ca="1" si="5"/>
        <v>33.080965777666421</v>
      </c>
      <c r="G71" s="178">
        <f t="shared" ca="1" si="6"/>
        <v>26.319999999999997</v>
      </c>
      <c r="H71" s="177">
        <f t="shared" ca="1" si="7"/>
        <v>25</v>
      </c>
      <c r="I71" s="25">
        <f t="shared" ca="1" si="8"/>
        <v>2423.6533319577097</v>
      </c>
      <c r="J71" s="9" t="str">
        <f ca="1">'SAC_IOF Ñ USAR'!J71</f>
        <v/>
      </c>
      <c r="K71" s="9" t="str">
        <f ca="1">'SAC_IOF Ñ USAR'!K71</f>
        <v/>
      </c>
      <c r="L71" s="9">
        <f ca="1">'SAC_IOF Ñ USAR'!L71</f>
        <v>10</v>
      </c>
      <c r="N71" s="176">
        <f t="shared" ca="1" si="9"/>
        <v>30</v>
      </c>
      <c r="O71" s="176">
        <f t="shared" ca="1" si="11"/>
        <v>1605</v>
      </c>
      <c r="P71" s="175">
        <f t="shared" ca="1" si="0"/>
        <v>834.39144798065388</v>
      </c>
      <c r="Q71" s="11">
        <f t="shared" ca="1" si="1"/>
        <v>2.9930000000000002E-2</v>
      </c>
      <c r="R71" s="12">
        <f t="shared" ca="1" si="2"/>
        <v>24.973336038060971</v>
      </c>
      <c r="S71" s="513"/>
      <c r="U71">
        <f t="shared" ca="1" si="12"/>
        <v>2339.2523661800433</v>
      </c>
      <c r="V71" s="31">
        <f t="shared" ca="1" si="13"/>
        <v>2423.6533319577097</v>
      </c>
    </row>
    <row r="72" spans="1:22">
      <c r="A72" s="180">
        <f ca="1">'SAC_IOF Ñ USAR'!A72</f>
        <v>53</v>
      </c>
      <c r="B72" s="179">
        <f ca="1">'SAC_IOF Ñ USAR'!B72</f>
        <v>46356</v>
      </c>
      <c r="C72" s="177">
        <f t="shared" ca="1" si="3"/>
        <v>889.99100827727909</v>
      </c>
      <c r="D72" s="24">
        <f t="shared" ca="1" si="10"/>
        <v>1441.0734406264773</v>
      </c>
      <c r="E72" s="177">
        <f t="shared" ca="1" si="4"/>
        <v>155748.42644852362</v>
      </c>
      <c r="F72" s="178">
        <f t="shared" ca="1" si="5"/>
        <v>32.894067665928191</v>
      </c>
      <c r="G72" s="178">
        <f t="shared" ca="1" si="6"/>
        <v>26.319999999999997</v>
      </c>
      <c r="H72" s="177">
        <f t="shared" ca="1" si="7"/>
        <v>25</v>
      </c>
      <c r="I72" s="25">
        <f t="shared" ca="1" si="8"/>
        <v>2415.2785165696846</v>
      </c>
      <c r="J72" s="9" t="str">
        <f ca="1">'SAC_IOF Ñ USAR'!J72</f>
        <v/>
      </c>
      <c r="K72" s="9" t="str">
        <f ca="1">'SAC_IOF Ñ USAR'!K72</f>
        <v/>
      </c>
      <c r="L72" s="9">
        <f ca="1">'SAC_IOF Ñ USAR'!L72</f>
        <v>11</v>
      </c>
      <c r="N72" s="176">
        <f t="shared" ca="1" si="9"/>
        <v>31</v>
      </c>
      <c r="O72" s="176">
        <f t="shared" ca="1" si="11"/>
        <v>1636</v>
      </c>
      <c r="P72" s="175">
        <f t="shared" ca="1" si="0"/>
        <v>834.39144798065388</v>
      </c>
      <c r="Q72" s="11">
        <f t="shared" ca="1" si="1"/>
        <v>2.9930000000000002E-2</v>
      </c>
      <c r="R72" s="12">
        <f t="shared" ca="1" si="2"/>
        <v>24.973336038060971</v>
      </c>
      <c r="S72" s="513"/>
      <c r="U72">
        <f t="shared" ca="1" si="12"/>
        <v>2331.0644489037563</v>
      </c>
      <c r="V72" s="31">
        <f t="shared" ca="1" si="13"/>
        <v>2415.2785165696846</v>
      </c>
    </row>
    <row r="73" spans="1:22">
      <c r="A73" s="180">
        <f ca="1">'SAC_IOF Ñ USAR'!A73</f>
        <v>54</v>
      </c>
      <c r="B73" s="179">
        <f ca="1">'SAC_IOF Ñ USAR'!B73</f>
        <v>46386</v>
      </c>
      <c r="C73" s="177">
        <f t="shared" ca="1" si="3"/>
        <v>889.99100827727909</v>
      </c>
      <c r="D73" s="24">
        <f t="shared" ca="1" si="10"/>
        <v>1432.8855233501904</v>
      </c>
      <c r="E73" s="177">
        <f t="shared" ca="1" si="4"/>
        <v>154858.43544024634</v>
      </c>
      <c r="F73" s="178">
        <f t="shared" ca="1" si="5"/>
        <v>32.70716955418996</v>
      </c>
      <c r="G73" s="178">
        <f t="shared" ca="1" si="6"/>
        <v>26.319999999999997</v>
      </c>
      <c r="H73" s="177">
        <f t="shared" ca="1" si="7"/>
        <v>25</v>
      </c>
      <c r="I73" s="25">
        <f t="shared" ca="1" si="8"/>
        <v>2406.9037011816595</v>
      </c>
      <c r="J73" s="9" t="str">
        <f ca="1">'SAC_IOF Ñ USAR'!J73</f>
        <v/>
      </c>
      <c r="K73" s="9" t="str">
        <f ca="1">'SAC_IOF Ñ USAR'!K73</f>
        <v/>
      </c>
      <c r="L73" s="9">
        <f ca="1">'SAC_IOF Ñ USAR'!L73</f>
        <v>12</v>
      </c>
      <c r="N73" s="176">
        <f t="shared" ca="1" si="9"/>
        <v>30</v>
      </c>
      <c r="O73" s="176">
        <f t="shared" ca="1" si="11"/>
        <v>1666</v>
      </c>
      <c r="P73" s="175">
        <f t="shared" ca="1" si="0"/>
        <v>834.39144798065388</v>
      </c>
      <c r="Q73" s="11">
        <f t="shared" ca="1" si="1"/>
        <v>2.9930000000000002E-2</v>
      </c>
      <c r="R73" s="12">
        <f t="shared" ca="1" si="2"/>
        <v>24.973336038060971</v>
      </c>
      <c r="S73" s="513"/>
      <c r="U73">
        <f t="shared" ca="1" si="12"/>
        <v>2322.8765316274694</v>
      </c>
      <c r="V73" s="31">
        <f t="shared" ca="1" si="13"/>
        <v>2406.9037011816595</v>
      </c>
    </row>
    <row r="74" spans="1:22">
      <c r="A74" s="180">
        <f ca="1">'SAC_IOF Ñ USAR'!A74</f>
        <v>55</v>
      </c>
      <c r="B74" s="179">
        <f ca="1">'SAC_IOF Ñ USAR'!B74</f>
        <v>46417</v>
      </c>
      <c r="C74" s="177">
        <f t="shared" ca="1" si="3"/>
        <v>889.99100827727909</v>
      </c>
      <c r="D74" s="24">
        <f t="shared" ca="1" si="10"/>
        <v>1424.6976060739037</v>
      </c>
      <c r="E74" s="177">
        <f t="shared" ca="1" si="4"/>
        <v>153968.44443196905</v>
      </c>
      <c r="F74" s="178">
        <f t="shared" ca="1" si="5"/>
        <v>32.52027144245173</v>
      </c>
      <c r="G74" s="178">
        <f t="shared" ca="1" si="6"/>
        <v>26.319999999999997</v>
      </c>
      <c r="H74" s="177">
        <f t="shared" ca="1" si="7"/>
        <v>25</v>
      </c>
      <c r="I74" s="25">
        <f t="shared" ca="1" si="8"/>
        <v>2398.5288857936348</v>
      </c>
      <c r="J74" s="9" t="str">
        <f ca="1">'SAC_IOF Ñ USAR'!J74</f>
        <v/>
      </c>
      <c r="K74" s="9" t="str">
        <f ca="1">'SAC_IOF Ñ USAR'!K74</f>
        <v/>
      </c>
      <c r="L74" s="9">
        <f ca="1">'SAC_IOF Ñ USAR'!L74</f>
        <v>1</v>
      </c>
      <c r="N74" s="176">
        <f t="shared" ca="1" si="9"/>
        <v>31</v>
      </c>
      <c r="O74" s="176">
        <f t="shared" ca="1" si="11"/>
        <v>1697</v>
      </c>
      <c r="P74" s="175">
        <f t="shared" ca="1" si="0"/>
        <v>834.39144798065388</v>
      </c>
      <c r="Q74" s="11">
        <f t="shared" ca="1" si="1"/>
        <v>2.9930000000000002E-2</v>
      </c>
      <c r="R74" s="12">
        <f t="shared" ca="1" si="2"/>
        <v>24.973336038060971</v>
      </c>
      <c r="S74" s="513"/>
      <c r="U74">
        <f t="shared" ca="1" si="12"/>
        <v>2314.6886143511829</v>
      </c>
      <c r="V74" s="31">
        <f t="shared" ca="1" si="13"/>
        <v>2398.5288857936348</v>
      </c>
    </row>
    <row r="75" spans="1:22">
      <c r="A75" s="180">
        <f ca="1">'SAC_IOF Ñ USAR'!A75</f>
        <v>56</v>
      </c>
      <c r="B75" s="179">
        <f ca="1">'SAC_IOF Ñ USAR'!B75</f>
        <v>46446</v>
      </c>
      <c r="C75" s="177">
        <f t="shared" ca="1" si="3"/>
        <v>889.99100827727909</v>
      </c>
      <c r="D75" s="24">
        <f t="shared" ca="1" si="10"/>
        <v>1416.5096887976167</v>
      </c>
      <c r="E75" s="177">
        <f t="shared" ca="1" si="4"/>
        <v>153078.45342369177</v>
      </c>
      <c r="F75" s="178">
        <f t="shared" ca="1" si="5"/>
        <v>32.333373330713499</v>
      </c>
      <c r="G75" s="178">
        <f t="shared" ca="1" si="6"/>
        <v>26.319999999999997</v>
      </c>
      <c r="H75" s="177">
        <f t="shared" ca="1" si="7"/>
        <v>25</v>
      </c>
      <c r="I75" s="25">
        <f t="shared" ca="1" si="8"/>
        <v>2390.1540704056097</v>
      </c>
      <c r="J75" s="9" t="str">
        <f ca="1">'SAC_IOF Ñ USAR'!J75</f>
        <v/>
      </c>
      <c r="K75" s="9" t="str">
        <f ca="1">'SAC_IOF Ñ USAR'!K75</f>
        <v/>
      </c>
      <c r="L75" s="9">
        <f ca="1">'SAC_IOF Ñ USAR'!L75</f>
        <v>2</v>
      </c>
      <c r="N75" s="176">
        <f t="shared" ca="1" si="9"/>
        <v>29</v>
      </c>
      <c r="O75" s="176">
        <f t="shared" ca="1" si="11"/>
        <v>1726</v>
      </c>
      <c r="P75" s="175">
        <f t="shared" ca="1" si="0"/>
        <v>834.39144798065388</v>
      </c>
      <c r="Q75" s="11">
        <f t="shared" ca="1" si="1"/>
        <v>2.9930000000000002E-2</v>
      </c>
      <c r="R75" s="12">
        <f t="shared" ca="1" si="2"/>
        <v>24.973336038060971</v>
      </c>
      <c r="S75" s="513"/>
      <c r="U75">
        <f t="shared" ca="1" si="12"/>
        <v>2306.5006970748959</v>
      </c>
      <c r="V75" s="31">
        <f t="shared" ca="1" si="13"/>
        <v>2390.1540704056097</v>
      </c>
    </row>
    <row r="76" spans="1:22">
      <c r="A76" s="180">
        <f ca="1">'SAC_IOF Ñ USAR'!A76</f>
        <v>57</v>
      </c>
      <c r="B76" s="179">
        <f ca="1">'SAC_IOF Ñ USAR'!B76</f>
        <v>46476</v>
      </c>
      <c r="C76" s="177">
        <f t="shared" ca="1" si="3"/>
        <v>889.99100827727909</v>
      </c>
      <c r="D76" s="24">
        <f t="shared" ca="1" si="10"/>
        <v>1408.32177152133</v>
      </c>
      <c r="E76" s="177">
        <f t="shared" ca="1" si="4"/>
        <v>152188.46241541448</v>
      </c>
      <c r="F76" s="178">
        <f t="shared" ca="1" si="5"/>
        <v>32.146475218975276</v>
      </c>
      <c r="G76" s="178">
        <f t="shared" ca="1" si="6"/>
        <v>26.319999999999997</v>
      </c>
      <c r="H76" s="177">
        <f t="shared" ca="1" si="7"/>
        <v>25</v>
      </c>
      <c r="I76" s="25">
        <f t="shared" ca="1" si="8"/>
        <v>2381.7792550175845</v>
      </c>
      <c r="J76" s="9" t="str">
        <f ca="1">'SAC_IOF Ñ USAR'!J76</f>
        <v/>
      </c>
      <c r="K76" s="9" t="str">
        <f ca="1">'SAC_IOF Ñ USAR'!K76</f>
        <v/>
      </c>
      <c r="L76" s="9">
        <f ca="1">'SAC_IOF Ñ USAR'!L76</f>
        <v>3</v>
      </c>
      <c r="N76" s="176">
        <f t="shared" ca="1" si="9"/>
        <v>30</v>
      </c>
      <c r="O76" s="176">
        <f t="shared" ca="1" si="11"/>
        <v>1756</v>
      </c>
      <c r="P76" s="175">
        <f t="shared" ca="1" si="0"/>
        <v>834.39144798065388</v>
      </c>
      <c r="Q76" s="11">
        <f t="shared" ca="1" si="1"/>
        <v>2.9930000000000002E-2</v>
      </c>
      <c r="R76" s="12">
        <f t="shared" ca="1" si="2"/>
        <v>24.973336038060971</v>
      </c>
      <c r="S76" s="513"/>
      <c r="U76">
        <f t="shared" ca="1" si="12"/>
        <v>2298.312779798609</v>
      </c>
      <c r="V76" s="31">
        <f t="shared" ca="1" si="13"/>
        <v>2381.7792550175845</v>
      </c>
    </row>
    <row r="77" spans="1:22">
      <c r="A77" s="180">
        <f ca="1">'SAC_IOF Ñ USAR'!A77</f>
        <v>58</v>
      </c>
      <c r="B77" s="179">
        <f ca="1">'SAC_IOF Ñ USAR'!B77</f>
        <v>46507</v>
      </c>
      <c r="C77" s="177">
        <f t="shared" ca="1" si="3"/>
        <v>889.99100827727909</v>
      </c>
      <c r="D77" s="24">
        <f t="shared" ca="1" si="10"/>
        <v>1400.133854245043</v>
      </c>
      <c r="E77" s="177">
        <f t="shared" ca="1" si="4"/>
        <v>151298.4714071372</v>
      </c>
      <c r="F77" s="178">
        <f t="shared" ca="1" si="5"/>
        <v>31.959577107237042</v>
      </c>
      <c r="G77" s="178">
        <f t="shared" ca="1" si="6"/>
        <v>26.319999999999997</v>
      </c>
      <c r="H77" s="177">
        <f t="shared" ca="1" si="7"/>
        <v>25</v>
      </c>
      <c r="I77" s="25">
        <f t="shared" ca="1" si="8"/>
        <v>2373.4044396295594</v>
      </c>
      <c r="J77" s="9" t="str">
        <f ca="1">'SAC_IOF Ñ USAR'!J77</f>
        <v/>
      </c>
      <c r="K77" s="9" t="str">
        <f ca="1">'SAC_IOF Ñ USAR'!K77</f>
        <v/>
      </c>
      <c r="L77" s="9">
        <f ca="1">'SAC_IOF Ñ USAR'!L77</f>
        <v>4</v>
      </c>
      <c r="N77" s="176">
        <f t="shared" ca="1" si="9"/>
        <v>31</v>
      </c>
      <c r="O77" s="176">
        <f t="shared" ca="1" si="11"/>
        <v>1787</v>
      </c>
      <c r="P77" s="175">
        <f t="shared" ca="1" si="0"/>
        <v>834.39144798065388</v>
      </c>
      <c r="Q77" s="11">
        <f t="shared" ca="1" si="1"/>
        <v>2.9930000000000002E-2</v>
      </c>
      <c r="R77" s="12">
        <f t="shared" ca="1" si="2"/>
        <v>24.973336038060971</v>
      </c>
      <c r="S77" s="513"/>
      <c r="U77">
        <f t="shared" ca="1" si="12"/>
        <v>2290.124862522322</v>
      </c>
      <c r="V77" s="31">
        <f t="shared" ca="1" si="13"/>
        <v>2373.4044396295594</v>
      </c>
    </row>
    <row r="78" spans="1:22">
      <c r="A78" s="180">
        <f ca="1">'SAC_IOF Ñ USAR'!A78</f>
        <v>59</v>
      </c>
      <c r="B78" s="179">
        <f ca="1">'SAC_IOF Ñ USAR'!B78</f>
        <v>46537</v>
      </c>
      <c r="C78" s="177">
        <f t="shared" ca="1" si="3"/>
        <v>889.99100827727909</v>
      </c>
      <c r="D78" s="24">
        <f t="shared" ca="1" si="10"/>
        <v>1391.9459369687561</v>
      </c>
      <c r="E78" s="177">
        <f t="shared" ca="1" si="4"/>
        <v>150408.48039885992</v>
      </c>
      <c r="F78" s="178">
        <f t="shared" ca="1" si="5"/>
        <v>31.772678995498815</v>
      </c>
      <c r="G78" s="178">
        <f t="shared" ca="1" si="6"/>
        <v>26.319999999999997</v>
      </c>
      <c r="H78" s="177">
        <f t="shared" ca="1" si="7"/>
        <v>25</v>
      </c>
      <c r="I78" s="25">
        <f t="shared" ca="1" si="8"/>
        <v>2365.0296242415338</v>
      </c>
      <c r="J78" s="9" t="str">
        <f ca="1">'SAC_IOF Ñ USAR'!J78</f>
        <v/>
      </c>
      <c r="K78" s="9" t="str">
        <f ca="1">'SAC_IOF Ñ USAR'!K78</f>
        <v/>
      </c>
      <c r="L78" s="9">
        <f ca="1">'SAC_IOF Ñ USAR'!L78</f>
        <v>5</v>
      </c>
      <c r="N78" s="176">
        <f t="shared" ca="1" si="9"/>
        <v>30</v>
      </c>
      <c r="O78" s="176">
        <f t="shared" ca="1" si="11"/>
        <v>1817</v>
      </c>
      <c r="P78" s="175">
        <f t="shared" ca="1" si="0"/>
        <v>834.39144798065388</v>
      </c>
      <c r="Q78" s="11">
        <f t="shared" ca="1" si="1"/>
        <v>2.9930000000000002E-2</v>
      </c>
      <c r="R78" s="12">
        <f t="shared" ca="1" si="2"/>
        <v>24.973336038060971</v>
      </c>
      <c r="S78" s="513"/>
      <c r="U78">
        <f t="shared" ca="1" si="12"/>
        <v>2281.9369452460351</v>
      </c>
      <c r="V78" s="31">
        <f t="shared" ca="1" si="13"/>
        <v>2365.0296242415338</v>
      </c>
    </row>
    <row r="79" spans="1:22">
      <c r="A79" s="180">
        <f ca="1">'SAC_IOF Ñ USAR'!A79</f>
        <v>60</v>
      </c>
      <c r="B79" s="179">
        <f ca="1">'SAC_IOF Ñ USAR'!B79</f>
        <v>46568</v>
      </c>
      <c r="C79" s="177">
        <f t="shared" ca="1" si="3"/>
        <v>889.99100827727909</v>
      </c>
      <c r="D79" s="24">
        <f t="shared" ca="1" si="10"/>
        <v>1383.7580196924694</v>
      </c>
      <c r="E79" s="177">
        <f t="shared" ca="1" si="4"/>
        <v>149518.48939058263</v>
      </c>
      <c r="F79" s="178">
        <f t="shared" ca="1" si="5"/>
        <v>31.585780883760584</v>
      </c>
      <c r="G79" s="178">
        <f t="shared" ca="1" si="6"/>
        <v>26.319999999999997</v>
      </c>
      <c r="H79" s="177">
        <f t="shared" ca="1" si="7"/>
        <v>25</v>
      </c>
      <c r="I79" s="25">
        <f t="shared" ca="1" si="8"/>
        <v>2356.6548088535092</v>
      </c>
      <c r="J79" s="9" t="str">
        <f ca="1">'SAC_IOF Ñ USAR'!J79</f>
        <v/>
      </c>
      <c r="K79" s="9" t="str">
        <f ca="1">'SAC_IOF Ñ USAR'!K79</f>
        <v/>
      </c>
      <c r="L79" s="9">
        <f ca="1">'SAC_IOF Ñ USAR'!L79</f>
        <v>6</v>
      </c>
      <c r="N79" s="176">
        <f t="shared" ca="1" si="9"/>
        <v>31</v>
      </c>
      <c r="O79" s="176">
        <f t="shared" ca="1" si="11"/>
        <v>1848</v>
      </c>
      <c r="P79" s="175">
        <f t="shared" ca="1" si="0"/>
        <v>834.39144798065388</v>
      </c>
      <c r="Q79" s="11">
        <f t="shared" ca="1" si="1"/>
        <v>2.9930000000000002E-2</v>
      </c>
      <c r="R79" s="12">
        <f t="shared" ca="1" si="2"/>
        <v>24.973336038060971</v>
      </c>
      <c r="S79" s="513"/>
      <c r="U79">
        <f t="shared" ca="1" si="12"/>
        <v>2273.7490279697486</v>
      </c>
      <c r="V79" s="31">
        <f t="shared" ca="1" si="13"/>
        <v>2356.6548088535092</v>
      </c>
    </row>
    <row r="80" spans="1:22">
      <c r="A80" s="180">
        <f ca="1">'SAC_IOF Ñ USAR'!A80</f>
        <v>61</v>
      </c>
      <c r="B80" s="179">
        <f ca="1">'SAC_IOF Ñ USAR'!B80</f>
        <v>46598</v>
      </c>
      <c r="C80" s="177">
        <f t="shared" ca="1" si="3"/>
        <v>889.99100827727909</v>
      </c>
      <c r="D80" s="24">
        <f t="shared" ca="1" si="10"/>
        <v>1375.5701024161824</v>
      </c>
      <c r="E80" s="177">
        <f t="shared" ca="1" si="4"/>
        <v>148628.49838230535</v>
      </c>
      <c r="F80" s="178">
        <f t="shared" ca="1" si="5"/>
        <v>31.398882772022354</v>
      </c>
      <c r="G80" s="178">
        <f t="shared" ca="1" si="6"/>
        <v>26.319999999999997</v>
      </c>
      <c r="H80" s="177">
        <f t="shared" ca="1" si="7"/>
        <v>25</v>
      </c>
      <c r="I80" s="25">
        <f t="shared" ca="1" si="8"/>
        <v>2348.279993465484</v>
      </c>
      <c r="J80" s="9" t="str">
        <f ca="1">'SAC_IOF Ñ USAR'!J80</f>
        <v/>
      </c>
      <c r="K80" s="9" t="str">
        <f ca="1">'SAC_IOF Ñ USAR'!K80</f>
        <v/>
      </c>
      <c r="L80" s="9">
        <f ca="1">'SAC_IOF Ñ USAR'!L80</f>
        <v>7</v>
      </c>
      <c r="N80" s="176">
        <f t="shared" ca="1" si="9"/>
        <v>30</v>
      </c>
      <c r="O80" s="176">
        <f t="shared" ca="1" si="11"/>
        <v>1878</v>
      </c>
      <c r="P80" s="175">
        <f t="shared" ca="1" si="0"/>
        <v>834.39144798065388</v>
      </c>
      <c r="Q80" s="11">
        <f t="shared" ca="1" si="1"/>
        <v>2.9930000000000002E-2</v>
      </c>
      <c r="R80" s="12">
        <f t="shared" ca="1" si="2"/>
        <v>24.973336038060971</v>
      </c>
      <c r="S80" s="513"/>
      <c r="U80">
        <f t="shared" ca="1" si="12"/>
        <v>2265.5611106934616</v>
      </c>
      <c r="V80" s="31">
        <f t="shared" ca="1" si="13"/>
        <v>2348.279993465484</v>
      </c>
    </row>
    <row r="81" spans="1:22">
      <c r="A81" s="180">
        <f ca="1">'SAC_IOF Ñ USAR'!A81</f>
        <v>62</v>
      </c>
      <c r="B81" s="179">
        <f ca="1">'SAC_IOF Ñ USAR'!B81</f>
        <v>46629</v>
      </c>
      <c r="C81" s="177">
        <f t="shared" ca="1" si="3"/>
        <v>889.99100827727909</v>
      </c>
      <c r="D81" s="24">
        <f t="shared" ca="1" si="10"/>
        <v>1367.3821851398957</v>
      </c>
      <c r="E81" s="177">
        <f t="shared" ca="1" si="4"/>
        <v>147738.50737402806</v>
      </c>
      <c r="F81" s="178">
        <f t="shared" ca="1" si="5"/>
        <v>31.211984660284124</v>
      </c>
      <c r="G81" s="178">
        <f t="shared" ca="1" si="6"/>
        <v>26.319999999999997</v>
      </c>
      <c r="H81" s="177">
        <f t="shared" ca="1" si="7"/>
        <v>25</v>
      </c>
      <c r="I81" s="25">
        <f t="shared" ca="1" si="8"/>
        <v>2339.9051780774589</v>
      </c>
      <c r="J81" s="9" t="str">
        <f ca="1">'SAC_IOF Ñ USAR'!J81</f>
        <v/>
      </c>
      <c r="K81" s="9" t="str">
        <f ca="1">'SAC_IOF Ñ USAR'!K81</f>
        <v/>
      </c>
      <c r="L81" s="9">
        <f ca="1">'SAC_IOF Ñ USAR'!L81</f>
        <v>8</v>
      </c>
      <c r="N81" s="176">
        <f t="shared" ca="1" si="9"/>
        <v>31</v>
      </c>
      <c r="O81" s="176">
        <f t="shared" ca="1" si="11"/>
        <v>1909</v>
      </c>
      <c r="P81" s="175">
        <f t="shared" ca="1" si="0"/>
        <v>834.39144798065388</v>
      </c>
      <c r="Q81" s="11">
        <f t="shared" ca="1" si="1"/>
        <v>2.9930000000000002E-2</v>
      </c>
      <c r="R81" s="12">
        <f t="shared" ca="1" si="2"/>
        <v>24.973336038060971</v>
      </c>
      <c r="S81" s="513"/>
      <c r="U81">
        <f t="shared" ca="1" si="12"/>
        <v>2257.3731934171747</v>
      </c>
      <c r="V81" s="31">
        <f t="shared" ca="1" si="13"/>
        <v>2339.9051780774589</v>
      </c>
    </row>
    <row r="82" spans="1:22">
      <c r="A82" s="180">
        <f ca="1">'SAC_IOF Ñ USAR'!A82</f>
        <v>63</v>
      </c>
      <c r="B82" s="179">
        <f ca="1">'SAC_IOF Ñ USAR'!B82</f>
        <v>46660</v>
      </c>
      <c r="C82" s="177">
        <f t="shared" ca="1" si="3"/>
        <v>889.99100827727909</v>
      </c>
      <c r="D82" s="24">
        <f t="shared" ca="1" si="10"/>
        <v>1359.1942678636087</v>
      </c>
      <c r="E82" s="177">
        <f t="shared" ca="1" si="4"/>
        <v>146848.51636575078</v>
      </c>
      <c r="F82" s="178">
        <f t="shared" ca="1" si="5"/>
        <v>31.025086548545893</v>
      </c>
      <c r="G82" s="178">
        <f t="shared" ca="1" si="6"/>
        <v>26.319999999999997</v>
      </c>
      <c r="H82" s="177">
        <f t="shared" ca="1" si="7"/>
        <v>25</v>
      </c>
      <c r="I82" s="25">
        <f t="shared" ca="1" si="8"/>
        <v>2331.5303626894338</v>
      </c>
      <c r="J82" s="9" t="str">
        <f ca="1">'SAC_IOF Ñ USAR'!J82</f>
        <v/>
      </c>
      <c r="K82" s="9" t="str">
        <f ca="1">'SAC_IOF Ñ USAR'!K82</f>
        <v/>
      </c>
      <c r="L82" s="9">
        <f ca="1">'SAC_IOF Ñ USAR'!L82</f>
        <v>9</v>
      </c>
      <c r="N82" s="176">
        <f t="shared" ca="1" si="9"/>
        <v>31</v>
      </c>
      <c r="O82" s="176">
        <f t="shared" ca="1" si="11"/>
        <v>1940</v>
      </c>
      <c r="P82" s="175">
        <f t="shared" ref="P82:P145" ca="1" si="14">IF(A82&lt;&gt;"",$E$18/($C$8-$C$12-$D$13),"")</f>
        <v>834.39144798065388</v>
      </c>
      <c r="Q82" s="11">
        <f t="shared" ref="Q82:Q145" ca="1" si="15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ca="1" si="16">IFERROR(Q82*P82,"")</f>
        <v>24.973336038060971</v>
      </c>
      <c r="S82" s="513"/>
      <c r="U82">
        <f t="shared" ca="1" si="12"/>
        <v>2249.1852761408877</v>
      </c>
      <c r="V82" s="31">
        <f t="shared" ca="1" si="13"/>
        <v>2331.5303626894338</v>
      </c>
    </row>
    <row r="83" spans="1:22">
      <c r="A83" s="180">
        <f ca="1">'SAC_IOF Ñ USAR'!A83</f>
        <v>64</v>
      </c>
      <c r="B83" s="179">
        <f ca="1">'SAC_IOF Ñ USAR'!B83</f>
        <v>46690</v>
      </c>
      <c r="C83" s="177">
        <f t="shared" ref="C83:C146" ca="1" si="17">IFERROR(IF(OR(J83="Carencia",K83="Pula",A83=""),0,$I$13),"")</f>
        <v>889.99100827727909</v>
      </c>
      <c r="D83" s="24">
        <f t="shared" ca="1" si="10"/>
        <v>1351.0063505873218</v>
      </c>
      <c r="E83" s="177">
        <f t="shared" ref="E83:E146" ca="1" si="18">IFERROR(IF(OR(J83="Carencia",K83="Pula"),E82+D83+SUM(F83:H83),(E82-C83)),"")</f>
        <v>145958.5253574735</v>
      </c>
      <c r="F83" s="178">
        <f t="shared" ref="F83:F146" ca="1" si="19">IFERROR(IF(OR(AND(DAY(B83)=DAY(B82),MONTH(B83)&lt;&gt;MONTH(B82)),MONTH(B83)&lt;&gt;MONTH(B82)),IF(K83="Pula",0,E82*$I$7),""),"")</f>
        <v>30.838188436807666</v>
      </c>
      <c r="G83" s="178">
        <f t="shared" ref="G83:G146" ca="1" si="20">IFERROR(IF(OR(AND(DAY(B83)=DAY(B82),MONTH(B83)&lt;&gt;MONTH(B82)),MONTH(B83)&lt;&gt;MONTH(B82)),IF(K83="Pula",0,$C$11*$I$8),0),"")</f>
        <v>26.319999999999997</v>
      </c>
      <c r="H83" s="177">
        <f t="shared" ref="H83:H146" ca="1" si="21">IFERROR(IF(OR(AND(DAY(B83)=DAY(B82),MONTH(B83)&lt;&gt;MONTH(B82)),MONTH(B83)&lt;&gt;MONTH(B82)),IF(K83="Pula",0,$I$10),0),"")</f>
        <v>25</v>
      </c>
      <c r="I83" s="25">
        <f t="shared" ref="I83:I146" ca="1" si="22">IFERROR(IF(OR(J83="Carencia",K83="Pula"),0,SUM(C83:D83,F83:H83)),"")</f>
        <v>2323.1555473014087</v>
      </c>
      <c r="J83" s="9" t="str">
        <f ca="1">'SAC_IOF Ñ USAR'!J83</f>
        <v/>
      </c>
      <c r="K83" s="9" t="str">
        <f ca="1">'SAC_IOF Ñ USAR'!K83</f>
        <v/>
      </c>
      <c r="L83" s="9">
        <f ca="1">'SAC_IOF Ñ USAR'!L83</f>
        <v>10</v>
      </c>
      <c r="N83" s="176">
        <f t="shared" ref="N83:N146" ca="1" si="23">IFERROR(B83-B82,"")</f>
        <v>30</v>
      </c>
      <c r="O83" s="176">
        <f t="shared" ca="1" si="11"/>
        <v>1970</v>
      </c>
      <c r="P83" s="175">
        <f t="shared" ca="1" si="14"/>
        <v>834.39144798065388</v>
      </c>
      <c r="Q83" s="11">
        <f t="shared" ca="1" si="15"/>
        <v>2.9930000000000002E-2</v>
      </c>
      <c r="R83" s="12">
        <f t="shared" ca="1" si="16"/>
        <v>24.973336038060971</v>
      </c>
      <c r="S83" s="513"/>
      <c r="U83">
        <f t="shared" ca="1" si="12"/>
        <v>2240.9973588646008</v>
      </c>
      <c r="V83" s="31">
        <f t="shared" ca="1" si="13"/>
        <v>2323.1555473014087</v>
      </c>
    </row>
    <row r="84" spans="1:22">
      <c r="A84" s="180">
        <f ca="1">'SAC_IOF Ñ USAR'!A84</f>
        <v>65</v>
      </c>
      <c r="B84" s="179">
        <f ca="1">'SAC_IOF Ñ USAR'!B84</f>
        <v>46721</v>
      </c>
      <c r="C84" s="177">
        <f t="shared" ca="1" si="17"/>
        <v>889.99100827727909</v>
      </c>
      <c r="D84" s="24">
        <f t="shared" ref="D84:D147" ca="1" si="24">IFERROR(IF(DAY(B84)=DAY(B83),IF(K84="Pula",0,($D$9)*E83),IF(AND(K84="Pula",J84=""),0,IF(AND($F$3=30,OR(AND(DAY(B83)=28,MONTH(B83)=2),AND(DAY(B83)=29,MONTH(B83)=2))),$D$9*E83,$D$9*E83))),"")</f>
        <v>1342.8184333110351</v>
      </c>
      <c r="E84" s="177">
        <f t="shared" ca="1" si="18"/>
        <v>145068.53434919621</v>
      </c>
      <c r="F84" s="178">
        <f t="shared" ca="1" si="19"/>
        <v>30.651290325069436</v>
      </c>
      <c r="G84" s="178">
        <f t="shared" ca="1" si="20"/>
        <v>26.319999999999997</v>
      </c>
      <c r="H84" s="177">
        <f t="shared" ca="1" si="21"/>
        <v>25</v>
      </c>
      <c r="I84" s="25">
        <f t="shared" ca="1" si="22"/>
        <v>2314.780731913384</v>
      </c>
      <c r="J84" s="9" t="str">
        <f ca="1">'SAC_IOF Ñ USAR'!J84</f>
        <v/>
      </c>
      <c r="K84" s="9" t="str">
        <f ca="1">'SAC_IOF Ñ USAR'!K84</f>
        <v/>
      </c>
      <c r="L84" s="9">
        <f ca="1">'SAC_IOF Ñ USAR'!L84</f>
        <v>11</v>
      </c>
      <c r="N84" s="176">
        <f t="shared" ca="1" si="23"/>
        <v>31</v>
      </c>
      <c r="O84" s="176">
        <f t="shared" ref="O84:O147" ca="1" si="25">IFERROR(N84+O83,"")</f>
        <v>2001</v>
      </c>
      <c r="P84" s="175">
        <f t="shared" ca="1" si="14"/>
        <v>834.39144798065388</v>
      </c>
      <c r="Q84" s="11">
        <f t="shared" ca="1" si="15"/>
        <v>2.9930000000000002E-2</v>
      </c>
      <c r="R84" s="12">
        <f t="shared" ca="1" si="16"/>
        <v>24.973336038060971</v>
      </c>
      <c r="S84" s="513"/>
      <c r="U84">
        <f t="shared" ref="U84:U147" ca="1" si="26">IFERROR(IF(OR(J84="Carencia",K84="Pula"),0,C84+D84),"")</f>
        <v>2232.8094415883143</v>
      </c>
      <c r="V84" s="31">
        <f t="shared" ref="V84:V147" ca="1" si="27">IFERROR(I84,0)</f>
        <v>2314.780731913384</v>
      </c>
    </row>
    <row r="85" spans="1:22">
      <c r="A85" s="180">
        <f ca="1">'SAC_IOF Ñ USAR'!A85</f>
        <v>66</v>
      </c>
      <c r="B85" s="179">
        <f ca="1">'SAC_IOF Ñ USAR'!B85</f>
        <v>46751</v>
      </c>
      <c r="C85" s="177">
        <f t="shared" ca="1" si="17"/>
        <v>889.99100827727909</v>
      </c>
      <c r="D85" s="24">
        <f t="shared" ca="1" si="24"/>
        <v>1334.6305160347481</v>
      </c>
      <c r="E85" s="177">
        <f t="shared" ca="1" si="18"/>
        <v>144178.54334091893</v>
      </c>
      <c r="F85" s="178">
        <f t="shared" ca="1" si="19"/>
        <v>30.464392213331205</v>
      </c>
      <c r="G85" s="178">
        <f t="shared" ca="1" si="20"/>
        <v>26.319999999999997</v>
      </c>
      <c r="H85" s="177">
        <f t="shared" ca="1" si="21"/>
        <v>25</v>
      </c>
      <c r="I85" s="25">
        <f t="shared" ca="1" si="22"/>
        <v>2306.4059165253589</v>
      </c>
      <c r="J85" s="9" t="str">
        <f ca="1">'SAC_IOF Ñ USAR'!J85</f>
        <v/>
      </c>
      <c r="K85" s="9" t="str">
        <f ca="1">'SAC_IOF Ñ USAR'!K85</f>
        <v/>
      </c>
      <c r="L85" s="9">
        <f ca="1">'SAC_IOF Ñ USAR'!L85</f>
        <v>12</v>
      </c>
      <c r="N85" s="176">
        <f t="shared" ca="1" si="23"/>
        <v>30</v>
      </c>
      <c r="O85" s="176">
        <f t="shared" ca="1" si="25"/>
        <v>2031</v>
      </c>
      <c r="P85" s="175">
        <f t="shared" ca="1" si="14"/>
        <v>834.39144798065388</v>
      </c>
      <c r="Q85" s="11">
        <f t="shared" ca="1" si="15"/>
        <v>2.9930000000000002E-2</v>
      </c>
      <c r="R85" s="12">
        <f t="shared" ca="1" si="16"/>
        <v>24.973336038060971</v>
      </c>
      <c r="S85" s="513"/>
      <c r="U85">
        <f t="shared" ca="1" si="26"/>
        <v>2224.6215243120273</v>
      </c>
      <c r="V85" s="31">
        <f t="shared" ca="1" si="27"/>
        <v>2306.4059165253589</v>
      </c>
    </row>
    <row r="86" spans="1:22">
      <c r="A86" s="180">
        <f ca="1">'SAC_IOF Ñ USAR'!A86</f>
        <v>67</v>
      </c>
      <c r="B86" s="179">
        <f ca="1">'SAC_IOF Ñ USAR'!B86</f>
        <v>46782</v>
      </c>
      <c r="C86" s="177">
        <f t="shared" ca="1" si="17"/>
        <v>889.99100827727909</v>
      </c>
      <c r="D86" s="24">
        <f t="shared" ca="1" si="24"/>
        <v>1326.4425987584614</v>
      </c>
      <c r="E86" s="177">
        <f t="shared" ca="1" si="18"/>
        <v>143288.55233264164</v>
      </c>
      <c r="F86" s="178">
        <f t="shared" ca="1" si="19"/>
        <v>30.277494101592975</v>
      </c>
      <c r="G86" s="178">
        <f t="shared" ca="1" si="20"/>
        <v>26.319999999999997</v>
      </c>
      <c r="H86" s="177">
        <f t="shared" ca="1" si="21"/>
        <v>25</v>
      </c>
      <c r="I86" s="25">
        <f t="shared" ca="1" si="22"/>
        <v>2298.0311011373333</v>
      </c>
      <c r="J86" s="9" t="str">
        <f ca="1">'SAC_IOF Ñ USAR'!J86</f>
        <v/>
      </c>
      <c r="K86" s="9" t="str">
        <f ca="1">'SAC_IOF Ñ USAR'!K86</f>
        <v/>
      </c>
      <c r="L86" s="9">
        <f ca="1">'SAC_IOF Ñ USAR'!L86</f>
        <v>1</v>
      </c>
      <c r="N86" s="176">
        <f t="shared" ca="1" si="23"/>
        <v>31</v>
      </c>
      <c r="O86" s="176">
        <f t="shared" ca="1" si="25"/>
        <v>2062</v>
      </c>
      <c r="P86" s="175">
        <f t="shared" ca="1" si="14"/>
        <v>834.39144798065388</v>
      </c>
      <c r="Q86" s="11">
        <f t="shared" ca="1" si="15"/>
        <v>2.9930000000000002E-2</v>
      </c>
      <c r="R86" s="12">
        <f t="shared" ca="1" si="16"/>
        <v>24.973336038060971</v>
      </c>
      <c r="S86" s="513"/>
      <c r="U86">
        <f t="shared" ca="1" si="26"/>
        <v>2216.4336070357404</v>
      </c>
      <c r="V86" s="31">
        <f t="shared" ca="1" si="27"/>
        <v>2298.0311011373333</v>
      </c>
    </row>
    <row r="87" spans="1:22">
      <c r="A87" s="180">
        <f ca="1">'SAC_IOF Ñ USAR'!A87</f>
        <v>68</v>
      </c>
      <c r="B87" s="179">
        <f ca="1">'SAC_IOF Ñ USAR'!B87</f>
        <v>46812</v>
      </c>
      <c r="C87" s="177">
        <f t="shared" ca="1" si="17"/>
        <v>889.99100827727909</v>
      </c>
      <c r="D87" s="24">
        <f t="shared" ca="1" si="24"/>
        <v>1318.2546814821744</v>
      </c>
      <c r="E87" s="177">
        <f t="shared" ca="1" si="18"/>
        <v>142398.56132436436</v>
      </c>
      <c r="F87" s="178">
        <f t="shared" ca="1" si="19"/>
        <v>30.090595989854748</v>
      </c>
      <c r="G87" s="178">
        <f t="shared" ca="1" si="20"/>
        <v>26.319999999999997</v>
      </c>
      <c r="H87" s="177">
        <f t="shared" ca="1" si="21"/>
        <v>25</v>
      </c>
      <c r="I87" s="25">
        <f t="shared" ca="1" si="22"/>
        <v>2289.6562857493082</v>
      </c>
      <c r="J87" s="9" t="str">
        <f ca="1">'SAC_IOF Ñ USAR'!J87</f>
        <v/>
      </c>
      <c r="K87" s="9" t="str">
        <f ca="1">'SAC_IOF Ñ USAR'!K87</f>
        <v/>
      </c>
      <c r="L87" s="9">
        <f ca="1">'SAC_IOF Ñ USAR'!L87</f>
        <v>2</v>
      </c>
      <c r="N87" s="176">
        <f t="shared" ca="1" si="23"/>
        <v>30</v>
      </c>
      <c r="O87" s="176">
        <f t="shared" ca="1" si="25"/>
        <v>2092</v>
      </c>
      <c r="P87" s="175">
        <f t="shared" ca="1" si="14"/>
        <v>834.39144798065388</v>
      </c>
      <c r="Q87" s="11">
        <f t="shared" ca="1" si="15"/>
        <v>2.9930000000000002E-2</v>
      </c>
      <c r="R87" s="12">
        <f t="shared" ca="1" si="16"/>
        <v>24.973336038060971</v>
      </c>
      <c r="S87" s="513"/>
      <c r="U87">
        <f t="shared" ca="1" si="26"/>
        <v>2208.2456897594534</v>
      </c>
      <c r="V87" s="31">
        <f t="shared" ca="1" si="27"/>
        <v>2289.6562857493082</v>
      </c>
    </row>
    <row r="88" spans="1:22">
      <c r="A88" s="180">
        <f ca="1">'SAC_IOF Ñ USAR'!A88</f>
        <v>69</v>
      </c>
      <c r="B88" s="179">
        <f ca="1">'SAC_IOF Ñ USAR'!B88</f>
        <v>46842</v>
      </c>
      <c r="C88" s="177">
        <f t="shared" ca="1" si="17"/>
        <v>889.99100827727909</v>
      </c>
      <c r="D88" s="24">
        <f t="shared" ca="1" si="24"/>
        <v>1310.0667642058875</v>
      </c>
      <c r="E88" s="177">
        <f t="shared" ca="1" si="18"/>
        <v>141508.57031608708</v>
      </c>
      <c r="F88" s="178">
        <f t="shared" ca="1" si="19"/>
        <v>29.903697878116517</v>
      </c>
      <c r="G88" s="178">
        <f t="shared" ca="1" si="20"/>
        <v>26.319999999999997</v>
      </c>
      <c r="H88" s="177">
        <f t="shared" ca="1" si="21"/>
        <v>25</v>
      </c>
      <c r="I88" s="25">
        <f t="shared" ca="1" si="22"/>
        <v>2281.281470361283</v>
      </c>
      <c r="J88" s="9" t="str">
        <f ca="1">'SAC_IOF Ñ USAR'!J88</f>
        <v/>
      </c>
      <c r="K88" s="9" t="str">
        <f ca="1">'SAC_IOF Ñ USAR'!K88</f>
        <v/>
      </c>
      <c r="L88" s="9">
        <f ca="1">'SAC_IOF Ñ USAR'!L88</f>
        <v>3</v>
      </c>
      <c r="N88" s="176">
        <f t="shared" ca="1" si="23"/>
        <v>30</v>
      </c>
      <c r="O88" s="176">
        <f t="shared" ca="1" si="25"/>
        <v>2122</v>
      </c>
      <c r="P88" s="175">
        <f t="shared" ca="1" si="14"/>
        <v>834.39144798065388</v>
      </c>
      <c r="Q88" s="11">
        <f t="shared" ca="1" si="15"/>
        <v>2.9930000000000002E-2</v>
      </c>
      <c r="R88" s="12">
        <f t="shared" ca="1" si="16"/>
        <v>24.973336038060971</v>
      </c>
      <c r="S88" s="513"/>
      <c r="U88">
        <f t="shared" ca="1" si="26"/>
        <v>2200.0577724831664</v>
      </c>
      <c r="V88" s="31">
        <f t="shared" ca="1" si="27"/>
        <v>2281.281470361283</v>
      </c>
    </row>
    <row r="89" spans="1:22">
      <c r="A89" s="180">
        <f ca="1">'SAC_IOF Ñ USAR'!A89</f>
        <v>70</v>
      </c>
      <c r="B89" s="179">
        <f ca="1">'SAC_IOF Ñ USAR'!B89</f>
        <v>46873</v>
      </c>
      <c r="C89" s="177">
        <f t="shared" ca="1" si="17"/>
        <v>889.99100827727909</v>
      </c>
      <c r="D89" s="24">
        <f t="shared" ca="1" si="24"/>
        <v>1301.8788469296007</v>
      </c>
      <c r="E89" s="177">
        <f t="shared" ca="1" si="18"/>
        <v>140618.57930780979</v>
      </c>
      <c r="F89" s="178">
        <f t="shared" ca="1" si="19"/>
        <v>29.716799766378287</v>
      </c>
      <c r="G89" s="178">
        <f t="shared" ca="1" si="20"/>
        <v>26.319999999999997</v>
      </c>
      <c r="H89" s="177">
        <f t="shared" ca="1" si="21"/>
        <v>25</v>
      </c>
      <c r="I89" s="25">
        <f t="shared" ca="1" si="22"/>
        <v>2272.9066549732584</v>
      </c>
      <c r="J89" s="9" t="str">
        <f ca="1">'SAC_IOF Ñ USAR'!J89</f>
        <v/>
      </c>
      <c r="K89" s="9" t="str">
        <f ca="1">'SAC_IOF Ñ USAR'!K89</f>
        <v/>
      </c>
      <c r="L89" s="9">
        <f ca="1">'SAC_IOF Ñ USAR'!L89</f>
        <v>4</v>
      </c>
      <c r="N89" s="176">
        <f t="shared" ca="1" si="23"/>
        <v>31</v>
      </c>
      <c r="O89" s="176">
        <f t="shared" ca="1" si="25"/>
        <v>2153</v>
      </c>
      <c r="P89" s="175">
        <f t="shared" ca="1" si="14"/>
        <v>834.39144798065388</v>
      </c>
      <c r="Q89" s="11">
        <f t="shared" ca="1" si="15"/>
        <v>2.9930000000000002E-2</v>
      </c>
      <c r="R89" s="12">
        <f t="shared" ca="1" si="16"/>
        <v>24.973336038060971</v>
      </c>
      <c r="S89" s="513"/>
      <c r="U89">
        <f t="shared" ca="1" si="26"/>
        <v>2191.8698552068799</v>
      </c>
      <c r="V89" s="31">
        <f t="shared" ca="1" si="27"/>
        <v>2272.9066549732584</v>
      </c>
    </row>
    <row r="90" spans="1:22">
      <c r="A90" s="180">
        <f ca="1">'SAC_IOF Ñ USAR'!A90</f>
        <v>71</v>
      </c>
      <c r="B90" s="179">
        <f ca="1">'SAC_IOF Ñ USAR'!B90</f>
        <v>46903</v>
      </c>
      <c r="C90" s="177">
        <f t="shared" ca="1" si="17"/>
        <v>889.99100827727909</v>
      </c>
      <c r="D90" s="24">
        <f t="shared" ca="1" si="24"/>
        <v>1293.6909296533138</v>
      </c>
      <c r="E90" s="177">
        <f t="shared" ca="1" si="18"/>
        <v>139728.58829953251</v>
      </c>
      <c r="F90" s="178">
        <f t="shared" ca="1" si="19"/>
        <v>29.529901654640057</v>
      </c>
      <c r="G90" s="178">
        <f t="shared" ca="1" si="20"/>
        <v>26.319999999999997</v>
      </c>
      <c r="H90" s="177">
        <f t="shared" ca="1" si="21"/>
        <v>25</v>
      </c>
      <c r="I90" s="25">
        <f t="shared" ca="1" si="22"/>
        <v>2264.5318395852332</v>
      </c>
      <c r="J90" s="9" t="str">
        <f ca="1">'SAC_IOF Ñ USAR'!J90</f>
        <v/>
      </c>
      <c r="K90" s="9" t="str">
        <f ca="1">'SAC_IOF Ñ USAR'!K90</f>
        <v/>
      </c>
      <c r="L90" s="9">
        <f ca="1">'SAC_IOF Ñ USAR'!L90</f>
        <v>5</v>
      </c>
      <c r="N90" s="176">
        <f t="shared" ca="1" si="23"/>
        <v>30</v>
      </c>
      <c r="O90" s="176">
        <f t="shared" ca="1" si="25"/>
        <v>2183</v>
      </c>
      <c r="P90" s="175">
        <f t="shared" ca="1" si="14"/>
        <v>834.39144798065388</v>
      </c>
      <c r="Q90" s="11">
        <f t="shared" ca="1" si="15"/>
        <v>2.9930000000000002E-2</v>
      </c>
      <c r="R90" s="12">
        <f t="shared" ca="1" si="16"/>
        <v>24.973336038060971</v>
      </c>
      <c r="S90" s="513"/>
      <c r="U90">
        <f t="shared" ca="1" si="26"/>
        <v>2183.681937930593</v>
      </c>
      <c r="V90" s="31">
        <f t="shared" ca="1" si="27"/>
        <v>2264.5318395852332</v>
      </c>
    </row>
    <row r="91" spans="1:22">
      <c r="A91" s="180">
        <f ca="1">'SAC_IOF Ñ USAR'!A91</f>
        <v>72</v>
      </c>
      <c r="B91" s="179">
        <f ca="1">'SAC_IOF Ñ USAR'!B91</f>
        <v>46934</v>
      </c>
      <c r="C91" s="177">
        <f t="shared" ca="1" si="17"/>
        <v>889.99100827727909</v>
      </c>
      <c r="D91" s="24">
        <f t="shared" ca="1" si="24"/>
        <v>1285.5030123770271</v>
      </c>
      <c r="E91" s="177">
        <f t="shared" ca="1" si="18"/>
        <v>138838.59729125522</v>
      </c>
      <c r="F91" s="178">
        <f t="shared" ca="1" si="19"/>
        <v>29.34300354290183</v>
      </c>
      <c r="G91" s="178">
        <f t="shared" ca="1" si="20"/>
        <v>26.319999999999997</v>
      </c>
      <c r="H91" s="177">
        <f t="shared" ca="1" si="21"/>
        <v>25</v>
      </c>
      <c r="I91" s="25">
        <f t="shared" ca="1" si="22"/>
        <v>2256.1570241972081</v>
      </c>
      <c r="J91" s="9" t="str">
        <f ca="1">'SAC_IOF Ñ USAR'!J91</f>
        <v/>
      </c>
      <c r="K91" s="9" t="str">
        <f ca="1">'SAC_IOF Ñ USAR'!K91</f>
        <v/>
      </c>
      <c r="L91" s="9">
        <f ca="1">'SAC_IOF Ñ USAR'!L91</f>
        <v>6</v>
      </c>
      <c r="N91" s="176">
        <f t="shared" ca="1" si="23"/>
        <v>31</v>
      </c>
      <c r="O91" s="176">
        <f t="shared" ca="1" si="25"/>
        <v>2214</v>
      </c>
      <c r="P91" s="175">
        <f t="shared" ca="1" si="14"/>
        <v>834.39144798065388</v>
      </c>
      <c r="Q91" s="11">
        <f t="shared" ca="1" si="15"/>
        <v>2.9930000000000002E-2</v>
      </c>
      <c r="R91" s="12">
        <f t="shared" ca="1" si="16"/>
        <v>24.973336038060971</v>
      </c>
      <c r="S91" s="513"/>
      <c r="U91">
        <f t="shared" ca="1" si="26"/>
        <v>2175.494020654306</v>
      </c>
      <c r="V91" s="31">
        <f t="shared" ca="1" si="27"/>
        <v>2256.1570241972081</v>
      </c>
    </row>
    <row r="92" spans="1:22">
      <c r="A92" s="180">
        <f ca="1">'SAC_IOF Ñ USAR'!A92</f>
        <v>73</v>
      </c>
      <c r="B92" s="179">
        <f ca="1">'SAC_IOF Ñ USAR'!B92</f>
        <v>46964</v>
      </c>
      <c r="C92" s="177">
        <f t="shared" ca="1" si="17"/>
        <v>889.99100827727909</v>
      </c>
      <c r="D92" s="24">
        <f t="shared" ca="1" si="24"/>
        <v>1277.3150951007401</v>
      </c>
      <c r="E92" s="177">
        <f t="shared" ca="1" si="18"/>
        <v>137948.60628297794</v>
      </c>
      <c r="F92" s="178">
        <f t="shared" ca="1" si="19"/>
        <v>29.156105431163599</v>
      </c>
      <c r="G92" s="178">
        <f t="shared" ca="1" si="20"/>
        <v>26.319999999999997</v>
      </c>
      <c r="H92" s="177">
        <f t="shared" ca="1" si="21"/>
        <v>25</v>
      </c>
      <c r="I92" s="25">
        <f t="shared" ca="1" si="22"/>
        <v>2247.782208809183</v>
      </c>
      <c r="J92" s="9" t="str">
        <f ca="1">'SAC_IOF Ñ USAR'!J92</f>
        <v/>
      </c>
      <c r="K92" s="9" t="str">
        <f ca="1">'SAC_IOF Ñ USAR'!K92</f>
        <v/>
      </c>
      <c r="L92" s="9">
        <f ca="1">'SAC_IOF Ñ USAR'!L92</f>
        <v>7</v>
      </c>
      <c r="N92" s="176">
        <f t="shared" ca="1" si="23"/>
        <v>30</v>
      </c>
      <c r="O92" s="176">
        <f t="shared" ca="1" si="25"/>
        <v>2244</v>
      </c>
      <c r="P92" s="175">
        <f t="shared" ca="1" si="14"/>
        <v>834.39144798065388</v>
      </c>
      <c r="Q92" s="11">
        <f t="shared" ca="1" si="15"/>
        <v>2.9930000000000002E-2</v>
      </c>
      <c r="R92" s="12">
        <f t="shared" ca="1" si="16"/>
        <v>24.973336038060971</v>
      </c>
      <c r="S92" s="513"/>
      <c r="U92">
        <f t="shared" ca="1" si="26"/>
        <v>2167.3061033780191</v>
      </c>
      <c r="V92" s="31">
        <f t="shared" ca="1" si="27"/>
        <v>2247.782208809183</v>
      </c>
    </row>
    <row r="93" spans="1:22">
      <c r="A93" s="180">
        <f ca="1">'SAC_IOF Ñ USAR'!A93</f>
        <v>74</v>
      </c>
      <c r="B93" s="179">
        <f ca="1">'SAC_IOF Ñ USAR'!B93</f>
        <v>46995</v>
      </c>
      <c r="C93" s="177">
        <f t="shared" ca="1" si="17"/>
        <v>889.99100827727909</v>
      </c>
      <c r="D93" s="24">
        <f t="shared" ca="1" si="24"/>
        <v>1269.1271778244534</v>
      </c>
      <c r="E93" s="177">
        <f t="shared" ca="1" si="18"/>
        <v>137058.61527470066</v>
      </c>
      <c r="F93" s="178">
        <f t="shared" ca="1" si="19"/>
        <v>28.969207319425369</v>
      </c>
      <c r="G93" s="178">
        <f t="shared" ca="1" si="20"/>
        <v>26.319999999999997</v>
      </c>
      <c r="H93" s="177">
        <f t="shared" ca="1" si="21"/>
        <v>25</v>
      </c>
      <c r="I93" s="25">
        <f t="shared" ca="1" si="22"/>
        <v>2239.4073934211583</v>
      </c>
      <c r="J93" s="9" t="str">
        <f ca="1">'SAC_IOF Ñ USAR'!J93</f>
        <v/>
      </c>
      <c r="K93" s="9" t="str">
        <f ca="1">'SAC_IOF Ñ USAR'!K93</f>
        <v/>
      </c>
      <c r="L93" s="9">
        <f ca="1">'SAC_IOF Ñ USAR'!L93</f>
        <v>8</v>
      </c>
      <c r="N93" s="176">
        <f t="shared" ca="1" si="23"/>
        <v>31</v>
      </c>
      <c r="O93" s="176">
        <f t="shared" ca="1" si="25"/>
        <v>2275</v>
      </c>
      <c r="P93" s="175">
        <f t="shared" ca="1" si="14"/>
        <v>834.39144798065388</v>
      </c>
      <c r="Q93" s="11">
        <f t="shared" ca="1" si="15"/>
        <v>2.9930000000000002E-2</v>
      </c>
      <c r="R93" s="12">
        <f t="shared" ca="1" si="16"/>
        <v>24.973336038060971</v>
      </c>
      <c r="S93" s="513"/>
      <c r="U93">
        <f t="shared" ca="1" si="26"/>
        <v>2159.1181861017326</v>
      </c>
      <c r="V93" s="31">
        <f t="shared" ca="1" si="27"/>
        <v>2239.4073934211583</v>
      </c>
    </row>
    <row r="94" spans="1:22">
      <c r="A94" s="180">
        <f ca="1">'SAC_IOF Ñ USAR'!A94</f>
        <v>75</v>
      </c>
      <c r="B94" s="179">
        <f ca="1">'SAC_IOF Ñ USAR'!B94</f>
        <v>47026</v>
      </c>
      <c r="C94" s="177">
        <f t="shared" ca="1" si="17"/>
        <v>889.99100827727909</v>
      </c>
      <c r="D94" s="24">
        <f t="shared" ca="1" si="24"/>
        <v>1260.9392605481664</v>
      </c>
      <c r="E94" s="177">
        <f t="shared" ca="1" si="18"/>
        <v>136168.62426642337</v>
      </c>
      <c r="F94" s="178">
        <f t="shared" ca="1" si="19"/>
        <v>28.782309207687138</v>
      </c>
      <c r="G94" s="178">
        <f t="shared" ca="1" si="20"/>
        <v>26.319999999999997</v>
      </c>
      <c r="H94" s="177">
        <f t="shared" ca="1" si="21"/>
        <v>25</v>
      </c>
      <c r="I94" s="25">
        <f t="shared" ca="1" si="22"/>
        <v>2231.0325780331327</v>
      </c>
      <c r="J94" s="9" t="str">
        <f ca="1">'SAC_IOF Ñ USAR'!J94</f>
        <v/>
      </c>
      <c r="K94" s="9" t="str">
        <f ca="1">'SAC_IOF Ñ USAR'!K94</f>
        <v/>
      </c>
      <c r="L94" s="9">
        <f ca="1">'SAC_IOF Ñ USAR'!L94</f>
        <v>9</v>
      </c>
      <c r="N94" s="176">
        <f t="shared" ca="1" si="23"/>
        <v>31</v>
      </c>
      <c r="O94" s="176">
        <f t="shared" ca="1" si="25"/>
        <v>2306</v>
      </c>
      <c r="P94" s="175">
        <f t="shared" ca="1" si="14"/>
        <v>834.39144798065388</v>
      </c>
      <c r="Q94" s="11">
        <f t="shared" ca="1" si="15"/>
        <v>2.9930000000000002E-2</v>
      </c>
      <c r="R94" s="12">
        <f t="shared" ca="1" si="16"/>
        <v>24.973336038060971</v>
      </c>
      <c r="S94" s="513"/>
      <c r="U94">
        <f t="shared" ca="1" si="26"/>
        <v>2150.9302688254456</v>
      </c>
      <c r="V94" s="31">
        <f t="shared" ca="1" si="27"/>
        <v>2231.0325780331327</v>
      </c>
    </row>
    <row r="95" spans="1:22">
      <c r="A95" s="180">
        <f ca="1">'SAC_IOF Ñ USAR'!A95</f>
        <v>76</v>
      </c>
      <c r="B95" s="179">
        <f ca="1">'SAC_IOF Ñ USAR'!B95</f>
        <v>47056</v>
      </c>
      <c r="C95" s="177">
        <f t="shared" ca="1" si="17"/>
        <v>889.99100827727909</v>
      </c>
      <c r="D95" s="24">
        <f t="shared" ca="1" si="24"/>
        <v>1252.7513432718795</v>
      </c>
      <c r="E95" s="177">
        <f t="shared" ca="1" si="18"/>
        <v>135278.63325814609</v>
      </c>
      <c r="F95" s="178">
        <f t="shared" ca="1" si="19"/>
        <v>28.595411095948908</v>
      </c>
      <c r="G95" s="178">
        <f t="shared" ca="1" si="20"/>
        <v>26.319999999999997</v>
      </c>
      <c r="H95" s="177">
        <f t="shared" ca="1" si="21"/>
        <v>25</v>
      </c>
      <c r="I95" s="25">
        <f t="shared" ca="1" si="22"/>
        <v>2222.6577626451076</v>
      </c>
      <c r="J95" s="9" t="str">
        <f ca="1">'SAC_IOF Ñ USAR'!J95</f>
        <v/>
      </c>
      <c r="K95" s="9" t="str">
        <f ca="1">'SAC_IOF Ñ USAR'!K95</f>
        <v/>
      </c>
      <c r="L95" s="9">
        <f ca="1">'SAC_IOF Ñ USAR'!L95</f>
        <v>10</v>
      </c>
      <c r="N95" s="176">
        <f t="shared" ca="1" si="23"/>
        <v>30</v>
      </c>
      <c r="O95" s="176">
        <f t="shared" ca="1" si="25"/>
        <v>2336</v>
      </c>
      <c r="P95" s="175">
        <f t="shared" ca="1" si="14"/>
        <v>834.39144798065388</v>
      </c>
      <c r="Q95" s="11">
        <f t="shared" ca="1" si="15"/>
        <v>2.9930000000000002E-2</v>
      </c>
      <c r="R95" s="12">
        <f t="shared" ca="1" si="16"/>
        <v>24.973336038060971</v>
      </c>
      <c r="S95" s="513"/>
      <c r="U95">
        <f t="shared" ca="1" si="26"/>
        <v>2142.7423515491587</v>
      </c>
      <c r="V95" s="31">
        <f t="shared" ca="1" si="27"/>
        <v>2222.6577626451076</v>
      </c>
    </row>
    <row r="96" spans="1:22">
      <c r="A96" s="180">
        <f ca="1">'SAC_IOF Ñ USAR'!A96</f>
        <v>77</v>
      </c>
      <c r="B96" s="179">
        <f ca="1">'SAC_IOF Ñ USAR'!B96</f>
        <v>47087</v>
      </c>
      <c r="C96" s="177">
        <f t="shared" ca="1" si="17"/>
        <v>889.99100827727909</v>
      </c>
      <c r="D96" s="24">
        <f t="shared" ca="1" si="24"/>
        <v>1244.5634259955928</v>
      </c>
      <c r="E96" s="177">
        <f t="shared" ca="1" si="18"/>
        <v>134388.6422498688</v>
      </c>
      <c r="F96" s="178">
        <f t="shared" ca="1" si="19"/>
        <v>28.408512984210681</v>
      </c>
      <c r="G96" s="178">
        <f t="shared" ca="1" si="20"/>
        <v>26.319999999999997</v>
      </c>
      <c r="H96" s="177">
        <f t="shared" ca="1" si="21"/>
        <v>25</v>
      </c>
      <c r="I96" s="25">
        <f t="shared" ca="1" si="22"/>
        <v>2214.2829472570825</v>
      </c>
      <c r="J96" s="9" t="str">
        <f ca="1">'SAC_IOF Ñ USAR'!J96</f>
        <v/>
      </c>
      <c r="K96" s="9" t="str">
        <f ca="1">'SAC_IOF Ñ USAR'!K96</f>
        <v/>
      </c>
      <c r="L96" s="9">
        <f ca="1">'SAC_IOF Ñ USAR'!L96</f>
        <v>11</v>
      </c>
      <c r="N96" s="176">
        <f t="shared" ca="1" si="23"/>
        <v>31</v>
      </c>
      <c r="O96" s="176">
        <f t="shared" ca="1" si="25"/>
        <v>2367</v>
      </c>
      <c r="P96" s="175">
        <f t="shared" ca="1" si="14"/>
        <v>834.39144798065388</v>
      </c>
      <c r="Q96" s="11">
        <f t="shared" ca="1" si="15"/>
        <v>2.9930000000000002E-2</v>
      </c>
      <c r="R96" s="12">
        <f t="shared" ca="1" si="16"/>
        <v>24.973336038060971</v>
      </c>
      <c r="S96" s="513"/>
      <c r="U96">
        <f t="shared" ca="1" si="26"/>
        <v>2134.5544342728717</v>
      </c>
      <c r="V96" s="31">
        <f t="shared" ca="1" si="27"/>
        <v>2214.2829472570825</v>
      </c>
    </row>
    <row r="97" spans="1:22">
      <c r="A97" s="180">
        <f ca="1">'SAC_IOF Ñ USAR'!A97</f>
        <v>78</v>
      </c>
      <c r="B97" s="179">
        <f ca="1">'SAC_IOF Ñ USAR'!B97</f>
        <v>47117</v>
      </c>
      <c r="C97" s="177">
        <f t="shared" ca="1" si="17"/>
        <v>889.99100827727909</v>
      </c>
      <c r="D97" s="24">
        <f t="shared" ca="1" si="24"/>
        <v>1236.3755087193058</v>
      </c>
      <c r="E97" s="177">
        <f t="shared" ca="1" si="18"/>
        <v>133498.65124159152</v>
      </c>
      <c r="F97" s="178">
        <f t="shared" ca="1" si="19"/>
        <v>28.22161487247245</v>
      </c>
      <c r="G97" s="178">
        <f t="shared" ca="1" si="20"/>
        <v>26.319999999999997</v>
      </c>
      <c r="H97" s="177">
        <f t="shared" ca="1" si="21"/>
        <v>25</v>
      </c>
      <c r="I97" s="25">
        <f t="shared" ca="1" si="22"/>
        <v>2205.9081318690573</v>
      </c>
      <c r="J97" s="9" t="str">
        <f ca="1">'SAC_IOF Ñ USAR'!J97</f>
        <v/>
      </c>
      <c r="K97" s="9" t="str">
        <f ca="1">'SAC_IOF Ñ USAR'!K97</f>
        <v/>
      </c>
      <c r="L97" s="9">
        <f ca="1">'SAC_IOF Ñ USAR'!L97</f>
        <v>12</v>
      </c>
      <c r="N97" s="176">
        <f t="shared" ca="1" si="23"/>
        <v>30</v>
      </c>
      <c r="O97" s="176">
        <f t="shared" ca="1" si="25"/>
        <v>2397</v>
      </c>
      <c r="P97" s="175">
        <f t="shared" ca="1" si="14"/>
        <v>834.39144798065388</v>
      </c>
      <c r="Q97" s="11">
        <f t="shared" ca="1" si="15"/>
        <v>2.9930000000000002E-2</v>
      </c>
      <c r="R97" s="12">
        <f t="shared" ca="1" si="16"/>
        <v>24.973336038060971</v>
      </c>
      <c r="S97" s="513"/>
      <c r="U97">
        <f t="shared" ca="1" si="26"/>
        <v>2126.3665169965848</v>
      </c>
      <c r="V97" s="31">
        <f t="shared" ca="1" si="27"/>
        <v>2205.9081318690573</v>
      </c>
    </row>
    <row r="98" spans="1:22">
      <c r="A98" s="180">
        <f ca="1">'SAC_IOF Ñ USAR'!A98</f>
        <v>79</v>
      </c>
      <c r="B98" s="179">
        <f ca="1">'SAC_IOF Ñ USAR'!B98</f>
        <v>47148</v>
      </c>
      <c r="C98" s="177">
        <f t="shared" ca="1" si="17"/>
        <v>889.99100827727909</v>
      </c>
      <c r="D98" s="24">
        <f t="shared" ca="1" si="24"/>
        <v>1228.1875914430191</v>
      </c>
      <c r="E98" s="177">
        <f t="shared" ca="1" si="18"/>
        <v>132608.66023331424</v>
      </c>
      <c r="F98" s="178">
        <f t="shared" ca="1" si="19"/>
        <v>28.03471676073422</v>
      </c>
      <c r="G98" s="178">
        <f t="shared" ca="1" si="20"/>
        <v>26.319999999999997</v>
      </c>
      <c r="H98" s="177">
        <f t="shared" ca="1" si="21"/>
        <v>25</v>
      </c>
      <c r="I98" s="25">
        <f t="shared" ca="1" si="22"/>
        <v>2197.5333164810327</v>
      </c>
      <c r="J98" s="9" t="str">
        <f ca="1">'SAC_IOF Ñ USAR'!J98</f>
        <v/>
      </c>
      <c r="K98" s="9" t="str">
        <f ca="1">'SAC_IOF Ñ USAR'!K98</f>
        <v/>
      </c>
      <c r="L98" s="9">
        <f ca="1">'SAC_IOF Ñ USAR'!L98</f>
        <v>1</v>
      </c>
      <c r="N98" s="176">
        <f t="shared" ca="1" si="23"/>
        <v>31</v>
      </c>
      <c r="O98" s="176">
        <f t="shared" ca="1" si="25"/>
        <v>2428</v>
      </c>
      <c r="P98" s="175">
        <f t="shared" ca="1" si="14"/>
        <v>834.39144798065388</v>
      </c>
      <c r="Q98" s="11">
        <f t="shared" ca="1" si="15"/>
        <v>2.9930000000000002E-2</v>
      </c>
      <c r="R98" s="12">
        <f t="shared" ca="1" si="16"/>
        <v>24.973336038060971</v>
      </c>
      <c r="S98" s="513"/>
      <c r="U98">
        <f t="shared" ca="1" si="26"/>
        <v>2118.1785997202983</v>
      </c>
      <c r="V98" s="31">
        <f t="shared" ca="1" si="27"/>
        <v>2197.5333164810327</v>
      </c>
    </row>
    <row r="99" spans="1:22">
      <c r="A99" s="180">
        <f ca="1">'SAC_IOF Ñ USAR'!A99</f>
        <v>80</v>
      </c>
      <c r="B99" s="179">
        <f ca="1">'SAC_IOF Ñ USAR'!B99</f>
        <v>47177</v>
      </c>
      <c r="C99" s="177">
        <f t="shared" ca="1" si="17"/>
        <v>889.99100827727909</v>
      </c>
      <c r="D99" s="24">
        <f t="shared" ca="1" si="24"/>
        <v>1219.9996741667321</v>
      </c>
      <c r="E99" s="177">
        <f t="shared" ca="1" si="18"/>
        <v>131718.66922503695</v>
      </c>
      <c r="F99" s="178">
        <f t="shared" ca="1" si="19"/>
        <v>27.84781864899599</v>
      </c>
      <c r="G99" s="178">
        <f t="shared" ca="1" si="20"/>
        <v>26.319999999999997</v>
      </c>
      <c r="H99" s="177">
        <f t="shared" ca="1" si="21"/>
        <v>25</v>
      </c>
      <c r="I99" s="25">
        <f t="shared" ca="1" si="22"/>
        <v>2189.1585010930075</v>
      </c>
      <c r="J99" s="9" t="str">
        <f ca="1">'SAC_IOF Ñ USAR'!J99</f>
        <v/>
      </c>
      <c r="K99" s="9" t="str">
        <f ca="1">'SAC_IOF Ñ USAR'!K99</f>
        <v/>
      </c>
      <c r="L99" s="9">
        <f ca="1">'SAC_IOF Ñ USAR'!L99</f>
        <v>2</v>
      </c>
      <c r="N99" s="176">
        <f t="shared" ca="1" si="23"/>
        <v>29</v>
      </c>
      <c r="O99" s="176">
        <f t="shared" ca="1" si="25"/>
        <v>2457</v>
      </c>
      <c r="P99" s="175">
        <f t="shared" ca="1" si="14"/>
        <v>834.39144798065388</v>
      </c>
      <c r="Q99" s="11">
        <f t="shared" ca="1" si="15"/>
        <v>2.9930000000000002E-2</v>
      </c>
      <c r="R99" s="12">
        <f t="shared" ca="1" si="16"/>
        <v>24.973336038060971</v>
      </c>
      <c r="S99" s="513"/>
      <c r="U99">
        <f t="shared" ca="1" si="26"/>
        <v>2109.9906824440113</v>
      </c>
      <c r="V99" s="31">
        <f t="shared" ca="1" si="27"/>
        <v>2189.1585010930075</v>
      </c>
    </row>
    <row r="100" spans="1:22">
      <c r="A100" s="180">
        <f ca="1">'SAC_IOF Ñ USAR'!A100</f>
        <v>81</v>
      </c>
      <c r="B100" s="179">
        <f ca="1">'SAC_IOF Ñ USAR'!B100</f>
        <v>47207</v>
      </c>
      <c r="C100" s="177">
        <f t="shared" ca="1" si="17"/>
        <v>889.99100827727909</v>
      </c>
      <c r="D100" s="24">
        <f t="shared" ca="1" si="24"/>
        <v>1211.8117568904452</v>
      </c>
      <c r="E100" s="177">
        <f t="shared" ca="1" si="18"/>
        <v>130828.67821675967</v>
      </c>
      <c r="F100" s="178">
        <f t="shared" ca="1" si="19"/>
        <v>27.660920537257763</v>
      </c>
      <c r="G100" s="178">
        <f t="shared" ca="1" si="20"/>
        <v>26.319999999999997</v>
      </c>
      <c r="H100" s="177">
        <f t="shared" ca="1" si="21"/>
        <v>25</v>
      </c>
      <c r="I100" s="25">
        <f t="shared" ca="1" si="22"/>
        <v>2180.7836857049824</v>
      </c>
      <c r="J100" s="9" t="str">
        <f ca="1">'SAC_IOF Ñ USAR'!J100</f>
        <v/>
      </c>
      <c r="K100" s="9" t="str">
        <f ca="1">'SAC_IOF Ñ USAR'!K100</f>
        <v/>
      </c>
      <c r="L100" s="9">
        <f ca="1">'SAC_IOF Ñ USAR'!L100</f>
        <v>3</v>
      </c>
      <c r="N100" s="176">
        <f t="shared" ca="1" si="23"/>
        <v>30</v>
      </c>
      <c r="O100" s="176">
        <f t="shared" ca="1" si="25"/>
        <v>2487</v>
      </c>
      <c r="P100" s="175">
        <f t="shared" ca="1" si="14"/>
        <v>834.39144798065388</v>
      </c>
      <c r="Q100" s="11">
        <f t="shared" ca="1" si="15"/>
        <v>2.9930000000000002E-2</v>
      </c>
      <c r="R100" s="12">
        <f t="shared" ca="1" si="16"/>
        <v>24.973336038060971</v>
      </c>
      <c r="S100" s="513"/>
      <c r="U100">
        <f t="shared" ca="1" si="26"/>
        <v>2101.8027651677244</v>
      </c>
      <c r="V100" s="31">
        <f t="shared" ca="1" si="27"/>
        <v>2180.7836857049824</v>
      </c>
    </row>
    <row r="101" spans="1:22">
      <c r="A101" s="180">
        <f ca="1">'SAC_IOF Ñ USAR'!A101</f>
        <v>82</v>
      </c>
      <c r="B101" s="179">
        <f ca="1">'SAC_IOF Ñ USAR'!B101</f>
        <v>47238</v>
      </c>
      <c r="C101" s="177">
        <f t="shared" ca="1" si="17"/>
        <v>889.99100827727909</v>
      </c>
      <c r="D101" s="24">
        <f t="shared" ca="1" si="24"/>
        <v>1203.6238396141584</v>
      </c>
      <c r="E101" s="177">
        <f t="shared" ca="1" si="18"/>
        <v>129938.68720848238</v>
      </c>
      <c r="F101" s="178">
        <f t="shared" ca="1" si="19"/>
        <v>27.474022425519532</v>
      </c>
      <c r="G101" s="178">
        <f t="shared" ca="1" si="20"/>
        <v>26.319999999999997</v>
      </c>
      <c r="H101" s="177">
        <f t="shared" ca="1" si="21"/>
        <v>25</v>
      </c>
      <c r="I101" s="25">
        <f t="shared" ca="1" si="22"/>
        <v>2172.4088703169573</v>
      </c>
      <c r="J101" s="9" t="str">
        <f ca="1">'SAC_IOF Ñ USAR'!J101</f>
        <v/>
      </c>
      <c r="K101" s="9" t="str">
        <f ca="1">'SAC_IOF Ñ USAR'!K101</f>
        <v/>
      </c>
      <c r="L101" s="9">
        <f ca="1">'SAC_IOF Ñ USAR'!L101</f>
        <v>4</v>
      </c>
      <c r="N101" s="176">
        <f t="shared" ca="1" si="23"/>
        <v>31</v>
      </c>
      <c r="O101" s="176">
        <f t="shared" ca="1" si="25"/>
        <v>2518</v>
      </c>
      <c r="P101" s="175">
        <f t="shared" ca="1" si="14"/>
        <v>834.39144798065388</v>
      </c>
      <c r="Q101" s="11">
        <f t="shared" ca="1" si="15"/>
        <v>2.9930000000000002E-2</v>
      </c>
      <c r="R101" s="12">
        <f t="shared" ca="1" si="16"/>
        <v>24.973336038060971</v>
      </c>
      <c r="S101" s="513"/>
      <c r="U101">
        <f t="shared" ca="1" si="26"/>
        <v>2093.6148478914374</v>
      </c>
      <c r="V101" s="31">
        <f t="shared" ca="1" si="27"/>
        <v>2172.4088703169573</v>
      </c>
    </row>
    <row r="102" spans="1:22">
      <c r="A102" s="180">
        <f ca="1">'SAC_IOF Ñ USAR'!A102</f>
        <v>83</v>
      </c>
      <c r="B102" s="179">
        <f ca="1">'SAC_IOF Ñ USAR'!B102</f>
        <v>47268</v>
      </c>
      <c r="C102" s="177">
        <f t="shared" ca="1" si="17"/>
        <v>889.99100827727909</v>
      </c>
      <c r="D102" s="24">
        <f t="shared" ca="1" si="24"/>
        <v>1195.4359223378715</v>
      </c>
      <c r="E102" s="177">
        <f t="shared" ca="1" si="18"/>
        <v>129048.6962002051</v>
      </c>
      <c r="F102" s="178">
        <f t="shared" ca="1" si="19"/>
        <v>27.287124313781302</v>
      </c>
      <c r="G102" s="178">
        <f t="shared" ca="1" si="20"/>
        <v>26.319999999999997</v>
      </c>
      <c r="H102" s="177">
        <f t="shared" ca="1" si="21"/>
        <v>25</v>
      </c>
      <c r="I102" s="25">
        <f t="shared" ca="1" si="22"/>
        <v>2164.0340549289317</v>
      </c>
      <c r="J102" s="9" t="str">
        <f ca="1">'SAC_IOF Ñ USAR'!J102</f>
        <v/>
      </c>
      <c r="K102" s="9" t="str">
        <f ca="1">'SAC_IOF Ñ USAR'!K102</f>
        <v/>
      </c>
      <c r="L102" s="9">
        <f ca="1">'SAC_IOF Ñ USAR'!L102</f>
        <v>5</v>
      </c>
      <c r="N102" s="176">
        <f t="shared" ca="1" si="23"/>
        <v>30</v>
      </c>
      <c r="O102" s="176">
        <f t="shared" ca="1" si="25"/>
        <v>2548</v>
      </c>
      <c r="P102" s="175">
        <f t="shared" ca="1" si="14"/>
        <v>834.39144798065388</v>
      </c>
      <c r="Q102" s="11">
        <f t="shared" ca="1" si="15"/>
        <v>2.9930000000000002E-2</v>
      </c>
      <c r="R102" s="12">
        <f t="shared" ca="1" si="16"/>
        <v>24.973336038060971</v>
      </c>
      <c r="S102" s="513"/>
      <c r="U102">
        <f t="shared" ca="1" si="26"/>
        <v>2085.4269306151505</v>
      </c>
      <c r="V102" s="31">
        <f t="shared" ca="1" si="27"/>
        <v>2164.0340549289317</v>
      </c>
    </row>
    <row r="103" spans="1:22">
      <c r="A103" s="180">
        <f ca="1">'SAC_IOF Ñ USAR'!A103</f>
        <v>84</v>
      </c>
      <c r="B103" s="179">
        <f ca="1">'SAC_IOF Ñ USAR'!B103</f>
        <v>47299</v>
      </c>
      <c r="C103" s="177">
        <f t="shared" ca="1" si="17"/>
        <v>889.99100827727909</v>
      </c>
      <c r="D103" s="24">
        <f t="shared" ca="1" si="24"/>
        <v>1187.2480050615848</v>
      </c>
      <c r="E103" s="177">
        <f t="shared" ca="1" si="18"/>
        <v>128158.70519192782</v>
      </c>
      <c r="F103" s="178">
        <f t="shared" ca="1" si="19"/>
        <v>27.100226202043071</v>
      </c>
      <c r="G103" s="178">
        <f t="shared" ca="1" si="20"/>
        <v>26.319999999999997</v>
      </c>
      <c r="H103" s="177">
        <f t="shared" ca="1" si="21"/>
        <v>25</v>
      </c>
      <c r="I103" s="25">
        <f t="shared" ca="1" si="22"/>
        <v>2155.659239540907</v>
      </c>
      <c r="J103" s="9" t="str">
        <f ca="1">'SAC_IOF Ñ USAR'!J103</f>
        <v/>
      </c>
      <c r="K103" s="9" t="str">
        <f ca="1">'SAC_IOF Ñ USAR'!K103</f>
        <v/>
      </c>
      <c r="L103" s="9">
        <f ca="1">'SAC_IOF Ñ USAR'!L103</f>
        <v>6</v>
      </c>
      <c r="N103" s="176">
        <f t="shared" ca="1" si="23"/>
        <v>31</v>
      </c>
      <c r="O103" s="176">
        <f t="shared" ca="1" si="25"/>
        <v>2579</v>
      </c>
      <c r="P103" s="175">
        <f t="shared" ca="1" si="14"/>
        <v>834.39144798065388</v>
      </c>
      <c r="Q103" s="11">
        <f t="shared" ca="1" si="15"/>
        <v>2.9930000000000002E-2</v>
      </c>
      <c r="R103" s="12">
        <f t="shared" ca="1" si="16"/>
        <v>24.973336038060971</v>
      </c>
      <c r="S103" s="513"/>
      <c r="U103">
        <f t="shared" ca="1" si="26"/>
        <v>2077.239013338864</v>
      </c>
      <c r="V103" s="31">
        <f t="shared" ca="1" si="27"/>
        <v>2155.659239540907</v>
      </c>
    </row>
    <row r="104" spans="1:22">
      <c r="A104" s="180">
        <f ca="1">'SAC_IOF Ñ USAR'!A104</f>
        <v>85</v>
      </c>
      <c r="B104" s="179">
        <f ca="1">'SAC_IOF Ñ USAR'!B104</f>
        <v>47329</v>
      </c>
      <c r="C104" s="177">
        <f t="shared" ca="1" si="17"/>
        <v>889.99100827727909</v>
      </c>
      <c r="D104" s="24">
        <f t="shared" ca="1" si="24"/>
        <v>1179.0600877852978</v>
      </c>
      <c r="E104" s="177">
        <f t="shared" ca="1" si="18"/>
        <v>127268.71418365053</v>
      </c>
      <c r="F104" s="178">
        <f t="shared" ca="1" si="19"/>
        <v>26.913328090304841</v>
      </c>
      <c r="G104" s="178">
        <f t="shared" ca="1" si="20"/>
        <v>26.319999999999997</v>
      </c>
      <c r="H104" s="177">
        <f t="shared" ca="1" si="21"/>
        <v>25</v>
      </c>
      <c r="I104" s="25">
        <f t="shared" ca="1" si="22"/>
        <v>2147.2844241528819</v>
      </c>
      <c r="J104" s="9" t="str">
        <f ca="1">'SAC_IOF Ñ USAR'!J104</f>
        <v/>
      </c>
      <c r="K104" s="9" t="str">
        <f ca="1">'SAC_IOF Ñ USAR'!K104</f>
        <v/>
      </c>
      <c r="L104" s="9">
        <f ca="1">'SAC_IOF Ñ USAR'!L104</f>
        <v>7</v>
      </c>
      <c r="N104" s="176">
        <f t="shared" ca="1" si="23"/>
        <v>30</v>
      </c>
      <c r="O104" s="176">
        <f t="shared" ca="1" si="25"/>
        <v>2609</v>
      </c>
      <c r="P104" s="175">
        <f t="shared" ca="1" si="14"/>
        <v>834.39144798065388</v>
      </c>
      <c r="Q104" s="11">
        <f t="shared" ca="1" si="15"/>
        <v>2.9930000000000002E-2</v>
      </c>
      <c r="R104" s="12">
        <f t="shared" ca="1" si="16"/>
        <v>24.973336038060971</v>
      </c>
      <c r="S104" s="513"/>
      <c r="U104">
        <f t="shared" ca="1" si="26"/>
        <v>2069.051096062577</v>
      </c>
      <c r="V104" s="31">
        <f t="shared" ca="1" si="27"/>
        <v>2147.2844241528819</v>
      </c>
    </row>
    <row r="105" spans="1:22">
      <c r="A105" s="180">
        <f ca="1">'SAC_IOF Ñ USAR'!A105</f>
        <v>86</v>
      </c>
      <c r="B105" s="179">
        <f ca="1">'SAC_IOF Ñ USAR'!B105</f>
        <v>47360</v>
      </c>
      <c r="C105" s="177">
        <f t="shared" ca="1" si="17"/>
        <v>889.99100827727909</v>
      </c>
      <c r="D105" s="24">
        <f t="shared" ca="1" si="24"/>
        <v>1170.8721705090109</v>
      </c>
      <c r="E105" s="177">
        <f t="shared" ca="1" si="18"/>
        <v>126378.72317537325</v>
      </c>
      <c r="F105" s="178">
        <f t="shared" ca="1" si="19"/>
        <v>26.726429978566614</v>
      </c>
      <c r="G105" s="178">
        <f t="shared" ca="1" si="20"/>
        <v>26.319999999999997</v>
      </c>
      <c r="H105" s="177">
        <f t="shared" ca="1" si="21"/>
        <v>25</v>
      </c>
      <c r="I105" s="25">
        <f t="shared" ca="1" si="22"/>
        <v>2138.9096087648568</v>
      </c>
      <c r="J105" s="9" t="str">
        <f ca="1">'SAC_IOF Ñ USAR'!J105</f>
        <v/>
      </c>
      <c r="K105" s="9" t="str">
        <f ca="1">'SAC_IOF Ñ USAR'!K105</f>
        <v/>
      </c>
      <c r="L105" s="9">
        <f ca="1">'SAC_IOF Ñ USAR'!L105</f>
        <v>8</v>
      </c>
      <c r="N105" s="176">
        <f t="shared" ca="1" si="23"/>
        <v>31</v>
      </c>
      <c r="O105" s="176">
        <f t="shared" ca="1" si="25"/>
        <v>2640</v>
      </c>
      <c r="P105" s="175">
        <f t="shared" ca="1" si="14"/>
        <v>834.39144798065388</v>
      </c>
      <c r="Q105" s="11">
        <f t="shared" ca="1" si="15"/>
        <v>2.9930000000000002E-2</v>
      </c>
      <c r="R105" s="12">
        <f t="shared" ca="1" si="16"/>
        <v>24.973336038060971</v>
      </c>
      <c r="S105" s="513"/>
      <c r="U105">
        <f t="shared" ca="1" si="26"/>
        <v>2060.8631787862901</v>
      </c>
      <c r="V105" s="31">
        <f t="shared" ca="1" si="27"/>
        <v>2138.9096087648568</v>
      </c>
    </row>
    <row r="106" spans="1:22">
      <c r="A106" s="180">
        <f ca="1">'SAC_IOF Ñ USAR'!A106</f>
        <v>87</v>
      </c>
      <c r="B106" s="179">
        <f ca="1">'SAC_IOF Ñ USAR'!B106</f>
        <v>47391</v>
      </c>
      <c r="C106" s="177">
        <f t="shared" ca="1" si="17"/>
        <v>889.99100827727909</v>
      </c>
      <c r="D106" s="24">
        <f t="shared" ca="1" si="24"/>
        <v>1162.6842532327241</v>
      </c>
      <c r="E106" s="177">
        <f t="shared" ca="1" si="18"/>
        <v>125488.73216709596</v>
      </c>
      <c r="F106" s="178">
        <f t="shared" ca="1" si="19"/>
        <v>26.539531866828383</v>
      </c>
      <c r="G106" s="178">
        <f t="shared" ca="1" si="20"/>
        <v>26.319999999999997</v>
      </c>
      <c r="H106" s="177">
        <f t="shared" ca="1" si="21"/>
        <v>25</v>
      </c>
      <c r="I106" s="25">
        <f t="shared" ca="1" si="22"/>
        <v>2130.5347933768317</v>
      </c>
      <c r="J106" s="9" t="str">
        <f ca="1">'SAC_IOF Ñ USAR'!J106</f>
        <v/>
      </c>
      <c r="K106" s="9" t="str">
        <f ca="1">'SAC_IOF Ñ USAR'!K106</f>
        <v/>
      </c>
      <c r="L106" s="9">
        <f ca="1">'SAC_IOF Ñ USAR'!L106</f>
        <v>9</v>
      </c>
      <c r="N106" s="176">
        <f t="shared" ca="1" si="23"/>
        <v>31</v>
      </c>
      <c r="O106" s="176">
        <f t="shared" ca="1" si="25"/>
        <v>2671</v>
      </c>
      <c r="P106" s="175">
        <f t="shared" ca="1" si="14"/>
        <v>834.39144798065388</v>
      </c>
      <c r="Q106" s="11">
        <f t="shared" ca="1" si="15"/>
        <v>2.9930000000000002E-2</v>
      </c>
      <c r="R106" s="12">
        <f t="shared" ca="1" si="16"/>
        <v>24.973336038060971</v>
      </c>
      <c r="S106" s="513"/>
      <c r="U106">
        <f t="shared" ca="1" si="26"/>
        <v>2052.6752615100031</v>
      </c>
      <c r="V106" s="31">
        <f t="shared" ca="1" si="27"/>
        <v>2130.5347933768317</v>
      </c>
    </row>
    <row r="107" spans="1:22">
      <c r="A107" s="180">
        <f ca="1">'SAC_IOF Ñ USAR'!A107</f>
        <v>88</v>
      </c>
      <c r="B107" s="179">
        <f ca="1">'SAC_IOF Ñ USAR'!B107</f>
        <v>47421</v>
      </c>
      <c r="C107" s="177">
        <f t="shared" ca="1" si="17"/>
        <v>889.99100827727909</v>
      </c>
      <c r="D107" s="24">
        <f t="shared" ca="1" si="24"/>
        <v>1154.4963359564372</v>
      </c>
      <c r="E107" s="177">
        <f t="shared" ca="1" si="18"/>
        <v>124598.74115881868</v>
      </c>
      <c r="F107" s="178">
        <f t="shared" ca="1" si="19"/>
        <v>26.352633755090153</v>
      </c>
      <c r="G107" s="178">
        <f t="shared" ca="1" si="20"/>
        <v>26.319999999999997</v>
      </c>
      <c r="H107" s="177">
        <f t="shared" ca="1" si="21"/>
        <v>25</v>
      </c>
      <c r="I107" s="25">
        <f t="shared" ca="1" si="22"/>
        <v>2122.1599779888065</v>
      </c>
      <c r="J107" s="9" t="str">
        <f ca="1">'SAC_IOF Ñ USAR'!J107</f>
        <v/>
      </c>
      <c r="K107" s="9" t="str">
        <f ca="1">'SAC_IOF Ñ USAR'!K107</f>
        <v/>
      </c>
      <c r="L107" s="9">
        <f ca="1">'SAC_IOF Ñ USAR'!L107</f>
        <v>10</v>
      </c>
      <c r="N107" s="176">
        <f t="shared" ca="1" si="23"/>
        <v>30</v>
      </c>
      <c r="O107" s="176">
        <f t="shared" ca="1" si="25"/>
        <v>2701</v>
      </c>
      <c r="P107" s="175">
        <f t="shared" ca="1" si="14"/>
        <v>834.39144798065388</v>
      </c>
      <c r="Q107" s="11">
        <f t="shared" ca="1" si="15"/>
        <v>2.9930000000000002E-2</v>
      </c>
      <c r="R107" s="12">
        <f t="shared" ca="1" si="16"/>
        <v>24.973336038060971</v>
      </c>
      <c r="S107" s="513"/>
      <c r="U107">
        <f t="shared" ca="1" si="26"/>
        <v>2044.4873442337162</v>
      </c>
      <c r="V107" s="31">
        <f t="shared" ca="1" si="27"/>
        <v>2122.1599779888065</v>
      </c>
    </row>
    <row r="108" spans="1:22">
      <c r="A108" s="180">
        <f ca="1">'SAC_IOF Ñ USAR'!A108</f>
        <v>89</v>
      </c>
      <c r="B108" s="179">
        <f ca="1">'SAC_IOF Ñ USAR'!B108</f>
        <v>47452</v>
      </c>
      <c r="C108" s="177">
        <f t="shared" ca="1" si="17"/>
        <v>889.99100827727909</v>
      </c>
      <c r="D108" s="24">
        <f t="shared" ca="1" si="24"/>
        <v>1146.3084186801505</v>
      </c>
      <c r="E108" s="177">
        <f t="shared" ca="1" si="18"/>
        <v>123708.7501505414</v>
      </c>
      <c r="F108" s="178">
        <f t="shared" ca="1" si="19"/>
        <v>26.165735643351923</v>
      </c>
      <c r="G108" s="178">
        <f t="shared" ca="1" si="20"/>
        <v>26.319999999999997</v>
      </c>
      <c r="H108" s="177">
        <f t="shared" ca="1" si="21"/>
        <v>25</v>
      </c>
      <c r="I108" s="25">
        <f t="shared" ca="1" si="22"/>
        <v>2113.7851626007819</v>
      </c>
      <c r="J108" s="9" t="str">
        <f ca="1">'SAC_IOF Ñ USAR'!J108</f>
        <v/>
      </c>
      <c r="K108" s="9" t="str">
        <f ca="1">'SAC_IOF Ñ USAR'!K108</f>
        <v/>
      </c>
      <c r="L108" s="9">
        <f ca="1">'SAC_IOF Ñ USAR'!L108</f>
        <v>11</v>
      </c>
      <c r="N108" s="176">
        <f t="shared" ca="1" si="23"/>
        <v>31</v>
      </c>
      <c r="O108" s="176">
        <f t="shared" ca="1" si="25"/>
        <v>2732</v>
      </c>
      <c r="P108" s="175">
        <f t="shared" ca="1" si="14"/>
        <v>834.39144798065388</v>
      </c>
      <c r="Q108" s="11">
        <f t="shared" ca="1" si="15"/>
        <v>2.9930000000000002E-2</v>
      </c>
      <c r="R108" s="12">
        <f t="shared" ca="1" si="16"/>
        <v>24.973336038060971</v>
      </c>
      <c r="S108" s="513"/>
      <c r="U108">
        <f t="shared" ca="1" si="26"/>
        <v>2036.2994269574297</v>
      </c>
      <c r="V108" s="31">
        <f t="shared" ca="1" si="27"/>
        <v>2113.7851626007819</v>
      </c>
    </row>
    <row r="109" spans="1:22">
      <c r="A109" s="180">
        <f ca="1">'SAC_IOF Ñ USAR'!A109</f>
        <v>90</v>
      </c>
      <c r="B109" s="179">
        <f ca="1">'SAC_IOF Ñ USAR'!B109</f>
        <v>47482</v>
      </c>
      <c r="C109" s="177">
        <f t="shared" ca="1" si="17"/>
        <v>889.99100827727909</v>
      </c>
      <c r="D109" s="24">
        <f t="shared" ca="1" si="24"/>
        <v>1138.1205014038635</v>
      </c>
      <c r="E109" s="177">
        <f t="shared" ca="1" si="18"/>
        <v>122818.75914226411</v>
      </c>
      <c r="F109" s="178">
        <f t="shared" ca="1" si="19"/>
        <v>25.978837531613696</v>
      </c>
      <c r="G109" s="178">
        <f t="shared" ca="1" si="20"/>
        <v>26.319999999999997</v>
      </c>
      <c r="H109" s="177">
        <f t="shared" ca="1" si="21"/>
        <v>25</v>
      </c>
      <c r="I109" s="25">
        <f t="shared" ca="1" si="22"/>
        <v>2105.4103472127567</v>
      </c>
      <c r="J109" s="9" t="str">
        <f ca="1">'SAC_IOF Ñ USAR'!J109</f>
        <v/>
      </c>
      <c r="K109" s="9" t="str">
        <f ca="1">'SAC_IOF Ñ USAR'!K109</f>
        <v/>
      </c>
      <c r="L109" s="9">
        <f ca="1">'SAC_IOF Ñ USAR'!L109</f>
        <v>12</v>
      </c>
      <c r="N109" s="176">
        <f t="shared" ca="1" si="23"/>
        <v>30</v>
      </c>
      <c r="O109" s="176">
        <f t="shared" ca="1" si="25"/>
        <v>2762</v>
      </c>
      <c r="P109" s="175">
        <f t="shared" ca="1" si="14"/>
        <v>834.39144798065388</v>
      </c>
      <c r="Q109" s="11">
        <f t="shared" ca="1" si="15"/>
        <v>2.9930000000000002E-2</v>
      </c>
      <c r="R109" s="12">
        <f t="shared" ca="1" si="16"/>
        <v>24.973336038060971</v>
      </c>
      <c r="S109" s="513"/>
      <c r="U109">
        <f t="shared" ca="1" si="26"/>
        <v>2028.1115096811427</v>
      </c>
      <c r="V109" s="31">
        <f t="shared" ca="1" si="27"/>
        <v>2105.4103472127567</v>
      </c>
    </row>
    <row r="110" spans="1:22">
      <c r="A110" s="180">
        <f ca="1">'SAC_IOF Ñ USAR'!A110</f>
        <v>91</v>
      </c>
      <c r="B110" s="179">
        <f ca="1">'SAC_IOF Ñ USAR'!B110</f>
        <v>47513</v>
      </c>
      <c r="C110" s="177">
        <f t="shared" ca="1" si="17"/>
        <v>889.99100827727909</v>
      </c>
      <c r="D110" s="24">
        <f t="shared" ca="1" si="24"/>
        <v>1129.9325841275768</v>
      </c>
      <c r="E110" s="177">
        <f t="shared" ca="1" si="18"/>
        <v>121928.76813398683</v>
      </c>
      <c r="F110" s="178">
        <f t="shared" ca="1" si="19"/>
        <v>25.791939419875465</v>
      </c>
      <c r="G110" s="178">
        <f t="shared" ca="1" si="20"/>
        <v>26.319999999999997</v>
      </c>
      <c r="H110" s="177">
        <f t="shared" ca="1" si="21"/>
        <v>25</v>
      </c>
      <c r="I110" s="25">
        <f t="shared" ca="1" si="22"/>
        <v>2097.0355318247312</v>
      </c>
      <c r="J110" s="9" t="str">
        <f ca="1">'SAC_IOF Ñ USAR'!J110</f>
        <v/>
      </c>
      <c r="K110" s="9" t="str">
        <f ca="1">'SAC_IOF Ñ USAR'!K110</f>
        <v/>
      </c>
      <c r="L110" s="9">
        <f ca="1">'SAC_IOF Ñ USAR'!L110</f>
        <v>1</v>
      </c>
      <c r="N110" s="176">
        <f t="shared" ca="1" si="23"/>
        <v>31</v>
      </c>
      <c r="O110" s="176">
        <f t="shared" ca="1" si="25"/>
        <v>2793</v>
      </c>
      <c r="P110" s="175">
        <f t="shared" ca="1" si="14"/>
        <v>834.39144798065388</v>
      </c>
      <c r="Q110" s="11">
        <f t="shared" ca="1" si="15"/>
        <v>2.9930000000000002E-2</v>
      </c>
      <c r="R110" s="12">
        <f t="shared" ca="1" si="16"/>
        <v>24.973336038060971</v>
      </c>
      <c r="S110" s="513"/>
      <c r="U110">
        <f t="shared" ca="1" si="26"/>
        <v>2019.9235924048558</v>
      </c>
      <c r="V110" s="31">
        <f t="shared" ca="1" si="27"/>
        <v>2097.0355318247312</v>
      </c>
    </row>
    <row r="111" spans="1:22">
      <c r="A111" s="180">
        <f ca="1">'SAC_IOF Ñ USAR'!A111</f>
        <v>92</v>
      </c>
      <c r="B111" s="179">
        <f ca="1">'SAC_IOF Ñ USAR'!B111</f>
        <v>47542</v>
      </c>
      <c r="C111" s="177">
        <f t="shared" ca="1" si="17"/>
        <v>889.99100827727909</v>
      </c>
      <c r="D111" s="24">
        <f t="shared" ca="1" si="24"/>
        <v>1121.7446668512898</v>
      </c>
      <c r="E111" s="177">
        <f t="shared" ca="1" si="18"/>
        <v>121038.77712570954</v>
      </c>
      <c r="F111" s="178">
        <f t="shared" ca="1" si="19"/>
        <v>25.605041308137235</v>
      </c>
      <c r="G111" s="178">
        <f t="shared" ca="1" si="20"/>
        <v>26.319999999999997</v>
      </c>
      <c r="H111" s="177">
        <f t="shared" ca="1" si="21"/>
        <v>25</v>
      </c>
      <c r="I111" s="25">
        <f t="shared" ca="1" si="22"/>
        <v>2088.660716436706</v>
      </c>
      <c r="J111" s="9" t="str">
        <f ca="1">'SAC_IOF Ñ USAR'!J111</f>
        <v/>
      </c>
      <c r="K111" s="9" t="str">
        <f ca="1">'SAC_IOF Ñ USAR'!K111</f>
        <v/>
      </c>
      <c r="L111" s="9">
        <f ca="1">'SAC_IOF Ñ USAR'!L111</f>
        <v>2</v>
      </c>
      <c r="N111" s="176">
        <f t="shared" ca="1" si="23"/>
        <v>29</v>
      </c>
      <c r="O111" s="176">
        <f t="shared" ca="1" si="25"/>
        <v>2822</v>
      </c>
      <c r="P111" s="175">
        <f t="shared" ca="1" si="14"/>
        <v>834.39144798065388</v>
      </c>
      <c r="Q111" s="11">
        <f t="shared" ca="1" si="15"/>
        <v>2.9930000000000002E-2</v>
      </c>
      <c r="R111" s="12">
        <f t="shared" ca="1" si="16"/>
        <v>24.973336038060971</v>
      </c>
      <c r="S111" s="513"/>
      <c r="U111">
        <f t="shared" ca="1" si="26"/>
        <v>2011.7356751285688</v>
      </c>
      <c r="V111" s="31">
        <f t="shared" ca="1" si="27"/>
        <v>2088.660716436706</v>
      </c>
    </row>
    <row r="112" spans="1:22">
      <c r="A112" s="180">
        <f ca="1">'SAC_IOF Ñ USAR'!A112</f>
        <v>93</v>
      </c>
      <c r="B112" s="179">
        <f ca="1">'SAC_IOF Ñ USAR'!B112</f>
        <v>47572</v>
      </c>
      <c r="C112" s="177">
        <f t="shared" ca="1" si="17"/>
        <v>889.99100827727909</v>
      </c>
      <c r="D112" s="24">
        <f t="shared" ca="1" si="24"/>
        <v>1113.5567495750029</v>
      </c>
      <c r="E112" s="177">
        <f t="shared" ca="1" si="18"/>
        <v>120148.78611743226</v>
      </c>
      <c r="F112" s="178">
        <f t="shared" ca="1" si="19"/>
        <v>25.418143196399004</v>
      </c>
      <c r="G112" s="178">
        <f t="shared" ca="1" si="20"/>
        <v>26.319999999999997</v>
      </c>
      <c r="H112" s="177">
        <f t="shared" ca="1" si="21"/>
        <v>25</v>
      </c>
      <c r="I112" s="25">
        <f t="shared" ca="1" si="22"/>
        <v>2080.2859010486809</v>
      </c>
      <c r="J112" s="9" t="str">
        <f ca="1">'SAC_IOF Ñ USAR'!J112</f>
        <v/>
      </c>
      <c r="K112" s="9" t="str">
        <f ca="1">'SAC_IOF Ñ USAR'!K112</f>
        <v/>
      </c>
      <c r="L112" s="9">
        <f ca="1">'SAC_IOF Ñ USAR'!L112</f>
        <v>3</v>
      </c>
      <c r="N112" s="176">
        <f t="shared" ca="1" si="23"/>
        <v>30</v>
      </c>
      <c r="O112" s="176">
        <f t="shared" ca="1" si="25"/>
        <v>2852</v>
      </c>
      <c r="P112" s="175">
        <f t="shared" ca="1" si="14"/>
        <v>834.39144798065388</v>
      </c>
      <c r="Q112" s="11">
        <f t="shared" ca="1" si="15"/>
        <v>2.9930000000000002E-2</v>
      </c>
      <c r="R112" s="12">
        <f t="shared" ca="1" si="16"/>
        <v>24.973336038060971</v>
      </c>
      <c r="S112" s="513"/>
      <c r="U112">
        <f t="shared" ca="1" si="26"/>
        <v>2003.5477578522818</v>
      </c>
      <c r="V112" s="31">
        <f t="shared" ca="1" si="27"/>
        <v>2080.2859010486809</v>
      </c>
    </row>
    <row r="113" spans="1:22">
      <c r="A113" s="180">
        <f ca="1">'SAC_IOF Ñ USAR'!A113</f>
        <v>94</v>
      </c>
      <c r="B113" s="179">
        <f ca="1">'SAC_IOF Ñ USAR'!B113</f>
        <v>47603</v>
      </c>
      <c r="C113" s="177">
        <f t="shared" ca="1" si="17"/>
        <v>889.99100827727909</v>
      </c>
      <c r="D113" s="24">
        <f t="shared" ca="1" si="24"/>
        <v>1105.3688322987161</v>
      </c>
      <c r="E113" s="177">
        <f t="shared" ca="1" si="18"/>
        <v>119258.79510915498</v>
      </c>
      <c r="F113" s="178">
        <f t="shared" ca="1" si="19"/>
        <v>25.231245084660777</v>
      </c>
      <c r="G113" s="178">
        <f t="shared" ca="1" si="20"/>
        <v>26.319999999999997</v>
      </c>
      <c r="H113" s="177">
        <f t="shared" ca="1" si="21"/>
        <v>25</v>
      </c>
      <c r="I113" s="25">
        <f t="shared" ca="1" si="22"/>
        <v>2071.9110856606558</v>
      </c>
      <c r="J113" s="9" t="str">
        <f ca="1">'SAC_IOF Ñ USAR'!J113</f>
        <v/>
      </c>
      <c r="K113" s="9" t="str">
        <f ca="1">'SAC_IOF Ñ USAR'!K113</f>
        <v/>
      </c>
      <c r="L113" s="9">
        <f ca="1">'SAC_IOF Ñ USAR'!L113</f>
        <v>4</v>
      </c>
      <c r="N113" s="176">
        <f t="shared" ca="1" si="23"/>
        <v>31</v>
      </c>
      <c r="O113" s="176">
        <f t="shared" ca="1" si="25"/>
        <v>2883</v>
      </c>
      <c r="P113" s="175">
        <f t="shared" ca="1" si="14"/>
        <v>834.39144798065388</v>
      </c>
      <c r="Q113" s="11">
        <f t="shared" ca="1" si="15"/>
        <v>2.9930000000000002E-2</v>
      </c>
      <c r="R113" s="12">
        <f t="shared" ca="1" si="16"/>
        <v>24.973336038060971</v>
      </c>
      <c r="S113" s="513"/>
      <c r="U113">
        <f t="shared" ca="1" si="26"/>
        <v>1995.3598405759953</v>
      </c>
      <c r="V113" s="31">
        <f t="shared" ca="1" si="27"/>
        <v>2071.9110856606558</v>
      </c>
    </row>
    <row r="114" spans="1:22">
      <c r="A114" s="180">
        <f ca="1">'SAC_IOF Ñ USAR'!A114</f>
        <v>95</v>
      </c>
      <c r="B114" s="179">
        <f ca="1">'SAC_IOF Ñ USAR'!B114</f>
        <v>47633</v>
      </c>
      <c r="C114" s="177">
        <f t="shared" ca="1" si="17"/>
        <v>889.99100827727909</v>
      </c>
      <c r="D114" s="24">
        <f t="shared" ca="1" si="24"/>
        <v>1097.1809150224292</v>
      </c>
      <c r="E114" s="177">
        <f t="shared" ca="1" si="18"/>
        <v>118368.80410087769</v>
      </c>
      <c r="F114" s="178">
        <f t="shared" ca="1" si="19"/>
        <v>25.044346972922547</v>
      </c>
      <c r="G114" s="178">
        <f t="shared" ca="1" si="20"/>
        <v>26.319999999999997</v>
      </c>
      <c r="H114" s="177">
        <f t="shared" ca="1" si="21"/>
        <v>25</v>
      </c>
      <c r="I114" s="25">
        <f t="shared" ca="1" si="22"/>
        <v>2063.5362702726306</v>
      </c>
      <c r="J114" s="9" t="str">
        <f ca="1">'SAC_IOF Ñ USAR'!J114</f>
        <v/>
      </c>
      <c r="K114" s="9" t="str">
        <f ca="1">'SAC_IOF Ñ USAR'!K114</f>
        <v/>
      </c>
      <c r="L114" s="9">
        <f ca="1">'SAC_IOF Ñ USAR'!L114</f>
        <v>5</v>
      </c>
      <c r="N114" s="176">
        <f t="shared" ca="1" si="23"/>
        <v>30</v>
      </c>
      <c r="O114" s="176">
        <f t="shared" ca="1" si="25"/>
        <v>2913</v>
      </c>
      <c r="P114" s="175">
        <f t="shared" ca="1" si="14"/>
        <v>834.39144798065388</v>
      </c>
      <c r="Q114" s="11">
        <f t="shared" ca="1" si="15"/>
        <v>2.9930000000000002E-2</v>
      </c>
      <c r="R114" s="12">
        <f t="shared" ca="1" si="16"/>
        <v>24.973336038060971</v>
      </c>
      <c r="S114" s="513"/>
      <c r="U114">
        <f t="shared" ca="1" si="26"/>
        <v>1987.1719232997084</v>
      </c>
      <c r="V114" s="31">
        <f t="shared" ca="1" si="27"/>
        <v>2063.5362702726306</v>
      </c>
    </row>
    <row r="115" spans="1:22">
      <c r="A115" s="180">
        <f ca="1">'SAC_IOF Ñ USAR'!A115</f>
        <v>96</v>
      </c>
      <c r="B115" s="179">
        <f ca="1">'SAC_IOF Ñ USAR'!B115</f>
        <v>47664</v>
      </c>
      <c r="C115" s="177">
        <f t="shared" ca="1" si="17"/>
        <v>889.99100827727909</v>
      </c>
      <c r="D115" s="24">
        <f t="shared" ca="1" si="24"/>
        <v>1088.9929977461425</v>
      </c>
      <c r="E115" s="177">
        <f t="shared" ca="1" si="18"/>
        <v>117478.81309260041</v>
      </c>
      <c r="F115" s="178">
        <f t="shared" ca="1" si="19"/>
        <v>24.857448861184317</v>
      </c>
      <c r="G115" s="178">
        <f t="shared" ca="1" si="20"/>
        <v>26.319999999999997</v>
      </c>
      <c r="H115" s="177">
        <f t="shared" ca="1" si="21"/>
        <v>25</v>
      </c>
      <c r="I115" s="25">
        <f t="shared" ca="1" si="22"/>
        <v>2055.1614548846055</v>
      </c>
      <c r="J115" s="9" t="str">
        <f ca="1">'SAC_IOF Ñ USAR'!J115</f>
        <v/>
      </c>
      <c r="K115" s="9" t="str">
        <f ca="1">'SAC_IOF Ñ USAR'!K115</f>
        <v/>
      </c>
      <c r="L115" s="9">
        <f ca="1">'SAC_IOF Ñ USAR'!L115</f>
        <v>6</v>
      </c>
      <c r="N115" s="176">
        <f t="shared" ca="1" si="23"/>
        <v>31</v>
      </c>
      <c r="O115" s="176">
        <f t="shared" ca="1" si="25"/>
        <v>2944</v>
      </c>
      <c r="P115" s="175">
        <f t="shared" ca="1" si="14"/>
        <v>834.39144798065388</v>
      </c>
      <c r="Q115" s="11">
        <f t="shared" ca="1" si="15"/>
        <v>2.9930000000000002E-2</v>
      </c>
      <c r="R115" s="12">
        <f t="shared" ca="1" si="16"/>
        <v>24.973336038060971</v>
      </c>
      <c r="S115" s="513"/>
      <c r="U115">
        <f t="shared" ca="1" si="26"/>
        <v>1978.9840060234214</v>
      </c>
      <c r="V115" s="31">
        <f t="shared" ca="1" si="27"/>
        <v>2055.1614548846055</v>
      </c>
    </row>
    <row r="116" spans="1:22">
      <c r="A116" s="180">
        <f ca="1">'SAC_IOF Ñ USAR'!A116</f>
        <v>97</v>
      </c>
      <c r="B116" s="179">
        <f ca="1">'SAC_IOF Ñ USAR'!B116</f>
        <v>47694</v>
      </c>
      <c r="C116" s="177">
        <f t="shared" ca="1" si="17"/>
        <v>889.99100827727909</v>
      </c>
      <c r="D116" s="24">
        <f t="shared" ca="1" si="24"/>
        <v>1080.8050804698555</v>
      </c>
      <c r="E116" s="177">
        <f t="shared" ca="1" si="18"/>
        <v>116588.82208432312</v>
      </c>
      <c r="F116" s="178">
        <f t="shared" ca="1" si="19"/>
        <v>24.670550749446086</v>
      </c>
      <c r="G116" s="178">
        <f t="shared" ca="1" si="20"/>
        <v>26.319999999999997</v>
      </c>
      <c r="H116" s="177">
        <f t="shared" ca="1" si="21"/>
        <v>25</v>
      </c>
      <c r="I116" s="25">
        <f t="shared" ca="1" si="22"/>
        <v>2046.7866394965806</v>
      </c>
      <c r="J116" s="9" t="str">
        <f ca="1">'SAC_IOF Ñ USAR'!J116</f>
        <v/>
      </c>
      <c r="K116" s="9" t="str">
        <f ca="1">'SAC_IOF Ñ USAR'!K116</f>
        <v/>
      </c>
      <c r="L116" s="9">
        <f ca="1">'SAC_IOF Ñ USAR'!L116</f>
        <v>7</v>
      </c>
      <c r="N116" s="176">
        <f t="shared" ca="1" si="23"/>
        <v>30</v>
      </c>
      <c r="O116" s="176">
        <f t="shared" ca="1" si="25"/>
        <v>2974</v>
      </c>
      <c r="P116" s="175">
        <f t="shared" ca="1" si="14"/>
        <v>834.39144798065388</v>
      </c>
      <c r="Q116" s="11">
        <f t="shared" ca="1" si="15"/>
        <v>2.9930000000000002E-2</v>
      </c>
      <c r="R116" s="12">
        <f t="shared" ca="1" si="16"/>
        <v>24.973336038060971</v>
      </c>
      <c r="S116" s="513"/>
      <c r="U116">
        <f t="shared" ca="1" si="26"/>
        <v>1970.7960887471345</v>
      </c>
      <c r="V116" s="31">
        <f t="shared" ca="1" si="27"/>
        <v>2046.7866394965806</v>
      </c>
    </row>
    <row r="117" spans="1:22">
      <c r="A117" s="180">
        <f ca="1">'SAC_IOF Ñ USAR'!A117</f>
        <v>98</v>
      </c>
      <c r="B117" s="179">
        <f ca="1">'SAC_IOF Ñ USAR'!B117</f>
        <v>47725</v>
      </c>
      <c r="C117" s="177">
        <f t="shared" ca="1" si="17"/>
        <v>889.99100827727909</v>
      </c>
      <c r="D117" s="24">
        <f t="shared" ca="1" si="24"/>
        <v>1072.6171631935686</v>
      </c>
      <c r="E117" s="177">
        <f t="shared" ca="1" si="18"/>
        <v>115698.83107604584</v>
      </c>
      <c r="F117" s="178">
        <f t="shared" ca="1" si="19"/>
        <v>24.483652637707856</v>
      </c>
      <c r="G117" s="178">
        <f t="shared" ca="1" si="20"/>
        <v>26.319999999999997</v>
      </c>
      <c r="H117" s="177">
        <f t="shared" ca="1" si="21"/>
        <v>25</v>
      </c>
      <c r="I117" s="25">
        <f t="shared" ca="1" si="22"/>
        <v>2038.4118241085553</v>
      </c>
      <c r="J117" s="9" t="str">
        <f ca="1">'SAC_IOF Ñ USAR'!J117</f>
        <v/>
      </c>
      <c r="K117" s="9" t="str">
        <f ca="1">'SAC_IOF Ñ USAR'!K117</f>
        <v/>
      </c>
      <c r="L117" s="9">
        <f ca="1">'SAC_IOF Ñ USAR'!L117</f>
        <v>8</v>
      </c>
      <c r="N117" s="176">
        <f t="shared" ca="1" si="23"/>
        <v>31</v>
      </c>
      <c r="O117" s="176">
        <f t="shared" ca="1" si="25"/>
        <v>3005</v>
      </c>
      <c r="P117" s="175">
        <f t="shared" ca="1" si="14"/>
        <v>834.39144798065388</v>
      </c>
      <c r="Q117" s="11">
        <f t="shared" ca="1" si="15"/>
        <v>2.9930000000000002E-2</v>
      </c>
      <c r="R117" s="12">
        <f t="shared" ca="1" si="16"/>
        <v>24.973336038060971</v>
      </c>
      <c r="S117" s="513"/>
      <c r="U117">
        <f t="shared" ca="1" si="26"/>
        <v>1962.6081714708475</v>
      </c>
      <c r="V117" s="31">
        <f t="shared" ca="1" si="27"/>
        <v>2038.4118241085553</v>
      </c>
    </row>
    <row r="118" spans="1:22">
      <c r="A118" s="180">
        <f ca="1">'SAC_IOF Ñ USAR'!A118</f>
        <v>99</v>
      </c>
      <c r="B118" s="179">
        <f ca="1">'SAC_IOF Ñ USAR'!B118</f>
        <v>47756</v>
      </c>
      <c r="C118" s="177">
        <f t="shared" ca="1" si="17"/>
        <v>889.99100827727909</v>
      </c>
      <c r="D118" s="24">
        <f t="shared" ca="1" si="24"/>
        <v>1064.4292459172818</v>
      </c>
      <c r="E118" s="177">
        <f t="shared" ca="1" si="18"/>
        <v>114808.84006776856</v>
      </c>
      <c r="F118" s="178">
        <f t="shared" ca="1" si="19"/>
        <v>24.296754525969629</v>
      </c>
      <c r="G118" s="178">
        <f t="shared" ca="1" si="20"/>
        <v>26.319999999999997</v>
      </c>
      <c r="H118" s="177">
        <f t="shared" ca="1" si="21"/>
        <v>25</v>
      </c>
      <c r="I118" s="25">
        <f t="shared" ca="1" si="22"/>
        <v>2030.0370087205306</v>
      </c>
      <c r="J118" s="9" t="str">
        <f ca="1">'SAC_IOF Ñ USAR'!J118</f>
        <v/>
      </c>
      <c r="K118" s="9" t="str">
        <f ca="1">'SAC_IOF Ñ USAR'!K118</f>
        <v/>
      </c>
      <c r="L118" s="9">
        <f ca="1">'SAC_IOF Ñ USAR'!L118</f>
        <v>9</v>
      </c>
      <c r="N118" s="176">
        <f t="shared" ca="1" si="23"/>
        <v>31</v>
      </c>
      <c r="O118" s="176">
        <f t="shared" ca="1" si="25"/>
        <v>3036</v>
      </c>
      <c r="P118" s="175">
        <f t="shared" ca="1" si="14"/>
        <v>834.39144798065388</v>
      </c>
      <c r="Q118" s="11">
        <f t="shared" ca="1" si="15"/>
        <v>2.9930000000000002E-2</v>
      </c>
      <c r="R118" s="12">
        <f t="shared" ca="1" si="16"/>
        <v>24.973336038060971</v>
      </c>
      <c r="S118" s="513"/>
      <c r="U118">
        <f t="shared" ca="1" si="26"/>
        <v>1954.420254194561</v>
      </c>
      <c r="V118" s="31">
        <f t="shared" ca="1" si="27"/>
        <v>2030.0370087205306</v>
      </c>
    </row>
    <row r="119" spans="1:22">
      <c r="A119" s="180">
        <f ca="1">'SAC_IOF Ñ USAR'!A119</f>
        <v>100</v>
      </c>
      <c r="B119" s="179">
        <f ca="1">'SAC_IOF Ñ USAR'!B119</f>
        <v>47786</v>
      </c>
      <c r="C119" s="177">
        <f t="shared" ca="1" si="17"/>
        <v>889.99100827727909</v>
      </c>
      <c r="D119" s="24">
        <f t="shared" ca="1" si="24"/>
        <v>1056.2413286409949</v>
      </c>
      <c r="E119" s="177">
        <f t="shared" ca="1" si="18"/>
        <v>113918.84905949127</v>
      </c>
      <c r="F119" s="178">
        <f t="shared" ca="1" si="19"/>
        <v>24.109856414231398</v>
      </c>
      <c r="G119" s="178">
        <f t="shared" ca="1" si="20"/>
        <v>26.319999999999997</v>
      </c>
      <c r="H119" s="177">
        <f t="shared" ca="1" si="21"/>
        <v>25</v>
      </c>
      <c r="I119" s="25">
        <f t="shared" ca="1" si="22"/>
        <v>2021.6621933325055</v>
      </c>
      <c r="J119" s="9" t="str">
        <f ca="1">'SAC_IOF Ñ USAR'!J119</f>
        <v/>
      </c>
      <c r="K119" s="9" t="str">
        <f ca="1">'SAC_IOF Ñ USAR'!K119</f>
        <v/>
      </c>
      <c r="L119" s="9">
        <f ca="1">'SAC_IOF Ñ USAR'!L119</f>
        <v>10</v>
      </c>
      <c r="N119" s="176">
        <f t="shared" ca="1" si="23"/>
        <v>30</v>
      </c>
      <c r="O119" s="176">
        <f t="shared" ca="1" si="25"/>
        <v>3066</v>
      </c>
      <c r="P119" s="175">
        <f t="shared" ca="1" si="14"/>
        <v>834.39144798065388</v>
      </c>
      <c r="Q119" s="11">
        <f t="shared" ca="1" si="15"/>
        <v>2.9930000000000002E-2</v>
      </c>
      <c r="R119" s="12">
        <f t="shared" ca="1" si="16"/>
        <v>24.973336038060971</v>
      </c>
      <c r="S119" s="513"/>
      <c r="U119">
        <f t="shared" ca="1" si="26"/>
        <v>1946.2323369182741</v>
      </c>
      <c r="V119" s="31">
        <f t="shared" ca="1" si="27"/>
        <v>2021.6621933325055</v>
      </c>
    </row>
    <row r="120" spans="1:22">
      <c r="A120" s="180">
        <f ca="1">'SAC_IOF Ñ USAR'!A120</f>
        <v>101</v>
      </c>
      <c r="B120" s="179">
        <f ca="1">'SAC_IOF Ñ USAR'!B120</f>
        <v>47817</v>
      </c>
      <c r="C120" s="177">
        <f t="shared" ca="1" si="17"/>
        <v>889.99100827727909</v>
      </c>
      <c r="D120" s="24">
        <f t="shared" ca="1" si="24"/>
        <v>1048.0534113647082</v>
      </c>
      <c r="E120" s="177">
        <f t="shared" ca="1" si="18"/>
        <v>113028.85805121399</v>
      </c>
      <c r="F120" s="178">
        <f t="shared" ca="1" si="19"/>
        <v>23.922958302493168</v>
      </c>
      <c r="G120" s="178">
        <f t="shared" ca="1" si="20"/>
        <v>26.319999999999997</v>
      </c>
      <c r="H120" s="177">
        <f t="shared" ca="1" si="21"/>
        <v>25</v>
      </c>
      <c r="I120" s="25">
        <f t="shared" ca="1" si="22"/>
        <v>2013.2873779444803</v>
      </c>
      <c r="J120" s="9" t="str">
        <f ca="1">'SAC_IOF Ñ USAR'!J120</f>
        <v/>
      </c>
      <c r="K120" s="9" t="str">
        <f ca="1">'SAC_IOF Ñ USAR'!K120</f>
        <v/>
      </c>
      <c r="L120" s="9">
        <f ca="1">'SAC_IOF Ñ USAR'!L120</f>
        <v>11</v>
      </c>
      <c r="N120" s="176">
        <f t="shared" ca="1" si="23"/>
        <v>31</v>
      </c>
      <c r="O120" s="176">
        <f t="shared" ca="1" si="25"/>
        <v>3097</v>
      </c>
      <c r="P120" s="175">
        <f t="shared" ca="1" si="14"/>
        <v>834.39144798065388</v>
      </c>
      <c r="Q120" s="11">
        <f t="shared" ca="1" si="15"/>
        <v>2.9930000000000002E-2</v>
      </c>
      <c r="R120" s="12">
        <f t="shared" ca="1" si="16"/>
        <v>24.973336038060971</v>
      </c>
      <c r="S120" s="513"/>
      <c r="U120">
        <f t="shared" ca="1" si="26"/>
        <v>1938.0444196419871</v>
      </c>
      <c r="V120" s="31">
        <f t="shared" ca="1" si="27"/>
        <v>2013.2873779444803</v>
      </c>
    </row>
    <row r="121" spans="1:22">
      <c r="A121" s="180">
        <f ca="1">'SAC_IOF Ñ USAR'!A121</f>
        <v>102</v>
      </c>
      <c r="B121" s="179">
        <f ca="1">'SAC_IOF Ñ USAR'!B121</f>
        <v>47847</v>
      </c>
      <c r="C121" s="177">
        <f t="shared" ca="1" si="17"/>
        <v>889.99100827727909</v>
      </c>
      <c r="D121" s="24">
        <f t="shared" ca="1" si="24"/>
        <v>1039.8654940884212</v>
      </c>
      <c r="E121" s="177">
        <f t="shared" ca="1" si="18"/>
        <v>112138.8670429367</v>
      </c>
      <c r="F121" s="178">
        <f t="shared" ca="1" si="19"/>
        <v>23.736060190754937</v>
      </c>
      <c r="G121" s="178">
        <f t="shared" ca="1" si="20"/>
        <v>26.319999999999997</v>
      </c>
      <c r="H121" s="177">
        <f t="shared" ca="1" si="21"/>
        <v>25</v>
      </c>
      <c r="I121" s="25">
        <f t="shared" ca="1" si="22"/>
        <v>2004.912562556455</v>
      </c>
      <c r="J121" s="9" t="str">
        <f ca="1">'SAC_IOF Ñ USAR'!J121</f>
        <v/>
      </c>
      <c r="K121" s="9" t="str">
        <f ca="1">'SAC_IOF Ñ USAR'!K121</f>
        <v/>
      </c>
      <c r="L121" s="9">
        <f ca="1">'SAC_IOF Ñ USAR'!L121</f>
        <v>12</v>
      </c>
      <c r="N121" s="176">
        <f t="shared" ca="1" si="23"/>
        <v>30</v>
      </c>
      <c r="O121" s="176">
        <f t="shared" ca="1" si="25"/>
        <v>3127</v>
      </c>
      <c r="P121" s="175">
        <f t="shared" ca="1" si="14"/>
        <v>834.39144798065388</v>
      </c>
      <c r="Q121" s="11">
        <f t="shared" ca="1" si="15"/>
        <v>2.9930000000000002E-2</v>
      </c>
      <c r="R121" s="12">
        <f t="shared" ca="1" si="16"/>
        <v>24.973336038060971</v>
      </c>
      <c r="S121" s="513"/>
      <c r="U121">
        <f t="shared" ca="1" si="26"/>
        <v>1929.8565023657002</v>
      </c>
      <c r="V121" s="31">
        <f t="shared" ca="1" si="27"/>
        <v>2004.912562556455</v>
      </c>
    </row>
    <row r="122" spans="1:22">
      <c r="A122" s="180">
        <f ca="1">'SAC_IOF Ñ USAR'!A122</f>
        <v>103</v>
      </c>
      <c r="B122" s="179">
        <f ca="1">'SAC_IOF Ñ USAR'!B122</f>
        <v>47878</v>
      </c>
      <c r="C122" s="177">
        <f t="shared" ca="1" si="17"/>
        <v>889.99100827727909</v>
      </c>
      <c r="D122" s="24">
        <f t="shared" ca="1" si="24"/>
        <v>1031.6775768121342</v>
      </c>
      <c r="E122" s="177">
        <f t="shared" ca="1" si="18"/>
        <v>111248.87603465942</v>
      </c>
      <c r="F122" s="178">
        <f t="shared" ca="1" si="19"/>
        <v>23.54916207901671</v>
      </c>
      <c r="G122" s="178">
        <f t="shared" ca="1" si="20"/>
        <v>26.319999999999997</v>
      </c>
      <c r="H122" s="177">
        <f t="shared" ca="1" si="21"/>
        <v>25</v>
      </c>
      <c r="I122" s="25">
        <f t="shared" ca="1" si="22"/>
        <v>1996.5377471684299</v>
      </c>
      <c r="J122" s="9" t="str">
        <f ca="1">'SAC_IOF Ñ USAR'!J122</f>
        <v/>
      </c>
      <c r="K122" s="9" t="str">
        <f ca="1">'SAC_IOF Ñ USAR'!K122</f>
        <v/>
      </c>
      <c r="L122" s="9">
        <f ca="1">'SAC_IOF Ñ USAR'!L122</f>
        <v>1</v>
      </c>
      <c r="N122" s="176">
        <f t="shared" ca="1" si="23"/>
        <v>31</v>
      </c>
      <c r="O122" s="176">
        <f t="shared" ca="1" si="25"/>
        <v>3158</v>
      </c>
      <c r="P122" s="175">
        <f t="shared" ca="1" si="14"/>
        <v>834.39144798065388</v>
      </c>
      <c r="Q122" s="11">
        <f t="shared" ca="1" si="15"/>
        <v>2.9930000000000002E-2</v>
      </c>
      <c r="R122" s="12">
        <f t="shared" ca="1" si="16"/>
        <v>24.973336038060971</v>
      </c>
      <c r="S122" s="513"/>
      <c r="U122">
        <f t="shared" ca="1" si="26"/>
        <v>1921.6685850894132</v>
      </c>
      <c r="V122" s="31">
        <f t="shared" ca="1" si="27"/>
        <v>1996.5377471684299</v>
      </c>
    </row>
    <row r="123" spans="1:22">
      <c r="A123" s="180">
        <f ca="1">'SAC_IOF Ñ USAR'!A123</f>
        <v>104</v>
      </c>
      <c r="B123" s="179">
        <f ca="1">'SAC_IOF Ñ USAR'!B123</f>
        <v>47907</v>
      </c>
      <c r="C123" s="177">
        <f t="shared" ca="1" si="17"/>
        <v>889.99100827727909</v>
      </c>
      <c r="D123" s="24">
        <f t="shared" ca="1" si="24"/>
        <v>1023.4896595358475</v>
      </c>
      <c r="E123" s="177">
        <f t="shared" ca="1" si="18"/>
        <v>110358.88502638214</v>
      </c>
      <c r="F123" s="178">
        <f t="shared" ca="1" si="19"/>
        <v>23.36226396727848</v>
      </c>
      <c r="G123" s="178">
        <f t="shared" ca="1" si="20"/>
        <v>26.319999999999997</v>
      </c>
      <c r="H123" s="177">
        <f t="shared" ca="1" si="21"/>
        <v>25</v>
      </c>
      <c r="I123" s="25">
        <f t="shared" ca="1" si="22"/>
        <v>1988.1629317804052</v>
      </c>
      <c r="J123" s="9" t="str">
        <f ca="1">'SAC_IOF Ñ USAR'!J123</f>
        <v/>
      </c>
      <c r="K123" s="9" t="str">
        <f ca="1">'SAC_IOF Ñ USAR'!K123</f>
        <v/>
      </c>
      <c r="L123" s="9">
        <f ca="1">'SAC_IOF Ñ USAR'!L123</f>
        <v>2</v>
      </c>
      <c r="N123" s="176">
        <f t="shared" ca="1" si="23"/>
        <v>29</v>
      </c>
      <c r="O123" s="176">
        <f t="shared" ca="1" si="25"/>
        <v>3187</v>
      </c>
      <c r="P123" s="175">
        <f t="shared" ca="1" si="14"/>
        <v>834.39144798065388</v>
      </c>
      <c r="Q123" s="11">
        <f t="shared" ca="1" si="15"/>
        <v>2.9930000000000002E-2</v>
      </c>
      <c r="R123" s="12">
        <f t="shared" ca="1" si="16"/>
        <v>24.973336038060971</v>
      </c>
      <c r="S123" s="513"/>
      <c r="U123">
        <f t="shared" ca="1" si="26"/>
        <v>1913.4806678131267</v>
      </c>
      <c r="V123" s="31">
        <f t="shared" ca="1" si="27"/>
        <v>1988.1629317804052</v>
      </c>
    </row>
    <row r="124" spans="1:22">
      <c r="A124" s="180">
        <f ca="1">'SAC_IOF Ñ USAR'!A124</f>
        <v>105</v>
      </c>
      <c r="B124" s="179">
        <f ca="1">'SAC_IOF Ñ USAR'!B124</f>
        <v>47937</v>
      </c>
      <c r="C124" s="177">
        <f t="shared" ca="1" si="17"/>
        <v>889.99100827727909</v>
      </c>
      <c r="D124" s="24">
        <f t="shared" ca="1" si="24"/>
        <v>1015.3017422595607</v>
      </c>
      <c r="E124" s="177">
        <f t="shared" ca="1" si="18"/>
        <v>109468.89401810485</v>
      </c>
      <c r="F124" s="178">
        <f t="shared" ca="1" si="19"/>
        <v>23.17536585554025</v>
      </c>
      <c r="G124" s="178">
        <f t="shared" ca="1" si="20"/>
        <v>26.319999999999997</v>
      </c>
      <c r="H124" s="177">
        <f t="shared" ca="1" si="21"/>
        <v>25</v>
      </c>
      <c r="I124" s="25">
        <f t="shared" ca="1" si="22"/>
        <v>1979.7881163923801</v>
      </c>
      <c r="J124" s="9" t="str">
        <f ca="1">'SAC_IOF Ñ USAR'!J124</f>
        <v/>
      </c>
      <c r="K124" s="9" t="str">
        <f ca="1">'SAC_IOF Ñ USAR'!K124</f>
        <v/>
      </c>
      <c r="L124" s="9">
        <f ca="1">'SAC_IOF Ñ USAR'!L124</f>
        <v>3</v>
      </c>
      <c r="N124" s="176">
        <f t="shared" ca="1" si="23"/>
        <v>30</v>
      </c>
      <c r="O124" s="176">
        <f t="shared" ca="1" si="25"/>
        <v>3217</v>
      </c>
      <c r="P124" s="175">
        <f t="shared" ca="1" si="14"/>
        <v>834.39144798065388</v>
      </c>
      <c r="Q124" s="11">
        <f t="shared" ca="1" si="15"/>
        <v>2.9930000000000002E-2</v>
      </c>
      <c r="R124" s="12">
        <f t="shared" ca="1" si="16"/>
        <v>24.973336038060971</v>
      </c>
      <c r="S124" s="513"/>
      <c r="U124">
        <f t="shared" ca="1" si="26"/>
        <v>1905.2927505368398</v>
      </c>
      <c r="V124" s="31">
        <f t="shared" ca="1" si="27"/>
        <v>1979.7881163923801</v>
      </c>
    </row>
    <row r="125" spans="1:22">
      <c r="A125" s="180">
        <f ca="1">'SAC_IOF Ñ USAR'!A125</f>
        <v>106</v>
      </c>
      <c r="B125" s="179">
        <f ca="1">'SAC_IOF Ñ USAR'!B125</f>
        <v>47968</v>
      </c>
      <c r="C125" s="177">
        <f t="shared" ca="1" si="17"/>
        <v>889.99100827727909</v>
      </c>
      <c r="D125" s="24">
        <f t="shared" ca="1" si="24"/>
        <v>1007.1138249832737</v>
      </c>
      <c r="E125" s="177">
        <f t="shared" ca="1" si="18"/>
        <v>108578.90300982757</v>
      </c>
      <c r="F125" s="178">
        <f t="shared" ca="1" si="19"/>
        <v>22.988467743802019</v>
      </c>
      <c r="G125" s="178">
        <f t="shared" ca="1" si="20"/>
        <v>26.319999999999997</v>
      </c>
      <c r="H125" s="177">
        <f t="shared" ca="1" si="21"/>
        <v>25</v>
      </c>
      <c r="I125" s="25">
        <f t="shared" ca="1" si="22"/>
        <v>1971.4133010043547</v>
      </c>
      <c r="J125" s="9" t="str">
        <f ca="1">'SAC_IOF Ñ USAR'!J125</f>
        <v/>
      </c>
      <c r="K125" s="9" t="str">
        <f ca="1">'SAC_IOF Ñ USAR'!K125</f>
        <v/>
      </c>
      <c r="L125" s="9">
        <f ca="1">'SAC_IOF Ñ USAR'!L125</f>
        <v>4</v>
      </c>
      <c r="N125" s="176">
        <f t="shared" ca="1" si="23"/>
        <v>31</v>
      </c>
      <c r="O125" s="176">
        <f t="shared" ca="1" si="25"/>
        <v>3248</v>
      </c>
      <c r="P125" s="175">
        <f t="shared" ca="1" si="14"/>
        <v>834.39144798065388</v>
      </c>
      <c r="Q125" s="11">
        <f t="shared" ca="1" si="15"/>
        <v>2.9930000000000002E-2</v>
      </c>
      <c r="R125" s="12">
        <f t="shared" ca="1" si="16"/>
        <v>24.973336038060971</v>
      </c>
      <c r="S125" s="513"/>
      <c r="U125">
        <f t="shared" ca="1" si="26"/>
        <v>1897.1048332605528</v>
      </c>
      <c r="V125" s="31">
        <f t="shared" ca="1" si="27"/>
        <v>1971.4133010043547</v>
      </c>
    </row>
    <row r="126" spans="1:22">
      <c r="A126" s="180">
        <f ca="1">'SAC_IOF Ñ USAR'!A126</f>
        <v>107</v>
      </c>
      <c r="B126" s="179">
        <f ca="1">'SAC_IOF Ñ USAR'!B126</f>
        <v>47998</v>
      </c>
      <c r="C126" s="177">
        <f t="shared" ca="1" si="17"/>
        <v>889.99100827727909</v>
      </c>
      <c r="D126" s="24">
        <f t="shared" ca="1" si="24"/>
        <v>998.92590770698689</v>
      </c>
      <c r="E126" s="177">
        <f t="shared" ca="1" si="18"/>
        <v>107688.91200155028</v>
      </c>
      <c r="F126" s="178">
        <f t="shared" ca="1" si="19"/>
        <v>22.801569632063792</v>
      </c>
      <c r="G126" s="178">
        <f t="shared" ca="1" si="20"/>
        <v>26.319999999999997</v>
      </c>
      <c r="H126" s="177">
        <f t="shared" ca="1" si="21"/>
        <v>25</v>
      </c>
      <c r="I126" s="25">
        <f t="shared" ca="1" si="22"/>
        <v>1963.0384856163296</v>
      </c>
      <c r="J126" s="9" t="str">
        <f ca="1">'SAC_IOF Ñ USAR'!J126</f>
        <v/>
      </c>
      <c r="K126" s="9" t="str">
        <f ca="1">'SAC_IOF Ñ USAR'!K126</f>
        <v/>
      </c>
      <c r="L126" s="9">
        <f ca="1">'SAC_IOF Ñ USAR'!L126</f>
        <v>5</v>
      </c>
      <c r="N126" s="176">
        <f t="shared" ca="1" si="23"/>
        <v>30</v>
      </c>
      <c r="O126" s="176">
        <f t="shared" ca="1" si="25"/>
        <v>3278</v>
      </c>
      <c r="P126" s="175">
        <f t="shared" ca="1" si="14"/>
        <v>834.39144798065388</v>
      </c>
      <c r="Q126" s="11">
        <f t="shared" ca="1" si="15"/>
        <v>2.9930000000000002E-2</v>
      </c>
      <c r="R126" s="12">
        <f t="shared" ca="1" si="16"/>
        <v>24.973336038060971</v>
      </c>
      <c r="S126" s="513"/>
      <c r="U126">
        <f t="shared" ca="1" si="26"/>
        <v>1888.9169159842659</v>
      </c>
      <c r="V126" s="31">
        <f t="shared" ca="1" si="27"/>
        <v>1963.0384856163296</v>
      </c>
    </row>
    <row r="127" spans="1:22">
      <c r="A127" s="180">
        <f ca="1">'SAC_IOF Ñ USAR'!A127</f>
        <v>108</v>
      </c>
      <c r="B127" s="179">
        <f ca="1">'SAC_IOF Ñ USAR'!B127</f>
        <v>48029</v>
      </c>
      <c r="C127" s="177">
        <f t="shared" ca="1" si="17"/>
        <v>889.99100827727909</v>
      </c>
      <c r="D127" s="24">
        <f t="shared" ca="1" si="24"/>
        <v>990.73799043070005</v>
      </c>
      <c r="E127" s="177">
        <f t="shared" ca="1" si="18"/>
        <v>106798.920993273</v>
      </c>
      <c r="F127" s="178">
        <f t="shared" ca="1" si="19"/>
        <v>22.614671520325562</v>
      </c>
      <c r="G127" s="178">
        <f t="shared" ca="1" si="20"/>
        <v>26.319999999999997</v>
      </c>
      <c r="H127" s="177">
        <f t="shared" ca="1" si="21"/>
        <v>25</v>
      </c>
      <c r="I127" s="25">
        <f t="shared" ca="1" si="22"/>
        <v>1954.6636702283047</v>
      </c>
      <c r="J127" s="9" t="str">
        <f ca="1">'SAC_IOF Ñ USAR'!J127</f>
        <v/>
      </c>
      <c r="K127" s="9" t="str">
        <f ca="1">'SAC_IOF Ñ USAR'!K127</f>
        <v/>
      </c>
      <c r="L127" s="9">
        <f ca="1">'SAC_IOF Ñ USAR'!L127</f>
        <v>6</v>
      </c>
      <c r="N127" s="176">
        <f t="shared" ca="1" si="23"/>
        <v>31</v>
      </c>
      <c r="O127" s="176">
        <f t="shared" ca="1" si="25"/>
        <v>3309</v>
      </c>
      <c r="P127" s="175">
        <f t="shared" ca="1" si="14"/>
        <v>834.39144798065388</v>
      </c>
      <c r="Q127" s="11">
        <f t="shared" ca="1" si="15"/>
        <v>2.9930000000000002E-2</v>
      </c>
      <c r="R127" s="12">
        <f t="shared" ca="1" si="16"/>
        <v>24.973336038060971</v>
      </c>
      <c r="S127" s="513"/>
      <c r="U127">
        <f t="shared" ca="1" si="26"/>
        <v>1880.7289987079791</v>
      </c>
      <c r="V127" s="31">
        <f t="shared" ca="1" si="27"/>
        <v>1954.6636702283047</v>
      </c>
    </row>
    <row r="128" spans="1:22">
      <c r="A128" s="180">
        <f ca="1">'SAC_IOF Ñ USAR'!A128</f>
        <v>109</v>
      </c>
      <c r="B128" s="179">
        <f ca="1">'SAC_IOF Ñ USAR'!B128</f>
        <v>48059</v>
      </c>
      <c r="C128" s="177">
        <f t="shared" ca="1" si="17"/>
        <v>889.99100827727909</v>
      </c>
      <c r="D128" s="24">
        <f t="shared" ca="1" si="24"/>
        <v>982.55007315441321</v>
      </c>
      <c r="E128" s="177">
        <f t="shared" ca="1" si="18"/>
        <v>105908.92998499572</v>
      </c>
      <c r="F128" s="178">
        <f t="shared" ca="1" si="19"/>
        <v>22.427773408587331</v>
      </c>
      <c r="G128" s="178">
        <f t="shared" ca="1" si="20"/>
        <v>26.319999999999997</v>
      </c>
      <c r="H128" s="177">
        <f t="shared" ca="1" si="21"/>
        <v>25</v>
      </c>
      <c r="I128" s="25">
        <f t="shared" ca="1" si="22"/>
        <v>1946.2888548402798</v>
      </c>
      <c r="J128" s="9" t="str">
        <f ca="1">'SAC_IOF Ñ USAR'!J128</f>
        <v/>
      </c>
      <c r="K128" s="9" t="str">
        <f ca="1">'SAC_IOF Ñ USAR'!K128</f>
        <v/>
      </c>
      <c r="L128" s="9">
        <f ca="1">'SAC_IOF Ñ USAR'!L128</f>
        <v>7</v>
      </c>
      <c r="N128" s="176">
        <f t="shared" ca="1" si="23"/>
        <v>30</v>
      </c>
      <c r="O128" s="176">
        <f t="shared" ca="1" si="25"/>
        <v>3339</v>
      </c>
      <c r="P128" s="175">
        <f t="shared" ca="1" si="14"/>
        <v>834.39144798065388</v>
      </c>
      <c r="Q128" s="11">
        <f t="shared" ca="1" si="15"/>
        <v>2.9930000000000002E-2</v>
      </c>
      <c r="R128" s="12">
        <f t="shared" ca="1" si="16"/>
        <v>24.973336038060971</v>
      </c>
      <c r="S128" s="513"/>
      <c r="U128">
        <f t="shared" ca="1" si="26"/>
        <v>1872.5410814316924</v>
      </c>
      <c r="V128" s="31">
        <f t="shared" ca="1" si="27"/>
        <v>1946.2888548402798</v>
      </c>
    </row>
    <row r="129" spans="1:22">
      <c r="A129" s="180">
        <f ca="1">'SAC_IOF Ñ USAR'!A129</f>
        <v>110</v>
      </c>
      <c r="B129" s="179">
        <f ca="1">'SAC_IOF Ñ USAR'!B129</f>
        <v>48090</v>
      </c>
      <c r="C129" s="177">
        <f t="shared" ca="1" si="17"/>
        <v>889.99100827727909</v>
      </c>
      <c r="D129" s="24">
        <f t="shared" ca="1" si="24"/>
        <v>974.36215587812637</v>
      </c>
      <c r="E129" s="177">
        <f t="shared" ca="1" si="18"/>
        <v>105018.93897671843</v>
      </c>
      <c r="F129" s="178">
        <f t="shared" ca="1" si="19"/>
        <v>22.240875296849101</v>
      </c>
      <c r="G129" s="178">
        <f t="shared" ca="1" si="20"/>
        <v>26.319999999999997</v>
      </c>
      <c r="H129" s="177">
        <f t="shared" ca="1" si="21"/>
        <v>25</v>
      </c>
      <c r="I129" s="25">
        <f t="shared" ca="1" si="22"/>
        <v>1937.9140394522544</v>
      </c>
      <c r="J129" s="9" t="str">
        <f ca="1">'SAC_IOF Ñ USAR'!J129</f>
        <v/>
      </c>
      <c r="K129" s="9" t="str">
        <f ca="1">'SAC_IOF Ñ USAR'!K129</f>
        <v/>
      </c>
      <c r="L129" s="9">
        <f ca="1">'SAC_IOF Ñ USAR'!L129</f>
        <v>8</v>
      </c>
      <c r="N129" s="176">
        <f t="shared" ca="1" si="23"/>
        <v>31</v>
      </c>
      <c r="O129" s="176">
        <f t="shared" ca="1" si="25"/>
        <v>3370</v>
      </c>
      <c r="P129" s="175">
        <f t="shared" ca="1" si="14"/>
        <v>834.39144798065388</v>
      </c>
      <c r="Q129" s="11">
        <f t="shared" ca="1" si="15"/>
        <v>2.9930000000000002E-2</v>
      </c>
      <c r="R129" s="12">
        <f t="shared" ca="1" si="16"/>
        <v>24.973336038060971</v>
      </c>
      <c r="S129" s="513"/>
      <c r="U129">
        <f t="shared" ca="1" si="26"/>
        <v>1864.3531641554055</v>
      </c>
      <c r="V129" s="31">
        <f t="shared" ca="1" si="27"/>
        <v>1937.9140394522544</v>
      </c>
    </row>
    <row r="130" spans="1:22">
      <c r="A130" s="180">
        <f ca="1">'SAC_IOF Ñ USAR'!A130</f>
        <v>111</v>
      </c>
      <c r="B130" s="179">
        <f ca="1">'SAC_IOF Ñ USAR'!B130</f>
        <v>48121</v>
      </c>
      <c r="C130" s="177">
        <f t="shared" ca="1" si="17"/>
        <v>889.99100827727909</v>
      </c>
      <c r="D130" s="24">
        <f t="shared" ca="1" si="24"/>
        <v>966.17423860183953</v>
      </c>
      <c r="E130" s="177">
        <f t="shared" ca="1" si="18"/>
        <v>104128.94796844115</v>
      </c>
      <c r="F130" s="178">
        <f t="shared" ca="1" si="19"/>
        <v>22.05397718511087</v>
      </c>
      <c r="G130" s="178">
        <f t="shared" ca="1" si="20"/>
        <v>26.319999999999997</v>
      </c>
      <c r="H130" s="177">
        <f t="shared" ca="1" si="21"/>
        <v>25</v>
      </c>
      <c r="I130" s="25">
        <f t="shared" ca="1" si="22"/>
        <v>1929.5392240642293</v>
      </c>
      <c r="J130" s="9" t="str">
        <f ca="1">'SAC_IOF Ñ USAR'!J130</f>
        <v/>
      </c>
      <c r="K130" s="9" t="str">
        <f ca="1">'SAC_IOF Ñ USAR'!K130</f>
        <v/>
      </c>
      <c r="L130" s="9">
        <f ca="1">'SAC_IOF Ñ USAR'!L130</f>
        <v>9</v>
      </c>
      <c r="N130" s="176">
        <f t="shared" ca="1" si="23"/>
        <v>31</v>
      </c>
      <c r="O130" s="176">
        <f t="shared" ca="1" si="25"/>
        <v>3401</v>
      </c>
      <c r="P130" s="175">
        <f t="shared" ca="1" si="14"/>
        <v>834.39144798065388</v>
      </c>
      <c r="Q130" s="11">
        <f t="shared" ca="1" si="15"/>
        <v>2.9930000000000002E-2</v>
      </c>
      <c r="R130" s="12">
        <f t="shared" ca="1" si="16"/>
        <v>24.973336038060971</v>
      </c>
      <c r="S130" s="513"/>
      <c r="U130">
        <f t="shared" ca="1" si="26"/>
        <v>1856.1652468791185</v>
      </c>
      <c r="V130" s="31">
        <f t="shared" ca="1" si="27"/>
        <v>1929.5392240642293</v>
      </c>
    </row>
    <row r="131" spans="1:22">
      <c r="A131" s="180">
        <f ca="1">'SAC_IOF Ñ USAR'!A131</f>
        <v>112</v>
      </c>
      <c r="B131" s="179">
        <f ca="1">'SAC_IOF Ñ USAR'!B131</f>
        <v>48151</v>
      </c>
      <c r="C131" s="177">
        <f t="shared" ca="1" si="17"/>
        <v>889.99100827727909</v>
      </c>
      <c r="D131" s="24">
        <f t="shared" ca="1" si="24"/>
        <v>957.98632132555258</v>
      </c>
      <c r="E131" s="177">
        <f t="shared" ca="1" si="18"/>
        <v>103238.95696016387</v>
      </c>
      <c r="F131" s="178">
        <f t="shared" ca="1" si="19"/>
        <v>21.867079073372643</v>
      </c>
      <c r="G131" s="178">
        <f t="shared" ca="1" si="20"/>
        <v>26.319999999999997</v>
      </c>
      <c r="H131" s="177">
        <f t="shared" ca="1" si="21"/>
        <v>25</v>
      </c>
      <c r="I131" s="25">
        <f t="shared" ca="1" si="22"/>
        <v>1921.1644086762042</v>
      </c>
      <c r="J131" s="9" t="str">
        <f ca="1">'SAC_IOF Ñ USAR'!J131</f>
        <v/>
      </c>
      <c r="K131" s="9" t="str">
        <f ca="1">'SAC_IOF Ñ USAR'!K131</f>
        <v/>
      </c>
      <c r="L131" s="9">
        <f ca="1">'SAC_IOF Ñ USAR'!L131</f>
        <v>10</v>
      </c>
      <c r="N131" s="176">
        <f t="shared" ca="1" si="23"/>
        <v>30</v>
      </c>
      <c r="O131" s="176">
        <f t="shared" ca="1" si="25"/>
        <v>3431</v>
      </c>
      <c r="P131" s="175">
        <f t="shared" ca="1" si="14"/>
        <v>834.39144798065388</v>
      </c>
      <c r="Q131" s="11">
        <f t="shared" ca="1" si="15"/>
        <v>2.9930000000000002E-2</v>
      </c>
      <c r="R131" s="12">
        <f t="shared" ca="1" si="16"/>
        <v>24.973336038060971</v>
      </c>
      <c r="S131" s="513"/>
      <c r="U131">
        <f t="shared" ca="1" si="26"/>
        <v>1847.9773296028316</v>
      </c>
      <c r="V131" s="31">
        <f t="shared" ca="1" si="27"/>
        <v>1921.1644086762042</v>
      </c>
    </row>
    <row r="132" spans="1:22">
      <c r="A132" s="180">
        <f ca="1">'SAC_IOF Ñ USAR'!A132</f>
        <v>113</v>
      </c>
      <c r="B132" s="179">
        <f ca="1">'SAC_IOF Ñ USAR'!B132</f>
        <v>48182</v>
      </c>
      <c r="C132" s="177">
        <f t="shared" ca="1" si="17"/>
        <v>889.99100827727909</v>
      </c>
      <c r="D132" s="24">
        <f t="shared" ca="1" si="24"/>
        <v>949.79840404926574</v>
      </c>
      <c r="E132" s="177">
        <f t="shared" ca="1" si="18"/>
        <v>102348.96595188658</v>
      </c>
      <c r="F132" s="178">
        <f t="shared" ca="1" si="19"/>
        <v>21.680180961634413</v>
      </c>
      <c r="G132" s="178">
        <f t="shared" ca="1" si="20"/>
        <v>26.319999999999997</v>
      </c>
      <c r="H132" s="177">
        <f t="shared" ca="1" si="21"/>
        <v>25</v>
      </c>
      <c r="I132" s="25">
        <f t="shared" ca="1" si="22"/>
        <v>1912.7895932881793</v>
      </c>
      <c r="J132" s="9" t="str">
        <f ca="1">'SAC_IOF Ñ USAR'!J132</f>
        <v/>
      </c>
      <c r="K132" s="9" t="str">
        <f ca="1">'SAC_IOF Ñ USAR'!K132</f>
        <v/>
      </c>
      <c r="L132" s="9">
        <f ca="1">'SAC_IOF Ñ USAR'!L132</f>
        <v>11</v>
      </c>
      <c r="N132" s="176">
        <f t="shared" ca="1" si="23"/>
        <v>31</v>
      </c>
      <c r="O132" s="176">
        <f t="shared" ca="1" si="25"/>
        <v>3462</v>
      </c>
      <c r="P132" s="175">
        <f t="shared" ca="1" si="14"/>
        <v>834.39144798065388</v>
      </c>
      <c r="Q132" s="11">
        <f t="shared" ca="1" si="15"/>
        <v>2.9930000000000002E-2</v>
      </c>
      <c r="R132" s="12">
        <f t="shared" ca="1" si="16"/>
        <v>24.973336038060971</v>
      </c>
      <c r="S132" s="513"/>
      <c r="U132">
        <f t="shared" ca="1" si="26"/>
        <v>1839.7894123265448</v>
      </c>
      <c r="V132" s="31">
        <f t="shared" ca="1" si="27"/>
        <v>1912.7895932881793</v>
      </c>
    </row>
    <row r="133" spans="1:22">
      <c r="A133" s="180">
        <f ca="1">'SAC_IOF Ñ USAR'!A133</f>
        <v>114</v>
      </c>
      <c r="B133" s="179">
        <f ca="1">'SAC_IOF Ñ USAR'!B133</f>
        <v>48212</v>
      </c>
      <c r="C133" s="177">
        <f t="shared" ca="1" si="17"/>
        <v>889.99100827727909</v>
      </c>
      <c r="D133" s="24">
        <f t="shared" ca="1" si="24"/>
        <v>941.6104867729789</v>
      </c>
      <c r="E133" s="177">
        <f t="shared" ca="1" si="18"/>
        <v>101458.9749436093</v>
      </c>
      <c r="F133" s="178">
        <f t="shared" ca="1" si="19"/>
        <v>21.493282849896183</v>
      </c>
      <c r="G133" s="178">
        <f t="shared" ca="1" si="20"/>
        <v>26.319999999999997</v>
      </c>
      <c r="H133" s="177">
        <f t="shared" ca="1" si="21"/>
        <v>25</v>
      </c>
      <c r="I133" s="25">
        <f t="shared" ca="1" si="22"/>
        <v>1904.4147779001541</v>
      </c>
      <c r="J133" s="9" t="str">
        <f ca="1">'SAC_IOF Ñ USAR'!J133</f>
        <v/>
      </c>
      <c r="K133" s="9" t="str">
        <f ca="1">'SAC_IOF Ñ USAR'!K133</f>
        <v/>
      </c>
      <c r="L133" s="9">
        <f ca="1">'SAC_IOF Ñ USAR'!L133</f>
        <v>12</v>
      </c>
      <c r="N133" s="176">
        <f t="shared" ca="1" si="23"/>
        <v>30</v>
      </c>
      <c r="O133" s="176">
        <f t="shared" ca="1" si="25"/>
        <v>3492</v>
      </c>
      <c r="P133" s="175">
        <f t="shared" ca="1" si="14"/>
        <v>834.39144798065388</v>
      </c>
      <c r="Q133" s="11">
        <f t="shared" ca="1" si="15"/>
        <v>2.9930000000000002E-2</v>
      </c>
      <c r="R133" s="12">
        <f t="shared" ca="1" si="16"/>
        <v>24.973336038060971</v>
      </c>
      <c r="S133" s="513"/>
      <c r="U133">
        <f t="shared" ca="1" si="26"/>
        <v>1831.6014950502581</v>
      </c>
      <c r="V133" s="31">
        <f t="shared" ca="1" si="27"/>
        <v>1904.4147779001541</v>
      </c>
    </row>
    <row r="134" spans="1:22">
      <c r="A134" s="180">
        <f ca="1">'SAC_IOF Ñ USAR'!A134</f>
        <v>115</v>
      </c>
      <c r="B134" s="179">
        <f ca="1">'SAC_IOF Ñ USAR'!B134</f>
        <v>48243</v>
      </c>
      <c r="C134" s="177">
        <f t="shared" ca="1" si="17"/>
        <v>889.99100827727909</v>
      </c>
      <c r="D134" s="24">
        <f t="shared" ca="1" si="24"/>
        <v>933.42256949669206</v>
      </c>
      <c r="E134" s="177">
        <f t="shared" ca="1" si="18"/>
        <v>100568.98393533201</v>
      </c>
      <c r="F134" s="178">
        <f t="shared" ca="1" si="19"/>
        <v>21.306384738157952</v>
      </c>
      <c r="G134" s="178">
        <f t="shared" ca="1" si="20"/>
        <v>26.319999999999997</v>
      </c>
      <c r="H134" s="177">
        <f t="shared" ca="1" si="21"/>
        <v>25</v>
      </c>
      <c r="I134" s="25">
        <f t="shared" ca="1" si="22"/>
        <v>1896.039962512129</v>
      </c>
      <c r="J134" s="9" t="str">
        <f ca="1">'SAC_IOF Ñ USAR'!J134</f>
        <v/>
      </c>
      <c r="K134" s="9" t="str">
        <f ca="1">'SAC_IOF Ñ USAR'!K134</f>
        <v/>
      </c>
      <c r="L134" s="9">
        <f ca="1">'SAC_IOF Ñ USAR'!L134</f>
        <v>1</v>
      </c>
      <c r="N134" s="176">
        <f t="shared" ca="1" si="23"/>
        <v>31</v>
      </c>
      <c r="O134" s="176">
        <f t="shared" ca="1" si="25"/>
        <v>3523</v>
      </c>
      <c r="P134" s="175">
        <f t="shared" ca="1" si="14"/>
        <v>834.39144798065388</v>
      </c>
      <c r="Q134" s="11">
        <f t="shared" ca="1" si="15"/>
        <v>2.9930000000000002E-2</v>
      </c>
      <c r="R134" s="12">
        <f t="shared" ca="1" si="16"/>
        <v>24.973336038060971</v>
      </c>
      <c r="S134" s="513"/>
      <c r="U134">
        <f t="shared" ca="1" si="26"/>
        <v>1823.4135777739712</v>
      </c>
      <c r="V134" s="31">
        <f t="shared" ca="1" si="27"/>
        <v>1896.039962512129</v>
      </c>
    </row>
    <row r="135" spans="1:22">
      <c r="A135" s="180">
        <f ca="1">'SAC_IOF Ñ USAR'!A135</f>
        <v>116</v>
      </c>
      <c r="B135" s="179">
        <f ca="1">'SAC_IOF Ñ USAR'!B135</f>
        <v>48273</v>
      </c>
      <c r="C135" s="177">
        <f t="shared" ca="1" si="17"/>
        <v>889.99100827727909</v>
      </c>
      <c r="D135" s="24">
        <f t="shared" ca="1" si="24"/>
        <v>925.23465222040522</v>
      </c>
      <c r="E135" s="177">
        <f t="shared" ca="1" si="18"/>
        <v>99678.992927054729</v>
      </c>
      <c r="F135" s="178">
        <f t="shared" ca="1" si="19"/>
        <v>21.119486626419725</v>
      </c>
      <c r="G135" s="178">
        <f t="shared" ca="1" si="20"/>
        <v>26.319999999999997</v>
      </c>
      <c r="H135" s="177">
        <f t="shared" ca="1" si="21"/>
        <v>25</v>
      </c>
      <c r="I135" s="25">
        <f t="shared" ca="1" si="22"/>
        <v>1887.6651471241039</v>
      </c>
      <c r="J135" s="9" t="str">
        <f ca="1">'SAC_IOF Ñ USAR'!J135</f>
        <v/>
      </c>
      <c r="K135" s="9" t="str">
        <f ca="1">'SAC_IOF Ñ USAR'!K135</f>
        <v/>
      </c>
      <c r="L135" s="9">
        <f ca="1">'SAC_IOF Ñ USAR'!L135</f>
        <v>2</v>
      </c>
      <c r="N135" s="176">
        <f t="shared" ca="1" si="23"/>
        <v>30</v>
      </c>
      <c r="O135" s="176">
        <f t="shared" ca="1" si="25"/>
        <v>3553</v>
      </c>
      <c r="P135" s="175">
        <f t="shared" ca="1" si="14"/>
        <v>834.39144798065388</v>
      </c>
      <c r="Q135" s="11">
        <f t="shared" ca="1" si="15"/>
        <v>2.9930000000000002E-2</v>
      </c>
      <c r="R135" s="12">
        <f t="shared" ca="1" si="16"/>
        <v>24.973336038060971</v>
      </c>
      <c r="S135" s="513"/>
      <c r="U135">
        <f t="shared" ca="1" si="26"/>
        <v>1815.2256604976842</v>
      </c>
      <c r="V135" s="31">
        <f t="shared" ca="1" si="27"/>
        <v>1887.6651471241039</v>
      </c>
    </row>
    <row r="136" spans="1:22">
      <c r="A136" s="180">
        <f ca="1">'SAC_IOF Ñ USAR'!A136</f>
        <v>117</v>
      </c>
      <c r="B136" s="179">
        <f ca="1">'SAC_IOF Ñ USAR'!B136</f>
        <v>48303</v>
      </c>
      <c r="C136" s="177">
        <f t="shared" ca="1" si="17"/>
        <v>889.99100827727909</v>
      </c>
      <c r="D136" s="24">
        <f t="shared" ca="1" si="24"/>
        <v>917.04673494411827</v>
      </c>
      <c r="E136" s="177">
        <f t="shared" ca="1" si="18"/>
        <v>98789.001918777445</v>
      </c>
      <c r="F136" s="178">
        <f t="shared" ca="1" si="19"/>
        <v>20.932588514681495</v>
      </c>
      <c r="G136" s="178">
        <f t="shared" ca="1" si="20"/>
        <v>26.319999999999997</v>
      </c>
      <c r="H136" s="177">
        <f t="shared" ca="1" si="21"/>
        <v>25</v>
      </c>
      <c r="I136" s="25">
        <f t="shared" ca="1" si="22"/>
        <v>1879.2903317360788</v>
      </c>
      <c r="J136" s="9" t="str">
        <f ca="1">'SAC_IOF Ñ USAR'!J136</f>
        <v/>
      </c>
      <c r="K136" s="9" t="str">
        <f ca="1">'SAC_IOF Ñ USAR'!K136</f>
        <v/>
      </c>
      <c r="L136" s="9">
        <f ca="1">'SAC_IOF Ñ USAR'!L136</f>
        <v>3</v>
      </c>
      <c r="N136" s="176">
        <f t="shared" ca="1" si="23"/>
        <v>30</v>
      </c>
      <c r="O136" s="176">
        <f t="shared" ca="1" si="25"/>
        <v>3583</v>
      </c>
      <c r="P136" s="175">
        <f t="shared" ca="1" si="14"/>
        <v>834.39144798065388</v>
      </c>
      <c r="Q136" s="11">
        <f t="shared" ca="1" si="15"/>
        <v>2.9930000000000002E-2</v>
      </c>
      <c r="R136" s="12">
        <f t="shared" ca="1" si="16"/>
        <v>24.973336038060971</v>
      </c>
      <c r="S136" s="513"/>
      <c r="U136">
        <f t="shared" ca="1" si="26"/>
        <v>1807.0377432213972</v>
      </c>
      <c r="V136" s="31">
        <f t="shared" ca="1" si="27"/>
        <v>1879.2903317360788</v>
      </c>
    </row>
    <row r="137" spans="1:22">
      <c r="A137" s="180">
        <f ca="1">'SAC_IOF Ñ USAR'!A137</f>
        <v>118</v>
      </c>
      <c r="B137" s="179">
        <f ca="1">'SAC_IOF Ñ USAR'!B137</f>
        <v>48334</v>
      </c>
      <c r="C137" s="177">
        <f t="shared" ca="1" si="17"/>
        <v>889.99100827727909</v>
      </c>
      <c r="D137" s="24">
        <f t="shared" ca="1" si="24"/>
        <v>908.85881766783143</v>
      </c>
      <c r="E137" s="177">
        <f t="shared" ca="1" si="18"/>
        <v>97899.010910500161</v>
      </c>
      <c r="F137" s="178">
        <f t="shared" ca="1" si="19"/>
        <v>20.745690402943264</v>
      </c>
      <c r="G137" s="178">
        <f t="shared" ca="1" si="20"/>
        <v>26.319999999999997</v>
      </c>
      <c r="H137" s="177">
        <f t="shared" ca="1" si="21"/>
        <v>25</v>
      </c>
      <c r="I137" s="25">
        <f t="shared" ca="1" si="22"/>
        <v>1870.9155163480536</v>
      </c>
      <c r="J137" s="9" t="str">
        <f ca="1">'SAC_IOF Ñ USAR'!J137</f>
        <v/>
      </c>
      <c r="K137" s="9" t="str">
        <f ca="1">'SAC_IOF Ñ USAR'!K137</f>
        <v/>
      </c>
      <c r="L137" s="9">
        <f ca="1">'SAC_IOF Ñ USAR'!L137</f>
        <v>4</v>
      </c>
      <c r="N137" s="176">
        <f t="shared" ca="1" si="23"/>
        <v>31</v>
      </c>
      <c r="O137" s="176">
        <f t="shared" ca="1" si="25"/>
        <v>3614</v>
      </c>
      <c r="P137" s="175">
        <f t="shared" ca="1" si="14"/>
        <v>834.39144798065388</v>
      </c>
      <c r="Q137" s="11">
        <f t="shared" ca="1" si="15"/>
        <v>2.9930000000000002E-2</v>
      </c>
      <c r="R137" s="12">
        <f t="shared" ca="1" si="16"/>
        <v>24.973336038060971</v>
      </c>
      <c r="S137" s="513"/>
      <c r="U137">
        <f t="shared" ca="1" si="26"/>
        <v>1798.8498259451105</v>
      </c>
      <c r="V137" s="31">
        <f t="shared" ca="1" si="27"/>
        <v>1870.9155163480536</v>
      </c>
    </row>
    <row r="138" spans="1:22">
      <c r="A138" s="180">
        <f ca="1">'SAC_IOF Ñ USAR'!A138</f>
        <v>119</v>
      </c>
      <c r="B138" s="179">
        <f ca="1">'SAC_IOF Ñ USAR'!B138</f>
        <v>48364</v>
      </c>
      <c r="C138" s="177">
        <f t="shared" ca="1" si="17"/>
        <v>889.99100827727909</v>
      </c>
      <c r="D138" s="24">
        <f t="shared" ca="1" si="24"/>
        <v>900.67090039154459</v>
      </c>
      <c r="E138" s="177">
        <f t="shared" ca="1" si="18"/>
        <v>97009.019902222877</v>
      </c>
      <c r="F138" s="178">
        <f t="shared" ca="1" si="19"/>
        <v>20.558792291205034</v>
      </c>
      <c r="G138" s="178">
        <f t="shared" ca="1" si="20"/>
        <v>26.319999999999997</v>
      </c>
      <c r="H138" s="177">
        <f t="shared" ca="1" si="21"/>
        <v>25</v>
      </c>
      <c r="I138" s="25">
        <f t="shared" ca="1" si="22"/>
        <v>1862.5407009600287</v>
      </c>
      <c r="J138" s="9" t="str">
        <f ca="1">'SAC_IOF Ñ USAR'!J138</f>
        <v/>
      </c>
      <c r="K138" s="9" t="str">
        <f ca="1">'SAC_IOF Ñ USAR'!K138</f>
        <v/>
      </c>
      <c r="L138" s="9">
        <f ca="1">'SAC_IOF Ñ USAR'!L138</f>
        <v>5</v>
      </c>
      <c r="N138" s="176">
        <f t="shared" ca="1" si="23"/>
        <v>30</v>
      </c>
      <c r="O138" s="176">
        <f t="shared" ca="1" si="25"/>
        <v>3644</v>
      </c>
      <c r="P138" s="175">
        <f t="shared" ca="1" si="14"/>
        <v>834.39144798065388</v>
      </c>
      <c r="Q138" s="11">
        <f t="shared" ca="1" si="15"/>
        <v>2.9930000000000002E-2</v>
      </c>
      <c r="R138" s="12">
        <f t="shared" ca="1" si="16"/>
        <v>24.973336038060971</v>
      </c>
      <c r="S138" s="513"/>
      <c r="U138">
        <f t="shared" ca="1" si="26"/>
        <v>1790.6619086688238</v>
      </c>
      <c r="V138" s="31">
        <f t="shared" ca="1" si="27"/>
        <v>1862.5407009600287</v>
      </c>
    </row>
    <row r="139" spans="1:22">
      <c r="A139" s="180">
        <f ca="1">'SAC_IOF Ñ USAR'!A139</f>
        <v>120</v>
      </c>
      <c r="B139" s="179">
        <f ca="1">'SAC_IOF Ñ USAR'!B139</f>
        <v>48395</v>
      </c>
      <c r="C139" s="177">
        <f t="shared" ca="1" si="17"/>
        <v>889.99100827727909</v>
      </c>
      <c r="D139" s="24">
        <f t="shared" ca="1" si="24"/>
        <v>892.48298311525775</v>
      </c>
      <c r="E139" s="177">
        <f t="shared" ca="1" si="18"/>
        <v>96119.028893945593</v>
      </c>
      <c r="F139" s="178">
        <f t="shared" ca="1" si="19"/>
        <v>20.371894179466803</v>
      </c>
      <c r="G139" s="178">
        <f t="shared" ca="1" si="20"/>
        <v>26.319999999999997</v>
      </c>
      <c r="H139" s="177">
        <f t="shared" ca="1" si="21"/>
        <v>25</v>
      </c>
      <c r="I139" s="25">
        <f t="shared" ca="1" si="22"/>
        <v>1854.1658855720036</v>
      </c>
      <c r="J139" s="9" t="str">
        <f ca="1">'SAC_IOF Ñ USAR'!J139</f>
        <v/>
      </c>
      <c r="K139" s="9" t="str">
        <f ca="1">'SAC_IOF Ñ USAR'!K139</f>
        <v/>
      </c>
      <c r="L139" s="9">
        <f ca="1">'SAC_IOF Ñ USAR'!L139</f>
        <v>6</v>
      </c>
      <c r="N139" s="176">
        <f t="shared" ca="1" si="23"/>
        <v>31</v>
      </c>
      <c r="O139" s="176">
        <f t="shared" ca="1" si="25"/>
        <v>3675</v>
      </c>
      <c r="P139" s="175">
        <f t="shared" ca="1" si="14"/>
        <v>834.39144798065388</v>
      </c>
      <c r="Q139" s="11">
        <f t="shared" ca="1" si="15"/>
        <v>2.9930000000000002E-2</v>
      </c>
      <c r="R139" s="12">
        <f t="shared" ca="1" si="16"/>
        <v>24.973336038060971</v>
      </c>
      <c r="S139" s="513"/>
      <c r="U139">
        <f t="shared" ca="1" si="26"/>
        <v>1782.4739913925368</v>
      </c>
      <c r="V139" s="31">
        <f t="shared" ca="1" si="27"/>
        <v>1854.1658855720036</v>
      </c>
    </row>
    <row r="140" spans="1:22">
      <c r="A140" s="180">
        <f ca="1">'SAC_IOF Ñ USAR'!A140</f>
        <v>121</v>
      </c>
      <c r="B140" s="179">
        <f ca="1">'SAC_IOF Ñ USAR'!B140</f>
        <v>48425</v>
      </c>
      <c r="C140" s="177">
        <f t="shared" ca="1" si="17"/>
        <v>889.99100827727909</v>
      </c>
      <c r="D140" s="24">
        <f t="shared" ca="1" si="24"/>
        <v>884.29506583897091</v>
      </c>
      <c r="E140" s="177">
        <f t="shared" ca="1" si="18"/>
        <v>95229.037885668309</v>
      </c>
      <c r="F140" s="178">
        <f t="shared" ca="1" si="19"/>
        <v>20.184996067728576</v>
      </c>
      <c r="G140" s="178">
        <f t="shared" ca="1" si="20"/>
        <v>26.319999999999997</v>
      </c>
      <c r="H140" s="177">
        <f t="shared" ca="1" si="21"/>
        <v>25</v>
      </c>
      <c r="I140" s="25">
        <f t="shared" ca="1" si="22"/>
        <v>1845.7910701839785</v>
      </c>
      <c r="J140" s="9" t="str">
        <f ca="1">'SAC_IOF Ñ USAR'!J140</f>
        <v/>
      </c>
      <c r="K140" s="9" t="str">
        <f ca="1">'SAC_IOF Ñ USAR'!K140</f>
        <v/>
      </c>
      <c r="L140" s="9">
        <f ca="1">'SAC_IOF Ñ USAR'!L140</f>
        <v>7</v>
      </c>
      <c r="N140" s="176">
        <f t="shared" ca="1" si="23"/>
        <v>30</v>
      </c>
      <c r="O140" s="176">
        <f t="shared" ca="1" si="25"/>
        <v>3705</v>
      </c>
      <c r="P140" s="175">
        <f t="shared" ca="1" si="14"/>
        <v>834.39144798065388</v>
      </c>
      <c r="Q140" s="11">
        <f t="shared" ca="1" si="15"/>
        <v>2.9930000000000002E-2</v>
      </c>
      <c r="R140" s="12">
        <f t="shared" ca="1" si="16"/>
        <v>24.973336038060971</v>
      </c>
      <c r="S140" s="513"/>
      <c r="U140">
        <f t="shared" ca="1" si="26"/>
        <v>1774.2860741162499</v>
      </c>
      <c r="V140" s="31">
        <f t="shared" ca="1" si="27"/>
        <v>1845.7910701839785</v>
      </c>
    </row>
    <row r="141" spans="1:22">
      <c r="A141" s="180">
        <f ca="1">'SAC_IOF Ñ USAR'!A141</f>
        <v>122</v>
      </c>
      <c r="B141" s="179">
        <f ca="1">'SAC_IOF Ñ USAR'!B141</f>
        <v>48456</v>
      </c>
      <c r="C141" s="177">
        <f t="shared" ca="1" si="17"/>
        <v>889.99100827727909</v>
      </c>
      <c r="D141" s="24">
        <f t="shared" ca="1" si="24"/>
        <v>876.10714856268407</v>
      </c>
      <c r="E141" s="177">
        <f t="shared" ca="1" si="18"/>
        <v>94339.046877391025</v>
      </c>
      <c r="F141" s="178">
        <f t="shared" ca="1" si="19"/>
        <v>19.998097955990346</v>
      </c>
      <c r="G141" s="178">
        <f t="shared" ca="1" si="20"/>
        <v>26.319999999999997</v>
      </c>
      <c r="H141" s="177">
        <f t="shared" ca="1" si="21"/>
        <v>25</v>
      </c>
      <c r="I141" s="25">
        <f t="shared" ca="1" si="22"/>
        <v>1837.4162547959534</v>
      </c>
      <c r="J141" s="9" t="str">
        <f ca="1">'SAC_IOF Ñ USAR'!J141</f>
        <v/>
      </c>
      <c r="K141" s="9" t="str">
        <f ca="1">'SAC_IOF Ñ USAR'!K141</f>
        <v/>
      </c>
      <c r="L141" s="9">
        <f ca="1">'SAC_IOF Ñ USAR'!L141</f>
        <v>8</v>
      </c>
      <c r="N141" s="176">
        <f t="shared" ca="1" si="23"/>
        <v>31</v>
      </c>
      <c r="O141" s="176">
        <f t="shared" ca="1" si="25"/>
        <v>3736</v>
      </c>
      <c r="P141" s="175">
        <f t="shared" ca="1" si="14"/>
        <v>834.39144798065388</v>
      </c>
      <c r="Q141" s="11">
        <f t="shared" ca="1" si="15"/>
        <v>2.9930000000000002E-2</v>
      </c>
      <c r="R141" s="12">
        <f t="shared" ca="1" si="16"/>
        <v>24.973336038060971</v>
      </c>
      <c r="S141" s="513"/>
      <c r="U141">
        <f t="shared" ca="1" si="26"/>
        <v>1766.0981568399632</v>
      </c>
      <c r="V141" s="31">
        <f t="shared" ca="1" si="27"/>
        <v>1837.4162547959534</v>
      </c>
    </row>
    <row r="142" spans="1:22">
      <c r="A142" s="180">
        <f ca="1">'SAC_IOF Ñ USAR'!A142</f>
        <v>123</v>
      </c>
      <c r="B142" s="179">
        <f ca="1">'SAC_IOF Ñ USAR'!B142</f>
        <v>48487</v>
      </c>
      <c r="C142" s="177">
        <f t="shared" ca="1" si="17"/>
        <v>889.99100827727909</v>
      </c>
      <c r="D142" s="24">
        <f t="shared" ca="1" si="24"/>
        <v>867.91923128639712</v>
      </c>
      <c r="E142" s="177">
        <f t="shared" ca="1" si="18"/>
        <v>93449.055869113741</v>
      </c>
      <c r="F142" s="178">
        <f t="shared" ca="1" si="19"/>
        <v>19.811199844252116</v>
      </c>
      <c r="G142" s="178">
        <f t="shared" ca="1" si="20"/>
        <v>26.319999999999997</v>
      </c>
      <c r="H142" s="177">
        <f t="shared" ca="1" si="21"/>
        <v>25</v>
      </c>
      <c r="I142" s="25">
        <f t="shared" ca="1" si="22"/>
        <v>1829.0414394079282</v>
      </c>
      <c r="J142" s="9" t="str">
        <f ca="1">'SAC_IOF Ñ USAR'!J142</f>
        <v/>
      </c>
      <c r="K142" s="9" t="str">
        <f ca="1">'SAC_IOF Ñ USAR'!K142</f>
        <v/>
      </c>
      <c r="L142" s="9">
        <f ca="1">'SAC_IOF Ñ USAR'!L142</f>
        <v>9</v>
      </c>
      <c r="N142" s="176">
        <f t="shared" ca="1" si="23"/>
        <v>31</v>
      </c>
      <c r="O142" s="176">
        <f t="shared" ca="1" si="25"/>
        <v>3767</v>
      </c>
      <c r="P142" s="175">
        <f t="shared" ca="1" si="14"/>
        <v>834.39144798065388</v>
      </c>
      <c r="Q142" s="11">
        <f t="shared" ca="1" si="15"/>
        <v>2.9930000000000002E-2</v>
      </c>
      <c r="R142" s="12">
        <f t="shared" ca="1" si="16"/>
        <v>24.973336038060971</v>
      </c>
      <c r="S142" s="513"/>
      <c r="U142">
        <f t="shared" ca="1" si="26"/>
        <v>1757.9102395636762</v>
      </c>
      <c r="V142" s="31">
        <f t="shared" ca="1" si="27"/>
        <v>1829.0414394079282</v>
      </c>
    </row>
    <row r="143" spans="1:22">
      <c r="A143" s="180">
        <f ca="1">'SAC_IOF Ñ USAR'!A143</f>
        <v>124</v>
      </c>
      <c r="B143" s="179">
        <f ca="1">'SAC_IOF Ñ USAR'!B143</f>
        <v>48517</v>
      </c>
      <c r="C143" s="177">
        <f t="shared" ca="1" si="17"/>
        <v>889.99100827727909</v>
      </c>
      <c r="D143" s="24">
        <f t="shared" ca="1" si="24"/>
        <v>859.73131401011028</v>
      </c>
      <c r="E143" s="177">
        <f t="shared" ca="1" si="18"/>
        <v>92559.064860836457</v>
      </c>
      <c r="F143" s="178">
        <f t="shared" ca="1" si="19"/>
        <v>19.624301732513885</v>
      </c>
      <c r="G143" s="178">
        <f t="shared" ca="1" si="20"/>
        <v>26.319999999999997</v>
      </c>
      <c r="H143" s="177">
        <f t="shared" ca="1" si="21"/>
        <v>25</v>
      </c>
      <c r="I143" s="25">
        <f t="shared" ca="1" si="22"/>
        <v>1820.6666240199033</v>
      </c>
      <c r="J143" s="9" t="str">
        <f ca="1">'SAC_IOF Ñ USAR'!J143</f>
        <v/>
      </c>
      <c r="K143" s="9" t="str">
        <f ca="1">'SAC_IOF Ñ USAR'!K143</f>
        <v/>
      </c>
      <c r="L143" s="9">
        <f ca="1">'SAC_IOF Ñ USAR'!L143</f>
        <v>10</v>
      </c>
      <c r="N143" s="176">
        <f t="shared" ca="1" si="23"/>
        <v>30</v>
      </c>
      <c r="O143" s="176">
        <f t="shared" ca="1" si="25"/>
        <v>3797</v>
      </c>
      <c r="P143" s="175">
        <f t="shared" ca="1" si="14"/>
        <v>834.39144798065388</v>
      </c>
      <c r="Q143" s="11">
        <f t="shared" ca="1" si="15"/>
        <v>2.9930000000000002E-2</v>
      </c>
      <c r="R143" s="12">
        <f t="shared" ca="1" si="16"/>
        <v>24.973336038060971</v>
      </c>
      <c r="S143" s="513"/>
      <c r="U143">
        <f t="shared" ca="1" si="26"/>
        <v>1749.7223222873895</v>
      </c>
      <c r="V143" s="31">
        <f t="shared" ca="1" si="27"/>
        <v>1820.6666240199033</v>
      </c>
    </row>
    <row r="144" spans="1:22">
      <c r="A144" s="180">
        <f ca="1">'SAC_IOF Ñ USAR'!A144</f>
        <v>125</v>
      </c>
      <c r="B144" s="179">
        <f ca="1">'SAC_IOF Ñ USAR'!B144</f>
        <v>48548</v>
      </c>
      <c r="C144" s="177">
        <f t="shared" ca="1" si="17"/>
        <v>889.99100827727909</v>
      </c>
      <c r="D144" s="24">
        <f t="shared" ca="1" si="24"/>
        <v>851.54339673382344</v>
      </c>
      <c r="E144" s="177">
        <f t="shared" ca="1" si="18"/>
        <v>91669.073852559173</v>
      </c>
      <c r="F144" s="178">
        <f t="shared" ca="1" si="19"/>
        <v>19.437403620775658</v>
      </c>
      <c r="G144" s="178">
        <f t="shared" ca="1" si="20"/>
        <v>26.319999999999997</v>
      </c>
      <c r="H144" s="177">
        <f t="shared" ca="1" si="21"/>
        <v>25</v>
      </c>
      <c r="I144" s="25">
        <f t="shared" ca="1" si="22"/>
        <v>1812.2918086318782</v>
      </c>
      <c r="J144" s="9" t="str">
        <f ca="1">'SAC_IOF Ñ USAR'!J144</f>
        <v/>
      </c>
      <c r="K144" s="9" t="str">
        <f ca="1">'SAC_IOF Ñ USAR'!K144</f>
        <v/>
      </c>
      <c r="L144" s="9">
        <f ca="1">'SAC_IOF Ñ USAR'!L144</f>
        <v>11</v>
      </c>
      <c r="N144" s="176">
        <f t="shared" ca="1" si="23"/>
        <v>31</v>
      </c>
      <c r="O144" s="176">
        <f t="shared" ca="1" si="25"/>
        <v>3828</v>
      </c>
      <c r="P144" s="175">
        <f t="shared" ca="1" si="14"/>
        <v>834.39144798065388</v>
      </c>
      <c r="Q144" s="11">
        <f t="shared" ca="1" si="15"/>
        <v>2.9930000000000002E-2</v>
      </c>
      <c r="R144" s="12">
        <f t="shared" ca="1" si="16"/>
        <v>24.973336038060971</v>
      </c>
      <c r="S144" s="513"/>
      <c r="U144">
        <f t="shared" ca="1" si="26"/>
        <v>1741.5344050111025</v>
      </c>
      <c r="V144" s="31">
        <f t="shared" ca="1" si="27"/>
        <v>1812.2918086318782</v>
      </c>
    </row>
    <row r="145" spans="1:22">
      <c r="A145" s="180">
        <f ca="1">'SAC_IOF Ñ USAR'!A145</f>
        <v>126</v>
      </c>
      <c r="B145" s="179">
        <f ca="1">'SAC_IOF Ñ USAR'!B145</f>
        <v>48578</v>
      </c>
      <c r="C145" s="177">
        <f t="shared" ca="1" si="17"/>
        <v>889.99100827727909</v>
      </c>
      <c r="D145" s="24">
        <f t="shared" ca="1" si="24"/>
        <v>843.3554794575366</v>
      </c>
      <c r="E145" s="177">
        <f t="shared" ca="1" si="18"/>
        <v>90779.082844281889</v>
      </c>
      <c r="F145" s="178">
        <f t="shared" ca="1" si="19"/>
        <v>19.250505509037428</v>
      </c>
      <c r="G145" s="178">
        <f t="shared" ca="1" si="20"/>
        <v>26.319999999999997</v>
      </c>
      <c r="H145" s="177">
        <f t="shared" ca="1" si="21"/>
        <v>25</v>
      </c>
      <c r="I145" s="25">
        <f t="shared" ca="1" si="22"/>
        <v>1803.9169932438529</v>
      </c>
      <c r="J145" s="9" t="str">
        <f ca="1">'SAC_IOF Ñ USAR'!J145</f>
        <v/>
      </c>
      <c r="K145" s="9" t="str">
        <f ca="1">'SAC_IOF Ñ USAR'!K145</f>
        <v/>
      </c>
      <c r="L145" s="9">
        <f ca="1">'SAC_IOF Ñ USAR'!L145</f>
        <v>12</v>
      </c>
      <c r="N145" s="176">
        <f t="shared" ca="1" si="23"/>
        <v>30</v>
      </c>
      <c r="O145" s="176">
        <f t="shared" ca="1" si="25"/>
        <v>3858</v>
      </c>
      <c r="P145" s="175">
        <f t="shared" ca="1" si="14"/>
        <v>834.39144798065388</v>
      </c>
      <c r="Q145" s="11">
        <f t="shared" ca="1" si="15"/>
        <v>2.9930000000000002E-2</v>
      </c>
      <c r="R145" s="12">
        <f t="shared" ca="1" si="16"/>
        <v>24.973336038060971</v>
      </c>
      <c r="S145" s="513"/>
      <c r="U145">
        <f t="shared" ca="1" si="26"/>
        <v>1733.3464877348156</v>
      </c>
      <c r="V145" s="31">
        <f t="shared" ca="1" si="27"/>
        <v>1803.9169932438529</v>
      </c>
    </row>
    <row r="146" spans="1:22">
      <c r="A146" s="180">
        <f ca="1">'SAC_IOF Ñ USAR'!A146</f>
        <v>127</v>
      </c>
      <c r="B146" s="179">
        <f ca="1">'SAC_IOF Ñ USAR'!B146</f>
        <v>48609</v>
      </c>
      <c r="C146" s="177">
        <f t="shared" ca="1" si="17"/>
        <v>889.99100827727909</v>
      </c>
      <c r="D146" s="24">
        <f t="shared" ca="1" si="24"/>
        <v>835.16756218124976</v>
      </c>
      <c r="E146" s="177">
        <f t="shared" ca="1" si="18"/>
        <v>89889.091836004605</v>
      </c>
      <c r="F146" s="178">
        <f t="shared" ca="1" si="19"/>
        <v>19.063607397299197</v>
      </c>
      <c r="G146" s="178">
        <f t="shared" ca="1" si="20"/>
        <v>26.319999999999997</v>
      </c>
      <c r="H146" s="177">
        <f t="shared" ca="1" si="21"/>
        <v>25</v>
      </c>
      <c r="I146" s="25">
        <f t="shared" ca="1" si="22"/>
        <v>1795.542177855828</v>
      </c>
      <c r="J146" s="9" t="str">
        <f ca="1">'SAC_IOF Ñ USAR'!J146</f>
        <v/>
      </c>
      <c r="K146" s="9" t="str">
        <f ca="1">'SAC_IOF Ñ USAR'!K146</f>
        <v/>
      </c>
      <c r="L146" s="9">
        <f ca="1">'SAC_IOF Ñ USAR'!L146</f>
        <v>1</v>
      </c>
      <c r="N146" s="176">
        <f t="shared" ca="1" si="23"/>
        <v>31</v>
      </c>
      <c r="O146" s="176">
        <f t="shared" ca="1" si="25"/>
        <v>3889</v>
      </c>
      <c r="P146" s="175">
        <f t="shared" ref="P146:P209" ca="1" si="28">IF(A146&lt;&gt;"",$E$18/($C$8-$C$12-$D$13),"")</f>
        <v>834.39144798065388</v>
      </c>
      <c r="Q146" s="11">
        <f t="shared" ref="Q146:Q209" ca="1" si="29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ca="1" si="30">IFERROR(Q146*P146,"")</f>
        <v>24.973336038060971</v>
      </c>
      <c r="S146" s="513"/>
      <c r="U146">
        <f t="shared" ca="1" si="26"/>
        <v>1725.1585704585289</v>
      </c>
      <c r="V146" s="31">
        <f t="shared" ca="1" si="27"/>
        <v>1795.542177855828</v>
      </c>
    </row>
    <row r="147" spans="1:22">
      <c r="A147" s="180">
        <f ca="1">'SAC_IOF Ñ USAR'!A147</f>
        <v>128</v>
      </c>
      <c r="B147" s="179">
        <f ca="1">'SAC_IOF Ñ USAR'!B147</f>
        <v>48638</v>
      </c>
      <c r="C147" s="177">
        <f t="shared" ref="C147:C210" ca="1" si="31">IFERROR(IF(OR(J147="Carencia",K147="Pula",A147=""),0,$I$13),"")</f>
        <v>889.99100827727909</v>
      </c>
      <c r="D147" s="24">
        <f t="shared" ca="1" si="24"/>
        <v>826.97964490496292</v>
      </c>
      <c r="E147" s="177">
        <f t="shared" ref="E147:E210" ca="1" si="32">IFERROR(IF(OR(J147="Carencia",K147="Pula"),E146+D147+SUM(F147:H147),(E146-C147)),"")</f>
        <v>88999.100827727321</v>
      </c>
      <c r="F147" s="178">
        <f t="shared" ref="F147:F210" ca="1" si="33">IFERROR(IF(OR(AND(DAY(B147)=DAY(B146),MONTH(B147)&lt;&gt;MONTH(B146)),MONTH(B147)&lt;&gt;MONTH(B146)),IF(K147="Pula",0,E146*$I$7),""),"")</f>
        <v>18.876709285560967</v>
      </c>
      <c r="G147" s="178">
        <f t="shared" ref="G147:G210" ca="1" si="34">IFERROR(IF(OR(AND(DAY(B147)=DAY(B146),MONTH(B147)&lt;&gt;MONTH(B146)),MONTH(B147)&lt;&gt;MONTH(B146)),IF(K147="Pula",0,$C$11*$I$8),0),"")</f>
        <v>26.319999999999997</v>
      </c>
      <c r="H147" s="177">
        <f t="shared" ref="H147:H210" ca="1" si="35">IFERROR(IF(OR(AND(DAY(B147)=DAY(B146),MONTH(B147)&lt;&gt;MONTH(B146)),MONTH(B147)&lt;&gt;MONTH(B146)),IF(K147="Pula",0,$I$10),0),"")</f>
        <v>25</v>
      </c>
      <c r="I147" s="25">
        <f t="shared" ref="I147:I210" ca="1" si="36">IFERROR(IF(OR(J147="Carencia",K147="Pula"),0,SUM(C147:D147,F147:H147)),"")</f>
        <v>1787.1673624678031</v>
      </c>
      <c r="J147" s="9" t="str">
        <f ca="1">'SAC_IOF Ñ USAR'!J147</f>
        <v/>
      </c>
      <c r="K147" s="9" t="str">
        <f ca="1">'SAC_IOF Ñ USAR'!K147</f>
        <v/>
      </c>
      <c r="L147" s="9">
        <f ca="1">'SAC_IOF Ñ USAR'!L147</f>
        <v>2</v>
      </c>
      <c r="N147" s="176">
        <f t="shared" ref="N147:N210" ca="1" si="37">IFERROR(B147-B146,"")</f>
        <v>29</v>
      </c>
      <c r="O147" s="176">
        <f t="shared" ca="1" si="25"/>
        <v>3918</v>
      </c>
      <c r="P147" s="175">
        <f t="shared" ca="1" si="28"/>
        <v>834.39144798065388</v>
      </c>
      <c r="Q147" s="11">
        <f t="shared" ca="1" si="29"/>
        <v>2.9930000000000002E-2</v>
      </c>
      <c r="R147" s="12">
        <f t="shared" ca="1" si="30"/>
        <v>24.973336038060971</v>
      </c>
      <c r="S147" s="513"/>
      <c r="U147">
        <f t="shared" ca="1" si="26"/>
        <v>1716.9706531822421</v>
      </c>
      <c r="V147" s="31">
        <f t="shared" ca="1" si="27"/>
        <v>1787.1673624678031</v>
      </c>
    </row>
    <row r="148" spans="1:22">
      <c r="A148" s="180">
        <f ca="1">'SAC_IOF Ñ USAR'!A148</f>
        <v>129</v>
      </c>
      <c r="B148" s="179">
        <f ca="1">'SAC_IOF Ñ USAR'!B148</f>
        <v>48668</v>
      </c>
      <c r="C148" s="177">
        <f t="shared" ca="1" si="31"/>
        <v>889.99100827727909</v>
      </c>
      <c r="D148" s="24">
        <f t="shared" ref="D148:D211" ca="1" si="38">IFERROR(IF(DAY(B148)=DAY(B147),IF(K148="Pula",0,($D$9)*E147),IF(AND(K148="Pula",J148=""),0,IF(AND($F$3=30,OR(AND(DAY(B147)=28,MONTH(B147)=2),AND(DAY(B147)=29,MONTH(B147)=2))),$D$9*E147,$D$9*E147))),"")</f>
        <v>818.79172762867597</v>
      </c>
      <c r="E148" s="177">
        <f t="shared" ca="1" si="32"/>
        <v>88109.109819450037</v>
      </c>
      <c r="F148" s="178">
        <f t="shared" ca="1" si="33"/>
        <v>18.68981117382274</v>
      </c>
      <c r="G148" s="178">
        <f t="shared" ca="1" si="34"/>
        <v>26.319999999999997</v>
      </c>
      <c r="H148" s="177">
        <f t="shared" ca="1" si="35"/>
        <v>25</v>
      </c>
      <c r="I148" s="25">
        <f t="shared" ca="1" si="36"/>
        <v>1778.7925470797779</v>
      </c>
      <c r="J148" s="9" t="str">
        <f ca="1">'SAC_IOF Ñ USAR'!J148</f>
        <v/>
      </c>
      <c r="K148" s="9" t="str">
        <f ca="1">'SAC_IOF Ñ USAR'!K148</f>
        <v/>
      </c>
      <c r="L148" s="9">
        <f ca="1">'SAC_IOF Ñ USAR'!L148</f>
        <v>3</v>
      </c>
      <c r="N148" s="176">
        <f t="shared" ca="1" si="37"/>
        <v>30</v>
      </c>
      <c r="O148" s="176">
        <f t="shared" ref="O148:O211" ca="1" si="39">IFERROR(N148+O147,"")</f>
        <v>3948</v>
      </c>
      <c r="P148" s="175">
        <f t="shared" ca="1" si="28"/>
        <v>834.39144798065388</v>
      </c>
      <c r="Q148" s="11">
        <f t="shared" ca="1" si="29"/>
        <v>2.9930000000000002E-2</v>
      </c>
      <c r="R148" s="12">
        <f t="shared" ca="1" si="30"/>
        <v>24.973336038060971</v>
      </c>
      <c r="S148" s="513"/>
      <c r="U148">
        <f t="shared" ref="U148:U211" ca="1" si="40">IFERROR(IF(OR(J148="Carencia",K148="Pula"),0,C148+D148),"")</f>
        <v>1708.7827359059552</v>
      </c>
      <c r="V148" s="31">
        <f t="shared" ref="V148:V211" ca="1" si="41">IFERROR(I148,0)</f>
        <v>1778.7925470797779</v>
      </c>
    </row>
    <row r="149" spans="1:22">
      <c r="A149" s="180">
        <f ca="1">'SAC_IOF Ñ USAR'!A149</f>
        <v>130</v>
      </c>
      <c r="B149" s="179">
        <f ca="1">'SAC_IOF Ñ USAR'!B149</f>
        <v>48699</v>
      </c>
      <c r="C149" s="177">
        <f t="shared" ca="1" si="31"/>
        <v>889.99100827727909</v>
      </c>
      <c r="D149" s="24">
        <f t="shared" ca="1" si="38"/>
        <v>810.60381035238913</v>
      </c>
      <c r="E149" s="177">
        <f t="shared" ca="1" si="32"/>
        <v>87219.118811172753</v>
      </c>
      <c r="F149" s="178">
        <f t="shared" ca="1" si="33"/>
        <v>18.502913062084509</v>
      </c>
      <c r="G149" s="178">
        <f t="shared" ca="1" si="34"/>
        <v>26.319999999999997</v>
      </c>
      <c r="H149" s="177">
        <f t="shared" ca="1" si="35"/>
        <v>25</v>
      </c>
      <c r="I149" s="25">
        <f t="shared" ca="1" si="36"/>
        <v>1770.4177316917526</v>
      </c>
      <c r="J149" s="9" t="str">
        <f ca="1">'SAC_IOF Ñ USAR'!J149</f>
        <v/>
      </c>
      <c r="K149" s="9" t="str">
        <f ca="1">'SAC_IOF Ñ USAR'!K149</f>
        <v/>
      </c>
      <c r="L149" s="9">
        <f ca="1">'SAC_IOF Ñ USAR'!L149</f>
        <v>4</v>
      </c>
      <c r="N149" s="176">
        <f t="shared" ca="1" si="37"/>
        <v>31</v>
      </c>
      <c r="O149" s="176">
        <f t="shared" ca="1" si="39"/>
        <v>3979</v>
      </c>
      <c r="P149" s="175">
        <f t="shared" ca="1" si="28"/>
        <v>834.39144798065388</v>
      </c>
      <c r="Q149" s="11">
        <f t="shared" ca="1" si="29"/>
        <v>2.9930000000000002E-2</v>
      </c>
      <c r="R149" s="12">
        <f t="shared" ca="1" si="30"/>
        <v>24.973336038060971</v>
      </c>
      <c r="S149" s="513"/>
      <c r="U149">
        <f t="shared" ca="1" si="40"/>
        <v>1700.5948186296682</v>
      </c>
      <c r="V149" s="31">
        <f t="shared" ca="1" si="41"/>
        <v>1770.4177316917526</v>
      </c>
    </row>
    <row r="150" spans="1:22">
      <c r="A150" s="180">
        <f ca="1">'SAC_IOF Ñ USAR'!A150</f>
        <v>131</v>
      </c>
      <c r="B150" s="179">
        <f ca="1">'SAC_IOF Ñ USAR'!B150</f>
        <v>48729</v>
      </c>
      <c r="C150" s="177">
        <f t="shared" ca="1" si="31"/>
        <v>889.99100827727909</v>
      </c>
      <c r="D150" s="24">
        <f t="shared" ca="1" si="38"/>
        <v>802.41589307610229</v>
      </c>
      <c r="E150" s="177">
        <f t="shared" ca="1" si="32"/>
        <v>86329.127802895469</v>
      </c>
      <c r="F150" s="178">
        <f t="shared" ca="1" si="33"/>
        <v>18.316014950346279</v>
      </c>
      <c r="G150" s="178">
        <f t="shared" ca="1" si="34"/>
        <v>26.319999999999997</v>
      </c>
      <c r="H150" s="177">
        <f t="shared" ca="1" si="35"/>
        <v>25</v>
      </c>
      <c r="I150" s="25">
        <f t="shared" ca="1" si="36"/>
        <v>1762.0429163037275</v>
      </c>
      <c r="J150" s="9" t="str">
        <f ca="1">'SAC_IOF Ñ USAR'!J150</f>
        <v/>
      </c>
      <c r="K150" s="9" t="str">
        <f ca="1">'SAC_IOF Ñ USAR'!K150</f>
        <v/>
      </c>
      <c r="L150" s="9">
        <f ca="1">'SAC_IOF Ñ USAR'!L150</f>
        <v>5</v>
      </c>
      <c r="N150" s="176">
        <f t="shared" ca="1" si="37"/>
        <v>30</v>
      </c>
      <c r="O150" s="176">
        <f t="shared" ca="1" si="39"/>
        <v>4009</v>
      </c>
      <c r="P150" s="175">
        <f t="shared" ca="1" si="28"/>
        <v>834.39144798065388</v>
      </c>
      <c r="Q150" s="11">
        <f t="shared" ca="1" si="29"/>
        <v>2.9930000000000002E-2</v>
      </c>
      <c r="R150" s="12">
        <f t="shared" ca="1" si="30"/>
        <v>24.973336038060971</v>
      </c>
      <c r="S150" s="513"/>
      <c r="U150">
        <f t="shared" ca="1" si="40"/>
        <v>1692.4069013533813</v>
      </c>
      <c r="V150" s="31">
        <f t="shared" ca="1" si="41"/>
        <v>1762.0429163037275</v>
      </c>
    </row>
    <row r="151" spans="1:22">
      <c r="A151" s="180">
        <f ca="1">'SAC_IOF Ñ USAR'!A151</f>
        <v>132</v>
      </c>
      <c r="B151" s="179">
        <f ca="1">'SAC_IOF Ñ USAR'!B151</f>
        <v>48760</v>
      </c>
      <c r="C151" s="177">
        <f t="shared" ca="1" si="31"/>
        <v>889.99100827727909</v>
      </c>
      <c r="D151" s="24">
        <f t="shared" ca="1" si="38"/>
        <v>794.22797579981545</v>
      </c>
      <c r="E151" s="177">
        <f t="shared" ca="1" si="32"/>
        <v>85439.136794618185</v>
      </c>
      <c r="F151" s="178">
        <f t="shared" ca="1" si="33"/>
        <v>18.129116838608049</v>
      </c>
      <c r="G151" s="178">
        <f t="shared" ca="1" si="34"/>
        <v>26.319999999999997</v>
      </c>
      <c r="H151" s="177">
        <f t="shared" ca="1" si="35"/>
        <v>25</v>
      </c>
      <c r="I151" s="25">
        <f t="shared" ca="1" si="36"/>
        <v>1753.6681009157026</v>
      </c>
      <c r="J151" s="9" t="str">
        <f ca="1">'SAC_IOF Ñ USAR'!J151</f>
        <v/>
      </c>
      <c r="K151" s="9" t="str">
        <f ca="1">'SAC_IOF Ñ USAR'!K151</f>
        <v/>
      </c>
      <c r="L151" s="9">
        <f ca="1">'SAC_IOF Ñ USAR'!L151</f>
        <v>6</v>
      </c>
      <c r="N151" s="176">
        <f t="shared" ca="1" si="37"/>
        <v>31</v>
      </c>
      <c r="O151" s="176">
        <f t="shared" ca="1" si="39"/>
        <v>4040</v>
      </c>
      <c r="P151" s="175">
        <f t="shared" ca="1" si="28"/>
        <v>834.39144798065388</v>
      </c>
      <c r="Q151" s="11">
        <f t="shared" ca="1" si="29"/>
        <v>2.9930000000000002E-2</v>
      </c>
      <c r="R151" s="12">
        <f t="shared" ca="1" si="30"/>
        <v>24.973336038060971</v>
      </c>
      <c r="S151" s="513"/>
      <c r="U151">
        <f t="shared" ca="1" si="40"/>
        <v>1684.2189840770945</v>
      </c>
      <c r="V151" s="31">
        <f t="shared" ca="1" si="41"/>
        <v>1753.6681009157026</v>
      </c>
    </row>
    <row r="152" spans="1:22">
      <c r="A152" s="180">
        <f ca="1">'SAC_IOF Ñ USAR'!A152</f>
        <v>133</v>
      </c>
      <c r="B152" s="179">
        <f ca="1">'SAC_IOF Ñ USAR'!B152</f>
        <v>48790</v>
      </c>
      <c r="C152" s="177">
        <f t="shared" ca="1" si="31"/>
        <v>889.99100827727909</v>
      </c>
      <c r="D152" s="24">
        <f t="shared" ca="1" si="38"/>
        <v>786.04005852352861</v>
      </c>
      <c r="E152" s="177">
        <f t="shared" ca="1" si="32"/>
        <v>84549.145786340901</v>
      </c>
      <c r="F152" s="178">
        <f t="shared" ca="1" si="33"/>
        <v>17.942218726869818</v>
      </c>
      <c r="G152" s="178">
        <f t="shared" ca="1" si="34"/>
        <v>26.319999999999997</v>
      </c>
      <c r="H152" s="177">
        <f t="shared" ca="1" si="35"/>
        <v>25</v>
      </c>
      <c r="I152" s="25">
        <f t="shared" ca="1" si="36"/>
        <v>1745.2932855276777</v>
      </c>
      <c r="J152" s="9" t="str">
        <f ca="1">'SAC_IOF Ñ USAR'!J152</f>
        <v/>
      </c>
      <c r="K152" s="9" t="str">
        <f ca="1">'SAC_IOF Ñ USAR'!K152</f>
        <v/>
      </c>
      <c r="L152" s="9">
        <f ca="1">'SAC_IOF Ñ USAR'!L152</f>
        <v>7</v>
      </c>
      <c r="N152" s="176">
        <f t="shared" ca="1" si="37"/>
        <v>30</v>
      </c>
      <c r="O152" s="176">
        <f t="shared" ca="1" si="39"/>
        <v>4070</v>
      </c>
      <c r="P152" s="175">
        <f t="shared" ca="1" si="28"/>
        <v>834.39144798065388</v>
      </c>
      <c r="Q152" s="11">
        <f t="shared" ca="1" si="29"/>
        <v>2.9930000000000002E-2</v>
      </c>
      <c r="R152" s="12">
        <f t="shared" ca="1" si="30"/>
        <v>24.973336038060971</v>
      </c>
      <c r="S152" s="513"/>
      <c r="U152">
        <f t="shared" ca="1" si="40"/>
        <v>1676.0310668008078</v>
      </c>
      <c r="V152" s="31">
        <f t="shared" ca="1" si="41"/>
        <v>1745.2932855276777</v>
      </c>
    </row>
    <row r="153" spans="1:22">
      <c r="A153" s="180">
        <f ca="1">'SAC_IOF Ñ USAR'!A153</f>
        <v>134</v>
      </c>
      <c r="B153" s="179">
        <f ca="1">'SAC_IOF Ñ USAR'!B153</f>
        <v>48821</v>
      </c>
      <c r="C153" s="177">
        <f t="shared" ca="1" si="31"/>
        <v>889.99100827727909</v>
      </c>
      <c r="D153" s="24">
        <f t="shared" ca="1" si="38"/>
        <v>777.85214124724178</v>
      </c>
      <c r="E153" s="177">
        <f t="shared" ca="1" si="32"/>
        <v>83659.154778063617</v>
      </c>
      <c r="F153" s="178">
        <f t="shared" ca="1" si="33"/>
        <v>17.755320615131591</v>
      </c>
      <c r="G153" s="178">
        <f t="shared" ca="1" si="34"/>
        <v>26.319999999999997</v>
      </c>
      <c r="H153" s="177">
        <f t="shared" ca="1" si="35"/>
        <v>25</v>
      </c>
      <c r="I153" s="25">
        <f t="shared" ca="1" si="36"/>
        <v>1736.9184701396523</v>
      </c>
      <c r="J153" s="9" t="str">
        <f ca="1">'SAC_IOF Ñ USAR'!J153</f>
        <v/>
      </c>
      <c r="K153" s="9" t="str">
        <f ca="1">'SAC_IOF Ñ USAR'!K153</f>
        <v/>
      </c>
      <c r="L153" s="9">
        <f ca="1">'SAC_IOF Ñ USAR'!L153</f>
        <v>8</v>
      </c>
      <c r="N153" s="176">
        <f t="shared" ca="1" si="37"/>
        <v>31</v>
      </c>
      <c r="O153" s="176">
        <f t="shared" ca="1" si="39"/>
        <v>4101</v>
      </c>
      <c r="P153" s="175">
        <f t="shared" ca="1" si="28"/>
        <v>834.39144798065388</v>
      </c>
      <c r="Q153" s="11">
        <f t="shared" ca="1" si="29"/>
        <v>2.9930000000000002E-2</v>
      </c>
      <c r="R153" s="12">
        <f t="shared" ca="1" si="30"/>
        <v>24.973336038060971</v>
      </c>
      <c r="S153" s="513"/>
      <c r="U153">
        <f t="shared" ca="1" si="40"/>
        <v>1667.8431495245209</v>
      </c>
      <c r="V153" s="31">
        <f t="shared" ca="1" si="41"/>
        <v>1736.9184701396523</v>
      </c>
    </row>
    <row r="154" spans="1:22">
      <c r="A154" s="180">
        <f ca="1">'SAC_IOF Ñ USAR'!A154</f>
        <v>135</v>
      </c>
      <c r="B154" s="179">
        <f ca="1">'SAC_IOF Ñ USAR'!B154</f>
        <v>48852</v>
      </c>
      <c r="C154" s="177">
        <f t="shared" ca="1" si="31"/>
        <v>889.99100827727909</v>
      </c>
      <c r="D154" s="24">
        <f t="shared" ca="1" si="38"/>
        <v>769.66422397095482</v>
      </c>
      <c r="E154" s="177">
        <f t="shared" ca="1" si="32"/>
        <v>82769.163769786333</v>
      </c>
      <c r="F154" s="178">
        <f t="shared" ca="1" si="33"/>
        <v>17.568422503393361</v>
      </c>
      <c r="G154" s="178">
        <f t="shared" ca="1" si="34"/>
        <v>26.319999999999997</v>
      </c>
      <c r="H154" s="177">
        <f t="shared" ca="1" si="35"/>
        <v>25</v>
      </c>
      <c r="I154" s="25">
        <f t="shared" ca="1" si="36"/>
        <v>1728.5436547516272</v>
      </c>
      <c r="J154" s="9" t="str">
        <f ca="1">'SAC_IOF Ñ USAR'!J154</f>
        <v/>
      </c>
      <c r="K154" s="9" t="str">
        <f ca="1">'SAC_IOF Ñ USAR'!K154</f>
        <v/>
      </c>
      <c r="L154" s="9">
        <f ca="1">'SAC_IOF Ñ USAR'!L154</f>
        <v>9</v>
      </c>
      <c r="N154" s="176">
        <f t="shared" ca="1" si="37"/>
        <v>31</v>
      </c>
      <c r="O154" s="176">
        <f t="shared" ca="1" si="39"/>
        <v>4132</v>
      </c>
      <c r="P154" s="175">
        <f t="shared" ca="1" si="28"/>
        <v>834.39144798065388</v>
      </c>
      <c r="Q154" s="11">
        <f t="shared" ca="1" si="29"/>
        <v>2.9930000000000002E-2</v>
      </c>
      <c r="R154" s="12">
        <f t="shared" ca="1" si="30"/>
        <v>24.973336038060971</v>
      </c>
      <c r="S154" s="513"/>
      <c r="U154">
        <f t="shared" ca="1" si="40"/>
        <v>1659.6552322482339</v>
      </c>
      <c r="V154" s="31">
        <f t="shared" ca="1" si="41"/>
        <v>1728.5436547516272</v>
      </c>
    </row>
    <row r="155" spans="1:22">
      <c r="A155" s="180">
        <f ca="1">'SAC_IOF Ñ USAR'!A155</f>
        <v>136</v>
      </c>
      <c r="B155" s="179">
        <f ca="1">'SAC_IOF Ñ USAR'!B155</f>
        <v>48882</v>
      </c>
      <c r="C155" s="177">
        <f t="shared" ca="1" si="31"/>
        <v>889.99100827727909</v>
      </c>
      <c r="D155" s="24">
        <f t="shared" ca="1" si="38"/>
        <v>761.47630669466798</v>
      </c>
      <c r="E155" s="177">
        <f t="shared" ca="1" si="32"/>
        <v>81879.172761509049</v>
      </c>
      <c r="F155" s="178">
        <f t="shared" ca="1" si="33"/>
        <v>17.38152439165513</v>
      </c>
      <c r="G155" s="178">
        <f t="shared" ca="1" si="34"/>
        <v>26.319999999999997</v>
      </c>
      <c r="H155" s="177">
        <f t="shared" ca="1" si="35"/>
        <v>25</v>
      </c>
      <c r="I155" s="25">
        <f t="shared" ca="1" si="36"/>
        <v>1720.168839363602</v>
      </c>
      <c r="J155" s="9" t="str">
        <f ca="1">'SAC_IOF Ñ USAR'!J155</f>
        <v/>
      </c>
      <c r="K155" s="9" t="str">
        <f ca="1">'SAC_IOF Ñ USAR'!K155</f>
        <v/>
      </c>
      <c r="L155" s="9">
        <f ca="1">'SAC_IOF Ñ USAR'!L155</f>
        <v>10</v>
      </c>
      <c r="N155" s="176">
        <f t="shared" ca="1" si="37"/>
        <v>30</v>
      </c>
      <c r="O155" s="176">
        <f t="shared" ca="1" si="39"/>
        <v>4162</v>
      </c>
      <c r="P155" s="175">
        <f t="shared" ca="1" si="28"/>
        <v>834.39144798065388</v>
      </c>
      <c r="Q155" s="11">
        <f t="shared" ca="1" si="29"/>
        <v>2.9930000000000002E-2</v>
      </c>
      <c r="R155" s="12">
        <f t="shared" ca="1" si="30"/>
        <v>24.973336038060971</v>
      </c>
      <c r="S155" s="513"/>
      <c r="U155">
        <f t="shared" ca="1" si="40"/>
        <v>1651.467314971947</v>
      </c>
      <c r="V155" s="31">
        <f t="shared" ca="1" si="41"/>
        <v>1720.168839363602</v>
      </c>
    </row>
    <row r="156" spans="1:22">
      <c r="A156" s="180">
        <f ca="1">'SAC_IOF Ñ USAR'!A156</f>
        <v>137</v>
      </c>
      <c r="B156" s="179">
        <f ca="1">'SAC_IOF Ñ USAR'!B156</f>
        <v>48913</v>
      </c>
      <c r="C156" s="177">
        <f t="shared" ca="1" si="31"/>
        <v>889.99100827727909</v>
      </c>
      <c r="D156" s="24">
        <f t="shared" ca="1" si="38"/>
        <v>753.28838941838114</v>
      </c>
      <c r="E156" s="177">
        <f t="shared" ca="1" si="32"/>
        <v>80989.181753231765</v>
      </c>
      <c r="F156" s="178">
        <f t="shared" ca="1" si="33"/>
        <v>17.1946262799169</v>
      </c>
      <c r="G156" s="178">
        <f t="shared" ca="1" si="34"/>
        <v>26.319999999999997</v>
      </c>
      <c r="H156" s="177">
        <f t="shared" ca="1" si="35"/>
        <v>25</v>
      </c>
      <c r="I156" s="25">
        <f t="shared" ca="1" si="36"/>
        <v>1711.7940239755771</v>
      </c>
      <c r="J156" s="9" t="str">
        <f ca="1">'SAC_IOF Ñ USAR'!J156</f>
        <v/>
      </c>
      <c r="K156" s="9" t="str">
        <f ca="1">'SAC_IOF Ñ USAR'!K156</f>
        <v/>
      </c>
      <c r="L156" s="9">
        <f ca="1">'SAC_IOF Ñ USAR'!L156</f>
        <v>11</v>
      </c>
      <c r="N156" s="176">
        <f t="shared" ca="1" si="37"/>
        <v>31</v>
      </c>
      <c r="O156" s="176">
        <f t="shared" ca="1" si="39"/>
        <v>4193</v>
      </c>
      <c r="P156" s="175">
        <f t="shared" ca="1" si="28"/>
        <v>834.39144798065388</v>
      </c>
      <c r="Q156" s="11">
        <f t="shared" ca="1" si="29"/>
        <v>2.9930000000000002E-2</v>
      </c>
      <c r="R156" s="12">
        <f t="shared" ca="1" si="30"/>
        <v>24.973336038060971</v>
      </c>
      <c r="S156" s="513"/>
      <c r="U156">
        <f t="shared" ca="1" si="40"/>
        <v>1643.2793976956602</v>
      </c>
      <c r="V156" s="31">
        <f t="shared" ca="1" si="41"/>
        <v>1711.7940239755771</v>
      </c>
    </row>
    <row r="157" spans="1:22">
      <c r="A157" s="180">
        <f ca="1">'SAC_IOF Ñ USAR'!A157</f>
        <v>138</v>
      </c>
      <c r="B157" s="179">
        <f ca="1">'SAC_IOF Ñ USAR'!B157</f>
        <v>48943</v>
      </c>
      <c r="C157" s="177">
        <f t="shared" ca="1" si="31"/>
        <v>889.99100827727909</v>
      </c>
      <c r="D157" s="24">
        <f t="shared" ca="1" si="38"/>
        <v>745.1004721420943</v>
      </c>
      <c r="E157" s="177">
        <f t="shared" ca="1" si="32"/>
        <v>80099.190744954481</v>
      </c>
      <c r="F157" s="178">
        <f t="shared" ca="1" si="33"/>
        <v>17.007728168178673</v>
      </c>
      <c r="G157" s="178">
        <f t="shared" ca="1" si="34"/>
        <v>26.319999999999997</v>
      </c>
      <c r="H157" s="177">
        <f t="shared" ca="1" si="35"/>
        <v>25</v>
      </c>
      <c r="I157" s="25">
        <f t="shared" ca="1" si="36"/>
        <v>1703.419208587552</v>
      </c>
      <c r="J157" s="9" t="str">
        <f ca="1">'SAC_IOF Ñ USAR'!J157</f>
        <v/>
      </c>
      <c r="K157" s="9" t="str">
        <f ca="1">'SAC_IOF Ñ USAR'!K157</f>
        <v/>
      </c>
      <c r="L157" s="9">
        <f ca="1">'SAC_IOF Ñ USAR'!L157</f>
        <v>12</v>
      </c>
      <c r="N157" s="176">
        <f t="shared" ca="1" si="37"/>
        <v>30</v>
      </c>
      <c r="O157" s="176">
        <f t="shared" ca="1" si="39"/>
        <v>4223</v>
      </c>
      <c r="P157" s="175">
        <f t="shared" ca="1" si="28"/>
        <v>834.39144798065388</v>
      </c>
      <c r="Q157" s="11">
        <f t="shared" ca="1" si="29"/>
        <v>2.9930000000000002E-2</v>
      </c>
      <c r="R157" s="12">
        <f t="shared" ca="1" si="30"/>
        <v>24.973336038060971</v>
      </c>
      <c r="S157" s="513"/>
      <c r="U157">
        <f t="shared" ca="1" si="40"/>
        <v>1635.0914804193735</v>
      </c>
      <c r="V157" s="31">
        <f t="shared" ca="1" si="41"/>
        <v>1703.419208587552</v>
      </c>
    </row>
    <row r="158" spans="1:22">
      <c r="A158" s="180">
        <f ca="1">'SAC_IOF Ñ USAR'!A158</f>
        <v>139</v>
      </c>
      <c r="B158" s="179">
        <f ca="1">'SAC_IOF Ñ USAR'!B158</f>
        <v>48974</v>
      </c>
      <c r="C158" s="177">
        <f t="shared" ca="1" si="31"/>
        <v>889.99100827727909</v>
      </c>
      <c r="D158" s="24">
        <f t="shared" ca="1" si="38"/>
        <v>736.91255486580746</v>
      </c>
      <c r="E158" s="177">
        <f t="shared" ca="1" si="32"/>
        <v>79209.199736677198</v>
      </c>
      <c r="F158" s="178">
        <f t="shared" ca="1" si="33"/>
        <v>16.820830056440442</v>
      </c>
      <c r="G158" s="178">
        <f t="shared" ca="1" si="34"/>
        <v>26.319999999999997</v>
      </c>
      <c r="H158" s="177">
        <f t="shared" ca="1" si="35"/>
        <v>25</v>
      </c>
      <c r="I158" s="25">
        <f t="shared" ca="1" si="36"/>
        <v>1695.0443931995269</v>
      </c>
      <c r="J158" s="9" t="str">
        <f ca="1">'SAC_IOF Ñ USAR'!J158</f>
        <v/>
      </c>
      <c r="K158" s="9" t="str">
        <f ca="1">'SAC_IOF Ñ USAR'!K158</f>
        <v/>
      </c>
      <c r="L158" s="9">
        <f ca="1">'SAC_IOF Ñ USAR'!L158</f>
        <v>1</v>
      </c>
      <c r="N158" s="176">
        <f t="shared" ca="1" si="37"/>
        <v>31</v>
      </c>
      <c r="O158" s="176">
        <f t="shared" ca="1" si="39"/>
        <v>4254</v>
      </c>
      <c r="P158" s="175">
        <f t="shared" ca="1" si="28"/>
        <v>834.39144798065388</v>
      </c>
      <c r="Q158" s="11">
        <f t="shared" ca="1" si="29"/>
        <v>2.9930000000000002E-2</v>
      </c>
      <c r="R158" s="12">
        <f t="shared" ca="1" si="30"/>
        <v>24.973336038060971</v>
      </c>
      <c r="S158" s="513"/>
      <c r="U158">
        <f t="shared" ca="1" si="40"/>
        <v>1626.9035631430866</v>
      </c>
      <c r="V158" s="31">
        <f t="shared" ca="1" si="41"/>
        <v>1695.0443931995269</v>
      </c>
    </row>
    <row r="159" spans="1:22">
      <c r="A159" s="180">
        <f ca="1">'SAC_IOF Ñ USAR'!A159</f>
        <v>140</v>
      </c>
      <c r="B159" s="179">
        <f ca="1">'SAC_IOF Ñ USAR'!B159</f>
        <v>49003</v>
      </c>
      <c r="C159" s="177">
        <f t="shared" ca="1" si="31"/>
        <v>889.99100827727909</v>
      </c>
      <c r="D159" s="24">
        <f t="shared" ca="1" si="38"/>
        <v>728.72463758952051</v>
      </c>
      <c r="E159" s="177">
        <f t="shared" ca="1" si="32"/>
        <v>78319.208728399914</v>
      </c>
      <c r="F159" s="178">
        <f t="shared" ca="1" si="33"/>
        <v>16.633931944702212</v>
      </c>
      <c r="G159" s="178">
        <f t="shared" ca="1" si="34"/>
        <v>26.319999999999997</v>
      </c>
      <c r="H159" s="177">
        <f t="shared" ca="1" si="35"/>
        <v>25</v>
      </c>
      <c r="I159" s="25">
        <f t="shared" ca="1" si="36"/>
        <v>1686.6695778115018</v>
      </c>
      <c r="J159" s="9" t="str">
        <f ca="1">'SAC_IOF Ñ USAR'!J159</f>
        <v/>
      </c>
      <c r="K159" s="9" t="str">
        <f ca="1">'SAC_IOF Ñ USAR'!K159</f>
        <v/>
      </c>
      <c r="L159" s="9">
        <f ca="1">'SAC_IOF Ñ USAR'!L159</f>
        <v>2</v>
      </c>
      <c r="N159" s="176">
        <f t="shared" ca="1" si="37"/>
        <v>29</v>
      </c>
      <c r="O159" s="176">
        <f t="shared" ca="1" si="39"/>
        <v>4283</v>
      </c>
      <c r="P159" s="175">
        <f t="shared" ca="1" si="28"/>
        <v>834.39144798065388</v>
      </c>
      <c r="Q159" s="11">
        <f t="shared" ca="1" si="29"/>
        <v>2.9930000000000002E-2</v>
      </c>
      <c r="R159" s="12">
        <f t="shared" ca="1" si="30"/>
        <v>24.973336038060971</v>
      </c>
      <c r="S159" s="513"/>
      <c r="U159">
        <f t="shared" ca="1" si="40"/>
        <v>1618.7156458667996</v>
      </c>
      <c r="V159" s="31">
        <f t="shared" ca="1" si="41"/>
        <v>1686.6695778115018</v>
      </c>
    </row>
    <row r="160" spans="1:22">
      <c r="A160" s="180">
        <f ca="1">'SAC_IOF Ñ USAR'!A160</f>
        <v>141</v>
      </c>
      <c r="B160" s="179">
        <f ca="1">'SAC_IOF Ñ USAR'!B160</f>
        <v>49033</v>
      </c>
      <c r="C160" s="177">
        <f t="shared" ca="1" si="31"/>
        <v>889.99100827727909</v>
      </c>
      <c r="D160" s="24">
        <f t="shared" ca="1" si="38"/>
        <v>720.53672031323367</v>
      </c>
      <c r="E160" s="177">
        <f t="shared" ca="1" si="32"/>
        <v>77429.21772012263</v>
      </c>
      <c r="F160" s="178">
        <f t="shared" ca="1" si="33"/>
        <v>16.447033832963982</v>
      </c>
      <c r="G160" s="178">
        <f t="shared" ca="1" si="34"/>
        <v>26.319999999999997</v>
      </c>
      <c r="H160" s="177">
        <f t="shared" ca="1" si="35"/>
        <v>25</v>
      </c>
      <c r="I160" s="25">
        <f t="shared" ca="1" si="36"/>
        <v>1678.2947624234766</v>
      </c>
      <c r="J160" s="9" t="str">
        <f ca="1">'SAC_IOF Ñ USAR'!J160</f>
        <v/>
      </c>
      <c r="K160" s="9" t="str">
        <f ca="1">'SAC_IOF Ñ USAR'!K160</f>
        <v/>
      </c>
      <c r="L160" s="9">
        <f ca="1">'SAC_IOF Ñ USAR'!L160</f>
        <v>3</v>
      </c>
      <c r="N160" s="176">
        <f t="shared" ca="1" si="37"/>
        <v>30</v>
      </c>
      <c r="O160" s="176">
        <f t="shared" ca="1" si="39"/>
        <v>4313</v>
      </c>
      <c r="P160" s="175">
        <f t="shared" ca="1" si="28"/>
        <v>834.39144798065388</v>
      </c>
      <c r="Q160" s="11">
        <f t="shared" ca="1" si="29"/>
        <v>2.9930000000000002E-2</v>
      </c>
      <c r="R160" s="12">
        <f t="shared" ca="1" si="30"/>
        <v>24.973336038060971</v>
      </c>
      <c r="S160" s="513"/>
      <c r="U160">
        <f t="shared" ca="1" si="40"/>
        <v>1610.5277285905127</v>
      </c>
      <c r="V160" s="31">
        <f t="shared" ca="1" si="41"/>
        <v>1678.2947624234766</v>
      </c>
    </row>
    <row r="161" spans="1:22">
      <c r="A161" s="180">
        <f ca="1">'SAC_IOF Ñ USAR'!A161</f>
        <v>142</v>
      </c>
      <c r="B161" s="179">
        <f ca="1">'SAC_IOF Ñ USAR'!B161</f>
        <v>49064</v>
      </c>
      <c r="C161" s="177">
        <f t="shared" ca="1" si="31"/>
        <v>889.99100827727909</v>
      </c>
      <c r="D161" s="24">
        <f t="shared" ca="1" si="38"/>
        <v>712.34880303694683</v>
      </c>
      <c r="E161" s="177">
        <f t="shared" ca="1" si="32"/>
        <v>76539.226711845346</v>
      </c>
      <c r="F161" s="178">
        <f t="shared" ca="1" si="33"/>
        <v>16.260135721225751</v>
      </c>
      <c r="G161" s="178">
        <f t="shared" ca="1" si="34"/>
        <v>26.319999999999997</v>
      </c>
      <c r="H161" s="177">
        <f t="shared" ca="1" si="35"/>
        <v>25</v>
      </c>
      <c r="I161" s="25">
        <f t="shared" ca="1" si="36"/>
        <v>1669.9199470354515</v>
      </c>
      <c r="J161" s="9" t="str">
        <f ca="1">'SAC_IOF Ñ USAR'!J161</f>
        <v/>
      </c>
      <c r="K161" s="9" t="str">
        <f ca="1">'SAC_IOF Ñ USAR'!K161</f>
        <v/>
      </c>
      <c r="L161" s="9">
        <f ca="1">'SAC_IOF Ñ USAR'!L161</f>
        <v>4</v>
      </c>
      <c r="N161" s="176">
        <f t="shared" ca="1" si="37"/>
        <v>31</v>
      </c>
      <c r="O161" s="176">
        <f t="shared" ca="1" si="39"/>
        <v>4344</v>
      </c>
      <c r="P161" s="175">
        <f t="shared" ca="1" si="28"/>
        <v>834.39144798065388</v>
      </c>
      <c r="Q161" s="11">
        <f t="shared" ca="1" si="29"/>
        <v>2.9930000000000002E-2</v>
      </c>
      <c r="R161" s="12">
        <f t="shared" ca="1" si="30"/>
        <v>24.973336038060971</v>
      </c>
      <c r="S161" s="513"/>
      <c r="U161">
        <f t="shared" ca="1" si="40"/>
        <v>1602.3398113142259</v>
      </c>
      <c r="V161" s="31">
        <f t="shared" ca="1" si="41"/>
        <v>1669.9199470354515</v>
      </c>
    </row>
    <row r="162" spans="1:22">
      <c r="A162" s="180">
        <f ca="1">'SAC_IOF Ñ USAR'!A162</f>
        <v>143</v>
      </c>
      <c r="B162" s="179">
        <f ca="1">'SAC_IOF Ñ USAR'!B162</f>
        <v>49094</v>
      </c>
      <c r="C162" s="177">
        <f t="shared" ca="1" si="31"/>
        <v>889.99100827727909</v>
      </c>
      <c r="D162" s="24">
        <f t="shared" ca="1" si="38"/>
        <v>704.16088576065999</v>
      </c>
      <c r="E162" s="177">
        <f t="shared" ca="1" si="32"/>
        <v>75649.235703568062</v>
      </c>
      <c r="F162" s="178">
        <f t="shared" ca="1" si="33"/>
        <v>16.073237609487524</v>
      </c>
      <c r="G162" s="178">
        <f t="shared" ca="1" si="34"/>
        <v>26.319999999999997</v>
      </c>
      <c r="H162" s="177">
        <f t="shared" ca="1" si="35"/>
        <v>25</v>
      </c>
      <c r="I162" s="25">
        <f t="shared" ca="1" si="36"/>
        <v>1661.5451316474266</v>
      </c>
      <c r="J162" s="9" t="str">
        <f ca="1">'SAC_IOF Ñ USAR'!J162</f>
        <v/>
      </c>
      <c r="K162" s="9" t="str">
        <f ca="1">'SAC_IOF Ñ USAR'!K162</f>
        <v/>
      </c>
      <c r="L162" s="9">
        <f ca="1">'SAC_IOF Ñ USAR'!L162</f>
        <v>5</v>
      </c>
      <c r="N162" s="176">
        <f t="shared" ca="1" si="37"/>
        <v>30</v>
      </c>
      <c r="O162" s="176">
        <f t="shared" ca="1" si="39"/>
        <v>4374</v>
      </c>
      <c r="P162" s="175">
        <f t="shared" ca="1" si="28"/>
        <v>834.39144798065388</v>
      </c>
      <c r="Q162" s="11">
        <f t="shared" ca="1" si="29"/>
        <v>2.9930000000000002E-2</v>
      </c>
      <c r="R162" s="12">
        <f t="shared" ca="1" si="30"/>
        <v>24.973336038060971</v>
      </c>
      <c r="S162" s="513"/>
      <c r="U162">
        <f t="shared" ca="1" si="40"/>
        <v>1594.1518940379392</v>
      </c>
      <c r="V162" s="31">
        <f t="shared" ca="1" si="41"/>
        <v>1661.5451316474266</v>
      </c>
    </row>
    <row r="163" spans="1:22">
      <c r="A163" s="180">
        <f ca="1">'SAC_IOF Ñ USAR'!A163</f>
        <v>144</v>
      </c>
      <c r="B163" s="179">
        <f ca="1">'SAC_IOF Ñ USAR'!B163</f>
        <v>49125</v>
      </c>
      <c r="C163" s="177">
        <f t="shared" ca="1" si="31"/>
        <v>889.99100827727909</v>
      </c>
      <c r="D163" s="24">
        <f t="shared" ca="1" si="38"/>
        <v>695.97296848437315</v>
      </c>
      <c r="E163" s="177">
        <f t="shared" ca="1" si="32"/>
        <v>74759.244695290778</v>
      </c>
      <c r="F163" s="178">
        <f t="shared" ca="1" si="33"/>
        <v>15.886339497749294</v>
      </c>
      <c r="G163" s="178">
        <f t="shared" ca="1" si="34"/>
        <v>26.319999999999997</v>
      </c>
      <c r="H163" s="177">
        <f t="shared" ca="1" si="35"/>
        <v>25</v>
      </c>
      <c r="I163" s="25">
        <f t="shared" ca="1" si="36"/>
        <v>1653.1703162594015</v>
      </c>
      <c r="J163" s="9" t="str">
        <f ca="1">'SAC_IOF Ñ USAR'!J163</f>
        <v/>
      </c>
      <c r="K163" s="9" t="str">
        <f ca="1">'SAC_IOF Ñ USAR'!K163</f>
        <v/>
      </c>
      <c r="L163" s="9">
        <f ca="1">'SAC_IOF Ñ USAR'!L163</f>
        <v>6</v>
      </c>
      <c r="N163" s="176">
        <f t="shared" ca="1" si="37"/>
        <v>31</v>
      </c>
      <c r="O163" s="176">
        <f t="shared" ca="1" si="39"/>
        <v>4405</v>
      </c>
      <c r="P163" s="175">
        <f t="shared" ca="1" si="28"/>
        <v>834.39144798065388</v>
      </c>
      <c r="Q163" s="11">
        <f t="shared" ca="1" si="29"/>
        <v>2.9930000000000002E-2</v>
      </c>
      <c r="R163" s="12">
        <f t="shared" ca="1" si="30"/>
        <v>24.973336038060971</v>
      </c>
      <c r="S163" s="513"/>
      <c r="U163">
        <f t="shared" ca="1" si="40"/>
        <v>1585.9639767616522</v>
      </c>
      <c r="V163" s="31">
        <f t="shared" ca="1" si="41"/>
        <v>1653.1703162594015</v>
      </c>
    </row>
    <row r="164" spans="1:22">
      <c r="A164" s="180">
        <f ca="1">'SAC_IOF Ñ USAR'!A164</f>
        <v>145</v>
      </c>
      <c r="B164" s="179">
        <f ca="1">'SAC_IOF Ñ USAR'!B164</f>
        <v>49155</v>
      </c>
      <c r="C164" s="177">
        <f t="shared" ca="1" si="31"/>
        <v>889.99100827727909</v>
      </c>
      <c r="D164" s="24">
        <f t="shared" ca="1" si="38"/>
        <v>687.78505120808632</v>
      </c>
      <c r="E164" s="177">
        <f t="shared" ca="1" si="32"/>
        <v>73869.253687013494</v>
      </c>
      <c r="F164" s="178">
        <f t="shared" ca="1" si="33"/>
        <v>15.699441386011063</v>
      </c>
      <c r="G164" s="178">
        <f t="shared" ca="1" si="34"/>
        <v>26.319999999999997</v>
      </c>
      <c r="H164" s="177">
        <f t="shared" ca="1" si="35"/>
        <v>25</v>
      </c>
      <c r="I164" s="25">
        <f t="shared" ca="1" si="36"/>
        <v>1644.7955008713764</v>
      </c>
      <c r="J164" s="9" t="str">
        <f ca="1">'SAC_IOF Ñ USAR'!J164</f>
        <v/>
      </c>
      <c r="K164" s="9" t="str">
        <f ca="1">'SAC_IOF Ñ USAR'!K164</f>
        <v/>
      </c>
      <c r="L164" s="9">
        <f ca="1">'SAC_IOF Ñ USAR'!L164</f>
        <v>7</v>
      </c>
      <c r="N164" s="176">
        <f t="shared" ca="1" si="37"/>
        <v>30</v>
      </c>
      <c r="O164" s="176">
        <f t="shared" ca="1" si="39"/>
        <v>4435</v>
      </c>
      <c r="P164" s="175">
        <f t="shared" ca="1" si="28"/>
        <v>834.39144798065388</v>
      </c>
      <c r="Q164" s="11">
        <f t="shared" ca="1" si="29"/>
        <v>2.9930000000000002E-2</v>
      </c>
      <c r="R164" s="12">
        <f t="shared" ca="1" si="30"/>
        <v>24.973336038060971</v>
      </c>
      <c r="S164" s="513"/>
      <c r="U164">
        <f t="shared" ca="1" si="40"/>
        <v>1577.7760594853653</v>
      </c>
      <c r="V164" s="31">
        <f t="shared" ca="1" si="41"/>
        <v>1644.7955008713764</v>
      </c>
    </row>
    <row r="165" spans="1:22">
      <c r="A165" s="180">
        <f ca="1">'SAC_IOF Ñ USAR'!A165</f>
        <v>146</v>
      </c>
      <c r="B165" s="179">
        <f ca="1">'SAC_IOF Ñ USAR'!B165</f>
        <v>49186</v>
      </c>
      <c r="C165" s="177">
        <f t="shared" ca="1" si="31"/>
        <v>889.99100827727909</v>
      </c>
      <c r="D165" s="24">
        <f t="shared" ca="1" si="38"/>
        <v>679.59713393179936</v>
      </c>
      <c r="E165" s="177">
        <f t="shared" ca="1" si="32"/>
        <v>72979.26267873621</v>
      </c>
      <c r="F165" s="178">
        <f t="shared" ca="1" si="33"/>
        <v>15.512543274272835</v>
      </c>
      <c r="G165" s="178">
        <f t="shared" ca="1" si="34"/>
        <v>26.319999999999997</v>
      </c>
      <c r="H165" s="177">
        <f t="shared" ca="1" si="35"/>
        <v>25</v>
      </c>
      <c r="I165" s="25">
        <f t="shared" ca="1" si="36"/>
        <v>1636.420685483351</v>
      </c>
      <c r="J165" s="9" t="str">
        <f ca="1">'SAC_IOF Ñ USAR'!J165</f>
        <v/>
      </c>
      <c r="K165" s="9" t="str">
        <f ca="1">'SAC_IOF Ñ USAR'!K165</f>
        <v/>
      </c>
      <c r="L165" s="9">
        <f ca="1">'SAC_IOF Ñ USAR'!L165</f>
        <v>8</v>
      </c>
      <c r="N165" s="176">
        <f t="shared" ca="1" si="37"/>
        <v>31</v>
      </c>
      <c r="O165" s="176">
        <f t="shared" ca="1" si="39"/>
        <v>4466</v>
      </c>
      <c r="P165" s="175">
        <f t="shared" ca="1" si="28"/>
        <v>834.39144798065388</v>
      </c>
      <c r="Q165" s="11">
        <f t="shared" ca="1" si="29"/>
        <v>2.9930000000000002E-2</v>
      </c>
      <c r="R165" s="12">
        <f t="shared" ca="1" si="30"/>
        <v>24.973336038060971</v>
      </c>
      <c r="S165" s="513"/>
      <c r="U165">
        <f t="shared" ca="1" si="40"/>
        <v>1569.5881422090783</v>
      </c>
      <c r="V165" s="31">
        <f t="shared" ca="1" si="41"/>
        <v>1636.420685483351</v>
      </c>
    </row>
    <row r="166" spans="1:22">
      <c r="A166" s="180">
        <f ca="1">'SAC_IOF Ñ USAR'!A166</f>
        <v>147</v>
      </c>
      <c r="B166" s="179">
        <f ca="1">'SAC_IOF Ñ USAR'!B166</f>
        <v>49217</v>
      </c>
      <c r="C166" s="177">
        <f t="shared" ca="1" si="31"/>
        <v>889.99100827727909</v>
      </c>
      <c r="D166" s="24">
        <f t="shared" ca="1" si="38"/>
        <v>671.40921665551252</v>
      </c>
      <c r="E166" s="177">
        <f t="shared" ca="1" si="32"/>
        <v>72089.271670458926</v>
      </c>
      <c r="F166" s="178">
        <f t="shared" ca="1" si="33"/>
        <v>15.325645162534604</v>
      </c>
      <c r="G166" s="178">
        <f t="shared" ca="1" si="34"/>
        <v>26.319999999999997</v>
      </c>
      <c r="H166" s="177">
        <f t="shared" ca="1" si="35"/>
        <v>25</v>
      </c>
      <c r="I166" s="25">
        <f t="shared" ca="1" si="36"/>
        <v>1628.0458700953261</v>
      </c>
      <c r="J166" s="9" t="str">
        <f ca="1">'SAC_IOF Ñ USAR'!J166</f>
        <v/>
      </c>
      <c r="K166" s="9" t="str">
        <f ca="1">'SAC_IOF Ñ USAR'!K166</f>
        <v/>
      </c>
      <c r="L166" s="9">
        <f ca="1">'SAC_IOF Ñ USAR'!L166</f>
        <v>9</v>
      </c>
      <c r="N166" s="176">
        <f t="shared" ca="1" si="37"/>
        <v>31</v>
      </c>
      <c r="O166" s="176">
        <f t="shared" ca="1" si="39"/>
        <v>4497</v>
      </c>
      <c r="P166" s="175">
        <f t="shared" ca="1" si="28"/>
        <v>834.39144798065388</v>
      </c>
      <c r="Q166" s="11">
        <f t="shared" ca="1" si="29"/>
        <v>2.9930000000000002E-2</v>
      </c>
      <c r="R166" s="12">
        <f t="shared" ca="1" si="30"/>
        <v>24.973336038060971</v>
      </c>
      <c r="S166" s="513"/>
      <c r="U166">
        <f t="shared" ca="1" si="40"/>
        <v>1561.4002249327916</v>
      </c>
      <c r="V166" s="31">
        <f t="shared" ca="1" si="41"/>
        <v>1628.0458700953261</v>
      </c>
    </row>
    <row r="167" spans="1:22">
      <c r="A167" s="180">
        <f ca="1">'SAC_IOF Ñ USAR'!A167</f>
        <v>148</v>
      </c>
      <c r="B167" s="179">
        <f ca="1">'SAC_IOF Ñ USAR'!B167</f>
        <v>49247</v>
      </c>
      <c r="C167" s="177">
        <f t="shared" ca="1" si="31"/>
        <v>889.99100827727909</v>
      </c>
      <c r="D167" s="24">
        <f t="shared" ca="1" si="38"/>
        <v>663.22129937922568</v>
      </c>
      <c r="E167" s="177">
        <f t="shared" ca="1" si="32"/>
        <v>71199.280662181642</v>
      </c>
      <c r="F167" s="178">
        <f t="shared" ca="1" si="33"/>
        <v>15.138747050796376</v>
      </c>
      <c r="G167" s="178">
        <f t="shared" ca="1" si="34"/>
        <v>26.319999999999997</v>
      </c>
      <c r="H167" s="177">
        <f t="shared" ca="1" si="35"/>
        <v>25</v>
      </c>
      <c r="I167" s="25">
        <f t="shared" ca="1" si="36"/>
        <v>1619.6710547073012</v>
      </c>
      <c r="J167" s="9" t="str">
        <f ca="1">'SAC_IOF Ñ USAR'!J167</f>
        <v/>
      </c>
      <c r="K167" s="9" t="str">
        <f ca="1">'SAC_IOF Ñ USAR'!K167</f>
        <v/>
      </c>
      <c r="L167" s="9">
        <f ca="1">'SAC_IOF Ñ USAR'!L167</f>
        <v>10</v>
      </c>
      <c r="N167" s="176">
        <f t="shared" ca="1" si="37"/>
        <v>30</v>
      </c>
      <c r="O167" s="176">
        <f t="shared" ca="1" si="39"/>
        <v>4527</v>
      </c>
      <c r="P167" s="175">
        <f t="shared" ca="1" si="28"/>
        <v>834.39144798065388</v>
      </c>
      <c r="Q167" s="11">
        <f t="shared" ca="1" si="29"/>
        <v>2.9930000000000002E-2</v>
      </c>
      <c r="R167" s="12">
        <f t="shared" ca="1" si="30"/>
        <v>24.973336038060971</v>
      </c>
      <c r="S167" s="513"/>
      <c r="U167">
        <f t="shared" ca="1" si="40"/>
        <v>1553.2123076565049</v>
      </c>
      <c r="V167" s="31">
        <f t="shared" ca="1" si="41"/>
        <v>1619.6710547073012</v>
      </c>
    </row>
    <row r="168" spans="1:22">
      <c r="A168" s="180">
        <f ca="1">'SAC_IOF Ñ USAR'!A168</f>
        <v>149</v>
      </c>
      <c r="B168" s="179">
        <f ca="1">'SAC_IOF Ñ USAR'!B168</f>
        <v>49278</v>
      </c>
      <c r="C168" s="177">
        <f t="shared" ca="1" si="31"/>
        <v>889.99100827727909</v>
      </c>
      <c r="D168" s="24">
        <f t="shared" ca="1" si="38"/>
        <v>655.03338210293884</v>
      </c>
      <c r="E168" s="177">
        <f t="shared" ca="1" si="32"/>
        <v>70309.289653904358</v>
      </c>
      <c r="F168" s="178">
        <f t="shared" ca="1" si="33"/>
        <v>14.951848939058145</v>
      </c>
      <c r="G168" s="178">
        <f t="shared" ca="1" si="34"/>
        <v>26.319999999999997</v>
      </c>
      <c r="H168" s="177">
        <f t="shared" ca="1" si="35"/>
        <v>25</v>
      </c>
      <c r="I168" s="25">
        <f t="shared" ca="1" si="36"/>
        <v>1611.2962393192761</v>
      </c>
      <c r="J168" s="9" t="str">
        <f ca="1">'SAC_IOF Ñ USAR'!J168</f>
        <v/>
      </c>
      <c r="K168" s="9" t="str">
        <f ca="1">'SAC_IOF Ñ USAR'!K168</f>
        <v/>
      </c>
      <c r="L168" s="9">
        <f ca="1">'SAC_IOF Ñ USAR'!L168</f>
        <v>11</v>
      </c>
      <c r="N168" s="176">
        <f t="shared" ca="1" si="37"/>
        <v>31</v>
      </c>
      <c r="O168" s="176">
        <f t="shared" ca="1" si="39"/>
        <v>4558</v>
      </c>
      <c r="P168" s="175">
        <f t="shared" ca="1" si="28"/>
        <v>834.39144798065388</v>
      </c>
      <c r="Q168" s="11">
        <f t="shared" ca="1" si="29"/>
        <v>2.9930000000000002E-2</v>
      </c>
      <c r="R168" s="12">
        <f t="shared" ca="1" si="30"/>
        <v>24.973336038060971</v>
      </c>
      <c r="S168" s="513"/>
      <c r="U168">
        <f t="shared" ca="1" si="40"/>
        <v>1545.0243903802179</v>
      </c>
      <c r="V168" s="31">
        <f t="shared" ca="1" si="41"/>
        <v>1611.2962393192761</v>
      </c>
    </row>
    <row r="169" spans="1:22">
      <c r="A169" s="180">
        <f ca="1">'SAC_IOF Ñ USAR'!A169</f>
        <v>150</v>
      </c>
      <c r="B169" s="179">
        <f ca="1">'SAC_IOF Ñ USAR'!B169</f>
        <v>49308</v>
      </c>
      <c r="C169" s="177">
        <f t="shared" ca="1" si="31"/>
        <v>889.99100827727909</v>
      </c>
      <c r="D169" s="24">
        <f t="shared" ca="1" si="38"/>
        <v>646.84546482665201</v>
      </c>
      <c r="E169" s="177">
        <f t="shared" ca="1" si="32"/>
        <v>69419.298645627074</v>
      </c>
      <c r="F169" s="178">
        <f t="shared" ca="1" si="33"/>
        <v>14.764950827319916</v>
      </c>
      <c r="G169" s="178">
        <f t="shared" ca="1" si="34"/>
        <v>26.319999999999997</v>
      </c>
      <c r="H169" s="177">
        <f t="shared" ca="1" si="35"/>
        <v>25</v>
      </c>
      <c r="I169" s="25">
        <f t="shared" ca="1" si="36"/>
        <v>1602.9214239312507</v>
      </c>
      <c r="J169" s="9" t="str">
        <f ca="1">'SAC_IOF Ñ USAR'!J169</f>
        <v/>
      </c>
      <c r="K169" s="9" t="str">
        <f ca="1">'SAC_IOF Ñ USAR'!K169</f>
        <v/>
      </c>
      <c r="L169" s="9">
        <f ca="1">'SAC_IOF Ñ USAR'!L169</f>
        <v>12</v>
      </c>
      <c r="N169" s="176">
        <f t="shared" ca="1" si="37"/>
        <v>30</v>
      </c>
      <c r="O169" s="176">
        <f t="shared" ca="1" si="39"/>
        <v>4588</v>
      </c>
      <c r="P169" s="175">
        <f t="shared" ca="1" si="28"/>
        <v>834.39144798065388</v>
      </c>
      <c r="Q169" s="11">
        <f t="shared" ca="1" si="29"/>
        <v>2.9930000000000002E-2</v>
      </c>
      <c r="R169" s="12">
        <f t="shared" ca="1" si="30"/>
        <v>24.973336038060971</v>
      </c>
      <c r="S169" s="513"/>
      <c r="U169">
        <f t="shared" ca="1" si="40"/>
        <v>1536.836473103931</v>
      </c>
      <c r="V169" s="31">
        <f t="shared" ca="1" si="41"/>
        <v>1602.9214239312507</v>
      </c>
    </row>
    <row r="170" spans="1:22">
      <c r="A170" s="180">
        <f ca="1">'SAC_IOF Ñ USAR'!A170</f>
        <v>151</v>
      </c>
      <c r="B170" s="179">
        <f ca="1">'SAC_IOF Ñ USAR'!B170</f>
        <v>49339</v>
      </c>
      <c r="C170" s="177">
        <f t="shared" ca="1" si="31"/>
        <v>889.99100827727909</v>
      </c>
      <c r="D170" s="24">
        <f t="shared" ca="1" si="38"/>
        <v>638.65754755036517</v>
      </c>
      <c r="E170" s="177">
        <f t="shared" ca="1" si="32"/>
        <v>68529.30763734979</v>
      </c>
      <c r="F170" s="178">
        <f t="shared" ca="1" si="33"/>
        <v>14.578052715581686</v>
      </c>
      <c r="G170" s="178">
        <f t="shared" ca="1" si="34"/>
        <v>26.319999999999997</v>
      </c>
      <c r="H170" s="177">
        <f t="shared" ca="1" si="35"/>
        <v>25</v>
      </c>
      <c r="I170" s="25">
        <f t="shared" ca="1" si="36"/>
        <v>1594.5466085432258</v>
      </c>
      <c r="J170" s="9" t="str">
        <f ca="1">'SAC_IOF Ñ USAR'!J170</f>
        <v/>
      </c>
      <c r="K170" s="9" t="str">
        <f ca="1">'SAC_IOF Ñ USAR'!K170</f>
        <v/>
      </c>
      <c r="L170" s="9">
        <f ca="1">'SAC_IOF Ñ USAR'!L170</f>
        <v>1</v>
      </c>
      <c r="N170" s="176">
        <f t="shared" ca="1" si="37"/>
        <v>31</v>
      </c>
      <c r="O170" s="176">
        <f t="shared" ca="1" si="39"/>
        <v>4619</v>
      </c>
      <c r="P170" s="175">
        <f t="shared" ca="1" si="28"/>
        <v>834.39144798065388</v>
      </c>
      <c r="Q170" s="11">
        <f t="shared" ca="1" si="29"/>
        <v>2.9930000000000002E-2</v>
      </c>
      <c r="R170" s="12">
        <f t="shared" ca="1" si="30"/>
        <v>24.973336038060971</v>
      </c>
      <c r="S170" s="513"/>
      <c r="U170">
        <f t="shared" ca="1" si="40"/>
        <v>1528.6485558276443</v>
      </c>
      <c r="V170" s="31">
        <f t="shared" ca="1" si="41"/>
        <v>1594.5466085432258</v>
      </c>
    </row>
    <row r="171" spans="1:22">
      <c r="A171" s="180">
        <f ca="1">'SAC_IOF Ñ USAR'!A171</f>
        <v>152</v>
      </c>
      <c r="B171" s="179">
        <f ca="1">'SAC_IOF Ñ USAR'!B171</f>
        <v>49368</v>
      </c>
      <c r="C171" s="177">
        <f t="shared" ca="1" si="31"/>
        <v>889.99100827727909</v>
      </c>
      <c r="D171" s="24">
        <f t="shared" ca="1" si="38"/>
        <v>630.46963027407821</v>
      </c>
      <c r="E171" s="177">
        <f t="shared" ca="1" si="32"/>
        <v>67639.316629072506</v>
      </c>
      <c r="F171" s="178">
        <f t="shared" ca="1" si="33"/>
        <v>14.391154603843457</v>
      </c>
      <c r="G171" s="178">
        <f t="shared" ca="1" si="34"/>
        <v>26.319999999999997</v>
      </c>
      <c r="H171" s="177">
        <f t="shared" ca="1" si="35"/>
        <v>25</v>
      </c>
      <c r="I171" s="25">
        <f t="shared" ca="1" si="36"/>
        <v>1586.1717931552007</v>
      </c>
      <c r="J171" s="9" t="str">
        <f ca="1">'SAC_IOF Ñ USAR'!J171</f>
        <v/>
      </c>
      <c r="K171" s="9" t="str">
        <f ca="1">'SAC_IOF Ñ USAR'!K171</f>
        <v/>
      </c>
      <c r="L171" s="9">
        <f ca="1">'SAC_IOF Ñ USAR'!L171</f>
        <v>2</v>
      </c>
      <c r="N171" s="176">
        <f t="shared" ca="1" si="37"/>
        <v>29</v>
      </c>
      <c r="O171" s="176">
        <f t="shared" ca="1" si="39"/>
        <v>4648</v>
      </c>
      <c r="P171" s="175">
        <f t="shared" ca="1" si="28"/>
        <v>834.39144798065388</v>
      </c>
      <c r="Q171" s="11">
        <f t="shared" ca="1" si="29"/>
        <v>2.9930000000000002E-2</v>
      </c>
      <c r="R171" s="12">
        <f t="shared" ca="1" si="30"/>
        <v>24.973336038060971</v>
      </c>
      <c r="S171" s="513"/>
      <c r="U171">
        <f t="shared" ca="1" si="40"/>
        <v>1520.4606385513573</v>
      </c>
      <c r="V171" s="31">
        <f t="shared" ca="1" si="41"/>
        <v>1586.1717931552007</v>
      </c>
    </row>
    <row r="172" spans="1:22">
      <c r="A172" s="180">
        <f ca="1">'SAC_IOF Ñ USAR'!A172</f>
        <v>153</v>
      </c>
      <c r="B172" s="179">
        <f ca="1">'SAC_IOF Ñ USAR'!B172</f>
        <v>49398</v>
      </c>
      <c r="C172" s="177">
        <f t="shared" ca="1" si="31"/>
        <v>889.99100827727909</v>
      </c>
      <c r="D172" s="24">
        <f t="shared" ca="1" si="38"/>
        <v>622.28171299779137</v>
      </c>
      <c r="E172" s="177">
        <f t="shared" ca="1" si="32"/>
        <v>66749.325620795222</v>
      </c>
      <c r="F172" s="178">
        <f t="shared" ca="1" si="33"/>
        <v>14.204256492105227</v>
      </c>
      <c r="G172" s="178">
        <f t="shared" ca="1" si="34"/>
        <v>26.319999999999997</v>
      </c>
      <c r="H172" s="177">
        <f t="shared" ca="1" si="35"/>
        <v>25</v>
      </c>
      <c r="I172" s="25">
        <f t="shared" ca="1" si="36"/>
        <v>1577.7969777671758</v>
      </c>
      <c r="J172" s="9" t="str">
        <f ca="1">'SAC_IOF Ñ USAR'!J172</f>
        <v/>
      </c>
      <c r="K172" s="9" t="str">
        <f ca="1">'SAC_IOF Ñ USAR'!K172</f>
        <v/>
      </c>
      <c r="L172" s="9">
        <f ca="1">'SAC_IOF Ñ USAR'!L172</f>
        <v>3</v>
      </c>
      <c r="N172" s="176">
        <f t="shared" ca="1" si="37"/>
        <v>30</v>
      </c>
      <c r="O172" s="176">
        <f t="shared" ca="1" si="39"/>
        <v>4678</v>
      </c>
      <c r="P172" s="175">
        <f t="shared" ca="1" si="28"/>
        <v>834.39144798065388</v>
      </c>
      <c r="Q172" s="11">
        <f t="shared" ca="1" si="29"/>
        <v>2.9930000000000002E-2</v>
      </c>
      <c r="R172" s="12">
        <f t="shared" ca="1" si="30"/>
        <v>24.973336038060971</v>
      </c>
      <c r="S172" s="513"/>
      <c r="U172">
        <f t="shared" ca="1" si="40"/>
        <v>1512.2727212750706</v>
      </c>
      <c r="V172" s="31">
        <f t="shared" ca="1" si="41"/>
        <v>1577.7969777671758</v>
      </c>
    </row>
    <row r="173" spans="1:22">
      <c r="A173" s="180">
        <f ca="1">'SAC_IOF Ñ USAR'!A173</f>
        <v>154</v>
      </c>
      <c r="B173" s="179">
        <f ca="1">'SAC_IOF Ñ USAR'!B173</f>
        <v>49429</v>
      </c>
      <c r="C173" s="177">
        <f t="shared" ca="1" si="31"/>
        <v>889.99100827727909</v>
      </c>
      <c r="D173" s="24">
        <f t="shared" ca="1" si="38"/>
        <v>614.09379572150453</v>
      </c>
      <c r="E173" s="177">
        <f t="shared" ca="1" si="32"/>
        <v>65859.334612517938</v>
      </c>
      <c r="F173" s="178">
        <f t="shared" ca="1" si="33"/>
        <v>14.017358380366996</v>
      </c>
      <c r="G173" s="178">
        <f t="shared" ca="1" si="34"/>
        <v>26.319999999999997</v>
      </c>
      <c r="H173" s="177">
        <f t="shared" ca="1" si="35"/>
        <v>25</v>
      </c>
      <c r="I173" s="25">
        <f t="shared" ca="1" si="36"/>
        <v>1569.4221623791504</v>
      </c>
      <c r="J173" s="9" t="str">
        <f ca="1">'SAC_IOF Ñ USAR'!J173</f>
        <v/>
      </c>
      <c r="K173" s="9" t="str">
        <f ca="1">'SAC_IOF Ñ USAR'!K173</f>
        <v/>
      </c>
      <c r="L173" s="9">
        <f ca="1">'SAC_IOF Ñ USAR'!L173</f>
        <v>4</v>
      </c>
      <c r="N173" s="176">
        <f t="shared" ca="1" si="37"/>
        <v>31</v>
      </c>
      <c r="O173" s="176">
        <f t="shared" ca="1" si="39"/>
        <v>4709</v>
      </c>
      <c r="P173" s="175">
        <f t="shared" ca="1" si="28"/>
        <v>834.39144798065388</v>
      </c>
      <c r="Q173" s="11">
        <f t="shared" ca="1" si="29"/>
        <v>2.9930000000000002E-2</v>
      </c>
      <c r="R173" s="12">
        <f t="shared" ca="1" si="30"/>
        <v>24.973336038060971</v>
      </c>
      <c r="S173" s="513"/>
      <c r="U173">
        <f t="shared" ca="1" si="40"/>
        <v>1504.0848039987836</v>
      </c>
      <c r="V173" s="31">
        <f t="shared" ca="1" si="41"/>
        <v>1569.4221623791504</v>
      </c>
    </row>
    <row r="174" spans="1:22">
      <c r="A174" s="180">
        <f ca="1">'SAC_IOF Ñ USAR'!A174</f>
        <v>155</v>
      </c>
      <c r="B174" s="179">
        <f ca="1">'SAC_IOF Ñ USAR'!B174</f>
        <v>49459</v>
      </c>
      <c r="C174" s="177">
        <f t="shared" ca="1" si="31"/>
        <v>889.99100827727909</v>
      </c>
      <c r="D174" s="24">
        <f t="shared" ca="1" si="38"/>
        <v>605.9058784452177</v>
      </c>
      <c r="E174" s="177">
        <f t="shared" ca="1" si="32"/>
        <v>64969.343604240661</v>
      </c>
      <c r="F174" s="178">
        <f t="shared" ca="1" si="33"/>
        <v>13.830460268628768</v>
      </c>
      <c r="G174" s="178">
        <f t="shared" ca="1" si="34"/>
        <v>26.319999999999997</v>
      </c>
      <c r="H174" s="177">
        <f t="shared" ca="1" si="35"/>
        <v>25</v>
      </c>
      <c r="I174" s="25">
        <f t="shared" ca="1" si="36"/>
        <v>1561.0473469911253</v>
      </c>
      <c r="J174" s="9" t="str">
        <f ca="1">'SAC_IOF Ñ USAR'!J174</f>
        <v/>
      </c>
      <c r="K174" s="9" t="str">
        <f ca="1">'SAC_IOF Ñ USAR'!K174</f>
        <v/>
      </c>
      <c r="L174" s="9">
        <f ca="1">'SAC_IOF Ñ USAR'!L174</f>
        <v>5</v>
      </c>
      <c r="N174" s="176">
        <f t="shared" ca="1" si="37"/>
        <v>30</v>
      </c>
      <c r="O174" s="176">
        <f t="shared" ca="1" si="39"/>
        <v>4739</v>
      </c>
      <c r="P174" s="175">
        <f t="shared" ca="1" si="28"/>
        <v>834.39144798065388</v>
      </c>
      <c r="Q174" s="11">
        <f t="shared" ca="1" si="29"/>
        <v>2.9930000000000002E-2</v>
      </c>
      <c r="R174" s="12">
        <f t="shared" ca="1" si="30"/>
        <v>24.973336038060971</v>
      </c>
      <c r="S174" s="513"/>
      <c r="U174">
        <f t="shared" ca="1" si="40"/>
        <v>1495.8968867224967</v>
      </c>
      <c r="V174" s="31">
        <f t="shared" ca="1" si="41"/>
        <v>1561.0473469911253</v>
      </c>
    </row>
    <row r="175" spans="1:22">
      <c r="A175" s="180">
        <f ca="1">'SAC_IOF Ñ USAR'!A175</f>
        <v>156</v>
      </c>
      <c r="B175" s="179">
        <f ca="1">'SAC_IOF Ñ USAR'!B175</f>
        <v>49490</v>
      </c>
      <c r="C175" s="177">
        <f t="shared" ca="1" si="31"/>
        <v>889.99100827727909</v>
      </c>
      <c r="D175" s="24">
        <f t="shared" ca="1" si="38"/>
        <v>597.71796116893086</v>
      </c>
      <c r="E175" s="177">
        <f t="shared" ca="1" si="32"/>
        <v>64079.352595963384</v>
      </c>
      <c r="F175" s="178">
        <f t="shared" ca="1" si="33"/>
        <v>13.643562156890539</v>
      </c>
      <c r="G175" s="178">
        <f t="shared" ca="1" si="34"/>
        <v>26.319999999999997</v>
      </c>
      <c r="H175" s="177">
        <f t="shared" ca="1" si="35"/>
        <v>25</v>
      </c>
      <c r="I175" s="25">
        <f t="shared" ca="1" si="36"/>
        <v>1552.6725316031004</v>
      </c>
      <c r="J175" s="9" t="str">
        <f ca="1">'SAC_IOF Ñ USAR'!J175</f>
        <v/>
      </c>
      <c r="K175" s="9" t="str">
        <f ca="1">'SAC_IOF Ñ USAR'!K175</f>
        <v/>
      </c>
      <c r="L175" s="9">
        <f ca="1">'SAC_IOF Ñ USAR'!L175</f>
        <v>6</v>
      </c>
      <c r="N175" s="176">
        <f t="shared" ca="1" si="37"/>
        <v>31</v>
      </c>
      <c r="O175" s="176">
        <f t="shared" ca="1" si="39"/>
        <v>4770</v>
      </c>
      <c r="P175" s="175">
        <f t="shared" ca="1" si="28"/>
        <v>834.39144798065388</v>
      </c>
      <c r="Q175" s="11">
        <f t="shared" ca="1" si="29"/>
        <v>2.9930000000000002E-2</v>
      </c>
      <c r="R175" s="12">
        <f t="shared" ca="1" si="30"/>
        <v>24.973336038060971</v>
      </c>
      <c r="S175" s="513"/>
      <c r="U175">
        <f t="shared" ca="1" si="40"/>
        <v>1487.7089694462099</v>
      </c>
      <c r="V175" s="31">
        <f t="shared" ca="1" si="41"/>
        <v>1552.6725316031004</v>
      </c>
    </row>
    <row r="176" spans="1:22">
      <c r="A176" s="180">
        <f ca="1">'SAC_IOF Ñ USAR'!A176</f>
        <v>157</v>
      </c>
      <c r="B176" s="179">
        <f ca="1">'SAC_IOF Ñ USAR'!B176</f>
        <v>49520</v>
      </c>
      <c r="C176" s="177">
        <f t="shared" ca="1" si="31"/>
        <v>889.99100827727909</v>
      </c>
      <c r="D176" s="24">
        <f t="shared" ca="1" si="38"/>
        <v>589.53004389264413</v>
      </c>
      <c r="E176" s="177">
        <f t="shared" ca="1" si="32"/>
        <v>63189.361587686108</v>
      </c>
      <c r="F176" s="178">
        <f t="shared" ca="1" si="33"/>
        <v>13.456664045152312</v>
      </c>
      <c r="G176" s="178">
        <f t="shared" ca="1" si="34"/>
        <v>26.319999999999997</v>
      </c>
      <c r="H176" s="177">
        <f t="shared" ca="1" si="35"/>
        <v>25</v>
      </c>
      <c r="I176" s="25">
        <f t="shared" ca="1" si="36"/>
        <v>1544.2977162150755</v>
      </c>
      <c r="J176" s="9" t="str">
        <f ca="1">'SAC_IOF Ñ USAR'!J176</f>
        <v/>
      </c>
      <c r="K176" s="9" t="str">
        <f ca="1">'SAC_IOF Ñ USAR'!K176</f>
        <v/>
      </c>
      <c r="L176" s="9">
        <f ca="1">'SAC_IOF Ñ USAR'!L176</f>
        <v>7</v>
      </c>
      <c r="N176" s="176">
        <f t="shared" ca="1" si="37"/>
        <v>30</v>
      </c>
      <c r="O176" s="176">
        <f t="shared" ca="1" si="39"/>
        <v>4800</v>
      </c>
      <c r="P176" s="175">
        <f t="shared" ca="1" si="28"/>
        <v>834.39144798065388</v>
      </c>
      <c r="Q176" s="11">
        <f t="shared" ca="1" si="29"/>
        <v>2.9930000000000002E-2</v>
      </c>
      <c r="R176" s="12">
        <f t="shared" ca="1" si="30"/>
        <v>24.973336038060971</v>
      </c>
      <c r="S176" s="513"/>
      <c r="U176">
        <f t="shared" ca="1" si="40"/>
        <v>1479.5210521699232</v>
      </c>
      <c r="V176" s="31">
        <f t="shared" ca="1" si="41"/>
        <v>1544.2977162150755</v>
      </c>
    </row>
    <row r="177" spans="1:22">
      <c r="A177" s="180">
        <f ca="1">'SAC_IOF Ñ USAR'!A177</f>
        <v>158</v>
      </c>
      <c r="B177" s="179">
        <f ca="1">'SAC_IOF Ñ USAR'!B177</f>
        <v>49551</v>
      </c>
      <c r="C177" s="177">
        <f t="shared" ca="1" si="31"/>
        <v>889.99100827727909</v>
      </c>
      <c r="D177" s="24">
        <f t="shared" ca="1" si="38"/>
        <v>581.34212661635729</v>
      </c>
      <c r="E177" s="177">
        <f t="shared" ca="1" si="32"/>
        <v>62299.370579408831</v>
      </c>
      <c r="F177" s="178">
        <f t="shared" ca="1" si="33"/>
        <v>13.269765933414083</v>
      </c>
      <c r="G177" s="178">
        <f t="shared" ca="1" si="34"/>
        <v>26.319999999999997</v>
      </c>
      <c r="H177" s="177">
        <f t="shared" ca="1" si="35"/>
        <v>25</v>
      </c>
      <c r="I177" s="25">
        <f t="shared" ca="1" si="36"/>
        <v>1535.9229008270504</v>
      </c>
      <c r="J177" s="9" t="str">
        <f ca="1">'SAC_IOF Ñ USAR'!J177</f>
        <v/>
      </c>
      <c r="K177" s="9" t="str">
        <f ca="1">'SAC_IOF Ñ USAR'!K177</f>
        <v/>
      </c>
      <c r="L177" s="9">
        <f ca="1">'SAC_IOF Ñ USAR'!L177</f>
        <v>8</v>
      </c>
      <c r="N177" s="176">
        <f t="shared" ca="1" si="37"/>
        <v>31</v>
      </c>
      <c r="O177" s="176">
        <f t="shared" ca="1" si="39"/>
        <v>4831</v>
      </c>
      <c r="P177" s="175">
        <f t="shared" ca="1" si="28"/>
        <v>834.39144798065388</v>
      </c>
      <c r="Q177" s="11">
        <f t="shared" ca="1" si="29"/>
        <v>2.9930000000000002E-2</v>
      </c>
      <c r="R177" s="12">
        <f t="shared" ca="1" si="30"/>
        <v>24.973336038060971</v>
      </c>
      <c r="S177" s="513"/>
      <c r="U177">
        <f t="shared" ca="1" si="40"/>
        <v>1471.3331348936363</v>
      </c>
      <c r="V177" s="31">
        <f t="shared" ca="1" si="41"/>
        <v>1535.9229008270504</v>
      </c>
    </row>
    <row r="178" spans="1:22">
      <c r="A178" s="180">
        <f ca="1">'SAC_IOF Ñ USAR'!A178</f>
        <v>159</v>
      </c>
      <c r="B178" s="179">
        <f ca="1">'SAC_IOF Ñ USAR'!B178</f>
        <v>49582</v>
      </c>
      <c r="C178" s="177">
        <f t="shared" ca="1" si="31"/>
        <v>889.99100827727909</v>
      </c>
      <c r="D178" s="24">
        <f t="shared" ca="1" si="38"/>
        <v>573.15420934007045</v>
      </c>
      <c r="E178" s="177">
        <f t="shared" ca="1" si="32"/>
        <v>61409.379571131554</v>
      </c>
      <c r="F178" s="178">
        <f t="shared" ca="1" si="33"/>
        <v>13.082867821675855</v>
      </c>
      <c r="G178" s="178">
        <f t="shared" ca="1" si="34"/>
        <v>26.319999999999997</v>
      </c>
      <c r="H178" s="177">
        <f t="shared" ca="1" si="35"/>
        <v>25</v>
      </c>
      <c r="I178" s="25">
        <f t="shared" ca="1" si="36"/>
        <v>1527.5480854390253</v>
      </c>
      <c r="J178" s="9" t="str">
        <f ca="1">'SAC_IOF Ñ USAR'!J178</f>
        <v/>
      </c>
      <c r="K178" s="9" t="str">
        <f ca="1">'SAC_IOF Ñ USAR'!K178</f>
        <v/>
      </c>
      <c r="L178" s="9">
        <f ca="1">'SAC_IOF Ñ USAR'!L178</f>
        <v>9</v>
      </c>
      <c r="N178" s="176">
        <f t="shared" ca="1" si="37"/>
        <v>31</v>
      </c>
      <c r="O178" s="176">
        <f t="shared" ca="1" si="39"/>
        <v>4862</v>
      </c>
      <c r="P178" s="175">
        <f t="shared" ca="1" si="28"/>
        <v>834.39144798065388</v>
      </c>
      <c r="Q178" s="11">
        <f t="shared" ca="1" si="29"/>
        <v>2.9930000000000002E-2</v>
      </c>
      <c r="R178" s="12">
        <f t="shared" ca="1" si="30"/>
        <v>24.973336038060971</v>
      </c>
      <c r="S178" s="513"/>
      <c r="U178">
        <f t="shared" ca="1" si="40"/>
        <v>1463.1452176173495</v>
      </c>
      <c r="V178" s="31">
        <f t="shared" ca="1" si="41"/>
        <v>1527.5480854390253</v>
      </c>
    </row>
    <row r="179" spans="1:22">
      <c r="A179" s="180">
        <f ca="1">'SAC_IOF Ñ USAR'!A179</f>
        <v>160</v>
      </c>
      <c r="B179" s="179">
        <f ca="1">'SAC_IOF Ñ USAR'!B179</f>
        <v>49612</v>
      </c>
      <c r="C179" s="177">
        <f t="shared" ca="1" si="31"/>
        <v>889.99100827727909</v>
      </c>
      <c r="D179" s="24">
        <f t="shared" ca="1" si="38"/>
        <v>564.96629206378373</v>
      </c>
      <c r="E179" s="177">
        <f t="shared" ca="1" si="32"/>
        <v>60519.388562854278</v>
      </c>
      <c r="F179" s="178">
        <f t="shared" ca="1" si="33"/>
        <v>12.895969709937628</v>
      </c>
      <c r="G179" s="178">
        <f t="shared" ca="1" si="34"/>
        <v>26.319999999999997</v>
      </c>
      <c r="H179" s="177">
        <f t="shared" ca="1" si="35"/>
        <v>25</v>
      </c>
      <c r="I179" s="25">
        <f t="shared" ca="1" si="36"/>
        <v>1519.1732700510004</v>
      </c>
      <c r="J179" s="9" t="str">
        <f ca="1">'SAC_IOF Ñ USAR'!J179</f>
        <v/>
      </c>
      <c r="K179" s="9" t="str">
        <f ca="1">'SAC_IOF Ñ USAR'!K179</f>
        <v/>
      </c>
      <c r="L179" s="9">
        <f ca="1">'SAC_IOF Ñ USAR'!L179</f>
        <v>10</v>
      </c>
      <c r="N179" s="176">
        <f t="shared" ca="1" si="37"/>
        <v>30</v>
      </c>
      <c r="O179" s="176">
        <f t="shared" ca="1" si="39"/>
        <v>4892</v>
      </c>
      <c r="P179" s="175">
        <f t="shared" ca="1" si="28"/>
        <v>834.39144798065388</v>
      </c>
      <c r="Q179" s="11">
        <f t="shared" ca="1" si="29"/>
        <v>2.9930000000000002E-2</v>
      </c>
      <c r="R179" s="12">
        <f t="shared" ca="1" si="30"/>
        <v>24.973336038060971</v>
      </c>
      <c r="S179" s="513"/>
      <c r="U179">
        <f t="shared" ca="1" si="40"/>
        <v>1454.9573003410628</v>
      </c>
      <c r="V179" s="31">
        <f t="shared" ca="1" si="41"/>
        <v>1519.1732700510004</v>
      </c>
    </row>
    <row r="180" spans="1:22">
      <c r="A180" s="180">
        <f ca="1">'SAC_IOF Ñ USAR'!A180</f>
        <v>161</v>
      </c>
      <c r="B180" s="179">
        <f ca="1">'SAC_IOF Ñ USAR'!B180</f>
        <v>49643</v>
      </c>
      <c r="C180" s="177">
        <f t="shared" ca="1" si="31"/>
        <v>889.99100827727909</v>
      </c>
      <c r="D180" s="24">
        <f t="shared" ca="1" si="38"/>
        <v>556.77837478749689</v>
      </c>
      <c r="E180" s="177">
        <f t="shared" ca="1" si="32"/>
        <v>59629.397554577001</v>
      </c>
      <c r="F180" s="178">
        <f t="shared" ca="1" si="33"/>
        <v>12.709071598199399</v>
      </c>
      <c r="G180" s="178">
        <f t="shared" ca="1" si="34"/>
        <v>26.319999999999997</v>
      </c>
      <c r="H180" s="177">
        <f t="shared" ca="1" si="35"/>
        <v>25</v>
      </c>
      <c r="I180" s="25">
        <f t="shared" ca="1" si="36"/>
        <v>1510.7984546629752</v>
      </c>
      <c r="J180" s="9" t="str">
        <f ca="1">'SAC_IOF Ñ USAR'!J180</f>
        <v/>
      </c>
      <c r="K180" s="9" t="str">
        <f ca="1">'SAC_IOF Ñ USAR'!K180</f>
        <v/>
      </c>
      <c r="L180" s="9">
        <f ca="1">'SAC_IOF Ñ USAR'!L180</f>
        <v>11</v>
      </c>
      <c r="N180" s="176">
        <f t="shared" ca="1" si="37"/>
        <v>31</v>
      </c>
      <c r="O180" s="176">
        <f t="shared" ca="1" si="39"/>
        <v>4923</v>
      </c>
      <c r="P180" s="175">
        <f t="shared" ca="1" si="28"/>
        <v>834.39144798065388</v>
      </c>
      <c r="Q180" s="11">
        <f t="shared" ca="1" si="29"/>
        <v>2.9930000000000002E-2</v>
      </c>
      <c r="R180" s="12">
        <f t="shared" ca="1" si="30"/>
        <v>24.973336038060971</v>
      </c>
      <c r="S180" s="513"/>
      <c r="U180">
        <f t="shared" ca="1" si="40"/>
        <v>1446.7693830647759</v>
      </c>
      <c r="V180" s="31">
        <f t="shared" ca="1" si="41"/>
        <v>1510.7984546629752</v>
      </c>
    </row>
    <row r="181" spans="1:22">
      <c r="A181" s="180">
        <f ca="1">'SAC_IOF Ñ USAR'!A181</f>
        <v>162</v>
      </c>
      <c r="B181" s="179">
        <f ca="1">'SAC_IOF Ñ USAR'!B181</f>
        <v>49673</v>
      </c>
      <c r="C181" s="177">
        <f t="shared" ca="1" si="31"/>
        <v>889.99100827727909</v>
      </c>
      <c r="D181" s="24">
        <f t="shared" ca="1" si="38"/>
        <v>548.59045751121016</v>
      </c>
      <c r="E181" s="177">
        <f t="shared" ca="1" si="32"/>
        <v>58739.406546299724</v>
      </c>
      <c r="F181" s="178">
        <f t="shared" ca="1" si="33"/>
        <v>12.52217348646117</v>
      </c>
      <c r="G181" s="178">
        <f t="shared" ca="1" si="34"/>
        <v>26.319999999999997</v>
      </c>
      <c r="H181" s="177">
        <f t="shared" ca="1" si="35"/>
        <v>25</v>
      </c>
      <c r="I181" s="25">
        <f t="shared" ca="1" si="36"/>
        <v>1502.4236392749506</v>
      </c>
      <c r="J181" s="9" t="str">
        <f ca="1">'SAC_IOF Ñ USAR'!J181</f>
        <v/>
      </c>
      <c r="K181" s="9" t="str">
        <f ca="1">'SAC_IOF Ñ USAR'!K181</f>
        <v/>
      </c>
      <c r="L181" s="9">
        <f ca="1">'SAC_IOF Ñ USAR'!L181</f>
        <v>12</v>
      </c>
      <c r="N181" s="176">
        <f t="shared" ca="1" si="37"/>
        <v>30</v>
      </c>
      <c r="O181" s="176">
        <f t="shared" ca="1" si="39"/>
        <v>4953</v>
      </c>
      <c r="P181" s="175">
        <f t="shared" ca="1" si="28"/>
        <v>834.39144798065388</v>
      </c>
      <c r="Q181" s="11">
        <f t="shared" ca="1" si="29"/>
        <v>2.9930000000000002E-2</v>
      </c>
      <c r="R181" s="12">
        <f t="shared" ca="1" si="30"/>
        <v>24.973336038060971</v>
      </c>
      <c r="S181" s="513"/>
      <c r="U181">
        <f t="shared" ca="1" si="40"/>
        <v>1438.5814657884894</v>
      </c>
      <c r="V181" s="31">
        <f t="shared" ca="1" si="41"/>
        <v>1502.4236392749506</v>
      </c>
    </row>
    <row r="182" spans="1:22">
      <c r="A182" s="180">
        <f ca="1">'SAC_IOF Ñ USAR'!A182</f>
        <v>163</v>
      </c>
      <c r="B182" s="179">
        <f ca="1">'SAC_IOF Ñ USAR'!B182</f>
        <v>49704</v>
      </c>
      <c r="C182" s="177">
        <f t="shared" ca="1" si="31"/>
        <v>889.99100827727909</v>
      </c>
      <c r="D182" s="24">
        <f t="shared" ca="1" si="38"/>
        <v>540.40254023492332</v>
      </c>
      <c r="E182" s="177">
        <f t="shared" ca="1" si="32"/>
        <v>57849.415538022447</v>
      </c>
      <c r="F182" s="178">
        <f t="shared" ca="1" si="33"/>
        <v>12.335275374722942</v>
      </c>
      <c r="G182" s="178">
        <f t="shared" ca="1" si="34"/>
        <v>26.319999999999997</v>
      </c>
      <c r="H182" s="177">
        <f t="shared" ca="1" si="35"/>
        <v>25</v>
      </c>
      <c r="I182" s="25">
        <f t="shared" ca="1" si="36"/>
        <v>1494.0488238869252</v>
      </c>
      <c r="J182" s="9" t="str">
        <f ca="1">'SAC_IOF Ñ USAR'!J182</f>
        <v/>
      </c>
      <c r="K182" s="9" t="str">
        <f ca="1">'SAC_IOF Ñ USAR'!K182</f>
        <v/>
      </c>
      <c r="L182" s="9">
        <f ca="1">'SAC_IOF Ñ USAR'!L182</f>
        <v>1</v>
      </c>
      <c r="N182" s="176">
        <f t="shared" ca="1" si="37"/>
        <v>31</v>
      </c>
      <c r="O182" s="176">
        <f t="shared" ca="1" si="39"/>
        <v>4984</v>
      </c>
      <c r="P182" s="175">
        <f t="shared" ca="1" si="28"/>
        <v>834.39144798065388</v>
      </c>
      <c r="Q182" s="11">
        <f t="shared" ca="1" si="29"/>
        <v>2.9930000000000002E-2</v>
      </c>
      <c r="R182" s="12">
        <f t="shared" ca="1" si="30"/>
        <v>24.973336038060971</v>
      </c>
      <c r="S182" s="513"/>
      <c r="U182">
        <f t="shared" ca="1" si="40"/>
        <v>1430.3935485122024</v>
      </c>
      <c r="V182" s="31">
        <f t="shared" ca="1" si="41"/>
        <v>1494.0488238869252</v>
      </c>
    </row>
    <row r="183" spans="1:22">
      <c r="A183" s="180">
        <f ca="1">'SAC_IOF Ñ USAR'!A183</f>
        <v>164</v>
      </c>
      <c r="B183" s="179">
        <f ca="1">'SAC_IOF Ñ USAR'!B183</f>
        <v>49734</v>
      </c>
      <c r="C183" s="177">
        <f t="shared" ca="1" si="31"/>
        <v>889.99100827727909</v>
      </c>
      <c r="D183" s="24">
        <f t="shared" ca="1" si="38"/>
        <v>532.2146229586366</v>
      </c>
      <c r="E183" s="177">
        <f t="shared" ca="1" si="32"/>
        <v>56959.424529745171</v>
      </c>
      <c r="F183" s="178">
        <f t="shared" ca="1" si="33"/>
        <v>12.148377262984715</v>
      </c>
      <c r="G183" s="178">
        <f t="shared" ca="1" si="34"/>
        <v>26.319999999999997</v>
      </c>
      <c r="H183" s="177">
        <f t="shared" ca="1" si="35"/>
        <v>25</v>
      </c>
      <c r="I183" s="25">
        <f t="shared" ca="1" si="36"/>
        <v>1485.6740084989003</v>
      </c>
      <c r="J183" s="9" t="str">
        <f ca="1">'SAC_IOF Ñ USAR'!J183</f>
        <v/>
      </c>
      <c r="K183" s="9" t="str">
        <f ca="1">'SAC_IOF Ñ USAR'!K183</f>
        <v/>
      </c>
      <c r="L183" s="9">
        <f ca="1">'SAC_IOF Ñ USAR'!L183</f>
        <v>2</v>
      </c>
      <c r="N183" s="176">
        <f t="shared" ca="1" si="37"/>
        <v>30</v>
      </c>
      <c r="O183" s="176">
        <f t="shared" ca="1" si="39"/>
        <v>5014</v>
      </c>
      <c r="P183" s="175">
        <f t="shared" ca="1" si="28"/>
        <v>834.39144798065388</v>
      </c>
      <c r="Q183" s="11">
        <f t="shared" ca="1" si="29"/>
        <v>2.9930000000000002E-2</v>
      </c>
      <c r="R183" s="12">
        <f t="shared" ca="1" si="30"/>
        <v>24.973336038060971</v>
      </c>
      <c r="S183" s="513"/>
      <c r="U183">
        <f t="shared" ca="1" si="40"/>
        <v>1422.2056312359157</v>
      </c>
      <c r="V183" s="31">
        <f t="shared" ca="1" si="41"/>
        <v>1485.6740084989003</v>
      </c>
    </row>
    <row r="184" spans="1:22">
      <c r="A184" s="180">
        <f ca="1">'SAC_IOF Ñ USAR'!A184</f>
        <v>165</v>
      </c>
      <c r="B184" s="179">
        <f ca="1">'SAC_IOF Ñ USAR'!B184</f>
        <v>49764</v>
      </c>
      <c r="C184" s="177">
        <f t="shared" ca="1" si="31"/>
        <v>889.99100827727909</v>
      </c>
      <c r="D184" s="24">
        <f t="shared" ca="1" si="38"/>
        <v>524.02670568234976</v>
      </c>
      <c r="E184" s="177">
        <f t="shared" ca="1" si="32"/>
        <v>56069.433521467894</v>
      </c>
      <c r="F184" s="178">
        <f t="shared" ca="1" si="33"/>
        <v>11.961479151246486</v>
      </c>
      <c r="G184" s="178">
        <f t="shared" ca="1" si="34"/>
        <v>26.319999999999997</v>
      </c>
      <c r="H184" s="177">
        <f t="shared" ca="1" si="35"/>
        <v>25</v>
      </c>
      <c r="I184" s="25">
        <f t="shared" ca="1" si="36"/>
        <v>1477.2991931108754</v>
      </c>
      <c r="J184" s="9" t="str">
        <f ca="1">'SAC_IOF Ñ USAR'!J184</f>
        <v/>
      </c>
      <c r="K184" s="9" t="str">
        <f ca="1">'SAC_IOF Ñ USAR'!K184</f>
        <v/>
      </c>
      <c r="L184" s="9">
        <f ca="1">'SAC_IOF Ñ USAR'!L184</f>
        <v>3</v>
      </c>
      <c r="N184" s="176">
        <f t="shared" ca="1" si="37"/>
        <v>30</v>
      </c>
      <c r="O184" s="176">
        <f t="shared" ca="1" si="39"/>
        <v>5044</v>
      </c>
      <c r="P184" s="175">
        <f t="shared" ca="1" si="28"/>
        <v>834.39144798065388</v>
      </c>
      <c r="Q184" s="11">
        <f t="shared" ca="1" si="29"/>
        <v>2.9930000000000002E-2</v>
      </c>
      <c r="R184" s="12">
        <f t="shared" ca="1" si="30"/>
        <v>24.973336038060971</v>
      </c>
      <c r="S184" s="513"/>
      <c r="U184">
        <f t="shared" ca="1" si="40"/>
        <v>1414.017713959629</v>
      </c>
      <c r="V184" s="31">
        <f t="shared" ca="1" si="41"/>
        <v>1477.2991931108754</v>
      </c>
    </row>
    <row r="185" spans="1:22">
      <c r="A185" s="180">
        <f ca="1">'SAC_IOF Ñ USAR'!A185</f>
        <v>166</v>
      </c>
      <c r="B185" s="179">
        <f ca="1">'SAC_IOF Ñ USAR'!B185</f>
        <v>49795</v>
      </c>
      <c r="C185" s="177">
        <f t="shared" ca="1" si="31"/>
        <v>889.99100827727909</v>
      </c>
      <c r="D185" s="24">
        <f t="shared" ca="1" si="38"/>
        <v>515.83878840606292</v>
      </c>
      <c r="E185" s="177">
        <f t="shared" ca="1" si="32"/>
        <v>55179.442513190617</v>
      </c>
      <c r="F185" s="178">
        <f t="shared" ca="1" si="33"/>
        <v>11.774581039508258</v>
      </c>
      <c r="G185" s="178">
        <f t="shared" ca="1" si="34"/>
        <v>26.319999999999997</v>
      </c>
      <c r="H185" s="177">
        <f t="shared" ca="1" si="35"/>
        <v>25</v>
      </c>
      <c r="I185" s="25">
        <f t="shared" ca="1" si="36"/>
        <v>1468.9243777228503</v>
      </c>
      <c r="J185" s="9" t="str">
        <f ca="1">'SAC_IOF Ñ USAR'!J185</f>
        <v/>
      </c>
      <c r="K185" s="9" t="str">
        <f ca="1">'SAC_IOF Ñ USAR'!K185</f>
        <v/>
      </c>
      <c r="L185" s="9">
        <f ca="1">'SAC_IOF Ñ USAR'!L185</f>
        <v>4</v>
      </c>
      <c r="N185" s="176">
        <f t="shared" ca="1" si="37"/>
        <v>31</v>
      </c>
      <c r="O185" s="176">
        <f t="shared" ca="1" si="39"/>
        <v>5075</v>
      </c>
      <c r="P185" s="175">
        <f t="shared" ca="1" si="28"/>
        <v>834.39144798065388</v>
      </c>
      <c r="Q185" s="11">
        <f t="shared" ca="1" si="29"/>
        <v>2.9930000000000002E-2</v>
      </c>
      <c r="R185" s="12">
        <f t="shared" ca="1" si="30"/>
        <v>24.973336038060971</v>
      </c>
      <c r="S185" s="513"/>
      <c r="U185">
        <f t="shared" ca="1" si="40"/>
        <v>1405.829796683342</v>
      </c>
      <c r="V185" s="31">
        <f t="shared" ca="1" si="41"/>
        <v>1468.9243777228503</v>
      </c>
    </row>
    <row r="186" spans="1:22">
      <c r="A186" s="180">
        <f ca="1">'SAC_IOF Ñ USAR'!A186</f>
        <v>167</v>
      </c>
      <c r="B186" s="179">
        <f ca="1">'SAC_IOF Ñ USAR'!B186</f>
        <v>49825</v>
      </c>
      <c r="C186" s="177">
        <f t="shared" ca="1" si="31"/>
        <v>889.99100827727909</v>
      </c>
      <c r="D186" s="24">
        <f t="shared" ca="1" si="38"/>
        <v>507.65087112977619</v>
      </c>
      <c r="E186" s="177">
        <f t="shared" ca="1" si="32"/>
        <v>54289.451504913341</v>
      </c>
      <c r="F186" s="178">
        <f t="shared" ca="1" si="33"/>
        <v>11.587682927770031</v>
      </c>
      <c r="G186" s="178">
        <f t="shared" ca="1" si="34"/>
        <v>26.319999999999997</v>
      </c>
      <c r="H186" s="177">
        <f t="shared" ca="1" si="35"/>
        <v>25</v>
      </c>
      <c r="I186" s="25">
        <f t="shared" ca="1" si="36"/>
        <v>1460.5495623348252</v>
      </c>
      <c r="J186" s="9" t="str">
        <f ca="1">'SAC_IOF Ñ USAR'!J186</f>
        <v/>
      </c>
      <c r="K186" s="9" t="str">
        <f ca="1">'SAC_IOF Ñ USAR'!K186</f>
        <v/>
      </c>
      <c r="L186" s="9">
        <f ca="1">'SAC_IOF Ñ USAR'!L186</f>
        <v>5</v>
      </c>
      <c r="N186" s="176">
        <f t="shared" ca="1" si="37"/>
        <v>30</v>
      </c>
      <c r="O186" s="176">
        <f t="shared" ca="1" si="39"/>
        <v>5105</v>
      </c>
      <c r="P186" s="175">
        <f t="shared" ca="1" si="28"/>
        <v>834.39144798065388</v>
      </c>
      <c r="Q186" s="11">
        <f t="shared" ca="1" si="29"/>
        <v>2.9930000000000002E-2</v>
      </c>
      <c r="R186" s="12">
        <f t="shared" ca="1" si="30"/>
        <v>24.973336038060971</v>
      </c>
      <c r="S186" s="513"/>
      <c r="U186">
        <f t="shared" ca="1" si="40"/>
        <v>1397.6418794070553</v>
      </c>
      <c r="V186" s="31">
        <f t="shared" ca="1" si="41"/>
        <v>1460.5495623348252</v>
      </c>
    </row>
    <row r="187" spans="1:22">
      <c r="A187" s="180">
        <f ca="1">'SAC_IOF Ñ USAR'!A187</f>
        <v>168</v>
      </c>
      <c r="B187" s="179">
        <f ca="1">'SAC_IOF Ñ USAR'!B187</f>
        <v>49856</v>
      </c>
      <c r="C187" s="177">
        <f t="shared" ca="1" si="31"/>
        <v>889.99100827727909</v>
      </c>
      <c r="D187" s="24">
        <f t="shared" ca="1" si="38"/>
        <v>499.46295385348935</v>
      </c>
      <c r="E187" s="177">
        <f t="shared" ca="1" si="32"/>
        <v>53399.460496636064</v>
      </c>
      <c r="F187" s="178">
        <f t="shared" ca="1" si="33"/>
        <v>11.400784816031802</v>
      </c>
      <c r="G187" s="178">
        <f t="shared" ca="1" si="34"/>
        <v>26.319999999999997</v>
      </c>
      <c r="H187" s="177">
        <f t="shared" ca="1" si="35"/>
        <v>25</v>
      </c>
      <c r="I187" s="25">
        <f t="shared" ca="1" si="36"/>
        <v>1452.1747469468003</v>
      </c>
      <c r="J187" s="9" t="str">
        <f ca="1">'SAC_IOF Ñ USAR'!J187</f>
        <v/>
      </c>
      <c r="K187" s="9" t="str">
        <f ca="1">'SAC_IOF Ñ USAR'!K187</f>
        <v/>
      </c>
      <c r="L187" s="9">
        <f ca="1">'SAC_IOF Ñ USAR'!L187</f>
        <v>6</v>
      </c>
      <c r="N187" s="176">
        <f t="shared" ca="1" si="37"/>
        <v>31</v>
      </c>
      <c r="O187" s="176">
        <f t="shared" ca="1" si="39"/>
        <v>5136</v>
      </c>
      <c r="P187" s="175">
        <f t="shared" ca="1" si="28"/>
        <v>834.39144798065388</v>
      </c>
      <c r="Q187" s="11">
        <f t="shared" ca="1" si="29"/>
        <v>2.9930000000000002E-2</v>
      </c>
      <c r="R187" s="12">
        <f t="shared" ca="1" si="30"/>
        <v>24.973336038060971</v>
      </c>
      <c r="S187" s="513"/>
      <c r="U187">
        <f t="shared" ca="1" si="40"/>
        <v>1389.4539621307686</v>
      </c>
      <c r="V187" s="31">
        <f t="shared" ca="1" si="41"/>
        <v>1452.1747469468003</v>
      </c>
    </row>
    <row r="188" spans="1:22">
      <c r="A188" s="180">
        <f ca="1">'SAC_IOF Ñ USAR'!A188</f>
        <v>169</v>
      </c>
      <c r="B188" s="179">
        <f ca="1">'SAC_IOF Ñ USAR'!B188</f>
        <v>49886</v>
      </c>
      <c r="C188" s="177">
        <f t="shared" ca="1" si="31"/>
        <v>889.99100827727909</v>
      </c>
      <c r="D188" s="24">
        <f t="shared" ca="1" si="38"/>
        <v>491.27503657720257</v>
      </c>
      <c r="E188" s="177">
        <f t="shared" ca="1" si="32"/>
        <v>52509.469488358787</v>
      </c>
      <c r="F188" s="178">
        <f t="shared" ca="1" si="33"/>
        <v>11.213886704293573</v>
      </c>
      <c r="G188" s="178">
        <f t="shared" ca="1" si="34"/>
        <v>26.319999999999997</v>
      </c>
      <c r="H188" s="177">
        <f t="shared" ca="1" si="35"/>
        <v>25</v>
      </c>
      <c r="I188" s="25">
        <f t="shared" ca="1" si="36"/>
        <v>1443.7999315587751</v>
      </c>
      <c r="J188" s="9" t="str">
        <f ca="1">'SAC_IOF Ñ USAR'!J188</f>
        <v/>
      </c>
      <c r="K188" s="9" t="str">
        <f ca="1">'SAC_IOF Ñ USAR'!K188</f>
        <v/>
      </c>
      <c r="L188" s="9">
        <f ca="1">'SAC_IOF Ñ USAR'!L188</f>
        <v>7</v>
      </c>
      <c r="N188" s="176">
        <f t="shared" ca="1" si="37"/>
        <v>30</v>
      </c>
      <c r="O188" s="176">
        <f t="shared" ca="1" si="39"/>
        <v>5166</v>
      </c>
      <c r="P188" s="175">
        <f t="shared" ca="1" si="28"/>
        <v>834.39144798065388</v>
      </c>
      <c r="Q188" s="11">
        <f t="shared" ca="1" si="29"/>
        <v>2.9930000000000002E-2</v>
      </c>
      <c r="R188" s="12">
        <f t="shared" ca="1" si="30"/>
        <v>24.973336038060971</v>
      </c>
      <c r="S188" s="513"/>
      <c r="U188">
        <f t="shared" ca="1" si="40"/>
        <v>1381.2660448544816</v>
      </c>
      <c r="V188" s="31">
        <f t="shared" ca="1" si="41"/>
        <v>1443.7999315587751</v>
      </c>
    </row>
    <row r="189" spans="1:22">
      <c r="A189" s="180">
        <f ca="1">'SAC_IOF Ñ USAR'!A189</f>
        <v>170</v>
      </c>
      <c r="B189" s="179">
        <f ca="1">'SAC_IOF Ñ USAR'!B189</f>
        <v>49917</v>
      </c>
      <c r="C189" s="177">
        <f t="shared" ca="1" si="31"/>
        <v>889.99100827727909</v>
      </c>
      <c r="D189" s="24">
        <f t="shared" ca="1" si="38"/>
        <v>483.08711930091579</v>
      </c>
      <c r="E189" s="177">
        <f t="shared" ca="1" si="32"/>
        <v>51619.47848008151</v>
      </c>
      <c r="F189" s="178">
        <f t="shared" ca="1" si="33"/>
        <v>11.026988592555346</v>
      </c>
      <c r="G189" s="178">
        <f t="shared" ca="1" si="34"/>
        <v>26.319999999999997</v>
      </c>
      <c r="H189" s="177">
        <f t="shared" ca="1" si="35"/>
        <v>25</v>
      </c>
      <c r="I189" s="25">
        <f t="shared" ca="1" si="36"/>
        <v>1435.4251161707502</v>
      </c>
      <c r="J189" s="9" t="str">
        <f ca="1">'SAC_IOF Ñ USAR'!J189</f>
        <v/>
      </c>
      <c r="K189" s="9" t="str">
        <f ca="1">'SAC_IOF Ñ USAR'!K189</f>
        <v/>
      </c>
      <c r="L189" s="9">
        <f ca="1">'SAC_IOF Ñ USAR'!L189</f>
        <v>8</v>
      </c>
      <c r="N189" s="176">
        <f t="shared" ca="1" si="37"/>
        <v>31</v>
      </c>
      <c r="O189" s="176">
        <f t="shared" ca="1" si="39"/>
        <v>5197</v>
      </c>
      <c r="P189" s="175">
        <f t="shared" ca="1" si="28"/>
        <v>834.39144798065388</v>
      </c>
      <c r="Q189" s="11">
        <f t="shared" ca="1" si="29"/>
        <v>2.9930000000000002E-2</v>
      </c>
      <c r="R189" s="12">
        <f t="shared" ca="1" si="30"/>
        <v>24.973336038060971</v>
      </c>
      <c r="S189" s="513"/>
      <c r="U189">
        <f t="shared" ca="1" si="40"/>
        <v>1373.0781275781949</v>
      </c>
      <c r="V189" s="31">
        <f t="shared" ca="1" si="41"/>
        <v>1435.4251161707502</v>
      </c>
    </row>
    <row r="190" spans="1:22">
      <c r="A190" s="180">
        <f ca="1">'SAC_IOF Ñ USAR'!A190</f>
        <v>171</v>
      </c>
      <c r="B190" s="179">
        <f ca="1">'SAC_IOF Ñ USAR'!B190</f>
        <v>49948</v>
      </c>
      <c r="C190" s="177">
        <f t="shared" ca="1" si="31"/>
        <v>889.99100827727909</v>
      </c>
      <c r="D190" s="24">
        <f t="shared" ca="1" si="38"/>
        <v>474.89920202462901</v>
      </c>
      <c r="E190" s="177">
        <f t="shared" ca="1" si="32"/>
        <v>50729.487471804234</v>
      </c>
      <c r="F190" s="178">
        <f t="shared" ca="1" si="33"/>
        <v>10.840090480817118</v>
      </c>
      <c r="G190" s="178">
        <f t="shared" ca="1" si="34"/>
        <v>26.319999999999997</v>
      </c>
      <c r="H190" s="177">
        <f t="shared" ca="1" si="35"/>
        <v>25</v>
      </c>
      <c r="I190" s="25">
        <f t="shared" ca="1" si="36"/>
        <v>1427.0503007827251</v>
      </c>
      <c r="J190" s="9" t="str">
        <f ca="1">'SAC_IOF Ñ USAR'!J190</f>
        <v/>
      </c>
      <c r="K190" s="9" t="str">
        <f ca="1">'SAC_IOF Ñ USAR'!K190</f>
        <v/>
      </c>
      <c r="L190" s="9">
        <f ca="1">'SAC_IOF Ñ USAR'!L190</f>
        <v>9</v>
      </c>
      <c r="N190" s="176">
        <f t="shared" ca="1" si="37"/>
        <v>31</v>
      </c>
      <c r="O190" s="176">
        <f t="shared" ca="1" si="39"/>
        <v>5228</v>
      </c>
      <c r="P190" s="175">
        <f t="shared" ca="1" si="28"/>
        <v>834.39144798065388</v>
      </c>
      <c r="Q190" s="11">
        <f t="shared" ca="1" si="29"/>
        <v>2.9930000000000002E-2</v>
      </c>
      <c r="R190" s="12">
        <f t="shared" ca="1" si="30"/>
        <v>24.973336038060971</v>
      </c>
      <c r="S190" s="513"/>
      <c r="U190">
        <f t="shared" ca="1" si="40"/>
        <v>1364.8902103019082</v>
      </c>
      <c r="V190" s="31">
        <f t="shared" ca="1" si="41"/>
        <v>1427.0503007827251</v>
      </c>
    </row>
    <row r="191" spans="1:22">
      <c r="A191" s="180">
        <f ca="1">'SAC_IOF Ñ USAR'!A191</f>
        <v>172</v>
      </c>
      <c r="B191" s="179">
        <f ca="1">'SAC_IOF Ñ USAR'!B191</f>
        <v>49978</v>
      </c>
      <c r="C191" s="177">
        <f t="shared" ca="1" si="31"/>
        <v>889.99100827727909</v>
      </c>
      <c r="D191" s="24">
        <f t="shared" ca="1" si="38"/>
        <v>466.71128474834222</v>
      </c>
      <c r="E191" s="177">
        <f t="shared" ca="1" si="32"/>
        <v>49839.496463526957</v>
      </c>
      <c r="F191" s="178">
        <f t="shared" ca="1" si="33"/>
        <v>10.653192369078889</v>
      </c>
      <c r="G191" s="178">
        <f t="shared" ca="1" si="34"/>
        <v>26.319999999999997</v>
      </c>
      <c r="H191" s="177">
        <f t="shared" ca="1" si="35"/>
        <v>25</v>
      </c>
      <c r="I191" s="25">
        <f t="shared" ca="1" si="36"/>
        <v>1418.6754853947</v>
      </c>
      <c r="J191" s="9" t="str">
        <f ca="1">'SAC_IOF Ñ USAR'!J191</f>
        <v/>
      </c>
      <c r="K191" s="9" t="str">
        <f ca="1">'SAC_IOF Ñ USAR'!K191</f>
        <v/>
      </c>
      <c r="L191" s="9">
        <f ca="1">'SAC_IOF Ñ USAR'!L191</f>
        <v>10</v>
      </c>
      <c r="N191" s="176">
        <f t="shared" ca="1" si="37"/>
        <v>30</v>
      </c>
      <c r="O191" s="176">
        <f t="shared" ca="1" si="39"/>
        <v>5258</v>
      </c>
      <c r="P191" s="175">
        <f t="shared" ca="1" si="28"/>
        <v>834.39144798065388</v>
      </c>
      <c r="Q191" s="11">
        <f t="shared" ca="1" si="29"/>
        <v>2.9930000000000002E-2</v>
      </c>
      <c r="R191" s="12">
        <f t="shared" ca="1" si="30"/>
        <v>24.973336038060971</v>
      </c>
      <c r="S191" s="513"/>
      <c r="U191">
        <f t="shared" ca="1" si="40"/>
        <v>1356.7022930256212</v>
      </c>
      <c r="V191" s="31">
        <f t="shared" ca="1" si="41"/>
        <v>1418.6754853947</v>
      </c>
    </row>
    <row r="192" spans="1:22">
      <c r="A192" s="180">
        <f ca="1">'SAC_IOF Ñ USAR'!A192</f>
        <v>173</v>
      </c>
      <c r="B192" s="179">
        <f ca="1">'SAC_IOF Ñ USAR'!B192</f>
        <v>50009</v>
      </c>
      <c r="C192" s="177">
        <f t="shared" ca="1" si="31"/>
        <v>889.99100827727909</v>
      </c>
      <c r="D192" s="24">
        <f t="shared" ca="1" si="38"/>
        <v>458.52336747205544</v>
      </c>
      <c r="E192" s="177">
        <f t="shared" ca="1" si="32"/>
        <v>48949.50545524968</v>
      </c>
      <c r="F192" s="178">
        <f t="shared" ca="1" si="33"/>
        <v>10.466294257340662</v>
      </c>
      <c r="G192" s="178">
        <f t="shared" ca="1" si="34"/>
        <v>26.319999999999997</v>
      </c>
      <c r="H192" s="177">
        <f t="shared" ca="1" si="35"/>
        <v>25</v>
      </c>
      <c r="I192" s="25">
        <f t="shared" ca="1" si="36"/>
        <v>1410.3006700066751</v>
      </c>
      <c r="J192" s="9" t="str">
        <f ca="1">'SAC_IOF Ñ USAR'!J192</f>
        <v/>
      </c>
      <c r="K192" s="9" t="str">
        <f ca="1">'SAC_IOF Ñ USAR'!K192</f>
        <v/>
      </c>
      <c r="L192" s="9">
        <f ca="1">'SAC_IOF Ñ USAR'!L192</f>
        <v>11</v>
      </c>
      <c r="N192" s="176">
        <f t="shared" ca="1" si="37"/>
        <v>31</v>
      </c>
      <c r="O192" s="176">
        <f t="shared" ca="1" si="39"/>
        <v>5289</v>
      </c>
      <c r="P192" s="175">
        <f t="shared" ca="1" si="28"/>
        <v>834.39144798065388</v>
      </c>
      <c r="Q192" s="11">
        <f t="shared" ca="1" si="29"/>
        <v>2.9930000000000002E-2</v>
      </c>
      <c r="R192" s="12">
        <f t="shared" ca="1" si="30"/>
        <v>24.973336038060971</v>
      </c>
      <c r="S192" s="513"/>
      <c r="U192">
        <f t="shared" ca="1" si="40"/>
        <v>1348.5143757493345</v>
      </c>
      <c r="V192" s="31">
        <f t="shared" ca="1" si="41"/>
        <v>1410.3006700066751</v>
      </c>
    </row>
    <row r="193" spans="1:22">
      <c r="A193" s="180">
        <f ca="1">'SAC_IOF Ñ USAR'!A193</f>
        <v>174</v>
      </c>
      <c r="B193" s="179">
        <f ca="1">'SAC_IOF Ñ USAR'!B193</f>
        <v>50039</v>
      </c>
      <c r="C193" s="177">
        <f t="shared" ca="1" si="31"/>
        <v>889.99100827727909</v>
      </c>
      <c r="D193" s="24">
        <f t="shared" ca="1" si="38"/>
        <v>450.3354501957686</v>
      </c>
      <c r="E193" s="177">
        <f t="shared" ca="1" si="32"/>
        <v>48059.514446972404</v>
      </c>
      <c r="F193" s="178">
        <f t="shared" ca="1" si="33"/>
        <v>10.279396145602433</v>
      </c>
      <c r="G193" s="178">
        <f t="shared" ca="1" si="34"/>
        <v>26.319999999999997</v>
      </c>
      <c r="H193" s="177">
        <f t="shared" ca="1" si="35"/>
        <v>25</v>
      </c>
      <c r="I193" s="25">
        <f t="shared" ca="1" si="36"/>
        <v>1401.9258546186502</v>
      </c>
      <c r="J193" s="9" t="str">
        <f ca="1">'SAC_IOF Ñ USAR'!J193</f>
        <v/>
      </c>
      <c r="K193" s="9" t="str">
        <f ca="1">'SAC_IOF Ñ USAR'!K193</f>
        <v/>
      </c>
      <c r="L193" s="9">
        <f ca="1">'SAC_IOF Ñ USAR'!L193</f>
        <v>12</v>
      </c>
      <c r="N193" s="176">
        <f t="shared" ca="1" si="37"/>
        <v>30</v>
      </c>
      <c r="O193" s="176">
        <f t="shared" ca="1" si="39"/>
        <v>5319</v>
      </c>
      <c r="P193" s="175">
        <f t="shared" ca="1" si="28"/>
        <v>834.39144798065388</v>
      </c>
      <c r="Q193" s="11">
        <f t="shared" ca="1" si="29"/>
        <v>2.9930000000000002E-2</v>
      </c>
      <c r="R193" s="12">
        <f t="shared" ca="1" si="30"/>
        <v>24.973336038060971</v>
      </c>
      <c r="S193" s="513"/>
      <c r="U193">
        <f t="shared" ca="1" si="40"/>
        <v>1340.3264584730478</v>
      </c>
      <c r="V193" s="31">
        <f t="shared" ca="1" si="41"/>
        <v>1401.9258546186502</v>
      </c>
    </row>
    <row r="194" spans="1:22">
      <c r="A194" s="180">
        <f ca="1">'SAC_IOF Ñ USAR'!A194</f>
        <v>175</v>
      </c>
      <c r="B194" s="179">
        <f ca="1">'SAC_IOF Ñ USAR'!B194</f>
        <v>50070</v>
      </c>
      <c r="C194" s="177">
        <f t="shared" ca="1" si="31"/>
        <v>889.99100827727909</v>
      </c>
      <c r="D194" s="24">
        <f t="shared" ca="1" si="38"/>
        <v>442.14753291948182</v>
      </c>
      <c r="E194" s="177">
        <f t="shared" ca="1" si="32"/>
        <v>47169.523438695127</v>
      </c>
      <c r="F194" s="178">
        <f t="shared" ca="1" si="33"/>
        <v>10.092498033864205</v>
      </c>
      <c r="G194" s="178">
        <f t="shared" ca="1" si="34"/>
        <v>26.319999999999997</v>
      </c>
      <c r="H194" s="177">
        <f t="shared" ca="1" si="35"/>
        <v>25</v>
      </c>
      <c r="I194" s="25">
        <f t="shared" ca="1" si="36"/>
        <v>1393.5510392306248</v>
      </c>
      <c r="J194" s="9" t="str">
        <f ca="1">'SAC_IOF Ñ USAR'!J194</f>
        <v/>
      </c>
      <c r="K194" s="9" t="str">
        <f ca="1">'SAC_IOF Ñ USAR'!K194</f>
        <v/>
      </c>
      <c r="L194" s="9">
        <f ca="1">'SAC_IOF Ñ USAR'!L194</f>
        <v>1</v>
      </c>
      <c r="N194" s="176">
        <f t="shared" ca="1" si="37"/>
        <v>31</v>
      </c>
      <c r="O194" s="176">
        <f t="shared" ca="1" si="39"/>
        <v>5350</v>
      </c>
      <c r="P194" s="175">
        <f t="shared" ca="1" si="28"/>
        <v>834.39144798065388</v>
      </c>
      <c r="Q194" s="11">
        <f t="shared" ca="1" si="29"/>
        <v>2.9930000000000002E-2</v>
      </c>
      <c r="R194" s="12">
        <f t="shared" ca="1" si="30"/>
        <v>24.973336038060971</v>
      </c>
      <c r="S194" s="513"/>
      <c r="U194">
        <f t="shared" ca="1" si="40"/>
        <v>1332.1385411967608</v>
      </c>
      <c r="V194" s="31">
        <f t="shared" ca="1" si="41"/>
        <v>1393.5510392306248</v>
      </c>
    </row>
    <row r="195" spans="1:22">
      <c r="A195" s="180">
        <f ca="1">'SAC_IOF Ñ USAR'!A195</f>
        <v>176</v>
      </c>
      <c r="B195" s="179">
        <f ca="1">'SAC_IOF Ñ USAR'!B195</f>
        <v>50099</v>
      </c>
      <c r="C195" s="177">
        <f t="shared" ca="1" si="31"/>
        <v>889.99100827727909</v>
      </c>
      <c r="D195" s="24">
        <f t="shared" ca="1" si="38"/>
        <v>433.95961564319504</v>
      </c>
      <c r="E195" s="177">
        <f t="shared" ca="1" si="32"/>
        <v>46279.53243041785</v>
      </c>
      <c r="F195" s="178">
        <f t="shared" ca="1" si="33"/>
        <v>9.9055999221259778</v>
      </c>
      <c r="G195" s="178">
        <f t="shared" ca="1" si="34"/>
        <v>26.319999999999997</v>
      </c>
      <c r="H195" s="177">
        <f t="shared" ca="1" si="35"/>
        <v>25</v>
      </c>
      <c r="I195" s="25">
        <f t="shared" ca="1" si="36"/>
        <v>1385.1762238425999</v>
      </c>
      <c r="J195" s="9" t="str">
        <f ca="1">'SAC_IOF Ñ USAR'!J195</f>
        <v/>
      </c>
      <c r="K195" s="9" t="str">
        <f ca="1">'SAC_IOF Ñ USAR'!K195</f>
        <v/>
      </c>
      <c r="L195" s="9">
        <f ca="1">'SAC_IOF Ñ USAR'!L195</f>
        <v>2</v>
      </c>
      <c r="N195" s="176">
        <f t="shared" ca="1" si="37"/>
        <v>29</v>
      </c>
      <c r="O195" s="176">
        <f t="shared" ca="1" si="39"/>
        <v>5379</v>
      </c>
      <c r="P195" s="175">
        <f t="shared" ca="1" si="28"/>
        <v>834.39144798065388</v>
      </c>
      <c r="Q195" s="11">
        <f t="shared" ca="1" si="29"/>
        <v>2.9930000000000002E-2</v>
      </c>
      <c r="R195" s="12">
        <f t="shared" ca="1" si="30"/>
        <v>24.973336038060971</v>
      </c>
      <c r="S195" s="513"/>
      <c r="U195">
        <f t="shared" ca="1" si="40"/>
        <v>1323.9506239204741</v>
      </c>
      <c r="V195" s="31">
        <f t="shared" ca="1" si="41"/>
        <v>1385.1762238425999</v>
      </c>
    </row>
    <row r="196" spans="1:22">
      <c r="A196" s="180">
        <f ca="1">'SAC_IOF Ñ USAR'!A196</f>
        <v>177</v>
      </c>
      <c r="B196" s="179">
        <f ca="1">'SAC_IOF Ñ USAR'!B196</f>
        <v>50129</v>
      </c>
      <c r="C196" s="177">
        <f t="shared" ca="1" si="31"/>
        <v>889.99100827727909</v>
      </c>
      <c r="D196" s="24">
        <f t="shared" ca="1" si="38"/>
        <v>425.77169836690825</v>
      </c>
      <c r="E196" s="177">
        <f t="shared" ca="1" si="32"/>
        <v>45389.541422140574</v>
      </c>
      <c r="F196" s="178">
        <f t="shared" ca="1" si="33"/>
        <v>9.7187018103877492</v>
      </c>
      <c r="G196" s="178">
        <f t="shared" ca="1" si="34"/>
        <v>26.319999999999997</v>
      </c>
      <c r="H196" s="177">
        <f t="shared" ca="1" si="35"/>
        <v>25</v>
      </c>
      <c r="I196" s="25">
        <f t="shared" ca="1" si="36"/>
        <v>1376.801408454575</v>
      </c>
      <c r="J196" s="9" t="str">
        <f ca="1">'SAC_IOF Ñ USAR'!J196</f>
        <v/>
      </c>
      <c r="K196" s="9" t="str">
        <f ca="1">'SAC_IOF Ñ USAR'!K196</f>
        <v/>
      </c>
      <c r="L196" s="9">
        <f ca="1">'SAC_IOF Ñ USAR'!L196</f>
        <v>3</v>
      </c>
      <c r="N196" s="176">
        <f t="shared" ca="1" si="37"/>
        <v>30</v>
      </c>
      <c r="O196" s="176">
        <f t="shared" ca="1" si="39"/>
        <v>5409</v>
      </c>
      <c r="P196" s="175">
        <f t="shared" ca="1" si="28"/>
        <v>834.39144798065388</v>
      </c>
      <c r="Q196" s="11">
        <f t="shared" ca="1" si="29"/>
        <v>2.9930000000000002E-2</v>
      </c>
      <c r="R196" s="12">
        <f t="shared" ca="1" si="30"/>
        <v>24.973336038060971</v>
      </c>
      <c r="S196" s="513"/>
      <c r="U196">
        <f t="shared" ca="1" si="40"/>
        <v>1315.7627066441873</v>
      </c>
      <c r="V196" s="31">
        <f t="shared" ca="1" si="41"/>
        <v>1376.801408454575</v>
      </c>
    </row>
    <row r="197" spans="1:22">
      <c r="A197" s="180">
        <f ca="1">'SAC_IOF Ñ USAR'!A197</f>
        <v>178</v>
      </c>
      <c r="B197" s="179">
        <f ca="1">'SAC_IOF Ñ USAR'!B197</f>
        <v>50160</v>
      </c>
      <c r="C197" s="177">
        <f t="shared" ca="1" si="31"/>
        <v>889.99100827727909</v>
      </c>
      <c r="D197" s="24">
        <f t="shared" ca="1" si="38"/>
        <v>417.58378109062147</v>
      </c>
      <c r="E197" s="177">
        <f t="shared" ca="1" si="32"/>
        <v>44499.550413863297</v>
      </c>
      <c r="F197" s="178">
        <f t="shared" ca="1" si="33"/>
        <v>9.5318036986495205</v>
      </c>
      <c r="G197" s="178">
        <f t="shared" ca="1" si="34"/>
        <v>26.319999999999997</v>
      </c>
      <c r="H197" s="177">
        <f t="shared" ca="1" si="35"/>
        <v>25</v>
      </c>
      <c r="I197" s="25">
        <f t="shared" ca="1" si="36"/>
        <v>1368.4265930665501</v>
      </c>
      <c r="J197" s="9" t="str">
        <f ca="1">'SAC_IOF Ñ USAR'!J197</f>
        <v/>
      </c>
      <c r="K197" s="9" t="str">
        <f ca="1">'SAC_IOF Ñ USAR'!K197</f>
        <v/>
      </c>
      <c r="L197" s="9">
        <f ca="1">'SAC_IOF Ñ USAR'!L197</f>
        <v>4</v>
      </c>
      <c r="N197" s="176">
        <f t="shared" ca="1" si="37"/>
        <v>31</v>
      </c>
      <c r="O197" s="176">
        <f t="shared" ca="1" si="39"/>
        <v>5440</v>
      </c>
      <c r="P197" s="175">
        <f t="shared" ca="1" si="28"/>
        <v>834.39144798065388</v>
      </c>
      <c r="Q197" s="11">
        <f t="shared" ca="1" si="29"/>
        <v>2.9930000000000002E-2</v>
      </c>
      <c r="R197" s="12">
        <f t="shared" ca="1" si="30"/>
        <v>24.973336038060971</v>
      </c>
      <c r="S197" s="513"/>
      <c r="U197">
        <f t="shared" ca="1" si="40"/>
        <v>1307.5747893679006</v>
      </c>
      <c r="V197" s="31">
        <f t="shared" ca="1" si="41"/>
        <v>1368.4265930665501</v>
      </c>
    </row>
    <row r="198" spans="1:22">
      <c r="A198" s="180">
        <f ca="1">'SAC_IOF Ñ USAR'!A198</f>
        <v>179</v>
      </c>
      <c r="B198" s="179">
        <f ca="1">'SAC_IOF Ñ USAR'!B198</f>
        <v>50190</v>
      </c>
      <c r="C198" s="177">
        <f t="shared" ca="1" si="31"/>
        <v>889.99100827727909</v>
      </c>
      <c r="D198" s="24">
        <f t="shared" ca="1" si="38"/>
        <v>409.39586381433469</v>
      </c>
      <c r="E198" s="177">
        <f t="shared" ca="1" si="32"/>
        <v>43609.55940558602</v>
      </c>
      <c r="F198" s="178">
        <f t="shared" ca="1" si="33"/>
        <v>9.3449055869112936</v>
      </c>
      <c r="G198" s="178">
        <f t="shared" ca="1" si="34"/>
        <v>26.319999999999997</v>
      </c>
      <c r="H198" s="177">
        <f t="shared" ca="1" si="35"/>
        <v>25</v>
      </c>
      <c r="I198" s="25">
        <f t="shared" ca="1" si="36"/>
        <v>1360.051777678525</v>
      </c>
      <c r="J198" s="9" t="str">
        <f ca="1">'SAC_IOF Ñ USAR'!J198</f>
        <v/>
      </c>
      <c r="K198" s="9" t="str">
        <f ca="1">'SAC_IOF Ñ USAR'!K198</f>
        <v/>
      </c>
      <c r="L198" s="9">
        <f ca="1">'SAC_IOF Ñ USAR'!L198</f>
        <v>5</v>
      </c>
      <c r="N198" s="176">
        <f t="shared" ca="1" si="37"/>
        <v>30</v>
      </c>
      <c r="O198" s="176">
        <f t="shared" ca="1" si="39"/>
        <v>5470</v>
      </c>
      <c r="P198" s="175">
        <f t="shared" ca="1" si="28"/>
        <v>834.39144798065388</v>
      </c>
      <c r="Q198" s="11">
        <f t="shared" ca="1" si="29"/>
        <v>2.9930000000000002E-2</v>
      </c>
      <c r="R198" s="12">
        <f t="shared" ca="1" si="30"/>
        <v>24.973336038060971</v>
      </c>
      <c r="S198" s="513"/>
      <c r="U198">
        <f t="shared" ca="1" si="40"/>
        <v>1299.3868720916139</v>
      </c>
      <c r="V198" s="31">
        <f t="shared" ca="1" si="41"/>
        <v>1360.051777678525</v>
      </c>
    </row>
    <row r="199" spans="1:22">
      <c r="A199" s="180">
        <f ca="1">'SAC_IOF Ñ USAR'!A199</f>
        <v>180</v>
      </c>
      <c r="B199" s="179">
        <f ca="1">'SAC_IOF Ñ USAR'!B199</f>
        <v>50221</v>
      </c>
      <c r="C199" s="177">
        <f t="shared" ca="1" si="31"/>
        <v>889.99100827727909</v>
      </c>
      <c r="D199" s="24">
        <f t="shared" ca="1" si="38"/>
        <v>401.20794653804785</v>
      </c>
      <c r="E199" s="177">
        <f t="shared" ca="1" si="32"/>
        <v>42719.568397308743</v>
      </c>
      <c r="F199" s="178">
        <f t="shared" ca="1" si="33"/>
        <v>9.1580074751730649</v>
      </c>
      <c r="G199" s="178">
        <f t="shared" ca="1" si="34"/>
        <v>26.319999999999997</v>
      </c>
      <c r="H199" s="177">
        <f t="shared" ca="1" si="35"/>
        <v>25</v>
      </c>
      <c r="I199" s="25">
        <f t="shared" ca="1" si="36"/>
        <v>1351.6769622904999</v>
      </c>
      <c r="J199" s="9" t="str">
        <f ca="1">'SAC_IOF Ñ USAR'!J199</f>
        <v/>
      </c>
      <c r="K199" s="9" t="str">
        <f ca="1">'SAC_IOF Ñ USAR'!K199</f>
        <v/>
      </c>
      <c r="L199" s="9">
        <f ca="1">'SAC_IOF Ñ USAR'!L199</f>
        <v>6</v>
      </c>
      <c r="N199" s="176">
        <f t="shared" ca="1" si="37"/>
        <v>31</v>
      </c>
      <c r="O199" s="176">
        <f t="shared" ca="1" si="39"/>
        <v>5501</v>
      </c>
      <c r="P199" s="175">
        <f t="shared" ca="1" si="28"/>
        <v>834.39144798065388</v>
      </c>
      <c r="Q199" s="11">
        <f t="shared" ca="1" si="29"/>
        <v>2.9930000000000002E-2</v>
      </c>
      <c r="R199" s="12">
        <f t="shared" ca="1" si="30"/>
        <v>24.973336038060971</v>
      </c>
      <c r="S199" s="513"/>
      <c r="U199">
        <f t="shared" ca="1" si="40"/>
        <v>1291.1989548153269</v>
      </c>
      <c r="V199" s="31">
        <f t="shared" ca="1" si="41"/>
        <v>1351.6769622904999</v>
      </c>
    </row>
    <row r="200" spans="1:22">
      <c r="A200" s="180">
        <f ca="1">'SAC_IOF Ñ USAR'!A200</f>
        <v>181</v>
      </c>
      <c r="B200" s="179">
        <f ca="1">'SAC_IOF Ñ USAR'!B200</f>
        <v>50251</v>
      </c>
      <c r="C200" s="177">
        <f t="shared" ca="1" si="31"/>
        <v>889.99100827727909</v>
      </c>
      <c r="D200" s="24">
        <f t="shared" ca="1" si="38"/>
        <v>393.02002926176107</v>
      </c>
      <c r="E200" s="177">
        <f t="shared" ca="1" si="32"/>
        <v>41829.577389031467</v>
      </c>
      <c r="F200" s="178">
        <f t="shared" ca="1" si="33"/>
        <v>8.9711093634348362</v>
      </c>
      <c r="G200" s="178">
        <f t="shared" ca="1" si="34"/>
        <v>26.319999999999997</v>
      </c>
      <c r="H200" s="177">
        <f t="shared" ca="1" si="35"/>
        <v>25</v>
      </c>
      <c r="I200" s="25">
        <f t="shared" ca="1" si="36"/>
        <v>1343.302146902475</v>
      </c>
      <c r="J200" s="9" t="str">
        <f ca="1">'SAC_IOF Ñ USAR'!J200</f>
        <v/>
      </c>
      <c r="K200" s="9" t="str">
        <f ca="1">'SAC_IOF Ñ USAR'!K200</f>
        <v/>
      </c>
      <c r="L200" s="9">
        <f ca="1">'SAC_IOF Ñ USAR'!L200</f>
        <v>7</v>
      </c>
      <c r="N200" s="176">
        <f t="shared" ca="1" si="37"/>
        <v>30</v>
      </c>
      <c r="O200" s="176">
        <f t="shared" ca="1" si="39"/>
        <v>5531</v>
      </c>
      <c r="P200" s="175">
        <f t="shared" ca="1" si="28"/>
        <v>834.39144798065388</v>
      </c>
      <c r="Q200" s="11">
        <f t="shared" ca="1" si="29"/>
        <v>2.9930000000000002E-2</v>
      </c>
      <c r="R200" s="12">
        <f t="shared" ca="1" si="30"/>
        <v>24.973336038060971</v>
      </c>
      <c r="S200" s="513"/>
      <c r="U200">
        <f t="shared" ca="1" si="40"/>
        <v>1283.0110375390402</v>
      </c>
      <c r="V200" s="31">
        <f t="shared" ca="1" si="41"/>
        <v>1343.302146902475</v>
      </c>
    </row>
    <row r="201" spans="1:22">
      <c r="A201" s="180">
        <f ca="1">'SAC_IOF Ñ USAR'!A201</f>
        <v>182</v>
      </c>
      <c r="B201" s="179">
        <f ca="1">'SAC_IOF Ñ USAR'!B201</f>
        <v>50282</v>
      </c>
      <c r="C201" s="177">
        <f t="shared" ca="1" si="31"/>
        <v>889.99100827727909</v>
      </c>
      <c r="D201" s="24">
        <f t="shared" ca="1" si="38"/>
        <v>384.83211198547428</v>
      </c>
      <c r="E201" s="177">
        <f t="shared" ca="1" si="32"/>
        <v>40939.58638075419</v>
      </c>
      <c r="F201" s="178">
        <f t="shared" ca="1" si="33"/>
        <v>8.7842112516966075</v>
      </c>
      <c r="G201" s="178">
        <f t="shared" ca="1" si="34"/>
        <v>26.319999999999997</v>
      </c>
      <c r="H201" s="177">
        <f t="shared" ca="1" si="35"/>
        <v>25</v>
      </c>
      <c r="I201" s="25">
        <f t="shared" ca="1" si="36"/>
        <v>1334.9273315144501</v>
      </c>
      <c r="J201" s="9" t="str">
        <f ca="1">'SAC_IOF Ñ USAR'!J201</f>
        <v/>
      </c>
      <c r="K201" s="9" t="str">
        <f ca="1">'SAC_IOF Ñ USAR'!K201</f>
        <v/>
      </c>
      <c r="L201" s="9">
        <f ca="1">'SAC_IOF Ñ USAR'!L201</f>
        <v>8</v>
      </c>
      <c r="N201" s="176">
        <f t="shared" ca="1" si="37"/>
        <v>31</v>
      </c>
      <c r="O201" s="176">
        <f t="shared" ca="1" si="39"/>
        <v>5562</v>
      </c>
      <c r="P201" s="175">
        <f t="shared" ca="1" si="28"/>
        <v>834.39144798065388</v>
      </c>
      <c r="Q201" s="11">
        <f t="shared" ca="1" si="29"/>
        <v>2.9930000000000002E-2</v>
      </c>
      <c r="R201" s="12">
        <f t="shared" ca="1" si="30"/>
        <v>24.973336038060971</v>
      </c>
      <c r="S201" s="513"/>
      <c r="U201">
        <f t="shared" ca="1" si="40"/>
        <v>1274.8231202627535</v>
      </c>
      <c r="V201" s="31">
        <f t="shared" ca="1" si="41"/>
        <v>1334.9273315144501</v>
      </c>
    </row>
    <row r="202" spans="1:22">
      <c r="A202" s="180">
        <f ca="1">'SAC_IOF Ñ USAR'!A202</f>
        <v>183</v>
      </c>
      <c r="B202" s="179">
        <f ca="1">'SAC_IOF Ñ USAR'!B202</f>
        <v>50313</v>
      </c>
      <c r="C202" s="177">
        <f t="shared" ca="1" si="31"/>
        <v>889.99100827727909</v>
      </c>
      <c r="D202" s="24">
        <f t="shared" ca="1" si="38"/>
        <v>376.6441947091875</v>
      </c>
      <c r="E202" s="177">
        <f t="shared" ca="1" si="32"/>
        <v>40049.595372476913</v>
      </c>
      <c r="F202" s="178">
        <f t="shared" ca="1" si="33"/>
        <v>8.5973131399583806</v>
      </c>
      <c r="G202" s="178">
        <f t="shared" ca="1" si="34"/>
        <v>26.319999999999997</v>
      </c>
      <c r="H202" s="177">
        <f t="shared" ca="1" si="35"/>
        <v>25</v>
      </c>
      <c r="I202" s="25">
        <f t="shared" ca="1" si="36"/>
        <v>1326.552516126425</v>
      </c>
      <c r="J202" s="9" t="str">
        <f ca="1">'SAC_IOF Ñ USAR'!J202</f>
        <v/>
      </c>
      <c r="K202" s="9" t="str">
        <f ca="1">'SAC_IOF Ñ USAR'!K202</f>
        <v/>
      </c>
      <c r="L202" s="9">
        <f ca="1">'SAC_IOF Ñ USAR'!L202</f>
        <v>9</v>
      </c>
      <c r="N202" s="176">
        <f t="shared" ca="1" si="37"/>
        <v>31</v>
      </c>
      <c r="O202" s="176">
        <f t="shared" ca="1" si="39"/>
        <v>5593</v>
      </c>
      <c r="P202" s="175">
        <f t="shared" ca="1" si="28"/>
        <v>834.39144798065388</v>
      </c>
      <c r="Q202" s="11">
        <f t="shared" ca="1" si="29"/>
        <v>2.9930000000000002E-2</v>
      </c>
      <c r="R202" s="12">
        <f t="shared" ca="1" si="30"/>
        <v>24.973336038060971</v>
      </c>
      <c r="S202" s="513"/>
      <c r="U202">
        <f t="shared" ca="1" si="40"/>
        <v>1266.6352029864665</v>
      </c>
      <c r="V202" s="31">
        <f t="shared" ca="1" si="41"/>
        <v>1326.552516126425</v>
      </c>
    </row>
    <row r="203" spans="1:22">
      <c r="A203" s="180">
        <f ca="1">'SAC_IOF Ñ USAR'!A203</f>
        <v>184</v>
      </c>
      <c r="B203" s="179">
        <f ca="1">'SAC_IOF Ñ USAR'!B203</f>
        <v>50343</v>
      </c>
      <c r="C203" s="177">
        <f t="shared" ca="1" si="31"/>
        <v>889.99100827727909</v>
      </c>
      <c r="D203" s="24">
        <f t="shared" ca="1" si="38"/>
        <v>368.45627743290072</v>
      </c>
      <c r="E203" s="177">
        <f t="shared" ca="1" si="32"/>
        <v>39159.604364199637</v>
      </c>
      <c r="F203" s="178">
        <f t="shared" ca="1" si="33"/>
        <v>8.410415028220152</v>
      </c>
      <c r="G203" s="178">
        <f t="shared" ca="1" si="34"/>
        <v>26.319999999999997</v>
      </c>
      <c r="H203" s="177">
        <f t="shared" ca="1" si="35"/>
        <v>25</v>
      </c>
      <c r="I203" s="25">
        <f t="shared" ca="1" si="36"/>
        <v>1318.1777007383998</v>
      </c>
      <c r="J203" s="9" t="str">
        <f ca="1">'SAC_IOF Ñ USAR'!J203</f>
        <v/>
      </c>
      <c r="K203" s="9" t="str">
        <f ca="1">'SAC_IOF Ñ USAR'!K203</f>
        <v/>
      </c>
      <c r="L203" s="9">
        <f ca="1">'SAC_IOF Ñ USAR'!L203</f>
        <v>10</v>
      </c>
      <c r="N203" s="176">
        <f t="shared" ca="1" si="37"/>
        <v>30</v>
      </c>
      <c r="O203" s="176">
        <f t="shared" ca="1" si="39"/>
        <v>5623</v>
      </c>
      <c r="P203" s="175">
        <f t="shared" ca="1" si="28"/>
        <v>834.39144798065388</v>
      </c>
      <c r="Q203" s="11">
        <f t="shared" ca="1" si="29"/>
        <v>2.9930000000000002E-2</v>
      </c>
      <c r="R203" s="12">
        <f t="shared" ca="1" si="30"/>
        <v>24.973336038060971</v>
      </c>
      <c r="S203" s="513"/>
      <c r="U203">
        <f t="shared" ca="1" si="40"/>
        <v>1258.4472857101798</v>
      </c>
      <c r="V203" s="31">
        <f t="shared" ca="1" si="41"/>
        <v>1318.1777007383998</v>
      </c>
    </row>
    <row r="204" spans="1:22">
      <c r="A204" s="180">
        <f ca="1">'SAC_IOF Ñ USAR'!A204</f>
        <v>185</v>
      </c>
      <c r="B204" s="179">
        <f ca="1">'SAC_IOF Ñ USAR'!B204</f>
        <v>50374</v>
      </c>
      <c r="C204" s="177">
        <f t="shared" ca="1" si="31"/>
        <v>889.99100827727909</v>
      </c>
      <c r="D204" s="24">
        <f t="shared" ca="1" si="38"/>
        <v>360.26836015661388</v>
      </c>
      <c r="E204" s="177">
        <f t="shared" ca="1" si="32"/>
        <v>38269.61335592236</v>
      </c>
      <c r="F204" s="178">
        <f t="shared" ca="1" si="33"/>
        <v>8.2235169164819233</v>
      </c>
      <c r="G204" s="178">
        <f t="shared" ca="1" si="34"/>
        <v>26.319999999999997</v>
      </c>
      <c r="H204" s="177">
        <f t="shared" ca="1" si="35"/>
        <v>25</v>
      </c>
      <c r="I204" s="25">
        <f t="shared" ca="1" si="36"/>
        <v>1309.8028853503749</v>
      </c>
      <c r="J204" s="9" t="str">
        <f ca="1">'SAC_IOF Ñ USAR'!J204</f>
        <v/>
      </c>
      <c r="K204" s="9" t="str">
        <f ca="1">'SAC_IOF Ñ USAR'!K204</f>
        <v/>
      </c>
      <c r="L204" s="9">
        <f ca="1">'SAC_IOF Ñ USAR'!L204</f>
        <v>11</v>
      </c>
      <c r="N204" s="176">
        <f t="shared" ca="1" si="37"/>
        <v>31</v>
      </c>
      <c r="O204" s="176">
        <f t="shared" ca="1" si="39"/>
        <v>5654</v>
      </c>
      <c r="P204" s="175">
        <f t="shared" ca="1" si="28"/>
        <v>834.39144798065388</v>
      </c>
      <c r="Q204" s="11">
        <f t="shared" ca="1" si="29"/>
        <v>2.9930000000000002E-2</v>
      </c>
      <c r="R204" s="12">
        <f t="shared" ca="1" si="30"/>
        <v>24.973336038060971</v>
      </c>
      <c r="S204" s="513"/>
      <c r="U204">
        <f t="shared" ca="1" si="40"/>
        <v>1250.2593684338931</v>
      </c>
      <c r="V204" s="31">
        <f t="shared" ca="1" si="41"/>
        <v>1309.8028853503749</v>
      </c>
    </row>
    <row r="205" spans="1:22">
      <c r="A205" s="180">
        <f ca="1">'SAC_IOF Ñ USAR'!A205</f>
        <v>186</v>
      </c>
      <c r="B205" s="179">
        <f ca="1">'SAC_IOF Ñ USAR'!B205</f>
        <v>50404</v>
      </c>
      <c r="C205" s="177">
        <f t="shared" ca="1" si="31"/>
        <v>889.99100827727909</v>
      </c>
      <c r="D205" s="24">
        <f t="shared" ca="1" si="38"/>
        <v>352.0804428803271</v>
      </c>
      <c r="E205" s="177">
        <f t="shared" ca="1" si="32"/>
        <v>37379.622347645083</v>
      </c>
      <c r="F205" s="178">
        <f t="shared" ca="1" si="33"/>
        <v>8.0366188047436964</v>
      </c>
      <c r="G205" s="178">
        <f t="shared" ca="1" si="34"/>
        <v>26.319999999999997</v>
      </c>
      <c r="H205" s="177">
        <f t="shared" ca="1" si="35"/>
        <v>25</v>
      </c>
      <c r="I205" s="25">
        <f t="shared" ca="1" si="36"/>
        <v>1301.4280699623498</v>
      </c>
      <c r="J205" s="9" t="str">
        <f ca="1">'SAC_IOF Ñ USAR'!J205</f>
        <v/>
      </c>
      <c r="K205" s="9" t="str">
        <f ca="1">'SAC_IOF Ñ USAR'!K205</f>
        <v/>
      </c>
      <c r="L205" s="9">
        <f ca="1">'SAC_IOF Ñ USAR'!L205</f>
        <v>12</v>
      </c>
      <c r="N205" s="176">
        <f t="shared" ca="1" si="37"/>
        <v>30</v>
      </c>
      <c r="O205" s="176">
        <f t="shared" ca="1" si="39"/>
        <v>5684</v>
      </c>
      <c r="P205" s="175">
        <f t="shared" ca="1" si="28"/>
        <v>834.39144798065388</v>
      </c>
      <c r="Q205" s="11">
        <f t="shared" ca="1" si="29"/>
        <v>2.9930000000000002E-2</v>
      </c>
      <c r="R205" s="12">
        <f t="shared" ca="1" si="30"/>
        <v>24.973336038060971</v>
      </c>
      <c r="S205" s="513"/>
      <c r="U205">
        <f t="shared" ca="1" si="40"/>
        <v>1242.0714511576061</v>
      </c>
      <c r="V205" s="31">
        <f t="shared" ca="1" si="41"/>
        <v>1301.4280699623498</v>
      </c>
    </row>
    <row r="206" spans="1:22">
      <c r="A206" s="180">
        <f ca="1">'SAC_IOF Ñ USAR'!A206</f>
        <v>187</v>
      </c>
      <c r="B206" s="179">
        <f ca="1">'SAC_IOF Ñ USAR'!B206</f>
        <v>50435</v>
      </c>
      <c r="C206" s="177">
        <f t="shared" ca="1" si="31"/>
        <v>889.99100827727909</v>
      </c>
      <c r="D206" s="24">
        <f t="shared" ca="1" si="38"/>
        <v>343.89252560404032</v>
      </c>
      <c r="E206" s="177">
        <f t="shared" ca="1" si="32"/>
        <v>36489.631339367807</v>
      </c>
      <c r="F206" s="178">
        <f t="shared" ca="1" si="33"/>
        <v>7.8497206930054677</v>
      </c>
      <c r="G206" s="178">
        <f t="shared" ca="1" si="34"/>
        <v>26.319999999999997</v>
      </c>
      <c r="H206" s="177">
        <f t="shared" ca="1" si="35"/>
        <v>25</v>
      </c>
      <c r="I206" s="25">
        <f t="shared" ca="1" si="36"/>
        <v>1293.0532545743249</v>
      </c>
      <c r="J206" s="9" t="str">
        <f ca="1">'SAC_IOF Ñ USAR'!J206</f>
        <v/>
      </c>
      <c r="K206" s="9" t="str">
        <f ca="1">'SAC_IOF Ñ USAR'!K206</f>
        <v/>
      </c>
      <c r="L206" s="9">
        <f ca="1">'SAC_IOF Ñ USAR'!L206</f>
        <v>1</v>
      </c>
      <c r="N206" s="176">
        <f t="shared" ca="1" si="37"/>
        <v>31</v>
      </c>
      <c r="O206" s="176">
        <f t="shared" ca="1" si="39"/>
        <v>5715</v>
      </c>
      <c r="P206" s="175">
        <f t="shared" ca="1" si="28"/>
        <v>834.39144798065388</v>
      </c>
      <c r="Q206" s="11">
        <f t="shared" ca="1" si="29"/>
        <v>2.9930000000000002E-2</v>
      </c>
      <c r="R206" s="12">
        <f t="shared" ca="1" si="30"/>
        <v>24.973336038060971</v>
      </c>
      <c r="S206" s="513"/>
      <c r="U206">
        <f t="shared" ca="1" si="40"/>
        <v>1233.8835338813194</v>
      </c>
      <c r="V206" s="31">
        <f t="shared" ca="1" si="41"/>
        <v>1293.0532545743249</v>
      </c>
    </row>
    <row r="207" spans="1:22">
      <c r="A207" s="180">
        <f ca="1">'SAC_IOF Ñ USAR'!A207</f>
        <v>188</v>
      </c>
      <c r="B207" s="179">
        <f ca="1">'SAC_IOF Ñ USAR'!B207</f>
        <v>50464</v>
      </c>
      <c r="C207" s="177">
        <f t="shared" ca="1" si="31"/>
        <v>889.99100827727909</v>
      </c>
      <c r="D207" s="24">
        <f t="shared" ca="1" si="38"/>
        <v>335.70460832775353</v>
      </c>
      <c r="E207" s="177">
        <f t="shared" ca="1" si="32"/>
        <v>35599.64033109053</v>
      </c>
      <c r="F207" s="178">
        <f t="shared" ca="1" si="33"/>
        <v>7.6628225812672399</v>
      </c>
      <c r="G207" s="178">
        <f t="shared" ca="1" si="34"/>
        <v>26.319999999999997</v>
      </c>
      <c r="H207" s="177">
        <f t="shared" ca="1" si="35"/>
        <v>25</v>
      </c>
      <c r="I207" s="25">
        <f t="shared" ca="1" si="36"/>
        <v>1284.6784391862998</v>
      </c>
      <c r="J207" s="9" t="str">
        <f ca="1">'SAC_IOF Ñ USAR'!J207</f>
        <v/>
      </c>
      <c r="K207" s="9" t="str">
        <f ca="1">'SAC_IOF Ñ USAR'!K207</f>
        <v/>
      </c>
      <c r="L207" s="9">
        <f ca="1">'SAC_IOF Ñ USAR'!L207</f>
        <v>2</v>
      </c>
      <c r="N207" s="176">
        <f t="shared" ca="1" si="37"/>
        <v>29</v>
      </c>
      <c r="O207" s="176">
        <f t="shared" ca="1" si="39"/>
        <v>5744</v>
      </c>
      <c r="P207" s="175">
        <f t="shared" ca="1" si="28"/>
        <v>834.39144798065388</v>
      </c>
      <c r="Q207" s="11">
        <f t="shared" ca="1" si="29"/>
        <v>2.9930000000000002E-2</v>
      </c>
      <c r="R207" s="12">
        <f t="shared" ca="1" si="30"/>
        <v>24.973336038060971</v>
      </c>
      <c r="S207" s="513"/>
      <c r="U207">
        <f t="shared" ca="1" si="40"/>
        <v>1225.6956166050327</v>
      </c>
      <c r="V207" s="31">
        <f t="shared" ca="1" si="41"/>
        <v>1284.6784391862998</v>
      </c>
    </row>
    <row r="208" spans="1:22">
      <c r="A208" s="180">
        <f ca="1">'SAC_IOF Ñ USAR'!A208</f>
        <v>189</v>
      </c>
      <c r="B208" s="179">
        <f ca="1">'SAC_IOF Ñ USAR'!B208</f>
        <v>50494</v>
      </c>
      <c r="C208" s="177">
        <f t="shared" ca="1" si="31"/>
        <v>889.99100827727909</v>
      </c>
      <c r="D208" s="24">
        <f t="shared" ca="1" si="38"/>
        <v>327.51669105146675</v>
      </c>
      <c r="E208" s="177">
        <f t="shared" ca="1" si="32"/>
        <v>34709.649322813253</v>
      </c>
      <c r="F208" s="178">
        <f t="shared" ca="1" si="33"/>
        <v>7.4759244695290112</v>
      </c>
      <c r="G208" s="178">
        <f t="shared" ca="1" si="34"/>
        <v>26.319999999999997</v>
      </c>
      <c r="H208" s="177">
        <f t="shared" ca="1" si="35"/>
        <v>25</v>
      </c>
      <c r="I208" s="25">
        <f t="shared" ca="1" si="36"/>
        <v>1276.3036237982747</v>
      </c>
      <c r="J208" s="9" t="str">
        <f ca="1">'SAC_IOF Ñ USAR'!J208</f>
        <v/>
      </c>
      <c r="K208" s="9" t="str">
        <f ca="1">'SAC_IOF Ñ USAR'!K208</f>
        <v/>
      </c>
      <c r="L208" s="9">
        <f ca="1">'SAC_IOF Ñ USAR'!L208</f>
        <v>3</v>
      </c>
      <c r="N208" s="176">
        <f t="shared" ca="1" si="37"/>
        <v>30</v>
      </c>
      <c r="O208" s="176">
        <f t="shared" ca="1" si="39"/>
        <v>5774</v>
      </c>
      <c r="P208" s="175">
        <f t="shared" ca="1" si="28"/>
        <v>834.39144798065388</v>
      </c>
      <c r="Q208" s="11">
        <f t="shared" ca="1" si="29"/>
        <v>2.9930000000000002E-2</v>
      </c>
      <c r="R208" s="12">
        <f t="shared" ca="1" si="30"/>
        <v>24.973336038060971</v>
      </c>
      <c r="S208" s="513"/>
      <c r="U208">
        <f t="shared" ca="1" si="40"/>
        <v>1217.5076993287457</v>
      </c>
      <c r="V208" s="31">
        <f t="shared" ca="1" si="41"/>
        <v>1276.3036237982747</v>
      </c>
    </row>
    <row r="209" spans="1:22">
      <c r="A209" s="180">
        <f ca="1">'SAC_IOF Ñ USAR'!A209</f>
        <v>190</v>
      </c>
      <c r="B209" s="179">
        <f ca="1">'SAC_IOF Ñ USAR'!B209</f>
        <v>50525</v>
      </c>
      <c r="C209" s="177">
        <f t="shared" ca="1" si="31"/>
        <v>889.99100827727909</v>
      </c>
      <c r="D209" s="24">
        <f t="shared" ca="1" si="38"/>
        <v>319.32877377517997</v>
      </c>
      <c r="E209" s="177">
        <f t="shared" ca="1" si="32"/>
        <v>33819.658314535976</v>
      </c>
      <c r="F209" s="178">
        <f t="shared" ca="1" si="33"/>
        <v>7.2890263577907835</v>
      </c>
      <c r="G209" s="178">
        <f t="shared" ca="1" si="34"/>
        <v>26.319999999999997</v>
      </c>
      <c r="H209" s="177">
        <f t="shared" ca="1" si="35"/>
        <v>25</v>
      </c>
      <c r="I209" s="25">
        <f t="shared" ca="1" si="36"/>
        <v>1267.9288084102498</v>
      </c>
      <c r="J209" s="9" t="str">
        <f ca="1">'SAC_IOF Ñ USAR'!J209</f>
        <v/>
      </c>
      <c r="K209" s="9" t="str">
        <f ca="1">'SAC_IOF Ñ USAR'!K209</f>
        <v/>
      </c>
      <c r="L209" s="9">
        <f ca="1">'SAC_IOF Ñ USAR'!L209</f>
        <v>4</v>
      </c>
      <c r="N209" s="176">
        <f t="shared" ca="1" si="37"/>
        <v>31</v>
      </c>
      <c r="O209" s="176">
        <f t="shared" ca="1" si="39"/>
        <v>5805</v>
      </c>
      <c r="P209" s="175">
        <f t="shared" ca="1" si="28"/>
        <v>834.39144798065388</v>
      </c>
      <c r="Q209" s="11">
        <f t="shared" ca="1" si="29"/>
        <v>2.9930000000000002E-2</v>
      </c>
      <c r="R209" s="12">
        <f t="shared" ca="1" si="30"/>
        <v>24.973336038060971</v>
      </c>
      <c r="S209" s="513"/>
      <c r="U209">
        <f t="shared" ca="1" si="40"/>
        <v>1209.319782052459</v>
      </c>
      <c r="V209" s="31">
        <f t="shared" ca="1" si="41"/>
        <v>1267.9288084102498</v>
      </c>
    </row>
    <row r="210" spans="1:22">
      <c r="A210" s="180">
        <f ca="1">'SAC_IOF Ñ USAR'!A210</f>
        <v>191</v>
      </c>
      <c r="B210" s="179">
        <f ca="1">'SAC_IOF Ñ USAR'!B210</f>
        <v>50555</v>
      </c>
      <c r="C210" s="177">
        <f t="shared" ca="1" si="31"/>
        <v>889.99100827727909</v>
      </c>
      <c r="D210" s="24">
        <f t="shared" ca="1" si="38"/>
        <v>311.14085649889313</v>
      </c>
      <c r="E210" s="177">
        <f t="shared" ca="1" si="32"/>
        <v>32929.6673062587</v>
      </c>
      <c r="F210" s="178">
        <f t="shared" ca="1" si="33"/>
        <v>7.1021282460525557</v>
      </c>
      <c r="G210" s="178">
        <f t="shared" ca="1" si="34"/>
        <v>26.319999999999997</v>
      </c>
      <c r="H210" s="177">
        <f t="shared" ca="1" si="35"/>
        <v>25</v>
      </c>
      <c r="I210" s="25">
        <f t="shared" ca="1" si="36"/>
        <v>1259.5539930222249</v>
      </c>
      <c r="J210" s="9" t="str">
        <f ca="1">'SAC_IOF Ñ USAR'!J210</f>
        <v/>
      </c>
      <c r="K210" s="9" t="str">
        <f ca="1">'SAC_IOF Ñ USAR'!K210</f>
        <v/>
      </c>
      <c r="L210" s="9">
        <f ca="1">'SAC_IOF Ñ USAR'!L210</f>
        <v>5</v>
      </c>
      <c r="N210" s="176">
        <f t="shared" ca="1" si="37"/>
        <v>30</v>
      </c>
      <c r="O210" s="176">
        <f t="shared" ca="1" si="39"/>
        <v>5835</v>
      </c>
      <c r="P210" s="175">
        <f t="shared" ref="P210:P273" ca="1" si="42">IF(A210&lt;&gt;"",$E$18/($C$8-$C$12-$D$13),"")</f>
        <v>834.39144798065388</v>
      </c>
      <c r="Q210" s="11">
        <f t="shared" ref="Q210:Q273" ca="1" si="43">IF(OR(A210="",J210="Carencia",K210="Pula"),"",IF(AND($F$5="PF",O210&lt;365),$I$3*O210,IF(AND($F$5="PF",O210&gt;=365),$I$3*365,IF(AND($F$5="PJ",O210&lt;365),$I$4*O210,IF(AND($F$5="PJ",O210&gt;=365),$I$4*365)))))</f>
        <v>2.9930000000000002E-2</v>
      </c>
      <c r="R210" s="12">
        <f t="shared" ref="R210:R273" ca="1" si="44">IFERROR(Q210*P210,"")</f>
        <v>24.973336038060971</v>
      </c>
      <c r="S210" s="513"/>
      <c r="U210">
        <f t="shared" ca="1" si="40"/>
        <v>1201.1318647761723</v>
      </c>
      <c r="V210" s="31">
        <f t="shared" ca="1" si="41"/>
        <v>1259.5539930222249</v>
      </c>
    </row>
    <row r="211" spans="1:22">
      <c r="A211" s="180">
        <f ca="1">'SAC_IOF Ñ USAR'!A211</f>
        <v>192</v>
      </c>
      <c r="B211" s="179">
        <f ca="1">'SAC_IOF Ñ USAR'!B211</f>
        <v>50586</v>
      </c>
      <c r="C211" s="177">
        <f t="shared" ref="C211:C274" ca="1" si="45">IFERROR(IF(OR(J211="Carencia",K211="Pula",A211=""),0,$I$13),"")</f>
        <v>889.99100827727909</v>
      </c>
      <c r="D211" s="24">
        <f t="shared" ca="1" si="38"/>
        <v>302.95293922260635</v>
      </c>
      <c r="E211" s="177">
        <f t="shared" ref="E211:E274" ca="1" si="46">IFERROR(IF(OR(J211="Carencia",K211="Pula"),E210+D211+SUM(F211:H211),(E210-C211)),"")</f>
        <v>32039.676297981419</v>
      </c>
      <c r="F211" s="178">
        <f t="shared" ref="F211:F274" ca="1" si="47">IFERROR(IF(OR(AND(DAY(B211)=DAY(B210),MONTH(B211)&lt;&gt;MONTH(B210)),MONTH(B211)&lt;&gt;MONTH(B210)),IF(K211="Pula",0,E210*$I$7),""),"")</f>
        <v>6.915230134314327</v>
      </c>
      <c r="G211" s="178">
        <f t="shared" ref="G211:G274" ca="1" si="48">IFERROR(IF(OR(AND(DAY(B211)=DAY(B210),MONTH(B211)&lt;&gt;MONTH(B210)),MONTH(B211)&lt;&gt;MONTH(B210)),IF(K211="Pula",0,$C$11*$I$8),0),"")</f>
        <v>26.319999999999997</v>
      </c>
      <c r="H211" s="177">
        <f t="shared" ref="H211:H274" ca="1" si="49">IFERROR(IF(OR(AND(DAY(B211)=DAY(B210),MONTH(B211)&lt;&gt;MONTH(B210)),MONTH(B211)&lt;&gt;MONTH(B210)),IF(K211="Pula",0,$I$10),0),"")</f>
        <v>25</v>
      </c>
      <c r="I211" s="25">
        <f t="shared" ref="I211:I274" ca="1" si="50">IFERROR(IF(OR(J211="Carencia",K211="Pula"),0,SUM(C211:D211,F211:H211)),"")</f>
        <v>1251.1791776341995</v>
      </c>
      <c r="J211" s="9" t="str">
        <f ca="1">'SAC_IOF Ñ USAR'!J211</f>
        <v/>
      </c>
      <c r="K211" s="9" t="str">
        <f ca="1">'SAC_IOF Ñ USAR'!K211</f>
        <v/>
      </c>
      <c r="L211" s="9">
        <f ca="1">'SAC_IOF Ñ USAR'!L211</f>
        <v>6</v>
      </c>
      <c r="N211" s="176">
        <f t="shared" ref="N211:N274" ca="1" si="51">IFERROR(B211-B210,"")</f>
        <v>31</v>
      </c>
      <c r="O211" s="176">
        <f t="shared" ca="1" si="39"/>
        <v>5866</v>
      </c>
      <c r="P211" s="175">
        <f t="shared" ca="1" si="42"/>
        <v>834.39144798065388</v>
      </c>
      <c r="Q211" s="11">
        <f t="shared" ca="1" si="43"/>
        <v>2.9930000000000002E-2</v>
      </c>
      <c r="R211" s="12">
        <f t="shared" ca="1" si="44"/>
        <v>24.973336038060971</v>
      </c>
      <c r="S211" s="513"/>
      <c r="U211">
        <f t="shared" ca="1" si="40"/>
        <v>1192.9439474998853</v>
      </c>
      <c r="V211" s="31">
        <f t="shared" ca="1" si="41"/>
        <v>1251.1791776341995</v>
      </c>
    </row>
    <row r="212" spans="1:22">
      <c r="A212" s="180">
        <f ca="1">'SAC_IOF Ñ USAR'!A212</f>
        <v>193</v>
      </c>
      <c r="B212" s="179">
        <f ca="1">'SAC_IOF Ñ USAR'!B212</f>
        <v>50616</v>
      </c>
      <c r="C212" s="177">
        <f t="shared" ca="1" si="45"/>
        <v>889.99100827727909</v>
      </c>
      <c r="D212" s="24">
        <f t="shared" ref="D212:D275" ca="1" si="52">IFERROR(IF(DAY(B212)=DAY(B211),IF(K212="Pula",0,($D$9)*E211),IF(AND(K212="Pula",J212=""),0,IF(AND($F$3=30,OR(AND(DAY(B211)=28,MONTH(B211)=2),AND(DAY(B211)=29,MONTH(B211)=2))),$D$9*E211,$D$9*E211))),"")</f>
        <v>294.76502194631951</v>
      </c>
      <c r="E212" s="177">
        <f t="shared" ca="1" si="46"/>
        <v>31149.685289704139</v>
      </c>
      <c r="F212" s="178">
        <f t="shared" ca="1" si="47"/>
        <v>6.7283320225760983</v>
      </c>
      <c r="G212" s="178">
        <f t="shared" ca="1" si="48"/>
        <v>26.319999999999997</v>
      </c>
      <c r="H212" s="177">
        <f t="shared" ca="1" si="49"/>
        <v>25</v>
      </c>
      <c r="I212" s="25">
        <f t="shared" ca="1" si="50"/>
        <v>1242.8043622461746</v>
      </c>
      <c r="J212" s="9" t="str">
        <f ca="1">'SAC_IOF Ñ USAR'!J212</f>
        <v/>
      </c>
      <c r="K212" s="9" t="str">
        <f ca="1">'SAC_IOF Ñ USAR'!K212</f>
        <v/>
      </c>
      <c r="L212" s="9">
        <f ca="1">'SAC_IOF Ñ USAR'!L212</f>
        <v>7</v>
      </c>
      <c r="N212" s="176">
        <f t="shared" ca="1" si="51"/>
        <v>30</v>
      </c>
      <c r="O212" s="176">
        <f t="shared" ref="O212:O275" ca="1" si="53">IFERROR(N212+O211,"")</f>
        <v>5896</v>
      </c>
      <c r="P212" s="175">
        <f t="shared" ca="1" si="42"/>
        <v>834.39144798065388</v>
      </c>
      <c r="Q212" s="11">
        <f t="shared" ca="1" si="43"/>
        <v>2.9930000000000002E-2</v>
      </c>
      <c r="R212" s="12">
        <f t="shared" ca="1" si="44"/>
        <v>24.973336038060971</v>
      </c>
      <c r="S212" s="513"/>
      <c r="U212">
        <f t="shared" ref="U212:U275" ca="1" si="54">IFERROR(IF(OR(J212="Carencia",K212="Pula"),0,C212+D212),"")</f>
        <v>1184.7560302235986</v>
      </c>
      <c r="V212" s="31">
        <f t="shared" ref="V212:V275" ca="1" si="55">IFERROR(I212,0)</f>
        <v>1242.8043622461746</v>
      </c>
    </row>
    <row r="213" spans="1:22">
      <c r="A213" s="180">
        <f ca="1">'SAC_IOF Ñ USAR'!A213</f>
        <v>194</v>
      </c>
      <c r="B213" s="179">
        <f ca="1">'SAC_IOF Ñ USAR'!B213</f>
        <v>50647</v>
      </c>
      <c r="C213" s="177">
        <f t="shared" ca="1" si="45"/>
        <v>889.99100827727909</v>
      </c>
      <c r="D213" s="24">
        <f t="shared" ca="1" si="52"/>
        <v>286.57710467003272</v>
      </c>
      <c r="E213" s="177">
        <f t="shared" ca="1" si="46"/>
        <v>30259.694281426859</v>
      </c>
      <c r="F213" s="178">
        <f t="shared" ca="1" si="47"/>
        <v>6.5414339108378696</v>
      </c>
      <c r="G213" s="178">
        <f t="shared" ca="1" si="48"/>
        <v>26.319999999999997</v>
      </c>
      <c r="H213" s="177">
        <f t="shared" ca="1" si="49"/>
        <v>25</v>
      </c>
      <c r="I213" s="25">
        <f t="shared" ca="1" si="50"/>
        <v>1234.4295468581497</v>
      </c>
      <c r="J213" s="9" t="str">
        <f ca="1">'SAC_IOF Ñ USAR'!J213</f>
        <v/>
      </c>
      <c r="K213" s="9" t="str">
        <f ca="1">'SAC_IOF Ñ USAR'!K213</f>
        <v/>
      </c>
      <c r="L213" s="9">
        <f ca="1">'SAC_IOF Ñ USAR'!L213</f>
        <v>8</v>
      </c>
      <c r="N213" s="176">
        <f t="shared" ca="1" si="51"/>
        <v>31</v>
      </c>
      <c r="O213" s="176">
        <f t="shared" ca="1" si="53"/>
        <v>5927</v>
      </c>
      <c r="P213" s="175">
        <f t="shared" ca="1" si="42"/>
        <v>834.39144798065388</v>
      </c>
      <c r="Q213" s="11">
        <f t="shared" ca="1" si="43"/>
        <v>2.9930000000000002E-2</v>
      </c>
      <c r="R213" s="12">
        <f t="shared" ca="1" si="44"/>
        <v>24.973336038060971</v>
      </c>
      <c r="S213" s="513"/>
      <c r="U213">
        <f t="shared" ca="1" si="54"/>
        <v>1176.5681129473119</v>
      </c>
      <c r="V213" s="31">
        <f t="shared" ca="1" si="55"/>
        <v>1234.4295468581497</v>
      </c>
    </row>
    <row r="214" spans="1:22">
      <c r="A214" s="180">
        <f ca="1">'SAC_IOF Ñ USAR'!A214</f>
        <v>195</v>
      </c>
      <c r="B214" s="179">
        <f ca="1">'SAC_IOF Ñ USAR'!B214</f>
        <v>50678</v>
      </c>
      <c r="C214" s="177">
        <f t="shared" ca="1" si="45"/>
        <v>889.99100827727909</v>
      </c>
      <c r="D214" s="24">
        <f t="shared" ca="1" si="52"/>
        <v>278.38918739374589</v>
      </c>
      <c r="E214" s="177">
        <f t="shared" ca="1" si="46"/>
        <v>29369.703273149578</v>
      </c>
      <c r="F214" s="178">
        <f t="shared" ca="1" si="47"/>
        <v>6.3545357990996409</v>
      </c>
      <c r="G214" s="178">
        <f t="shared" ca="1" si="48"/>
        <v>26.319999999999997</v>
      </c>
      <c r="H214" s="177">
        <f t="shared" ca="1" si="49"/>
        <v>25</v>
      </c>
      <c r="I214" s="25">
        <f t="shared" ca="1" si="50"/>
        <v>1226.0547314701246</v>
      </c>
      <c r="J214" s="9" t="str">
        <f ca="1">'SAC_IOF Ñ USAR'!J214</f>
        <v/>
      </c>
      <c r="K214" s="9" t="str">
        <f ca="1">'SAC_IOF Ñ USAR'!K214</f>
        <v/>
      </c>
      <c r="L214" s="9">
        <f ca="1">'SAC_IOF Ñ USAR'!L214</f>
        <v>9</v>
      </c>
      <c r="N214" s="176">
        <f t="shared" ca="1" si="51"/>
        <v>31</v>
      </c>
      <c r="O214" s="176">
        <f t="shared" ca="1" si="53"/>
        <v>5958</v>
      </c>
      <c r="P214" s="175">
        <f t="shared" ca="1" si="42"/>
        <v>834.39144798065388</v>
      </c>
      <c r="Q214" s="11">
        <f t="shared" ca="1" si="43"/>
        <v>2.9930000000000002E-2</v>
      </c>
      <c r="R214" s="12">
        <f t="shared" ca="1" si="44"/>
        <v>24.973336038060971</v>
      </c>
      <c r="S214" s="513"/>
      <c r="U214">
        <f t="shared" ca="1" si="54"/>
        <v>1168.3801956710249</v>
      </c>
      <c r="V214" s="31">
        <f t="shared" ca="1" si="55"/>
        <v>1226.0547314701246</v>
      </c>
    </row>
    <row r="215" spans="1:22">
      <c r="A215" s="180">
        <f ca="1">'SAC_IOF Ñ USAR'!A215</f>
        <v>196</v>
      </c>
      <c r="B215" s="179">
        <f ca="1">'SAC_IOF Ñ USAR'!B215</f>
        <v>50708</v>
      </c>
      <c r="C215" s="177">
        <f t="shared" ca="1" si="45"/>
        <v>889.99100827727909</v>
      </c>
      <c r="D215" s="24">
        <f t="shared" ca="1" si="52"/>
        <v>270.20127011745905</v>
      </c>
      <c r="E215" s="177">
        <f t="shared" ca="1" si="46"/>
        <v>28479.712264872298</v>
      </c>
      <c r="F215" s="178">
        <f t="shared" ca="1" si="47"/>
        <v>6.1676376873614114</v>
      </c>
      <c r="G215" s="178">
        <f t="shared" ca="1" si="48"/>
        <v>26.319999999999997</v>
      </c>
      <c r="H215" s="177">
        <f t="shared" ca="1" si="49"/>
        <v>25</v>
      </c>
      <c r="I215" s="25">
        <f t="shared" ca="1" si="50"/>
        <v>1217.6799160820995</v>
      </c>
      <c r="J215" s="9" t="str">
        <f ca="1">'SAC_IOF Ñ USAR'!J215</f>
        <v/>
      </c>
      <c r="K215" s="9" t="str">
        <f ca="1">'SAC_IOF Ñ USAR'!K215</f>
        <v/>
      </c>
      <c r="L215" s="9">
        <f ca="1">'SAC_IOF Ñ USAR'!L215</f>
        <v>10</v>
      </c>
      <c r="N215" s="176">
        <f t="shared" ca="1" si="51"/>
        <v>30</v>
      </c>
      <c r="O215" s="176">
        <f t="shared" ca="1" si="53"/>
        <v>5988</v>
      </c>
      <c r="P215" s="175">
        <f t="shared" ca="1" si="42"/>
        <v>834.39144798065388</v>
      </c>
      <c r="Q215" s="11">
        <f t="shared" ca="1" si="43"/>
        <v>2.9930000000000002E-2</v>
      </c>
      <c r="R215" s="12">
        <f t="shared" ca="1" si="44"/>
        <v>24.973336038060971</v>
      </c>
      <c r="S215" s="513"/>
      <c r="U215">
        <f t="shared" ca="1" si="54"/>
        <v>1160.1922783947382</v>
      </c>
      <c r="V215" s="31">
        <f t="shared" ca="1" si="55"/>
        <v>1217.6799160820995</v>
      </c>
    </row>
    <row r="216" spans="1:22">
      <c r="A216" s="180">
        <f ca="1">'SAC_IOF Ñ USAR'!A216</f>
        <v>197</v>
      </c>
      <c r="B216" s="179">
        <f ca="1">'SAC_IOF Ñ USAR'!B216</f>
        <v>50739</v>
      </c>
      <c r="C216" s="177">
        <f t="shared" ca="1" si="45"/>
        <v>889.99100827727909</v>
      </c>
      <c r="D216" s="24">
        <f t="shared" ca="1" si="52"/>
        <v>262.01335284117221</v>
      </c>
      <c r="E216" s="177">
        <f t="shared" ca="1" si="46"/>
        <v>27589.721256595018</v>
      </c>
      <c r="F216" s="178">
        <f t="shared" ca="1" si="47"/>
        <v>5.9807395756231827</v>
      </c>
      <c r="G216" s="178">
        <f t="shared" ca="1" si="48"/>
        <v>26.319999999999997</v>
      </c>
      <c r="H216" s="177">
        <f t="shared" ca="1" si="49"/>
        <v>25</v>
      </c>
      <c r="I216" s="25">
        <f t="shared" ca="1" si="50"/>
        <v>1209.3051006940743</v>
      </c>
      <c r="J216" s="9" t="str">
        <f ca="1">'SAC_IOF Ñ USAR'!J216</f>
        <v/>
      </c>
      <c r="K216" s="9" t="str">
        <f ca="1">'SAC_IOF Ñ USAR'!K216</f>
        <v/>
      </c>
      <c r="L216" s="9">
        <f ca="1">'SAC_IOF Ñ USAR'!L216</f>
        <v>11</v>
      </c>
      <c r="N216" s="176">
        <f t="shared" ca="1" si="51"/>
        <v>31</v>
      </c>
      <c r="O216" s="176">
        <f t="shared" ca="1" si="53"/>
        <v>6019</v>
      </c>
      <c r="P216" s="175">
        <f t="shared" ca="1" si="42"/>
        <v>834.39144798065388</v>
      </c>
      <c r="Q216" s="11">
        <f t="shared" ca="1" si="43"/>
        <v>2.9930000000000002E-2</v>
      </c>
      <c r="R216" s="12">
        <f t="shared" ca="1" si="44"/>
        <v>24.973336038060971</v>
      </c>
      <c r="S216" s="513"/>
      <c r="U216">
        <f t="shared" ca="1" si="54"/>
        <v>1152.0043611184512</v>
      </c>
      <c r="V216" s="31">
        <f t="shared" ca="1" si="55"/>
        <v>1209.3051006940743</v>
      </c>
    </row>
    <row r="217" spans="1:22">
      <c r="A217" s="180">
        <f ca="1">'SAC_IOF Ñ USAR'!A217</f>
        <v>198</v>
      </c>
      <c r="B217" s="179">
        <f ca="1">'SAC_IOF Ñ USAR'!B217</f>
        <v>50769</v>
      </c>
      <c r="C217" s="177">
        <f t="shared" ca="1" si="45"/>
        <v>889.99100827727909</v>
      </c>
      <c r="D217" s="24">
        <f t="shared" ca="1" si="52"/>
        <v>253.8254355648854</v>
      </c>
      <c r="E217" s="177">
        <f t="shared" ca="1" si="46"/>
        <v>26699.730248317737</v>
      </c>
      <c r="F217" s="178">
        <f t="shared" ca="1" si="47"/>
        <v>5.793841463884954</v>
      </c>
      <c r="G217" s="178">
        <f t="shared" ca="1" si="48"/>
        <v>26.319999999999997</v>
      </c>
      <c r="H217" s="177">
        <f t="shared" ca="1" si="49"/>
        <v>25</v>
      </c>
      <c r="I217" s="25">
        <f t="shared" ca="1" si="50"/>
        <v>1200.9302853060494</v>
      </c>
      <c r="J217" s="9" t="str">
        <f ca="1">'SAC_IOF Ñ USAR'!J217</f>
        <v/>
      </c>
      <c r="K217" s="9" t="str">
        <f ca="1">'SAC_IOF Ñ USAR'!K217</f>
        <v/>
      </c>
      <c r="L217" s="9">
        <f ca="1">'SAC_IOF Ñ USAR'!L217</f>
        <v>12</v>
      </c>
      <c r="N217" s="176">
        <f t="shared" ca="1" si="51"/>
        <v>30</v>
      </c>
      <c r="O217" s="176">
        <f t="shared" ca="1" si="53"/>
        <v>6049</v>
      </c>
      <c r="P217" s="175">
        <f t="shared" ca="1" si="42"/>
        <v>834.39144798065388</v>
      </c>
      <c r="Q217" s="11">
        <f t="shared" ca="1" si="43"/>
        <v>2.9930000000000002E-2</v>
      </c>
      <c r="R217" s="12">
        <f t="shared" ca="1" si="44"/>
        <v>24.973336038060971</v>
      </c>
      <c r="S217" s="513"/>
      <c r="U217">
        <f t="shared" ca="1" si="54"/>
        <v>1143.8164438421645</v>
      </c>
      <c r="V217" s="31">
        <f t="shared" ca="1" si="55"/>
        <v>1200.9302853060494</v>
      </c>
    </row>
    <row r="218" spans="1:22">
      <c r="A218" s="180">
        <f ca="1">'SAC_IOF Ñ USAR'!A218</f>
        <v>199</v>
      </c>
      <c r="B218" s="179">
        <f ca="1">'SAC_IOF Ñ USAR'!B218</f>
        <v>50800</v>
      </c>
      <c r="C218" s="177">
        <f t="shared" ca="1" si="45"/>
        <v>889.99100827727909</v>
      </c>
      <c r="D218" s="24">
        <f t="shared" ca="1" si="52"/>
        <v>245.63751828859859</v>
      </c>
      <c r="E218" s="177">
        <f t="shared" ca="1" si="46"/>
        <v>25809.739240040457</v>
      </c>
      <c r="F218" s="178">
        <f t="shared" ca="1" si="47"/>
        <v>5.6069433521467253</v>
      </c>
      <c r="G218" s="178">
        <f t="shared" ca="1" si="48"/>
        <v>26.319999999999997</v>
      </c>
      <c r="H218" s="177">
        <f t="shared" ca="1" si="49"/>
        <v>25</v>
      </c>
      <c r="I218" s="25">
        <f t="shared" ca="1" si="50"/>
        <v>1192.5554699180243</v>
      </c>
      <c r="J218" s="9" t="str">
        <f ca="1">'SAC_IOF Ñ USAR'!J218</f>
        <v/>
      </c>
      <c r="K218" s="9" t="str">
        <f ca="1">'SAC_IOF Ñ USAR'!K218</f>
        <v/>
      </c>
      <c r="L218" s="9">
        <f ca="1">'SAC_IOF Ñ USAR'!L218</f>
        <v>1</v>
      </c>
      <c r="N218" s="176">
        <f t="shared" ca="1" si="51"/>
        <v>31</v>
      </c>
      <c r="O218" s="176">
        <f t="shared" ca="1" si="53"/>
        <v>6080</v>
      </c>
      <c r="P218" s="175">
        <f t="shared" ca="1" si="42"/>
        <v>834.39144798065388</v>
      </c>
      <c r="Q218" s="11">
        <f t="shared" ca="1" si="43"/>
        <v>2.9930000000000002E-2</v>
      </c>
      <c r="R218" s="12">
        <f t="shared" ca="1" si="44"/>
        <v>24.973336038060971</v>
      </c>
      <c r="S218" s="513"/>
      <c r="U218">
        <f t="shared" ca="1" si="54"/>
        <v>1135.6285265658776</v>
      </c>
      <c r="V218" s="31">
        <f t="shared" ca="1" si="55"/>
        <v>1192.5554699180243</v>
      </c>
    </row>
    <row r="219" spans="1:22">
      <c r="A219" s="180">
        <f ca="1">'SAC_IOF Ñ USAR'!A219</f>
        <v>200</v>
      </c>
      <c r="B219" s="179">
        <f ca="1">'SAC_IOF Ñ USAR'!B219</f>
        <v>50829</v>
      </c>
      <c r="C219" s="177">
        <f t="shared" ca="1" si="45"/>
        <v>889.99100827727909</v>
      </c>
      <c r="D219" s="24">
        <f t="shared" ca="1" si="52"/>
        <v>237.44960101231175</v>
      </c>
      <c r="E219" s="177">
        <f t="shared" ca="1" si="46"/>
        <v>24919.748231763177</v>
      </c>
      <c r="F219" s="178">
        <f t="shared" ca="1" si="47"/>
        <v>5.4200452404084958</v>
      </c>
      <c r="G219" s="178">
        <f t="shared" ca="1" si="48"/>
        <v>26.319999999999997</v>
      </c>
      <c r="H219" s="177">
        <f t="shared" ca="1" si="49"/>
        <v>25</v>
      </c>
      <c r="I219" s="25">
        <f t="shared" ca="1" si="50"/>
        <v>1184.1806545299992</v>
      </c>
      <c r="J219" s="9" t="str">
        <f ca="1">'SAC_IOF Ñ USAR'!J219</f>
        <v/>
      </c>
      <c r="K219" s="9" t="str">
        <f ca="1">'SAC_IOF Ñ USAR'!K219</f>
        <v/>
      </c>
      <c r="L219" s="9">
        <f ca="1">'SAC_IOF Ñ USAR'!L219</f>
        <v>2</v>
      </c>
      <c r="N219" s="176">
        <f t="shared" ca="1" si="51"/>
        <v>29</v>
      </c>
      <c r="O219" s="176">
        <f t="shared" ca="1" si="53"/>
        <v>6109</v>
      </c>
      <c r="P219" s="175">
        <f t="shared" ca="1" si="42"/>
        <v>834.39144798065388</v>
      </c>
      <c r="Q219" s="11">
        <f t="shared" ca="1" si="43"/>
        <v>2.9930000000000002E-2</v>
      </c>
      <c r="R219" s="12">
        <f t="shared" ca="1" si="44"/>
        <v>24.973336038060971</v>
      </c>
      <c r="S219" s="513"/>
      <c r="U219">
        <f t="shared" ca="1" si="54"/>
        <v>1127.4406092895908</v>
      </c>
      <c r="V219" s="31">
        <f t="shared" ca="1" si="55"/>
        <v>1184.1806545299992</v>
      </c>
    </row>
    <row r="220" spans="1:22">
      <c r="A220" s="180">
        <f ca="1">'SAC_IOF Ñ USAR'!A220</f>
        <v>201</v>
      </c>
      <c r="B220" s="179">
        <f ca="1">'SAC_IOF Ñ USAR'!B220</f>
        <v>50859</v>
      </c>
      <c r="C220" s="177">
        <f t="shared" ca="1" si="45"/>
        <v>889.99100827727909</v>
      </c>
      <c r="D220" s="24">
        <f t="shared" ca="1" si="52"/>
        <v>229.26168373602493</v>
      </c>
      <c r="E220" s="177">
        <f t="shared" ca="1" si="46"/>
        <v>24029.757223485896</v>
      </c>
      <c r="F220" s="178">
        <f t="shared" ca="1" si="47"/>
        <v>5.2331471286702671</v>
      </c>
      <c r="G220" s="178">
        <f t="shared" ca="1" si="48"/>
        <v>26.319999999999997</v>
      </c>
      <c r="H220" s="177">
        <f t="shared" ca="1" si="49"/>
        <v>25</v>
      </c>
      <c r="I220" s="25">
        <f t="shared" ca="1" si="50"/>
        <v>1175.8058391419743</v>
      </c>
      <c r="J220" s="9" t="str">
        <f ca="1">'SAC_IOF Ñ USAR'!J220</f>
        <v/>
      </c>
      <c r="K220" s="9" t="str">
        <f ca="1">'SAC_IOF Ñ USAR'!K220</f>
        <v/>
      </c>
      <c r="L220" s="9">
        <f ca="1">'SAC_IOF Ñ USAR'!L220</f>
        <v>3</v>
      </c>
      <c r="N220" s="176">
        <f t="shared" ca="1" si="51"/>
        <v>30</v>
      </c>
      <c r="O220" s="176">
        <f t="shared" ca="1" si="53"/>
        <v>6139</v>
      </c>
      <c r="P220" s="175">
        <f t="shared" ca="1" si="42"/>
        <v>834.39144798065388</v>
      </c>
      <c r="Q220" s="11">
        <f t="shared" ca="1" si="43"/>
        <v>2.9930000000000002E-2</v>
      </c>
      <c r="R220" s="12">
        <f t="shared" ca="1" si="44"/>
        <v>24.973336038060971</v>
      </c>
      <c r="S220" s="513"/>
      <c r="U220">
        <f t="shared" ca="1" si="54"/>
        <v>1119.2526920133041</v>
      </c>
      <c r="V220" s="31">
        <f t="shared" ca="1" si="55"/>
        <v>1175.8058391419743</v>
      </c>
    </row>
    <row r="221" spans="1:22">
      <c r="A221" s="180">
        <f ca="1">'SAC_IOF Ñ USAR'!A221</f>
        <v>202</v>
      </c>
      <c r="B221" s="179">
        <f ca="1">'SAC_IOF Ñ USAR'!B221</f>
        <v>50890</v>
      </c>
      <c r="C221" s="177">
        <f t="shared" ca="1" si="45"/>
        <v>889.99100827727909</v>
      </c>
      <c r="D221" s="24">
        <f t="shared" ca="1" si="52"/>
        <v>221.0737664597381</v>
      </c>
      <c r="E221" s="177">
        <f t="shared" ca="1" si="46"/>
        <v>23139.766215208616</v>
      </c>
      <c r="F221" s="178">
        <f t="shared" ca="1" si="47"/>
        <v>5.0462490169320384</v>
      </c>
      <c r="G221" s="178">
        <f t="shared" ca="1" si="48"/>
        <v>26.319999999999997</v>
      </c>
      <c r="H221" s="177">
        <f t="shared" ca="1" si="49"/>
        <v>25</v>
      </c>
      <c r="I221" s="25">
        <f t="shared" ca="1" si="50"/>
        <v>1167.4310237539491</v>
      </c>
      <c r="J221" s="9" t="str">
        <f ca="1">'SAC_IOF Ñ USAR'!J221</f>
        <v/>
      </c>
      <c r="K221" s="9" t="str">
        <f ca="1">'SAC_IOF Ñ USAR'!K221</f>
        <v/>
      </c>
      <c r="L221" s="9">
        <f ca="1">'SAC_IOF Ñ USAR'!L221</f>
        <v>4</v>
      </c>
      <c r="N221" s="176">
        <f t="shared" ca="1" si="51"/>
        <v>31</v>
      </c>
      <c r="O221" s="176">
        <f t="shared" ca="1" si="53"/>
        <v>6170</v>
      </c>
      <c r="P221" s="175">
        <f t="shared" ca="1" si="42"/>
        <v>834.39144798065388</v>
      </c>
      <c r="Q221" s="11">
        <f t="shared" ca="1" si="43"/>
        <v>2.9930000000000002E-2</v>
      </c>
      <c r="R221" s="12">
        <f t="shared" ca="1" si="44"/>
        <v>24.973336038060971</v>
      </c>
      <c r="S221" s="513"/>
      <c r="U221">
        <f t="shared" ca="1" si="54"/>
        <v>1111.0647747370172</v>
      </c>
      <c r="V221" s="31">
        <f t="shared" ca="1" si="55"/>
        <v>1167.4310237539491</v>
      </c>
    </row>
    <row r="222" spans="1:22">
      <c r="A222" s="180">
        <f ca="1">'SAC_IOF Ñ USAR'!A222</f>
        <v>203</v>
      </c>
      <c r="B222" s="179">
        <f ca="1">'SAC_IOF Ñ USAR'!B222</f>
        <v>50920</v>
      </c>
      <c r="C222" s="177">
        <f t="shared" ca="1" si="45"/>
        <v>889.99100827727909</v>
      </c>
      <c r="D222" s="24">
        <f t="shared" ca="1" si="52"/>
        <v>212.88584918345128</v>
      </c>
      <c r="E222" s="177">
        <f t="shared" ca="1" si="46"/>
        <v>22249.775206931336</v>
      </c>
      <c r="F222" s="178">
        <f t="shared" ca="1" si="47"/>
        <v>4.8593509051938097</v>
      </c>
      <c r="G222" s="178">
        <f t="shared" ca="1" si="48"/>
        <v>26.319999999999997</v>
      </c>
      <c r="H222" s="177">
        <f t="shared" ca="1" si="49"/>
        <v>25</v>
      </c>
      <c r="I222" s="25">
        <f t="shared" ca="1" si="50"/>
        <v>1159.0562083659242</v>
      </c>
      <c r="J222" s="9" t="str">
        <f ca="1">'SAC_IOF Ñ USAR'!J222</f>
        <v/>
      </c>
      <c r="K222" s="9" t="str">
        <f ca="1">'SAC_IOF Ñ USAR'!K222</f>
        <v/>
      </c>
      <c r="L222" s="9">
        <f ca="1">'SAC_IOF Ñ USAR'!L222</f>
        <v>5</v>
      </c>
      <c r="N222" s="176">
        <f t="shared" ca="1" si="51"/>
        <v>30</v>
      </c>
      <c r="O222" s="176">
        <f t="shared" ca="1" si="53"/>
        <v>6200</v>
      </c>
      <c r="P222" s="175">
        <f t="shared" ca="1" si="42"/>
        <v>834.39144798065388</v>
      </c>
      <c r="Q222" s="11">
        <f t="shared" ca="1" si="43"/>
        <v>2.9930000000000002E-2</v>
      </c>
      <c r="R222" s="12">
        <f t="shared" ca="1" si="44"/>
        <v>24.973336038060971</v>
      </c>
      <c r="S222" s="513"/>
      <c r="U222">
        <f t="shared" ca="1" si="54"/>
        <v>1102.8768574607304</v>
      </c>
      <c r="V222" s="31">
        <f t="shared" ca="1" si="55"/>
        <v>1159.0562083659242</v>
      </c>
    </row>
    <row r="223" spans="1:22">
      <c r="A223" s="180">
        <f ca="1">'SAC_IOF Ñ USAR'!A223</f>
        <v>204</v>
      </c>
      <c r="B223" s="179">
        <f ca="1">'SAC_IOF Ñ USAR'!B223</f>
        <v>50951</v>
      </c>
      <c r="C223" s="177">
        <f t="shared" ca="1" si="45"/>
        <v>889.99100827727909</v>
      </c>
      <c r="D223" s="24">
        <f t="shared" ca="1" si="52"/>
        <v>204.69793190716445</v>
      </c>
      <c r="E223" s="177">
        <f t="shared" ca="1" si="46"/>
        <v>21359.784198654055</v>
      </c>
      <c r="F223" s="178">
        <f t="shared" ca="1" si="47"/>
        <v>4.6724527934555811</v>
      </c>
      <c r="G223" s="178">
        <f t="shared" ca="1" si="48"/>
        <v>26.319999999999997</v>
      </c>
      <c r="H223" s="177">
        <f t="shared" ca="1" si="49"/>
        <v>25</v>
      </c>
      <c r="I223" s="25">
        <f t="shared" ca="1" si="50"/>
        <v>1150.6813929778989</v>
      </c>
      <c r="J223" s="9" t="str">
        <f ca="1">'SAC_IOF Ñ USAR'!J223</f>
        <v/>
      </c>
      <c r="K223" s="9" t="str">
        <f ca="1">'SAC_IOF Ñ USAR'!K223</f>
        <v/>
      </c>
      <c r="L223" s="9">
        <f ca="1">'SAC_IOF Ñ USAR'!L223</f>
        <v>6</v>
      </c>
      <c r="N223" s="176">
        <f t="shared" ca="1" si="51"/>
        <v>31</v>
      </c>
      <c r="O223" s="176">
        <f t="shared" ca="1" si="53"/>
        <v>6231</v>
      </c>
      <c r="P223" s="175">
        <f t="shared" ca="1" si="42"/>
        <v>834.39144798065388</v>
      </c>
      <c r="Q223" s="11">
        <f t="shared" ca="1" si="43"/>
        <v>2.9930000000000002E-2</v>
      </c>
      <c r="R223" s="12">
        <f t="shared" ca="1" si="44"/>
        <v>24.973336038060971</v>
      </c>
      <c r="S223" s="513"/>
      <c r="U223">
        <f t="shared" ca="1" si="54"/>
        <v>1094.6889401844435</v>
      </c>
      <c r="V223" s="31">
        <f t="shared" ca="1" si="55"/>
        <v>1150.6813929778989</v>
      </c>
    </row>
    <row r="224" spans="1:22">
      <c r="A224" s="180">
        <f ca="1">'SAC_IOF Ñ USAR'!A224</f>
        <v>205</v>
      </c>
      <c r="B224" s="179">
        <f ca="1">'SAC_IOF Ñ USAR'!B224</f>
        <v>50981</v>
      </c>
      <c r="C224" s="177">
        <f t="shared" ca="1" si="45"/>
        <v>889.99100827727909</v>
      </c>
      <c r="D224" s="24">
        <f t="shared" ca="1" si="52"/>
        <v>196.51001463087763</v>
      </c>
      <c r="E224" s="177">
        <f t="shared" ca="1" si="46"/>
        <v>20469.793190376775</v>
      </c>
      <c r="F224" s="178">
        <f t="shared" ca="1" si="47"/>
        <v>4.4855546817173515</v>
      </c>
      <c r="G224" s="178">
        <f t="shared" ca="1" si="48"/>
        <v>26.319999999999997</v>
      </c>
      <c r="H224" s="177">
        <f t="shared" ca="1" si="49"/>
        <v>25</v>
      </c>
      <c r="I224" s="25">
        <f t="shared" ca="1" si="50"/>
        <v>1142.306577589874</v>
      </c>
      <c r="J224" s="9" t="str">
        <f ca="1">'SAC_IOF Ñ USAR'!J224</f>
        <v/>
      </c>
      <c r="K224" s="9" t="str">
        <f ca="1">'SAC_IOF Ñ USAR'!K224</f>
        <v/>
      </c>
      <c r="L224" s="9">
        <f ca="1">'SAC_IOF Ñ USAR'!L224</f>
        <v>7</v>
      </c>
      <c r="N224" s="176">
        <f t="shared" ca="1" si="51"/>
        <v>30</v>
      </c>
      <c r="O224" s="176">
        <f t="shared" ca="1" si="53"/>
        <v>6261</v>
      </c>
      <c r="P224" s="175">
        <f t="shared" ca="1" si="42"/>
        <v>834.39144798065388</v>
      </c>
      <c r="Q224" s="11">
        <f t="shared" ca="1" si="43"/>
        <v>2.9930000000000002E-2</v>
      </c>
      <c r="R224" s="12">
        <f t="shared" ca="1" si="44"/>
        <v>24.973336038060971</v>
      </c>
      <c r="S224" s="513"/>
      <c r="U224">
        <f t="shared" ca="1" si="54"/>
        <v>1086.5010229081568</v>
      </c>
      <c r="V224" s="31">
        <f t="shared" ca="1" si="55"/>
        <v>1142.306577589874</v>
      </c>
    </row>
    <row r="225" spans="1:22">
      <c r="A225" s="180">
        <f ca="1">'SAC_IOF Ñ USAR'!A225</f>
        <v>206</v>
      </c>
      <c r="B225" s="179">
        <f ca="1">'SAC_IOF Ñ USAR'!B225</f>
        <v>51012</v>
      </c>
      <c r="C225" s="177">
        <f t="shared" ca="1" si="45"/>
        <v>889.99100827727909</v>
      </c>
      <c r="D225" s="24">
        <f t="shared" ca="1" si="52"/>
        <v>188.3220973545908</v>
      </c>
      <c r="E225" s="177">
        <f t="shared" ca="1" si="46"/>
        <v>19579.802182099495</v>
      </c>
      <c r="F225" s="178">
        <f t="shared" ca="1" si="47"/>
        <v>4.2986565699791228</v>
      </c>
      <c r="G225" s="178">
        <f t="shared" ca="1" si="48"/>
        <v>26.319999999999997</v>
      </c>
      <c r="H225" s="177">
        <f t="shared" ca="1" si="49"/>
        <v>25</v>
      </c>
      <c r="I225" s="25">
        <f t="shared" ca="1" si="50"/>
        <v>1133.9317622018489</v>
      </c>
      <c r="J225" s="9" t="str">
        <f ca="1">'SAC_IOF Ñ USAR'!J225</f>
        <v/>
      </c>
      <c r="K225" s="9" t="str">
        <f ca="1">'SAC_IOF Ñ USAR'!K225</f>
        <v/>
      </c>
      <c r="L225" s="9">
        <f ca="1">'SAC_IOF Ñ USAR'!L225</f>
        <v>8</v>
      </c>
      <c r="N225" s="176">
        <f t="shared" ca="1" si="51"/>
        <v>31</v>
      </c>
      <c r="O225" s="176">
        <f t="shared" ca="1" si="53"/>
        <v>6292</v>
      </c>
      <c r="P225" s="175">
        <f t="shared" ca="1" si="42"/>
        <v>834.39144798065388</v>
      </c>
      <c r="Q225" s="11">
        <f t="shared" ca="1" si="43"/>
        <v>2.9930000000000002E-2</v>
      </c>
      <c r="R225" s="12">
        <f t="shared" ca="1" si="44"/>
        <v>24.973336038060971</v>
      </c>
      <c r="S225" s="513"/>
      <c r="U225">
        <f t="shared" ca="1" si="54"/>
        <v>1078.3131056318698</v>
      </c>
      <c r="V225" s="31">
        <f t="shared" ca="1" si="55"/>
        <v>1133.9317622018489</v>
      </c>
    </row>
    <row r="226" spans="1:22">
      <c r="A226" s="180">
        <f ca="1">'SAC_IOF Ñ USAR'!A226</f>
        <v>207</v>
      </c>
      <c r="B226" s="179">
        <f ca="1">'SAC_IOF Ñ USAR'!B226</f>
        <v>51043</v>
      </c>
      <c r="C226" s="177">
        <f t="shared" ca="1" si="45"/>
        <v>889.99100827727909</v>
      </c>
      <c r="D226" s="24">
        <f t="shared" ca="1" si="52"/>
        <v>180.13418007830398</v>
      </c>
      <c r="E226" s="177">
        <f t="shared" ca="1" si="46"/>
        <v>18689.811173822214</v>
      </c>
      <c r="F226" s="178">
        <f t="shared" ca="1" si="47"/>
        <v>4.1117584582408941</v>
      </c>
      <c r="G226" s="178">
        <f t="shared" ca="1" si="48"/>
        <v>26.319999999999997</v>
      </c>
      <c r="H226" s="177">
        <f t="shared" ca="1" si="49"/>
        <v>25</v>
      </c>
      <c r="I226" s="25">
        <f t="shared" ca="1" si="50"/>
        <v>1125.556946813824</v>
      </c>
      <c r="J226" s="9" t="str">
        <f ca="1">'SAC_IOF Ñ USAR'!J226</f>
        <v/>
      </c>
      <c r="K226" s="9" t="str">
        <f ca="1">'SAC_IOF Ñ USAR'!K226</f>
        <v/>
      </c>
      <c r="L226" s="9">
        <f ca="1">'SAC_IOF Ñ USAR'!L226</f>
        <v>9</v>
      </c>
      <c r="N226" s="176">
        <f t="shared" ca="1" si="51"/>
        <v>31</v>
      </c>
      <c r="O226" s="176">
        <f t="shared" ca="1" si="53"/>
        <v>6323</v>
      </c>
      <c r="P226" s="175">
        <f t="shared" ca="1" si="42"/>
        <v>834.39144798065388</v>
      </c>
      <c r="Q226" s="11">
        <f t="shared" ca="1" si="43"/>
        <v>2.9930000000000002E-2</v>
      </c>
      <c r="R226" s="12">
        <f t="shared" ca="1" si="44"/>
        <v>24.973336038060971</v>
      </c>
      <c r="S226" s="513"/>
      <c r="U226">
        <f t="shared" ca="1" si="54"/>
        <v>1070.1251883555831</v>
      </c>
      <c r="V226" s="31">
        <f t="shared" ca="1" si="55"/>
        <v>1125.556946813824</v>
      </c>
    </row>
    <row r="227" spans="1:22">
      <c r="A227" s="180">
        <f ca="1">'SAC_IOF Ñ USAR'!A227</f>
        <v>208</v>
      </c>
      <c r="B227" s="179">
        <f ca="1">'SAC_IOF Ñ USAR'!B227</f>
        <v>51073</v>
      </c>
      <c r="C227" s="177">
        <f t="shared" ca="1" si="45"/>
        <v>889.99100827727909</v>
      </c>
      <c r="D227" s="24">
        <f t="shared" ca="1" si="52"/>
        <v>171.94626280201715</v>
      </c>
      <c r="E227" s="177">
        <f t="shared" ca="1" si="46"/>
        <v>17799.820165544934</v>
      </c>
      <c r="F227" s="178">
        <f t="shared" ca="1" si="47"/>
        <v>3.924860346502665</v>
      </c>
      <c r="G227" s="178">
        <f t="shared" ca="1" si="48"/>
        <v>26.319999999999997</v>
      </c>
      <c r="H227" s="177">
        <f t="shared" ca="1" si="49"/>
        <v>25</v>
      </c>
      <c r="I227" s="25">
        <f t="shared" ca="1" si="50"/>
        <v>1117.1821314257988</v>
      </c>
      <c r="J227" s="9" t="str">
        <f ca="1">'SAC_IOF Ñ USAR'!J227</f>
        <v/>
      </c>
      <c r="K227" s="9" t="str">
        <f ca="1">'SAC_IOF Ñ USAR'!K227</f>
        <v/>
      </c>
      <c r="L227" s="9">
        <f ca="1">'SAC_IOF Ñ USAR'!L227</f>
        <v>10</v>
      </c>
      <c r="N227" s="176">
        <f t="shared" ca="1" si="51"/>
        <v>30</v>
      </c>
      <c r="O227" s="176">
        <f t="shared" ca="1" si="53"/>
        <v>6353</v>
      </c>
      <c r="P227" s="175">
        <f t="shared" ca="1" si="42"/>
        <v>834.39144798065388</v>
      </c>
      <c r="Q227" s="11">
        <f t="shared" ca="1" si="43"/>
        <v>2.9930000000000002E-2</v>
      </c>
      <c r="R227" s="12">
        <f t="shared" ca="1" si="44"/>
        <v>24.973336038060971</v>
      </c>
      <c r="S227" s="513"/>
      <c r="U227">
        <f t="shared" ca="1" si="54"/>
        <v>1061.9372710792964</v>
      </c>
      <c r="V227" s="31">
        <f t="shared" ca="1" si="55"/>
        <v>1117.1821314257988</v>
      </c>
    </row>
    <row r="228" spans="1:22">
      <c r="A228" s="180">
        <f ca="1">'SAC_IOF Ñ USAR'!A228</f>
        <v>209</v>
      </c>
      <c r="B228" s="179">
        <f ca="1">'SAC_IOF Ñ USAR'!B228</f>
        <v>51104</v>
      </c>
      <c r="C228" s="177">
        <f t="shared" ca="1" si="45"/>
        <v>889.99100827727909</v>
      </c>
      <c r="D228" s="24">
        <f t="shared" ca="1" si="52"/>
        <v>163.75834552573033</v>
      </c>
      <c r="E228" s="177">
        <f t="shared" ca="1" si="46"/>
        <v>16909.829157267653</v>
      </c>
      <c r="F228" s="178">
        <f t="shared" ca="1" si="47"/>
        <v>3.7379622347644363</v>
      </c>
      <c r="G228" s="178">
        <f t="shared" ca="1" si="48"/>
        <v>26.319999999999997</v>
      </c>
      <c r="H228" s="177">
        <f t="shared" ca="1" si="49"/>
        <v>25</v>
      </c>
      <c r="I228" s="25">
        <f t="shared" ca="1" si="50"/>
        <v>1108.8073160377737</v>
      </c>
      <c r="J228" s="9" t="str">
        <f ca="1">'SAC_IOF Ñ USAR'!J228</f>
        <v/>
      </c>
      <c r="K228" s="9" t="str">
        <f ca="1">'SAC_IOF Ñ USAR'!K228</f>
        <v/>
      </c>
      <c r="L228" s="9">
        <f ca="1">'SAC_IOF Ñ USAR'!L228</f>
        <v>11</v>
      </c>
      <c r="N228" s="176">
        <f t="shared" ca="1" si="51"/>
        <v>31</v>
      </c>
      <c r="O228" s="176">
        <f t="shared" ca="1" si="53"/>
        <v>6384</v>
      </c>
      <c r="P228" s="175">
        <f t="shared" ca="1" si="42"/>
        <v>834.39144798065388</v>
      </c>
      <c r="Q228" s="11">
        <f t="shared" ca="1" si="43"/>
        <v>2.9930000000000002E-2</v>
      </c>
      <c r="R228" s="12">
        <f t="shared" ca="1" si="44"/>
        <v>24.973336038060971</v>
      </c>
      <c r="S228" s="513"/>
      <c r="U228">
        <f t="shared" ca="1" si="54"/>
        <v>1053.7493538030094</v>
      </c>
      <c r="V228" s="31">
        <f t="shared" ca="1" si="55"/>
        <v>1108.8073160377737</v>
      </c>
    </row>
    <row r="229" spans="1:22">
      <c r="A229" s="180">
        <f ca="1">'SAC_IOF Ñ USAR'!A229</f>
        <v>210</v>
      </c>
      <c r="B229" s="179">
        <f ca="1">'SAC_IOF Ñ USAR'!B229</f>
        <v>51134</v>
      </c>
      <c r="C229" s="177">
        <f t="shared" ca="1" si="45"/>
        <v>889.99100827727909</v>
      </c>
      <c r="D229" s="24">
        <f t="shared" ca="1" si="52"/>
        <v>155.57042824944349</v>
      </c>
      <c r="E229" s="177">
        <f t="shared" ca="1" si="46"/>
        <v>16019.838148990375</v>
      </c>
      <c r="F229" s="178">
        <f t="shared" ca="1" si="47"/>
        <v>3.5510641230262072</v>
      </c>
      <c r="G229" s="178">
        <f t="shared" ca="1" si="48"/>
        <v>26.319999999999997</v>
      </c>
      <c r="H229" s="177">
        <f t="shared" ca="1" si="49"/>
        <v>25</v>
      </c>
      <c r="I229" s="25">
        <f t="shared" ca="1" si="50"/>
        <v>1100.4325006497488</v>
      </c>
      <c r="J229" s="9" t="str">
        <f ca="1">'SAC_IOF Ñ USAR'!J229</f>
        <v/>
      </c>
      <c r="K229" s="9" t="str">
        <f ca="1">'SAC_IOF Ñ USAR'!K229</f>
        <v/>
      </c>
      <c r="L229" s="9">
        <f ca="1">'SAC_IOF Ñ USAR'!L229</f>
        <v>12</v>
      </c>
      <c r="N229" s="176">
        <f t="shared" ca="1" si="51"/>
        <v>30</v>
      </c>
      <c r="O229" s="176">
        <f t="shared" ca="1" si="53"/>
        <v>6414</v>
      </c>
      <c r="P229" s="175">
        <f t="shared" ca="1" si="42"/>
        <v>834.39144798065388</v>
      </c>
      <c r="Q229" s="11">
        <f t="shared" ca="1" si="43"/>
        <v>2.9930000000000002E-2</v>
      </c>
      <c r="R229" s="12">
        <f t="shared" ca="1" si="44"/>
        <v>24.973336038060971</v>
      </c>
      <c r="S229" s="513"/>
      <c r="U229">
        <f t="shared" ca="1" si="54"/>
        <v>1045.5614365267227</v>
      </c>
      <c r="V229" s="31">
        <f t="shared" ca="1" si="55"/>
        <v>1100.4325006497488</v>
      </c>
    </row>
    <row r="230" spans="1:22">
      <c r="A230" s="180">
        <f ca="1">'SAC_IOF Ñ USAR'!A230</f>
        <v>211</v>
      </c>
      <c r="B230" s="179">
        <f ca="1">'SAC_IOF Ñ USAR'!B230</f>
        <v>51165</v>
      </c>
      <c r="C230" s="177">
        <f t="shared" ca="1" si="45"/>
        <v>889.99100827727909</v>
      </c>
      <c r="D230" s="24">
        <f t="shared" ca="1" si="52"/>
        <v>147.38251097315668</v>
      </c>
      <c r="E230" s="177">
        <f t="shared" ca="1" si="46"/>
        <v>15129.847140713096</v>
      </c>
      <c r="F230" s="178">
        <f t="shared" ca="1" si="47"/>
        <v>3.364166011287979</v>
      </c>
      <c r="G230" s="178">
        <f t="shared" ca="1" si="48"/>
        <v>26.319999999999997</v>
      </c>
      <c r="H230" s="177">
        <f t="shared" ca="1" si="49"/>
        <v>25</v>
      </c>
      <c r="I230" s="25">
        <f t="shared" ca="1" si="50"/>
        <v>1092.0576852617237</v>
      </c>
      <c r="J230" s="9" t="str">
        <f ca="1">'SAC_IOF Ñ USAR'!J230</f>
        <v/>
      </c>
      <c r="K230" s="9" t="str">
        <f ca="1">'SAC_IOF Ñ USAR'!K230</f>
        <v/>
      </c>
      <c r="L230" s="9">
        <f ca="1">'SAC_IOF Ñ USAR'!L230</f>
        <v>1</v>
      </c>
      <c r="N230" s="176">
        <f t="shared" ca="1" si="51"/>
        <v>31</v>
      </c>
      <c r="O230" s="176">
        <f t="shared" ca="1" si="53"/>
        <v>6445</v>
      </c>
      <c r="P230" s="175">
        <f t="shared" ca="1" si="42"/>
        <v>834.39144798065388</v>
      </c>
      <c r="Q230" s="11">
        <f t="shared" ca="1" si="43"/>
        <v>2.9930000000000002E-2</v>
      </c>
      <c r="R230" s="12">
        <f t="shared" ca="1" si="44"/>
        <v>24.973336038060971</v>
      </c>
      <c r="S230" s="513"/>
      <c r="U230">
        <f t="shared" ca="1" si="54"/>
        <v>1037.3735192504357</v>
      </c>
      <c r="V230" s="31">
        <f t="shared" ca="1" si="55"/>
        <v>1092.0576852617237</v>
      </c>
    </row>
    <row r="231" spans="1:22">
      <c r="A231" s="180">
        <f ca="1">'SAC_IOF Ñ USAR'!A231</f>
        <v>212</v>
      </c>
      <c r="B231" s="179">
        <f ca="1">'SAC_IOF Ñ USAR'!B231</f>
        <v>51195</v>
      </c>
      <c r="C231" s="177">
        <f t="shared" ca="1" si="45"/>
        <v>889.99100827727909</v>
      </c>
      <c r="D231" s="24">
        <f t="shared" ca="1" si="52"/>
        <v>139.19459369686987</v>
      </c>
      <c r="E231" s="177">
        <f t="shared" ca="1" si="46"/>
        <v>14239.856132435818</v>
      </c>
      <c r="F231" s="178">
        <f t="shared" ca="1" si="47"/>
        <v>3.1772678995497503</v>
      </c>
      <c r="G231" s="178">
        <f t="shared" ca="1" si="48"/>
        <v>26.319999999999997</v>
      </c>
      <c r="H231" s="177">
        <f t="shared" ca="1" si="49"/>
        <v>25</v>
      </c>
      <c r="I231" s="25">
        <f t="shared" ca="1" si="50"/>
        <v>1083.6828698736988</v>
      </c>
      <c r="J231" s="9" t="str">
        <f ca="1">'SAC_IOF Ñ USAR'!J231</f>
        <v/>
      </c>
      <c r="K231" s="9" t="str">
        <f ca="1">'SAC_IOF Ñ USAR'!K231</f>
        <v/>
      </c>
      <c r="L231" s="9">
        <f ca="1">'SAC_IOF Ñ USAR'!L231</f>
        <v>2</v>
      </c>
      <c r="N231" s="176">
        <f t="shared" ca="1" si="51"/>
        <v>30</v>
      </c>
      <c r="O231" s="176">
        <f t="shared" ca="1" si="53"/>
        <v>6475</v>
      </c>
      <c r="P231" s="175">
        <f t="shared" ca="1" si="42"/>
        <v>834.39144798065388</v>
      </c>
      <c r="Q231" s="11">
        <f t="shared" ca="1" si="43"/>
        <v>2.9930000000000002E-2</v>
      </c>
      <c r="R231" s="12">
        <f t="shared" ca="1" si="44"/>
        <v>24.973336038060971</v>
      </c>
      <c r="S231" s="513"/>
      <c r="U231">
        <f t="shared" ca="1" si="54"/>
        <v>1029.185601974149</v>
      </c>
      <c r="V231" s="31">
        <f t="shared" ca="1" si="55"/>
        <v>1083.6828698736988</v>
      </c>
    </row>
    <row r="232" spans="1:22">
      <c r="A232" s="180">
        <f ca="1">'SAC_IOF Ñ USAR'!A232</f>
        <v>213</v>
      </c>
      <c r="B232" s="179">
        <f ca="1">'SAC_IOF Ñ USAR'!B232</f>
        <v>51225</v>
      </c>
      <c r="C232" s="177">
        <f t="shared" ca="1" si="45"/>
        <v>889.99100827727909</v>
      </c>
      <c r="D232" s="24">
        <f t="shared" ca="1" si="52"/>
        <v>131.00667642058306</v>
      </c>
      <c r="E232" s="177">
        <f t="shared" ca="1" si="46"/>
        <v>13349.865124158539</v>
      </c>
      <c r="F232" s="178">
        <f t="shared" ca="1" si="47"/>
        <v>2.9903697878115221</v>
      </c>
      <c r="G232" s="178">
        <f t="shared" ca="1" si="48"/>
        <v>26.319999999999997</v>
      </c>
      <c r="H232" s="177">
        <f t="shared" ca="1" si="49"/>
        <v>25</v>
      </c>
      <c r="I232" s="25">
        <f t="shared" ca="1" si="50"/>
        <v>1075.3080544856737</v>
      </c>
      <c r="J232" s="9" t="str">
        <f ca="1">'SAC_IOF Ñ USAR'!J232</f>
        <v/>
      </c>
      <c r="K232" s="9" t="str">
        <f ca="1">'SAC_IOF Ñ USAR'!K232</f>
        <v/>
      </c>
      <c r="L232" s="9">
        <f ca="1">'SAC_IOF Ñ USAR'!L232</f>
        <v>3</v>
      </c>
      <c r="N232" s="176">
        <f t="shared" ca="1" si="51"/>
        <v>30</v>
      </c>
      <c r="O232" s="176">
        <f t="shared" ca="1" si="53"/>
        <v>6505</v>
      </c>
      <c r="P232" s="175">
        <f t="shared" ca="1" si="42"/>
        <v>834.39144798065388</v>
      </c>
      <c r="Q232" s="11">
        <f t="shared" ca="1" si="43"/>
        <v>2.9930000000000002E-2</v>
      </c>
      <c r="R232" s="12">
        <f t="shared" ca="1" si="44"/>
        <v>24.973336038060971</v>
      </c>
      <c r="S232" s="513"/>
      <c r="U232">
        <f t="shared" ca="1" si="54"/>
        <v>1020.9976846978622</v>
      </c>
      <c r="V232" s="31">
        <f t="shared" ca="1" si="55"/>
        <v>1075.3080544856737</v>
      </c>
    </row>
    <row r="233" spans="1:22">
      <c r="A233" s="180">
        <f ca="1">'SAC_IOF Ñ USAR'!A233</f>
        <v>214</v>
      </c>
      <c r="B233" s="179">
        <f ca="1">'SAC_IOF Ñ USAR'!B233</f>
        <v>51256</v>
      </c>
      <c r="C233" s="177">
        <f t="shared" ca="1" si="45"/>
        <v>889.99100827727909</v>
      </c>
      <c r="D233" s="24">
        <f t="shared" ca="1" si="52"/>
        <v>122.81875914429627</v>
      </c>
      <c r="E233" s="177">
        <f t="shared" ca="1" si="46"/>
        <v>12459.874115881261</v>
      </c>
      <c r="F233" s="178">
        <f t="shared" ca="1" si="47"/>
        <v>2.8034716760732934</v>
      </c>
      <c r="G233" s="178">
        <f t="shared" ca="1" si="48"/>
        <v>26.319999999999997</v>
      </c>
      <c r="H233" s="177">
        <f t="shared" ca="1" si="49"/>
        <v>25</v>
      </c>
      <c r="I233" s="25">
        <f t="shared" ca="1" si="50"/>
        <v>1066.9332390976485</v>
      </c>
      <c r="J233" s="9" t="str">
        <f ca="1">'SAC_IOF Ñ USAR'!J233</f>
        <v/>
      </c>
      <c r="K233" s="9" t="str">
        <f ca="1">'SAC_IOF Ñ USAR'!K233</f>
        <v/>
      </c>
      <c r="L233" s="9">
        <f ca="1">'SAC_IOF Ñ USAR'!L233</f>
        <v>4</v>
      </c>
      <c r="N233" s="176">
        <f t="shared" ca="1" si="51"/>
        <v>31</v>
      </c>
      <c r="O233" s="176">
        <f t="shared" ca="1" si="53"/>
        <v>6536</v>
      </c>
      <c r="P233" s="175">
        <f t="shared" ca="1" si="42"/>
        <v>834.39144798065388</v>
      </c>
      <c r="Q233" s="11">
        <f t="shared" ca="1" si="43"/>
        <v>2.9930000000000002E-2</v>
      </c>
      <c r="R233" s="12">
        <f t="shared" ca="1" si="44"/>
        <v>24.973336038060971</v>
      </c>
      <c r="S233" s="513"/>
      <c r="U233">
        <f t="shared" ca="1" si="54"/>
        <v>1012.8097674215753</v>
      </c>
      <c r="V233" s="31">
        <f t="shared" ca="1" si="55"/>
        <v>1066.9332390976485</v>
      </c>
    </row>
    <row r="234" spans="1:22">
      <c r="A234" s="180">
        <f ca="1">'SAC_IOF Ñ USAR'!A234</f>
        <v>215</v>
      </c>
      <c r="B234" s="179">
        <f ca="1">'SAC_IOF Ñ USAR'!B234</f>
        <v>51286</v>
      </c>
      <c r="C234" s="177">
        <f t="shared" ca="1" si="45"/>
        <v>889.99100827727909</v>
      </c>
      <c r="D234" s="24">
        <f t="shared" ca="1" si="52"/>
        <v>114.63084186800945</v>
      </c>
      <c r="E234" s="177">
        <f t="shared" ca="1" si="46"/>
        <v>11569.883107603982</v>
      </c>
      <c r="F234" s="178">
        <f t="shared" ca="1" si="47"/>
        <v>2.6165735643350647</v>
      </c>
      <c r="G234" s="178">
        <f t="shared" ca="1" si="48"/>
        <v>26.319999999999997</v>
      </c>
      <c r="H234" s="177">
        <f t="shared" ca="1" si="49"/>
        <v>25</v>
      </c>
      <c r="I234" s="25">
        <f t="shared" ca="1" si="50"/>
        <v>1058.5584237096236</v>
      </c>
      <c r="J234" s="9" t="str">
        <f ca="1">'SAC_IOF Ñ USAR'!J234</f>
        <v/>
      </c>
      <c r="K234" s="9" t="str">
        <f ca="1">'SAC_IOF Ñ USAR'!K234</f>
        <v/>
      </c>
      <c r="L234" s="9">
        <f ca="1">'SAC_IOF Ñ USAR'!L234</f>
        <v>5</v>
      </c>
      <c r="N234" s="176">
        <f t="shared" ca="1" si="51"/>
        <v>30</v>
      </c>
      <c r="O234" s="176">
        <f t="shared" ca="1" si="53"/>
        <v>6566</v>
      </c>
      <c r="P234" s="175">
        <f t="shared" ca="1" si="42"/>
        <v>834.39144798065388</v>
      </c>
      <c r="Q234" s="11">
        <f t="shared" ca="1" si="43"/>
        <v>2.9930000000000002E-2</v>
      </c>
      <c r="R234" s="12">
        <f t="shared" ca="1" si="44"/>
        <v>24.973336038060971</v>
      </c>
      <c r="S234" s="513"/>
      <c r="U234">
        <f t="shared" ca="1" si="54"/>
        <v>1004.6218501452886</v>
      </c>
      <c r="V234" s="31">
        <f t="shared" ca="1" si="55"/>
        <v>1058.5584237096236</v>
      </c>
    </row>
    <row r="235" spans="1:22">
      <c r="A235" s="180">
        <f ca="1">'SAC_IOF Ñ USAR'!A235</f>
        <v>216</v>
      </c>
      <c r="B235" s="179">
        <f ca="1">'SAC_IOF Ñ USAR'!B235</f>
        <v>51317</v>
      </c>
      <c r="C235" s="177">
        <f t="shared" ca="1" si="45"/>
        <v>889.99100827727909</v>
      </c>
      <c r="D235" s="24">
        <f t="shared" ca="1" si="52"/>
        <v>106.44292459172264</v>
      </c>
      <c r="E235" s="177">
        <f t="shared" ca="1" si="46"/>
        <v>10679.892099326704</v>
      </c>
      <c r="F235" s="178">
        <f t="shared" ca="1" si="47"/>
        <v>2.4296754525968365</v>
      </c>
      <c r="G235" s="178">
        <f t="shared" ca="1" si="48"/>
        <v>26.319999999999997</v>
      </c>
      <c r="H235" s="177">
        <f t="shared" ca="1" si="49"/>
        <v>25</v>
      </c>
      <c r="I235" s="25">
        <f t="shared" ca="1" si="50"/>
        <v>1050.1836083215985</v>
      </c>
      <c r="J235" s="9" t="str">
        <f ca="1">'SAC_IOF Ñ USAR'!J235</f>
        <v/>
      </c>
      <c r="K235" s="9" t="str">
        <f ca="1">'SAC_IOF Ñ USAR'!K235</f>
        <v/>
      </c>
      <c r="L235" s="9">
        <f ca="1">'SAC_IOF Ñ USAR'!L235</f>
        <v>6</v>
      </c>
      <c r="N235" s="176">
        <f t="shared" ca="1" si="51"/>
        <v>31</v>
      </c>
      <c r="O235" s="176">
        <f t="shared" ca="1" si="53"/>
        <v>6597</v>
      </c>
      <c r="P235" s="175">
        <f t="shared" ca="1" si="42"/>
        <v>834.39144798065388</v>
      </c>
      <c r="Q235" s="11">
        <f t="shared" ca="1" si="43"/>
        <v>2.9930000000000002E-2</v>
      </c>
      <c r="R235" s="12">
        <f t="shared" ca="1" si="44"/>
        <v>24.973336038060971</v>
      </c>
      <c r="S235" s="513"/>
      <c r="U235">
        <f t="shared" ca="1" si="54"/>
        <v>996.43393286900175</v>
      </c>
      <c r="V235" s="31">
        <f t="shared" ca="1" si="55"/>
        <v>1050.1836083215985</v>
      </c>
    </row>
    <row r="236" spans="1:22">
      <c r="A236" s="180">
        <f ca="1">'SAC_IOF Ñ USAR'!A236</f>
        <v>217</v>
      </c>
      <c r="B236" s="179">
        <f ca="1">'SAC_IOF Ñ USAR'!B236</f>
        <v>51347</v>
      </c>
      <c r="C236" s="177">
        <f t="shared" ca="1" si="45"/>
        <v>889.99100827727909</v>
      </c>
      <c r="D236" s="24">
        <f t="shared" ca="1" si="52"/>
        <v>98.255007315435833</v>
      </c>
      <c r="E236" s="177">
        <f t="shared" ca="1" si="46"/>
        <v>9789.9010910494253</v>
      </c>
      <c r="F236" s="178">
        <f t="shared" ca="1" si="47"/>
        <v>2.2427773408586078</v>
      </c>
      <c r="G236" s="178">
        <f t="shared" ca="1" si="48"/>
        <v>26.319999999999997</v>
      </c>
      <c r="H236" s="177">
        <f t="shared" ca="1" si="49"/>
        <v>25</v>
      </c>
      <c r="I236" s="25">
        <f t="shared" ca="1" si="50"/>
        <v>1041.8087929335736</v>
      </c>
      <c r="J236" s="9" t="str">
        <f ca="1">'SAC_IOF Ñ USAR'!J236</f>
        <v/>
      </c>
      <c r="K236" s="9" t="str">
        <f ca="1">'SAC_IOF Ñ USAR'!K236</f>
        <v/>
      </c>
      <c r="L236" s="9">
        <f ca="1">'SAC_IOF Ñ USAR'!L236</f>
        <v>7</v>
      </c>
      <c r="N236" s="176">
        <f t="shared" ca="1" si="51"/>
        <v>30</v>
      </c>
      <c r="O236" s="176">
        <f t="shared" ca="1" si="53"/>
        <v>6627</v>
      </c>
      <c r="P236" s="175">
        <f t="shared" ca="1" si="42"/>
        <v>834.39144798065388</v>
      </c>
      <c r="Q236" s="11">
        <f t="shared" ca="1" si="43"/>
        <v>2.9930000000000002E-2</v>
      </c>
      <c r="R236" s="12">
        <f t="shared" ca="1" si="44"/>
        <v>24.973336038060971</v>
      </c>
      <c r="S236" s="513"/>
      <c r="U236">
        <f t="shared" ca="1" si="54"/>
        <v>988.24601559271491</v>
      </c>
      <c r="V236" s="31">
        <f t="shared" ca="1" si="55"/>
        <v>1041.8087929335736</v>
      </c>
    </row>
    <row r="237" spans="1:22">
      <c r="A237" s="180">
        <f ca="1">'SAC_IOF Ñ USAR'!A237</f>
        <v>218</v>
      </c>
      <c r="B237" s="179">
        <f ca="1">'SAC_IOF Ñ USAR'!B237</f>
        <v>51378</v>
      </c>
      <c r="C237" s="177">
        <f t="shared" ca="1" si="45"/>
        <v>889.99100827727909</v>
      </c>
      <c r="D237" s="24">
        <f t="shared" ca="1" si="52"/>
        <v>90.067090039149022</v>
      </c>
      <c r="E237" s="177">
        <f t="shared" ca="1" si="46"/>
        <v>8899.9100827721468</v>
      </c>
      <c r="F237" s="178">
        <f t="shared" ca="1" si="47"/>
        <v>2.0558792291203796</v>
      </c>
      <c r="G237" s="178">
        <f t="shared" ca="1" si="48"/>
        <v>26.319999999999997</v>
      </c>
      <c r="H237" s="177">
        <f t="shared" ca="1" si="49"/>
        <v>25</v>
      </c>
      <c r="I237" s="25">
        <f t="shared" ca="1" si="50"/>
        <v>1033.4339775455485</v>
      </c>
      <c r="J237" s="9" t="str">
        <f ca="1">'SAC_IOF Ñ USAR'!J237</f>
        <v/>
      </c>
      <c r="K237" s="9" t="str">
        <f ca="1">'SAC_IOF Ñ USAR'!K237</f>
        <v/>
      </c>
      <c r="L237" s="9">
        <f ca="1">'SAC_IOF Ñ USAR'!L237</f>
        <v>8</v>
      </c>
      <c r="N237" s="176">
        <f t="shared" ca="1" si="51"/>
        <v>31</v>
      </c>
      <c r="O237" s="176">
        <f t="shared" ca="1" si="53"/>
        <v>6658</v>
      </c>
      <c r="P237" s="175">
        <f t="shared" ca="1" si="42"/>
        <v>834.39144798065388</v>
      </c>
      <c r="Q237" s="11">
        <f t="shared" ca="1" si="43"/>
        <v>2.9930000000000002E-2</v>
      </c>
      <c r="R237" s="12">
        <f t="shared" ca="1" si="44"/>
        <v>24.973336038060971</v>
      </c>
      <c r="S237" s="513"/>
      <c r="U237">
        <f t="shared" ca="1" si="54"/>
        <v>980.05809831642807</v>
      </c>
      <c r="V237" s="31">
        <f t="shared" ca="1" si="55"/>
        <v>1033.4339775455485</v>
      </c>
    </row>
    <row r="238" spans="1:22">
      <c r="A238" s="180">
        <f ca="1">'SAC_IOF Ñ USAR'!A238</f>
        <v>219</v>
      </c>
      <c r="B238" s="179">
        <f ca="1">'SAC_IOF Ñ USAR'!B238</f>
        <v>51409</v>
      </c>
      <c r="C238" s="177">
        <f t="shared" ca="1" si="45"/>
        <v>889.99100827727909</v>
      </c>
      <c r="D238" s="24">
        <f t="shared" ca="1" si="52"/>
        <v>81.879172762862211</v>
      </c>
      <c r="E238" s="177">
        <f t="shared" ca="1" si="46"/>
        <v>8009.9190744948673</v>
      </c>
      <c r="F238" s="178">
        <f t="shared" ca="1" si="47"/>
        <v>1.8689811173821509</v>
      </c>
      <c r="G238" s="178">
        <f t="shared" ca="1" si="48"/>
        <v>26.319999999999997</v>
      </c>
      <c r="H238" s="177">
        <f t="shared" ca="1" si="49"/>
        <v>25</v>
      </c>
      <c r="I238" s="25">
        <f t="shared" ca="1" si="50"/>
        <v>1025.0591621575236</v>
      </c>
      <c r="J238" s="9" t="str">
        <f ca="1">'SAC_IOF Ñ USAR'!J238</f>
        <v/>
      </c>
      <c r="K238" s="9" t="str">
        <f ca="1">'SAC_IOF Ñ USAR'!K238</f>
        <v/>
      </c>
      <c r="L238" s="9">
        <f ca="1">'SAC_IOF Ñ USAR'!L238</f>
        <v>9</v>
      </c>
      <c r="N238" s="176">
        <f t="shared" ca="1" si="51"/>
        <v>31</v>
      </c>
      <c r="O238" s="176">
        <f t="shared" ca="1" si="53"/>
        <v>6689</v>
      </c>
      <c r="P238" s="175">
        <f t="shared" ca="1" si="42"/>
        <v>834.39144798065388</v>
      </c>
      <c r="Q238" s="11">
        <f t="shared" ca="1" si="43"/>
        <v>2.9930000000000002E-2</v>
      </c>
      <c r="R238" s="12">
        <f t="shared" ca="1" si="44"/>
        <v>24.973336038060971</v>
      </c>
      <c r="S238" s="513"/>
      <c r="U238">
        <f t="shared" ca="1" si="54"/>
        <v>971.87018104014135</v>
      </c>
      <c r="V238" s="31">
        <f t="shared" ca="1" si="55"/>
        <v>1025.0591621575236</v>
      </c>
    </row>
    <row r="239" spans="1:22">
      <c r="A239" s="180">
        <f ca="1">'SAC_IOF Ñ USAR'!A239</f>
        <v>220</v>
      </c>
      <c r="B239" s="179">
        <f ca="1">'SAC_IOF Ñ USAR'!B239</f>
        <v>51439</v>
      </c>
      <c r="C239" s="177">
        <f t="shared" ca="1" si="45"/>
        <v>889.99100827727909</v>
      </c>
      <c r="D239" s="24">
        <f t="shared" ca="1" si="52"/>
        <v>73.6912554865754</v>
      </c>
      <c r="E239" s="177">
        <f t="shared" ca="1" si="46"/>
        <v>7119.9280662175879</v>
      </c>
      <c r="F239" s="178">
        <f t="shared" ca="1" si="47"/>
        <v>1.6820830056439222</v>
      </c>
      <c r="G239" s="178">
        <f t="shared" ca="1" si="48"/>
        <v>26.319999999999997</v>
      </c>
      <c r="H239" s="177">
        <f t="shared" ca="1" si="49"/>
        <v>25</v>
      </c>
      <c r="I239" s="25">
        <f t="shared" ca="1" si="50"/>
        <v>1016.6843467694985</v>
      </c>
      <c r="J239" s="9" t="str">
        <f ca="1">'SAC_IOF Ñ USAR'!J239</f>
        <v/>
      </c>
      <c r="K239" s="9" t="str">
        <f ca="1">'SAC_IOF Ñ USAR'!K239</f>
        <v/>
      </c>
      <c r="L239" s="9">
        <f ca="1">'SAC_IOF Ñ USAR'!L239</f>
        <v>10</v>
      </c>
      <c r="N239" s="176">
        <f t="shared" ca="1" si="51"/>
        <v>30</v>
      </c>
      <c r="O239" s="176">
        <f t="shared" ca="1" si="53"/>
        <v>6719</v>
      </c>
      <c r="P239" s="175">
        <f t="shared" ca="1" si="42"/>
        <v>834.39144798065388</v>
      </c>
      <c r="Q239" s="11">
        <f t="shared" ca="1" si="43"/>
        <v>2.9930000000000002E-2</v>
      </c>
      <c r="R239" s="12">
        <f t="shared" ca="1" si="44"/>
        <v>24.973336038060971</v>
      </c>
      <c r="S239" s="513"/>
      <c r="U239">
        <f t="shared" ca="1" si="54"/>
        <v>963.68226376385451</v>
      </c>
      <c r="V239" s="31">
        <f t="shared" ca="1" si="55"/>
        <v>1016.6843467694985</v>
      </c>
    </row>
    <row r="240" spans="1:22">
      <c r="A240" s="180">
        <f ca="1">'SAC_IOF Ñ USAR'!A240</f>
        <v>221</v>
      </c>
      <c r="B240" s="179">
        <f ca="1">'SAC_IOF Ñ USAR'!B240</f>
        <v>51470</v>
      </c>
      <c r="C240" s="177">
        <f t="shared" ca="1" si="45"/>
        <v>889.99100827727909</v>
      </c>
      <c r="D240" s="24">
        <f t="shared" ca="1" si="52"/>
        <v>65.503338210288575</v>
      </c>
      <c r="E240" s="177">
        <f t="shared" ca="1" si="46"/>
        <v>6229.9370579403085</v>
      </c>
      <c r="F240" s="178">
        <f t="shared" ca="1" si="47"/>
        <v>1.4951848939056935</v>
      </c>
      <c r="G240" s="178">
        <f t="shared" ca="1" si="48"/>
        <v>26.319999999999997</v>
      </c>
      <c r="H240" s="177">
        <f t="shared" ca="1" si="49"/>
        <v>25</v>
      </c>
      <c r="I240" s="25">
        <f t="shared" ca="1" si="50"/>
        <v>1008.3095313814734</v>
      </c>
      <c r="J240" s="9" t="str">
        <f ca="1">'SAC_IOF Ñ USAR'!J240</f>
        <v/>
      </c>
      <c r="K240" s="9" t="str">
        <f ca="1">'SAC_IOF Ñ USAR'!K240</f>
        <v/>
      </c>
      <c r="L240" s="9">
        <f ca="1">'SAC_IOF Ñ USAR'!L240</f>
        <v>11</v>
      </c>
      <c r="N240" s="176">
        <f t="shared" ca="1" si="51"/>
        <v>31</v>
      </c>
      <c r="O240" s="176">
        <f t="shared" ca="1" si="53"/>
        <v>6750</v>
      </c>
      <c r="P240" s="175">
        <f t="shared" ca="1" si="42"/>
        <v>834.39144798065388</v>
      </c>
      <c r="Q240" s="11">
        <f t="shared" ca="1" si="43"/>
        <v>2.9930000000000002E-2</v>
      </c>
      <c r="R240" s="12">
        <f t="shared" ca="1" si="44"/>
        <v>24.973336038060971</v>
      </c>
      <c r="S240" s="513"/>
      <c r="U240">
        <f t="shared" ca="1" si="54"/>
        <v>955.49434648756767</v>
      </c>
      <c r="V240" s="31">
        <f t="shared" ca="1" si="55"/>
        <v>1008.3095313814734</v>
      </c>
    </row>
    <row r="241" spans="1:22">
      <c r="A241" s="180">
        <f ca="1">'SAC_IOF Ñ USAR'!A241</f>
        <v>222</v>
      </c>
      <c r="B241" s="179">
        <f ca="1">'SAC_IOF Ñ USAR'!B241</f>
        <v>51500</v>
      </c>
      <c r="C241" s="177">
        <f t="shared" ca="1" si="45"/>
        <v>889.99100827727909</v>
      </c>
      <c r="D241" s="24">
        <f t="shared" ca="1" si="52"/>
        <v>57.315420934001764</v>
      </c>
      <c r="E241" s="177">
        <f t="shared" ca="1" si="46"/>
        <v>5339.946049663029</v>
      </c>
      <c r="F241" s="178">
        <f t="shared" ca="1" si="47"/>
        <v>1.3082867821674649</v>
      </c>
      <c r="G241" s="178">
        <f t="shared" ca="1" si="48"/>
        <v>26.319999999999997</v>
      </c>
      <c r="H241" s="177">
        <f t="shared" ca="1" si="49"/>
        <v>25</v>
      </c>
      <c r="I241" s="25">
        <f t="shared" ca="1" si="50"/>
        <v>999.93471599344832</v>
      </c>
      <c r="J241" s="9" t="str">
        <f ca="1">'SAC_IOF Ñ USAR'!J241</f>
        <v/>
      </c>
      <c r="K241" s="9" t="str">
        <f ca="1">'SAC_IOF Ñ USAR'!K241</f>
        <v/>
      </c>
      <c r="L241" s="9">
        <f ca="1">'SAC_IOF Ñ USAR'!L241</f>
        <v>12</v>
      </c>
      <c r="N241" s="176">
        <f t="shared" ca="1" si="51"/>
        <v>30</v>
      </c>
      <c r="O241" s="176">
        <f t="shared" ca="1" si="53"/>
        <v>6780</v>
      </c>
      <c r="P241" s="175">
        <f t="shared" ca="1" si="42"/>
        <v>834.39144798065388</v>
      </c>
      <c r="Q241" s="11">
        <f t="shared" ca="1" si="43"/>
        <v>2.9930000000000002E-2</v>
      </c>
      <c r="R241" s="12">
        <f t="shared" ca="1" si="44"/>
        <v>24.973336038060971</v>
      </c>
      <c r="S241" s="513"/>
      <c r="U241">
        <f t="shared" ca="1" si="54"/>
        <v>947.30642921128083</v>
      </c>
      <c r="V241" s="31">
        <f t="shared" ca="1" si="55"/>
        <v>999.93471599344832</v>
      </c>
    </row>
    <row r="242" spans="1:22">
      <c r="A242" s="180">
        <f ca="1">'SAC_IOF Ñ USAR'!A242</f>
        <v>223</v>
      </c>
      <c r="B242" s="179">
        <f ca="1">'SAC_IOF Ñ USAR'!B242</f>
        <v>51531</v>
      </c>
      <c r="C242" s="177">
        <f t="shared" ca="1" si="45"/>
        <v>889.99100827727909</v>
      </c>
      <c r="D242" s="24">
        <f t="shared" ca="1" si="52"/>
        <v>49.127503657714946</v>
      </c>
      <c r="E242" s="177">
        <f t="shared" ca="1" si="46"/>
        <v>4449.9550413857496</v>
      </c>
      <c r="F242" s="178">
        <f t="shared" ca="1" si="47"/>
        <v>1.1213886704292362</v>
      </c>
      <c r="G242" s="178">
        <f t="shared" ca="1" si="48"/>
        <v>26.319999999999997</v>
      </c>
      <c r="H242" s="177">
        <f t="shared" ca="1" si="49"/>
        <v>25</v>
      </c>
      <c r="I242" s="25">
        <f t="shared" ca="1" si="50"/>
        <v>991.55990060542331</v>
      </c>
      <c r="J242" s="9" t="str">
        <f ca="1">'SAC_IOF Ñ USAR'!J242</f>
        <v/>
      </c>
      <c r="K242" s="9" t="str">
        <f ca="1">'SAC_IOF Ñ USAR'!K242</f>
        <v/>
      </c>
      <c r="L242" s="9">
        <f ca="1">'SAC_IOF Ñ USAR'!L242</f>
        <v>1</v>
      </c>
      <c r="N242" s="176">
        <f t="shared" ca="1" si="51"/>
        <v>31</v>
      </c>
      <c r="O242" s="176">
        <f t="shared" ca="1" si="53"/>
        <v>6811</v>
      </c>
      <c r="P242" s="175">
        <f t="shared" ca="1" si="42"/>
        <v>834.39144798065388</v>
      </c>
      <c r="Q242" s="11">
        <f t="shared" ca="1" si="43"/>
        <v>2.9930000000000002E-2</v>
      </c>
      <c r="R242" s="12">
        <f t="shared" ca="1" si="44"/>
        <v>24.973336038060971</v>
      </c>
      <c r="S242" s="513"/>
      <c r="U242">
        <f t="shared" ca="1" si="54"/>
        <v>939.11851193499399</v>
      </c>
      <c r="V242" s="31">
        <f t="shared" ca="1" si="55"/>
        <v>991.55990060542331</v>
      </c>
    </row>
    <row r="243" spans="1:22">
      <c r="A243" s="180">
        <f ca="1">'SAC_IOF Ñ USAR'!A243</f>
        <v>224</v>
      </c>
      <c r="B243" s="179">
        <f ca="1">'SAC_IOF Ñ USAR'!B243</f>
        <v>51560</v>
      </c>
      <c r="C243" s="177">
        <f t="shared" ca="1" si="45"/>
        <v>889.99100827727909</v>
      </c>
      <c r="D243" s="24">
        <f t="shared" ca="1" si="52"/>
        <v>40.939586381428128</v>
      </c>
      <c r="E243" s="177">
        <f t="shared" ca="1" si="46"/>
        <v>3559.9640331084706</v>
      </c>
      <c r="F243" s="178">
        <f t="shared" ca="1" si="47"/>
        <v>0.9344905586910075</v>
      </c>
      <c r="G243" s="178">
        <f t="shared" ca="1" si="48"/>
        <v>26.319999999999997</v>
      </c>
      <c r="H243" s="177">
        <f t="shared" ca="1" si="49"/>
        <v>25</v>
      </c>
      <c r="I243" s="25">
        <f t="shared" ca="1" si="50"/>
        <v>983.1850852173983</v>
      </c>
      <c r="J243" s="9" t="str">
        <f ca="1">'SAC_IOF Ñ USAR'!J243</f>
        <v/>
      </c>
      <c r="K243" s="9" t="str">
        <f ca="1">'SAC_IOF Ñ USAR'!K243</f>
        <v/>
      </c>
      <c r="L243" s="9">
        <f ca="1">'SAC_IOF Ñ USAR'!L243</f>
        <v>2</v>
      </c>
      <c r="N243" s="176">
        <f t="shared" ca="1" si="51"/>
        <v>29</v>
      </c>
      <c r="O243" s="176">
        <f t="shared" ca="1" si="53"/>
        <v>6840</v>
      </c>
      <c r="P243" s="175">
        <f t="shared" ca="1" si="42"/>
        <v>834.39144798065388</v>
      </c>
      <c r="Q243" s="11">
        <f t="shared" ca="1" si="43"/>
        <v>2.9930000000000002E-2</v>
      </c>
      <c r="R243" s="12">
        <f t="shared" ca="1" si="44"/>
        <v>24.973336038060971</v>
      </c>
      <c r="S243" s="513"/>
      <c r="U243">
        <f t="shared" ca="1" si="54"/>
        <v>930.93059465870726</v>
      </c>
      <c r="V243" s="31">
        <f t="shared" ca="1" si="55"/>
        <v>983.1850852173983</v>
      </c>
    </row>
    <row r="244" spans="1:22">
      <c r="A244" s="180">
        <f ca="1">'SAC_IOF Ñ USAR'!A244</f>
        <v>225</v>
      </c>
      <c r="B244" s="179">
        <f ca="1">'SAC_IOF Ñ USAR'!B244</f>
        <v>51590</v>
      </c>
      <c r="C244" s="177">
        <f t="shared" ca="1" si="45"/>
        <v>889.99100827727909</v>
      </c>
      <c r="D244" s="24">
        <f t="shared" ca="1" si="52"/>
        <v>32.751669105141318</v>
      </c>
      <c r="E244" s="177">
        <f t="shared" ca="1" si="46"/>
        <v>2669.9730248311917</v>
      </c>
      <c r="F244" s="178">
        <f t="shared" ca="1" si="47"/>
        <v>0.74759244695277882</v>
      </c>
      <c r="G244" s="178">
        <f t="shared" ca="1" si="48"/>
        <v>26.319999999999997</v>
      </c>
      <c r="H244" s="177">
        <f t="shared" ca="1" si="49"/>
        <v>25</v>
      </c>
      <c r="I244" s="25">
        <f t="shared" ca="1" si="50"/>
        <v>974.81026982937328</v>
      </c>
      <c r="J244" s="9" t="str">
        <f ca="1">'SAC_IOF Ñ USAR'!J244</f>
        <v/>
      </c>
      <c r="K244" s="9" t="str">
        <f ca="1">'SAC_IOF Ñ USAR'!K244</f>
        <v/>
      </c>
      <c r="L244" s="9">
        <f ca="1">'SAC_IOF Ñ USAR'!L244</f>
        <v>3</v>
      </c>
      <c r="N244" s="176">
        <f t="shared" ca="1" si="51"/>
        <v>30</v>
      </c>
      <c r="O244" s="176">
        <f t="shared" ca="1" si="53"/>
        <v>6870</v>
      </c>
      <c r="P244" s="175">
        <f t="shared" ca="1" si="42"/>
        <v>834.39144798065388</v>
      </c>
      <c r="Q244" s="11">
        <f t="shared" ca="1" si="43"/>
        <v>2.9930000000000002E-2</v>
      </c>
      <c r="R244" s="12">
        <f t="shared" ca="1" si="44"/>
        <v>24.973336038060971</v>
      </c>
      <c r="S244" s="513"/>
      <c r="U244">
        <f t="shared" ca="1" si="54"/>
        <v>922.74267738242042</v>
      </c>
      <c r="V244" s="31">
        <f t="shared" ca="1" si="55"/>
        <v>974.81026982937328</v>
      </c>
    </row>
    <row r="245" spans="1:22">
      <c r="A245" s="180">
        <f ca="1">'SAC_IOF Ñ USAR'!A245</f>
        <v>226</v>
      </c>
      <c r="B245" s="179">
        <f ca="1">'SAC_IOF Ñ USAR'!B245</f>
        <v>51621</v>
      </c>
      <c r="C245" s="177">
        <f t="shared" ca="1" si="45"/>
        <v>889.99100827727909</v>
      </c>
      <c r="D245" s="24">
        <f t="shared" ca="1" si="52"/>
        <v>24.563751828854503</v>
      </c>
      <c r="E245" s="177">
        <f t="shared" ca="1" si="46"/>
        <v>1779.9820165539127</v>
      </c>
      <c r="F245" s="178">
        <f t="shared" ca="1" si="47"/>
        <v>0.56069433521455025</v>
      </c>
      <c r="G245" s="178">
        <f t="shared" ca="1" si="48"/>
        <v>26.319999999999997</v>
      </c>
      <c r="H245" s="177">
        <f t="shared" ca="1" si="49"/>
        <v>25</v>
      </c>
      <c r="I245" s="25">
        <f t="shared" ca="1" si="50"/>
        <v>966.43545444134816</v>
      </c>
      <c r="J245" s="9" t="str">
        <f ca="1">'SAC_IOF Ñ USAR'!J245</f>
        <v/>
      </c>
      <c r="K245" s="9" t="str">
        <f ca="1">'SAC_IOF Ñ USAR'!K245</f>
        <v/>
      </c>
      <c r="L245" s="9">
        <f ca="1">'SAC_IOF Ñ USAR'!L245</f>
        <v>4</v>
      </c>
      <c r="N245" s="176">
        <f t="shared" ca="1" si="51"/>
        <v>31</v>
      </c>
      <c r="O245" s="176">
        <f t="shared" ca="1" si="53"/>
        <v>6901</v>
      </c>
      <c r="P245" s="175">
        <f t="shared" ca="1" si="42"/>
        <v>834.39144798065388</v>
      </c>
      <c r="Q245" s="11">
        <f t="shared" ca="1" si="43"/>
        <v>2.9930000000000002E-2</v>
      </c>
      <c r="R245" s="12">
        <f t="shared" ca="1" si="44"/>
        <v>24.973336038060971</v>
      </c>
      <c r="S245" s="513"/>
      <c r="U245">
        <f t="shared" ca="1" si="54"/>
        <v>914.55476010613359</v>
      </c>
      <c r="V245" s="31">
        <f t="shared" ca="1" si="55"/>
        <v>966.43545444134816</v>
      </c>
    </row>
    <row r="246" spans="1:22">
      <c r="A246" s="180">
        <f ca="1">'SAC_IOF Ñ USAR'!A246</f>
        <v>227</v>
      </c>
      <c r="B246" s="179">
        <f ca="1">'SAC_IOF Ñ USAR'!B246</f>
        <v>51651</v>
      </c>
      <c r="C246" s="177">
        <f t="shared" ca="1" si="45"/>
        <v>889.99100827727909</v>
      </c>
      <c r="D246" s="24">
        <f t="shared" ca="1" si="52"/>
        <v>16.375834552567689</v>
      </c>
      <c r="E246" s="177">
        <f t="shared" ca="1" si="46"/>
        <v>889.99100827663358</v>
      </c>
      <c r="F246" s="178">
        <f t="shared" ca="1" si="47"/>
        <v>0.37379622347632169</v>
      </c>
      <c r="G246" s="178">
        <f t="shared" ca="1" si="48"/>
        <v>26.319999999999997</v>
      </c>
      <c r="H246" s="177">
        <f t="shared" ca="1" si="49"/>
        <v>25</v>
      </c>
      <c r="I246" s="25">
        <f t="shared" ca="1" si="50"/>
        <v>958.06063905332314</v>
      </c>
      <c r="J246" s="9" t="str">
        <f ca="1">'SAC_IOF Ñ USAR'!J246</f>
        <v/>
      </c>
      <c r="K246" s="9" t="str">
        <f ca="1">'SAC_IOF Ñ USAR'!K246</f>
        <v/>
      </c>
      <c r="L246" s="9">
        <f ca="1">'SAC_IOF Ñ USAR'!L246</f>
        <v>5</v>
      </c>
      <c r="N246" s="176">
        <f t="shared" ca="1" si="51"/>
        <v>30</v>
      </c>
      <c r="O246" s="176">
        <f t="shared" ca="1" si="53"/>
        <v>6931</v>
      </c>
      <c r="P246" s="175">
        <f t="shared" ca="1" si="42"/>
        <v>834.39144798065388</v>
      </c>
      <c r="Q246" s="11">
        <f t="shared" ca="1" si="43"/>
        <v>2.9930000000000002E-2</v>
      </c>
      <c r="R246" s="12">
        <f t="shared" ca="1" si="44"/>
        <v>24.973336038060971</v>
      </c>
      <c r="S246" s="513"/>
      <c r="U246">
        <f t="shared" ca="1" si="54"/>
        <v>906.36684282984675</v>
      </c>
      <c r="V246" s="31">
        <f t="shared" ca="1" si="55"/>
        <v>958.06063905332314</v>
      </c>
    </row>
    <row r="247" spans="1:22">
      <c r="A247" s="180">
        <f ca="1">'SAC_IOF Ñ USAR'!A247</f>
        <v>228</v>
      </c>
      <c r="B247" s="179">
        <f ca="1">'SAC_IOF Ñ USAR'!B247</f>
        <v>51682</v>
      </c>
      <c r="C247" s="177">
        <f t="shared" ca="1" si="45"/>
        <v>889.99100827727909</v>
      </c>
      <c r="D247" s="24">
        <f t="shared" ca="1" si="52"/>
        <v>8.1879172762808761</v>
      </c>
      <c r="E247" s="177">
        <f t="shared" ca="1" si="46"/>
        <v>-6.4551386458333582E-10</v>
      </c>
      <c r="F247" s="178">
        <f t="shared" ca="1" si="47"/>
        <v>0.18689811173809306</v>
      </c>
      <c r="G247" s="178">
        <f t="shared" ca="1" si="48"/>
        <v>26.319999999999997</v>
      </c>
      <c r="H247" s="177">
        <f t="shared" ca="1" si="49"/>
        <v>25</v>
      </c>
      <c r="I247" s="25">
        <f t="shared" ca="1" si="50"/>
        <v>949.68582366529813</v>
      </c>
      <c r="J247" s="9" t="str">
        <f ca="1">'SAC_IOF Ñ USAR'!J247</f>
        <v/>
      </c>
      <c r="K247" s="9" t="str">
        <f ca="1">'SAC_IOF Ñ USAR'!K247</f>
        <v/>
      </c>
      <c r="L247" s="9">
        <f ca="1">'SAC_IOF Ñ USAR'!L247</f>
        <v>6</v>
      </c>
      <c r="N247" s="176">
        <f t="shared" ca="1" si="51"/>
        <v>31</v>
      </c>
      <c r="O247" s="176">
        <f t="shared" ca="1" si="53"/>
        <v>6962</v>
      </c>
      <c r="P247" s="175">
        <f t="shared" ca="1" si="42"/>
        <v>834.39144798065388</v>
      </c>
      <c r="Q247" s="11">
        <f t="shared" ca="1" si="43"/>
        <v>2.9930000000000002E-2</v>
      </c>
      <c r="R247" s="12">
        <f t="shared" ca="1" si="44"/>
        <v>24.973336038060971</v>
      </c>
      <c r="S247" s="513"/>
      <c r="U247">
        <f t="shared" ca="1" si="54"/>
        <v>898.17892555356002</v>
      </c>
      <c r="V247" s="31">
        <f t="shared" ca="1" si="55"/>
        <v>949.68582366529813</v>
      </c>
    </row>
    <row r="248" spans="1:22">
      <c r="A248" s="180" t="str">
        <f ca="1">'SAC_IOF Ñ USAR'!A248</f>
        <v/>
      </c>
      <c r="B248" s="179" t="str">
        <f ca="1">'SAC_IOF Ñ USAR'!B248</f>
        <v/>
      </c>
      <c r="C248" s="177">
        <f t="shared" ca="1" si="45"/>
        <v>0</v>
      </c>
      <c r="D248" s="24" t="str">
        <f t="shared" ca="1" si="52"/>
        <v/>
      </c>
      <c r="E248" s="177">
        <f t="shared" ca="1" si="46"/>
        <v>-6.4551386458333582E-10</v>
      </c>
      <c r="F248" s="178" t="str">
        <f t="shared" ca="1" si="47"/>
        <v/>
      </c>
      <c r="G248" s="178" t="str">
        <f t="shared" ca="1" si="48"/>
        <v/>
      </c>
      <c r="H248" s="177" t="str">
        <f t="shared" ca="1" si="49"/>
        <v/>
      </c>
      <c r="I248" s="25">
        <f t="shared" ca="1" si="50"/>
        <v>0</v>
      </c>
      <c r="J248" s="9" t="str">
        <f ca="1">'SAC_IOF Ñ USAR'!J248</f>
        <v/>
      </c>
      <c r="K248" s="9" t="str">
        <f ca="1">'SAC_IOF Ñ USAR'!K248</f>
        <v/>
      </c>
      <c r="L248" s="9" t="str">
        <f ca="1">'SAC_IOF Ñ USAR'!L248</f>
        <v/>
      </c>
      <c r="N248" s="176" t="str">
        <f t="shared" ca="1" si="51"/>
        <v/>
      </c>
      <c r="O248" s="176" t="str">
        <f t="shared" ca="1" si="53"/>
        <v/>
      </c>
      <c r="P248" s="175" t="str">
        <f t="shared" ca="1" si="42"/>
        <v/>
      </c>
      <c r="Q248" s="11" t="str">
        <f t="shared" ca="1" si="43"/>
        <v/>
      </c>
      <c r="R248" s="12" t="str">
        <f t="shared" ca="1" si="44"/>
        <v/>
      </c>
      <c r="S248" s="513"/>
      <c r="U248" t="str">
        <f t="shared" ca="1" si="54"/>
        <v/>
      </c>
      <c r="V248" s="31">
        <f t="shared" ca="1" si="55"/>
        <v>0</v>
      </c>
    </row>
    <row r="249" spans="1:22">
      <c r="A249" s="180" t="str">
        <f ca="1">'SAC_IOF Ñ USAR'!A249</f>
        <v/>
      </c>
      <c r="B249" s="179" t="str">
        <f ca="1">'SAC_IOF Ñ USAR'!B249</f>
        <v/>
      </c>
      <c r="C249" s="177">
        <f t="shared" ca="1" si="45"/>
        <v>0</v>
      </c>
      <c r="D249" s="24" t="str">
        <f t="shared" ca="1" si="52"/>
        <v/>
      </c>
      <c r="E249" s="177">
        <f t="shared" ca="1" si="46"/>
        <v>-6.4551386458333582E-10</v>
      </c>
      <c r="F249" s="178" t="str">
        <f t="shared" ca="1" si="47"/>
        <v/>
      </c>
      <c r="G249" s="178" t="str">
        <f t="shared" ca="1" si="48"/>
        <v/>
      </c>
      <c r="H249" s="177" t="str">
        <f t="shared" ca="1" si="49"/>
        <v/>
      </c>
      <c r="I249" s="25">
        <f t="shared" ca="1" si="50"/>
        <v>0</v>
      </c>
      <c r="J249" s="9" t="str">
        <f ca="1">'SAC_IOF Ñ USAR'!J249</f>
        <v/>
      </c>
      <c r="K249" s="9" t="str">
        <f ca="1">'SAC_IOF Ñ USAR'!K249</f>
        <v/>
      </c>
      <c r="L249" s="9" t="str">
        <f ca="1">'SAC_IOF Ñ USAR'!L249</f>
        <v/>
      </c>
      <c r="N249" s="176" t="str">
        <f t="shared" ca="1" si="51"/>
        <v/>
      </c>
      <c r="O249" s="176" t="str">
        <f t="shared" ca="1" si="53"/>
        <v/>
      </c>
      <c r="P249" s="175" t="str">
        <f t="shared" ca="1" si="42"/>
        <v/>
      </c>
      <c r="Q249" s="11" t="str">
        <f t="shared" ca="1" si="43"/>
        <v/>
      </c>
      <c r="R249" s="12" t="str">
        <f t="shared" ca="1" si="44"/>
        <v/>
      </c>
      <c r="S249" s="513"/>
      <c r="U249" t="str">
        <f t="shared" ca="1" si="54"/>
        <v/>
      </c>
      <c r="V249" s="31">
        <f t="shared" ca="1" si="55"/>
        <v>0</v>
      </c>
    </row>
    <row r="250" spans="1:22">
      <c r="A250" s="180" t="str">
        <f ca="1">'SAC_IOF Ñ USAR'!A250</f>
        <v/>
      </c>
      <c r="B250" s="179" t="str">
        <f ca="1">'SAC_IOF Ñ USAR'!B250</f>
        <v/>
      </c>
      <c r="C250" s="177">
        <f t="shared" ca="1" si="45"/>
        <v>0</v>
      </c>
      <c r="D250" s="24" t="str">
        <f t="shared" ca="1" si="52"/>
        <v/>
      </c>
      <c r="E250" s="177">
        <f t="shared" ca="1" si="46"/>
        <v>-6.4551386458333582E-10</v>
      </c>
      <c r="F250" s="178" t="str">
        <f t="shared" ca="1" si="47"/>
        <v/>
      </c>
      <c r="G250" s="178" t="str">
        <f t="shared" ca="1" si="48"/>
        <v/>
      </c>
      <c r="H250" s="177" t="str">
        <f t="shared" ca="1" si="49"/>
        <v/>
      </c>
      <c r="I250" s="25">
        <f t="shared" ca="1" si="50"/>
        <v>0</v>
      </c>
      <c r="J250" s="9" t="str">
        <f ca="1">'SAC_IOF Ñ USAR'!J250</f>
        <v/>
      </c>
      <c r="K250" s="9" t="str">
        <f ca="1">'SAC_IOF Ñ USAR'!K250</f>
        <v/>
      </c>
      <c r="L250" s="9" t="str">
        <f ca="1">'SAC_IOF Ñ USAR'!L250</f>
        <v/>
      </c>
      <c r="N250" s="176" t="str">
        <f t="shared" ca="1" si="51"/>
        <v/>
      </c>
      <c r="O250" s="176" t="str">
        <f t="shared" ca="1" si="53"/>
        <v/>
      </c>
      <c r="P250" s="175" t="str">
        <f t="shared" ca="1" si="42"/>
        <v/>
      </c>
      <c r="Q250" s="11" t="str">
        <f t="shared" ca="1" si="43"/>
        <v/>
      </c>
      <c r="R250" s="12" t="str">
        <f t="shared" ca="1" si="44"/>
        <v/>
      </c>
      <c r="S250" s="513"/>
      <c r="U250" t="str">
        <f t="shared" ca="1" si="54"/>
        <v/>
      </c>
      <c r="V250" s="31">
        <f t="shared" ca="1" si="55"/>
        <v>0</v>
      </c>
    </row>
    <row r="251" spans="1:22">
      <c r="A251" s="180" t="str">
        <f ca="1">'SAC_IOF Ñ USAR'!A251</f>
        <v/>
      </c>
      <c r="B251" s="179" t="str">
        <f ca="1">'SAC_IOF Ñ USAR'!B251</f>
        <v/>
      </c>
      <c r="C251" s="177">
        <f t="shared" ca="1" si="45"/>
        <v>0</v>
      </c>
      <c r="D251" s="24" t="str">
        <f t="shared" ca="1" si="52"/>
        <v/>
      </c>
      <c r="E251" s="177">
        <f t="shared" ca="1" si="46"/>
        <v>-6.4551386458333582E-10</v>
      </c>
      <c r="F251" s="178" t="str">
        <f t="shared" ca="1" si="47"/>
        <v/>
      </c>
      <c r="G251" s="178" t="str">
        <f t="shared" ca="1" si="48"/>
        <v/>
      </c>
      <c r="H251" s="177" t="str">
        <f t="shared" ca="1" si="49"/>
        <v/>
      </c>
      <c r="I251" s="25">
        <f t="shared" ca="1" si="50"/>
        <v>0</v>
      </c>
      <c r="J251" s="9" t="str">
        <f ca="1">'SAC_IOF Ñ USAR'!J251</f>
        <v/>
      </c>
      <c r="K251" s="9" t="str">
        <f ca="1">'SAC_IOF Ñ USAR'!K251</f>
        <v/>
      </c>
      <c r="L251" s="9" t="str">
        <f ca="1">'SAC_IOF Ñ USAR'!L251</f>
        <v/>
      </c>
      <c r="N251" s="176" t="str">
        <f t="shared" ca="1" si="51"/>
        <v/>
      </c>
      <c r="O251" s="176" t="str">
        <f t="shared" ca="1" si="53"/>
        <v/>
      </c>
      <c r="P251" s="175" t="str">
        <f t="shared" ca="1" si="42"/>
        <v/>
      </c>
      <c r="Q251" s="11" t="str">
        <f t="shared" ca="1" si="43"/>
        <v/>
      </c>
      <c r="R251" s="12" t="str">
        <f t="shared" ca="1" si="44"/>
        <v/>
      </c>
      <c r="S251" s="513"/>
      <c r="U251" t="str">
        <f t="shared" ca="1" si="54"/>
        <v/>
      </c>
      <c r="V251" s="31">
        <f t="shared" ca="1" si="55"/>
        <v>0</v>
      </c>
    </row>
    <row r="252" spans="1:22">
      <c r="A252" s="180" t="str">
        <f ca="1">'SAC_IOF Ñ USAR'!A252</f>
        <v/>
      </c>
      <c r="B252" s="179" t="str">
        <f ca="1">'SAC_IOF Ñ USAR'!B252</f>
        <v/>
      </c>
      <c r="C252" s="177">
        <f t="shared" ca="1" si="45"/>
        <v>0</v>
      </c>
      <c r="D252" s="24" t="str">
        <f t="shared" ca="1" si="52"/>
        <v/>
      </c>
      <c r="E252" s="177">
        <f t="shared" ca="1" si="46"/>
        <v>-6.4551386458333582E-10</v>
      </c>
      <c r="F252" s="178" t="str">
        <f t="shared" ca="1" si="47"/>
        <v/>
      </c>
      <c r="G252" s="178" t="str">
        <f t="shared" ca="1" si="48"/>
        <v/>
      </c>
      <c r="H252" s="177" t="str">
        <f t="shared" ca="1" si="49"/>
        <v/>
      </c>
      <c r="I252" s="25">
        <f t="shared" ca="1" si="50"/>
        <v>0</v>
      </c>
      <c r="J252" s="9" t="str">
        <f ca="1">'SAC_IOF Ñ USAR'!J252</f>
        <v/>
      </c>
      <c r="K252" s="9" t="str">
        <f ca="1">'SAC_IOF Ñ USAR'!K252</f>
        <v/>
      </c>
      <c r="L252" s="9" t="str">
        <f ca="1">'SAC_IOF Ñ USAR'!L252</f>
        <v/>
      </c>
      <c r="N252" s="176" t="str">
        <f t="shared" ca="1" si="51"/>
        <v/>
      </c>
      <c r="O252" s="176" t="str">
        <f t="shared" ca="1" si="53"/>
        <v/>
      </c>
      <c r="P252" s="175" t="str">
        <f t="shared" ca="1" si="42"/>
        <v/>
      </c>
      <c r="Q252" s="11" t="str">
        <f t="shared" ca="1" si="43"/>
        <v/>
      </c>
      <c r="R252" s="12" t="str">
        <f t="shared" ca="1" si="44"/>
        <v/>
      </c>
      <c r="S252" s="513"/>
      <c r="U252" t="str">
        <f t="shared" ca="1" si="54"/>
        <v/>
      </c>
      <c r="V252" s="31">
        <f t="shared" ca="1" si="55"/>
        <v>0</v>
      </c>
    </row>
    <row r="253" spans="1:22">
      <c r="A253" s="180" t="str">
        <f ca="1">'SAC_IOF Ñ USAR'!A253</f>
        <v/>
      </c>
      <c r="B253" s="179" t="str">
        <f ca="1">'SAC_IOF Ñ USAR'!B253</f>
        <v/>
      </c>
      <c r="C253" s="177">
        <f t="shared" ca="1" si="45"/>
        <v>0</v>
      </c>
      <c r="D253" s="24" t="str">
        <f t="shared" ca="1" si="52"/>
        <v/>
      </c>
      <c r="E253" s="177">
        <f t="shared" ca="1" si="46"/>
        <v>-6.4551386458333582E-10</v>
      </c>
      <c r="F253" s="178" t="str">
        <f t="shared" ca="1" si="47"/>
        <v/>
      </c>
      <c r="G253" s="178" t="str">
        <f t="shared" ca="1" si="48"/>
        <v/>
      </c>
      <c r="H253" s="177" t="str">
        <f t="shared" ca="1" si="49"/>
        <v/>
      </c>
      <c r="I253" s="25">
        <f t="shared" ca="1" si="50"/>
        <v>0</v>
      </c>
      <c r="J253" s="9" t="str">
        <f ca="1">'SAC_IOF Ñ USAR'!J253</f>
        <v/>
      </c>
      <c r="K253" s="9" t="str">
        <f ca="1">'SAC_IOF Ñ USAR'!K253</f>
        <v/>
      </c>
      <c r="L253" s="9" t="str">
        <f ca="1">'SAC_IOF Ñ USAR'!L253</f>
        <v/>
      </c>
      <c r="N253" s="176" t="str">
        <f t="shared" ca="1" si="51"/>
        <v/>
      </c>
      <c r="O253" s="176" t="str">
        <f t="shared" ca="1" si="53"/>
        <v/>
      </c>
      <c r="P253" s="175" t="str">
        <f t="shared" ca="1" si="42"/>
        <v/>
      </c>
      <c r="Q253" s="11" t="str">
        <f t="shared" ca="1" si="43"/>
        <v/>
      </c>
      <c r="R253" s="12" t="str">
        <f t="shared" ca="1" si="44"/>
        <v/>
      </c>
      <c r="S253" s="513"/>
      <c r="U253" t="str">
        <f t="shared" ca="1" si="54"/>
        <v/>
      </c>
      <c r="V253" s="31">
        <f t="shared" ca="1" si="55"/>
        <v>0</v>
      </c>
    </row>
    <row r="254" spans="1:22">
      <c r="A254" s="180" t="str">
        <f ca="1">'SAC_IOF Ñ USAR'!A254</f>
        <v/>
      </c>
      <c r="B254" s="179" t="str">
        <f ca="1">'SAC_IOF Ñ USAR'!B254</f>
        <v/>
      </c>
      <c r="C254" s="177">
        <f t="shared" ca="1" si="45"/>
        <v>0</v>
      </c>
      <c r="D254" s="24" t="str">
        <f t="shared" ca="1" si="52"/>
        <v/>
      </c>
      <c r="E254" s="177">
        <f t="shared" ca="1" si="46"/>
        <v>-6.4551386458333582E-10</v>
      </c>
      <c r="F254" s="178" t="str">
        <f t="shared" ca="1" si="47"/>
        <v/>
      </c>
      <c r="G254" s="178" t="str">
        <f t="shared" ca="1" si="48"/>
        <v/>
      </c>
      <c r="H254" s="177" t="str">
        <f t="shared" ca="1" si="49"/>
        <v/>
      </c>
      <c r="I254" s="25">
        <f t="shared" ca="1" si="50"/>
        <v>0</v>
      </c>
      <c r="J254" s="9" t="str">
        <f ca="1">'SAC_IOF Ñ USAR'!J254</f>
        <v/>
      </c>
      <c r="K254" s="9" t="str">
        <f ca="1">'SAC_IOF Ñ USAR'!K254</f>
        <v/>
      </c>
      <c r="L254" s="9" t="str">
        <f ca="1">'SAC_IOF Ñ USAR'!L254</f>
        <v/>
      </c>
      <c r="N254" s="176" t="str">
        <f t="shared" ca="1" si="51"/>
        <v/>
      </c>
      <c r="O254" s="176" t="str">
        <f t="shared" ca="1" si="53"/>
        <v/>
      </c>
      <c r="P254" s="175" t="str">
        <f t="shared" ca="1" si="42"/>
        <v/>
      </c>
      <c r="Q254" s="11" t="str">
        <f t="shared" ca="1" si="43"/>
        <v/>
      </c>
      <c r="R254" s="12" t="str">
        <f t="shared" ca="1" si="44"/>
        <v/>
      </c>
      <c r="S254" s="513"/>
      <c r="U254" t="str">
        <f t="shared" ca="1" si="54"/>
        <v/>
      </c>
      <c r="V254" s="31">
        <f t="shared" ca="1" si="55"/>
        <v>0</v>
      </c>
    </row>
    <row r="255" spans="1:22">
      <c r="A255" s="180" t="str">
        <f ca="1">'SAC_IOF Ñ USAR'!A255</f>
        <v/>
      </c>
      <c r="B255" s="179" t="str">
        <f ca="1">'SAC_IOF Ñ USAR'!B255</f>
        <v/>
      </c>
      <c r="C255" s="177">
        <f t="shared" ca="1" si="45"/>
        <v>0</v>
      </c>
      <c r="D255" s="24" t="str">
        <f t="shared" ca="1" si="52"/>
        <v/>
      </c>
      <c r="E255" s="177">
        <f t="shared" ca="1" si="46"/>
        <v>-6.4551386458333582E-10</v>
      </c>
      <c r="F255" s="178" t="str">
        <f t="shared" ca="1" si="47"/>
        <v/>
      </c>
      <c r="G255" s="178" t="str">
        <f t="shared" ca="1" si="48"/>
        <v/>
      </c>
      <c r="H255" s="177" t="str">
        <f t="shared" ca="1" si="49"/>
        <v/>
      </c>
      <c r="I255" s="25">
        <f t="shared" ca="1" si="50"/>
        <v>0</v>
      </c>
      <c r="J255" s="9" t="str">
        <f ca="1">'SAC_IOF Ñ USAR'!J255</f>
        <v/>
      </c>
      <c r="K255" s="9" t="str">
        <f ca="1">'SAC_IOF Ñ USAR'!K255</f>
        <v/>
      </c>
      <c r="L255" s="9" t="str">
        <f ca="1">'SAC_IOF Ñ USAR'!L255</f>
        <v/>
      </c>
      <c r="N255" s="176" t="str">
        <f t="shared" ca="1" si="51"/>
        <v/>
      </c>
      <c r="O255" s="176" t="str">
        <f t="shared" ca="1" si="53"/>
        <v/>
      </c>
      <c r="P255" s="175" t="str">
        <f t="shared" ca="1" si="42"/>
        <v/>
      </c>
      <c r="Q255" s="11" t="str">
        <f t="shared" ca="1" si="43"/>
        <v/>
      </c>
      <c r="R255" s="12" t="str">
        <f t="shared" ca="1" si="44"/>
        <v/>
      </c>
      <c r="S255" s="513"/>
      <c r="U255" t="str">
        <f t="shared" ca="1" si="54"/>
        <v/>
      </c>
      <c r="V255" s="31">
        <f t="shared" ca="1" si="55"/>
        <v>0</v>
      </c>
    </row>
    <row r="256" spans="1:22">
      <c r="A256" s="180" t="str">
        <f ca="1">'SAC_IOF Ñ USAR'!A256</f>
        <v/>
      </c>
      <c r="B256" s="179" t="str">
        <f ca="1">'SAC_IOF Ñ USAR'!B256</f>
        <v/>
      </c>
      <c r="C256" s="177">
        <f t="shared" ca="1" si="45"/>
        <v>0</v>
      </c>
      <c r="D256" s="24" t="str">
        <f t="shared" ca="1" si="52"/>
        <v/>
      </c>
      <c r="E256" s="177">
        <f t="shared" ca="1" si="46"/>
        <v>-6.4551386458333582E-10</v>
      </c>
      <c r="F256" s="178" t="str">
        <f t="shared" ca="1" si="47"/>
        <v/>
      </c>
      <c r="G256" s="178" t="str">
        <f t="shared" ca="1" si="48"/>
        <v/>
      </c>
      <c r="H256" s="177" t="str">
        <f t="shared" ca="1" si="49"/>
        <v/>
      </c>
      <c r="I256" s="25">
        <f t="shared" ca="1" si="50"/>
        <v>0</v>
      </c>
      <c r="J256" s="9" t="str">
        <f ca="1">'SAC_IOF Ñ USAR'!J256</f>
        <v/>
      </c>
      <c r="K256" s="9" t="str">
        <f ca="1">'SAC_IOF Ñ USAR'!K256</f>
        <v/>
      </c>
      <c r="L256" s="9" t="str">
        <f ca="1">'SAC_IOF Ñ USAR'!L256</f>
        <v/>
      </c>
      <c r="N256" s="176" t="str">
        <f t="shared" ca="1" si="51"/>
        <v/>
      </c>
      <c r="O256" s="176" t="str">
        <f t="shared" ca="1" si="53"/>
        <v/>
      </c>
      <c r="P256" s="175" t="str">
        <f t="shared" ca="1" si="42"/>
        <v/>
      </c>
      <c r="Q256" s="11" t="str">
        <f t="shared" ca="1" si="43"/>
        <v/>
      </c>
      <c r="R256" s="12" t="str">
        <f t="shared" ca="1" si="44"/>
        <v/>
      </c>
      <c r="S256" s="513"/>
      <c r="U256" t="str">
        <f t="shared" ca="1" si="54"/>
        <v/>
      </c>
      <c r="V256" s="31">
        <f t="shared" ca="1" si="55"/>
        <v>0</v>
      </c>
    </row>
    <row r="257" spans="1:22">
      <c r="A257" s="180" t="str">
        <f ca="1">'SAC_IOF Ñ USAR'!A257</f>
        <v/>
      </c>
      <c r="B257" s="179" t="str">
        <f ca="1">'SAC_IOF Ñ USAR'!B257</f>
        <v/>
      </c>
      <c r="C257" s="177">
        <f t="shared" ca="1" si="45"/>
        <v>0</v>
      </c>
      <c r="D257" s="24" t="str">
        <f t="shared" ca="1" si="52"/>
        <v/>
      </c>
      <c r="E257" s="177">
        <f t="shared" ca="1" si="46"/>
        <v>-6.4551386458333582E-10</v>
      </c>
      <c r="F257" s="178" t="str">
        <f t="shared" ca="1" si="47"/>
        <v/>
      </c>
      <c r="G257" s="178" t="str">
        <f t="shared" ca="1" si="48"/>
        <v/>
      </c>
      <c r="H257" s="177" t="str">
        <f t="shared" ca="1" si="49"/>
        <v/>
      </c>
      <c r="I257" s="25">
        <f t="shared" ca="1" si="50"/>
        <v>0</v>
      </c>
      <c r="J257" s="9" t="str">
        <f ca="1">'SAC_IOF Ñ USAR'!J257</f>
        <v/>
      </c>
      <c r="K257" s="9" t="str">
        <f ca="1">'SAC_IOF Ñ USAR'!K257</f>
        <v/>
      </c>
      <c r="L257" s="9" t="str">
        <f ca="1">'SAC_IOF Ñ USAR'!L257</f>
        <v/>
      </c>
      <c r="N257" s="176" t="str">
        <f t="shared" ca="1" si="51"/>
        <v/>
      </c>
      <c r="O257" s="176" t="str">
        <f t="shared" ca="1" si="53"/>
        <v/>
      </c>
      <c r="P257" s="175" t="str">
        <f t="shared" ca="1" si="42"/>
        <v/>
      </c>
      <c r="Q257" s="11" t="str">
        <f t="shared" ca="1" si="43"/>
        <v/>
      </c>
      <c r="R257" s="12" t="str">
        <f t="shared" ca="1" si="44"/>
        <v/>
      </c>
      <c r="S257" s="513"/>
      <c r="U257" t="str">
        <f t="shared" ca="1" si="54"/>
        <v/>
      </c>
      <c r="V257" s="31">
        <f t="shared" ca="1" si="55"/>
        <v>0</v>
      </c>
    </row>
    <row r="258" spans="1:22">
      <c r="A258" s="180" t="str">
        <f ca="1">'SAC_IOF Ñ USAR'!A258</f>
        <v/>
      </c>
      <c r="B258" s="179" t="str">
        <f ca="1">'SAC_IOF Ñ USAR'!B258</f>
        <v/>
      </c>
      <c r="C258" s="177">
        <f t="shared" ca="1" si="45"/>
        <v>0</v>
      </c>
      <c r="D258" s="24" t="str">
        <f t="shared" ca="1" si="52"/>
        <v/>
      </c>
      <c r="E258" s="177">
        <f t="shared" ca="1" si="46"/>
        <v>-6.4551386458333582E-10</v>
      </c>
      <c r="F258" s="178" t="str">
        <f t="shared" ca="1" si="47"/>
        <v/>
      </c>
      <c r="G258" s="178" t="str">
        <f t="shared" ca="1" si="48"/>
        <v/>
      </c>
      <c r="H258" s="177" t="str">
        <f t="shared" ca="1" si="49"/>
        <v/>
      </c>
      <c r="I258" s="25">
        <f t="shared" ca="1" si="50"/>
        <v>0</v>
      </c>
      <c r="J258" s="9" t="str">
        <f ca="1">'SAC_IOF Ñ USAR'!J258</f>
        <v/>
      </c>
      <c r="K258" s="9" t="str">
        <f ca="1">'SAC_IOF Ñ USAR'!K258</f>
        <v/>
      </c>
      <c r="L258" s="9" t="str">
        <f ca="1">'SAC_IOF Ñ USAR'!L258</f>
        <v/>
      </c>
      <c r="N258" s="176" t="str">
        <f t="shared" ca="1" si="51"/>
        <v/>
      </c>
      <c r="O258" s="176" t="str">
        <f t="shared" ca="1" si="53"/>
        <v/>
      </c>
      <c r="P258" s="175" t="str">
        <f t="shared" ca="1" si="42"/>
        <v/>
      </c>
      <c r="Q258" s="11" t="str">
        <f t="shared" ca="1" si="43"/>
        <v/>
      </c>
      <c r="R258" s="12" t="str">
        <f t="shared" ca="1" si="44"/>
        <v/>
      </c>
      <c r="S258" s="513"/>
      <c r="U258" t="str">
        <f t="shared" ca="1" si="54"/>
        <v/>
      </c>
      <c r="V258" s="31">
        <f t="shared" ca="1" si="55"/>
        <v>0</v>
      </c>
    </row>
    <row r="259" spans="1:22">
      <c r="A259" s="180" t="str">
        <f ca="1">'SAC_IOF Ñ USAR'!A259</f>
        <v/>
      </c>
      <c r="B259" s="179" t="str">
        <f ca="1">'SAC_IOF Ñ USAR'!B259</f>
        <v/>
      </c>
      <c r="C259" s="177">
        <f t="shared" ca="1" si="45"/>
        <v>0</v>
      </c>
      <c r="D259" s="24" t="str">
        <f t="shared" ca="1" si="52"/>
        <v/>
      </c>
      <c r="E259" s="177">
        <f t="shared" ca="1" si="46"/>
        <v>-6.4551386458333582E-10</v>
      </c>
      <c r="F259" s="178" t="str">
        <f t="shared" ca="1" si="47"/>
        <v/>
      </c>
      <c r="G259" s="178" t="str">
        <f t="shared" ca="1" si="48"/>
        <v/>
      </c>
      <c r="H259" s="177" t="str">
        <f t="shared" ca="1" si="49"/>
        <v/>
      </c>
      <c r="I259" s="25">
        <f t="shared" ca="1" si="50"/>
        <v>0</v>
      </c>
      <c r="J259" s="9" t="str">
        <f ca="1">'SAC_IOF Ñ USAR'!J259</f>
        <v/>
      </c>
      <c r="K259" s="9" t="str">
        <f ca="1">'SAC_IOF Ñ USAR'!K259</f>
        <v/>
      </c>
      <c r="L259" s="9" t="str">
        <f ca="1">'SAC_IOF Ñ USAR'!L259</f>
        <v/>
      </c>
      <c r="N259" s="176" t="str">
        <f t="shared" ca="1" si="51"/>
        <v/>
      </c>
      <c r="O259" s="176" t="str">
        <f t="shared" ca="1" si="53"/>
        <v/>
      </c>
      <c r="P259" s="175" t="str">
        <f t="shared" ca="1" si="42"/>
        <v/>
      </c>
      <c r="Q259" s="11" t="str">
        <f t="shared" ca="1" si="43"/>
        <v/>
      </c>
      <c r="R259" s="12" t="str">
        <f t="shared" ca="1" si="44"/>
        <v/>
      </c>
      <c r="S259" s="513"/>
      <c r="U259" t="str">
        <f t="shared" ca="1" si="54"/>
        <v/>
      </c>
      <c r="V259" s="31">
        <f t="shared" ca="1" si="55"/>
        <v>0</v>
      </c>
    </row>
    <row r="260" spans="1:22">
      <c r="A260" s="180" t="str">
        <f ca="1">'SAC_IOF Ñ USAR'!A260</f>
        <v/>
      </c>
      <c r="B260" s="179" t="str">
        <f ca="1">'SAC_IOF Ñ USAR'!B260</f>
        <v/>
      </c>
      <c r="C260" s="177">
        <f t="shared" ca="1" si="45"/>
        <v>0</v>
      </c>
      <c r="D260" s="24" t="str">
        <f t="shared" ca="1" si="52"/>
        <v/>
      </c>
      <c r="E260" s="177">
        <f t="shared" ca="1" si="46"/>
        <v>-6.4551386458333582E-10</v>
      </c>
      <c r="F260" s="178" t="str">
        <f t="shared" ca="1" si="47"/>
        <v/>
      </c>
      <c r="G260" s="178" t="str">
        <f t="shared" ca="1" si="48"/>
        <v/>
      </c>
      <c r="H260" s="177" t="str">
        <f t="shared" ca="1" si="49"/>
        <v/>
      </c>
      <c r="I260" s="25">
        <f t="shared" ca="1" si="50"/>
        <v>0</v>
      </c>
      <c r="J260" s="9" t="str">
        <f ca="1">'SAC_IOF Ñ USAR'!J260</f>
        <v/>
      </c>
      <c r="K260" s="9" t="str">
        <f ca="1">'SAC_IOF Ñ USAR'!K260</f>
        <v/>
      </c>
      <c r="L260" s="9" t="str">
        <f ca="1">'SAC_IOF Ñ USAR'!L260</f>
        <v/>
      </c>
      <c r="N260" s="176" t="str">
        <f t="shared" ca="1" si="51"/>
        <v/>
      </c>
      <c r="O260" s="176" t="str">
        <f t="shared" ca="1" si="53"/>
        <v/>
      </c>
      <c r="P260" s="175" t="str">
        <f t="shared" ca="1" si="42"/>
        <v/>
      </c>
      <c r="Q260" s="11" t="str">
        <f t="shared" ca="1" si="43"/>
        <v/>
      </c>
      <c r="R260" s="12" t="str">
        <f t="shared" ca="1" si="44"/>
        <v/>
      </c>
      <c r="S260" s="513"/>
      <c r="U260" t="str">
        <f t="shared" ca="1" si="54"/>
        <v/>
      </c>
      <c r="V260" s="31">
        <f t="shared" ca="1" si="55"/>
        <v>0</v>
      </c>
    </row>
    <row r="261" spans="1:22">
      <c r="A261" s="180" t="str">
        <f ca="1">'SAC_IOF Ñ USAR'!A261</f>
        <v/>
      </c>
      <c r="B261" s="179" t="str">
        <f ca="1">'SAC_IOF Ñ USAR'!B261</f>
        <v/>
      </c>
      <c r="C261" s="177">
        <f t="shared" ca="1" si="45"/>
        <v>0</v>
      </c>
      <c r="D261" s="24" t="str">
        <f t="shared" ca="1" si="52"/>
        <v/>
      </c>
      <c r="E261" s="177">
        <f t="shared" ca="1" si="46"/>
        <v>-6.4551386458333582E-10</v>
      </c>
      <c r="F261" s="178" t="str">
        <f t="shared" ca="1" si="47"/>
        <v/>
      </c>
      <c r="G261" s="178" t="str">
        <f t="shared" ca="1" si="48"/>
        <v/>
      </c>
      <c r="H261" s="177" t="str">
        <f t="shared" ca="1" si="49"/>
        <v/>
      </c>
      <c r="I261" s="25">
        <f t="shared" ca="1" si="50"/>
        <v>0</v>
      </c>
      <c r="J261" s="9" t="str">
        <f ca="1">'SAC_IOF Ñ USAR'!J261</f>
        <v/>
      </c>
      <c r="K261" s="9" t="str">
        <f ca="1">'SAC_IOF Ñ USAR'!K261</f>
        <v/>
      </c>
      <c r="L261" s="9" t="str">
        <f ca="1">'SAC_IOF Ñ USAR'!L261</f>
        <v/>
      </c>
      <c r="N261" s="176" t="str">
        <f t="shared" ca="1" si="51"/>
        <v/>
      </c>
      <c r="O261" s="176" t="str">
        <f t="shared" ca="1" si="53"/>
        <v/>
      </c>
      <c r="P261" s="175" t="str">
        <f t="shared" ca="1" si="42"/>
        <v/>
      </c>
      <c r="Q261" s="11" t="str">
        <f t="shared" ca="1" si="43"/>
        <v/>
      </c>
      <c r="R261" s="12" t="str">
        <f t="shared" ca="1" si="44"/>
        <v/>
      </c>
      <c r="S261" s="513"/>
      <c r="U261" t="str">
        <f t="shared" ca="1" si="54"/>
        <v/>
      </c>
      <c r="V261" s="31">
        <f t="shared" ca="1" si="55"/>
        <v>0</v>
      </c>
    </row>
    <row r="262" spans="1:22">
      <c r="A262" s="180" t="str">
        <f ca="1">'SAC_IOF Ñ USAR'!A262</f>
        <v/>
      </c>
      <c r="B262" s="179" t="str">
        <f ca="1">'SAC_IOF Ñ USAR'!B262</f>
        <v/>
      </c>
      <c r="C262" s="177">
        <f t="shared" ca="1" si="45"/>
        <v>0</v>
      </c>
      <c r="D262" s="24" t="str">
        <f t="shared" ca="1" si="52"/>
        <v/>
      </c>
      <c r="E262" s="177">
        <f t="shared" ca="1" si="46"/>
        <v>-6.4551386458333582E-10</v>
      </c>
      <c r="F262" s="178" t="str">
        <f t="shared" ca="1" si="47"/>
        <v/>
      </c>
      <c r="G262" s="178" t="str">
        <f t="shared" ca="1" si="48"/>
        <v/>
      </c>
      <c r="H262" s="177" t="str">
        <f t="shared" ca="1" si="49"/>
        <v/>
      </c>
      <c r="I262" s="25">
        <f t="shared" ca="1" si="50"/>
        <v>0</v>
      </c>
      <c r="J262" s="9" t="str">
        <f ca="1">'SAC_IOF Ñ USAR'!J262</f>
        <v/>
      </c>
      <c r="K262" s="9" t="str">
        <f ca="1">'SAC_IOF Ñ USAR'!K262</f>
        <v/>
      </c>
      <c r="L262" s="9" t="str">
        <f ca="1">'SAC_IOF Ñ USAR'!L262</f>
        <v/>
      </c>
      <c r="N262" s="176" t="str">
        <f t="shared" ca="1" si="51"/>
        <v/>
      </c>
      <c r="O262" s="176" t="str">
        <f t="shared" ca="1" si="53"/>
        <v/>
      </c>
      <c r="P262" s="175" t="str">
        <f t="shared" ca="1" si="42"/>
        <v/>
      </c>
      <c r="Q262" s="11" t="str">
        <f t="shared" ca="1" si="43"/>
        <v/>
      </c>
      <c r="R262" s="12" t="str">
        <f t="shared" ca="1" si="44"/>
        <v/>
      </c>
      <c r="S262" s="513"/>
      <c r="U262" t="str">
        <f t="shared" ca="1" si="54"/>
        <v/>
      </c>
      <c r="V262" s="31">
        <f t="shared" ca="1" si="55"/>
        <v>0</v>
      </c>
    </row>
    <row r="263" spans="1:22">
      <c r="A263" s="180" t="str">
        <f ca="1">'SAC_IOF Ñ USAR'!A263</f>
        <v/>
      </c>
      <c r="B263" s="179" t="str">
        <f ca="1">'SAC_IOF Ñ USAR'!B263</f>
        <v/>
      </c>
      <c r="C263" s="177">
        <f t="shared" ca="1" si="45"/>
        <v>0</v>
      </c>
      <c r="D263" s="24" t="str">
        <f t="shared" ca="1" si="52"/>
        <v/>
      </c>
      <c r="E263" s="177">
        <f t="shared" ca="1" si="46"/>
        <v>-6.4551386458333582E-10</v>
      </c>
      <c r="F263" s="178" t="str">
        <f t="shared" ca="1" si="47"/>
        <v/>
      </c>
      <c r="G263" s="178" t="str">
        <f t="shared" ca="1" si="48"/>
        <v/>
      </c>
      <c r="H263" s="177" t="str">
        <f t="shared" ca="1" si="49"/>
        <v/>
      </c>
      <c r="I263" s="25">
        <f t="shared" ca="1" si="50"/>
        <v>0</v>
      </c>
      <c r="J263" s="9" t="str">
        <f ca="1">'SAC_IOF Ñ USAR'!J263</f>
        <v/>
      </c>
      <c r="K263" s="9" t="str">
        <f ca="1">'SAC_IOF Ñ USAR'!K263</f>
        <v/>
      </c>
      <c r="L263" s="9" t="str">
        <f ca="1">'SAC_IOF Ñ USAR'!L263</f>
        <v/>
      </c>
      <c r="N263" s="176" t="str">
        <f t="shared" ca="1" si="51"/>
        <v/>
      </c>
      <c r="O263" s="176" t="str">
        <f t="shared" ca="1" si="53"/>
        <v/>
      </c>
      <c r="P263" s="175" t="str">
        <f t="shared" ca="1" si="42"/>
        <v/>
      </c>
      <c r="Q263" s="11" t="str">
        <f t="shared" ca="1" si="43"/>
        <v/>
      </c>
      <c r="R263" s="12" t="str">
        <f t="shared" ca="1" si="44"/>
        <v/>
      </c>
      <c r="S263" s="513"/>
      <c r="U263" t="str">
        <f t="shared" ca="1" si="54"/>
        <v/>
      </c>
      <c r="V263" s="31">
        <f t="shared" ca="1" si="55"/>
        <v>0</v>
      </c>
    </row>
    <row r="264" spans="1:22">
      <c r="A264" s="180" t="str">
        <f ca="1">'SAC_IOF Ñ USAR'!A264</f>
        <v/>
      </c>
      <c r="B264" s="179" t="str">
        <f ca="1">'SAC_IOF Ñ USAR'!B264</f>
        <v/>
      </c>
      <c r="C264" s="177">
        <f t="shared" ca="1" si="45"/>
        <v>0</v>
      </c>
      <c r="D264" s="24" t="str">
        <f t="shared" ca="1" si="52"/>
        <v/>
      </c>
      <c r="E264" s="177">
        <f t="shared" ca="1" si="46"/>
        <v>-6.4551386458333582E-10</v>
      </c>
      <c r="F264" s="178" t="str">
        <f t="shared" ca="1" si="47"/>
        <v/>
      </c>
      <c r="G264" s="178" t="str">
        <f t="shared" ca="1" si="48"/>
        <v/>
      </c>
      <c r="H264" s="177" t="str">
        <f t="shared" ca="1" si="49"/>
        <v/>
      </c>
      <c r="I264" s="25">
        <f t="shared" ca="1" si="50"/>
        <v>0</v>
      </c>
      <c r="J264" s="9" t="str">
        <f ca="1">'SAC_IOF Ñ USAR'!J264</f>
        <v/>
      </c>
      <c r="K264" s="9" t="str">
        <f ca="1">'SAC_IOF Ñ USAR'!K264</f>
        <v/>
      </c>
      <c r="L264" s="9" t="str">
        <f ca="1">'SAC_IOF Ñ USAR'!L264</f>
        <v/>
      </c>
      <c r="N264" s="176" t="str">
        <f t="shared" ca="1" si="51"/>
        <v/>
      </c>
      <c r="O264" s="176" t="str">
        <f t="shared" ca="1" si="53"/>
        <v/>
      </c>
      <c r="P264" s="175" t="str">
        <f t="shared" ca="1" si="42"/>
        <v/>
      </c>
      <c r="Q264" s="11" t="str">
        <f t="shared" ca="1" si="43"/>
        <v/>
      </c>
      <c r="R264" s="12" t="str">
        <f t="shared" ca="1" si="44"/>
        <v/>
      </c>
      <c r="S264" s="513"/>
      <c r="U264" t="str">
        <f t="shared" ca="1" si="54"/>
        <v/>
      </c>
      <c r="V264" s="31">
        <f t="shared" ca="1" si="55"/>
        <v>0</v>
      </c>
    </row>
    <row r="265" spans="1:22">
      <c r="A265" s="180" t="str">
        <f ca="1">'SAC_IOF Ñ USAR'!A265</f>
        <v/>
      </c>
      <c r="B265" s="179" t="str">
        <f ca="1">'SAC_IOF Ñ USAR'!B265</f>
        <v/>
      </c>
      <c r="C265" s="177">
        <f t="shared" ca="1" si="45"/>
        <v>0</v>
      </c>
      <c r="D265" s="24" t="str">
        <f t="shared" ca="1" si="52"/>
        <v/>
      </c>
      <c r="E265" s="177">
        <f t="shared" ca="1" si="46"/>
        <v>-6.4551386458333582E-10</v>
      </c>
      <c r="F265" s="178" t="str">
        <f t="shared" ca="1" si="47"/>
        <v/>
      </c>
      <c r="G265" s="178" t="str">
        <f t="shared" ca="1" si="48"/>
        <v/>
      </c>
      <c r="H265" s="177" t="str">
        <f t="shared" ca="1" si="49"/>
        <v/>
      </c>
      <c r="I265" s="25">
        <f t="shared" ca="1" si="50"/>
        <v>0</v>
      </c>
      <c r="J265" s="9" t="str">
        <f ca="1">'SAC_IOF Ñ USAR'!J265</f>
        <v/>
      </c>
      <c r="K265" s="9" t="str">
        <f ca="1">'SAC_IOF Ñ USAR'!K265</f>
        <v/>
      </c>
      <c r="L265" s="9" t="str">
        <f ca="1">'SAC_IOF Ñ USAR'!L265</f>
        <v/>
      </c>
      <c r="N265" s="176" t="str">
        <f t="shared" ca="1" si="51"/>
        <v/>
      </c>
      <c r="O265" s="176" t="str">
        <f t="shared" ca="1" si="53"/>
        <v/>
      </c>
      <c r="P265" s="175" t="str">
        <f t="shared" ca="1" si="42"/>
        <v/>
      </c>
      <c r="Q265" s="11" t="str">
        <f t="shared" ca="1" si="43"/>
        <v/>
      </c>
      <c r="R265" s="12" t="str">
        <f t="shared" ca="1" si="44"/>
        <v/>
      </c>
      <c r="S265" s="513"/>
      <c r="U265" t="str">
        <f t="shared" ca="1" si="54"/>
        <v/>
      </c>
      <c r="V265" s="31">
        <f t="shared" ca="1" si="55"/>
        <v>0</v>
      </c>
    </row>
    <row r="266" spans="1:22">
      <c r="A266" s="180" t="str">
        <f ca="1">'SAC_IOF Ñ USAR'!A266</f>
        <v/>
      </c>
      <c r="B266" s="179" t="str">
        <f ca="1">'SAC_IOF Ñ USAR'!B266</f>
        <v/>
      </c>
      <c r="C266" s="177">
        <f t="shared" ca="1" si="45"/>
        <v>0</v>
      </c>
      <c r="D266" s="24" t="str">
        <f t="shared" ca="1" si="52"/>
        <v/>
      </c>
      <c r="E266" s="177">
        <f t="shared" ca="1" si="46"/>
        <v>-6.4551386458333582E-10</v>
      </c>
      <c r="F266" s="178" t="str">
        <f t="shared" ca="1" si="47"/>
        <v/>
      </c>
      <c r="G266" s="178" t="str">
        <f t="shared" ca="1" si="48"/>
        <v/>
      </c>
      <c r="H266" s="177" t="str">
        <f t="shared" ca="1" si="49"/>
        <v/>
      </c>
      <c r="I266" s="25">
        <f t="shared" ca="1" si="50"/>
        <v>0</v>
      </c>
      <c r="J266" s="9" t="str">
        <f ca="1">'SAC_IOF Ñ USAR'!J266</f>
        <v/>
      </c>
      <c r="K266" s="9" t="str">
        <f ca="1">'SAC_IOF Ñ USAR'!K266</f>
        <v/>
      </c>
      <c r="L266" s="9" t="str">
        <f ca="1">'SAC_IOF Ñ USAR'!L266</f>
        <v/>
      </c>
      <c r="N266" s="176" t="str">
        <f t="shared" ca="1" si="51"/>
        <v/>
      </c>
      <c r="O266" s="176" t="str">
        <f t="shared" ca="1" si="53"/>
        <v/>
      </c>
      <c r="P266" s="175" t="str">
        <f t="shared" ca="1" si="42"/>
        <v/>
      </c>
      <c r="Q266" s="11" t="str">
        <f t="shared" ca="1" si="43"/>
        <v/>
      </c>
      <c r="R266" s="12" t="str">
        <f t="shared" ca="1" si="44"/>
        <v/>
      </c>
      <c r="S266" s="513"/>
      <c r="U266" t="str">
        <f t="shared" ca="1" si="54"/>
        <v/>
      </c>
      <c r="V266" s="31">
        <f t="shared" ca="1" si="55"/>
        <v>0</v>
      </c>
    </row>
    <row r="267" spans="1:22">
      <c r="A267" s="180" t="str">
        <f ca="1">'SAC_IOF Ñ USAR'!A267</f>
        <v/>
      </c>
      <c r="B267" s="179" t="str">
        <f ca="1">'SAC_IOF Ñ USAR'!B267</f>
        <v/>
      </c>
      <c r="C267" s="177">
        <f t="shared" ca="1" si="45"/>
        <v>0</v>
      </c>
      <c r="D267" s="24" t="str">
        <f t="shared" ca="1" si="52"/>
        <v/>
      </c>
      <c r="E267" s="177">
        <f t="shared" ca="1" si="46"/>
        <v>-6.4551386458333582E-10</v>
      </c>
      <c r="F267" s="178" t="str">
        <f t="shared" ca="1" si="47"/>
        <v/>
      </c>
      <c r="G267" s="178" t="str">
        <f t="shared" ca="1" si="48"/>
        <v/>
      </c>
      <c r="H267" s="177" t="str">
        <f t="shared" ca="1" si="49"/>
        <v/>
      </c>
      <c r="I267" s="25">
        <f t="shared" ca="1" si="50"/>
        <v>0</v>
      </c>
      <c r="J267" s="9" t="str">
        <f ca="1">'SAC_IOF Ñ USAR'!J267</f>
        <v/>
      </c>
      <c r="K267" s="9" t="str">
        <f ca="1">'SAC_IOF Ñ USAR'!K267</f>
        <v/>
      </c>
      <c r="L267" s="9" t="str">
        <f ca="1">'SAC_IOF Ñ USAR'!L267</f>
        <v/>
      </c>
      <c r="N267" s="176" t="str">
        <f t="shared" ca="1" si="51"/>
        <v/>
      </c>
      <c r="O267" s="176" t="str">
        <f t="shared" ca="1" si="53"/>
        <v/>
      </c>
      <c r="P267" s="175" t="str">
        <f t="shared" ca="1" si="42"/>
        <v/>
      </c>
      <c r="Q267" s="11" t="str">
        <f t="shared" ca="1" si="43"/>
        <v/>
      </c>
      <c r="R267" s="12" t="str">
        <f t="shared" ca="1" si="44"/>
        <v/>
      </c>
      <c r="S267" s="513"/>
      <c r="U267" t="str">
        <f t="shared" ca="1" si="54"/>
        <v/>
      </c>
      <c r="V267" s="31">
        <f t="shared" ca="1" si="55"/>
        <v>0</v>
      </c>
    </row>
    <row r="268" spans="1:22">
      <c r="A268" s="180" t="str">
        <f ca="1">'SAC_IOF Ñ USAR'!A268</f>
        <v/>
      </c>
      <c r="B268" s="179" t="str">
        <f ca="1">'SAC_IOF Ñ USAR'!B268</f>
        <v/>
      </c>
      <c r="C268" s="177">
        <f t="shared" ca="1" si="45"/>
        <v>0</v>
      </c>
      <c r="D268" s="24" t="str">
        <f t="shared" ca="1" si="52"/>
        <v/>
      </c>
      <c r="E268" s="177">
        <f t="shared" ca="1" si="46"/>
        <v>-6.4551386458333582E-10</v>
      </c>
      <c r="F268" s="178" t="str">
        <f t="shared" ca="1" si="47"/>
        <v/>
      </c>
      <c r="G268" s="178" t="str">
        <f t="shared" ca="1" si="48"/>
        <v/>
      </c>
      <c r="H268" s="177" t="str">
        <f t="shared" ca="1" si="49"/>
        <v/>
      </c>
      <c r="I268" s="25">
        <f t="shared" ca="1" si="50"/>
        <v>0</v>
      </c>
      <c r="J268" s="9" t="str">
        <f ca="1">'SAC_IOF Ñ USAR'!J268</f>
        <v/>
      </c>
      <c r="K268" s="9" t="str">
        <f ca="1">'SAC_IOF Ñ USAR'!K268</f>
        <v/>
      </c>
      <c r="L268" s="9" t="str">
        <f ca="1">'SAC_IOF Ñ USAR'!L268</f>
        <v/>
      </c>
      <c r="N268" s="176" t="str">
        <f t="shared" ca="1" si="51"/>
        <v/>
      </c>
      <c r="O268" s="176" t="str">
        <f t="shared" ca="1" si="53"/>
        <v/>
      </c>
      <c r="P268" s="175" t="str">
        <f t="shared" ca="1" si="42"/>
        <v/>
      </c>
      <c r="Q268" s="11" t="str">
        <f t="shared" ca="1" si="43"/>
        <v/>
      </c>
      <c r="R268" s="12" t="str">
        <f t="shared" ca="1" si="44"/>
        <v/>
      </c>
      <c r="S268" s="513"/>
      <c r="U268" t="str">
        <f t="shared" ca="1" si="54"/>
        <v/>
      </c>
      <c r="V268" s="31">
        <f t="shared" ca="1" si="55"/>
        <v>0</v>
      </c>
    </row>
    <row r="269" spans="1:22">
      <c r="A269" s="180" t="str">
        <f ca="1">'SAC_IOF Ñ USAR'!A269</f>
        <v/>
      </c>
      <c r="B269" s="179" t="str">
        <f ca="1">'SAC_IOF Ñ USAR'!B269</f>
        <v/>
      </c>
      <c r="C269" s="177">
        <f t="shared" ca="1" si="45"/>
        <v>0</v>
      </c>
      <c r="D269" s="24" t="str">
        <f t="shared" ca="1" si="52"/>
        <v/>
      </c>
      <c r="E269" s="177">
        <f t="shared" ca="1" si="46"/>
        <v>-6.4551386458333582E-10</v>
      </c>
      <c r="F269" s="178" t="str">
        <f t="shared" ca="1" si="47"/>
        <v/>
      </c>
      <c r="G269" s="178" t="str">
        <f t="shared" ca="1" si="48"/>
        <v/>
      </c>
      <c r="H269" s="177" t="str">
        <f t="shared" ca="1" si="49"/>
        <v/>
      </c>
      <c r="I269" s="25">
        <f t="shared" ca="1" si="50"/>
        <v>0</v>
      </c>
      <c r="J269" s="9" t="str">
        <f ca="1">'SAC_IOF Ñ USAR'!J269</f>
        <v/>
      </c>
      <c r="K269" s="9" t="str">
        <f ca="1">'SAC_IOF Ñ USAR'!K269</f>
        <v/>
      </c>
      <c r="L269" s="9" t="str">
        <f ca="1">'SAC_IOF Ñ USAR'!L269</f>
        <v/>
      </c>
      <c r="N269" s="176" t="str">
        <f t="shared" ca="1" si="51"/>
        <v/>
      </c>
      <c r="O269" s="176" t="str">
        <f t="shared" ca="1" si="53"/>
        <v/>
      </c>
      <c r="P269" s="175" t="str">
        <f t="shared" ca="1" si="42"/>
        <v/>
      </c>
      <c r="Q269" s="11" t="str">
        <f t="shared" ca="1" si="43"/>
        <v/>
      </c>
      <c r="R269" s="12" t="str">
        <f t="shared" ca="1" si="44"/>
        <v/>
      </c>
      <c r="S269" s="513"/>
      <c r="U269" t="str">
        <f t="shared" ca="1" si="54"/>
        <v/>
      </c>
      <c r="V269" s="31">
        <f t="shared" ca="1" si="55"/>
        <v>0</v>
      </c>
    </row>
    <row r="270" spans="1:22">
      <c r="A270" s="180" t="str">
        <f ca="1">'SAC_IOF Ñ USAR'!A270</f>
        <v/>
      </c>
      <c r="B270" s="179" t="str">
        <f ca="1">'SAC_IOF Ñ USAR'!B270</f>
        <v/>
      </c>
      <c r="C270" s="177">
        <f t="shared" ca="1" si="45"/>
        <v>0</v>
      </c>
      <c r="D270" s="24" t="str">
        <f t="shared" ca="1" si="52"/>
        <v/>
      </c>
      <c r="E270" s="177">
        <f t="shared" ca="1" si="46"/>
        <v>-6.4551386458333582E-10</v>
      </c>
      <c r="F270" s="178" t="str">
        <f t="shared" ca="1" si="47"/>
        <v/>
      </c>
      <c r="G270" s="178" t="str">
        <f t="shared" ca="1" si="48"/>
        <v/>
      </c>
      <c r="H270" s="177" t="str">
        <f t="shared" ca="1" si="49"/>
        <v/>
      </c>
      <c r="I270" s="25">
        <f t="shared" ca="1" si="50"/>
        <v>0</v>
      </c>
      <c r="J270" s="9" t="str">
        <f ca="1">'SAC_IOF Ñ USAR'!J270</f>
        <v/>
      </c>
      <c r="K270" s="9" t="str">
        <f ca="1">'SAC_IOF Ñ USAR'!K270</f>
        <v/>
      </c>
      <c r="L270" s="9" t="str">
        <f ca="1">'SAC_IOF Ñ USAR'!L270</f>
        <v/>
      </c>
      <c r="N270" s="176" t="str">
        <f t="shared" ca="1" si="51"/>
        <v/>
      </c>
      <c r="O270" s="176" t="str">
        <f t="shared" ca="1" si="53"/>
        <v/>
      </c>
      <c r="P270" s="175" t="str">
        <f t="shared" ca="1" si="42"/>
        <v/>
      </c>
      <c r="Q270" s="11" t="str">
        <f t="shared" ca="1" si="43"/>
        <v/>
      </c>
      <c r="R270" s="12" t="str">
        <f t="shared" ca="1" si="44"/>
        <v/>
      </c>
      <c r="S270" s="513"/>
      <c r="U270" t="str">
        <f t="shared" ca="1" si="54"/>
        <v/>
      </c>
      <c r="V270" s="31">
        <f t="shared" ca="1" si="55"/>
        <v>0</v>
      </c>
    </row>
    <row r="271" spans="1:22">
      <c r="A271" s="180" t="str">
        <f ca="1">'SAC_IOF Ñ USAR'!A271</f>
        <v/>
      </c>
      <c r="B271" s="179" t="str">
        <f ca="1">'SAC_IOF Ñ USAR'!B271</f>
        <v/>
      </c>
      <c r="C271" s="177">
        <f t="shared" ca="1" si="45"/>
        <v>0</v>
      </c>
      <c r="D271" s="24" t="str">
        <f t="shared" ca="1" si="52"/>
        <v/>
      </c>
      <c r="E271" s="177">
        <f t="shared" ca="1" si="46"/>
        <v>-6.4551386458333582E-10</v>
      </c>
      <c r="F271" s="178" t="str">
        <f t="shared" ca="1" si="47"/>
        <v/>
      </c>
      <c r="G271" s="178" t="str">
        <f t="shared" ca="1" si="48"/>
        <v/>
      </c>
      <c r="H271" s="177" t="str">
        <f t="shared" ca="1" si="49"/>
        <v/>
      </c>
      <c r="I271" s="25">
        <f t="shared" ca="1" si="50"/>
        <v>0</v>
      </c>
      <c r="J271" s="9" t="str">
        <f ca="1">'SAC_IOF Ñ USAR'!J271</f>
        <v/>
      </c>
      <c r="K271" s="9" t="str">
        <f ca="1">'SAC_IOF Ñ USAR'!K271</f>
        <v/>
      </c>
      <c r="L271" s="9" t="str">
        <f ca="1">'SAC_IOF Ñ USAR'!L271</f>
        <v/>
      </c>
      <c r="N271" s="176" t="str">
        <f t="shared" ca="1" si="51"/>
        <v/>
      </c>
      <c r="O271" s="176" t="str">
        <f t="shared" ca="1" si="53"/>
        <v/>
      </c>
      <c r="P271" s="175" t="str">
        <f t="shared" ca="1" si="42"/>
        <v/>
      </c>
      <c r="Q271" s="11" t="str">
        <f t="shared" ca="1" si="43"/>
        <v/>
      </c>
      <c r="R271" s="12" t="str">
        <f t="shared" ca="1" si="44"/>
        <v/>
      </c>
      <c r="S271" s="513"/>
      <c r="U271" t="str">
        <f t="shared" ca="1" si="54"/>
        <v/>
      </c>
      <c r="V271" s="31">
        <f t="shared" ca="1" si="55"/>
        <v>0</v>
      </c>
    </row>
    <row r="272" spans="1:22">
      <c r="A272" s="180" t="str">
        <f ca="1">'SAC_IOF Ñ USAR'!A272</f>
        <v/>
      </c>
      <c r="B272" s="179" t="str">
        <f ca="1">'SAC_IOF Ñ USAR'!B272</f>
        <v/>
      </c>
      <c r="C272" s="177">
        <f t="shared" ca="1" si="45"/>
        <v>0</v>
      </c>
      <c r="D272" s="24" t="str">
        <f t="shared" ca="1" si="52"/>
        <v/>
      </c>
      <c r="E272" s="177">
        <f t="shared" ca="1" si="46"/>
        <v>-6.4551386458333582E-10</v>
      </c>
      <c r="F272" s="178" t="str">
        <f t="shared" ca="1" si="47"/>
        <v/>
      </c>
      <c r="G272" s="178" t="str">
        <f t="shared" ca="1" si="48"/>
        <v/>
      </c>
      <c r="H272" s="177" t="str">
        <f t="shared" ca="1" si="49"/>
        <v/>
      </c>
      <c r="I272" s="25">
        <f t="shared" ca="1" si="50"/>
        <v>0</v>
      </c>
      <c r="J272" s="9" t="str">
        <f ca="1">'SAC_IOF Ñ USAR'!J272</f>
        <v/>
      </c>
      <c r="K272" s="9" t="str">
        <f ca="1">'SAC_IOF Ñ USAR'!K272</f>
        <v/>
      </c>
      <c r="L272" s="9" t="str">
        <f ca="1">'SAC_IOF Ñ USAR'!L272</f>
        <v/>
      </c>
      <c r="N272" s="176" t="str">
        <f t="shared" ca="1" si="51"/>
        <v/>
      </c>
      <c r="O272" s="176" t="str">
        <f t="shared" ca="1" si="53"/>
        <v/>
      </c>
      <c r="P272" s="175" t="str">
        <f t="shared" ca="1" si="42"/>
        <v/>
      </c>
      <c r="Q272" s="11" t="str">
        <f t="shared" ca="1" si="43"/>
        <v/>
      </c>
      <c r="R272" s="12" t="str">
        <f t="shared" ca="1" si="44"/>
        <v/>
      </c>
      <c r="S272" s="513"/>
      <c r="U272" t="str">
        <f t="shared" ca="1" si="54"/>
        <v/>
      </c>
      <c r="V272" s="31">
        <f t="shared" ca="1" si="55"/>
        <v>0</v>
      </c>
    </row>
    <row r="273" spans="1:22">
      <c r="A273" s="180" t="str">
        <f ca="1">'SAC_IOF Ñ USAR'!A273</f>
        <v/>
      </c>
      <c r="B273" s="179" t="str">
        <f ca="1">'SAC_IOF Ñ USAR'!B273</f>
        <v/>
      </c>
      <c r="C273" s="177">
        <f t="shared" ca="1" si="45"/>
        <v>0</v>
      </c>
      <c r="D273" s="24" t="str">
        <f t="shared" ca="1" si="52"/>
        <v/>
      </c>
      <c r="E273" s="177">
        <f t="shared" ca="1" si="46"/>
        <v>-6.4551386458333582E-10</v>
      </c>
      <c r="F273" s="178" t="str">
        <f t="shared" ca="1" si="47"/>
        <v/>
      </c>
      <c r="G273" s="178" t="str">
        <f t="shared" ca="1" si="48"/>
        <v/>
      </c>
      <c r="H273" s="177" t="str">
        <f t="shared" ca="1" si="49"/>
        <v/>
      </c>
      <c r="I273" s="25">
        <f t="shared" ca="1" si="50"/>
        <v>0</v>
      </c>
      <c r="J273" s="9" t="str">
        <f ca="1">'SAC_IOF Ñ USAR'!J273</f>
        <v/>
      </c>
      <c r="K273" s="9" t="str">
        <f ca="1">'SAC_IOF Ñ USAR'!K273</f>
        <v/>
      </c>
      <c r="L273" s="9" t="str">
        <f ca="1">'SAC_IOF Ñ USAR'!L273</f>
        <v/>
      </c>
      <c r="N273" s="176" t="str">
        <f t="shared" ca="1" si="51"/>
        <v/>
      </c>
      <c r="O273" s="176" t="str">
        <f t="shared" ca="1" si="53"/>
        <v/>
      </c>
      <c r="P273" s="175" t="str">
        <f t="shared" ca="1" si="42"/>
        <v/>
      </c>
      <c r="Q273" s="11" t="str">
        <f t="shared" ca="1" si="43"/>
        <v/>
      </c>
      <c r="R273" s="12" t="str">
        <f t="shared" ca="1" si="44"/>
        <v/>
      </c>
      <c r="S273" s="513"/>
      <c r="U273" t="str">
        <f t="shared" ca="1" si="54"/>
        <v/>
      </c>
      <c r="V273" s="31">
        <f t="shared" ca="1" si="55"/>
        <v>0</v>
      </c>
    </row>
    <row r="274" spans="1:22">
      <c r="A274" s="180" t="str">
        <f ca="1">'SAC_IOF Ñ USAR'!A274</f>
        <v/>
      </c>
      <c r="B274" s="179" t="str">
        <f ca="1">'SAC_IOF Ñ USAR'!B274</f>
        <v/>
      </c>
      <c r="C274" s="177">
        <f t="shared" ca="1" si="45"/>
        <v>0</v>
      </c>
      <c r="D274" s="24" t="str">
        <f t="shared" ca="1" si="52"/>
        <v/>
      </c>
      <c r="E274" s="177">
        <f t="shared" ca="1" si="46"/>
        <v>-6.4551386458333582E-10</v>
      </c>
      <c r="F274" s="178" t="str">
        <f t="shared" ca="1" si="47"/>
        <v/>
      </c>
      <c r="G274" s="178" t="str">
        <f t="shared" ca="1" si="48"/>
        <v/>
      </c>
      <c r="H274" s="177" t="str">
        <f t="shared" ca="1" si="49"/>
        <v/>
      </c>
      <c r="I274" s="25">
        <f t="shared" ca="1" si="50"/>
        <v>0</v>
      </c>
      <c r="J274" s="9" t="str">
        <f ca="1">'SAC_IOF Ñ USAR'!J274</f>
        <v/>
      </c>
      <c r="K274" s="9" t="str">
        <f ca="1">'SAC_IOF Ñ USAR'!K274</f>
        <v/>
      </c>
      <c r="L274" s="9" t="str">
        <f ca="1">'SAC_IOF Ñ USAR'!L274</f>
        <v/>
      </c>
      <c r="N274" s="176" t="str">
        <f t="shared" ca="1" si="51"/>
        <v/>
      </c>
      <c r="O274" s="176" t="str">
        <f t="shared" ca="1" si="53"/>
        <v/>
      </c>
      <c r="P274" s="175" t="str">
        <f t="shared" ref="P274:P339" ca="1" si="56">IF(A274&lt;&gt;"",$E$18/($C$8-$C$12-$D$13),"")</f>
        <v/>
      </c>
      <c r="Q274" s="11" t="str">
        <f t="shared" ref="Q274:Q339" ca="1" si="57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ca="1" si="58">IFERROR(Q274*P274,"")</f>
        <v/>
      </c>
      <c r="S274" s="513"/>
      <c r="U274" t="str">
        <f t="shared" ca="1" si="54"/>
        <v/>
      </c>
      <c r="V274" s="31">
        <f t="shared" ca="1" si="55"/>
        <v>0</v>
      </c>
    </row>
    <row r="275" spans="1:22">
      <c r="A275" s="180" t="str">
        <f ca="1">'SAC_IOF Ñ USAR'!A275</f>
        <v/>
      </c>
      <c r="B275" s="179" t="str">
        <f ca="1">'SAC_IOF Ñ USAR'!B275</f>
        <v/>
      </c>
      <c r="C275" s="177">
        <f t="shared" ref="C275:C339" ca="1" si="59">IFERROR(IF(OR(J275="Carencia",K275="Pula",A275=""),0,$I$13),"")</f>
        <v>0</v>
      </c>
      <c r="D275" s="24" t="str">
        <f t="shared" ca="1" si="52"/>
        <v/>
      </c>
      <c r="E275" s="177">
        <f t="shared" ref="E275:E338" ca="1" si="60">IFERROR(IF(OR(J275="Carencia",K275="Pula"),E274+D275+SUM(F275:H275),(E274-C275)),"")</f>
        <v>-6.4551386458333582E-10</v>
      </c>
      <c r="F275" s="178" t="str">
        <f t="shared" ref="F275:F339" ca="1" si="61">IFERROR(IF(OR(AND(DAY(B275)=DAY(B274),MONTH(B275)&lt;&gt;MONTH(B274)),MONTH(B275)&lt;&gt;MONTH(B274)),IF(K275="Pula",0,E274*$I$7),""),"")</f>
        <v/>
      </c>
      <c r="G275" s="178" t="str">
        <f t="shared" ref="G275:G339" ca="1" si="62">IFERROR(IF(OR(AND(DAY(B275)=DAY(B274),MONTH(B275)&lt;&gt;MONTH(B274)),MONTH(B275)&lt;&gt;MONTH(B274)),IF(K275="Pula",0,$C$11*$I$8),0),"")</f>
        <v/>
      </c>
      <c r="H275" s="177" t="str">
        <f t="shared" ref="H275:H339" ca="1" si="63">IFERROR(IF(OR(AND(DAY(B275)=DAY(B274),MONTH(B275)&lt;&gt;MONTH(B274)),MONTH(B275)&lt;&gt;MONTH(B274)),IF(K275="Pula",0,$I$10),0),"")</f>
        <v/>
      </c>
      <c r="I275" s="25">
        <f t="shared" ref="I275:I338" ca="1" si="64">IFERROR(IF(OR(J275="Carencia",K275="Pula"),0,SUM(C275:D275,F275:H275)),"")</f>
        <v>0</v>
      </c>
      <c r="J275" s="9" t="str">
        <f ca="1">'SAC_IOF Ñ USAR'!J275</f>
        <v/>
      </c>
      <c r="K275" s="9" t="str">
        <f ca="1">'SAC_IOF Ñ USAR'!K275</f>
        <v/>
      </c>
      <c r="L275" s="9" t="str">
        <f ca="1">'SAC_IOF Ñ USAR'!L275</f>
        <v/>
      </c>
      <c r="N275" s="176" t="str">
        <f t="shared" ref="N275:N339" ca="1" si="65">IFERROR(B275-B274,"")</f>
        <v/>
      </c>
      <c r="O275" s="176" t="str">
        <f t="shared" ca="1" si="53"/>
        <v/>
      </c>
      <c r="P275" s="175" t="str">
        <f t="shared" ca="1" si="56"/>
        <v/>
      </c>
      <c r="Q275" s="11" t="str">
        <f t="shared" ca="1" si="57"/>
        <v/>
      </c>
      <c r="R275" s="12" t="str">
        <f t="shared" ca="1" si="58"/>
        <v/>
      </c>
      <c r="S275" s="513"/>
      <c r="U275" t="str">
        <f t="shared" ca="1" si="54"/>
        <v/>
      </c>
      <c r="V275" s="31">
        <f t="shared" ca="1" si="55"/>
        <v>0</v>
      </c>
    </row>
    <row r="276" spans="1:22">
      <c r="A276" s="180" t="str">
        <f ca="1">'SAC_IOF Ñ USAR'!A276</f>
        <v/>
      </c>
      <c r="B276" s="179" t="str">
        <f ca="1">'SAC_IOF Ñ USAR'!B276</f>
        <v/>
      </c>
      <c r="C276" s="177">
        <f t="shared" ca="1" si="59"/>
        <v>0</v>
      </c>
      <c r="D276" s="24" t="str">
        <f t="shared" ref="D276:D339" ca="1" si="66">IFERROR(IF(DAY(B276)=DAY(B275),IF(K276="Pula",0,($D$9)*E275),IF(AND(K276="Pula",J276=""),0,IF(AND($F$3=30,OR(AND(DAY(B275)=28,MONTH(B275)=2),AND(DAY(B275)=29,MONTH(B275)=2))),$D$9*E275,$D$9*E275))),"")</f>
        <v/>
      </c>
      <c r="E276" s="177">
        <f t="shared" ca="1" si="60"/>
        <v>-6.4551386458333582E-10</v>
      </c>
      <c r="F276" s="178" t="str">
        <f t="shared" ca="1" si="61"/>
        <v/>
      </c>
      <c r="G276" s="178" t="str">
        <f t="shared" ca="1" si="62"/>
        <v/>
      </c>
      <c r="H276" s="177" t="str">
        <f t="shared" ca="1" si="63"/>
        <v/>
      </c>
      <c r="I276" s="25">
        <f t="shared" ca="1" si="64"/>
        <v>0</v>
      </c>
      <c r="J276" s="9" t="str">
        <f ca="1">'SAC_IOF Ñ USAR'!J276</f>
        <v/>
      </c>
      <c r="K276" s="9" t="str">
        <f ca="1">'SAC_IOF Ñ USAR'!K276</f>
        <v/>
      </c>
      <c r="L276" s="9" t="str">
        <f ca="1">'SAC_IOF Ñ USAR'!L276</f>
        <v/>
      </c>
      <c r="N276" s="176" t="str">
        <f t="shared" ca="1" si="65"/>
        <v/>
      </c>
      <c r="O276" s="176" t="str">
        <f t="shared" ref="O276:O339" ca="1" si="67">IFERROR(N276+O275,"")</f>
        <v/>
      </c>
      <c r="P276" s="175" t="str">
        <f t="shared" ca="1" si="56"/>
        <v/>
      </c>
      <c r="Q276" s="11" t="str">
        <f t="shared" ca="1" si="57"/>
        <v/>
      </c>
      <c r="R276" s="12" t="str">
        <f t="shared" ca="1" si="58"/>
        <v/>
      </c>
      <c r="S276" s="513"/>
      <c r="U276" t="str">
        <f t="shared" ref="U276:U339" ca="1" si="68">IFERROR(IF(OR(J276="Carencia",K276="Pula"),0,C276+D276),"")</f>
        <v/>
      </c>
      <c r="V276" s="31">
        <f t="shared" ref="V276:V339" ca="1" si="69">IFERROR(I276,0)</f>
        <v>0</v>
      </c>
    </row>
    <row r="277" spans="1:22">
      <c r="A277" s="180" t="str">
        <f ca="1">'SAC_IOF Ñ USAR'!A277</f>
        <v/>
      </c>
      <c r="B277" s="179" t="str">
        <f ca="1">'SAC_IOF Ñ USAR'!B277</f>
        <v/>
      </c>
      <c r="C277" s="177">
        <f t="shared" ca="1" si="59"/>
        <v>0</v>
      </c>
      <c r="D277" s="24" t="str">
        <f t="shared" ca="1" si="66"/>
        <v/>
      </c>
      <c r="E277" s="177">
        <f t="shared" ca="1" si="60"/>
        <v>-6.4551386458333582E-10</v>
      </c>
      <c r="F277" s="178" t="str">
        <f t="shared" ca="1" si="61"/>
        <v/>
      </c>
      <c r="G277" s="178" t="str">
        <f t="shared" ca="1" si="62"/>
        <v/>
      </c>
      <c r="H277" s="177" t="str">
        <f t="shared" ca="1" si="63"/>
        <v/>
      </c>
      <c r="I277" s="25">
        <f t="shared" ca="1" si="64"/>
        <v>0</v>
      </c>
      <c r="J277" s="9" t="str">
        <f ca="1">'SAC_IOF Ñ USAR'!J277</f>
        <v/>
      </c>
      <c r="K277" s="9" t="str">
        <f ca="1">'SAC_IOF Ñ USAR'!K277</f>
        <v/>
      </c>
      <c r="L277" s="9" t="str">
        <f ca="1">'SAC_IOF Ñ USAR'!L277</f>
        <v/>
      </c>
      <c r="N277" s="176" t="str">
        <f t="shared" ca="1" si="65"/>
        <v/>
      </c>
      <c r="O277" s="176" t="str">
        <f t="shared" ca="1" si="67"/>
        <v/>
      </c>
      <c r="P277" s="175" t="str">
        <f t="shared" ca="1" si="56"/>
        <v/>
      </c>
      <c r="Q277" s="11" t="str">
        <f t="shared" ca="1" si="57"/>
        <v/>
      </c>
      <c r="R277" s="12" t="str">
        <f t="shared" ca="1" si="58"/>
        <v/>
      </c>
      <c r="S277" s="513"/>
      <c r="U277" t="str">
        <f t="shared" ca="1" si="68"/>
        <v/>
      </c>
      <c r="V277" s="31">
        <f t="shared" ca="1" si="69"/>
        <v>0</v>
      </c>
    </row>
    <row r="278" spans="1:22">
      <c r="A278" s="180" t="str">
        <f ca="1">'SAC_IOF Ñ USAR'!A278</f>
        <v/>
      </c>
      <c r="B278" s="179" t="str">
        <f ca="1">'SAC_IOF Ñ USAR'!B278</f>
        <v/>
      </c>
      <c r="C278" s="177">
        <f t="shared" ca="1" si="59"/>
        <v>0</v>
      </c>
      <c r="D278" s="24" t="str">
        <f t="shared" ca="1" si="66"/>
        <v/>
      </c>
      <c r="E278" s="177">
        <f t="shared" ca="1" si="60"/>
        <v>-6.4551386458333582E-10</v>
      </c>
      <c r="F278" s="178" t="str">
        <f t="shared" ca="1" si="61"/>
        <v/>
      </c>
      <c r="G278" s="178" t="str">
        <f t="shared" ca="1" si="62"/>
        <v/>
      </c>
      <c r="H278" s="177" t="str">
        <f t="shared" ca="1" si="63"/>
        <v/>
      </c>
      <c r="I278" s="25">
        <f t="shared" ca="1" si="64"/>
        <v>0</v>
      </c>
      <c r="J278" s="9" t="str">
        <f ca="1">'SAC_IOF Ñ USAR'!J278</f>
        <v/>
      </c>
      <c r="K278" s="9" t="str">
        <f ca="1">'SAC_IOF Ñ USAR'!K278</f>
        <v/>
      </c>
      <c r="L278" s="9" t="str">
        <f ca="1">'SAC_IOF Ñ USAR'!L278</f>
        <v/>
      </c>
      <c r="N278" s="176" t="str">
        <f t="shared" ca="1" si="65"/>
        <v/>
      </c>
      <c r="O278" s="176" t="str">
        <f t="shared" ca="1" si="67"/>
        <v/>
      </c>
      <c r="P278" s="175" t="str">
        <f t="shared" ca="1" si="56"/>
        <v/>
      </c>
      <c r="Q278" s="11" t="str">
        <f t="shared" ca="1" si="57"/>
        <v/>
      </c>
      <c r="R278" s="12" t="str">
        <f t="shared" ca="1" si="58"/>
        <v/>
      </c>
      <c r="S278" s="513"/>
      <c r="U278" t="str">
        <f t="shared" ca="1" si="68"/>
        <v/>
      </c>
      <c r="V278" s="31">
        <f t="shared" ca="1" si="69"/>
        <v>0</v>
      </c>
    </row>
    <row r="279" spans="1:22">
      <c r="A279" s="180" t="str">
        <f ca="1">'SAC_IOF Ñ USAR'!A279</f>
        <v/>
      </c>
      <c r="B279" s="179" t="str">
        <f ca="1">'SAC_IOF Ñ USAR'!B279</f>
        <v/>
      </c>
      <c r="C279" s="177">
        <f t="shared" ca="1" si="59"/>
        <v>0</v>
      </c>
      <c r="D279" s="24" t="str">
        <f t="shared" ca="1" si="66"/>
        <v/>
      </c>
      <c r="E279" s="177">
        <f t="shared" ca="1" si="60"/>
        <v>-6.4551386458333582E-10</v>
      </c>
      <c r="F279" s="178" t="str">
        <f t="shared" ca="1" si="61"/>
        <v/>
      </c>
      <c r="G279" s="178" t="str">
        <f t="shared" ca="1" si="62"/>
        <v/>
      </c>
      <c r="H279" s="177" t="str">
        <f t="shared" ca="1" si="63"/>
        <v/>
      </c>
      <c r="I279" s="25">
        <f t="shared" ca="1" si="64"/>
        <v>0</v>
      </c>
      <c r="J279" s="9" t="str">
        <f ca="1">'SAC_IOF Ñ USAR'!J279</f>
        <v/>
      </c>
      <c r="K279" s="9" t="str">
        <f ca="1">'SAC_IOF Ñ USAR'!K279</f>
        <v/>
      </c>
      <c r="L279" s="9" t="str">
        <f ca="1">'SAC_IOF Ñ USAR'!L279</f>
        <v/>
      </c>
      <c r="N279" s="176" t="str">
        <f t="shared" ca="1" si="65"/>
        <v/>
      </c>
      <c r="O279" s="176" t="str">
        <f t="shared" ca="1" si="67"/>
        <v/>
      </c>
      <c r="P279" s="175" t="str">
        <f t="shared" ca="1" si="56"/>
        <v/>
      </c>
      <c r="Q279" s="11" t="str">
        <f t="shared" ca="1" si="57"/>
        <v/>
      </c>
      <c r="R279" s="12" t="str">
        <f t="shared" ca="1" si="58"/>
        <v/>
      </c>
      <c r="S279" s="513"/>
      <c r="U279" t="str">
        <f t="shared" ca="1" si="68"/>
        <v/>
      </c>
      <c r="V279" s="31">
        <f t="shared" ca="1" si="69"/>
        <v>0</v>
      </c>
    </row>
    <row r="280" spans="1:22">
      <c r="A280" s="180" t="str">
        <f ca="1">'SAC_IOF Ñ USAR'!A280</f>
        <v/>
      </c>
      <c r="B280" s="179" t="str">
        <f ca="1">'SAC_IOF Ñ USAR'!B280</f>
        <v/>
      </c>
      <c r="C280" s="177">
        <f t="shared" ca="1" si="59"/>
        <v>0</v>
      </c>
      <c r="D280" s="24" t="str">
        <f t="shared" ca="1" si="66"/>
        <v/>
      </c>
      <c r="E280" s="177">
        <f t="shared" ca="1" si="60"/>
        <v>-6.4551386458333582E-10</v>
      </c>
      <c r="F280" s="178" t="str">
        <f t="shared" ca="1" si="61"/>
        <v/>
      </c>
      <c r="G280" s="178" t="str">
        <f t="shared" ca="1" si="62"/>
        <v/>
      </c>
      <c r="H280" s="177" t="str">
        <f t="shared" ca="1" si="63"/>
        <v/>
      </c>
      <c r="I280" s="25">
        <f t="shared" ca="1" si="64"/>
        <v>0</v>
      </c>
      <c r="J280" s="9" t="str">
        <f ca="1">'SAC_IOF Ñ USAR'!J280</f>
        <v/>
      </c>
      <c r="K280" s="9" t="str">
        <f ca="1">'SAC_IOF Ñ USAR'!K280</f>
        <v/>
      </c>
      <c r="L280" s="9" t="str">
        <f ca="1">'SAC_IOF Ñ USAR'!L280</f>
        <v/>
      </c>
      <c r="N280" s="176" t="str">
        <f t="shared" ca="1" si="65"/>
        <v/>
      </c>
      <c r="O280" s="176" t="str">
        <f t="shared" ca="1" si="67"/>
        <v/>
      </c>
      <c r="P280" s="175" t="str">
        <f t="shared" ca="1" si="56"/>
        <v/>
      </c>
      <c r="Q280" s="11" t="str">
        <f t="shared" ca="1" si="57"/>
        <v/>
      </c>
      <c r="R280" s="12" t="str">
        <f t="shared" ca="1" si="58"/>
        <v/>
      </c>
      <c r="S280" s="513"/>
      <c r="U280" t="str">
        <f t="shared" ca="1" si="68"/>
        <v/>
      </c>
      <c r="V280" s="31">
        <f t="shared" ca="1" si="69"/>
        <v>0</v>
      </c>
    </row>
    <row r="281" spans="1:22">
      <c r="A281" s="180" t="str">
        <f ca="1">'SAC_IOF Ñ USAR'!A281</f>
        <v/>
      </c>
      <c r="B281" s="179" t="str">
        <f ca="1">'SAC_IOF Ñ USAR'!B281</f>
        <v/>
      </c>
      <c r="C281" s="177">
        <f t="shared" ca="1" si="59"/>
        <v>0</v>
      </c>
      <c r="D281" s="24" t="str">
        <f t="shared" ca="1" si="66"/>
        <v/>
      </c>
      <c r="E281" s="177">
        <f t="shared" ca="1" si="60"/>
        <v>-6.4551386458333582E-10</v>
      </c>
      <c r="F281" s="178" t="str">
        <f t="shared" ca="1" si="61"/>
        <v/>
      </c>
      <c r="G281" s="178" t="str">
        <f t="shared" ca="1" si="62"/>
        <v/>
      </c>
      <c r="H281" s="177" t="str">
        <f t="shared" ca="1" si="63"/>
        <v/>
      </c>
      <c r="I281" s="25">
        <f t="shared" ca="1" si="64"/>
        <v>0</v>
      </c>
      <c r="J281" s="9" t="str">
        <f ca="1">'SAC_IOF Ñ USAR'!J281</f>
        <v/>
      </c>
      <c r="K281" s="9" t="str">
        <f ca="1">'SAC_IOF Ñ USAR'!K281</f>
        <v/>
      </c>
      <c r="L281" s="9" t="str">
        <f ca="1">'SAC_IOF Ñ USAR'!L281</f>
        <v/>
      </c>
      <c r="N281" s="176" t="str">
        <f t="shared" ca="1" si="65"/>
        <v/>
      </c>
      <c r="O281" s="176" t="str">
        <f t="shared" ca="1" si="67"/>
        <v/>
      </c>
      <c r="P281" s="175" t="str">
        <f t="shared" ca="1" si="56"/>
        <v/>
      </c>
      <c r="Q281" s="11" t="str">
        <f t="shared" ca="1" si="57"/>
        <v/>
      </c>
      <c r="R281" s="12" t="str">
        <f t="shared" ca="1" si="58"/>
        <v/>
      </c>
      <c r="S281" s="513"/>
      <c r="U281" t="str">
        <f t="shared" ca="1" si="68"/>
        <v/>
      </c>
      <c r="V281" s="31">
        <f t="shared" ca="1" si="69"/>
        <v>0</v>
      </c>
    </row>
    <row r="282" spans="1:22">
      <c r="A282" s="180" t="str">
        <f ca="1">'SAC_IOF Ñ USAR'!A282</f>
        <v/>
      </c>
      <c r="B282" s="179" t="str">
        <f ca="1">'SAC_IOF Ñ USAR'!B282</f>
        <v/>
      </c>
      <c r="C282" s="177">
        <f t="shared" ca="1" si="59"/>
        <v>0</v>
      </c>
      <c r="D282" s="24" t="str">
        <f t="shared" ca="1" si="66"/>
        <v/>
      </c>
      <c r="E282" s="177">
        <f t="shared" ca="1" si="60"/>
        <v>-6.4551386458333582E-10</v>
      </c>
      <c r="F282" s="178" t="str">
        <f t="shared" ca="1" si="61"/>
        <v/>
      </c>
      <c r="G282" s="178" t="str">
        <f t="shared" ca="1" si="62"/>
        <v/>
      </c>
      <c r="H282" s="177" t="str">
        <f t="shared" ca="1" si="63"/>
        <v/>
      </c>
      <c r="I282" s="25">
        <f t="shared" ca="1" si="64"/>
        <v>0</v>
      </c>
      <c r="J282" s="9" t="str">
        <f ca="1">'SAC_IOF Ñ USAR'!J282</f>
        <v/>
      </c>
      <c r="K282" s="9" t="str">
        <f ca="1">'SAC_IOF Ñ USAR'!K282</f>
        <v/>
      </c>
      <c r="L282" s="9" t="str">
        <f ca="1">'SAC_IOF Ñ USAR'!L282</f>
        <v/>
      </c>
      <c r="N282" s="176" t="str">
        <f t="shared" ca="1" si="65"/>
        <v/>
      </c>
      <c r="O282" s="176" t="str">
        <f t="shared" ca="1" si="67"/>
        <v/>
      </c>
      <c r="P282" s="175" t="str">
        <f t="shared" ca="1" si="56"/>
        <v/>
      </c>
      <c r="Q282" s="11" t="str">
        <f t="shared" ca="1" si="57"/>
        <v/>
      </c>
      <c r="R282" s="12" t="str">
        <f t="shared" ca="1" si="58"/>
        <v/>
      </c>
      <c r="S282" s="513"/>
      <c r="U282" t="str">
        <f t="shared" ca="1" si="68"/>
        <v/>
      </c>
      <c r="V282" s="31">
        <f t="shared" ca="1" si="69"/>
        <v>0</v>
      </c>
    </row>
    <row r="283" spans="1:22">
      <c r="A283" s="180" t="str">
        <f ca="1">'SAC_IOF Ñ USAR'!A283</f>
        <v/>
      </c>
      <c r="B283" s="179" t="str">
        <f ca="1">'SAC_IOF Ñ USAR'!B283</f>
        <v/>
      </c>
      <c r="C283" s="177">
        <f t="shared" ca="1" si="59"/>
        <v>0</v>
      </c>
      <c r="D283" s="24" t="str">
        <f t="shared" ca="1" si="66"/>
        <v/>
      </c>
      <c r="E283" s="177">
        <f t="shared" ca="1" si="60"/>
        <v>-6.4551386458333582E-10</v>
      </c>
      <c r="F283" s="178" t="str">
        <f t="shared" ca="1" si="61"/>
        <v/>
      </c>
      <c r="G283" s="178" t="str">
        <f t="shared" ca="1" si="62"/>
        <v/>
      </c>
      <c r="H283" s="177" t="str">
        <f t="shared" ca="1" si="63"/>
        <v/>
      </c>
      <c r="I283" s="25">
        <f t="shared" ca="1" si="64"/>
        <v>0</v>
      </c>
      <c r="J283" s="9" t="str">
        <f ca="1">'SAC_IOF Ñ USAR'!J283</f>
        <v/>
      </c>
      <c r="K283" s="9" t="str">
        <f ca="1">'SAC_IOF Ñ USAR'!K283</f>
        <v/>
      </c>
      <c r="L283" s="9" t="str">
        <f ca="1">'SAC_IOF Ñ USAR'!L283</f>
        <v/>
      </c>
      <c r="N283" s="176" t="str">
        <f t="shared" ca="1" si="65"/>
        <v/>
      </c>
      <c r="O283" s="176" t="str">
        <f t="shared" ca="1" si="67"/>
        <v/>
      </c>
      <c r="P283" s="175" t="str">
        <f t="shared" ca="1" si="56"/>
        <v/>
      </c>
      <c r="Q283" s="11" t="str">
        <f t="shared" ca="1" si="57"/>
        <v/>
      </c>
      <c r="R283" s="12" t="str">
        <f t="shared" ca="1" si="58"/>
        <v/>
      </c>
      <c r="S283" s="513"/>
      <c r="U283" t="str">
        <f t="shared" ca="1" si="68"/>
        <v/>
      </c>
      <c r="V283" s="31">
        <f t="shared" ca="1" si="69"/>
        <v>0</v>
      </c>
    </row>
    <row r="284" spans="1:22">
      <c r="A284" s="180" t="str">
        <f ca="1">'SAC_IOF Ñ USAR'!A284</f>
        <v/>
      </c>
      <c r="B284" s="179" t="str">
        <f ca="1">'SAC_IOF Ñ USAR'!B284</f>
        <v/>
      </c>
      <c r="C284" s="177">
        <f t="shared" ca="1" si="59"/>
        <v>0</v>
      </c>
      <c r="D284" s="24" t="str">
        <f t="shared" ca="1" si="66"/>
        <v/>
      </c>
      <c r="E284" s="177">
        <f t="shared" ca="1" si="60"/>
        <v>-6.4551386458333582E-10</v>
      </c>
      <c r="F284" s="178" t="str">
        <f t="shared" ca="1" si="61"/>
        <v/>
      </c>
      <c r="G284" s="178" t="str">
        <f t="shared" ca="1" si="62"/>
        <v/>
      </c>
      <c r="H284" s="177" t="str">
        <f t="shared" ca="1" si="63"/>
        <v/>
      </c>
      <c r="I284" s="25">
        <f t="shared" ca="1" si="64"/>
        <v>0</v>
      </c>
      <c r="J284" s="9" t="str">
        <f ca="1">'SAC_IOF Ñ USAR'!J284</f>
        <v/>
      </c>
      <c r="K284" s="9" t="str">
        <f ca="1">'SAC_IOF Ñ USAR'!K284</f>
        <v/>
      </c>
      <c r="L284" s="9" t="str">
        <f ca="1">'SAC_IOF Ñ USAR'!L284</f>
        <v/>
      </c>
      <c r="N284" s="176" t="str">
        <f t="shared" ca="1" si="65"/>
        <v/>
      </c>
      <c r="O284" s="176" t="str">
        <f t="shared" ca="1" si="67"/>
        <v/>
      </c>
      <c r="P284" s="175" t="str">
        <f t="shared" ca="1" si="56"/>
        <v/>
      </c>
      <c r="Q284" s="11" t="str">
        <f t="shared" ca="1" si="57"/>
        <v/>
      </c>
      <c r="R284" s="12" t="str">
        <f t="shared" ca="1" si="58"/>
        <v/>
      </c>
      <c r="S284" s="513"/>
      <c r="U284" t="str">
        <f t="shared" ca="1" si="68"/>
        <v/>
      </c>
      <c r="V284" s="31">
        <f t="shared" ca="1" si="69"/>
        <v>0</v>
      </c>
    </row>
    <row r="285" spans="1:22">
      <c r="A285" s="180" t="str">
        <f ca="1">'SAC_IOF Ñ USAR'!A285</f>
        <v/>
      </c>
      <c r="B285" s="179" t="str">
        <f ca="1">'SAC_IOF Ñ USAR'!B285</f>
        <v/>
      </c>
      <c r="C285" s="177">
        <f t="shared" ca="1" si="59"/>
        <v>0</v>
      </c>
      <c r="D285" s="24" t="str">
        <f t="shared" ca="1" si="66"/>
        <v/>
      </c>
      <c r="E285" s="177">
        <f t="shared" ca="1" si="60"/>
        <v>-6.4551386458333582E-10</v>
      </c>
      <c r="F285" s="178" t="str">
        <f t="shared" ca="1" si="61"/>
        <v/>
      </c>
      <c r="G285" s="178" t="str">
        <f t="shared" ca="1" si="62"/>
        <v/>
      </c>
      <c r="H285" s="177" t="str">
        <f t="shared" ca="1" si="63"/>
        <v/>
      </c>
      <c r="I285" s="25">
        <f t="shared" ca="1" si="64"/>
        <v>0</v>
      </c>
      <c r="J285" s="9" t="str">
        <f ca="1">'SAC_IOF Ñ USAR'!J285</f>
        <v/>
      </c>
      <c r="K285" s="9" t="str">
        <f ca="1">'SAC_IOF Ñ USAR'!K285</f>
        <v/>
      </c>
      <c r="L285" s="9" t="str">
        <f ca="1">'SAC_IOF Ñ USAR'!L285</f>
        <v/>
      </c>
      <c r="N285" s="176" t="str">
        <f t="shared" ca="1" si="65"/>
        <v/>
      </c>
      <c r="O285" s="176" t="str">
        <f t="shared" ca="1" si="67"/>
        <v/>
      </c>
      <c r="P285" s="175" t="str">
        <f t="shared" ca="1" si="56"/>
        <v/>
      </c>
      <c r="Q285" s="11" t="str">
        <f t="shared" ca="1" si="57"/>
        <v/>
      </c>
      <c r="R285" s="12" t="str">
        <f t="shared" ca="1" si="58"/>
        <v/>
      </c>
      <c r="S285" s="513"/>
      <c r="U285" t="str">
        <f t="shared" ca="1" si="68"/>
        <v/>
      </c>
      <c r="V285" s="31">
        <f t="shared" ca="1" si="69"/>
        <v>0</v>
      </c>
    </row>
    <row r="286" spans="1:22">
      <c r="A286" s="180" t="str">
        <f ca="1">'SAC_IOF Ñ USAR'!A286</f>
        <v/>
      </c>
      <c r="B286" s="179" t="str">
        <f ca="1">'SAC_IOF Ñ USAR'!B286</f>
        <v/>
      </c>
      <c r="C286" s="177">
        <f t="shared" ca="1" si="59"/>
        <v>0</v>
      </c>
      <c r="D286" s="24" t="str">
        <f t="shared" ca="1" si="66"/>
        <v/>
      </c>
      <c r="E286" s="177">
        <f t="shared" ca="1" si="60"/>
        <v>-6.4551386458333582E-10</v>
      </c>
      <c r="F286" s="178" t="str">
        <f t="shared" ca="1" si="61"/>
        <v/>
      </c>
      <c r="G286" s="178" t="str">
        <f t="shared" ca="1" si="62"/>
        <v/>
      </c>
      <c r="H286" s="177" t="str">
        <f t="shared" ca="1" si="63"/>
        <v/>
      </c>
      <c r="I286" s="25">
        <f t="shared" ca="1" si="64"/>
        <v>0</v>
      </c>
      <c r="J286" s="9" t="str">
        <f ca="1">'SAC_IOF Ñ USAR'!J286</f>
        <v/>
      </c>
      <c r="K286" s="9" t="str">
        <f ca="1">'SAC_IOF Ñ USAR'!K286</f>
        <v/>
      </c>
      <c r="L286" s="9" t="str">
        <f ca="1">'SAC_IOF Ñ USAR'!L286</f>
        <v/>
      </c>
      <c r="N286" s="176" t="str">
        <f t="shared" ca="1" si="65"/>
        <v/>
      </c>
      <c r="O286" s="176" t="str">
        <f t="shared" ca="1" si="67"/>
        <v/>
      </c>
      <c r="P286" s="175" t="str">
        <f t="shared" ca="1" si="56"/>
        <v/>
      </c>
      <c r="Q286" s="11" t="str">
        <f t="shared" ca="1" si="57"/>
        <v/>
      </c>
      <c r="R286" s="12" t="str">
        <f t="shared" ca="1" si="58"/>
        <v/>
      </c>
      <c r="S286" s="513"/>
      <c r="U286" t="str">
        <f t="shared" ca="1" si="68"/>
        <v/>
      </c>
      <c r="V286" s="31">
        <f t="shared" ca="1" si="69"/>
        <v>0</v>
      </c>
    </row>
    <row r="287" spans="1:22">
      <c r="A287" s="180" t="str">
        <f ca="1">'SAC_IOF Ñ USAR'!A287</f>
        <v/>
      </c>
      <c r="B287" s="179" t="str">
        <f ca="1">'SAC_IOF Ñ USAR'!B287</f>
        <v/>
      </c>
      <c r="C287" s="177">
        <f t="shared" ca="1" si="59"/>
        <v>0</v>
      </c>
      <c r="D287" s="24" t="str">
        <f t="shared" ca="1" si="66"/>
        <v/>
      </c>
      <c r="E287" s="177">
        <f t="shared" ca="1" si="60"/>
        <v>-6.4551386458333582E-10</v>
      </c>
      <c r="F287" s="178" t="str">
        <f t="shared" ca="1" si="61"/>
        <v/>
      </c>
      <c r="G287" s="178" t="str">
        <f t="shared" ca="1" si="62"/>
        <v/>
      </c>
      <c r="H287" s="177" t="str">
        <f t="shared" ca="1" si="63"/>
        <v/>
      </c>
      <c r="I287" s="25">
        <f t="shared" ca="1" si="64"/>
        <v>0</v>
      </c>
      <c r="J287" s="9" t="str">
        <f ca="1">'SAC_IOF Ñ USAR'!J287</f>
        <v/>
      </c>
      <c r="K287" s="9" t="str">
        <f ca="1">'SAC_IOF Ñ USAR'!K287</f>
        <v/>
      </c>
      <c r="L287" s="9" t="str">
        <f ca="1">'SAC_IOF Ñ USAR'!L287</f>
        <v/>
      </c>
      <c r="N287" s="176" t="str">
        <f t="shared" ca="1" si="65"/>
        <v/>
      </c>
      <c r="O287" s="176" t="str">
        <f t="shared" ca="1" si="67"/>
        <v/>
      </c>
      <c r="P287" s="175" t="str">
        <f t="shared" ca="1" si="56"/>
        <v/>
      </c>
      <c r="Q287" s="11" t="str">
        <f t="shared" ca="1" si="57"/>
        <v/>
      </c>
      <c r="R287" s="12" t="str">
        <f t="shared" ca="1" si="58"/>
        <v/>
      </c>
      <c r="S287" s="513"/>
      <c r="U287" t="str">
        <f t="shared" ca="1" si="68"/>
        <v/>
      </c>
      <c r="V287" s="31">
        <f t="shared" ca="1" si="69"/>
        <v>0</v>
      </c>
    </row>
    <row r="288" spans="1:22">
      <c r="A288" s="180" t="str">
        <f ca="1">'SAC_IOF Ñ USAR'!A288</f>
        <v/>
      </c>
      <c r="B288" s="179" t="str">
        <f ca="1">'SAC_IOF Ñ USAR'!B288</f>
        <v/>
      </c>
      <c r="C288" s="177">
        <f t="shared" ca="1" si="59"/>
        <v>0</v>
      </c>
      <c r="D288" s="24" t="str">
        <f t="shared" ca="1" si="66"/>
        <v/>
      </c>
      <c r="E288" s="177">
        <f t="shared" ca="1" si="60"/>
        <v>-6.4551386458333582E-10</v>
      </c>
      <c r="F288" s="178" t="str">
        <f t="shared" ca="1" si="61"/>
        <v/>
      </c>
      <c r="G288" s="178" t="str">
        <f t="shared" ca="1" si="62"/>
        <v/>
      </c>
      <c r="H288" s="177" t="str">
        <f t="shared" ca="1" si="63"/>
        <v/>
      </c>
      <c r="I288" s="25">
        <f t="shared" ca="1" si="64"/>
        <v>0</v>
      </c>
      <c r="J288" s="9" t="str">
        <f ca="1">'SAC_IOF Ñ USAR'!J288</f>
        <v/>
      </c>
      <c r="K288" s="9" t="str">
        <f ca="1">'SAC_IOF Ñ USAR'!K288</f>
        <v/>
      </c>
      <c r="L288" s="9" t="str">
        <f ca="1">'SAC_IOF Ñ USAR'!L288</f>
        <v/>
      </c>
      <c r="N288" s="176" t="str">
        <f t="shared" ca="1" si="65"/>
        <v/>
      </c>
      <c r="O288" s="176" t="str">
        <f t="shared" ca="1" si="67"/>
        <v/>
      </c>
      <c r="P288" s="175" t="str">
        <f t="shared" ca="1" si="56"/>
        <v/>
      </c>
      <c r="Q288" s="11" t="str">
        <f t="shared" ca="1" si="57"/>
        <v/>
      </c>
      <c r="R288" s="12" t="str">
        <f t="shared" ca="1" si="58"/>
        <v/>
      </c>
      <c r="S288" s="513"/>
      <c r="U288" t="str">
        <f t="shared" ca="1" si="68"/>
        <v/>
      </c>
      <c r="V288" s="31">
        <f t="shared" ca="1" si="69"/>
        <v>0</v>
      </c>
    </row>
    <row r="289" spans="1:22">
      <c r="A289" s="180" t="str">
        <f ca="1">'SAC_IOF Ñ USAR'!A289</f>
        <v/>
      </c>
      <c r="B289" s="179" t="str">
        <f ca="1">'SAC_IOF Ñ USAR'!B289</f>
        <v/>
      </c>
      <c r="C289" s="177">
        <f t="shared" ca="1" si="59"/>
        <v>0</v>
      </c>
      <c r="D289" s="24" t="str">
        <f t="shared" ca="1" si="66"/>
        <v/>
      </c>
      <c r="E289" s="177">
        <f t="shared" ca="1" si="60"/>
        <v>-6.4551386458333582E-10</v>
      </c>
      <c r="F289" s="178" t="str">
        <f t="shared" ca="1" si="61"/>
        <v/>
      </c>
      <c r="G289" s="178" t="str">
        <f t="shared" ca="1" si="62"/>
        <v/>
      </c>
      <c r="H289" s="177" t="str">
        <f t="shared" ca="1" si="63"/>
        <v/>
      </c>
      <c r="I289" s="25">
        <f t="shared" ca="1" si="64"/>
        <v>0</v>
      </c>
      <c r="J289" s="9" t="str">
        <f ca="1">'SAC_IOF Ñ USAR'!J289</f>
        <v/>
      </c>
      <c r="K289" s="9" t="str">
        <f ca="1">'SAC_IOF Ñ USAR'!K289</f>
        <v/>
      </c>
      <c r="L289" s="9" t="str">
        <f ca="1">'SAC_IOF Ñ USAR'!L289</f>
        <v/>
      </c>
      <c r="N289" s="176" t="str">
        <f t="shared" ca="1" si="65"/>
        <v/>
      </c>
      <c r="O289" s="176" t="str">
        <f t="shared" ca="1" si="67"/>
        <v/>
      </c>
      <c r="P289" s="175" t="str">
        <f t="shared" ca="1" si="56"/>
        <v/>
      </c>
      <c r="Q289" s="11" t="str">
        <f t="shared" ca="1" si="57"/>
        <v/>
      </c>
      <c r="R289" s="12" t="str">
        <f t="shared" ca="1" si="58"/>
        <v/>
      </c>
      <c r="S289" s="513"/>
      <c r="U289" t="str">
        <f t="shared" ca="1" si="68"/>
        <v/>
      </c>
      <c r="V289" s="31">
        <f t="shared" ca="1" si="69"/>
        <v>0</v>
      </c>
    </row>
    <row r="290" spans="1:22">
      <c r="A290" s="180" t="str">
        <f ca="1">'SAC_IOF Ñ USAR'!A290</f>
        <v/>
      </c>
      <c r="B290" s="179" t="str">
        <f ca="1">'SAC_IOF Ñ USAR'!B290</f>
        <v/>
      </c>
      <c r="C290" s="177">
        <f t="shared" ca="1" si="59"/>
        <v>0</v>
      </c>
      <c r="D290" s="24" t="str">
        <f t="shared" ca="1" si="66"/>
        <v/>
      </c>
      <c r="E290" s="177">
        <f t="shared" ca="1" si="60"/>
        <v>-6.4551386458333582E-10</v>
      </c>
      <c r="F290" s="178" t="str">
        <f t="shared" ca="1" si="61"/>
        <v/>
      </c>
      <c r="G290" s="178" t="str">
        <f t="shared" ca="1" si="62"/>
        <v/>
      </c>
      <c r="H290" s="177" t="str">
        <f t="shared" ca="1" si="63"/>
        <v/>
      </c>
      <c r="I290" s="25">
        <f t="shared" ca="1" si="64"/>
        <v>0</v>
      </c>
      <c r="J290" s="9" t="str">
        <f ca="1">'SAC_IOF Ñ USAR'!J290</f>
        <v/>
      </c>
      <c r="K290" s="9" t="str">
        <f ca="1">'SAC_IOF Ñ USAR'!K290</f>
        <v/>
      </c>
      <c r="L290" s="9" t="str">
        <f ca="1">'SAC_IOF Ñ USAR'!L290</f>
        <v/>
      </c>
      <c r="N290" s="176" t="str">
        <f t="shared" ca="1" si="65"/>
        <v/>
      </c>
      <c r="O290" s="176" t="str">
        <f t="shared" ca="1" si="67"/>
        <v/>
      </c>
      <c r="P290" s="175" t="str">
        <f t="shared" ca="1" si="56"/>
        <v/>
      </c>
      <c r="Q290" s="11" t="str">
        <f t="shared" ca="1" si="57"/>
        <v/>
      </c>
      <c r="R290" s="12" t="str">
        <f t="shared" ca="1" si="58"/>
        <v/>
      </c>
      <c r="S290" s="513"/>
      <c r="U290" t="str">
        <f t="shared" ca="1" si="68"/>
        <v/>
      </c>
      <c r="V290" s="31">
        <f t="shared" ca="1" si="69"/>
        <v>0</v>
      </c>
    </row>
    <row r="291" spans="1:22">
      <c r="A291" s="180" t="str">
        <f ca="1">'SAC_IOF Ñ USAR'!A291</f>
        <v/>
      </c>
      <c r="B291" s="179" t="str">
        <f ca="1">'SAC_IOF Ñ USAR'!B291</f>
        <v/>
      </c>
      <c r="C291" s="177">
        <f t="shared" ca="1" si="59"/>
        <v>0</v>
      </c>
      <c r="D291" s="24" t="str">
        <f t="shared" ca="1" si="66"/>
        <v/>
      </c>
      <c r="E291" s="177">
        <f t="shared" ca="1" si="60"/>
        <v>-6.4551386458333582E-10</v>
      </c>
      <c r="F291" s="178" t="str">
        <f t="shared" ca="1" si="61"/>
        <v/>
      </c>
      <c r="G291" s="178" t="str">
        <f t="shared" ca="1" si="62"/>
        <v/>
      </c>
      <c r="H291" s="177" t="str">
        <f t="shared" ca="1" si="63"/>
        <v/>
      </c>
      <c r="I291" s="25">
        <f t="shared" ca="1" si="64"/>
        <v>0</v>
      </c>
      <c r="J291" s="9" t="str">
        <f ca="1">'SAC_IOF Ñ USAR'!J291</f>
        <v/>
      </c>
      <c r="K291" s="9" t="str">
        <f ca="1">'SAC_IOF Ñ USAR'!K291</f>
        <v/>
      </c>
      <c r="L291" s="9" t="str">
        <f ca="1">'SAC_IOF Ñ USAR'!L291</f>
        <v/>
      </c>
      <c r="N291" s="176" t="str">
        <f t="shared" ca="1" si="65"/>
        <v/>
      </c>
      <c r="O291" s="176" t="str">
        <f t="shared" ca="1" si="67"/>
        <v/>
      </c>
      <c r="P291" s="175" t="str">
        <f t="shared" ca="1" si="56"/>
        <v/>
      </c>
      <c r="Q291" s="11" t="str">
        <f t="shared" ca="1" si="57"/>
        <v/>
      </c>
      <c r="R291" s="12" t="str">
        <f t="shared" ca="1" si="58"/>
        <v/>
      </c>
      <c r="S291" s="513"/>
      <c r="U291" t="str">
        <f t="shared" ca="1" si="68"/>
        <v/>
      </c>
      <c r="V291" s="31">
        <f t="shared" ca="1" si="69"/>
        <v>0</v>
      </c>
    </row>
    <row r="292" spans="1:22">
      <c r="A292" s="180" t="str">
        <f ca="1">'SAC_IOF Ñ USAR'!A292</f>
        <v/>
      </c>
      <c r="B292" s="179" t="str">
        <f ca="1">'SAC_IOF Ñ USAR'!B292</f>
        <v/>
      </c>
      <c r="C292" s="177">
        <f t="shared" ca="1" si="59"/>
        <v>0</v>
      </c>
      <c r="D292" s="24" t="str">
        <f t="shared" ca="1" si="66"/>
        <v/>
      </c>
      <c r="E292" s="177">
        <f t="shared" ca="1" si="60"/>
        <v>-6.4551386458333582E-10</v>
      </c>
      <c r="F292" s="178" t="str">
        <f t="shared" ca="1" si="61"/>
        <v/>
      </c>
      <c r="G292" s="178" t="str">
        <f t="shared" ca="1" si="62"/>
        <v/>
      </c>
      <c r="H292" s="177" t="str">
        <f t="shared" ca="1" si="63"/>
        <v/>
      </c>
      <c r="I292" s="25">
        <f t="shared" ca="1" si="64"/>
        <v>0</v>
      </c>
      <c r="J292" s="9" t="str">
        <f ca="1">'SAC_IOF Ñ USAR'!J292</f>
        <v/>
      </c>
      <c r="K292" s="9" t="str">
        <f ca="1">'SAC_IOF Ñ USAR'!K292</f>
        <v/>
      </c>
      <c r="L292" s="9" t="str">
        <f ca="1">'SAC_IOF Ñ USAR'!L292</f>
        <v/>
      </c>
      <c r="N292" s="176" t="str">
        <f t="shared" ca="1" si="65"/>
        <v/>
      </c>
      <c r="O292" s="176" t="str">
        <f t="shared" ca="1" si="67"/>
        <v/>
      </c>
      <c r="P292" s="175" t="str">
        <f t="shared" ca="1" si="56"/>
        <v/>
      </c>
      <c r="Q292" s="11" t="str">
        <f t="shared" ca="1" si="57"/>
        <v/>
      </c>
      <c r="R292" s="12" t="str">
        <f t="shared" ca="1" si="58"/>
        <v/>
      </c>
      <c r="S292" s="513"/>
      <c r="U292" t="str">
        <f t="shared" ca="1" si="68"/>
        <v/>
      </c>
      <c r="V292" s="31">
        <f t="shared" ca="1" si="69"/>
        <v>0</v>
      </c>
    </row>
    <row r="293" spans="1:22">
      <c r="A293" s="180" t="str">
        <f ca="1">'SAC_IOF Ñ USAR'!A293</f>
        <v/>
      </c>
      <c r="B293" s="179" t="str">
        <f ca="1">'SAC_IOF Ñ USAR'!B293</f>
        <v/>
      </c>
      <c r="C293" s="177">
        <f t="shared" ca="1" si="59"/>
        <v>0</v>
      </c>
      <c r="D293" s="24" t="str">
        <f t="shared" ca="1" si="66"/>
        <v/>
      </c>
      <c r="E293" s="177">
        <f t="shared" ca="1" si="60"/>
        <v>-6.4551386458333582E-10</v>
      </c>
      <c r="F293" s="178" t="str">
        <f t="shared" ca="1" si="61"/>
        <v/>
      </c>
      <c r="G293" s="178" t="str">
        <f t="shared" ca="1" si="62"/>
        <v/>
      </c>
      <c r="H293" s="177" t="str">
        <f t="shared" ca="1" si="63"/>
        <v/>
      </c>
      <c r="I293" s="25">
        <f t="shared" ca="1" si="64"/>
        <v>0</v>
      </c>
      <c r="J293" s="9" t="str">
        <f ca="1">'SAC_IOF Ñ USAR'!J293</f>
        <v/>
      </c>
      <c r="K293" s="9" t="str">
        <f ca="1">'SAC_IOF Ñ USAR'!K293</f>
        <v/>
      </c>
      <c r="L293" s="9" t="str">
        <f ca="1">'SAC_IOF Ñ USAR'!L293</f>
        <v/>
      </c>
      <c r="N293" s="176" t="str">
        <f t="shared" ca="1" si="65"/>
        <v/>
      </c>
      <c r="O293" s="176" t="str">
        <f t="shared" ca="1" si="67"/>
        <v/>
      </c>
      <c r="P293" s="175" t="str">
        <f t="shared" ca="1" si="56"/>
        <v/>
      </c>
      <c r="Q293" s="11" t="str">
        <f t="shared" ca="1" si="57"/>
        <v/>
      </c>
      <c r="R293" s="12" t="str">
        <f t="shared" ca="1" si="58"/>
        <v/>
      </c>
      <c r="S293" s="513"/>
      <c r="U293" t="str">
        <f t="shared" ca="1" si="68"/>
        <v/>
      </c>
      <c r="V293" s="31">
        <f t="shared" ca="1" si="69"/>
        <v>0</v>
      </c>
    </row>
    <row r="294" spans="1:22">
      <c r="A294" s="180" t="str">
        <f ca="1">'SAC_IOF Ñ USAR'!A294</f>
        <v/>
      </c>
      <c r="B294" s="179" t="str">
        <f ca="1">'SAC_IOF Ñ USAR'!B294</f>
        <v/>
      </c>
      <c r="C294" s="177">
        <f t="shared" ca="1" si="59"/>
        <v>0</v>
      </c>
      <c r="D294" s="24" t="str">
        <f t="shared" ca="1" si="66"/>
        <v/>
      </c>
      <c r="E294" s="177">
        <f t="shared" ca="1" si="60"/>
        <v>-6.4551386458333582E-10</v>
      </c>
      <c r="F294" s="178" t="str">
        <f t="shared" ca="1" si="61"/>
        <v/>
      </c>
      <c r="G294" s="178" t="str">
        <f t="shared" ca="1" si="62"/>
        <v/>
      </c>
      <c r="H294" s="177" t="str">
        <f t="shared" ca="1" si="63"/>
        <v/>
      </c>
      <c r="I294" s="25">
        <f t="shared" ca="1" si="64"/>
        <v>0</v>
      </c>
      <c r="J294" s="9" t="str">
        <f ca="1">'SAC_IOF Ñ USAR'!J294</f>
        <v/>
      </c>
      <c r="K294" s="9" t="str">
        <f ca="1">'SAC_IOF Ñ USAR'!K294</f>
        <v/>
      </c>
      <c r="L294" s="9" t="str">
        <f ca="1">'SAC_IOF Ñ USAR'!L294</f>
        <v/>
      </c>
      <c r="N294" s="176" t="str">
        <f t="shared" ca="1" si="65"/>
        <v/>
      </c>
      <c r="O294" s="176" t="str">
        <f t="shared" ca="1" si="67"/>
        <v/>
      </c>
      <c r="P294" s="175" t="str">
        <f t="shared" ca="1" si="56"/>
        <v/>
      </c>
      <c r="Q294" s="11" t="str">
        <f t="shared" ca="1" si="57"/>
        <v/>
      </c>
      <c r="R294" s="12" t="str">
        <f t="shared" ca="1" si="58"/>
        <v/>
      </c>
      <c r="S294" s="513"/>
      <c r="U294" t="str">
        <f t="shared" ca="1" si="68"/>
        <v/>
      </c>
      <c r="V294" s="31">
        <f t="shared" ca="1" si="69"/>
        <v>0</v>
      </c>
    </row>
    <row r="295" spans="1:22">
      <c r="A295" s="180" t="str">
        <f ca="1">'SAC_IOF Ñ USAR'!A295</f>
        <v/>
      </c>
      <c r="B295" s="179" t="str">
        <f ca="1">'SAC_IOF Ñ USAR'!B295</f>
        <v/>
      </c>
      <c r="C295" s="177">
        <f t="shared" ca="1" si="59"/>
        <v>0</v>
      </c>
      <c r="D295" s="24" t="str">
        <f t="shared" ca="1" si="66"/>
        <v/>
      </c>
      <c r="E295" s="177">
        <f t="shared" ca="1" si="60"/>
        <v>-6.4551386458333582E-10</v>
      </c>
      <c r="F295" s="178" t="str">
        <f t="shared" ca="1" si="61"/>
        <v/>
      </c>
      <c r="G295" s="178" t="str">
        <f t="shared" ca="1" si="62"/>
        <v/>
      </c>
      <c r="H295" s="177" t="str">
        <f t="shared" ca="1" si="63"/>
        <v/>
      </c>
      <c r="I295" s="25">
        <f t="shared" ca="1" si="64"/>
        <v>0</v>
      </c>
      <c r="J295" s="9" t="str">
        <f ca="1">'SAC_IOF Ñ USAR'!J295</f>
        <v/>
      </c>
      <c r="K295" s="9" t="str">
        <f ca="1">'SAC_IOF Ñ USAR'!K295</f>
        <v/>
      </c>
      <c r="L295" s="9" t="str">
        <f ca="1">'SAC_IOF Ñ USAR'!L295</f>
        <v/>
      </c>
      <c r="N295" s="176" t="str">
        <f t="shared" ca="1" si="65"/>
        <v/>
      </c>
      <c r="O295" s="176" t="str">
        <f t="shared" ca="1" si="67"/>
        <v/>
      </c>
      <c r="P295" s="175" t="str">
        <f t="shared" ca="1" si="56"/>
        <v/>
      </c>
      <c r="Q295" s="11" t="str">
        <f t="shared" ca="1" si="57"/>
        <v/>
      </c>
      <c r="R295" s="12" t="str">
        <f t="shared" ca="1" si="58"/>
        <v/>
      </c>
      <c r="S295" s="513"/>
      <c r="U295" t="str">
        <f t="shared" ca="1" si="68"/>
        <v/>
      </c>
      <c r="V295" s="31">
        <f t="shared" ca="1" si="69"/>
        <v>0</v>
      </c>
    </row>
    <row r="296" spans="1:22">
      <c r="A296" s="180" t="str">
        <f ca="1">'SAC_IOF Ñ USAR'!A296</f>
        <v/>
      </c>
      <c r="B296" s="179" t="str">
        <f ca="1">'SAC_IOF Ñ USAR'!B296</f>
        <v/>
      </c>
      <c r="C296" s="177">
        <f t="shared" ca="1" si="59"/>
        <v>0</v>
      </c>
      <c r="D296" s="24" t="str">
        <f t="shared" ca="1" si="66"/>
        <v/>
      </c>
      <c r="E296" s="177">
        <f t="shared" ca="1" si="60"/>
        <v>-6.4551386458333582E-10</v>
      </c>
      <c r="F296" s="178" t="str">
        <f t="shared" ca="1" si="61"/>
        <v/>
      </c>
      <c r="G296" s="178" t="str">
        <f t="shared" ca="1" si="62"/>
        <v/>
      </c>
      <c r="H296" s="177" t="str">
        <f t="shared" ca="1" si="63"/>
        <v/>
      </c>
      <c r="I296" s="25">
        <f t="shared" ca="1" si="64"/>
        <v>0</v>
      </c>
      <c r="J296" s="9" t="str">
        <f ca="1">'SAC_IOF Ñ USAR'!J296</f>
        <v/>
      </c>
      <c r="K296" s="9" t="str">
        <f ca="1">'SAC_IOF Ñ USAR'!K296</f>
        <v/>
      </c>
      <c r="L296" s="9" t="str">
        <f ca="1">'SAC_IOF Ñ USAR'!L296</f>
        <v/>
      </c>
      <c r="N296" s="176" t="str">
        <f t="shared" ca="1" si="65"/>
        <v/>
      </c>
      <c r="O296" s="176" t="str">
        <f t="shared" ca="1" si="67"/>
        <v/>
      </c>
      <c r="P296" s="175" t="str">
        <f t="shared" ca="1" si="56"/>
        <v/>
      </c>
      <c r="Q296" s="11" t="str">
        <f t="shared" ca="1" si="57"/>
        <v/>
      </c>
      <c r="R296" s="12" t="str">
        <f t="shared" ca="1" si="58"/>
        <v/>
      </c>
      <c r="S296" s="513"/>
      <c r="U296" t="str">
        <f t="shared" ca="1" si="68"/>
        <v/>
      </c>
      <c r="V296" s="31">
        <f t="shared" ca="1" si="69"/>
        <v>0</v>
      </c>
    </row>
    <row r="297" spans="1:22">
      <c r="A297" s="180" t="str">
        <f ca="1">'SAC_IOF Ñ USAR'!A297</f>
        <v/>
      </c>
      <c r="B297" s="179" t="str">
        <f ca="1">'SAC_IOF Ñ USAR'!B297</f>
        <v/>
      </c>
      <c r="C297" s="177">
        <f t="shared" ca="1" si="59"/>
        <v>0</v>
      </c>
      <c r="D297" s="24" t="str">
        <f t="shared" ca="1" si="66"/>
        <v/>
      </c>
      <c r="E297" s="177">
        <f t="shared" ca="1" si="60"/>
        <v>-6.4551386458333582E-10</v>
      </c>
      <c r="F297" s="178" t="str">
        <f t="shared" ca="1" si="61"/>
        <v/>
      </c>
      <c r="G297" s="178" t="str">
        <f t="shared" ca="1" si="62"/>
        <v/>
      </c>
      <c r="H297" s="177" t="str">
        <f t="shared" ca="1" si="63"/>
        <v/>
      </c>
      <c r="I297" s="25">
        <f t="shared" ca="1" si="64"/>
        <v>0</v>
      </c>
      <c r="J297" s="9" t="str">
        <f ca="1">'SAC_IOF Ñ USAR'!J297</f>
        <v/>
      </c>
      <c r="K297" s="9" t="str">
        <f ca="1">'SAC_IOF Ñ USAR'!K297</f>
        <v/>
      </c>
      <c r="L297" s="9" t="str">
        <f ca="1">'SAC_IOF Ñ USAR'!L297</f>
        <v/>
      </c>
      <c r="N297" s="176" t="str">
        <f t="shared" ca="1" si="65"/>
        <v/>
      </c>
      <c r="O297" s="176" t="str">
        <f t="shared" ca="1" si="67"/>
        <v/>
      </c>
      <c r="P297" s="175" t="str">
        <f t="shared" ca="1" si="56"/>
        <v/>
      </c>
      <c r="Q297" s="11" t="str">
        <f t="shared" ca="1" si="57"/>
        <v/>
      </c>
      <c r="R297" s="12" t="str">
        <f t="shared" ca="1" si="58"/>
        <v/>
      </c>
      <c r="S297" s="513"/>
      <c r="U297" t="str">
        <f t="shared" ca="1" si="68"/>
        <v/>
      </c>
      <c r="V297" s="31">
        <f t="shared" ca="1" si="69"/>
        <v>0</v>
      </c>
    </row>
    <row r="298" spans="1:22">
      <c r="A298" s="180" t="str">
        <f ca="1">'SAC_IOF Ñ USAR'!A298</f>
        <v/>
      </c>
      <c r="B298" s="179" t="str">
        <f ca="1">'SAC_IOF Ñ USAR'!B298</f>
        <v/>
      </c>
      <c r="C298" s="177">
        <f t="shared" ca="1" si="59"/>
        <v>0</v>
      </c>
      <c r="D298" s="24" t="str">
        <f t="shared" ca="1" si="66"/>
        <v/>
      </c>
      <c r="E298" s="177">
        <f t="shared" ca="1" si="60"/>
        <v>-6.4551386458333582E-10</v>
      </c>
      <c r="F298" s="178" t="str">
        <f t="shared" ca="1" si="61"/>
        <v/>
      </c>
      <c r="G298" s="178" t="str">
        <f t="shared" ca="1" si="62"/>
        <v/>
      </c>
      <c r="H298" s="177" t="str">
        <f t="shared" ca="1" si="63"/>
        <v/>
      </c>
      <c r="I298" s="25">
        <f t="shared" ca="1" si="64"/>
        <v>0</v>
      </c>
      <c r="J298" s="9" t="str">
        <f ca="1">'SAC_IOF Ñ USAR'!J298</f>
        <v/>
      </c>
      <c r="K298" s="9" t="str">
        <f ca="1">'SAC_IOF Ñ USAR'!K298</f>
        <v/>
      </c>
      <c r="L298" s="9" t="str">
        <f ca="1">'SAC_IOF Ñ USAR'!L298</f>
        <v/>
      </c>
      <c r="N298" s="176" t="str">
        <f t="shared" ca="1" si="65"/>
        <v/>
      </c>
      <c r="O298" s="176" t="str">
        <f t="shared" ca="1" si="67"/>
        <v/>
      </c>
      <c r="P298" s="175" t="str">
        <f t="shared" ca="1" si="56"/>
        <v/>
      </c>
      <c r="Q298" s="11" t="str">
        <f t="shared" ca="1" si="57"/>
        <v/>
      </c>
      <c r="R298" s="12" t="str">
        <f t="shared" ca="1" si="58"/>
        <v/>
      </c>
      <c r="S298" s="513"/>
      <c r="U298" t="str">
        <f t="shared" ca="1" si="68"/>
        <v/>
      </c>
      <c r="V298" s="31">
        <f t="shared" ca="1" si="69"/>
        <v>0</v>
      </c>
    </row>
    <row r="299" spans="1:22">
      <c r="A299" s="180" t="str">
        <f ca="1">'SAC_IOF Ñ USAR'!A299</f>
        <v/>
      </c>
      <c r="B299" s="179" t="str">
        <f ca="1">'SAC_IOF Ñ USAR'!B299</f>
        <v/>
      </c>
      <c r="C299" s="177">
        <f t="shared" ca="1" si="59"/>
        <v>0</v>
      </c>
      <c r="D299" s="24" t="str">
        <f t="shared" ca="1" si="66"/>
        <v/>
      </c>
      <c r="E299" s="177">
        <f t="shared" ca="1" si="60"/>
        <v>-6.4551386458333582E-10</v>
      </c>
      <c r="F299" s="178" t="str">
        <f t="shared" ca="1" si="61"/>
        <v/>
      </c>
      <c r="G299" s="178" t="str">
        <f t="shared" ca="1" si="62"/>
        <v/>
      </c>
      <c r="H299" s="177" t="str">
        <f t="shared" ca="1" si="63"/>
        <v/>
      </c>
      <c r="I299" s="25">
        <f t="shared" ca="1" si="64"/>
        <v>0</v>
      </c>
      <c r="J299" s="9" t="str">
        <f ca="1">'SAC_IOF Ñ USAR'!J299</f>
        <v/>
      </c>
      <c r="K299" s="9" t="str">
        <f ca="1">'SAC_IOF Ñ USAR'!K299</f>
        <v/>
      </c>
      <c r="L299" s="9" t="str">
        <f ca="1">'SAC_IOF Ñ USAR'!L299</f>
        <v/>
      </c>
      <c r="N299" s="176" t="str">
        <f t="shared" ca="1" si="65"/>
        <v/>
      </c>
      <c r="O299" s="176" t="str">
        <f t="shared" ca="1" si="67"/>
        <v/>
      </c>
      <c r="P299" s="175" t="str">
        <f t="shared" ca="1" si="56"/>
        <v/>
      </c>
      <c r="Q299" s="11" t="str">
        <f t="shared" ca="1" si="57"/>
        <v/>
      </c>
      <c r="R299" s="12" t="str">
        <f t="shared" ca="1" si="58"/>
        <v/>
      </c>
      <c r="S299" s="513"/>
      <c r="U299" t="str">
        <f t="shared" ca="1" si="68"/>
        <v/>
      </c>
      <c r="V299" s="31">
        <f t="shared" ca="1" si="69"/>
        <v>0</v>
      </c>
    </row>
    <row r="300" spans="1:22">
      <c r="A300" s="180" t="str">
        <f ca="1">'SAC_IOF Ñ USAR'!A300</f>
        <v/>
      </c>
      <c r="B300" s="179" t="str">
        <f ca="1">'SAC_IOF Ñ USAR'!B300</f>
        <v/>
      </c>
      <c r="C300" s="177">
        <f t="shared" ca="1" si="59"/>
        <v>0</v>
      </c>
      <c r="D300" s="24" t="str">
        <f t="shared" ca="1" si="66"/>
        <v/>
      </c>
      <c r="E300" s="177">
        <f t="shared" ca="1" si="60"/>
        <v>-6.4551386458333582E-10</v>
      </c>
      <c r="F300" s="178" t="str">
        <f t="shared" ca="1" si="61"/>
        <v/>
      </c>
      <c r="G300" s="178" t="str">
        <f t="shared" ca="1" si="62"/>
        <v/>
      </c>
      <c r="H300" s="177" t="str">
        <f t="shared" ca="1" si="63"/>
        <v/>
      </c>
      <c r="I300" s="25">
        <f t="shared" ca="1" si="64"/>
        <v>0</v>
      </c>
      <c r="J300" s="9" t="str">
        <f ca="1">'SAC_IOF Ñ USAR'!J300</f>
        <v/>
      </c>
      <c r="K300" s="9" t="str">
        <f ca="1">'SAC_IOF Ñ USAR'!K300</f>
        <v/>
      </c>
      <c r="L300" s="9" t="str">
        <f ca="1">'SAC_IOF Ñ USAR'!L300</f>
        <v/>
      </c>
      <c r="N300" s="176" t="str">
        <f t="shared" ca="1" si="65"/>
        <v/>
      </c>
      <c r="O300" s="176" t="str">
        <f t="shared" ca="1" si="67"/>
        <v/>
      </c>
      <c r="P300" s="175" t="str">
        <f t="shared" ca="1" si="56"/>
        <v/>
      </c>
      <c r="Q300" s="11" t="str">
        <f t="shared" ca="1" si="57"/>
        <v/>
      </c>
      <c r="R300" s="12" t="str">
        <f t="shared" ca="1" si="58"/>
        <v/>
      </c>
      <c r="S300" s="513"/>
      <c r="U300" t="str">
        <f t="shared" ca="1" si="68"/>
        <v/>
      </c>
      <c r="V300" s="31">
        <f t="shared" ca="1" si="69"/>
        <v>0</v>
      </c>
    </row>
    <row r="301" spans="1:22">
      <c r="A301" s="180" t="str">
        <f ca="1">'SAC_IOF Ñ USAR'!A301</f>
        <v/>
      </c>
      <c r="B301" s="179" t="str">
        <f ca="1">'SAC_IOF Ñ USAR'!B301</f>
        <v/>
      </c>
      <c r="C301" s="177">
        <f t="shared" ca="1" si="59"/>
        <v>0</v>
      </c>
      <c r="D301" s="24" t="str">
        <f t="shared" ca="1" si="66"/>
        <v/>
      </c>
      <c r="E301" s="177">
        <f t="shared" ca="1" si="60"/>
        <v>-6.4551386458333582E-10</v>
      </c>
      <c r="F301" s="178" t="str">
        <f t="shared" ca="1" si="61"/>
        <v/>
      </c>
      <c r="G301" s="178" t="str">
        <f t="shared" ca="1" si="62"/>
        <v/>
      </c>
      <c r="H301" s="177" t="str">
        <f t="shared" ca="1" si="63"/>
        <v/>
      </c>
      <c r="I301" s="25">
        <f t="shared" ca="1" si="64"/>
        <v>0</v>
      </c>
      <c r="J301" s="9" t="str">
        <f ca="1">'SAC_IOF Ñ USAR'!J301</f>
        <v/>
      </c>
      <c r="K301" s="9" t="str">
        <f ca="1">'SAC_IOF Ñ USAR'!K301</f>
        <v/>
      </c>
      <c r="L301" s="9" t="str">
        <f ca="1">'SAC_IOF Ñ USAR'!L301</f>
        <v/>
      </c>
      <c r="N301" s="176" t="str">
        <f t="shared" ca="1" si="65"/>
        <v/>
      </c>
      <c r="O301" s="176" t="str">
        <f t="shared" ca="1" si="67"/>
        <v/>
      </c>
      <c r="P301" s="175" t="str">
        <f t="shared" ca="1" si="56"/>
        <v/>
      </c>
      <c r="Q301" s="11" t="str">
        <f t="shared" ca="1" si="57"/>
        <v/>
      </c>
      <c r="R301" s="12" t="str">
        <f t="shared" ca="1" si="58"/>
        <v/>
      </c>
      <c r="S301" s="513"/>
      <c r="U301" t="str">
        <f t="shared" ca="1" si="68"/>
        <v/>
      </c>
      <c r="V301" s="31">
        <f t="shared" ca="1" si="69"/>
        <v>0</v>
      </c>
    </row>
    <row r="302" spans="1:22">
      <c r="A302" s="180" t="str">
        <f ca="1">'SAC_IOF Ñ USAR'!A302</f>
        <v/>
      </c>
      <c r="B302" s="179" t="str">
        <f ca="1">'SAC_IOF Ñ USAR'!B302</f>
        <v/>
      </c>
      <c r="C302" s="177">
        <f t="shared" ca="1" si="59"/>
        <v>0</v>
      </c>
      <c r="D302" s="24" t="str">
        <f t="shared" ca="1" si="66"/>
        <v/>
      </c>
      <c r="E302" s="177">
        <f t="shared" ca="1" si="60"/>
        <v>-6.4551386458333582E-10</v>
      </c>
      <c r="F302" s="178" t="str">
        <f t="shared" ca="1" si="61"/>
        <v/>
      </c>
      <c r="G302" s="178" t="str">
        <f t="shared" ca="1" si="62"/>
        <v/>
      </c>
      <c r="H302" s="177" t="str">
        <f t="shared" ca="1" si="63"/>
        <v/>
      </c>
      <c r="I302" s="25">
        <f t="shared" ca="1" si="64"/>
        <v>0</v>
      </c>
      <c r="J302" s="9" t="str">
        <f ca="1">'SAC_IOF Ñ USAR'!J302</f>
        <v/>
      </c>
      <c r="K302" s="9" t="str">
        <f ca="1">'SAC_IOF Ñ USAR'!K302</f>
        <v/>
      </c>
      <c r="L302" s="9" t="str">
        <f ca="1">'SAC_IOF Ñ USAR'!L302</f>
        <v/>
      </c>
      <c r="N302" s="176" t="str">
        <f t="shared" ca="1" si="65"/>
        <v/>
      </c>
      <c r="O302" s="176" t="str">
        <f t="shared" ca="1" si="67"/>
        <v/>
      </c>
      <c r="P302" s="175" t="str">
        <f t="shared" ca="1" si="56"/>
        <v/>
      </c>
      <c r="Q302" s="11" t="str">
        <f t="shared" ca="1" si="57"/>
        <v/>
      </c>
      <c r="R302" s="12" t="str">
        <f t="shared" ca="1" si="58"/>
        <v/>
      </c>
      <c r="S302" s="513"/>
      <c r="U302" t="str">
        <f t="shared" ca="1" si="68"/>
        <v/>
      </c>
      <c r="V302" s="31">
        <f t="shared" ca="1" si="69"/>
        <v>0</v>
      </c>
    </row>
    <row r="303" spans="1:22">
      <c r="A303" s="180" t="str">
        <f ca="1">'SAC_IOF Ñ USAR'!A303</f>
        <v/>
      </c>
      <c r="B303" s="179" t="str">
        <f ca="1">'SAC_IOF Ñ USAR'!B303</f>
        <v/>
      </c>
      <c r="C303" s="177">
        <f t="shared" ca="1" si="59"/>
        <v>0</v>
      </c>
      <c r="D303" s="24" t="str">
        <f t="shared" ca="1" si="66"/>
        <v/>
      </c>
      <c r="E303" s="177">
        <f t="shared" ca="1" si="60"/>
        <v>-6.4551386458333582E-10</v>
      </c>
      <c r="F303" s="178" t="str">
        <f t="shared" ca="1" si="61"/>
        <v/>
      </c>
      <c r="G303" s="178" t="str">
        <f t="shared" ca="1" si="62"/>
        <v/>
      </c>
      <c r="H303" s="177" t="str">
        <f t="shared" ca="1" si="63"/>
        <v/>
      </c>
      <c r="I303" s="25">
        <f t="shared" ca="1" si="64"/>
        <v>0</v>
      </c>
      <c r="J303" s="9" t="str">
        <f ca="1">'SAC_IOF Ñ USAR'!J303</f>
        <v/>
      </c>
      <c r="K303" s="9" t="str">
        <f ca="1">'SAC_IOF Ñ USAR'!K303</f>
        <v/>
      </c>
      <c r="L303" s="9" t="str">
        <f ca="1">'SAC_IOF Ñ USAR'!L303</f>
        <v/>
      </c>
      <c r="N303" s="176" t="str">
        <f t="shared" ca="1" si="65"/>
        <v/>
      </c>
      <c r="O303" s="176" t="str">
        <f t="shared" ca="1" si="67"/>
        <v/>
      </c>
      <c r="P303" s="175" t="str">
        <f t="shared" ca="1" si="56"/>
        <v/>
      </c>
      <c r="Q303" s="11" t="str">
        <f t="shared" ca="1" si="57"/>
        <v/>
      </c>
      <c r="R303" s="12" t="str">
        <f t="shared" ca="1" si="58"/>
        <v/>
      </c>
      <c r="S303" s="513"/>
      <c r="U303" t="str">
        <f t="shared" ca="1" si="68"/>
        <v/>
      </c>
      <c r="V303" s="31">
        <f t="shared" ca="1" si="69"/>
        <v>0</v>
      </c>
    </row>
    <row r="304" spans="1:22">
      <c r="A304" s="180" t="str">
        <f ca="1">'SAC_IOF Ñ USAR'!A304</f>
        <v/>
      </c>
      <c r="B304" s="179" t="str">
        <f ca="1">'SAC_IOF Ñ USAR'!B304</f>
        <v/>
      </c>
      <c r="C304" s="177">
        <f t="shared" ca="1" si="59"/>
        <v>0</v>
      </c>
      <c r="D304" s="24" t="str">
        <f t="shared" ca="1" si="66"/>
        <v/>
      </c>
      <c r="E304" s="177">
        <f t="shared" ca="1" si="60"/>
        <v>-6.4551386458333582E-10</v>
      </c>
      <c r="F304" s="178" t="str">
        <f t="shared" ca="1" si="61"/>
        <v/>
      </c>
      <c r="G304" s="178" t="str">
        <f t="shared" ca="1" si="62"/>
        <v/>
      </c>
      <c r="H304" s="177" t="str">
        <f t="shared" ca="1" si="63"/>
        <v/>
      </c>
      <c r="I304" s="25">
        <f t="shared" ca="1" si="64"/>
        <v>0</v>
      </c>
      <c r="J304" s="9" t="str">
        <f ca="1">'SAC_IOF Ñ USAR'!J304</f>
        <v/>
      </c>
      <c r="K304" s="9" t="str">
        <f ca="1">'SAC_IOF Ñ USAR'!K304</f>
        <v/>
      </c>
      <c r="L304" s="9" t="str">
        <f ca="1">'SAC_IOF Ñ USAR'!L304</f>
        <v/>
      </c>
      <c r="N304" s="176" t="str">
        <f t="shared" ca="1" si="65"/>
        <v/>
      </c>
      <c r="O304" s="176" t="str">
        <f t="shared" ca="1" si="67"/>
        <v/>
      </c>
      <c r="P304" s="175" t="str">
        <f t="shared" ca="1" si="56"/>
        <v/>
      </c>
      <c r="Q304" s="11" t="str">
        <f t="shared" ca="1" si="57"/>
        <v/>
      </c>
      <c r="R304" s="12" t="str">
        <f t="shared" ca="1" si="58"/>
        <v/>
      </c>
      <c r="S304" s="513"/>
      <c r="U304" t="str">
        <f t="shared" ca="1" si="68"/>
        <v/>
      </c>
      <c r="V304" s="31">
        <f t="shared" ca="1" si="69"/>
        <v>0</v>
      </c>
    </row>
    <row r="305" spans="1:22">
      <c r="A305" s="180" t="str">
        <f ca="1">'SAC_IOF Ñ USAR'!A305</f>
        <v/>
      </c>
      <c r="B305" s="179" t="str">
        <f ca="1">'SAC_IOF Ñ USAR'!B305</f>
        <v/>
      </c>
      <c r="C305" s="177">
        <f t="shared" ca="1" si="59"/>
        <v>0</v>
      </c>
      <c r="D305" s="24" t="str">
        <f t="shared" ca="1" si="66"/>
        <v/>
      </c>
      <c r="E305" s="177">
        <f t="shared" ca="1" si="60"/>
        <v>-6.4551386458333582E-10</v>
      </c>
      <c r="F305" s="178" t="str">
        <f t="shared" ca="1" si="61"/>
        <v/>
      </c>
      <c r="G305" s="178" t="str">
        <f t="shared" ca="1" si="62"/>
        <v/>
      </c>
      <c r="H305" s="177" t="str">
        <f t="shared" ca="1" si="63"/>
        <v/>
      </c>
      <c r="I305" s="25">
        <f t="shared" ca="1" si="64"/>
        <v>0</v>
      </c>
      <c r="J305" s="9" t="str">
        <f ca="1">'SAC_IOF Ñ USAR'!J305</f>
        <v/>
      </c>
      <c r="K305" s="9" t="str">
        <f ca="1">'SAC_IOF Ñ USAR'!K305</f>
        <v/>
      </c>
      <c r="L305" s="9" t="str">
        <f ca="1">'SAC_IOF Ñ USAR'!L305</f>
        <v/>
      </c>
      <c r="N305" s="176" t="str">
        <f t="shared" ca="1" si="65"/>
        <v/>
      </c>
      <c r="O305" s="176" t="str">
        <f t="shared" ca="1" si="67"/>
        <v/>
      </c>
      <c r="P305" s="175" t="str">
        <f t="shared" ca="1" si="56"/>
        <v/>
      </c>
      <c r="Q305" s="11" t="str">
        <f t="shared" ca="1" si="57"/>
        <v/>
      </c>
      <c r="R305" s="12" t="str">
        <f t="shared" ca="1" si="58"/>
        <v/>
      </c>
      <c r="S305" s="513"/>
      <c r="U305" t="str">
        <f t="shared" ca="1" si="68"/>
        <v/>
      </c>
      <c r="V305" s="31">
        <f t="shared" ca="1" si="69"/>
        <v>0</v>
      </c>
    </row>
    <row r="306" spans="1:22">
      <c r="A306" s="180" t="str">
        <f ca="1">'SAC_IOF Ñ USAR'!A306</f>
        <v/>
      </c>
      <c r="B306" s="179" t="str">
        <f ca="1">'SAC_IOF Ñ USAR'!B306</f>
        <v/>
      </c>
      <c r="C306" s="177">
        <f t="shared" ca="1" si="59"/>
        <v>0</v>
      </c>
      <c r="D306" s="24" t="str">
        <f t="shared" ca="1" si="66"/>
        <v/>
      </c>
      <c r="E306" s="177">
        <f t="shared" ca="1" si="60"/>
        <v>-6.4551386458333582E-10</v>
      </c>
      <c r="F306" s="178" t="str">
        <f t="shared" ca="1" si="61"/>
        <v/>
      </c>
      <c r="G306" s="178" t="str">
        <f t="shared" ca="1" si="62"/>
        <v/>
      </c>
      <c r="H306" s="177" t="str">
        <f t="shared" ca="1" si="63"/>
        <v/>
      </c>
      <c r="I306" s="25">
        <f t="shared" ca="1" si="64"/>
        <v>0</v>
      </c>
      <c r="J306" s="9" t="str">
        <f ca="1">'SAC_IOF Ñ USAR'!J306</f>
        <v/>
      </c>
      <c r="K306" s="9" t="str">
        <f ca="1">'SAC_IOF Ñ USAR'!K306</f>
        <v/>
      </c>
      <c r="L306" s="9" t="str">
        <f ca="1">'SAC_IOF Ñ USAR'!L306</f>
        <v/>
      </c>
      <c r="N306" s="176" t="str">
        <f t="shared" ca="1" si="65"/>
        <v/>
      </c>
      <c r="O306" s="176" t="str">
        <f t="shared" ca="1" si="67"/>
        <v/>
      </c>
      <c r="P306" s="175" t="str">
        <f t="shared" ca="1" si="56"/>
        <v/>
      </c>
      <c r="Q306" s="11" t="str">
        <f t="shared" ca="1" si="57"/>
        <v/>
      </c>
      <c r="R306" s="12" t="str">
        <f t="shared" ca="1" si="58"/>
        <v/>
      </c>
      <c r="S306" s="513"/>
      <c r="U306" t="str">
        <f t="shared" ca="1" si="68"/>
        <v/>
      </c>
      <c r="V306" s="31">
        <f t="shared" ca="1" si="69"/>
        <v>0</v>
      </c>
    </row>
    <row r="307" spans="1:22">
      <c r="A307" s="180" t="str">
        <f ca="1">'SAC_IOF Ñ USAR'!A307</f>
        <v/>
      </c>
      <c r="B307" s="179" t="str">
        <f ca="1">'SAC_IOF Ñ USAR'!B307</f>
        <v/>
      </c>
      <c r="C307" s="177">
        <f t="shared" ca="1" si="59"/>
        <v>0</v>
      </c>
      <c r="D307" s="24" t="str">
        <f t="shared" ca="1" si="66"/>
        <v/>
      </c>
      <c r="E307" s="177">
        <f t="shared" ca="1" si="60"/>
        <v>-6.4551386458333582E-10</v>
      </c>
      <c r="F307" s="178" t="str">
        <f t="shared" ca="1" si="61"/>
        <v/>
      </c>
      <c r="G307" s="178" t="str">
        <f t="shared" ca="1" si="62"/>
        <v/>
      </c>
      <c r="H307" s="177" t="str">
        <f t="shared" ca="1" si="63"/>
        <v/>
      </c>
      <c r="I307" s="25">
        <f t="shared" ca="1" si="64"/>
        <v>0</v>
      </c>
      <c r="J307" s="9" t="str">
        <f ca="1">'SAC_IOF Ñ USAR'!J307</f>
        <v/>
      </c>
      <c r="K307" s="9" t="str">
        <f ca="1">'SAC_IOF Ñ USAR'!K307</f>
        <v/>
      </c>
      <c r="L307" s="9" t="str">
        <f ca="1">'SAC_IOF Ñ USAR'!L307</f>
        <v/>
      </c>
      <c r="N307" s="176" t="str">
        <f t="shared" ca="1" si="65"/>
        <v/>
      </c>
      <c r="O307" s="176" t="str">
        <f t="shared" ca="1" si="67"/>
        <v/>
      </c>
      <c r="P307" s="175" t="str">
        <f t="shared" ca="1" si="56"/>
        <v/>
      </c>
      <c r="Q307" s="11" t="str">
        <f t="shared" ca="1" si="57"/>
        <v/>
      </c>
      <c r="R307" s="12" t="str">
        <f t="shared" ca="1" si="58"/>
        <v/>
      </c>
      <c r="S307" s="513"/>
      <c r="U307" t="str">
        <f t="shared" ca="1" si="68"/>
        <v/>
      </c>
      <c r="V307" s="31">
        <f t="shared" ca="1" si="69"/>
        <v>0</v>
      </c>
    </row>
    <row r="308" spans="1:22">
      <c r="A308" s="180" t="str">
        <f ca="1">'SAC_IOF Ñ USAR'!A308</f>
        <v/>
      </c>
      <c r="B308" s="179" t="str">
        <f ca="1">'SAC_IOF Ñ USAR'!B308</f>
        <v/>
      </c>
      <c r="C308" s="177">
        <f t="shared" ca="1" si="59"/>
        <v>0</v>
      </c>
      <c r="D308" s="24" t="str">
        <f t="shared" ca="1" si="66"/>
        <v/>
      </c>
      <c r="E308" s="177">
        <f t="shared" ca="1" si="60"/>
        <v>-6.4551386458333582E-10</v>
      </c>
      <c r="F308" s="178" t="str">
        <f t="shared" ca="1" si="61"/>
        <v/>
      </c>
      <c r="G308" s="178" t="str">
        <f t="shared" ca="1" si="62"/>
        <v/>
      </c>
      <c r="H308" s="177" t="str">
        <f t="shared" ca="1" si="63"/>
        <v/>
      </c>
      <c r="I308" s="25">
        <f t="shared" ca="1" si="64"/>
        <v>0</v>
      </c>
      <c r="J308" s="9" t="str">
        <f ca="1">'SAC_IOF Ñ USAR'!J308</f>
        <v/>
      </c>
      <c r="K308" s="9" t="str">
        <f ca="1">'SAC_IOF Ñ USAR'!K308</f>
        <v/>
      </c>
      <c r="L308" s="9" t="str">
        <f ca="1">'SAC_IOF Ñ USAR'!L308</f>
        <v/>
      </c>
      <c r="N308" s="176" t="str">
        <f t="shared" ca="1" si="65"/>
        <v/>
      </c>
      <c r="O308" s="176" t="str">
        <f t="shared" ca="1" si="67"/>
        <v/>
      </c>
      <c r="P308" s="175" t="str">
        <f t="shared" ca="1" si="56"/>
        <v/>
      </c>
      <c r="Q308" s="11" t="str">
        <f t="shared" ca="1" si="57"/>
        <v/>
      </c>
      <c r="R308" s="12" t="str">
        <f t="shared" ca="1" si="58"/>
        <v/>
      </c>
      <c r="S308" s="513"/>
      <c r="U308" t="str">
        <f t="shared" ca="1" si="68"/>
        <v/>
      </c>
      <c r="V308" s="31">
        <f t="shared" ca="1" si="69"/>
        <v>0</v>
      </c>
    </row>
    <row r="309" spans="1:22">
      <c r="A309" s="180" t="str">
        <f ca="1">'SAC_IOF Ñ USAR'!A309</f>
        <v/>
      </c>
      <c r="B309" s="179" t="str">
        <f ca="1">'SAC_IOF Ñ USAR'!B309</f>
        <v/>
      </c>
      <c r="C309" s="177">
        <f t="shared" ca="1" si="59"/>
        <v>0</v>
      </c>
      <c r="D309" s="24" t="str">
        <f t="shared" ca="1" si="66"/>
        <v/>
      </c>
      <c r="E309" s="177">
        <f t="shared" ca="1" si="60"/>
        <v>-6.4551386458333582E-10</v>
      </c>
      <c r="F309" s="178" t="str">
        <f t="shared" ca="1" si="61"/>
        <v/>
      </c>
      <c r="G309" s="178" t="str">
        <f t="shared" ca="1" si="62"/>
        <v/>
      </c>
      <c r="H309" s="177" t="str">
        <f t="shared" ca="1" si="63"/>
        <v/>
      </c>
      <c r="I309" s="25">
        <f t="shared" ca="1" si="64"/>
        <v>0</v>
      </c>
      <c r="J309" s="9" t="str">
        <f ca="1">'SAC_IOF Ñ USAR'!J309</f>
        <v/>
      </c>
      <c r="K309" s="9" t="str">
        <f ca="1">'SAC_IOF Ñ USAR'!K309</f>
        <v/>
      </c>
      <c r="L309" s="9" t="str">
        <f ca="1">'SAC_IOF Ñ USAR'!L309</f>
        <v/>
      </c>
      <c r="N309" s="176" t="str">
        <f t="shared" ca="1" si="65"/>
        <v/>
      </c>
      <c r="O309" s="176" t="str">
        <f t="shared" ca="1" si="67"/>
        <v/>
      </c>
      <c r="P309" s="175" t="str">
        <f t="shared" ca="1" si="56"/>
        <v/>
      </c>
      <c r="Q309" s="11" t="str">
        <f t="shared" ca="1" si="57"/>
        <v/>
      </c>
      <c r="R309" s="12" t="str">
        <f t="shared" ca="1" si="58"/>
        <v/>
      </c>
      <c r="S309" s="513"/>
      <c r="U309" t="str">
        <f t="shared" ca="1" si="68"/>
        <v/>
      </c>
      <c r="V309" s="31">
        <f t="shared" ca="1" si="69"/>
        <v>0</v>
      </c>
    </row>
    <row r="310" spans="1:22">
      <c r="A310" s="180" t="str">
        <f ca="1">'SAC_IOF Ñ USAR'!A310</f>
        <v/>
      </c>
      <c r="B310" s="179" t="str">
        <f ca="1">'SAC_IOF Ñ USAR'!B310</f>
        <v/>
      </c>
      <c r="C310" s="177">
        <f t="shared" ca="1" si="59"/>
        <v>0</v>
      </c>
      <c r="D310" s="24" t="str">
        <f t="shared" ca="1" si="66"/>
        <v/>
      </c>
      <c r="E310" s="177">
        <f t="shared" ca="1" si="60"/>
        <v>-6.4551386458333582E-10</v>
      </c>
      <c r="F310" s="178" t="str">
        <f t="shared" ca="1" si="61"/>
        <v/>
      </c>
      <c r="G310" s="178" t="str">
        <f t="shared" ca="1" si="62"/>
        <v/>
      </c>
      <c r="H310" s="177" t="str">
        <f t="shared" ca="1" si="63"/>
        <v/>
      </c>
      <c r="I310" s="25">
        <f t="shared" ca="1" si="64"/>
        <v>0</v>
      </c>
      <c r="J310" s="9" t="str">
        <f ca="1">'SAC_IOF Ñ USAR'!J310</f>
        <v/>
      </c>
      <c r="K310" s="9" t="str">
        <f ca="1">'SAC_IOF Ñ USAR'!K310</f>
        <v/>
      </c>
      <c r="L310" s="9" t="str">
        <f ca="1">'SAC_IOF Ñ USAR'!L310</f>
        <v/>
      </c>
      <c r="N310" s="176" t="str">
        <f t="shared" ca="1" si="65"/>
        <v/>
      </c>
      <c r="O310" s="176" t="str">
        <f t="shared" ca="1" si="67"/>
        <v/>
      </c>
      <c r="P310" s="175" t="str">
        <f t="shared" ca="1" si="56"/>
        <v/>
      </c>
      <c r="Q310" s="11" t="str">
        <f t="shared" ca="1" si="57"/>
        <v/>
      </c>
      <c r="R310" s="12" t="str">
        <f t="shared" ca="1" si="58"/>
        <v/>
      </c>
      <c r="S310" s="513"/>
      <c r="U310" t="str">
        <f t="shared" ca="1" si="68"/>
        <v/>
      </c>
      <c r="V310" s="31">
        <f t="shared" ca="1" si="69"/>
        <v>0</v>
      </c>
    </row>
    <row r="311" spans="1:22">
      <c r="A311" s="180" t="str">
        <f ca="1">'SAC_IOF Ñ USAR'!A311</f>
        <v/>
      </c>
      <c r="B311" s="179" t="str">
        <f ca="1">'SAC_IOF Ñ USAR'!B311</f>
        <v/>
      </c>
      <c r="C311" s="177">
        <f t="shared" ca="1" si="59"/>
        <v>0</v>
      </c>
      <c r="D311" s="24" t="str">
        <f t="shared" ca="1" si="66"/>
        <v/>
      </c>
      <c r="E311" s="177">
        <f t="shared" ca="1" si="60"/>
        <v>-6.4551386458333582E-10</v>
      </c>
      <c r="F311" s="178" t="str">
        <f t="shared" ca="1" si="61"/>
        <v/>
      </c>
      <c r="G311" s="178" t="str">
        <f t="shared" ca="1" si="62"/>
        <v/>
      </c>
      <c r="H311" s="177" t="str">
        <f t="shared" ca="1" si="63"/>
        <v/>
      </c>
      <c r="I311" s="25">
        <f t="shared" ca="1" si="64"/>
        <v>0</v>
      </c>
      <c r="J311" s="9" t="str">
        <f ca="1">'SAC_IOF Ñ USAR'!J311</f>
        <v/>
      </c>
      <c r="K311" s="9" t="str">
        <f ca="1">'SAC_IOF Ñ USAR'!K311</f>
        <v/>
      </c>
      <c r="L311" s="9" t="str">
        <f ca="1">'SAC_IOF Ñ USAR'!L311</f>
        <v/>
      </c>
      <c r="N311" s="176" t="str">
        <f t="shared" ca="1" si="65"/>
        <v/>
      </c>
      <c r="O311" s="176" t="str">
        <f t="shared" ca="1" si="67"/>
        <v/>
      </c>
      <c r="P311" s="175" t="str">
        <f t="shared" ca="1" si="56"/>
        <v/>
      </c>
      <c r="Q311" s="11" t="str">
        <f t="shared" ca="1" si="57"/>
        <v/>
      </c>
      <c r="R311" s="12" t="str">
        <f t="shared" ca="1" si="58"/>
        <v/>
      </c>
      <c r="S311" s="513"/>
      <c r="U311" t="str">
        <f t="shared" ca="1" si="68"/>
        <v/>
      </c>
      <c r="V311" s="31">
        <f t="shared" ca="1" si="69"/>
        <v>0</v>
      </c>
    </row>
    <row r="312" spans="1:22">
      <c r="A312" s="180" t="str">
        <f ca="1">'SAC_IOF Ñ USAR'!A312</f>
        <v/>
      </c>
      <c r="B312" s="179" t="str">
        <f ca="1">'SAC_IOF Ñ USAR'!B312</f>
        <v/>
      </c>
      <c r="C312" s="177">
        <f t="shared" ca="1" si="59"/>
        <v>0</v>
      </c>
      <c r="D312" s="24" t="str">
        <f t="shared" ca="1" si="66"/>
        <v/>
      </c>
      <c r="E312" s="177">
        <f t="shared" ca="1" si="60"/>
        <v>-6.4551386458333582E-10</v>
      </c>
      <c r="F312" s="178" t="str">
        <f t="shared" ca="1" si="61"/>
        <v/>
      </c>
      <c r="G312" s="178" t="str">
        <f t="shared" ca="1" si="62"/>
        <v/>
      </c>
      <c r="H312" s="177" t="str">
        <f t="shared" ca="1" si="63"/>
        <v/>
      </c>
      <c r="I312" s="25">
        <f t="shared" ca="1" si="64"/>
        <v>0</v>
      </c>
      <c r="J312" s="9" t="str">
        <f ca="1">'SAC_IOF Ñ USAR'!J312</f>
        <v/>
      </c>
      <c r="K312" s="9" t="str">
        <f ca="1">'SAC_IOF Ñ USAR'!K312</f>
        <v/>
      </c>
      <c r="L312" s="9" t="str">
        <f ca="1">'SAC_IOF Ñ USAR'!L312</f>
        <v/>
      </c>
      <c r="N312" s="176" t="str">
        <f t="shared" ca="1" si="65"/>
        <v/>
      </c>
      <c r="O312" s="176" t="str">
        <f t="shared" ca="1" si="67"/>
        <v/>
      </c>
      <c r="P312" s="175" t="str">
        <f t="shared" ca="1" si="56"/>
        <v/>
      </c>
      <c r="Q312" s="11" t="str">
        <f t="shared" ca="1" si="57"/>
        <v/>
      </c>
      <c r="R312" s="12" t="str">
        <f t="shared" ca="1" si="58"/>
        <v/>
      </c>
      <c r="S312" s="513"/>
      <c r="U312" t="str">
        <f t="shared" ca="1" si="68"/>
        <v/>
      </c>
      <c r="V312" s="31">
        <f t="shared" ca="1" si="69"/>
        <v>0</v>
      </c>
    </row>
    <row r="313" spans="1:22">
      <c r="A313" s="180" t="str">
        <f ca="1">'SAC_IOF Ñ USAR'!A313</f>
        <v/>
      </c>
      <c r="B313" s="179" t="str">
        <f ca="1">'SAC_IOF Ñ USAR'!B313</f>
        <v/>
      </c>
      <c r="C313" s="177">
        <f t="shared" ca="1" si="59"/>
        <v>0</v>
      </c>
      <c r="D313" s="24" t="str">
        <f t="shared" ca="1" si="66"/>
        <v/>
      </c>
      <c r="E313" s="177">
        <f t="shared" ca="1" si="60"/>
        <v>-6.4551386458333582E-10</v>
      </c>
      <c r="F313" s="178" t="str">
        <f t="shared" ca="1" si="61"/>
        <v/>
      </c>
      <c r="G313" s="178" t="str">
        <f t="shared" ca="1" si="62"/>
        <v/>
      </c>
      <c r="H313" s="177" t="str">
        <f t="shared" ca="1" si="63"/>
        <v/>
      </c>
      <c r="I313" s="25">
        <f t="shared" ca="1" si="64"/>
        <v>0</v>
      </c>
      <c r="J313" s="9" t="str">
        <f ca="1">'SAC_IOF Ñ USAR'!J313</f>
        <v/>
      </c>
      <c r="K313" s="9" t="str">
        <f ca="1">'SAC_IOF Ñ USAR'!K313</f>
        <v/>
      </c>
      <c r="L313" s="9" t="str">
        <f ca="1">'SAC_IOF Ñ USAR'!L313</f>
        <v/>
      </c>
      <c r="N313" s="176" t="str">
        <f t="shared" ca="1" si="65"/>
        <v/>
      </c>
      <c r="O313" s="176" t="str">
        <f t="shared" ca="1" si="67"/>
        <v/>
      </c>
      <c r="P313" s="175" t="str">
        <f t="shared" ca="1" si="56"/>
        <v/>
      </c>
      <c r="Q313" s="11" t="str">
        <f t="shared" ca="1" si="57"/>
        <v/>
      </c>
      <c r="R313" s="12" t="str">
        <f t="shared" ca="1" si="58"/>
        <v/>
      </c>
      <c r="S313" s="513"/>
      <c r="U313" t="str">
        <f t="shared" ca="1" si="68"/>
        <v/>
      </c>
      <c r="V313" s="31">
        <f t="shared" ca="1" si="69"/>
        <v>0</v>
      </c>
    </row>
    <row r="314" spans="1:22">
      <c r="A314" s="180" t="str">
        <f ca="1">'SAC_IOF Ñ USAR'!A314</f>
        <v/>
      </c>
      <c r="B314" s="179" t="str">
        <f ca="1">'SAC_IOF Ñ USAR'!B314</f>
        <v/>
      </c>
      <c r="C314" s="177">
        <f t="shared" ca="1" si="59"/>
        <v>0</v>
      </c>
      <c r="D314" s="24" t="str">
        <f t="shared" ca="1" si="66"/>
        <v/>
      </c>
      <c r="E314" s="177">
        <f t="shared" ca="1" si="60"/>
        <v>-6.4551386458333582E-10</v>
      </c>
      <c r="F314" s="178" t="str">
        <f t="shared" ca="1" si="61"/>
        <v/>
      </c>
      <c r="G314" s="178" t="str">
        <f t="shared" ca="1" si="62"/>
        <v/>
      </c>
      <c r="H314" s="177" t="str">
        <f t="shared" ca="1" si="63"/>
        <v/>
      </c>
      <c r="I314" s="25">
        <f t="shared" ca="1" si="64"/>
        <v>0</v>
      </c>
      <c r="J314" s="9" t="str">
        <f ca="1">'SAC_IOF Ñ USAR'!J314</f>
        <v/>
      </c>
      <c r="K314" s="9" t="str">
        <f ca="1">'SAC_IOF Ñ USAR'!K314</f>
        <v/>
      </c>
      <c r="L314" s="9" t="str">
        <f ca="1">'SAC_IOF Ñ USAR'!L314</f>
        <v/>
      </c>
      <c r="N314" s="176" t="str">
        <f t="shared" ca="1" si="65"/>
        <v/>
      </c>
      <c r="O314" s="176" t="str">
        <f t="shared" ca="1" si="67"/>
        <v/>
      </c>
      <c r="P314" s="175" t="str">
        <f t="shared" ca="1" si="56"/>
        <v/>
      </c>
      <c r="Q314" s="11" t="str">
        <f t="shared" ca="1" si="57"/>
        <v/>
      </c>
      <c r="R314" s="12" t="str">
        <f t="shared" ca="1" si="58"/>
        <v/>
      </c>
      <c r="S314" s="513"/>
      <c r="U314" t="str">
        <f t="shared" ca="1" si="68"/>
        <v/>
      </c>
      <c r="V314" s="31">
        <f t="shared" ca="1" si="69"/>
        <v>0</v>
      </c>
    </row>
    <row r="315" spans="1:22">
      <c r="A315" s="180" t="str">
        <f ca="1">'SAC_IOF Ñ USAR'!A315</f>
        <v/>
      </c>
      <c r="B315" s="179" t="str">
        <f ca="1">'SAC_IOF Ñ USAR'!B315</f>
        <v/>
      </c>
      <c r="C315" s="177">
        <f t="shared" ca="1" si="59"/>
        <v>0</v>
      </c>
      <c r="D315" s="24" t="str">
        <f t="shared" ca="1" si="66"/>
        <v/>
      </c>
      <c r="E315" s="177">
        <f t="shared" ca="1" si="60"/>
        <v>-6.4551386458333582E-10</v>
      </c>
      <c r="F315" s="178" t="str">
        <f t="shared" ca="1" si="61"/>
        <v/>
      </c>
      <c r="G315" s="178" t="str">
        <f t="shared" ca="1" si="62"/>
        <v/>
      </c>
      <c r="H315" s="177" t="str">
        <f t="shared" ca="1" si="63"/>
        <v/>
      </c>
      <c r="I315" s="25">
        <f t="shared" ca="1" si="64"/>
        <v>0</v>
      </c>
      <c r="J315" s="9" t="str">
        <f ca="1">'SAC_IOF Ñ USAR'!J315</f>
        <v/>
      </c>
      <c r="K315" s="9" t="str">
        <f ca="1">'SAC_IOF Ñ USAR'!K315</f>
        <v/>
      </c>
      <c r="L315" s="9" t="str">
        <f ca="1">'SAC_IOF Ñ USAR'!L315</f>
        <v/>
      </c>
      <c r="N315" s="176" t="str">
        <f t="shared" ca="1" si="65"/>
        <v/>
      </c>
      <c r="O315" s="176" t="str">
        <f t="shared" ca="1" si="67"/>
        <v/>
      </c>
      <c r="P315" s="175" t="str">
        <f t="shared" ca="1" si="56"/>
        <v/>
      </c>
      <c r="Q315" s="11" t="str">
        <f t="shared" ca="1" si="57"/>
        <v/>
      </c>
      <c r="R315" s="12" t="str">
        <f t="shared" ca="1" si="58"/>
        <v/>
      </c>
      <c r="S315" s="513"/>
      <c r="U315" t="str">
        <f t="shared" ca="1" si="68"/>
        <v/>
      </c>
      <c r="V315" s="31">
        <f t="shared" ca="1" si="69"/>
        <v>0</v>
      </c>
    </row>
    <row r="316" spans="1:22">
      <c r="A316" s="180" t="str">
        <f ca="1">'SAC_IOF Ñ USAR'!A316</f>
        <v/>
      </c>
      <c r="B316" s="179" t="str">
        <f ca="1">'SAC_IOF Ñ USAR'!B316</f>
        <v/>
      </c>
      <c r="C316" s="177">
        <f t="shared" ca="1" si="59"/>
        <v>0</v>
      </c>
      <c r="D316" s="24" t="str">
        <f t="shared" ca="1" si="66"/>
        <v/>
      </c>
      <c r="E316" s="177">
        <f t="shared" ca="1" si="60"/>
        <v>-6.4551386458333582E-10</v>
      </c>
      <c r="F316" s="178" t="str">
        <f t="shared" ca="1" si="61"/>
        <v/>
      </c>
      <c r="G316" s="178" t="str">
        <f t="shared" ca="1" si="62"/>
        <v/>
      </c>
      <c r="H316" s="177" t="str">
        <f t="shared" ca="1" si="63"/>
        <v/>
      </c>
      <c r="I316" s="25">
        <f t="shared" ca="1" si="64"/>
        <v>0</v>
      </c>
      <c r="J316" s="9" t="str">
        <f ca="1">'SAC_IOF Ñ USAR'!J316</f>
        <v/>
      </c>
      <c r="K316" s="9" t="str">
        <f ca="1">'SAC_IOF Ñ USAR'!K316</f>
        <v/>
      </c>
      <c r="L316" s="9" t="str">
        <f ca="1">'SAC_IOF Ñ USAR'!L316</f>
        <v/>
      </c>
      <c r="N316" s="176" t="str">
        <f t="shared" ca="1" si="65"/>
        <v/>
      </c>
      <c r="O316" s="176" t="str">
        <f t="shared" ca="1" si="67"/>
        <v/>
      </c>
      <c r="P316" s="175" t="str">
        <f t="shared" ca="1" si="56"/>
        <v/>
      </c>
      <c r="Q316" s="11" t="str">
        <f t="shared" ca="1" si="57"/>
        <v/>
      </c>
      <c r="R316" s="12" t="str">
        <f t="shared" ca="1" si="58"/>
        <v/>
      </c>
      <c r="S316" s="513"/>
      <c r="U316" t="str">
        <f t="shared" ca="1" si="68"/>
        <v/>
      </c>
      <c r="V316" s="31">
        <f t="shared" ca="1" si="69"/>
        <v>0</v>
      </c>
    </row>
    <row r="317" spans="1:22">
      <c r="A317" s="180" t="str">
        <f ca="1">'SAC_IOF Ñ USAR'!A317</f>
        <v/>
      </c>
      <c r="B317" s="179" t="str">
        <f ca="1">'SAC_IOF Ñ USAR'!B317</f>
        <v/>
      </c>
      <c r="C317" s="177">
        <f t="shared" ca="1" si="59"/>
        <v>0</v>
      </c>
      <c r="D317" s="24" t="str">
        <f t="shared" ca="1" si="66"/>
        <v/>
      </c>
      <c r="E317" s="177">
        <f t="shared" ca="1" si="60"/>
        <v>-6.4551386458333582E-10</v>
      </c>
      <c r="F317" s="178" t="str">
        <f t="shared" ca="1" si="61"/>
        <v/>
      </c>
      <c r="G317" s="178" t="str">
        <f t="shared" ca="1" si="62"/>
        <v/>
      </c>
      <c r="H317" s="177" t="str">
        <f t="shared" ca="1" si="63"/>
        <v/>
      </c>
      <c r="I317" s="25">
        <f t="shared" ca="1" si="64"/>
        <v>0</v>
      </c>
      <c r="J317" s="9" t="str">
        <f ca="1">'SAC_IOF Ñ USAR'!J317</f>
        <v/>
      </c>
      <c r="K317" s="9" t="str">
        <f ca="1">'SAC_IOF Ñ USAR'!K317</f>
        <v/>
      </c>
      <c r="L317" s="9" t="str">
        <f ca="1">'SAC_IOF Ñ USAR'!L317</f>
        <v/>
      </c>
      <c r="N317" s="176" t="str">
        <f t="shared" ca="1" si="65"/>
        <v/>
      </c>
      <c r="O317" s="176" t="str">
        <f t="shared" ca="1" si="67"/>
        <v/>
      </c>
      <c r="P317" s="175" t="str">
        <f t="shared" ca="1" si="56"/>
        <v/>
      </c>
      <c r="Q317" s="11" t="str">
        <f t="shared" ca="1" si="57"/>
        <v/>
      </c>
      <c r="R317" s="12" t="str">
        <f t="shared" ca="1" si="58"/>
        <v/>
      </c>
      <c r="S317" s="513"/>
      <c r="U317" t="str">
        <f t="shared" ca="1" si="68"/>
        <v/>
      </c>
      <c r="V317" s="31">
        <f t="shared" ca="1" si="69"/>
        <v>0</v>
      </c>
    </row>
    <row r="318" spans="1:22">
      <c r="A318" s="180" t="str">
        <f ca="1">'SAC_IOF Ñ USAR'!A318</f>
        <v/>
      </c>
      <c r="B318" s="179" t="str">
        <f ca="1">'SAC_IOF Ñ USAR'!B318</f>
        <v/>
      </c>
      <c r="C318" s="177">
        <f t="shared" ca="1" si="59"/>
        <v>0</v>
      </c>
      <c r="D318" s="24" t="str">
        <f t="shared" ca="1" si="66"/>
        <v/>
      </c>
      <c r="E318" s="177">
        <f t="shared" ca="1" si="60"/>
        <v>-6.4551386458333582E-10</v>
      </c>
      <c r="F318" s="178" t="str">
        <f t="shared" ca="1" si="61"/>
        <v/>
      </c>
      <c r="G318" s="178" t="str">
        <f t="shared" ca="1" si="62"/>
        <v/>
      </c>
      <c r="H318" s="177" t="str">
        <f t="shared" ca="1" si="63"/>
        <v/>
      </c>
      <c r="I318" s="25">
        <f t="shared" ca="1" si="64"/>
        <v>0</v>
      </c>
      <c r="J318" s="9" t="str">
        <f ca="1">'SAC_IOF Ñ USAR'!J318</f>
        <v/>
      </c>
      <c r="K318" s="9" t="str">
        <f ca="1">'SAC_IOF Ñ USAR'!K318</f>
        <v/>
      </c>
      <c r="L318" s="9" t="str">
        <f ca="1">'SAC_IOF Ñ USAR'!L318</f>
        <v/>
      </c>
      <c r="N318" s="176" t="str">
        <f t="shared" ca="1" si="65"/>
        <v/>
      </c>
      <c r="O318" s="176" t="str">
        <f t="shared" ca="1" si="67"/>
        <v/>
      </c>
      <c r="P318" s="175" t="str">
        <f t="shared" ca="1" si="56"/>
        <v/>
      </c>
      <c r="Q318" s="11" t="str">
        <f t="shared" ca="1" si="57"/>
        <v/>
      </c>
      <c r="R318" s="12" t="str">
        <f t="shared" ca="1" si="58"/>
        <v/>
      </c>
      <c r="S318" s="513"/>
      <c r="U318" t="str">
        <f t="shared" ca="1" si="68"/>
        <v/>
      </c>
      <c r="V318" s="31">
        <f t="shared" ca="1" si="69"/>
        <v>0</v>
      </c>
    </row>
    <row r="319" spans="1:22">
      <c r="A319" s="180" t="str">
        <f ca="1">'SAC_IOF Ñ USAR'!A319</f>
        <v/>
      </c>
      <c r="B319" s="179" t="str">
        <f ca="1">'SAC_IOF Ñ USAR'!B319</f>
        <v/>
      </c>
      <c r="C319" s="177">
        <f t="shared" ca="1" si="59"/>
        <v>0</v>
      </c>
      <c r="D319" s="24" t="str">
        <f t="shared" ca="1" si="66"/>
        <v/>
      </c>
      <c r="E319" s="177">
        <f t="shared" ca="1" si="60"/>
        <v>-6.4551386458333582E-10</v>
      </c>
      <c r="F319" s="178" t="str">
        <f t="shared" ca="1" si="61"/>
        <v/>
      </c>
      <c r="G319" s="178" t="str">
        <f t="shared" ca="1" si="62"/>
        <v/>
      </c>
      <c r="H319" s="177" t="str">
        <f t="shared" ca="1" si="63"/>
        <v/>
      </c>
      <c r="I319" s="25">
        <f t="shared" ca="1" si="64"/>
        <v>0</v>
      </c>
      <c r="J319" s="9" t="str">
        <f ca="1">'SAC_IOF Ñ USAR'!J319</f>
        <v/>
      </c>
      <c r="K319" s="9" t="str">
        <f ca="1">'SAC_IOF Ñ USAR'!K319</f>
        <v/>
      </c>
      <c r="L319" s="9" t="str">
        <f ca="1">'SAC_IOF Ñ USAR'!L319</f>
        <v/>
      </c>
      <c r="N319" s="176" t="str">
        <f t="shared" ca="1" si="65"/>
        <v/>
      </c>
      <c r="O319" s="176" t="str">
        <f t="shared" ca="1" si="67"/>
        <v/>
      </c>
      <c r="P319" s="175" t="str">
        <f t="shared" ca="1" si="56"/>
        <v/>
      </c>
      <c r="Q319" s="11" t="str">
        <f t="shared" ca="1" si="57"/>
        <v/>
      </c>
      <c r="R319" s="12" t="str">
        <f t="shared" ca="1" si="58"/>
        <v/>
      </c>
      <c r="S319" s="513"/>
      <c r="U319" t="str">
        <f t="shared" ca="1" si="68"/>
        <v/>
      </c>
      <c r="V319" s="31">
        <f t="shared" ca="1" si="69"/>
        <v>0</v>
      </c>
    </row>
    <row r="320" spans="1:22">
      <c r="A320" s="180" t="str">
        <f ca="1">'SAC_IOF Ñ USAR'!A320</f>
        <v/>
      </c>
      <c r="B320" s="179" t="str">
        <f ca="1">'SAC_IOF Ñ USAR'!B320</f>
        <v/>
      </c>
      <c r="C320" s="177">
        <f t="shared" ca="1" si="59"/>
        <v>0</v>
      </c>
      <c r="D320" s="24" t="str">
        <f t="shared" ca="1" si="66"/>
        <v/>
      </c>
      <c r="E320" s="177">
        <f t="shared" ca="1" si="60"/>
        <v>-6.4551386458333582E-10</v>
      </c>
      <c r="F320" s="178" t="str">
        <f t="shared" ca="1" si="61"/>
        <v/>
      </c>
      <c r="G320" s="178" t="str">
        <f t="shared" ca="1" si="62"/>
        <v/>
      </c>
      <c r="H320" s="177" t="str">
        <f t="shared" ca="1" si="63"/>
        <v/>
      </c>
      <c r="I320" s="25">
        <f t="shared" ca="1" si="64"/>
        <v>0</v>
      </c>
      <c r="J320" s="9" t="str">
        <f ca="1">'SAC_IOF Ñ USAR'!J320</f>
        <v/>
      </c>
      <c r="K320" s="9" t="str">
        <f ca="1">'SAC_IOF Ñ USAR'!K320</f>
        <v/>
      </c>
      <c r="L320" s="9" t="str">
        <f ca="1">'SAC_IOF Ñ USAR'!L320</f>
        <v/>
      </c>
      <c r="N320" s="176" t="str">
        <f t="shared" ca="1" si="65"/>
        <v/>
      </c>
      <c r="O320" s="176" t="str">
        <f t="shared" ca="1" si="67"/>
        <v/>
      </c>
      <c r="P320" s="175" t="str">
        <f t="shared" ca="1" si="56"/>
        <v/>
      </c>
      <c r="Q320" s="11" t="str">
        <f t="shared" ca="1" si="57"/>
        <v/>
      </c>
      <c r="R320" s="12" t="str">
        <f t="shared" ca="1" si="58"/>
        <v/>
      </c>
      <c r="S320" s="513"/>
      <c r="U320" t="str">
        <f t="shared" ca="1" si="68"/>
        <v/>
      </c>
      <c r="V320" s="31">
        <f t="shared" ca="1" si="69"/>
        <v>0</v>
      </c>
    </row>
    <row r="321" spans="1:22">
      <c r="A321" s="180" t="str">
        <f ca="1">'SAC_IOF Ñ USAR'!A321</f>
        <v/>
      </c>
      <c r="B321" s="179" t="str">
        <f ca="1">'SAC_IOF Ñ USAR'!B321</f>
        <v/>
      </c>
      <c r="C321" s="177">
        <f t="shared" ca="1" si="59"/>
        <v>0</v>
      </c>
      <c r="D321" s="24" t="str">
        <f t="shared" ca="1" si="66"/>
        <v/>
      </c>
      <c r="E321" s="177">
        <f t="shared" ca="1" si="60"/>
        <v>-6.4551386458333582E-10</v>
      </c>
      <c r="F321" s="178" t="str">
        <f t="shared" ca="1" si="61"/>
        <v/>
      </c>
      <c r="G321" s="178" t="str">
        <f t="shared" ca="1" si="62"/>
        <v/>
      </c>
      <c r="H321" s="177" t="str">
        <f t="shared" ca="1" si="63"/>
        <v/>
      </c>
      <c r="I321" s="25">
        <f t="shared" ca="1" si="64"/>
        <v>0</v>
      </c>
      <c r="J321" s="9" t="str">
        <f ca="1">'SAC_IOF Ñ USAR'!J321</f>
        <v/>
      </c>
      <c r="K321" s="9" t="str">
        <f ca="1">'SAC_IOF Ñ USAR'!K321</f>
        <v/>
      </c>
      <c r="L321" s="9" t="str">
        <f ca="1">'SAC_IOF Ñ USAR'!L321</f>
        <v/>
      </c>
      <c r="N321" s="176" t="str">
        <f t="shared" ca="1" si="65"/>
        <v/>
      </c>
      <c r="O321" s="176" t="str">
        <f t="shared" ca="1" si="67"/>
        <v/>
      </c>
      <c r="P321" s="175" t="str">
        <f t="shared" ca="1" si="56"/>
        <v/>
      </c>
      <c r="Q321" s="11" t="str">
        <f t="shared" ca="1" si="57"/>
        <v/>
      </c>
      <c r="R321" s="12" t="str">
        <f t="shared" ca="1" si="58"/>
        <v/>
      </c>
      <c r="S321" s="513"/>
      <c r="U321" t="str">
        <f t="shared" ca="1" si="68"/>
        <v/>
      </c>
      <c r="V321" s="31">
        <f t="shared" ca="1" si="69"/>
        <v>0</v>
      </c>
    </row>
    <row r="322" spans="1:22">
      <c r="A322" s="180" t="str">
        <f ca="1">'SAC_IOF Ñ USAR'!A322</f>
        <v/>
      </c>
      <c r="B322" s="179" t="str">
        <f ca="1">'SAC_IOF Ñ USAR'!B322</f>
        <v/>
      </c>
      <c r="C322" s="177">
        <f t="shared" ca="1" si="59"/>
        <v>0</v>
      </c>
      <c r="D322" s="24" t="str">
        <f t="shared" ca="1" si="66"/>
        <v/>
      </c>
      <c r="E322" s="177">
        <f t="shared" ca="1" si="60"/>
        <v>-6.4551386458333582E-10</v>
      </c>
      <c r="F322" s="178" t="str">
        <f t="shared" ca="1" si="61"/>
        <v/>
      </c>
      <c r="G322" s="178" t="str">
        <f t="shared" ca="1" si="62"/>
        <v/>
      </c>
      <c r="H322" s="177" t="str">
        <f t="shared" ca="1" si="63"/>
        <v/>
      </c>
      <c r="I322" s="25">
        <f t="shared" ca="1" si="64"/>
        <v>0</v>
      </c>
      <c r="J322" s="9" t="str">
        <f ca="1">'SAC_IOF Ñ USAR'!J322</f>
        <v/>
      </c>
      <c r="K322" s="9" t="str">
        <f ca="1">'SAC_IOF Ñ USAR'!K322</f>
        <v/>
      </c>
      <c r="L322" s="9" t="str">
        <f ca="1">'SAC_IOF Ñ USAR'!L322</f>
        <v/>
      </c>
      <c r="N322" s="176" t="str">
        <f t="shared" ca="1" si="65"/>
        <v/>
      </c>
      <c r="O322" s="176" t="str">
        <f t="shared" ca="1" si="67"/>
        <v/>
      </c>
      <c r="P322" s="175" t="str">
        <f t="shared" ca="1" si="56"/>
        <v/>
      </c>
      <c r="Q322" s="11" t="str">
        <f t="shared" ca="1" si="57"/>
        <v/>
      </c>
      <c r="R322" s="12" t="str">
        <f t="shared" ca="1" si="58"/>
        <v/>
      </c>
      <c r="S322" s="513"/>
      <c r="U322" t="str">
        <f t="shared" ca="1" si="68"/>
        <v/>
      </c>
      <c r="V322" s="31">
        <f t="shared" ca="1" si="69"/>
        <v>0</v>
      </c>
    </row>
    <row r="323" spans="1:22">
      <c r="A323" s="180" t="str">
        <f ca="1">'SAC_IOF Ñ USAR'!A323</f>
        <v/>
      </c>
      <c r="B323" s="179" t="str">
        <f ca="1">'SAC_IOF Ñ USAR'!B323</f>
        <v/>
      </c>
      <c r="C323" s="177">
        <f t="shared" ca="1" si="59"/>
        <v>0</v>
      </c>
      <c r="D323" s="24" t="str">
        <f t="shared" ca="1" si="66"/>
        <v/>
      </c>
      <c r="E323" s="177">
        <f t="shared" ca="1" si="60"/>
        <v>-6.4551386458333582E-10</v>
      </c>
      <c r="F323" s="178" t="str">
        <f t="shared" ca="1" si="61"/>
        <v/>
      </c>
      <c r="G323" s="178" t="str">
        <f t="shared" ca="1" si="62"/>
        <v/>
      </c>
      <c r="H323" s="177" t="str">
        <f t="shared" ca="1" si="63"/>
        <v/>
      </c>
      <c r="I323" s="25">
        <f t="shared" ca="1" si="64"/>
        <v>0</v>
      </c>
      <c r="J323" s="9" t="str">
        <f ca="1">'SAC_IOF Ñ USAR'!J323</f>
        <v/>
      </c>
      <c r="K323" s="9" t="str">
        <f ca="1">'SAC_IOF Ñ USAR'!K323</f>
        <v/>
      </c>
      <c r="L323" s="9" t="str">
        <f ca="1">'SAC_IOF Ñ USAR'!L323</f>
        <v/>
      </c>
      <c r="N323" s="176" t="str">
        <f t="shared" ca="1" si="65"/>
        <v/>
      </c>
      <c r="O323" s="176" t="str">
        <f t="shared" ca="1" si="67"/>
        <v/>
      </c>
      <c r="P323" s="175" t="str">
        <f t="shared" ca="1" si="56"/>
        <v/>
      </c>
      <c r="Q323" s="11" t="str">
        <f t="shared" ca="1" si="57"/>
        <v/>
      </c>
      <c r="R323" s="12" t="str">
        <f t="shared" ca="1" si="58"/>
        <v/>
      </c>
      <c r="S323" s="513"/>
      <c r="U323" t="str">
        <f t="shared" ca="1" si="68"/>
        <v/>
      </c>
      <c r="V323" s="31">
        <f t="shared" ca="1" si="69"/>
        <v>0</v>
      </c>
    </row>
    <row r="324" spans="1:22">
      <c r="A324" s="180" t="str">
        <f ca="1">'SAC_IOF Ñ USAR'!A324</f>
        <v/>
      </c>
      <c r="B324" s="179" t="str">
        <f ca="1">'SAC_IOF Ñ USAR'!B324</f>
        <v/>
      </c>
      <c r="C324" s="177">
        <f t="shared" ca="1" si="59"/>
        <v>0</v>
      </c>
      <c r="D324" s="24" t="str">
        <f t="shared" ca="1" si="66"/>
        <v/>
      </c>
      <c r="E324" s="177">
        <f t="shared" ca="1" si="60"/>
        <v>-6.4551386458333582E-10</v>
      </c>
      <c r="F324" s="178" t="str">
        <f t="shared" ca="1" si="61"/>
        <v/>
      </c>
      <c r="G324" s="178" t="str">
        <f t="shared" ca="1" si="62"/>
        <v/>
      </c>
      <c r="H324" s="177" t="str">
        <f t="shared" ca="1" si="63"/>
        <v/>
      </c>
      <c r="I324" s="25">
        <f t="shared" ca="1" si="64"/>
        <v>0</v>
      </c>
      <c r="J324" s="9" t="str">
        <f ca="1">'SAC_IOF Ñ USAR'!J324</f>
        <v/>
      </c>
      <c r="K324" s="9" t="str">
        <f ca="1">'SAC_IOF Ñ USAR'!K324</f>
        <v/>
      </c>
      <c r="L324" s="9" t="str">
        <f ca="1">'SAC_IOF Ñ USAR'!L324</f>
        <v/>
      </c>
      <c r="N324" s="176" t="str">
        <f t="shared" ca="1" si="65"/>
        <v/>
      </c>
      <c r="O324" s="176" t="str">
        <f t="shared" ca="1" si="67"/>
        <v/>
      </c>
      <c r="P324" s="175" t="str">
        <f t="shared" ca="1" si="56"/>
        <v/>
      </c>
      <c r="Q324" s="11" t="str">
        <f t="shared" ca="1" si="57"/>
        <v/>
      </c>
      <c r="R324" s="12" t="str">
        <f t="shared" ca="1" si="58"/>
        <v/>
      </c>
      <c r="S324" s="513"/>
      <c r="U324" t="str">
        <f t="shared" ca="1" si="68"/>
        <v/>
      </c>
      <c r="V324" s="31">
        <f t="shared" ca="1" si="69"/>
        <v>0</v>
      </c>
    </row>
    <row r="325" spans="1:22">
      <c r="A325" s="180" t="str">
        <f ca="1">'SAC_IOF Ñ USAR'!A325</f>
        <v/>
      </c>
      <c r="B325" s="179" t="str">
        <f ca="1">'SAC_IOF Ñ USAR'!B325</f>
        <v/>
      </c>
      <c r="C325" s="177">
        <f t="shared" ca="1" si="59"/>
        <v>0</v>
      </c>
      <c r="D325" s="24" t="str">
        <f t="shared" ca="1" si="66"/>
        <v/>
      </c>
      <c r="E325" s="177">
        <f t="shared" ca="1" si="60"/>
        <v>-6.4551386458333582E-10</v>
      </c>
      <c r="F325" s="178" t="str">
        <f t="shared" ca="1" si="61"/>
        <v/>
      </c>
      <c r="G325" s="178" t="str">
        <f t="shared" ca="1" si="62"/>
        <v/>
      </c>
      <c r="H325" s="177" t="str">
        <f t="shared" ca="1" si="63"/>
        <v/>
      </c>
      <c r="I325" s="25">
        <f t="shared" ca="1" si="64"/>
        <v>0</v>
      </c>
      <c r="J325" s="9" t="str">
        <f ca="1">'SAC_IOF Ñ USAR'!J325</f>
        <v/>
      </c>
      <c r="K325" s="9" t="str">
        <f ca="1">'SAC_IOF Ñ USAR'!K325</f>
        <v/>
      </c>
      <c r="L325" s="9" t="str">
        <f ca="1">'SAC_IOF Ñ USAR'!L325</f>
        <v/>
      </c>
      <c r="N325" s="176" t="str">
        <f t="shared" ca="1" si="65"/>
        <v/>
      </c>
      <c r="O325" s="176" t="str">
        <f t="shared" ca="1" si="67"/>
        <v/>
      </c>
      <c r="P325" s="175" t="str">
        <f t="shared" ca="1" si="56"/>
        <v/>
      </c>
      <c r="Q325" s="11" t="str">
        <f t="shared" ca="1" si="57"/>
        <v/>
      </c>
      <c r="R325" s="12" t="str">
        <f t="shared" ca="1" si="58"/>
        <v/>
      </c>
      <c r="S325" s="513"/>
      <c r="U325" t="str">
        <f t="shared" ca="1" si="68"/>
        <v/>
      </c>
      <c r="V325" s="31">
        <f t="shared" ca="1" si="69"/>
        <v>0</v>
      </c>
    </row>
    <row r="326" spans="1:22">
      <c r="A326" s="180" t="str">
        <f ca="1">'SAC_IOF Ñ USAR'!A326</f>
        <v/>
      </c>
      <c r="B326" s="179" t="str">
        <f ca="1">'SAC_IOF Ñ USAR'!B326</f>
        <v/>
      </c>
      <c r="C326" s="177">
        <f t="shared" ca="1" si="59"/>
        <v>0</v>
      </c>
      <c r="D326" s="24" t="str">
        <f t="shared" ca="1" si="66"/>
        <v/>
      </c>
      <c r="E326" s="177">
        <f t="shared" ca="1" si="60"/>
        <v>-6.4551386458333582E-10</v>
      </c>
      <c r="F326" s="178" t="str">
        <f t="shared" ca="1" si="61"/>
        <v/>
      </c>
      <c r="G326" s="178" t="str">
        <f t="shared" ca="1" si="62"/>
        <v/>
      </c>
      <c r="H326" s="177" t="str">
        <f t="shared" ca="1" si="63"/>
        <v/>
      </c>
      <c r="I326" s="25">
        <f t="shared" ca="1" si="64"/>
        <v>0</v>
      </c>
      <c r="J326" s="9" t="str">
        <f ca="1">'SAC_IOF Ñ USAR'!J326</f>
        <v/>
      </c>
      <c r="K326" s="9" t="str">
        <f ca="1">'SAC_IOF Ñ USAR'!K326</f>
        <v/>
      </c>
      <c r="L326" s="9" t="str">
        <f ca="1">'SAC_IOF Ñ USAR'!L326</f>
        <v/>
      </c>
      <c r="N326" s="176" t="str">
        <f t="shared" ca="1" si="65"/>
        <v/>
      </c>
      <c r="O326" s="176" t="str">
        <f t="shared" ca="1" si="67"/>
        <v/>
      </c>
      <c r="P326" s="175" t="str">
        <f t="shared" ca="1" si="56"/>
        <v/>
      </c>
      <c r="Q326" s="11" t="str">
        <f t="shared" ca="1" si="57"/>
        <v/>
      </c>
      <c r="R326" s="12" t="str">
        <f t="shared" ca="1" si="58"/>
        <v/>
      </c>
      <c r="S326" s="513"/>
      <c r="U326" t="str">
        <f t="shared" ca="1" si="68"/>
        <v/>
      </c>
      <c r="V326" s="31">
        <f t="shared" ca="1" si="69"/>
        <v>0</v>
      </c>
    </row>
    <row r="327" spans="1:22">
      <c r="A327" s="180" t="str">
        <f ca="1">'SAC_IOF Ñ USAR'!A327</f>
        <v/>
      </c>
      <c r="B327" s="179" t="str">
        <f ca="1">'SAC_IOF Ñ USAR'!B327</f>
        <v/>
      </c>
      <c r="C327" s="177">
        <f t="shared" ca="1" si="59"/>
        <v>0</v>
      </c>
      <c r="D327" s="24" t="str">
        <f t="shared" ca="1" si="66"/>
        <v/>
      </c>
      <c r="E327" s="177">
        <f t="shared" ca="1" si="60"/>
        <v>-6.4551386458333582E-10</v>
      </c>
      <c r="F327" s="178" t="str">
        <f t="shared" ca="1" si="61"/>
        <v/>
      </c>
      <c r="G327" s="178" t="str">
        <f t="shared" ca="1" si="62"/>
        <v/>
      </c>
      <c r="H327" s="177" t="str">
        <f t="shared" ca="1" si="63"/>
        <v/>
      </c>
      <c r="I327" s="25">
        <f t="shared" ca="1" si="64"/>
        <v>0</v>
      </c>
      <c r="J327" s="9" t="str">
        <f ca="1">'SAC_IOF Ñ USAR'!J327</f>
        <v/>
      </c>
      <c r="K327" s="9" t="str">
        <f ca="1">'SAC_IOF Ñ USAR'!K327</f>
        <v/>
      </c>
      <c r="L327" s="9" t="str">
        <f ca="1">'SAC_IOF Ñ USAR'!L327</f>
        <v/>
      </c>
      <c r="N327" s="176" t="str">
        <f t="shared" ca="1" si="65"/>
        <v/>
      </c>
      <c r="O327" s="176" t="str">
        <f t="shared" ca="1" si="67"/>
        <v/>
      </c>
      <c r="P327" s="175" t="str">
        <f t="shared" ca="1" si="56"/>
        <v/>
      </c>
      <c r="Q327" s="11" t="str">
        <f t="shared" ca="1" si="57"/>
        <v/>
      </c>
      <c r="R327" s="12" t="str">
        <f t="shared" ca="1" si="58"/>
        <v/>
      </c>
      <c r="S327" s="513"/>
      <c r="U327" t="str">
        <f t="shared" ca="1" si="68"/>
        <v/>
      </c>
      <c r="V327" s="31">
        <f t="shared" ca="1" si="69"/>
        <v>0</v>
      </c>
    </row>
    <row r="328" spans="1:22">
      <c r="A328" s="180" t="str">
        <f ca="1">'SAC_IOF Ñ USAR'!A328</f>
        <v/>
      </c>
      <c r="B328" s="179" t="str">
        <f ca="1">'SAC_IOF Ñ USAR'!B328</f>
        <v/>
      </c>
      <c r="C328" s="177">
        <f t="shared" ca="1" si="59"/>
        <v>0</v>
      </c>
      <c r="D328" s="24" t="str">
        <f t="shared" ca="1" si="66"/>
        <v/>
      </c>
      <c r="E328" s="177">
        <f t="shared" ca="1" si="60"/>
        <v>-6.4551386458333582E-10</v>
      </c>
      <c r="F328" s="178" t="str">
        <f t="shared" ca="1" si="61"/>
        <v/>
      </c>
      <c r="G328" s="178" t="str">
        <f t="shared" ca="1" si="62"/>
        <v/>
      </c>
      <c r="H328" s="177" t="str">
        <f t="shared" ca="1" si="63"/>
        <v/>
      </c>
      <c r="I328" s="25">
        <f t="shared" ca="1" si="64"/>
        <v>0</v>
      </c>
      <c r="J328" s="9" t="str">
        <f ca="1">'SAC_IOF Ñ USAR'!J328</f>
        <v/>
      </c>
      <c r="K328" s="9" t="str">
        <f ca="1">'SAC_IOF Ñ USAR'!K328</f>
        <v/>
      </c>
      <c r="L328" s="9" t="str">
        <f ca="1">'SAC_IOF Ñ USAR'!L328</f>
        <v/>
      </c>
      <c r="N328" s="176" t="str">
        <f t="shared" ca="1" si="65"/>
        <v/>
      </c>
      <c r="O328" s="176" t="str">
        <f t="shared" ca="1" si="67"/>
        <v/>
      </c>
      <c r="P328" s="175" t="str">
        <f t="shared" ca="1" si="56"/>
        <v/>
      </c>
      <c r="Q328" s="11" t="str">
        <f t="shared" ca="1" si="57"/>
        <v/>
      </c>
      <c r="R328" s="12" t="str">
        <f t="shared" ca="1" si="58"/>
        <v/>
      </c>
      <c r="S328" s="513"/>
      <c r="U328" t="str">
        <f t="shared" ca="1" si="68"/>
        <v/>
      </c>
      <c r="V328" s="31">
        <f t="shared" ca="1" si="69"/>
        <v>0</v>
      </c>
    </row>
    <row r="329" spans="1:22">
      <c r="A329" s="180" t="str">
        <f ca="1">'SAC_IOF Ñ USAR'!A329</f>
        <v/>
      </c>
      <c r="B329" s="179" t="str">
        <f ca="1">'SAC_IOF Ñ USAR'!B329</f>
        <v/>
      </c>
      <c r="C329" s="177">
        <f t="shared" ca="1" si="59"/>
        <v>0</v>
      </c>
      <c r="D329" s="24" t="str">
        <f t="shared" ca="1" si="66"/>
        <v/>
      </c>
      <c r="E329" s="177">
        <f t="shared" ca="1" si="60"/>
        <v>-6.4551386458333582E-10</v>
      </c>
      <c r="F329" s="178" t="str">
        <f t="shared" ca="1" si="61"/>
        <v/>
      </c>
      <c r="G329" s="178" t="str">
        <f t="shared" ca="1" si="62"/>
        <v/>
      </c>
      <c r="H329" s="177" t="str">
        <f t="shared" ca="1" si="63"/>
        <v/>
      </c>
      <c r="I329" s="25">
        <f t="shared" ca="1" si="64"/>
        <v>0</v>
      </c>
      <c r="J329" s="9" t="str">
        <f ca="1">'SAC_IOF Ñ USAR'!J329</f>
        <v/>
      </c>
      <c r="K329" s="9" t="str">
        <f ca="1">'SAC_IOF Ñ USAR'!K329</f>
        <v/>
      </c>
      <c r="L329" s="9" t="str">
        <f ca="1">'SAC_IOF Ñ USAR'!L329</f>
        <v/>
      </c>
      <c r="N329" s="176" t="str">
        <f t="shared" ca="1" si="65"/>
        <v/>
      </c>
      <c r="O329" s="176" t="str">
        <f t="shared" ca="1" si="67"/>
        <v/>
      </c>
      <c r="P329" s="175" t="str">
        <f t="shared" ca="1" si="56"/>
        <v/>
      </c>
      <c r="Q329" s="11" t="str">
        <f t="shared" ca="1" si="57"/>
        <v/>
      </c>
      <c r="R329" s="12" t="str">
        <f t="shared" ca="1" si="58"/>
        <v/>
      </c>
      <c r="S329" s="513"/>
      <c r="U329" t="str">
        <f t="shared" ca="1" si="68"/>
        <v/>
      </c>
      <c r="V329" s="31">
        <f t="shared" ca="1" si="69"/>
        <v>0</v>
      </c>
    </row>
    <row r="330" spans="1:22">
      <c r="A330" s="180" t="str">
        <f ca="1">'SAC_IOF Ñ USAR'!A330</f>
        <v/>
      </c>
      <c r="B330" s="179" t="str">
        <f ca="1">'SAC_IOF Ñ USAR'!B330</f>
        <v/>
      </c>
      <c r="C330" s="177">
        <f t="shared" ca="1" si="59"/>
        <v>0</v>
      </c>
      <c r="D330" s="24" t="str">
        <f t="shared" ca="1" si="66"/>
        <v/>
      </c>
      <c r="E330" s="177">
        <f t="shared" ca="1" si="60"/>
        <v>-6.4551386458333582E-10</v>
      </c>
      <c r="F330" s="178" t="str">
        <f t="shared" ca="1" si="61"/>
        <v/>
      </c>
      <c r="G330" s="178" t="str">
        <f t="shared" ca="1" si="62"/>
        <v/>
      </c>
      <c r="H330" s="177" t="str">
        <f t="shared" ca="1" si="63"/>
        <v/>
      </c>
      <c r="I330" s="25">
        <f t="shared" ca="1" si="64"/>
        <v>0</v>
      </c>
      <c r="J330" s="9" t="str">
        <f ca="1">'SAC_IOF Ñ USAR'!J330</f>
        <v/>
      </c>
      <c r="K330" s="9" t="str">
        <f ca="1">'SAC_IOF Ñ USAR'!K330</f>
        <v/>
      </c>
      <c r="L330" s="9" t="str">
        <f ca="1">'SAC_IOF Ñ USAR'!L330</f>
        <v/>
      </c>
      <c r="N330" s="176" t="str">
        <f t="shared" ca="1" si="65"/>
        <v/>
      </c>
      <c r="O330" s="176" t="str">
        <f t="shared" ca="1" si="67"/>
        <v/>
      </c>
      <c r="P330" s="175" t="str">
        <f t="shared" ca="1" si="56"/>
        <v/>
      </c>
      <c r="Q330" s="11" t="str">
        <f t="shared" ca="1" si="57"/>
        <v/>
      </c>
      <c r="R330" s="12" t="str">
        <f t="shared" ca="1" si="58"/>
        <v/>
      </c>
      <c r="S330" s="513"/>
      <c r="U330" t="str">
        <f t="shared" ca="1" si="68"/>
        <v/>
      </c>
      <c r="V330" s="31">
        <f t="shared" ca="1" si="69"/>
        <v>0</v>
      </c>
    </row>
    <row r="331" spans="1:22">
      <c r="A331" s="180" t="str">
        <f ca="1">'SAC_IOF Ñ USAR'!A331</f>
        <v/>
      </c>
      <c r="B331" s="179" t="str">
        <f ca="1">'SAC_IOF Ñ USAR'!B331</f>
        <v/>
      </c>
      <c r="C331" s="177">
        <f t="shared" ca="1" si="59"/>
        <v>0</v>
      </c>
      <c r="D331" s="24" t="str">
        <f t="shared" ca="1" si="66"/>
        <v/>
      </c>
      <c r="E331" s="177">
        <f t="shared" ca="1" si="60"/>
        <v>-6.4551386458333582E-10</v>
      </c>
      <c r="F331" s="178" t="str">
        <f t="shared" ca="1" si="61"/>
        <v/>
      </c>
      <c r="G331" s="178" t="str">
        <f t="shared" ca="1" si="62"/>
        <v/>
      </c>
      <c r="H331" s="177" t="str">
        <f t="shared" ca="1" si="63"/>
        <v/>
      </c>
      <c r="I331" s="25">
        <f t="shared" ca="1" si="64"/>
        <v>0</v>
      </c>
      <c r="J331" s="9" t="str">
        <f ca="1">'SAC_IOF Ñ USAR'!J331</f>
        <v/>
      </c>
      <c r="K331" s="9" t="str">
        <f ca="1">'SAC_IOF Ñ USAR'!K331</f>
        <v/>
      </c>
      <c r="L331" s="9" t="str">
        <f ca="1">'SAC_IOF Ñ USAR'!L331</f>
        <v/>
      </c>
      <c r="N331" s="176" t="str">
        <f t="shared" ca="1" si="65"/>
        <v/>
      </c>
      <c r="O331" s="176" t="str">
        <f t="shared" ca="1" si="67"/>
        <v/>
      </c>
      <c r="P331" s="175" t="str">
        <f t="shared" ca="1" si="56"/>
        <v/>
      </c>
      <c r="Q331" s="11" t="str">
        <f t="shared" ca="1" si="57"/>
        <v/>
      </c>
      <c r="R331" s="12" t="str">
        <f t="shared" ca="1" si="58"/>
        <v/>
      </c>
      <c r="S331" s="513"/>
      <c r="U331" t="str">
        <f t="shared" ca="1" si="68"/>
        <v/>
      </c>
      <c r="V331" s="31">
        <f t="shared" ca="1" si="69"/>
        <v>0</v>
      </c>
    </row>
    <row r="332" spans="1:22">
      <c r="A332" s="180" t="str">
        <f ca="1">'SAC_IOF Ñ USAR'!A332</f>
        <v/>
      </c>
      <c r="B332" s="179" t="str">
        <f ca="1">'SAC_IOF Ñ USAR'!B332</f>
        <v/>
      </c>
      <c r="C332" s="177">
        <f t="shared" ca="1" si="59"/>
        <v>0</v>
      </c>
      <c r="D332" s="24" t="str">
        <f t="shared" ca="1" si="66"/>
        <v/>
      </c>
      <c r="E332" s="177">
        <f t="shared" ca="1" si="60"/>
        <v>-6.4551386458333582E-10</v>
      </c>
      <c r="F332" s="178" t="str">
        <f t="shared" ca="1" si="61"/>
        <v/>
      </c>
      <c r="G332" s="178" t="str">
        <f t="shared" ca="1" si="62"/>
        <v/>
      </c>
      <c r="H332" s="177" t="str">
        <f t="shared" ca="1" si="63"/>
        <v/>
      </c>
      <c r="I332" s="25">
        <f t="shared" ca="1" si="64"/>
        <v>0</v>
      </c>
      <c r="J332" s="9" t="str">
        <f ca="1">'SAC_IOF Ñ USAR'!J332</f>
        <v/>
      </c>
      <c r="K332" s="9" t="str">
        <f ca="1">'SAC_IOF Ñ USAR'!K332</f>
        <v/>
      </c>
      <c r="L332" s="9" t="str">
        <f ca="1">'SAC_IOF Ñ USAR'!L332</f>
        <v/>
      </c>
      <c r="N332" s="176" t="str">
        <f t="shared" ca="1" si="65"/>
        <v/>
      </c>
      <c r="O332" s="176" t="str">
        <f t="shared" ca="1" si="67"/>
        <v/>
      </c>
      <c r="P332" s="175" t="str">
        <f t="shared" ca="1" si="56"/>
        <v/>
      </c>
      <c r="Q332" s="11" t="str">
        <f t="shared" ca="1" si="57"/>
        <v/>
      </c>
      <c r="R332" s="12" t="str">
        <f t="shared" ca="1" si="58"/>
        <v/>
      </c>
      <c r="S332" s="513"/>
      <c r="U332" t="str">
        <f t="shared" ca="1" si="68"/>
        <v/>
      </c>
      <c r="V332" s="31">
        <f t="shared" ca="1" si="69"/>
        <v>0</v>
      </c>
    </row>
    <row r="333" spans="1:22">
      <c r="A333" s="180" t="str">
        <f ca="1">'SAC_IOF Ñ USAR'!A333</f>
        <v/>
      </c>
      <c r="B333" s="179" t="str">
        <f ca="1">'SAC_IOF Ñ USAR'!B333</f>
        <v/>
      </c>
      <c r="C333" s="177">
        <f t="shared" ca="1" si="59"/>
        <v>0</v>
      </c>
      <c r="D333" s="24" t="str">
        <f t="shared" ca="1" si="66"/>
        <v/>
      </c>
      <c r="E333" s="177">
        <f t="shared" ca="1" si="60"/>
        <v>-6.4551386458333582E-10</v>
      </c>
      <c r="F333" s="178" t="str">
        <f t="shared" ca="1" si="61"/>
        <v/>
      </c>
      <c r="G333" s="178" t="str">
        <f t="shared" ca="1" si="62"/>
        <v/>
      </c>
      <c r="H333" s="177" t="str">
        <f t="shared" ca="1" si="63"/>
        <v/>
      </c>
      <c r="I333" s="25">
        <f t="shared" ca="1" si="64"/>
        <v>0</v>
      </c>
      <c r="J333" s="9" t="str">
        <f ca="1">'SAC_IOF Ñ USAR'!J333</f>
        <v/>
      </c>
      <c r="K333" s="9" t="str">
        <f ca="1">'SAC_IOF Ñ USAR'!K333</f>
        <v/>
      </c>
      <c r="L333" s="9" t="str">
        <f ca="1">'SAC_IOF Ñ USAR'!L333</f>
        <v/>
      </c>
      <c r="N333" s="176" t="str">
        <f t="shared" ca="1" si="65"/>
        <v/>
      </c>
      <c r="O333" s="176" t="str">
        <f t="shared" ca="1" si="67"/>
        <v/>
      </c>
      <c r="P333" s="175" t="str">
        <f t="shared" ca="1" si="56"/>
        <v/>
      </c>
      <c r="Q333" s="11" t="str">
        <f t="shared" ca="1" si="57"/>
        <v/>
      </c>
      <c r="R333" s="12" t="str">
        <f t="shared" ca="1" si="58"/>
        <v/>
      </c>
      <c r="S333" s="513"/>
      <c r="U333" t="str">
        <f t="shared" ca="1" si="68"/>
        <v/>
      </c>
      <c r="V333" s="31">
        <f t="shared" ca="1" si="69"/>
        <v>0</v>
      </c>
    </row>
    <row r="334" spans="1:22">
      <c r="A334" s="180" t="str">
        <f ca="1">'SAC_IOF Ñ USAR'!A334</f>
        <v/>
      </c>
      <c r="B334" s="179" t="str">
        <f ca="1">'SAC_IOF Ñ USAR'!B334</f>
        <v/>
      </c>
      <c r="C334" s="177">
        <f t="shared" ca="1" si="59"/>
        <v>0</v>
      </c>
      <c r="D334" s="24" t="str">
        <f t="shared" ca="1" si="66"/>
        <v/>
      </c>
      <c r="E334" s="177">
        <f t="shared" ca="1" si="60"/>
        <v>-6.4551386458333582E-10</v>
      </c>
      <c r="F334" s="178" t="str">
        <f t="shared" ca="1" si="61"/>
        <v/>
      </c>
      <c r="G334" s="178" t="str">
        <f t="shared" ca="1" si="62"/>
        <v/>
      </c>
      <c r="H334" s="177" t="str">
        <f t="shared" ca="1" si="63"/>
        <v/>
      </c>
      <c r="I334" s="25">
        <f t="shared" ca="1" si="64"/>
        <v>0</v>
      </c>
      <c r="J334" s="9" t="str">
        <f ca="1">'SAC_IOF Ñ USAR'!J334</f>
        <v/>
      </c>
      <c r="K334" s="9" t="str">
        <f ca="1">'SAC_IOF Ñ USAR'!K334</f>
        <v/>
      </c>
      <c r="L334" s="9" t="str">
        <f ca="1">'SAC_IOF Ñ USAR'!L334</f>
        <v/>
      </c>
      <c r="N334" s="176" t="str">
        <f t="shared" ca="1" si="65"/>
        <v/>
      </c>
      <c r="O334" s="176" t="str">
        <f t="shared" ca="1" si="67"/>
        <v/>
      </c>
      <c r="P334" s="175" t="str">
        <f t="shared" ca="1" si="56"/>
        <v/>
      </c>
      <c r="Q334" s="11" t="str">
        <f t="shared" ca="1" si="57"/>
        <v/>
      </c>
      <c r="R334" s="12" t="str">
        <f t="shared" ca="1" si="58"/>
        <v/>
      </c>
      <c r="S334" s="513"/>
      <c r="U334" t="str">
        <f t="shared" ca="1" si="68"/>
        <v/>
      </c>
      <c r="V334" s="31">
        <f t="shared" ca="1" si="69"/>
        <v>0</v>
      </c>
    </row>
    <row r="335" spans="1:22">
      <c r="A335" s="180" t="str">
        <f ca="1">'SAC_IOF Ñ USAR'!A335</f>
        <v/>
      </c>
      <c r="B335" s="179" t="str">
        <f ca="1">'SAC_IOF Ñ USAR'!B335</f>
        <v/>
      </c>
      <c r="C335" s="177">
        <f t="shared" ca="1" si="59"/>
        <v>0</v>
      </c>
      <c r="D335" s="24" t="str">
        <f t="shared" ca="1" si="66"/>
        <v/>
      </c>
      <c r="E335" s="177">
        <f t="shared" ca="1" si="60"/>
        <v>-6.4551386458333582E-10</v>
      </c>
      <c r="F335" s="178" t="str">
        <f t="shared" ca="1" si="61"/>
        <v/>
      </c>
      <c r="G335" s="178" t="str">
        <f t="shared" ca="1" si="62"/>
        <v/>
      </c>
      <c r="H335" s="177" t="str">
        <f t="shared" ca="1" si="63"/>
        <v/>
      </c>
      <c r="I335" s="25">
        <f t="shared" ca="1" si="64"/>
        <v>0</v>
      </c>
      <c r="J335" s="9" t="str">
        <f ca="1">'SAC_IOF Ñ USAR'!J335</f>
        <v/>
      </c>
      <c r="K335" s="9" t="str">
        <f ca="1">'SAC_IOF Ñ USAR'!K335</f>
        <v/>
      </c>
      <c r="L335" s="9" t="str">
        <f ca="1">'SAC_IOF Ñ USAR'!L335</f>
        <v/>
      </c>
      <c r="N335" s="176" t="str">
        <f t="shared" ca="1" si="65"/>
        <v/>
      </c>
      <c r="O335" s="176" t="str">
        <f t="shared" ca="1" si="67"/>
        <v/>
      </c>
      <c r="P335" s="175" t="str">
        <f t="shared" ca="1" si="56"/>
        <v/>
      </c>
      <c r="Q335" s="11" t="str">
        <f t="shared" ca="1" si="57"/>
        <v/>
      </c>
      <c r="R335" s="12" t="str">
        <f t="shared" ca="1" si="58"/>
        <v/>
      </c>
      <c r="S335" s="513"/>
      <c r="U335" t="str">
        <f t="shared" ca="1" si="68"/>
        <v/>
      </c>
      <c r="V335" s="31">
        <f t="shared" ca="1" si="69"/>
        <v>0</v>
      </c>
    </row>
    <row r="336" spans="1:22">
      <c r="A336" s="180" t="str">
        <f ca="1">'SAC_IOF Ñ USAR'!A336</f>
        <v/>
      </c>
      <c r="B336" s="179" t="str">
        <f ca="1">'SAC_IOF Ñ USAR'!B336</f>
        <v/>
      </c>
      <c r="C336" s="177">
        <f t="shared" ca="1" si="59"/>
        <v>0</v>
      </c>
      <c r="D336" s="24" t="str">
        <f t="shared" ca="1" si="66"/>
        <v/>
      </c>
      <c r="E336" s="177">
        <f t="shared" ca="1" si="60"/>
        <v>-6.4551386458333582E-10</v>
      </c>
      <c r="F336" s="178" t="str">
        <f t="shared" ca="1" si="61"/>
        <v/>
      </c>
      <c r="G336" s="178" t="str">
        <f t="shared" ca="1" si="62"/>
        <v/>
      </c>
      <c r="H336" s="177" t="str">
        <f t="shared" ca="1" si="63"/>
        <v/>
      </c>
      <c r="I336" s="25">
        <f t="shared" ca="1" si="64"/>
        <v>0</v>
      </c>
      <c r="J336" s="9" t="str">
        <f ca="1">'SAC_IOF Ñ USAR'!J336</f>
        <v/>
      </c>
      <c r="K336" s="9" t="str">
        <f ca="1">'SAC_IOF Ñ USAR'!K336</f>
        <v/>
      </c>
      <c r="L336" s="9" t="str">
        <f ca="1">'SAC_IOF Ñ USAR'!L336</f>
        <v/>
      </c>
      <c r="N336" s="176" t="str">
        <f t="shared" ca="1" si="65"/>
        <v/>
      </c>
      <c r="O336" s="176" t="str">
        <f t="shared" ca="1" si="67"/>
        <v/>
      </c>
      <c r="P336" s="175" t="str">
        <f t="shared" ca="1" si="56"/>
        <v/>
      </c>
      <c r="Q336" s="11" t="str">
        <f t="shared" ca="1" si="57"/>
        <v/>
      </c>
      <c r="R336" s="12" t="str">
        <f t="shared" ca="1" si="58"/>
        <v/>
      </c>
      <c r="S336" s="513"/>
      <c r="U336" t="str">
        <f t="shared" ca="1" si="68"/>
        <v/>
      </c>
      <c r="V336" s="31">
        <f t="shared" ca="1" si="69"/>
        <v>0</v>
      </c>
    </row>
    <row r="337" spans="1:22">
      <c r="A337" s="180" t="str">
        <f ca="1">'SAC_IOF Ñ USAR'!A337</f>
        <v/>
      </c>
      <c r="B337" s="179" t="str">
        <f ca="1">'SAC_IOF Ñ USAR'!B337</f>
        <v/>
      </c>
      <c r="C337" s="177">
        <f t="shared" ca="1" si="59"/>
        <v>0</v>
      </c>
      <c r="D337" s="24" t="str">
        <f t="shared" ca="1" si="66"/>
        <v/>
      </c>
      <c r="E337" s="177">
        <f t="shared" ca="1" si="60"/>
        <v>-6.4551386458333582E-10</v>
      </c>
      <c r="F337" s="178" t="str">
        <f t="shared" ca="1" si="61"/>
        <v/>
      </c>
      <c r="G337" s="178" t="str">
        <f t="shared" ca="1" si="62"/>
        <v/>
      </c>
      <c r="H337" s="177" t="str">
        <f t="shared" ca="1" si="63"/>
        <v/>
      </c>
      <c r="I337" s="25">
        <f t="shared" ca="1" si="64"/>
        <v>0</v>
      </c>
      <c r="J337" s="9" t="str">
        <f ca="1">'SAC_IOF Ñ USAR'!J337</f>
        <v/>
      </c>
      <c r="K337" s="9" t="str">
        <f ca="1">'SAC_IOF Ñ USAR'!K337</f>
        <v/>
      </c>
      <c r="L337" s="9" t="str">
        <f ca="1">'SAC_IOF Ñ USAR'!L337</f>
        <v/>
      </c>
      <c r="N337" s="176" t="str">
        <f t="shared" ca="1" si="65"/>
        <v/>
      </c>
      <c r="O337" s="176" t="str">
        <f t="shared" ca="1" si="67"/>
        <v/>
      </c>
      <c r="P337" s="175" t="str">
        <f t="shared" ca="1" si="56"/>
        <v/>
      </c>
      <c r="Q337" s="11" t="str">
        <f t="shared" ca="1" si="57"/>
        <v/>
      </c>
      <c r="R337" s="12" t="str">
        <f t="shared" ca="1" si="58"/>
        <v/>
      </c>
      <c r="S337" s="513"/>
      <c r="U337" t="str">
        <f t="shared" ca="1" si="68"/>
        <v/>
      </c>
      <c r="V337" s="31">
        <f t="shared" ca="1" si="69"/>
        <v>0</v>
      </c>
    </row>
    <row r="338" spans="1:22">
      <c r="A338" s="180" t="str">
        <f ca="1">'SAC_IOF Ñ USAR'!A338</f>
        <v/>
      </c>
      <c r="B338" s="179" t="str">
        <f ca="1">'SAC_IOF Ñ USAR'!B338</f>
        <v/>
      </c>
      <c r="C338" s="177">
        <f t="shared" ca="1" si="59"/>
        <v>0</v>
      </c>
      <c r="D338" s="24" t="str">
        <f t="shared" ca="1" si="66"/>
        <v/>
      </c>
      <c r="E338" s="177">
        <f t="shared" ca="1" si="60"/>
        <v>-6.4551386458333582E-10</v>
      </c>
      <c r="F338" s="178" t="str">
        <f t="shared" ca="1" si="61"/>
        <v/>
      </c>
      <c r="G338" s="178" t="str">
        <f t="shared" ca="1" si="62"/>
        <v/>
      </c>
      <c r="H338" s="177" t="str">
        <f t="shared" ca="1" si="63"/>
        <v/>
      </c>
      <c r="I338" s="25">
        <f t="shared" ca="1" si="64"/>
        <v>0</v>
      </c>
      <c r="J338" s="9" t="str">
        <f ca="1">'SAC_IOF Ñ USAR'!J338</f>
        <v/>
      </c>
      <c r="K338" s="9" t="str">
        <f ca="1">'SAC_IOF Ñ USAR'!K338</f>
        <v/>
      </c>
      <c r="L338" s="9" t="str">
        <f ca="1">'SAC_IOF Ñ USAR'!L338</f>
        <v/>
      </c>
      <c r="N338" s="176" t="str">
        <f t="shared" ca="1" si="65"/>
        <v/>
      </c>
      <c r="O338" s="176" t="str">
        <f t="shared" ca="1" si="67"/>
        <v/>
      </c>
      <c r="P338" s="175" t="str">
        <f t="shared" ca="1" si="56"/>
        <v/>
      </c>
      <c r="Q338" s="11" t="str">
        <f t="shared" ca="1" si="57"/>
        <v/>
      </c>
      <c r="R338" s="12" t="str">
        <f ca="1">IFERROR(Q338*P338,"")</f>
        <v/>
      </c>
      <c r="S338" s="513"/>
      <c r="U338" t="str">
        <f t="shared" ca="1" si="68"/>
        <v/>
      </c>
      <c r="V338" s="31">
        <f t="shared" ca="1" si="69"/>
        <v>0</v>
      </c>
    </row>
    <row r="339" spans="1:22">
      <c r="A339" s="180" t="str">
        <f ca="1">'SAC_IOF Ñ USAR'!A339</f>
        <v/>
      </c>
      <c r="B339" s="179" t="str">
        <f ca="1">'SAC_IOF Ñ USAR'!B339</f>
        <v/>
      </c>
      <c r="C339" s="177">
        <f t="shared" ca="1" si="59"/>
        <v>0</v>
      </c>
      <c r="D339" s="24" t="str">
        <f t="shared" ca="1" si="66"/>
        <v/>
      </c>
      <c r="E339" s="177">
        <f ca="1">IFERROR(IF(OR(J339="Carencia",K339="Pula"),E338+D339+SUM(F339:H339),(E338-C339)),"")</f>
        <v>-6.4551386458333582E-10</v>
      </c>
      <c r="F339" s="178" t="str">
        <f t="shared" ca="1" si="61"/>
        <v/>
      </c>
      <c r="G339" s="178" t="str">
        <f t="shared" ca="1" si="62"/>
        <v/>
      </c>
      <c r="H339" s="177" t="str">
        <f t="shared" ca="1" si="63"/>
        <v/>
      </c>
      <c r="I339" s="25">
        <f ca="1">IFERROR(IF(OR(J339="Carencia",K339="Pula"),0,SUM(C339:D339,F339:H339)),"")</f>
        <v>0</v>
      </c>
      <c r="J339" s="9" t="str">
        <f ca="1">'SAC_IOF Ñ USAR'!J339</f>
        <v/>
      </c>
      <c r="K339" s="9" t="str">
        <f ca="1">'SAC_IOF Ñ USAR'!K339</f>
        <v/>
      </c>
      <c r="L339" s="9" t="str">
        <f ca="1">'SAC_IOF Ñ USAR'!L339</f>
        <v/>
      </c>
      <c r="N339" s="176" t="str">
        <f t="shared" ca="1" si="65"/>
        <v/>
      </c>
      <c r="O339" s="176" t="str">
        <f t="shared" ca="1" si="67"/>
        <v/>
      </c>
      <c r="P339" s="175" t="str">
        <f t="shared" ca="1" si="56"/>
        <v/>
      </c>
      <c r="Q339" s="11" t="str">
        <f t="shared" ca="1" si="57"/>
        <v/>
      </c>
      <c r="R339" s="12" t="str">
        <f ca="1">IFERROR(Q339*P339,"")</f>
        <v/>
      </c>
      <c r="S339" s="513"/>
      <c r="U339" t="str">
        <f t="shared" ca="1" si="68"/>
        <v/>
      </c>
      <c r="V339" s="31">
        <f t="shared" ca="1" si="69"/>
        <v>0</v>
      </c>
    </row>
  </sheetData>
  <mergeCells count="2">
    <mergeCell ref="H12:I12"/>
    <mergeCell ref="K2:L2"/>
  </mergeCells>
  <conditionalFormatting sqref="E13:F14">
    <cfRule type="cellIs" dxfId="1" priority="1" operator="equal">
      <formula>"Pronto para Exportar"</formula>
    </cfRule>
    <cfRule type="cellIs" dxfId="0" priority="2" operator="equal">
      <formula>"Corrigir"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Ajuste_PMT_SAC">
                <anchor moveWithCells="1" sizeWithCells="1">
                  <from>
                    <xdr:col>13</xdr:col>
                    <xdr:colOff>0</xdr:colOff>
                    <xdr:row>1</xdr:row>
                    <xdr:rowOff>180975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KITQI_SAC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BAF1-7C92-4713-9078-01D6E45D3BA4}">
  <sheetPr codeName="Planilha4">
    <tabColor theme="2" tint="-9.9978637043366805E-2"/>
  </sheetPr>
  <dimension ref="A2:AF339"/>
  <sheetViews>
    <sheetView showGridLines="0" workbookViewId="0">
      <selection activeCell="F15" sqref="F15"/>
    </sheetView>
  </sheetViews>
  <sheetFormatPr defaultColWidth="0" defaultRowHeight="15"/>
  <cols>
    <col min="1" max="1" width="8.5703125" customWidth="1"/>
    <col min="2" max="2" width="23.5703125" bestFit="1" customWidth="1"/>
    <col min="3" max="3" width="12.710937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2.42578125" bestFit="1" customWidth="1"/>
    <col min="10" max="10" width="12.28515625" bestFit="1" customWidth="1"/>
    <col min="11" max="11" width="11.7109375" bestFit="1" customWidth="1"/>
    <col min="12" max="12" width="15.42578125" bestFit="1" customWidth="1"/>
    <col min="13" max="13" width="8.5703125" customWidth="1"/>
    <col min="14" max="14" width="13.42578125" bestFit="1" customWidth="1"/>
    <col min="15" max="15" width="11" bestFit="1" customWidth="1"/>
    <col min="16" max="16" width="18.5703125" bestFit="1" customWidth="1"/>
    <col min="17" max="17" width="8.5703125" customWidth="1"/>
    <col min="18" max="18" width="15.5703125" bestFit="1" customWidth="1"/>
    <col min="19" max="19" width="15.5703125" customWidth="1"/>
    <col min="20" max="20" width="8.5703125" customWidth="1"/>
    <col min="21" max="21" width="14.5703125" bestFit="1" customWidth="1"/>
    <col min="22" max="22" width="16.28515625" bestFit="1" customWidth="1"/>
    <col min="23" max="24" width="8.5703125" customWidth="1"/>
    <col min="25" max="25" width="11" bestFit="1" customWidth="1"/>
    <col min="26" max="27" width="13.42578125" style="31" bestFit="1" customWidth="1"/>
    <col min="28" max="28" width="14.5703125" style="31" bestFit="1" customWidth="1"/>
    <col min="29" max="32" width="8.5703125" customWidth="1"/>
    <col min="33" max="16384" width="8.5703125" hidden="1"/>
  </cols>
  <sheetData>
    <row r="2" spans="2:22">
      <c r="B2" s="1" t="s">
        <v>0</v>
      </c>
      <c r="C2" s="2">
        <f>SUM(C4:C7)</f>
        <v>188148.49073726556</v>
      </c>
      <c r="D2" s="10"/>
      <c r="E2" s="1" t="s">
        <v>25</v>
      </c>
      <c r="F2" s="574">
        <f ca="1">TODAY()+14</f>
        <v>44728</v>
      </c>
      <c r="H2" s="174" t="s">
        <v>37</v>
      </c>
      <c r="I2" s="18" t="s">
        <v>30</v>
      </c>
      <c r="K2" s="1255" t="s">
        <v>55</v>
      </c>
      <c r="L2" s="1256"/>
    </row>
    <row r="3" spans="2:22">
      <c r="B3" s="3" t="s">
        <v>1</v>
      </c>
      <c r="C3" s="4" t="s">
        <v>2</v>
      </c>
      <c r="E3" s="3" t="s">
        <v>31</v>
      </c>
      <c r="F3" s="575">
        <v>10</v>
      </c>
      <c r="H3" s="3" t="s">
        <v>24</v>
      </c>
      <c r="I3" s="16">
        <v>8.2000000000000001E-5</v>
      </c>
      <c r="K3" s="3" t="s">
        <v>46</v>
      </c>
      <c r="L3" s="44">
        <v>2728.8981088749802</v>
      </c>
    </row>
    <row r="4" spans="2:22">
      <c r="B4" s="5" t="s">
        <v>44</v>
      </c>
      <c r="C4" s="26">
        <v>9137.8207372655543</v>
      </c>
      <c r="D4" s="10"/>
      <c r="E4" s="5" t="s">
        <v>32</v>
      </c>
      <c r="F4" s="26">
        <f ca="1">'PRICE_IOF Ñ USAR'!C4</f>
        <v>27715.964096495194</v>
      </c>
      <c r="H4" s="7" t="s">
        <v>36</v>
      </c>
      <c r="I4" s="17">
        <v>4.1E-5</v>
      </c>
      <c r="K4" s="7" t="s">
        <v>47</v>
      </c>
      <c r="L4" s="43">
        <f ca="1">_xlfn.XLOOKUP(C8,'PRICE_IOF Ñ USAR'!$A$18:$A$339,'PRICE_IOF Ñ USAR'!$E$18:$E$339)</f>
        <v>-601609.69908161694</v>
      </c>
    </row>
    <row r="5" spans="2:22">
      <c r="B5" s="3" t="s">
        <v>4</v>
      </c>
      <c r="C5" s="34">
        <f>Inputs!W20</f>
        <v>6768</v>
      </c>
      <c r="E5" s="15" t="s">
        <v>23</v>
      </c>
      <c r="F5" s="203" t="str">
        <f>Inputs!D14</f>
        <v>PF</v>
      </c>
      <c r="K5" s="13"/>
      <c r="L5" s="59"/>
    </row>
    <row r="6" spans="2:22">
      <c r="B6" s="5" t="s">
        <v>5</v>
      </c>
      <c r="C6" s="35">
        <f>Inputs!W22</f>
        <v>3042.67</v>
      </c>
      <c r="H6" s="174" t="s">
        <v>39</v>
      </c>
      <c r="I6" s="18" t="s">
        <v>30</v>
      </c>
      <c r="K6" s="1255" t="s">
        <v>113</v>
      </c>
      <c r="L6" s="1256"/>
    </row>
    <row r="7" spans="2:22">
      <c r="B7" s="3" t="s">
        <v>6</v>
      </c>
      <c r="C7" s="34">
        <f>Inputs!W11</f>
        <v>169200</v>
      </c>
      <c r="H7" s="3" t="s">
        <v>27</v>
      </c>
      <c r="I7" s="16">
        <f>Inputs!W24</f>
        <v>2.1000000000000001E-4</v>
      </c>
      <c r="K7" s="3" t="s">
        <v>46</v>
      </c>
      <c r="L7" s="44">
        <v>2823.7966807873254</v>
      </c>
    </row>
    <row r="8" spans="2:22">
      <c r="B8" s="5" t="s">
        <v>7</v>
      </c>
      <c r="C8" s="37">
        <f ca="1">Inputs!W29</f>
        <v>228</v>
      </c>
      <c r="D8" s="56" t="s">
        <v>112</v>
      </c>
      <c r="F8" s="61"/>
      <c r="H8" s="7" t="s">
        <v>28</v>
      </c>
      <c r="I8" s="17">
        <f>Inputs!W25</f>
        <v>6.9999999999999994E-5</v>
      </c>
      <c r="K8" s="7" t="s">
        <v>47</v>
      </c>
      <c r="L8" s="65">
        <f ca="1">_xlfn.XLOOKUP(C8,A:A,AB:AB)</f>
        <v>-600285.74507376854</v>
      </c>
    </row>
    <row r="9" spans="2:22">
      <c r="B9" s="3" t="s">
        <v>52</v>
      </c>
      <c r="C9" s="38">
        <f>Inputs!W32</f>
        <v>9.1999999999999998E-3</v>
      </c>
      <c r="D9" s="55">
        <f>L12</f>
        <v>9.2000000162188317E-3</v>
      </c>
      <c r="F9" s="195"/>
      <c r="K9" s="158"/>
      <c r="L9" s="194">
        <f ca="1">ROUND(L8,2)+ROUND(L4,2)+ROUND(L11,2)</f>
        <v>-1201895.45</v>
      </c>
    </row>
    <row r="10" spans="2:22">
      <c r="B10" s="5" t="s">
        <v>9</v>
      </c>
      <c r="C10" s="26">
        <f ca="1">MAX(I18:I339)</f>
        <v>2199.47535395043</v>
      </c>
      <c r="E10" s="46"/>
      <c r="H10" s="9" t="s">
        <v>20</v>
      </c>
      <c r="I10" s="12">
        <f>Inputs!W23</f>
        <v>25</v>
      </c>
      <c r="K10" s="1255" t="s">
        <v>56</v>
      </c>
      <c r="L10" s="1256"/>
    </row>
    <row r="11" spans="2:22">
      <c r="B11" s="3" t="s">
        <v>10</v>
      </c>
      <c r="C11" s="39">
        <f>Inputs!W12</f>
        <v>376000</v>
      </c>
      <c r="D11" s="13"/>
      <c r="E11" s="57"/>
      <c r="K11" s="3" t="s">
        <v>54</v>
      </c>
      <c r="L11" s="44">
        <f ca="1">V14</f>
        <v>-2.4877893156372011E-4</v>
      </c>
      <c r="R11" s="13"/>
      <c r="S11" s="13"/>
    </row>
    <row r="12" spans="2:22">
      <c r="B12" s="5" t="s">
        <v>11</v>
      </c>
      <c r="C12" s="40">
        <f>Inputs!D16</f>
        <v>6</v>
      </c>
      <c r="E12" s="100"/>
      <c r="F12" s="100"/>
      <c r="H12" s="1255" t="s">
        <v>48</v>
      </c>
      <c r="I12" s="1256"/>
      <c r="K12" s="7" t="s">
        <v>57</v>
      </c>
      <c r="L12" s="193">
        <v>9.2000000162188317E-3</v>
      </c>
      <c r="U12" t="s">
        <v>52</v>
      </c>
    </row>
    <row r="13" spans="2:22" ht="14.85" customHeight="1">
      <c r="B13" s="3" t="s">
        <v>12</v>
      </c>
      <c r="C13" s="202">
        <f>Inputs!E17</f>
        <v>0</v>
      </c>
      <c r="D13" s="47">
        <f ca="1">IFERROR(SUMIFS(L18:L339,K18:K339,"Pula",J18:J339,"")/C13,0)</f>
        <v>0</v>
      </c>
      <c r="E13" s="112"/>
      <c r="F13" s="192"/>
      <c r="H13" s="3" t="s">
        <v>48</v>
      </c>
      <c r="I13" s="53">
        <f ca="1">-PMT($D$9,(C8-C12-D13),_xlfn.XLOOKUP(IF(C12&gt;0.1,C12,IF(A19="I","I",0)),A18:A339,E18:E339))</f>
        <v>2106.3704886229862</v>
      </c>
      <c r="K13" s="158"/>
      <c r="L13" s="158"/>
      <c r="P13" t="s">
        <v>41</v>
      </c>
      <c r="R13" s="13">
        <f ca="1">SUM(R18:R339)</f>
        <v>23553.25478131944</v>
      </c>
      <c r="S13" s="13"/>
      <c r="U13" t="s">
        <v>53</v>
      </c>
      <c r="V13" s="13">
        <f ca="1">'PRICE_PULA_Ñ USAR'!T18</f>
        <v>188682.53796382318</v>
      </c>
    </row>
    <row r="14" spans="2:22" ht="14.85" customHeight="1">
      <c r="B14" s="5" t="s">
        <v>13</v>
      </c>
      <c r="C14" s="188">
        <f ca="1">(1+IRR(V18:V339))^12-1</f>
        <v>0.14130453657633724</v>
      </c>
      <c r="E14" s="191"/>
      <c r="F14" s="190"/>
      <c r="H14" s="7" t="s">
        <v>51</v>
      </c>
      <c r="I14" s="45"/>
      <c r="N14" s="10"/>
      <c r="P14" s="22" t="s">
        <v>42</v>
      </c>
      <c r="Q14" s="22"/>
      <c r="R14" s="23">
        <f>E18*0.38%</f>
        <v>714.96426480160915</v>
      </c>
      <c r="S14" s="512"/>
      <c r="U14" t="s">
        <v>54</v>
      </c>
      <c r="V14" s="13">
        <f ca="1">V13-U18</f>
        <v>-2.4877893156372011E-4</v>
      </c>
    </row>
    <row r="15" spans="2:22">
      <c r="B15" s="15" t="s">
        <v>634</v>
      </c>
      <c r="C15" s="505">
        <f ca="1">ROUND((MAX(B19:B339)-B18)/365*12,0)</f>
        <v>228</v>
      </c>
      <c r="E15" s="13"/>
      <c r="F15" s="27"/>
      <c r="P15" t="s">
        <v>43</v>
      </c>
      <c r="R15" s="13">
        <f ca="1">R13+R14</f>
        <v>24268.219046121048</v>
      </c>
      <c r="S15" s="28">
        <f ca="1">R15/C2</f>
        <v>0.12898439392750533</v>
      </c>
    </row>
    <row r="16" spans="2:22">
      <c r="D16" s="13"/>
      <c r="E16" s="13"/>
    </row>
    <row r="17" spans="1:30" ht="25.5">
      <c r="A17" s="8" t="s">
        <v>35</v>
      </c>
      <c r="B17" s="8" t="s">
        <v>14</v>
      </c>
      <c r="C17" s="8" t="s">
        <v>15</v>
      </c>
      <c r="D17" s="8" t="s">
        <v>16</v>
      </c>
      <c r="E17" s="8" t="s">
        <v>17</v>
      </c>
      <c r="F17" s="8" t="s">
        <v>18</v>
      </c>
      <c r="G17" s="8" t="s">
        <v>19</v>
      </c>
      <c r="H17" s="8" t="s">
        <v>20</v>
      </c>
      <c r="I17" s="8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U17" s="22" t="s">
        <v>49</v>
      </c>
      <c r="V17" s="22" t="s">
        <v>50</v>
      </c>
      <c r="X17" s="14" t="s">
        <v>35</v>
      </c>
      <c r="Y17" s="14" t="s">
        <v>14</v>
      </c>
      <c r="Z17" s="62" t="s">
        <v>15</v>
      </c>
      <c r="AA17" s="62" t="s">
        <v>16</v>
      </c>
      <c r="AB17" s="62" t="s">
        <v>17</v>
      </c>
      <c r="AC17" s="8" t="s">
        <v>26</v>
      </c>
      <c r="AD17" s="8" t="s">
        <v>34</v>
      </c>
    </row>
    <row r="18" spans="1:30">
      <c r="A18" s="180">
        <f>'PRICE_IOF Ñ USAR'!A18</f>
        <v>0</v>
      </c>
      <c r="B18" s="185">
        <f ca="1">F2</f>
        <v>44728</v>
      </c>
      <c r="C18" s="182"/>
      <c r="D18" s="182"/>
      <c r="E18" s="184">
        <f>C2</f>
        <v>188148.49073726556</v>
      </c>
      <c r="F18" s="183"/>
      <c r="G18" s="182"/>
      <c r="H18" s="181"/>
      <c r="I18" s="25"/>
      <c r="J18" s="9" t="str">
        <f>'PRICE_IOF Ñ USAR'!J18</f>
        <v>Carencia</v>
      </c>
      <c r="K18" s="9" t="str">
        <f ca="1">'PRICE_IOF Ñ USAR'!K18</f>
        <v/>
      </c>
      <c r="L18" s="9">
        <f ca="1">'PRICE_IOF Ñ USAR'!L18</f>
        <v>6</v>
      </c>
      <c r="N18" s="9"/>
      <c r="O18" s="9"/>
      <c r="P18" s="175">
        <f t="shared" ref="P18:P81" si="0">IF(A18&lt;&gt;"",Z18,"")</f>
        <v>0</v>
      </c>
      <c r="Q18" s="11" t="str">
        <f t="shared" ref="Q18:Q81" ca="1" si="1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ca="1" si="2">IFERROR(Q18*P18,"")</f>
        <v/>
      </c>
      <c r="S18" s="513"/>
      <c r="U18" s="31">
        <f ca="1">U19/(1+C9)^((B19-B18)/_xlfn.DAYS(EDATE(B18,1),B18))</f>
        <v>188682.53821260211</v>
      </c>
      <c r="V18" s="10">
        <f>-C7</f>
        <v>-169200</v>
      </c>
      <c r="X18" s="58">
        <f t="shared" ref="X18:X81" si="3">A18</f>
        <v>0</v>
      </c>
      <c r="Y18" s="61">
        <f t="shared" ref="Y18:Y81" ca="1" si="4">B18</f>
        <v>44728</v>
      </c>
      <c r="AB18" s="31">
        <f>C2</f>
        <v>188148.49073726556</v>
      </c>
      <c r="AC18" t="str">
        <f t="shared" ref="AC18:AC81" si="5">J18</f>
        <v>Carencia</v>
      </c>
      <c r="AD18" t="str">
        <f t="shared" ref="AD18:AD81" ca="1" si="6">K18</f>
        <v/>
      </c>
    </row>
    <row r="19" spans="1:30">
      <c r="A19" s="180">
        <f ca="1">'PRICE_IOF Ñ USAR'!A19</f>
        <v>1</v>
      </c>
      <c r="B19" s="179">
        <f ca="1">'PRICE_IOF Ñ USAR'!B19</f>
        <v>44752</v>
      </c>
      <c r="C19" s="177">
        <f t="shared" ref="C19:C82" ca="1" si="7">IFERROR(IF(OR(J19="Carencia",K19="Pula"),0,$I$13-D19),"")</f>
        <v>0</v>
      </c>
      <c r="D19" s="24">
        <f ca="1">IFERROR(IF(DAY(B19)=DAY(B18),IF(K19="Pula",0,IF(B19=B18,0,($D$9)*E18)),((1+$D$9)^(N19/_xlfn.DAYS(EDATE(B18,1),B18))-1)*E18),"")</f>
        <v>1383.5035679057178</v>
      </c>
      <c r="E19" s="177">
        <f t="shared" ref="E19:E82" ca="1" si="8">IFERROR(IF(OR(J19="Carencia",K19="Pula"),E18+D19+SUM(F19:H19),(E18-C19)),"")</f>
        <v>189622.82548822611</v>
      </c>
      <c r="F19" s="178">
        <f t="shared" ref="F19:F82" ca="1" si="9">IFERROR(IF(OR(AND(DAY(B19)=DAY(B18),MONTH(B19)&lt;&gt;MONTH(B18)),MONTH(B19)&lt;&gt;MONTH(B18)),IF(K19="Pula",0,E18*$I$7),""),"")</f>
        <v>39.511183054825771</v>
      </c>
      <c r="G19" s="178">
        <f t="shared" ref="G19:G82" ca="1" si="10">IFERROR(IF(OR(AND(DAY(B19)=DAY(B18),MONTH(B19)&lt;&gt;MONTH(B18)),MONTH(B19)&lt;&gt;MONTH(B18)),IF(K19="Pula",0,$C$11*$I$8),0),"")</f>
        <v>26.319999999999997</v>
      </c>
      <c r="H19" s="177">
        <f t="shared" ref="H19:H82" ca="1" si="11">IFERROR(IF(OR(AND(DAY(B19)=DAY(B18),MONTH(B19)&lt;&gt;MONTH(B18)),MONTH(B19)&lt;&gt;MONTH(B18)),IF(K19="Pula",0,$I$10),0),"")</f>
        <v>25</v>
      </c>
      <c r="I19" s="25">
        <f t="shared" ref="I19:I82" ca="1" si="12">IFERROR(IF(OR(J19="Carencia",K19="Pula"),0,SUM(C19:D19,F19:H19)),"")</f>
        <v>0</v>
      </c>
      <c r="J19" s="9" t="str">
        <f ca="1">'PRICE_IOF Ñ USAR'!J19</f>
        <v>Carencia</v>
      </c>
      <c r="K19" s="9" t="str">
        <f ca="1">'PRICE_IOF Ñ USAR'!K19</f>
        <v/>
      </c>
      <c r="L19" s="9">
        <f ca="1">'PRICE_IOF Ñ USAR'!L19</f>
        <v>7</v>
      </c>
      <c r="N19" s="176">
        <f t="shared" ref="N19:N82" ca="1" si="13">IFERROR(B19-B18,"")</f>
        <v>24</v>
      </c>
      <c r="O19" s="176">
        <f ca="1">N19</f>
        <v>24</v>
      </c>
      <c r="P19" s="175">
        <f t="shared" ca="1" si="0"/>
        <v>0</v>
      </c>
      <c r="Q19" s="11" t="str">
        <f t="shared" ca="1" si="1"/>
        <v/>
      </c>
      <c r="R19" s="12" t="str">
        <f t="shared" ca="1" si="2"/>
        <v/>
      </c>
      <c r="S19" s="513"/>
      <c r="U19" s="31">
        <f ca="1">NPV(C9,U20:U339)</f>
        <v>190069.96876458777</v>
      </c>
      <c r="V19" s="31">
        <f ca="1">IF(A19=1,0,"")</f>
        <v>0</v>
      </c>
      <c r="X19" s="63">
        <f t="shared" ca="1" si="3"/>
        <v>1</v>
      </c>
      <c r="Y19" s="61">
        <f t="shared" ca="1" si="4"/>
        <v>44752</v>
      </c>
      <c r="Z19" s="31">
        <f t="shared" ref="Z19:Z82" ca="1" si="14">IFERROR(IF(OR(AC19="Carencia",AD19="Pula"),0,$L$7-AA19),"")</f>
        <v>0</v>
      </c>
      <c r="AA19" s="31">
        <f ca="1">IF(AND(DAY(Y19)=DAY(Y18),MONTH(Y19)&lt;&gt;MONTH(Y18)),($D$9)*AB18,((1+$D$9)^(N19/_xlfn.DAYS(EDATE(Y18,1),Y18))-1)*AB18)</f>
        <v>1383.5035679057178</v>
      </c>
      <c r="AB19" s="31">
        <f t="shared" ref="AB19:AB82" ca="1" si="15">IFERROR(IF(OR(AC19="Carencia",AD19="Pula"),AB18,(AB18-Z19)),"")</f>
        <v>188148.49073726556</v>
      </c>
      <c r="AC19" t="str">
        <f t="shared" ca="1" si="5"/>
        <v>Carencia</v>
      </c>
      <c r="AD19" t="str">
        <f t="shared" ca="1" si="6"/>
        <v/>
      </c>
    </row>
    <row r="20" spans="1:30">
      <c r="A20" s="180">
        <f ca="1">'PRICE_IOF Ñ USAR'!A20</f>
        <v>2</v>
      </c>
      <c r="B20" s="179">
        <f ca="1">'PRICE_IOF Ñ USAR'!B20</f>
        <v>44783</v>
      </c>
      <c r="C20" s="177">
        <f t="shared" ca="1" si="7"/>
        <v>0</v>
      </c>
      <c r="D20" s="24">
        <f t="shared" ref="D20:D83" ca="1" si="16">IFERROR(IF(DAY(B20)=DAY(B19),IF(K20="Pula",0,($D$9)*E19),IF(AND(K20="Pula",J20=""),0,IF(AND($F$3=30,OR(AND(DAY(B19)=28,MONTH(B19)=2),AND(DAY(B19)=29,MONTH(B19)=2))),$D$9*E19,$D$9*E19))),"")</f>
        <v>1744.529997567141</v>
      </c>
      <c r="E20" s="177">
        <f t="shared" ca="1" si="8"/>
        <v>191458.49627914579</v>
      </c>
      <c r="F20" s="178">
        <f t="shared" ca="1" si="9"/>
        <v>39.820793352527488</v>
      </c>
      <c r="G20" s="178">
        <f t="shared" ca="1" si="10"/>
        <v>26.319999999999997</v>
      </c>
      <c r="H20" s="177">
        <f t="shared" ca="1" si="11"/>
        <v>25</v>
      </c>
      <c r="I20" s="25">
        <f t="shared" ca="1" si="12"/>
        <v>0</v>
      </c>
      <c r="J20" s="9" t="str">
        <f ca="1">'PRICE_IOF Ñ USAR'!J20</f>
        <v>Carencia</v>
      </c>
      <c r="K20" s="9" t="str">
        <f ca="1">'PRICE_IOF Ñ USAR'!K20</f>
        <v/>
      </c>
      <c r="L20" s="9">
        <f ca="1">'PRICE_IOF Ñ USAR'!L20</f>
        <v>8</v>
      </c>
      <c r="N20" s="176">
        <f t="shared" ca="1" si="13"/>
        <v>31</v>
      </c>
      <c r="O20" s="176">
        <f t="shared" ref="O20:O83" ca="1" si="17">IFERROR(N20+O19,"")</f>
        <v>55</v>
      </c>
      <c r="P20" s="175">
        <f t="shared" ca="1" si="0"/>
        <v>0</v>
      </c>
      <c r="Q20" s="11" t="str">
        <f t="shared" ca="1" si="1"/>
        <v/>
      </c>
      <c r="R20" s="12" t="str">
        <f t="shared" ca="1" si="2"/>
        <v/>
      </c>
      <c r="S20" s="513"/>
      <c r="U20" s="31">
        <f t="shared" ref="U20:U83" ca="1" si="18">IFERROR(IF(OR(J20="Carencia",K20="Pula"),0,C20+D20),"")</f>
        <v>0</v>
      </c>
      <c r="V20" s="31">
        <f t="shared" ref="V20:V83" ca="1" si="19">IFERROR(I20,0)</f>
        <v>0</v>
      </c>
      <c r="X20" s="58">
        <f t="shared" ca="1" si="3"/>
        <v>2</v>
      </c>
      <c r="Y20" s="61">
        <f t="shared" ca="1" si="4"/>
        <v>44783</v>
      </c>
      <c r="Z20" s="31">
        <f t="shared" ca="1" si="14"/>
        <v>0</v>
      </c>
      <c r="AA20" s="31">
        <f t="shared" ref="AA20:AA83" ca="1" si="20">IF(AND(DAY(Y20)=DAY(Y19),MONTH(Y20)&lt;&gt;MONTH(Y19)),IF(AH20="Pula",0,($D$9))*AB19,((1+$D$9)^(N20/_xlfn.DAYS(EDATE(Y19,1),Y19))-1)*AB19)</f>
        <v>1730.9661178343918</v>
      </c>
      <c r="AB20" s="31">
        <f t="shared" ca="1" si="15"/>
        <v>188148.49073726556</v>
      </c>
      <c r="AC20" t="str">
        <f t="shared" ca="1" si="5"/>
        <v>Carencia</v>
      </c>
      <c r="AD20" t="str">
        <f t="shared" ca="1" si="6"/>
        <v/>
      </c>
    </row>
    <row r="21" spans="1:30">
      <c r="A21" s="180">
        <f ca="1">'PRICE_IOF Ñ USAR'!A21</f>
        <v>3</v>
      </c>
      <c r="B21" s="179">
        <f ca="1">'PRICE_IOF Ñ USAR'!B21</f>
        <v>44814</v>
      </c>
      <c r="C21" s="177">
        <f t="shared" ca="1" si="7"/>
        <v>0</v>
      </c>
      <c r="D21" s="24">
        <f t="shared" ca="1" si="16"/>
        <v>1761.4181688733745</v>
      </c>
      <c r="E21" s="177">
        <f t="shared" ca="1" si="8"/>
        <v>193311.4407322378</v>
      </c>
      <c r="F21" s="178">
        <f t="shared" ca="1" si="9"/>
        <v>40.206284218620617</v>
      </c>
      <c r="G21" s="178">
        <f t="shared" ca="1" si="10"/>
        <v>26.319999999999997</v>
      </c>
      <c r="H21" s="177">
        <f t="shared" ca="1" si="11"/>
        <v>25</v>
      </c>
      <c r="I21" s="25">
        <f t="shared" ca="1" si="12"/>
        <v>0</v>
      </c>
      <c r="J21" s="9" t="str">
        <f ca="1">'PRICE_IOF Ñ USAR'!J21</f>
        <v>Carencia</v>
      </c>
      <c r="K21" s="9" t="str">
        <f ca="1">'PRICE_IOF Ñ USAR'!K21</f>
        <v/>
      </c>
      <c r="L21" s="9">
        <f ca="1">'PRICE_IOF Ñ USAR'!L21</f>
        <v>9</v>
      </c>
      <c r="N21" s="176">
        <f t="shared" ca="1" si="13"/>
        <v>31</v>
      </c>
      <c r="O21" s="176">
        <f t="shared" ca="1" si="17"/>
        <v>86</v>
      </c>
      <c r="P21" s="175">
        <f t="shared" ca="1" si="0"/>
        <v>0</v>
      </c>
      <c r="Q21" s="11" t="str">
        <f t="shared" ca="1" si="1"/>
        <v/>
      </c>
      <c r="R21" s="12" t="str">
        <f t="shared" ca="1" si="2"/>
        <v/>
      </c>
      <c r="S21" s="513"/>
      <c r="U21" s="31">
        <f t="shared" ca="1" si="18"/>
        <v>0</v>
      </c>
      <c r="V21" s="31">
        <f t="shared" ca="1" si="19"/>
        <v>0</v>
      </c>
      <c r="X21" s="58">
        <f t="shared" ca="1" si="3"/>
        <v>3</v>
      </c>
      <c r="Y21" s="61">
        <f t="shared" ca="1" si="4"/>
        <v>44814</v>
      </c>
      <c r="Z21" s="31">
        <f t="shared" ca="1" si="14"/>
        <v>0</v>
      </c>
      <c r="AA21" s="31">
        <f t="shared" ca="1" si="20"/>
        <v>1730.9661178343918</v>
      </c>
      <c r="AB21" s="31">
        <f t="shared" ca="1" si="15"/>
        <v>188148.49073726556</v>
      </c>
      <c r="AC21" t="str">
        <f t="shared" ca="1" si="5"/>
        <v>Carencia</v>
      </c>
      <c r="AD21" t="str">
        <f t="shared" ca="1" si="6"/>
        <v/>
      </c>
    </row>
    <row r="22" spans="1:30">
      <c r="A22" s="180">
        <f ca="1">'PRICE_IOF Ñ USAR'!A22</f>
        <v>4</v>
      </c>
      <c r="B22" s="179">
        <f ca="1">'PRICE_IOF Ñ USAR'!B22</f>
        <v>44844</v>
      </c>
      <c r="C22" s="177">
        <f t="shared" ca="1" si="7"/>
        <v>0</v>
      </c>
      <c r="D22" s="24">
        <f t="shared" ca="1" si="16"/>
        <v>1778.4652578718735</v>
      </c>
      <c r="E22" s="177">
        <f t="shared" ca="1" si="8"/>
        <v>195181.82139266343</v>
      </c>
      <c r="F22" s="178">
        <f t="shared" ca="1" si="9"/>
        <v>40.595402553769937</v>
      </c>
      <c r="G22" s="178">
        <f t="shared" ca="1" si="10"/>
        <v>26.319999999999997</v>
      </c>
      <c r="H22" s="177">
        <f t="shared" ca="1" si="11"/>
        <v>25</v>
      </c>
      <c r="I22" s="25">
        <f t="shared" ca="1" si="12"/>
        <v>0</v>
      </c>
      <c r="J22" s="9" t="str">
        <f ca="1">'PRICE_IOF Ñ USAR'!J22</f>
        <v>Carencia</v>
      </c>
      <c r="K22" s="9" t="str">
        <f ca="1">'PRICE_IOF Ñ USAR'!K22</f>
        <v/>
      </c>
      <c r="L22" s="9">
        <f ca="1">'PRICE_IOF Ñ USAR'!L22</f>
        <v>10</v>
      </c>
      <c r="N22" s="176">
        <f t="shared" ca="1" si="13"/>
        <v>30</v>
      </c>
      <c r="O22" s="176">
        <f t="shared" ca="1" si="17"/>
        <v>116</v>
      </c>
      <c r="P22" s="175">
        <f t="shared" ca="1" si="0"/>
        <v>0</v>
      </c>
      <c r="Q22" s="11" t="str">
        <f t="shared" ca="1" si="1"/>
        <v/>
      </c>
      <c r="R22" s="12" t="str">
        <f t="shared" ca="1" si="2"/>
        <v/>
      </c>
      <c r="S22" s="513"/>
      <c r="U22" s="31">
        <f t="shared" ca="1" si="18"/>
        <v>0</v>
      </c>
      <c r="V22" s="31">
        <f t="shared" ca="1" si="19"/>
        <v>0</v>
      </c>
      <c r="X22" s="58">
        <f t="shared" ca="1" si="3"/>
        <v>4</v>
      </c>
      <c r="Y22" s="61">
        <f t="shared" ca="1" si="4"/>
        <v>44844</v>
      </c>
      <c r="Z22" s="31">
        <f t="shared" ca="1" si="14"/>
        <v>0</v>
      </c>
      <c r="AA22" s="31">
        <f t="shared" ca="1" si="20"/>
        <v>1730.9661178343918</v>
      </c>
      <c r="AB22" s="31">
        <f t="shared" ca="1" si="15"/>
        <v>188148.49073726556</v>
      </c>
      <c r="AC22" t="str">
        <f t="shared" ca="1" si="5"/>
        <v>Carencia</v>
      </c>
      <c r="AD22" t="str">
        <f t="shared" ca="1" si="6"/>
        <v/>
      </c>
    </row>
    <row r="23" spans="1:30">
      <c r="A23" s="180">
        <f ca="1">'PRICE_IOF Ñ USAR'!A23</f>
        <v>5</v>
      </c>
      <c r="B23" s="179">
        <f ca="1">'PRICE_IOF Ñ USAR'!B23</f>
        <v>44875</v>
      </c>
      <c r="C23" s="177">
        <f t="shared" ca="1" si="7"/>
        <v>0</v>
      </c>
      <c r="D23" s="24">
        <f t="shared" ca="1" si="16"/>
        <v>1795.6727599781248</v>
      </c>
      <c r="E23" s="177">
        <f t="shared" ca="1" si="8"/>
        <v>197069.80233513404</v>
      </c>
      <c r="F23" s="178">
        <f t="shared" ca="1" si="9"/>
        <v>40.988182492459323</v>
      </c>
      <c r="G23" s="178">
        <f t="shared" ca="1" si="10"/>
        <v>26.319999999999997</v>
      </c>
      <c r="H23" s="177">
        <f t="shared" ca="1" si="11"/>
        <v>25</v>
      </c>
      <c r="I23" s="25">
        <f t="shared" ca="1" si="12"/>
        <v>0</v>
      </c>
      <c r="J23" s="9" t="str">
        <f ca="1">'PRICE_IOF Ñ USAR'!J23</f>
        <v>Carencia</v>
      </c>
      <c r="K23" s="9" t="str">
        <f ca="1">'PRICE_IOF Ñ USAR'!K23</f>
        <v/>
      </c>
      <c r="L23" s="9">
        <f ca="1">'PRICE_IOF Ñ USAR'!L23</f>
        <v>11</v>
      </c>
      <c r="N23" s="176">
        <f t="shared" ca="1" si="13"/>
        <v>31</v>
      </c>
      <c r="O23" s="176">
        <f t="shared" ca="1" si="17"/>
        <v>147</v>
      </c>
      <c r="P23" s="175">
        <f t="shared" ca="1" si="0"/>
        <v>0</v>
      </c>
      <c r="Q23" s="11" t="str">
        <f t="shared" ca="1" si="1"/>
        <v/>
      </c>
      <c r="R23" s="12" t="str">
        <f t="shared" ca="1" si="2"/>
        <v/>
      </c>
      <c r="S23" s="513"/>
      <c r="U23" s="31">
        <f t="shared" ca="1" si="18"/>
        <v>0</v>
      </c>
      <c r="V23" s="31">
        <f t="shared" ca="1" si="19"/>
        <v>0</v>
      </c>
      <c r="X23" s="58">
        <f t="shared" ca="1" si="3"/>
        <v>5</v>
      </c>
      <c r="Y23" s="61">
        <f t="shared" ca="1" si="4"/>
        <v>44875</v>
      </c>
      <c r="Z23" s="31">
        <f t="shared" ca="1" si="14"/>
        <v>0</v>
      </c>
      <c r="AA23" s="31">
        <f t="shared" ca="1" si="20"/>
        <v>1730.9661178343918</v>
      </c>
      <c r="AB23" s="31">
        <f t="shared" ca="1" si="15"/>
        <v>188148.49073726556</v>
      </c>
      <c r="AC23" t="str">
        <f t="shared" ca="1" si="5"/>
        <v>Carencia</v>
      </c>
      <c r="AD23" t="str">
        <f t="shared" ca="1" si="6"/>
        <v/>
      </c>
    </row>
    <row r="24" spans="1:30">
      <c r="A24" s="180">
        <f ca="1">'PRICE_IOF Ñ USAR'!A24</f>
        <v>6</v>
      </c>
      <c r="B24" s="179">
        <f ca="1">'PRICE_IOF Ñ USAR'!B24</f>
        <v>44905</v>
      </c>
      <c r="C24" s="177">
        <f t="shared" ca="1" si="7"/>
        <v>0</v>
      </c>
      <c r="D24" s="24">
        <f t="shared" ca="1" si="16"/>
        <v>1813.0421846794752</v>
      </c>
      <c r="E24" s="177">
        <f t="shared" ca="1" si="8"/>
        <v>198975.54917830389</v>
      </c>
      <c r="F24" s="178">
        <f t="shared" ca="1" si="9"/>
        <v>41.38465849037815</v>
      </c>
      <c r="G24" s="178">
        <f t="shared" ca="1" si="10"/>
        <v>26.319999999999997</v>
      </c>
      <c r="H24" s="177">
        <f t="shared" ca="1" si="11"/>
        <v>25</v>
      </c>
      <c r="I24" s="25">
        <f t="shared" ca="1" si="12"/>
        <v>0</v>
      </c>
      <c r="J24" s="9" t="str">
        <f ca="1">'PRICE_IOF Ñ USAR'!J24</f>
        <v>Carencia</v>
      </c>
      <c r="K24" s="9" t="str">
        <f ca="1">'PRICE_IOF Ñ USAR'!K24</f>
        <v/>
      </c>
      <c r="L24" s="9">
        <f ca="1">'PRICE_IOF Ñ USAR'!L24</f>
        <v>12</v>
      </c>
      <c r="N24" s="176">
        <f t="shared" ca="1" si="13"/>
        <v>30</v>
      </c>
      <c r="O24" s="176">
        <f t="shared" ca="1" si="17"/>
        <v>177</v>
      </c>
      <c r="P24" s="175">
        <f t="shared" ca="1" si="0"/>
        <v>0</v>
      </c>
      <c r="Q24" s="11" t="str">
        <f t="shared" ca="1" si="1"/>
        <v/>
      </c>
      <c r="R24" s="12" t="str">
        <f t="shared" ca="1" si="2"/>
        <v/>
      </c>
      <c r="S24" s="513"/>
      <c r="U24" s="31">
        <f t="shared" ca="1" si="18"/>
        <v>0</v>
      </c>
      <c r="V24" s="31">
        <f t="shared" ca="1" si="19"/>
        <v>0</v>
      </c>
      <c r="X24" s="58">
        <f t="shared" ca="1" si="3"/>
        <v>6</v>
      </c>
      <c r="Y24" s="61">
        <f t="shared" ca="1" si="4"/>
        <v>44905</v>
      </c>
      <c r="Z24" s="31">
        <f t="shared" ca="1" si="14"/>
        <v>0</v>
      </c>
      <c r="AA24" s="31">
        <f t="shared" ca="1" si="20"/>
        <v>1730.9661178343918</v>
      </c>
      <c r="AB24" s="31">
        <f t="shared" ca="1" si="15"/>
        <v>188148.49073726556</v>
      </c>
      <c r="AC24" t="str">
        <f t="shared" ca="1" si="5"/>
        <v>Carencia</v>
      </c>
      <c r="AD24" t="str">
        <f t="shared" ca="1" si="6"/>
        <v/>
      </c>
    </row>
    <row r="25" spans="1:30">
      <c r="A25" s="180">
        <f ca="1">'PRICE_IOF Ñ USAR'!A25</f>
        <v>7</v>
      </c>
      <c r="B25" s="179">
        <f ca="1">'PRICE_IOF Ñ USAR'!B25</f>
        <v>44936</v>
      </c>
      <c r="C25" s="177">
        <f t="shared" ca="1" si="7"/>
        <v>275.79543295543954</v>
      </c>
      <c r="D25" s="24">
        <f t="shared" ca="1" si="16"/>
        <v>1830.5750556675466</v>
      </c>
      <c r="E25" s="177">
        <f t="shared" ca="1" si="8"/>
        <v>198699.75374534845</v>
      </c>
      <c r="F25" s="178">
        <f t="shared" ca="1" si="9"/>
        <v>41.784865327443818</v>
      </c>
      <c r="G25" s="178">
        <f t="shared" ca="1" si="10"/>
        <v>26.319999999999997</v>
      </c>
      <c r="H25" s="177">
        <f t="shared" ca="1" si="11"/>
        <v>25</v>
      </c>
      <c r="I25" s="25">
        <f t="shared" ca="1" si="12"/>
        <v>2199.47535395043</v>
      </c>
      <c r="J25" s="9" t="str">
        <f ca="1">'PRICE_IOF Ñ USAR'!J25</f>
        <v/>
      </c>
      <c r="K25" s="9" t="str">
        <f ca="1">'PRICE_IOF Ñ USAR'!K25</f>
        <v/>
      </c>
      <c r="L25" s="9">
        <f ca="1">'PRICE_IOF Ñ USAR'!L25</f>
        <v>1</v>
      </c>
      <c r="N25" s="176">
        <f t="shared" ca="1" si="13"/>
        <v>31</v>
      </c>
      <c r="O25" s="176">
        <f t="shared" ca="1" si="17"/>
        <v>208</v>
      </c>
      <c r="P25" s="175">
        <f t="shared" ca="1" si="0"/>
        <v>1092.8305629529336</v>
      </c>
      <c r="Q25" s="11">
        <f t="shared" ca="1" si="1"/>
        <v>1.7056000000000002E-2</v>
      </c>
      <c r="R25" s="12">
        <f t="shared" ca="1" si="2"/>
        <v>18.639318081725239</v>
      </c>
      <c r="S25" s="513"/>
      <c r="U25" s="31">
        <f t="shared" ca="1" si="18"/>
        <v>2106.3704886229862</v>
      </c>
      <c r="V25" s="31">
        <f t="shared" ca="1" si="19"/>
        <v>2199.47535395043</v>
      </c>
      <c r="X25" s="58">
        <f t="shared" ca="1" si="3"/>
        <v>7</v>
      </c>
      <c r="Y25" s="61">
        <f t="shared" ca="1" si="4"/>
        <v>44936</v>
      </c>
      <c r="Z25" s="31">
        <f t="shared" ca="1" si="14"/>
        <v>1092.8305629529336</v>
      </c>
      <c r="AA25" s="31">
        <f t="shared" ca="1" si="20"/>
        <v>1730.9661178343918</v>
      </c>
      <c r="AB25" s="31">
        <f t="shared" ca="1" si="15"/>
        <v>187055.66017431262</v>
      </c>
      <c r="AC25" t="str">
        <f t="shared" ca="1" si="5"/>
        <v/>
      </c>
      <c r="AD25" t="str">
        <f t="shared" ca="1" si="6"/>
        <v/>
      </c>
    </row>
    <row r="26" spans="1:30">
      <c r="A26" s="180">
        <f ca="1">'PRICE_IOF Ñ USAR'!A26</f>
        <v>8</v>
      </c>
      <c r="B26" s="179">
        <f ca="1">'PRICE_IOF Ñ USAR'!B26</f>
        <v>44967</v>
      </c>
      <c r="C26" s="177">
        <f t="shared" ca="1" si="7"/>
        <v>278.33275094310261</v>
      </c>
      <c r="D26" s="24">
        <f t="shared" ca="1" si="16"/>
        <v>1828.0377376798835</v>
      </c>
      <c r="E26" s="177">
        <f t="shared" ca="1" si="8"/>
        <v>198421.42099440534</v>
      </c>
      <c r="F26" s="178">
        <f t="shared" ca="1" si="9"/>
        <v>41.726948286523175</v>
      </c>
      <c r="G26" s="178">
        <f t="shared" ca="1" si="10"/>
        <v>26.319999999999997</v>
      </c>
      <c r="H26" s="177">
        <f t="shared" ca="1" si="11"/>
        <v>25</v>
      </c>
      <c r="I26" s="25">
        <f t="shared" ca="1" si="12"/>
        <v>2199.4174369095094</v>
      </c>
      <c r="J26" s="9" t="str">
        <f ca="1">'PRICE_IOF Ñ USAR'!J26</f>
        <v/>
      </c>
      <c r="K26" s="9" t="str">
        <f ca="1">'PRICE_IOF Ñ USAR'!K26</f>
        <v/>
      </c>
      <c r="L26" s="9">
        <f ca="1">'PRICE_IOF Ñ USAR'!L26</f>
        <v>2</v>
      </c>
      <c r="N26" s="176">
        <f t="shared" ca="1" si="13"/>
        <v>31</v>
      </c>
      <c r="O26" s="176">
        <f t="shared" ca="1" si="17"/>
        <v>239</v>
      </c>
      <c r="P26" s="175">
        <f t="shared" ca="1" si="0"/>
        <v>1102.884604149825</v>
      </c>
      <c r="Q26" s="11">
        <f t="shared" ca="1" si="1"/>
        <v>1.9598000000000001E-2</v>
      </c>
      <c r="R26" s="12">
        <f t="shared" ca="1" si="2"/>
        <v>21.614332472128272</v>
      </c>
      <c r="S26" s="513"/>
      <c r="U26" s="31">
        <f t="shared" ca="1" si="18"/>
        <v>2106.3704886229862</v>
      </c>
      <c r="V26" s="31">
        <f t="shared" ca="1" si="19"/>
        <v>2199.4174369095094</v>
      </c>
      <c r="X26" s="58">
        <f t="shared" ca="1" si="3"/>
        <v>8</v>
      </c>
      <c r="Y26" s="61">
        <f t="shared" ca="1" si="4"/>
        <v>44967</v>
      </c>
      <c r="Z26" s="31">
        <f t="shared" ca="1" si="14"/>
        <v>1102.884604149825</v>
      </c>
      <c r="AA26" s="31">
        <f t="shared" ca="1" si="20"/>
        <v>1720.9120766375004</v>
      </c>
      <c r="AB26" s="31">
        <f t="shared" ca="1" si="15"/>
        <v>185952.7755701628</v>
      </c>
      <c r="AC26" t="str">
        <f t="shared" ca="1" si="5"/>
        <v/>
      </c>
      <c r="AD26" t="str">
        <f t="shared" ca="1" si="6"/>
        <v/>
      </c>
    </row>
    <row r="27" spans="1:30">
      <c r="A27" s="180">
        <f ca="1">'PRICE_IOF Ñ USAR'!A27</f>
        <v>9</v>
      </c>
      <c r="B27" s="179">
        <f ca="1">'PRICE_IOF Ñ USAR'!B27</f>
        <v>44995</v>
      </c>
      <c r="C27" s="177">
        <f t="shared" ca="1" si="7"/>
        <v>280.89341225629346</v>
      </c>
      <c r="D27" s="24">
        <f t="shared" ca="1" si="16"/>
        <v>1825.4770763666927</v>
      </c>
      <c r="E27" s="177">
        <f t="shared" ca="1" si="8"/>
        <v>198140.52758214905</v>
      </c>
      <c r="F27" s="178">
        <f t="shared" ca="1" si="9"/>
        <v>41.668498408825123</v>
      </c>
      <c r="G27" s="178">
        <f t="shared" ca="1" si="10"/>
        <v>26.319999999999997</v>
      </c>
      <c r="H27" s="177">
        <f t="shared" ca="1" si="11"/>
        <v>25</v>
      </c>
      <c r="I27" s="25">
        <f t="shared" ca="1" si="12"/>
        <v>2199.3589870318115</v>
      </c>
      <c r="J27" s="9" t="str">
        <f ca="1">'PRICE_IOF Ñ USAR'!J27</f>
        <v/>
      </c>
      <c r="K27" s="9" t="str">
        <f ca="1">'PRICE_IOF Ñ USAR'!K27</f>
        <v/>
      </c>
      <c r="L27" s="9">
        <f ca="1">'PRICE_IOF Ñ USAR'!L27</f>
        <v>3</v>
      </c>
      <c r="N27" s="176">
        <f t="shared" ca="1" si="13"/>
        <v>28</v>
      </c>
      <c r="O27" s="176">
        <f t="shared" ca="1" si="17"/>
        <v>267</v>
      </c>
      <c r="P27" s="175">
        <f t="shared" ca="1" si="0"/>
        <v>1113.0311425258908</v>
      </c>
      <c r="Q27" s="11">
        <f t="shared" ca="1" si="1"/>
        <v>2.1894E-2</v>
      </c>
      <c r="R27" s="12">
        <f t="shared" ca="1" si="2"/>
        <v>24.368703834461854</v>
      </c>
      <c r="S27" s="513"/>
      <c r="U27" s="31">
        <f t="shared" ca="1" si="18"/>
        <v>2106.3704886229862</v>
      </c>
      <c r="V27" s="31">
        <f t="shared" ca="1" si="19"/>
        <v>2199.3589870318115</v>
      </c>
      <c r="X27" s="58">
        <f t="shared" ca="1" si="3"/>
        <v>9</v>
      </c>
      <c r="Y27" s="61">
        <f t="shared" ca="1" si="4"/>
        <v>44995</v>
      </c>
      <c r="Z27" s="31">
        <f t="shared" ca="1" si="14"/>
        <v>1113.0311425258908</v>
      </c>
      <c r="AA27" s="31">
        <f t="shared" ca="1" si="20"/>
        <v>1710.7655382614346</v>
      </c>
      <c r="AB27" s="31">
        <f t="shared" ca="1" si="15"/>
        <v>184839.74442763691</v>
      </c>
      <c r="AC27" t="str">
        <f t="shared" ca="1" si="5"/>
        <v/>
      </c>
      <c r="AD27" t="str">
        <f t="shared" ca="1" si="6"/>
        <v/>
      </c>
    </row>
    <row r="28" spans="1:30">
      <c r="A28" s="180">
        <f ca="1">'PRICE_IOF Ñ USAR'!A28</f>
        <v>10</v>
      </c>
      <c r="B28" s="179">
        <f ca="1">'PRICE_IOF Ñ USAR'!B28</f>
        <v>45026</v>
      </c>
      <c r="C28" s="177">
        <f t="shared" ca="1" si="7"/>
        <v>283.47763165360698</v>
      </c>
      <c r="D28" s="24">
        <f t="shared" ca="1" si="16"/>
        <v>1822.8928569693792</v>
      </c>
      <c r="E28" s="177">
        <f t="shared" ca="1" si="8"/>
        <v>197857.04995049545</v>
      </c>
      <c r="F28" s="178">
        <f t="shared" ca="1" si="9"/>
        <v>41.609510792251299</v>
      </c>
      <c r="G28" s="178">
        <f t="shared" ca="1" si="10"/>
        <v>26.319999999999997</v>
      </c>
      <c r="H28" s="177">
        <f t="shared" ca="1" si="11"/>
        <v>25</v>
      </c>
      <c r="I28" s="25">
        <f t="shared" ca="1" si="12"/>
        <v>2199.2999994152378</v>
      </c>
      <c r="J28" s="9" t="str">
        <f ca="1">'PRICE_IOF Ñ USAR'!J28</f>
        <v/>
      </c>
      <c r="K28" s="9" t="str">
        <f ca="1">'PRICE_IOF Ñ USAR'!K28</f>
        <v/>
      </c>
      <c r="L28" s="9">
        <f ca="1">'PRICE_IOF Ñ USAR'!L28</f>
        <v>4</v>
      </c>
      <c r="N28" s="176">
        <f t="shared" ca="1" si="13"/>
        <v>31</v>
      </c>
      <c r="O28" s="176">
        <f t="shared" ca="1" si="17"/>
        <v>298</v>
      </c>
      <c r="P28" s="175">
        <f t="shared" ca="1" si="0"/>
        <v>1123.2710290551811</v>
      </c>
      <c r="Q28" s="11">
        <f t="shared" ca="1" si="1"/>
        <v>2.4435999999999999E-2</v>
      </c>
      <c r="R28" s="12">
        <f t="shared" ca="1" si="2"/>
        <v>27.448250865992403</v>
      </c>
      <c r="S28" s="513"/>
      <c r="U28" s="31">
        <f t="shared" ca="1" si="18"/>
        <v>2106.3704886229862</v>
      </c>
      <c r="V28" s="31">
        <f t="shared" ca="1" si="19"/>
        <v>2199.2999994152378</v>
      </c>
      <c r="X28" s="58">
        <f t="shared" ca="1" si="3"/>
        <v>10</v>
      </c>
      <c r="Y28" s="61">
        <f t="shared" ca="1" si="4"/>
        <v>45026</v>
      </c>
      <c r="Z28" s="31">
        <f t="shared" ca="1" si="14"/>
        <v>1123.2710290551811</v>
      </c>
      <c r="AA28" s="31">
        <f t="shared" ca="1" si="20"/>
        <v>1700.5256517321443</v>
      </c>
      <c r="AB28" s="31">
        <f t="shared" ca="1" si="15"/>
        <v>183716.47339858173</v>
      </c>
      <c r="AC28" t="str">
        <f t="shared" ca="1" si="5"/>
        <v/>
      </c>
      <c r="AD28" t="str">
        <f t="shared" ca="1" si="6"/>
        <v/>
      </c>
    </row>
    <row r="29" spans="1:30">
      <c r="A29" s="180">
        <f ca="1">'PRICE_IOF Ñ USAR'!A29</f>
        <v>11</v>
      </c>
      <c r="B29" s="179">
        <f ca="1">'PRICE_IOF Ñ USAR'!B29</f>
        <v>45056</v>
      </c>
      <c r="C29" s="177">
        <f t="shared" ca="1" si="7"/>
        <v>286.08562586941775</v>
      </c>
      <c r="D29" s="24">
        <f t="shared" ca="1" si="16"/>
        <v>1820.2848627535684</v>
      </c>
      <c r="E29" s="177">
        <f t="shared" ca="1" si="8"/>
        <v>197570.96432462602</v>
      </c>
      <c r="F29" s="178">
        <f t="shared" ca="1" si="9"/>
        <v>41.549980489604046</v>
      </c>
      <c r="G29" s="178">
        <f t="shared" ca="1" si="10"/>
        <v>26.319999999999997</v>
      </c>
      <c r="H29" s="177">
        <f t="shared" ca="1" si="11"/>
        <v>25</v>
      </c>
      <c r="I29" s="25">
        <f t="shared" ca="1" si="12"/>
        <v>2199.2404691125903</v>
      </c>
      <c r="J29" s="9" t="str">
        <f ca="1">'PRICE_IOF Ñ USAR'!J29</f>
        <v/>
      </c>
      <c r="K29" s="9" t="str">
        <f ca="1">'PRICE_IOF Ñ USAR'!K29</f>
        <v/>
      </c>
      <c r="L29" s="9">
        <f ca="1">'PRICE_IOF Ñ USAR'!L29</f>
        <v>5</v>
      </c>
      <c r="N29" s="176">
        <f t="shared" ca="1" si="13"/>
        <v>30</v>
      </c>
      <c r="O29" s="176">
        <f t="shared" ca="1" si="17"/>
        <v>328</v>
      </c>
      <c r="P29" s="175">
        <f t="shared" ca="1" si="0"/>
        <v>1133.6051225407068</v>
      </c>
      <c r="Q29" s="11">
        <f t="shared" ca="1" si="1"/>
        <v>2.6896E-2</v>
      </c>
      <c r="R29" s="12">
        <f t="shared" ca="1" si="2"/>
        <v>30.489443375854851</v>
      </c>
      <c r="S29" s="513"/>
      <c r="U29" s="31">
        <f t="shared" ca="1" si="18"/>
        <v>2106.3704886229862</v>
      </c>
      <c r="V29" s="31">
        <f t="shared" ca="1" si="19"/>
        <v>2199.2404691125903</v>
      </c>
      <c r="X29" s="58">
        <f t="shared" ca="1" si="3"/>
        <v>11</v>
      </c>
      <c r="Y29" s="61">
        <f t="shared" ca="1" si="4"/>
        <v>45056</v>
      </c>
      <c r="Z29" s="31">
        <f t="shared" ca="1" si="14"/>
        <v>1133.6051225407068</v>
      </c>
      <c r="AA29" s="31">
        <f t="shared" ca="1" si="20"/>
        <v>1690.1915582466186</v>
      </c>
      <c r="AB29" s="31">
        <f t="shared" ca="1" si="15"/>
        <v>182582.86827604103</v>
      </c>
      <c r="AC29" t="str">
        <f t="shared" ca="1" si="5"/>
        <v/>
      </c>
      <c r="AD29" t="str">
        <f t="shared" ca="1" si="6"/>
        <v/>
      </c>
    </row>
    <row r="30" spans="1:30">
      <c r="A30" s="180">
        <f ca="1">'PRICE_IOF Ñ USAR'!A30</f>
        <v>12</v>
      </c>
      <c r="B30" s="179">
        <f ca="1">'PRICE_IOF Ñ USAR'!B30</f>
        <v>45087</v>
      </c>
      <c r="C30" s="177">
        <f t="shared" ca="1" si="7"/>
        <v>288.71761363205655</v>
      </c>
      <c r="D30" s="24">
        <f t="shared" ca="1" si="16"/>
        <v>1817.6528749909296</v>
      </c>
      <c r="E30" s="177">
        <f t="shared" ca="1" si="8"/>
        <v>197282.24671099396</v>
      </c>
      <c r="F30" s="178">
        <f t="shared" ca="1" si="9"/>
        <v>41.489902508171468</v>
      </c>
      <c r="G30" s="178">
        <f t="shared" ca="1" si="10"/>
        <v>26.319999999999997</v>
      </c>
      <c r="H30" s="177">
        <f t="shared" ca="1" si="11"/>
        <v>25</v>
      </c>
      <c r="I30" s="25">
        <f t="shared" ca="1" si="12"/>
        <v>2199.1803911311576</v>
      </c>
      <c r="J30" s="189"/>
      <c r="K30" s="9" t="str">
        <f ca="1">'PRICE_IOF Ñ USAR'!K30</f>
        <v/>
      </c>
      <c r="L30" s="9">
        <f ca="1">'PRICE_IOF Ñ USAR'!L30</f>
        <v>6</v>
      </c>
      <c r="N30" s="176">
        <f t="shared" ca="1" si="13"/>
        <v>31</v>
      </c>
      <c r="O30" s="176">
        <f t="shared" ca="1" si="17"/>
        <v>359</v>
      </c>
      <c r="P30" s="175">
        <f t="shared" ca="1" si="0"/>
        <v>1144.034289686467</v>
      </c>
      <c r="Q30" s="11">
        <f t="shared" ca="1" si="1"/>
        <v>2.9437999999999999E-2</v>
      </c>
      <c r="R30" s="12">
        <f t="shared" ca="1" si="2"/>
        <v>33.678081419790217</v>
      </c>
      <c r="S30" s="513"/>
      <c r="U30" s="31">
        <f t="shared" ca="1" si="18"/>
        <v>2106.3704886229862</v>
      </c>
      <c r="V30" s="31">
        <f t="shared" ca="1" si="19"/>
        <v>2199.1803911311576</v>
      </c>
      <c r="X30" s="58">
        <f t="shared" ca="1" si="3"/>
        <v>12</v>
      </c>
      <c r="Y30" s="61">
        <f t="shared" ca="1" si="4"/>
        <v>45087</v>
      </c>
      <c r="Z30" s="31">
        <f t="shared" ca="1" si="14"/>
        <v>1144.034289686467</v>
      </c>
      <c r="AA30" s="31">
        <f t="shared" ca="1" si="20"/>
        <v>1679.7623911008584</v>
      </c>
      <c r="AB30" s="31">
        <f t="shared" ca="1" si="15"/>
        <v>181438.83398635456</v>
      </c>
      <c r="AC30">
        <f t="shared" si="5"/>
        <v>0</v>
      </c>
      <c r="AD30" t="str">
        <f t="shared" ca="1" si="6"/>
        <v/>
      </c>
    </row>
    <row r="31" spans="1:30">
      <c r="A31" s="180">
        <f ca="1">'PRICE_IOF Ñ USAR'!A31</f>
        <v>13</v>
      </c>
      <c r="B31" s="179">
        <f ca="1">'PRICE_IOF Ñ USAR'!B31</f>
        <v>45117</v>
      </c>
      <c r="C31" s="177">
        <f t="shared" ca="1" si="7"/>
        <v>291.37381568215415</v>
      </c>
      <c r="D31" s="24">
        <f t="shared" ca="1" si="16"/>
        <v>1814.996672940832</v>
      </c>
      <c r="E31" s="177">
        <f t="shared" ca="1" si="8"/>
        <v>196990.8728953118</v>
      </c>
      <c r="F31" s="178">
        <f t="shared" ca="1" si="9"/>
        <v>41.42927180930873</v>
      </c>
      <c r="G31" s="178">
        <f t="shared" ca="1" si="10"/>
        <v>26.319999999999997</v>
      </c>
      <c r="H31" s="177">
        <f t="shared" ca="1" si="11"/>
        <v>25</v>
      </c>
      <c r="I31" s="25">
        <f t="shared" ca="1" si="12"/>
        <v>2199.1197604322952</v>
      </c>
      <c r="J31" s="9" t="str">
        <f ca="1">'PRICE_IOF Ñ USAR'!J31</f>
        <v/>
      </c>
      <c r="K31" s="9" t="str">
        <f ca="1">'PRICE_IOF Ñ USAR'!K31</f>
        <v/>
      </c>
      <c r="L31" s="9">
        <f ca="1">'PRICE_IOF Ñ USAR'!L31</f>
        <v>7</v>
      </c>
      <c r="N31" s="176">
        <f t="shared" ca="1" si="13"/>
        <v>30</v>
      </c>
      <c r="O31" s="176">
        <f t="shared" ca="1" si="17"/>
        <v>389</v>
      </c>
      <c r="P31" s="175">
        <f t="shared" ca="1" si="0"/>
        <v>1154.5594051701376</v>
      </c>
      <c r="Q31" s="11">
        <f t="shared" ca="1" si="1"/>
        <v>2.9930000000000002E-2</v>
      </c>
      <c r="R31" s="12">
        <f t="shared" ca="1" si="2"/>
        <v>34.555962996742217</v>
      </c>
      <c r="S31" s="513"/>
      <c r="U31" s="31">
        <f t="shared" ca="1" si="18"/>
        <v>2106.3704886229862</v>
      </c>
      <c r="V31" s="31">
        <f t="shared" ca="1" si="19"/>
        <v>2199.1197604322952</v>
      </c>
      <c r="X31" s="58">
        <f t="shared" ca="1" si="3"/>
        <v>13</v>
      </c>
      <c r="Y31" s="61">
        <f t="shared" ca="1" si="4"/>
        <v>45117</v>
      </c>
      <c r="Z31" s="31">
        <f t="shared" ca="1" si="14"/>
        <v>1154.5594051701376</v>
      </c>
      <c r="AA31" s="31">
        <f t="shared" ca="1" si="20"/>
        <v>1669.2372756171878</v>
      </c>
      <c r="AB31" s="31">
        <f t="shared" ca="1" si="15"/>
        <v>180284.27458118441</v>
      </c>
      <c r="AC31" t="str">
        <f t="shared" ca="1" si="5"/>
        <v/>
      </c>
      <c r="AD31" t="str">
        <f t="shared" ca="1" si="6"/>
        <v/>
      </c>
    </row>
    <row r="32" spans="1:30">
      <c r="A32" s="180">
        <f ca="1">'PRICE_IOF Ñ USAR'!A32</f>
        <v>14</v>
      </c>
      <c r="B32" s="179">
        <f ca="1">'PRICE_IOF Ñ USAR'!B32</f>
        <v>45148</v>
      </c>
      <c r="C32" s="177">
        <f t="shared" ca="1" si="7"/>
        <v>294.05445479115588</v>
      </c>
      <c r="D32" s="24">
        <f t="shared" ca="1" si="16"/>
        <v>1812.3160338318303</v>
      </c>
      <c r="E32" s="177">
        <f t="shared" ca="1" si="8"/>
        <v>196696.81844052064</v>
      </c>
      <c r="F32" s="178">
        <f t="shared" ca="1" si="9"/>
        <v>41.368083308015478</v>
      </c>
      <c r="G32" s="178">
        <f t="shared" ca="1" si="10"/>
        <v>26.319999999999997</v>
      </c>
      <c r="H32" s="177">
        <f t="shared" ca="1" si="11"/>
        <v>25</v>
      </c>
      <c r="I32" s="25">
        <f t="shared" ca="1" si="12"/>
        <v>2199.058571931002</v>
      </c>
      <c r="J32" s="9" t="str">
        <f ca="1">'PRICE_IOF Ñ USAR'!J32</f>
        <v/>
      </c>
      <c r="K32" s="9" t="str">
        <f ca="1">'PRICE_IOF Ñ USAR'!K32</f>
        <v/>
      </c>
      <c r="L32" s="9">
        <f ca="1">'PRICE_IOF Ñ USAR'!L32</f>
        <v>8</v>
      </c>
      <c r="N32" s="176">
        <f t="shared" ca="1" si="13"/>
        <v>31</v>
      </c>
      <c r="O32" s="176">
        <f t="shared" ca="1" si="17"/>
        <v>420</v>
      </c>
      <c r="P32" s="175">
        <f t="shared" ca="1" si="0"/>
        <v>1165.1813517164285</v>
      </c>
      <c r="Q32" s="11">
        <f t="shared" ca="1" si="1"/>
        <v>2.9930000000000002E-2</v>
      </c>
      <c r="R32" s="12">
        <f t="shared" ca="1" si="2"/>
        <v>34.87387785687271</v>
      </c>
      <c r="S32" s="513"/>
      <c r="U32" s="31">
        <f t="shared" ca="1" si="18"/>
        <v>2106.3704886229862</v>
      </c>
      <c r="V32" s="31">
        <f t="shared" ca="1" si="19"/>
        <v>2199.058571931002</v>
      </c>
      <c r="X32" s="58">
        <f t="shared" ca="1" si="3"/>
        <v>14</v>
      </c>
      <c r="Y32" s="61">
        <f t="shared" ca="1" si="4"/>
        <v>45148</v>
      </c>
      <c r="Z32" s="31">
        <f t="shared" ca="1" si="14"/>
        <v>1165.1813517164285</v>
      </c>
      <c r="AA32" s="31">
        <f t="shared" ca="1" si="20"/>
        <v>1658.6153290708969</v>
      </c>
      <c r="AB32" s="31">
        <f t="shared" ca="1" si="15"/>
        <v>179119.09322946798</v>
      </c>
      <c r="AC32" t="str">
        <f t="shared" ca="1" si="5"/>
        <v/>
      </c>
      <c r="AD32" t="str">
        <f t="shared" ca="1" si="6"/>
        <v/>
      </c>
    </row>
    <row r="33" spans="1:30">
      <c r="A33" s="180">
        <f ca="1">'PRICE_IOF Ñ USAR'!A33</f>
        <v>15</v>
      </c>
      <c r="B33" s="179">
        <f ca="1">'PRICE_IOF Ñ USAR'!B33</f>
        <v>45179</v>
      </c>
      <c r="C33" s="177">
        <f t="shared" ca="1" si="7"/>
        <v>296.75975578000362</v>
      </c>
      <c r="D33" s="24">
        <f t="shared" ca="1" si="16"/>
        <v>1809.6107328429825</v>
      </c>
      <c r="E33" s="177">
        <f t="shared" ca="1" si="8"/>
        <v>196400.05868474062</v>
      </c>
      <c r="F33" s="178">
        <f t="shared" ca="1" si="9"/>
        <v>41.30633187250934</v>
      </c>
      <c r="G33" s="178">
        <f t="shared" ca="1" si="10"/>
        <v>26.319999999999997</v>
      </c>
      <c r="H33" s="177">
        <f t="shared" ca="1" si="11"/>
        <v>25</v>
      </c>
      <c r="I33" s="25">
        <f t="shared" ca="1" si="12"/>
        <v>2198.9968204954957</v>
      </c>
      <c r="J33" s="9" t="str">
        <f ca="1">'PRICE_IOF Ñ USAR'!J33</f>
        <v/>
      </c>
      <c r="K33" s="9" t="str">
        <f ca="1">'PRICE_IOF Ñ USAR'!K33</f>
        <v/>
      </c>
      <c r="L33" s="9">
        <f ca="1">'PRICE_IOF Ñ USAR'!L33</f>
        <v>9</v>
      </c>
      <c r="N33" s="176">
        <f t="shared" ca="1" si="13"/>
        <v>31</v>
      </c>
      <c r="O33" s="176">
        <f t="shared" ca="1" si="17"/>
        <v>451</v>
      </c>
      <c r="P33" s="175">
        <f t="shared" ca="1" si="0"/>
        <v>1175.9010201711176</v>
      </c>
      <c r="Q33" s="11">
        <f t="shared" ca="1" si="1"/>
        <v>2.9930000000000002E-2</v>
      </c>
      <c r="R33" s="12">
        <f t="shared" ca="1" si="2"/>
        <v>35.194717533721551</v>
      </c>
      <c r="S33" s="513"/>
      <c r="U33" s="31">
        <f t="shared" ca="1" si="18"/>
        <v>2106.3704886229862</v>
      </c>
      <c r="V33" s="31">
        <f t="shared" ca="1" si="19"/>
        <v>2198.9968204954957</v>
      </c>
      <c r="X33" s="58">
        <f t="shared" ca="1" si="3"/>
        <v>15</v>
      </c>
      <c r="Y33" s="61">
        <f t="shared" ca="1" si="4"/>
        <v>45179</v>
      </c>
      <c r="Z33" s="31">
        <f t="shared" ca="1" si="14"/>
        <v>1175.9010201711176</v>
      </c>
      <c r="AA33" s="31">
        <f t="shared" ca="1" si="20"/>
        <v>1647.8956606162078</v>
      </c>
      <c r="AB33" s="31">
        <f t="shared" ca="1" si="15"/>
        <v>177943.19220929686</v>
      </c>
      <c r="AC33" t="str">
        <f t="shared" ca="1" si="5"/>
        <v/>
      </c>
      <c r="AD33" t="str">
        <f t="shared" ca="1" si="6"/>
        <v/>
      </c>
    </row>
    <row r="34" spans="1:30">
      <c r="A34" s="180">
        <f ca="1">'PRICE_IOF Ñ USAR'!A34</f>
        <v>16</v>
      </c>
      <c r="B34" s="179">
        <f ca="1">'PRICE_IOF Ñ USAR'!B34</f>
        <v>45209</v>
      </c>
      <c r="C34" s="177">
        <f t="shared" ca="1" si="7"/>
        <v>299.48994553799298</v>
      </c>
      <c r="D34" s="24">
        <f t="shared" ca="1" si="16"/>
        <v>1806.8805430849932</v>
      </c>
      <c r="E34" s="177">
        <f t="shared" ca="1" si="8"/>
        <v>196100.56873920263</v>
      </c>
      <c r="F34" s="178">
        <f t="shared" ca="1" si="9"/>
        <v>41.244012323795531</v>
      </c>
      <c r="G34" s="178">
        <f t="shared" ca="1" si="10"/>
        <v>26.319999999999997</v>
      </c>
      <c r="H34" s="177">
        <f t="shared" ca="1" si="11"/>
        <v>25</v>
      </c>
      <c r="I34" s="25">
        <f t="shared" ca="1" si="12"/>
        <v>2198.934500946782</v>
      </c>
      <c r="J34" s="9" t="str">
        <f ca="1">'PRICE_IOF Ñ USAR'!J34</f>
        <v/>
      </c>
      <c r="K34" s="9" t="str">
        <f ca="1">'PRICE_IOF Ñ USAR'!K34</f>
        <v/>
      </c>
      <c r="L34" s="9">
        <f ca="1">'PRICE_IOF Ñ USAR'!L34</f>
        <v>10</v>
      </c>
      <c r="N34" s="176">
        <f t="shared" ca="1" si="13"/>
        <v>30</v>
      </c>
      <c r="O34" s="176">
        <f t="shared" ca="1" si="17"/>
        <v>481</v>
      </c>
      <c r="P34" s="175">
        <f t="shared" ca="1" si="0"/>
        <v>1186.7193095757636</v>
      </c>
      <c r="Q34" s="11">
        <f t="shared" ca="1" si="1"/>
        <v>2.9930000000000002E-2</v>
      </c>
      <c r="R34" s="12">
        <f t="shared" ca="1" si="2"/>
        <v>35.518508935602611</v>
      </c>
      <c r="S34" s="513"/>
      <c r="U34" s="31">
        <f t="shared" ca="1" si="18"/>
        <v>2106.3704886229862</v>
      </c>
      <c r="V34" s="31">
        <f t="shared" ca="1" si="19"/>
        <v>2198.934500946782</v>
      </c>
      <c r="X34" s="58">
        <f t="shared" ca="1" si="3"/>
        <v>16</v>
      </c>
      <c r="Y34" s="61">
        <f t="shared" ca="1" si="4"/>
        <v>45209</v>
      </c>
      <c r="Z34" s="31">
        <f t="shared" ca="1" si="14"/>
        <v>1186.7193095757636</v>
      </c>
      <c r="AA34" s="31">
        <f t="shared" ca="1" si="20"/>
        <v>1637.0773712115617</v>
      </c>
      <c r="AB34" s="31">
        <f t="shared" ca="1" si="15"/>
        <v>176756.47289972109</v>
      </c>
      <c r="AC34" t="str">
        <f t="shared" ca="1" si="5"/>
        <v/>
      </c>
      <c r="AD34" t="str">
        <f t="shared" ca="1" si="6"/>
        <v/>
      </c>
    </row>
    <row r="35" spans="1:30">
      <c r="A35" s="180">
        <f ca="1">'PRICE_IOF Ñ USAR'!A35</f>
        <v>17</v>
      </c>
      <c r="B35" s="179">
        <f ca="1">'PRICE_IOF Ñ USAR'!B35</f>
        <v>45240</v>
      </c>
      <c r="C35" s="177">
        <f t="shared" ca="1" si="7"/>
        <v>302.24525304179974</v>
      </c>
      <c r="D35" s="24">
        <f t="shared" ca="1" si="16"/>
        <v>1804.1252355811864</v>
      </c>
      <c r="E35" s="177">
        <f t="shared" ca="1" si="8"/>
        <v>195798.32348616084</v>
      </c>
      <c r="F35" s="178">
        <f t="shared" ca="1" si="9"/>
        <v>41.181119435232553</v>
      </c>
      <c r="G35" s="178">
        <f t="shared" ca="1" si="10"/>
        <v>26.319999999999997</v>
      </c>
      <c r="H35" s="177">
        <f t="shared" ca="1" si="11"/>
        <v>25</v>
      </c>
      <c r="I35" s="25">
        <f t="shared" ca="1" si="12"/>
        <v>2198.871608058219</v>
      </c>
      <c r="J35" s="9" t="str">
        <f ca="1">'PRICE_IOF Ñ USAR'!J35</f>
        <v/>
      </c>
      <c r="K35" s="9" t="str">
        <f ca="1">'PRICE_IOF Ñ USAR'!K35</f>
        <v/>
      </c>
      <c r="L35" s="9">
        <f ca="1">'PRICE_IOF Ñ USAR'!L35</f>
        <v>11</v>
      </c>
      <c r="N35" s="176">
        <f t="shared" ca="1" si="13"/>
        <v>31</v>
      </c>
      <c r="O35" s="176">
        <f t="shared" ca="1" si="17"/>
        <v>512</v>
      </c>
      <c r="P35" s="175">
        <f t="shared" ca="1" si="0"/>
        <v>1197.6371272431079</v>
      </c>
      <c r="Q35" s="11">
        <f t="shared" ca="1" si="1"/>
        <v>2.9930000000000002E-2</v>
      </c>
      <c r="R35" s="12">
        <f t="shared" ca="1" si="2"/>
        <v>35.845279218386224</v>
      </c>
      <c r="S35" s="513"/>
      <c r="U35" s="31">
        <f t="shared" ca="1" si="18"/>
        <v>2106.3704886229862</v>
      </c>
      <c r="V35" s="31">
        <f t="shared" ca="1" si="19"/>
        <v>2198.871608058219</v>
      </c>
      <c r="X35" s="58">
        <f t="shared" ca="1" si="3"/>
        <v>17</v>
      </c>
      <c r="Y35" s="61">
        <f t="shared" ca="1" si="4"/>
        <v>45240</v>
      </c>
      <c r="Z35" s="31">
        <f t="shared" ca="1" si="14"/>
        <v>1197.6371272431079</v>
      </c>
      <c r="AA35" s="31">
        <f t="shared" ca="1" si="20"/>
        <v>1626.1595535442175</v>
      </c>
      <c r="AB35" s="31">
        <f t="shared" ca="1" si="15"/>
        <v>175558.83577247799</v>
      </c>
      <c r="AC35" t="str">
        <f t="shared" ca="1" si="5"/>
        <v/>
      </c>
      <c r="AD35" t="str">
        <f t="shared" ca="1" si="6"/>
        <v/>
      </c>
    </row>
    <row r="36" spans="1:30">
      <c r="A36" s="180">
        <f ca="1">'PRICE_IOF Ñ USAR'!A36</f>
        <v>18</v>
      </c>
      <c r="B36" s="179">
        <f ca="1">'PRICE_IOF Ñ USAR'!B36</f>
        <v>45270</v>
      </c>
      <c r="C36" s="177">
        <f t="shared" ca="1" si="7"/>
        <v>305.02590937468631</v>
      </c>
      <c r="D36" s="24">
        <f t="shared" ca="1" si="16"/>
        <v>1801.3445792482999</v>
      </c>
      <c r="E36" s="177">
        <f t="shared" ca="1" si="8"/>
        <v>195493.29757678614</v>
      </c>
      <c r="F36" s="178">
        <f t="shared" ca="1" si="9"/>
        <v>41.117647932093774</v>
      </c>
      <c r="G36" s="178">
        <f t="shared" ca="1" si="10"/>
        <v>26.319999999999997</v>
      </c>
      <c r="H36" s="177">
        <f t="shared" ca="1" si="11"/>
        <v>25</v>
      </c>
      <c r="I36" s="25">
        <f t="shared" ca="1" si="12"/>
        <v>2198.8081365550802</v>
      </c>
      <c r="J36" s="9" t="str">
        <f ca="1">'PRICE_IOF Ñ USAR'!J36</f>
        <v/>
      </c>
      <c r="K36" s="9" t="str">
        <f ca="1">'PRICE_IOF Ñ USAR'!K36</f>
        <v/>
      </c>
      <c r="L36" s="9">
        <f ca="1">'PRICE_IOF Ñ USAR'!L36</f>
        <v>12</v>
      </c>
      <c r="N36" s="176">
        <f t="shared" ca="1" si="13"/>
        <v>30</v>
      </c>
      <c r="O36" s="176">
        <f t="shared" ca="1" si="17"/>
        <v>542</v>
      </c>
      <c r="P36" s="175">
        <f t="shared" ca="1" si="0"/>
        <v>1208.6553888331687</v>
      </c>
      <c r="Q36" s="11">
        <f t="shared" ca="1" si="1"/>
        <v>2.9930000000000002E-2</v>
      </c>
      <c r="R36" s="12">
        <f t="shared" ca="1" si="2"/>
        <v>36.175055787776742</v>
      </c>
      <c r="S36" s="513"/>
      <c r="U36" s="31">
        <f t="shared" ca="1" si="18"/>
        <v>2106.3704886229862</v>
      </c>
      <c r="V36" s="31">
        <f t="shared" ca="1" si="19"/>
        <v>2198.8081365550802</v>
      </c>
      <c r="X36" s="58">
        <f t="shared" ca="1" si="3"/>
        <v>18</v>
      </c>
      <c r="Y36" s="61">
        <f t="shared" ca="1" si="4"/>
        <v>45270</v>
      </c>
      <c r="Z36" s="31">
        <f t="shared" ca="1" si="14"/>
        <v>1208.6553888331687</v>
      </c>
      <c r="AA36" s="31">
        <f t="shared" ca="1" si="20"/>
        <v>1615.1412919541567</v>
      </c>
      <c r="AB36" s="31">
        <f t="shared" ca="1" si="15"/>
        <v>174350.18038364482</v>
      </c>
      <c r="AC36" t="str">
        <f t="shared" ca="1" si="5"/>
        <v/>
      </c>
      <c r="AD36" t="str">
        <f t="shared" ca="1" si="6"/>
        <v/>
      </c>
    </row>
    <row r="37" spans="1:30">
      <c r="A37" s="180">
        <f ca="1">'PRICE_IOF Ñ USAR'!A37</f>
        <v>19</v>
      </c>
      <c r="B37" s="179">
        <f ca="1">'PRICE_IOF Ñ USAR'!B37</f>
        <v>45301</v>
      </c>
      <c r="C37" s="177">
        <f t="shared" ca="1" si="7"/>
        <v>307.83214774588077</v>
      </c>
      <c r="D37" s="24">
        <f t="shared" ca="1" si="16"/>
        <v>1798.5383408771054</v>
      </c>
      <c r="E37" s="177">
        <f t="shared" ca="1" si="8"/>
        <v>195185.46542904025</v>
      </c>
      <c r="F37" s="178">
        <f t="shared" ca="1" si="9"/>
        <v>41.053592491125087</v>
      </c>
      <c r="G37" s="178">
        <f t="shared" ca="1" si="10"/>
        <v>26.319999999999997</v>
      </c>
      <c r="H37" s="177">
        <f t="shared" ca="1" si="11"/>
        <v>25</v>
      </c>
      <c r="I37" s="25">
        <f t="shared" ca="1" si="12"/>
        <v>2198.7440811141114</v>
      </c>
      <c r="J37" s="9" t="str">
        <f ca="1">'PRICE_IOF Ñ USAR'!J37</f>
        <v/>
      </c>
      <c r="K37" s="9" t="str">
        <f ca="1">'PRICE_IOF Ñ USAR'!K37</f>
        <v/>
      </c>
      <c r="L37" s="9">
        <f ca="1">'PRICE_IOF Ñ USAR'!L37</f>
        <v>1</v>
      </c>
      <c r="N37" s="176">
        <f t="shared" ca="1" si="13"/>
        <v>31</v>
      </c>
      <c r="O37" s="176">
        <f t="shared" ca="1" si="17"/>
        <v>573</v>
      </c>
      <c r="P37" s="175">
        <f t="shared" ca="1" si="0"/>
        <v>1219.7750184300369</v>
      </c>
      <c r="Q37" s="11">
        <f t="shared" ca="1" si="1"/>
        <v>2.9930000000000002E-2</v>
      </c>
      <c r="R37" s="12">
        <f t="shared" ca="1" si="2"/>
        <v>36.507866301611003</v>
      </c>
      <c r="S37" s="513"/>
      <c r="U37" s="31">
        <f t="shared" ca="1" si="18"/>
        <v>2106.3704886229862</v>
      </c>
      <c r="V37" s="31">
        <f t="shared" ca="1" si="19"/>
        <v>2198.7440811141114</v>
      </c>
      <c r="X37" s="58">
        <f t="shared" ca="1" si="3"/>
        <v>19</v>
      </c>
      <c r="Y37" s="61">
        <f t="shared" ca="1" si="4"/>
        <v>45301</v>
      </c>
      <c r="Z37" s="31">
        <f t="shared" ca="1" si="14"/>
        <v>1219.7750184300369</v>
      </c>
      <c r="AA37" s="31">
        <f t="shared" ca="1" si="20"/>
        <v>1604.0216623572885</v>
      </c>
      <c r="AB37" s="31">
        <f t="shared" ca="1" si="15"/>
        <v>173130.4053652148</v>
      </c>
      <c r="AC37" t="str">
        <f t="shared" ca="1" si="5"/>
        <v/>
      </c>
      <c r="AD37" t="str">
        <f t="shared" ca="1" si="6"/>
        <v/>
      </c>
    </row>
    <row r="38" spans="1:30">
      <c r="A38" s="180">
        <f ca="1">'PRICE_IOF Ñ USAR'!A38</f>
        <v>20</v>
      </c>
      <c r="B38" s="179">
        <f ca="1">'PRICE_IOF Ñ USAR'!B38</f>
        <v>45332</v>
      </c>
      <c r="C38" s="177">
        <f t="shared" ca="1" si="7"/>
        <v>310.66420351013562</v>
      </c>
      <c r="D38" s="24">
        <f t="shared" ca="1" si="16"/>
        <v>1795.7062851128505</v>
      </c>
      <c r="E38" s="177">
        <f t="shared" ca="1" si="8"/>
        <v>194874.80122553013</v>
      </c>
      <c r="F38" s="178">
        <f t="shared" ca="1" si="9"/>
        <v>40.988947740098453</v>
      </c>
      <c r="G38" s="178">
        <f t="shared" ca="1" si="10"/>
        <v>26.319999999999997</v>
      </c>
      <c r="H38" s="177">
        <f t="shared" ca="1" si="11"/>
        <v>25</v>
      </c>
      <c r="I38" s="25">
        <f t="shared" ca="1" si="12"/>
        <v>2198.6794363630847</v>
      </c>
      <c r="J38" s="9" t="str">
        <f ca="1">'PRICE_IOF Ñ USAR'!J38</f>
        <v/>
      </c>
      <c r="K38" s="9" t="str">
        <f ca="1">'PRICE_IOF Ñ USAR'!K38</f>
        <v/>
      </c>
      <c r="L38" s="9">
        <f ca="1">'PRICE_IOF Ñ USAR'!L38</f>
        <v>2</v>
      </c>
      <c r="N38" s="176">
        <f t="shared" ca="1" si="13"/>
        <v>31</v>
      </c>
      <c r="O38" s="176">
        <f t="shared" ca="1" si="17"/>
        <v>604</v>
      </c>
      <c r="P38" s="175">
        <f t="shared" ca="1" si="0"/>
        <v>1230.9969486193763</v>
      </c>
      <c r="Q38" s="11">
        <f t="shared" ca="1" si="1"/>
        <v>2.9930000000000002E-2</v>
      </c>
      <c r="R38" s="12">
        <f t="shared" ca="1" si="2"/>
        <v>36.843738672177935</v>
      </c>
      <c r="S38" s="513"/>
      <c r="U38" s="31">
        <f t="shared" ca="1" si="18"/>
        <v>2106.3704886229862</v>
      </c>
      <c r="V38" s="31">
        <f t="shared" ca="1" si="19"/>
        <v>2198.6794363630847</v>
      </c>
      <c r="X38" s="58">
        <f t="shared" ca="1" si="3"/>
        <v>20</v>
      </c>
      <c r="Y38" s="61">
        <f t="shared" ca="1" si="4"/>
        <v>45332</v>
      </c>
      <c r="Z38" s="31">
        <f t="shared" ca="1" si="14"/>
        <v>1230.9969486193763</v>
      </c>
      <c r="AA38" s="31">
        <f t="shared" ca="1" si="20"/>
        <v>1592.7997321679491</v>
      </c>
      <c r="AB38" s="31">
        <f t="shared" ca="1" si="15"/>
        <v>171899.40841659543</v>
      </c>
      <c r="AC38" t="str">
        <f t="shared" ca="1" si="5"/>
        <v/>
      </c>
      <c r="AD38" t="str">
        <f t="shared" ca="1" si="6"/>
        <v/>
      </c>
    </row>
    <row r="39" spans="1:30">
      <c r="A39" s="180">
        <f ca="1">'PRICE_IOF Ñ USAR'!A39</f>
        <v>21</v>
      </c>
      <c r="B39" s="179">
        <f ca="1">'PRICE_IOF Ñ USAR'!B39</f>
        <v>45361</v>
      </c>
      <c r="C39" s="177">
        <f t="shared" ca="1" si="7"/>
        <v>313.52231418746737</v>
      </c>
      <c r="D39" s="24">
        <f t="shared" ca="1" si="16"/>
        <v>1792.8481744355188</v>
      </c>
      <c r="E39" s="177">
        <f t="shared" ca="1" si="8"/>
        <v>194561.27891134267</v>
      </c>
      <c r="F39" s="178">
        <f t="shared" ca="1" si="9"/>
        <v>40.923708257361326</v>
      </c>
      <c r="G39" s="178">
        <f t="shared" ca="1" si="10"/>
        <v>26.319999999999997</v>
      </c>
      <c r="H39" s="177">
        <f t="shared" ca="1" si="11"/>
        <v>25</v>
      </c>
      <c r="I39" s="25">
        <f t="shared" ca="1" si="12"/>
        <v>2198.6141968803477</v>
      </c>
      <c r="J39" s="9" t="str">
        <f ca="1">'PRICE_IOF Ñ USAR'!J39</f>
        <v/>
      </c>
      <c r="K39" s="9" t="str">
        <f ca="1">'PRICE_IOF Ñ USAR'!K39</f>
        <v/>
      </c>
      <c r="L39" s="9">
        <f ca="1">'PRICE_IOF Ñ USAR'!L39</f>
        <v>3</v>
      </c>
      <c r="N39" s="176">
        <f t="shared" ca="1" si="13"/>
        <v>29</v>
      </c>
      <c r="O39" s="176">
        <f t="shared" ca="1" si="17"/>
        <v>633</v>
      </c>
      <c r="P39" s="175">
        <f t="shared" ca="1" si="0"/>
        <v>1242.3221205666398</v>
      </c>
      <c r="Q39" s="11">
        <f t="shared" ca="1" si="1"/>
        <v>2.9930000000000002E-2</v>
      </c>
      <c r="R39" s="12">
        <f t="shared" ca="1" si="2"/>
        <v>37.182701068559531</v>
      </c>
      <c r="S39" s="513"/>
      <c r="U39" s="31">
        <f t="shared" ca="1" si="18"/>
        <v>2106.3704886229862</v>
      </c>
      <c r="V39" s="31">
        <f t="shared" ca="1" si="19"/>
        <v>2198.6141968803477</v>
      </c>
      <c r="X39" s="58">
        <f t="shared" ca="1" si="3"/>
        <v>21</v>
      </c>
      <c r="Y39" s="61">
        <f t="shared" ca="1" si="4"/>
        <v>45361</v>
      </c>
      <c r="Z39" s="31">
        <f t="shared" ca="1" si="14"/>
        <v>1242.3221205666398</v>
      </c>
      <c r="AA39" s="31">
        <f t="shared" ca="1" si="20"/>
        <v>1581.4745602206856</v>
      </c>
      <c r="AB39" s="31">
        <f t="shared" ca="1" si="15"/>
        <v>170657.08629602878</v>
      </c>
      <c r="AC39" t="str">
        <f t="shared" ca="1" si="5"/>
        <v/>
      </c>
      <c r="AD39" t="str">
        <f t="shared" ca="1" si="6"/>
        <v/>
      </c>
    </row>
    <row r="40" spans="1:30">
      <c r="A40" s="180">
        <f ca="1">'PRICE_IOF Ñ USAR'!A40</f>
        <v>22</v>
      </c>
      <c r="B40" s="179">
        <f ca="1">'PRICE_IOF Ñ USAR'!B40</f>
        <v>45392</v>
      </c>
      <c r="C40" s="177">
        <f t="shared" ca="1" si="7"/>
        <v>316.40671948307704</v>
      </c>
      <c r="D40" s="24">
        <f t="shared" ca="1" si="16"/>
        <v>1789.9637691399091</v>
      </c>
      <c r="E40" s="177">
        <f t="shared" ca="1" si="8"/>
        <v>194244.87219185958</v>
      </c>
      <c r="F40" s="178">
        <f t="shared" ca="1" si="9"/>
        <v>40.857868571381964</v>
      </c>
      <c r="G40" s="178">
        <f t="shared" ca="1" si="10"/>
        <v>26.319999999999997</v>
      </c>
      <c r="H40" s="177">
        <f t="shared" ca="1" si="11"/>
        <v>25</v>
      </c>
      <c r="I40" s="25">
        <f t="shared" ca="1" si="12"/>
        <v>2198.5483571943682</v>
      </c>
      <c r="J40" s="9" t="str">
        <f ca="1">'PRICE_IOF Ñ USAR'!J40</f>
        <v/>
      </c>
      <c r="K40" s="9" t="str">
        <f ca="1">'PRICE_IOF Ñ USAR'!K40</f>
        <v/>
      </c>
      <c r="L40" s="9">
        <f ca="1">'PRICE_IOF Ñ USAR'!L40</f>
        <v>4</v>
      </c>
      <c r="N40" s="176">
        <f t="shared" ca="1" si="13"/>
        <v>31</v>
      </c>
      <c r="O40" s="176">
        <f t="shared" ca="1" si="17"/>
        <v>664</v>
      </c>
      <c r="P40" s="175">
        <f t="shared" ca="1" si="0"/>
        <v>1253.7514840960021</v>
      </c>
      <c r="Q40" s="11">
        <f t="shared" ca="1" si="1"/>
        <v>2.9930000000000002E-2</v>
      </c>
      <c r="R40" s="12">
        <f t="shared" ca="1" si="2"/>
        <v>37.524781918993341</v>
      </c>
      <c r="S40" s="513"/>
      <c r="U40" s="31">
        <f t="shared" ca="1" si="18"/>
        <v>2106.3704886229862</v>
      </c>
      <c r="V40" s="31">
        <f t="shared" ca="1" si="19"/>
        <v>2198.5483571943682</v>
      </c>
      <c r="X40" s="58">
        <f t="shared" ca="1" si="3"/>
        <v>22</v>
      </c>
      <c r="Y40" s="61">
        <f t="shared" ca="1" si="4"/>
        <v>45392</v>
      </c>
      <c r="Z40" s="31">
        <f t="shared" ca="1" si="14"/>
        <v>1253.7514840960021</v>
      </c>
      <c r="AA40" s="31">
        <f t="shared" ca="1" si="20"/>
        <v>1570.0451966913233</v>
      </c>
      <c r="AB40" s="31">
        <f t="shared" ca="1" si="15"/>
        <v>169403.33481193279</v>
      </c>
      <c r="AC40" t="str">
        <f t="shared" ca="1" si="5"/>
        <v/>
      </c>
      <c r="AD40" t="str">
        <f t="shared" ca="1" si="6"/>
        <v/>
      </c>
    </row>
    <row r="41" spans="1:30">
      <c r="A41" s="180">
        <f ca="1">'PRICE_IOF Ñ USAR'!A41</f>
        <v>23</v>
      </c>
      <c r="B41" s="179">
        <f ca="1">'PRICE_IOF Ñ USAR'!B41</f>
        <v>45422</v>
      </c>
      <c r="C41" s="177">
        <f t="shared" ca="1" si="7"/>
        <v>319.31766130745314</v>
      </c>
      <c r="D41" s="24">
        <f t="shared" ca="1" si="16"/>
        <v>1787.052827315533</v>
      </c>
      <c r="E41" s="177">
        <f t="shared" ca="1" si="8"/>
        <v>193925.55453055212</v>
      </c>
      <c r="F41" s="178">
        <f t="shared" ca="1" si="9"/>
        <v>40.791423160290513</v>
      </c>
      <c r="G41" s="178">
        <f t="shared" ca="1" si="10"/>
        <v>26.319999999999997</v>
      </c>
      <c r="H41" s="177">
        <f t="shared" ca="1" si="11"/>
        <v>25</v>
      </c>
      <c r="I41" s="25">
        <f t="shared" ca="1" si="12"/>
        <v>2198.4819117832767</v>
      </c>
      <c r="J41" s="9" t="str">
        <f ca="1">'PRICE_IOF Ñ USAR'!J41</f>
        <v/>
      </c>
      <c r="K41" s="9" t="str">
        <f ca="1">'PRICE_IOF Ñ USAR'!K41</f>
        <v/>
      </c>
      <c r="L41" s="9">
        <f ca="1">'PRICE_IOF Ñ USAR'!L41</f>
        <v>5</v>
      </c>
      <c r="N41" s="176">
        <f t="shared" ca="1" si="13"/>
        <v>30</v>
      </c>
      <c r="O41" s="176">
        <f t="shared" ca="1" si="17"/>
        <v>694</v>
      </c>
      <c r="P41" s="175">
        <f t="shared" ca="1" si="0"/>
        <v>1265.2859977700195</v>
      </c>
      <c r="Q41" s="11">
        <f t="shared" ca="1" si="1"/>
        <v>2.9930000000000002E-2</v>
      </c>
      <c r="R41" s="12">
        <f t="shared" ca="1" si="2"/>
        <v>37.870009913256688</v>
      </c>
      <c r="S41" s="513"/>
      <c r="U41" s="31">
        <f t="shared" ca="1" si="18"/>
        <v>2106.3704886229862</v>
      </c>
      <c r="V41" s="31">
        <f t="shared" ca="1" si="19"/>
        <v>2198.4819117832767</v>
      </c>
      <c r="X41" s="58">
        <f t="shared" ca="1" si="3"/>
        <v>23</v>
      </c>
      <c r="Y41" s="61">
        <f t="shared" ca="1" si="4"/>
        <v>45422</v>
      </c>
      <c r="Z41" s="31">
        <f t="shared" ca="1" si="14"/>
        <v>1265.2859977700195</v>
      </c>
      <c r="AA41" s="31">
        <f t="shared" ca="1" si="20"/>
        <v>1558.5106830173058</v>
      </c>
      <c r="AB41" s="31">
        <f t="shared" ca="1" si="15"/>
        <v>168138.04881416276</v>
      </c>
      <c r="AC41" t="str">
        <f t="shared" ca="1" si="5"/>
        <v/>
      </c>
      <c r="AD41" t="str">
        <f t="shared" ca="1" si="6"/>
        <v/>
      </c>
    </row>
    <row r="42" spans="1:30">
      <c r="A42" s="180">
        <f ca="1">'PRICE_IOF Ñ USAR'!A42</f>
        <v>24</v>
      </c>
      <c r="B42" s="179">
        <f ca="1">'PRICE_IOF Ñ USAR'!B42</f>
        <v>45453</v>
      </c>
      <c r="C42" s="177">
        <f t="shared" ca="1" si="7"/>
        <v>322.25538379666068</v>
      </c>
      <c r="D42" s="24">
        <f t="shared" ca="1" si="16"/>
        <v>1784.1151048263255</v>
      </c>
      <c r="E42" s="177">
        <f t="shared" ca="1" si="8"/>
        <v>193603.29914675545</v>
      </c>
      <c r="F42" s="178">
        <f t="shared" ca="1" si="9"/>
        <v>40.724366451415946</v>
      </c>
      <c r="G42" s="178">
        <f t="shared" ca="1" si="10"/>
        <v>26.319999999999997</v>
      </c>
      <c r="H42" s="177">
        <f t="shared" ca="1" si="11"/>
        <v>25</v>
      </c>
      <c r="I42" s="25">
        <f t="shared" ca="1" si="12"/>
        <v>2198.4148550744021</v>
      </c>
      <c r="J42" s="9" t="str">
        <f ca="1">'PRICE_IOF Ñ USAR'!J42</f>
        <v/>
      </c>
      <c r="K42" s="9" t="str">
        <f ca="1">'PRICE_IOF Ñ USAR'!K42</f>
        <v/>
      </c>
      <c r="L42" s="9">
        <f ca="1">'PRICE_IOF Ñ USAR'!L42</f>
        <v>6</v>
      </c>
      <c r="N42" s="176">
        <f t="shared" ca="1" si="13"/>
        <v>31</v>
      </c>
      <c r="O42" s="176">
        <f t="shared" ca="1" si="17"/>
        <v>725</v>
      </c>
      <c r="P42" s="175">
        <f t="shared" ca="1" si="0"/>
        <v>1276.9266289700254</v>
      </c>
      <c r="Q42" s="11">
        <f t="shared" ca="1" si="1"/>
        <v>2.9930000000000002E-2</v>
      </c>
      <c r="R42" s="12">
        <f t="shared" ca="1" si="2"/>
        <v>38.218414005072859</v>
      </c>
      <c r="S42" s="513"/>
      <c r="U42" s="31">
        <f t="shared" ca="1" si="18"/>
        <v>2106.3704886229862</v>
      </c>
      <c r="V42" s="31">
        <f t="shared" ca="1" si="19"/>
        <v>2198.4148550744021</v>
      </c>
      <c r="X42" s="58">
        <f t="shared" ca="1" si="3"/>
        <v>24</v>
      </c>
      <c r="Y42" s="61">
        <f t="shared" ca="1" si="4"/>
        <v>45453</v>
      </c>
      <c r="Z42" s="31">
        <f t="shared" ca="1" si="14"/>
        <v>1276.9266289700254</v>
      </c>
      <c r="AA42" s="31">
        <f t="shared" ca="1" si="20"/>
        <v>1546.8700518173</v>
      </c>
      <c r="AB42" s="31">
        <f t="shared" ca="1" si="15"/>
        <v>166861.12218519274</v>
      </c>
      <c r="AC42" t="str">
        <f t="shared" ca="1" si="5"/>
        <v/>
      </c>
      <c r="AD42" t="str">
        <f t="shared" ca="1" si="6"/>
        <v/>
      </c>
    </row>
    <row r="43" spans="1:30">
      <c r="A43" s="180">
        <f ca="1">'PRICE_IOF Ñ USAR'!A43</f>
        <v>25</v>
      </c>
      <c r="B43" s="179">
        <f ca="1">'PRICE_IOF Ñ USAR'!B43</f>
        <v>45483</v>
      </c>
      <c r="C43" s="177">
        <f t="shared" ca="1" si="7"/>
        <v>325.22013333281666</v>
      </c>
      <c r="D43" s="24">
        <f t="shared" ca="1" si="16"/>
        <v>1781.1503552901695</v>
      </c>
      <c r="E43" s="177">
        <f t="shared" ca="1" si="8"/>
        <v>193278.07901342263</v>
      </c>
      <c r="F43" s="178">
        <f t="shared" ca="1" si="9"/>
        <v>40.656692820818648</v>
      </c>
      <c r="G43" s="178">
        <f t="shared" ca="1" si="10"/>
        <v>26.319999999999997</v>
      </c>
      <c r="H43" s="177">
        <f t="shared" ca="1" si="11"/>
        <v>25</v>
      </c>
      <c r="I43" s="25">
        <f t="shared" ca="1" si="12"/>
        <v>2198.3471814438049</v>
      </c>
      <c r="J43" s="9" t="str">
        <f ca="1">'PRICE_IOF Ñ USAR'!J43</f>
        <v/>
      </c>
      <c r="K43" s="9" t="str">
        <f ca="1">'PRICE_IOF Ñ USAR'!K43</f>
        <v/>
      </c>
      <c r="L43" s="9">
        <f ca="1">'PRICE_IOF Ñ USAR'!L43</f>
        <v>7</v>
      </c>
      <c r="N43" s="176">
        <f t="shared" ca="1" si="13"/>
        <v>30</v>
      </c>
      <c r="O43" s="176">
        <f t="shared" ca="1" si="17"/>
        <v>755</v>
      </c>
      <c r="P43" s="175">
        <f t="shared" ca="1" si="0"/>
        <v>1288.6743539772597</v>
      </c>
      <c r="Q43" s="11">
        <f t="shared" ca="1" si="1"/>
        <v>2.9930000000000002E-2</v>
      </c>
      <c r="R43" s="12">
        <f t="shared" ca="1" si="2"/>
        <v>38.570023414539385</v>
      </c>
      <c r="S43" s="513"/>
      <c r="U43" s="31">
        <f t="shared" ca="1" si="18"/>
        <v>2106.3704886229862</v>
      </c>
      <c r="V43" s="31">
        <f t="shared" ca="1" si="19"/>
        <v>2198.3471814438049</v>
      </c>
      <c r="X43" s="58">
        <f t="shared" ca="1" si="3"/>
        <v>25</v>
      </c>
      <c r="Y43" s="61">
        <f t="shared" ca="1" si="4"/>
        <v>45483</v>
      </c>
      <c r="Z43" s="31">
        <f t="shared" ca="1" si="14"/>
        <v>1288.6743539772597</v>
      </c>
      <c r="AA43" s="31">
        <f t="shared" ca="1" si="20"/>
        <v>1535.1223268100657</v>
      </c>
      <c r="AB43" s="31">
        <f t="shared" ca="1" si="15"/>
        <v>165572.44783121548</v>
      </c>
      <c r="AC43" t="str">
        <f t="shared" ca="1" si="5"/>
        <v/>
      </c>
      <c r="AD43" t="str">
        <f t="shared" ca="1" si="6"/>
        <v/>
      </c>
    </row>
    <row r="44" spans="1:30">
      <c r="A44" s="180">
        <f ca="1">'PRICE_IOF Ñ USAR'!A44</f>
        <v>26</v>
      </c>
      <c r="B44" s="179">
        <f ca="1">'PRICE_IOF Ñ USAR'!B44</f>
        <v>45514</v>
      </c>
      <c r="C44" s="177">
        <f t="shared" ca="1" si="7"/>
        <v>328.21215856475328</v>
      </c>
      <c r="D44" s="24">
        <f t="shared" ca="1" si="16"/>
        <v>1778.1583300582329</v>
      </c>
      <c r="E44" s="177">
        <f t="shared" ca="1" si="8"/>
        <v>192949.86685485789</v>
      </c>
      <c r="F44" s="178">
        <f t="shared" ca="1" si="9"/>
        <v>40.588396592818754</v>
      </c>
      <c r="G44" s="178">
        <f t="shared" ca="1" si="10"/>
        <v>26.319999999999997</v>
      </c>
      <c r="H44" s="177">
        <f t="shared" ca="1" si="11"/>
        <v>25</v>
      </c>
      <c r="I44" s="25">
        <f t="shared" ca="1" si="12"/>
        <v>2198.2788852158051</v>
      </c>
      <c r="J44" s="9" t="str">
        <f ca="1">'PRICE_IOF Ñ USAR'!J44</f>
        <v/>
      </c>
      <c r="K44" s="9" t="str">
        <f ca="1">'PRICE_IOF Ñ USAR'!K44</f>
        <v/>
      </c>
      <c r="L44" s="9">
        <f ca="1">'PRICE_IOF Ñ USAR'!L44</f>
        <v>8</v>
      </c>
      <c r="N44" s="176">
        <f t="shared" ca="1" si="13"/>
        <v>31</v>
      </c>
      <c r="O44" s="176">
        <f t="shared" ca="1" si="17"/>
        <v>786</v>
      </c>
      <c r="P44" s="175">
        <f t="shared" ca="1" si="0"/>
        <v>1300.5301580547514</v>
      </c>
      <c r="Q44" s="11">
        <f t="shared" ca="1" si="1"/>
        <v>2.9930000000000002E-2</v>
      </c>
      <c r="R44" s="12">
        <f t="shared" ca="1" si="2"/>
        <v>38.92486763057871</v>
      </c>
      <c r="S44" s="513"/>
      <c r="U44" s="31">
        <f t="shared" ca="1" si="18"/>
        <v>2106.3704886229862</v>
      </c>
      <c r="V44" s="31">
        <f t="shared" ca="1" si="19"/>
        <v>2198.2788852158051</v>
      </c>
      <c r="X44" s="58">
        <f t="shared" ca="1" si="3"/>
        <v>26</v>
      </c>
      <c r="Y44" s="61">
        <f t="shared" ca="1" si="4"/>
        <v>45514</v>
      </c>
      <c r="Z44" s="31">
        <f t="shared" ca="1" si="14"/>
        <v>1300.5301580547514</v>
      </c>
      <c r="AA44" s="31">
        <f t="shared" ca="1" si="20"/>
        <v>1523.266522732574</v>
      </c>
      <c r="AB44" s="31">
        <f t="shared" ca="1" si="15"/>
        <v>164271.91767316073</v>
      </c>
      <c r="AC44" t="str">
        <f t="shared" ca="1" si="5"/>
        <v/>
      </c>
      <c r="AD44" t="str">
        <f t="shared" ca="1" si="6"/>
        <v/>
      </c>
    </row>
    <row r="45" spans="1:30">
      <c r="A45" s="180">
        <f ca="1">'PRICE_IOF Ñ USAR'!A45</f>
        <v>27</v>
      </c>
      <c r="B45" s="179">
        <f ca="1">'PRICE_IOF Ñ USAR'!B45</f>
        <v>45545</v>
      </c>
      <c r="C45" s="177">
        <f t="shared" ca="1" si="7"/>
        <v>331.23171042887225</v>
      </c>
      <c r="D45" s="24">
        <f t="shared" ca="1" si="16"/>
        <v>1775.1387781941139</v>
      </c>
      <c r="E45" s="177">
        <f t="shared" ca="1" si="8"/>
        <v>192618.63514442902</v>
      </c>
      <c r="F45" s="178">
        <f t="shared" ca="1" si="9"/>
        <v>40.51947203952016</v>
      </c>
      <c r="G45" s="178">
        <f t="shared" ca="1" si="10"/>
        <v>26.319999999999997</v>
      </c>
      <c r="H45" s="177">
        <f t="shared" ca="1" si="11"/>
        <v>25</v>
      </c>
      <c r="I45" s="25">
        <f t="shared" ca="1" si="12"/>
        <v>2198.2099606625065</v>
      </c>
      <c r="J45" s="9" t="str">
        <f ca="1">'PRICE_IOF Ñ USAR'!J45</f>
        <v/>
      </c>
      <c r="K45" s="9" t="str">
        <f ca="1">'PRICE_IOF Ñ USAR'!K45</f>
        <v/>
      </c>
      <c r="L45" s="9">
        <f ca="1">'PRICE_IOF Ñ USAR'!L45</f>
        <v>9</v>
      </c>
      <c r="N45" s="176">
        <f t="shared" ca="1" si="13"/>
        <v>31</v>
      </c>
      <c r="O45" s="176">
        <f t="shared" ca="1" si="17"/>
        <v>817</v>
      </c>
      <c r="P45" s="175">
        <f t="shared" ca="1" si="0"/>
        <v>1312.4950355299482</v>
      </c>
      <c r="Q45" s="11">
        <f t="shared" ca="1" si="1"/>
        <v>2.9930000000000002E-2</v>
      </c>
      <c r="R45" s="12">
        <f t="shared" ca="1" si="2"/>
        <v>39.282976413411347</v>
      </c>
      <c r="S45" s="513"/>
      <c r="U45" s="31">
        <f t="shared" ca="1" si="18"/>
        <v>2106.3704886229862</v>
      </c>
      <c r="V45" s="31">
        <f t="shared" ca="1" si="19"/>
        <v>2198.2099606625065</v>
      </c>
      <c r="X45" s="58">
        <f t="shared" ca="1" si="3"/>
        <v>27</v>
      </c>
      <c r="Y45" s="61">
        <f t="shared" ca="1" si="4"/>
        <v>45545</v>
      </c>
      <c r="Z45" s="31">
        <f t="shared" ca="1" si="14"/>
        <v>1312.4950355299482</v>
      </c>
      <c r="AA45" s="31">
        <f t="shared" ca="1" si="20"/>
        <v>1511.3016452573772</v>
      </c>
      <c r="AB45" s="31">
        <f t="shared" ca="1" si="15"/>
        <v>162959.42263763078</v>
      </c>
      <c r="AC45" t="str">
        <f t="shared" ca="1" si="5"/>
        <v/>
      </c>
      <c r="AD45" t="str">
        <f t="shared" ca="1" si="6"/>
        <v/>
      </c>
    </row>
    <row r="46" spans="1:30">
      <c r="A46" s="180">
        <f ca="1">'PRICE_IOF Ñ USAR'!A46</f>
        <v>28</v>
      </c>
      <c r="B46" s="179">
        <f ca="1">'PRICE_IOF Ñ USAR'!B46</f>
        <v>45575</v>
      </c>
      <c r="C46" s="177">
        <f t="shared" ca="1" si="7"/>
        <v>334.27904217019</v>
      </c>
      <c r="D46" s="24">
        <f t="shared" ca="1" si="16"/>
        <v>1772.0914464527962</v>
      </c>
      <c r="E46" s="177">
        <f t="shared" ca="1" si="8"/>
        <v>192284.35610225884</v>
      </c>
      <c r="F46" s="178">
        <f t="shared" ca="1" si="9"/>
        <v>40.449913380330095</v>
      </c>
      <c r="G46" s="178">
        <f t="shared" ca="1" si="10"/>
        <v>26.319999999999997</v>
      </c>
      <c r="H46" s="177">
        <f t="shared" ca="1" si="11"/>
        <v>25</v>
      </c>
      <c r="I46" s="25">
        <f t="shared" ca="1" si="12"/>
        <v>2198.1404020033165</v>
      </c>
      <c r="J46" s="9" t="str">
        <f ca="1">'PRICE_IOF Ñ USAR'!J46</f>
        <v/>
      </c>
      <c r="K46" s="9" t="str">
        <f ca="1">'PRICE_IOF Ñ USAR'!K46</f>
        <v/>
      </c>
      <c r="L46" s="9">
        <f ca="1">'PRICE_IOF Ñ USAR'!L46</f>
        <v>10</v>
      </c>
      <c r="N46" s="176">
        <f t="shared" ca="1" si="13"/>
        <v>30</v>
      </c>
      <c r="O46" s="176">
        <f t="shared" ca="1" si="17"/>
        <v>847</v>
      </c>
      <c r="P46" s="175">
        <f t="shared" ca="1" si="0"/>
        <v>1324.5699898781108</v>
      </c>
      <c r="Q46" s="11">
        <f t="shared" ca="1" si="1"/>
        <v>2.9930000000000002E-2</v>
      </c>
      <c r="R46" s="12">
        <f t="shared" ca="1" si="2"/>
        <v>39.644379797051862</v>
      </c>
      <c r="S46" s="513"/>
      <c r="U46" s="31">
        <f t="shared" ca="1" si="18"/>
        <v>2106.3704886229862</v>
      </c>
      <c r="V46" s="31">
        <f t="shared" ca="1" si="19"/>
        <v>2198.1404020033165</v>
      </c>
      <c r="X46" s="58">
        <f t="shared" ca="1" si="3"/>
        <v>28</v>
      </c>
      <c r="Y46" s="61">
        <f t="shared" ca="1" si="4"/>
        <v>45575</v>
      </c>
      <c r="Z46" s="31">
        <f t="shared" ca="1" si="14"/>
        <v>1324.5699898781108</v>
      </c>
      <c r="AA46" s="31">
        <f t="shared" ca="1" si="20"/>
        <v>1499.2266909092145</v>
      </c>
      <c r="AB46" s="31">
        <f t="shared" ca="1" si="15"/>
        <v>161634.85264775268</v>
      </c>
      <c r="AC46" t="str">
        <f t="shared" ca="1" si="5"/>
        <v/>
      </c>
      <c r="AD46" t="str">
        <f t="shared" ca="1" si="6"/>
        <v/>
      </c>
    </row>
    <row r="47" spans="1:30">
      <c r="A47" s="180">
        <f ca="1">'PRICE_IOF Ñ USAR'!A47</f>
        <v>29</v>
      </c>
      <c r="B47" s="179">
        <f ca="1">'PRICE_IOF Ñ USAR'!B47</f>
        <v>45606</v>
      </c>
      <c r="C47" s="177">
        <f t="shared" ca="1" si="7"/>
        <v>337.35440936357713</v>
      </c>
      <c r="D47" s="24">
        <f t="shared" ca="1" si="16"/>
        <v>1769.016079259409</v>
      </c>
      <c r="E47" s="177">
        <f t="shared" ca="1" si="8"/>
        <v>191947.00169289525</v>
      </c>
      <c r="F47" s="178">
        <f t="shared" ca="1" si="9"/>
        <v>40.379714781474355</v>
      </c>
      <c r="G47" s="178">
        <f t="shared" ca="1" si="10"/>
        <v>26.319999999999997</v>
      </c>
      <c r="H47" s="177">
        <f t="shared" ca="1" si="11"/>
        <v>25</v>
      </c>
      <c r="I47" s="25">
        <f t="shared" ca="1" si="12"/>
        <v>2198.0702034044607</v>
      </c>
      <c r="J47" s="9" t="str">
        <f ca="1">'PRICE_IOF Ñ USAR'!J47</f>
        <v/>
      </c>
      <c r="K47" s="9" t="str">
        <f ca="1">'PRICE_IOF Ñ USAR'!K47</f>
        <v/>
      </c>
      <c r="L47" s="9">
        <f ca="1">'PRICE_IOF Ñ USAR'!L47</f>
        <v>11</v>
      </c>
      <c r="N47" s="176">
        <f t="shared" ca="1" si="13"/>
        <v>31</v>
      </c>
      <c r="O47" s="176">
        <f t="shared" ca="1" si="17"/>
        <v>878</v>
      </c>
      <c r="P47" s="175">
        <f t="shared" ca="1" si="0"/>
        <v>1336.7560338064723</v>
      </c>
      <c r="Q47" s="11">
        <f t="shared" ca="1" si="1"/>
        <v>2.9930000000000002E-2</v>
      </c>
      <c r="R47" s="12">
        <f t="shared" ca="1" si="2"/>
        <v>40.00910809182772</v>
      </c>
      <c r="S47" s="513"/>
      <c r="U47" s="31">
        <f t="shared" ca="1" si="18"/>
        <v>2106.3704886229862</v>
      </c>
      <c r="V47" s="31">
        <f t="shared" ca="1" si="19"/>
        <v>2198.0702034044607</v>
      </c>
      <c r="X47" s="58">
        <f t="shared" ca="1" si="3"/>
        <v>29</v>
      </c>
      <c r="Y47" s="61">
        <f t="shared" ca="1" si="4"/>
        <v>45606</v>
      </c>
      <c r="Z47" s="31">
        <f t="shared" ca="1" si="14"/>
        <v>1336.7560338064723</v>
      </c>
      <c r="AA47" s="31">
        <f t="shared" ca="1" si="20"/>
        <v>1487.0406469808531</v>
      </c>
      <c r="AB47" s="31">
        <f t="shared" ca="1" si="15"/>
        <v>160298.0966139462</v>
      </c>
      <c r="AC47" t="str">
        <f t="shared" ca="1" si="5"/>
        <v/>
      </c>
      <c r="AD47" t="str">
        <f t="shared" ca="1" si="6"/>
        <v/>
      </c>
    </row>
    <row r="48" spans="1:30">
      <c r="A48" s="180">
        <f ca="1">'PRICE_IOF Ñ USAR'!A48</f>
        <v>30</v>
      </c>
      <c r="B48" s="179">
        <f ca="1">'PRICE_IOF Ñ USAR'!B48</f>
        <v>45636</v>
      </c>
      <c r="C48" s="177">
        <f t="shared" ca="1" si="7"/>
        <v>340.45806993519363</v>
      </c>
      <c r="D48" s="24">
        <f t="shared" ca="1" si="16"/>
        <v>1765.9124186877925</v>
      </c>
      <c r="E48" s="177">
        <f t="shared" ca="1" si="8"/>
        <v>191606.54362296005</v>
      </c>
      <c r="F48" s="178">
        <f t="shared" ca="1" si="9"/>
        <v>40.308870355508006</v>
      </c>
      <c r="G48" s="178">
        <f t="shared" ca="1" si="10"/>
        <v>26.319999999999997</v>
      </c>
      <c r="H48" s="177">
        <f t="shared" ca="1" si="11"/>
        <v>25</v>
      </c>
      <c r="I48" s="25">
        <f t="shared" ca="1" si="12"/>
        <v>2197.9993589784945</v>
      </c>
      <c r="J48" s="9" t="str">
        <f ca="1">'PRICE_IOF Ñ USAR'!J48</f>
        <v/>
      </c>
      <c r="K48" s="9" t="str">
        <f ca="1">'PRICE_IOF Ñ USAR'!K48</f>
        <v/>
      </c>
      <c r="L48" s="9">
        <f ca="1">'PRICE_IOF Ñ USAR'!L48</f>
        <v>12</v>
      </c>
      <c r="N48" s="176">
        <f t="shared" ca="1" si="13"/>
        <v>30</v>
      </c>
      <c r="O48" s="176">
        <f t="shared" ca="1" si="17"/>
        <v>908</v>
      </c>
      <c r="P48" s="175">
        <f t="shared" ca="1" si="0"/>
        <v>1349.0541893391726</v>
      </c>
      <c r="Q48" s="11">
        <f t="shared" ca="1" si="1"/>
        <v>2.9930000000000002E-2</v>
      </c>
      <c r="R48" s="12">
        <f t="shared" ca="1" si="2"/>
        <v>40.377191886921437</v>
      </c>
      <c r="S48" s="513"/>
      <c r="U48" s="31">
        <f t="shared" ca="1" si="18"/>
        <v>2106.3704886229862</v>
      </c>
      <c r="V48" s="31">
        <f t="shared" ca="1" si="19"/>
        <v>2197.9993589784945</v>
      </c>
      <c r="X48" s="58">
        <f t="shared" ca="1" si="3"/>
        <v>30</v>
      </c>
      <c r="Y48" s="61">
        <f t="shared" ca="1" si="4"/>
        <v>45636</v>
      </c>
      <c r="Z48" s="31">
        <f t="shared" ca="1" si="14"/>
        <v>1349.0541893391726</v>
      </c>
      <c r="AA48" s="31">
        <f t="shared" ca="1" si="20"/>
        <v>1474.7424914481528</v>
      </c>
      <c r="AB48" s="31">
        <f t="shared" ca="1" si="15"/>
        <v>158949.04242460703</v>
      </c>
      <c r="AC48" t="str">
        <f t="shared" ca="1" si="5"/>
        <v/>
      </c>
      <c r="AD48" t="str">
        <f t="shared" ca="1" si="6"/>
        <v/>
      </c>
    </row>
    <row r="49" spans="1:30">
      <c r="A49" s="180">
        <f ca="1">'PRICE_IOF Ñ USAR'!A49</f>
        <v>31</v>
      </c>
      <c r="B49" s="179">
        <f ca="1">'PRICE_IOF Ñ USAR'!B49</f>
        <v>45667</v>
      </c>
      <c r="C49" s="177">
        <f t="shared" ca="1" si="7"/>
        <v>343.59028418411935</v>
      </c>
      <c r="D49" s="24">
        <f t="shared" ca="1" si="16"/>
        <v>1762.7802044388668</v>
      </c>
      <c r="E49" s="177">
        <f t="shared" ca="1" si="8"/>
        <v>191262.95333877593</v>
      </c>
      <c r="F49" s="178">
        <f t="shared" ca="1" si="9"/>
        <v>40.237374160821609</v>
      </c>
      <c r="G49" s="178">
        <f t="shared" ca="1" si="10"/>
        <v>26.319999999999997</v>
      </c>
      <c r="H49" s="177">
        <f t="shared" ca="1" si="11"/>
        <v>25</v>
      </c>
      <c r="I49" s="25">
        <f t="shared" ca="1" si="12"/>
        <v>2197.927862783808</v>
      </c>
      <c r="J49" s="9" t="str">
        <f ca="1">'PRICE_IOF Ñ USAR'!J49</f>
        <v/>
      </c>
      <c r="K49" s="9" t="str">
        <f ca="1">'PRICE_IOF Ñ USAR'!K49</f>
        <v/>
      </c>
      <c r="L49" s="9">
        <f ca="1">'PRICE_IOF Ñ USAR'!L49</f>
        <v>1</v>
      </c>
      <c r="N49" s="176">
        <f t="shared" ca="1" si="13"/>
        <v>31</v>
      </c>
      <c r="O49" s="176">
        <f t="shared" ca="1" si="17"/>
        <v>939</v>
      </c>
      <c r="P49" s="175">
        <f t="shared" ca="1" si="0"/>
        <v>1361.4654879029729</v>
      </c>
      <c r="Q49" s="11">
        <f t="shared" ca="1" si="1"/>
        <v>2.9930000000000002E-2</v>
      </c>
      <c r="R49" s="12">
        <f t="shared" ca="1" si="2"/>
        <v>40.748662052935984</v>
      </c>
      <c r="S49" s="513"/>
      <c r="U49" s="31">
        <f t="shared" ca="1" si="18"/>
        <v>2106.3704886229862</v>
      </c>
      <c r="V49" s="31">
        <f t="shared" ca="1" si="19"/>
        <v>2197.927862783808</v>
      </c>
      <c r="X49" s="58">
        <f t="shared" ca="1" si="3"/>
        <v>31</v>
      </c>
      <c r="Y49" s="61">
        <f t="shared" ca="1" si="4"/>
        <v>45667</v>
      </c>
      <c r="Z49" s="31">
        <f t="shared" ca="1" si="14"/>
        <v>1361.4654879029729</v>
      </c>
      <c r="AA49" s="31">
        <f t="shared" ca="1" si="20"/>
        <v>1462.3311928843525</v>
      </c>
      <c r="AB49" s="31">
        <f t="shared" ca="1" si="15"/>
        <v>157587.57693670405</v>
      </c>
      <c r="AC49" t="str">
        <f t="shared" ca="1" si="5"/>
        <v/>
      </c>
      <c r="AD49" t="str">
        <f t="shared" ca="1" si="6"/>
        <v/>
      </c>
    </row>
    <row r="50" spans="1:30">
      <c r="A50" s="180">
        <f ca="1">'PRICE_IOF Ñ USAR'!A50</f>
        <v>32</v>
      </c>
      <c r="B50" s="179">
        <f ca="1">'PRICE_IOF Ñ USAR'!B50</f>
        <v>45698</v>
      </c>
      <c r="C50" s="177">
        <f t="shared" ca="1" si="7"/>
        <v>346.75131480418599</v>
      </c>
      <c r="D50" s="24">
        <f t="shared" ca="1" si="16"/>
        <v>1759.6191738188002</v>
      </c>
      <c r="E50" s="177">
        <f t="shared" ca="1" si="8"/>
        <v>190916.20202397174</v>
      </c>
      <c r="F50" s="178">
        <f t="shared" ca="1" si="9"/>
        <v>40.165220201142944</v>
      </c>
      <c r="G50" s="178">
        <f t="shared" ca="1" si="10"/>
        <v>26.319999999999997</v>
      </c>
      <c r="H50" s="177">
        <f t="shared" ca="1" si="11"/>
        <v>25</v>
      </c>
      <c r="I50" s="25">
        <f t="shared" ca="1" si="12"/>
        <v>2197.8557088241291</v>
      </c>
      <c r="J50" s="9" t="str">
        <f ca="1">'PRICE_IOF Ñ USAR'!J50</f>
        <v/>
      </c>
      <c r="K50" s="9" t="str">
        <f ca="1">'PRICE_IOF Ñ USAR'!K50</f>
        <v/>
      </c>
      <c r="L50" s="9">
        <f ca="1">'PRICE_IOF Ñ USAR'!L50</f>
        <v>2</v>
      </c>
      <c r="N50" s="176">
        <f t="shared" ca="1" si="13"/>
        <v>31</v>
      </c>
      <c r="O50" s="176">
        <f t="shared" ca="1" si="17"/>
        <v>970</v>
      </c>
      <c r="P50" s="175">
        <f t="shared" ca="1" si="0"/>
        <v>1373.9909704137617</v>
      </c>
      <c r="Q50" s="11">
        <f t="shared" ca="1" si="1"/>
        <v>2.9930000000000002E-2</v>
      </c>
      <c r="R50" s="12">
        <f t="shared" ca="1" si="2"/>
        <v>41.123549744483888</v>
      </c>
      <c r="S50" s="513"/>
      <c r="U50" s="31">
        <f t="shared" ca="1" si="18"/>
        <v>2106.3704886229862</v>
      </c>
      <c r="V50" s="31">
        <f t="shared" ca="1" si="19"/>
        <v>2197.8557088241291</v>
      </c>
      <c r="X50" s="58">
        <f t="shared" ca="1" si="3"/>
        <v>32</v>
      </c>
      <c r="Y50" s="61">
        <f t="shared" ca="1" si="4"/>
        <v>45698</v>
      </c>
      <c r="Z50" s="31">
        <f t="shared" ca="1" si="14"/>
        <v>1373.9909704137617</v>
      </c>
      <c r="AA50" s="31">
        <f t="shared" ca="1" si="20"/>
        <v>1449.8057103735637</v>
      </c>
      <c r="AB50" s="31">
        <f t="shared" ca="1" si="15"/>
        <v>156213.58596629029</v>
      </c>
      <c r="AC50" t="str">
        <f t="shared" ca="1" si="5"/>
        <v/>
      </c>
      <c r="AD50" t="str">
        <f t="shared" ca="1" si="6"/>
        <v/>
      </c>
    </row>
    <row r="51" spans="1:30">
      <c r="A51" s="180">
        <f ca="1">'PRICE_IOF Ñ USAR'!A51</f>
        <v>33</v>
      </c>
      <c r="B51" s="179">
        <f ca="1">'PRICE_IOF Ñ USAR'!B51</f>
        <v>45726</v>
      </c>
      <c r="C51" s="177">
        <f t="shared" ca="1" si="7"/>
        <v>349.94142690600847</v>
      </c>
      <c r="D51" s="24">
        <f t="shared" ca="1" si="16"/>
        <v>1756.4290617169777</v>
      </c>
      <c r="E51" s="177">
        <f t="shared" ca="1" si="8"/>
        <v>190566.26059706573</v>
      </c>
      <c r="F51" s="178">
        <f t="shared" ca="1" si="9"/>
        <v>40.092402425034066</v>
      </c>
      <c r="G51" s="178">
        <f t="shared" ca="1" si="10"/>
        <v>26.319999999999997</v>
      </c>
      <c r="H51" s="177">
        <f t="shared" ca="1" si="11"/>
        <v>25</v>
      </c>
      <c r="I51" s="25">
        <f t="shared" ca="1" si="12"/>
        <v>2197.7828910480202</v>
      </c>
      <c r="J51" s="9" t="str">
        <f ca="1">'PRICE_IOF Ñ USAR'!J51</f>
        <v/>
      </c>
      <c r="K51" s="9" t="str">
        <f ca="1">'PRICE_IOF Ñ USAR'!K51</f>
        <v/>
      </c>
      <c r="L51" s="9">
        <f ca="1">'PRICE_IOF Ñ USAR'!L51</f>
        <v>3</v>
      </c>
      <c r="N51" s="176">
        <f t="shared" ca="1" si="13"/>
        <v>28</v>
      </c>
      <c r="O51" s="176">
        <f t="shared" ca="1" si="17"/>
        <v>998</v>
      </c>
      <c r="P51" s="175">
        <f t="shared" ca="1" si="0"/>
        <v>1386.6316873638527</v>
      </c>
      <c r="Q51" s="11">
        <f t="shared" ca="1" si="1"/>
        <v>2.9930000000000002E-2</v>
      </c>
      <c r="R51" s="12">
        <f t="shared" ca="1" si="2"/>
        <v>41.501886402800118</v>
      </c>
      <c r="S51" s="513"/>
      <c r="U51" s="31">
        <f t="shared" ca="1" si="18"/>
        <v>2106.3704886229862</v>
      </c>
      <c r="V51" s="31">
        <f t="shared" ca="1" si="19"/>
        <v>2197.7828910480202</v>
      </c>
      <c r="X51" s="58">
        <f t="shared" ca="1" si="3"/>
        <v>33</v>
      </c>
      <c r="Y51" s="61">
        <f t="shared" ca="1" si="4"/>
        <v>45726</v>
      </c>
      <c r="Z51" s="31">
        <f t="shared" ca="1" si="14"/>
        <v>1386.6316873638527</v>
      </c>
      <c r="AA51" s="31">
        <f t="shared" ca="1" si="20"/>
        <v>1437.1649934234727</v>
      </c>
      <c r="AB51" s="31">
        <f t="shared" ca="1" si="15"/>
        <v>154826.95427892645</v>
      </c>
      <c r="AC51" t="str">
        <f t="shared" ca="1" si="5"/>
        <v/>
      </c>
      <c r="AD51" t="str">
        <f t="shared" ca="1" si="6"/>
        <v/>
      </c>
    </row>
    <row r="52" spans="1:30">
      <c r="A52" s="180">
        <f ca="1">'PRICE_IOF Ñ USAR'!A52</f>
        <v>34</v>
      </c>
      <c r="B52" s="179">
        <f ca="1">'PRICE_IOF Ñ USAR'!B52</f>
        <v>45757</v>
      </c>
      <c r="C52" s="177">
        <f t="shared" ca="1" si="7"/>
        <v>353.16088803921934</v>
      </c>
      <c r="D52" s="24">
        <f t="shared" ca="1" si="16"/>
        <v>1753.2096005837668</v>
      </c>
      <c r="E52" s="177">
        <f t="shared" ca="1" si="8"/>
        <v>190213.09970902652</v>
      </c>
      <c r="F52" s="178">
        <f t="shared" ca="1" si="9"/>
        <v>40.018914725383809</v>
      </c>
      <c r="G52" s="178">
        <f t="shared" ca="1" si="10"/>
        <v>26.319999999999997</v>
      </c>
      <c r="H52" s="177">
        <f t="shared" ca="1" si="11"/>
        <v>25</v>
      </c>
      <c r="I52" s="25">
        <f t="shared" ca="1" si="12"/>
        <v>2197.70940334837</v>
      </c>
      <c r="J52" s="9" t="str">
        <f ca="1">'PRICE_IOF Ñ USAR'!J52</f>
        <v/>
      </c>
      <c r="K52" s="9" t="str">
        <f ca="1">'PRICE_IOF Ñ USAR'!K52</f>
        <v/>
      </c>
      <c r="L52" s="9">
        <f ca="1">'PRICE_IOF Ñ USAR'!L52</f>
        <v>4</v>
      </c>
      <c r="N52" s="176">
        <f t="shared" ca="1" si="13"/>
        <v>31</v>
      </c>
      <c r="O52" s="176">
        <f t="shared" ca="1" si="17"/>
        <v>1029</v>
      </c>
      <c r="P52" s="175">
        <f t="shared" ca="1" si="0"/>
        <v>1399.3886989100897</v>
      </c>
      <c r="Q52" s="11">
        <f t="shared" ca="1" si="1"/>
        <v>2.9930000000000002E-2</v>
      </c>
      <c r="R52" s="12">
        <f t="shared" ca="1" si="2"/>
        <v>41.883703758378985</v>
      </c>
      <c r="S52" s="513"/>
      <c r="U52" s="31">
        <f t="shared" ca="1" si="18"/>
        <v>2106.3704886229862</v>
      </c>
      <c r="V52" s="31">
        <f t="shared" ca="1" si="19"/>
        <v>2197.70940334837</v>
      </c>
      <c r="X52" s="58">
        <f t="shared" ca="1" si="3"/>
        <v>34</v>
      </c>
      <c r="Y52" s="61">
        <f t="shared" ca="1" si="4"/>
        <v>45757</v>
      </c>
      <c r="Z52" s="31">
        <f t="shared" ca="1" si="14"/>
        <v>1399.3886989100897</v>
      </c>
      <c r="AA52" s="31">
        <f t="shared" ca="1" si="20"/>
        <v>1424.4079818772357</v>
      </c>
      <c r="AB52" s="31">
        <f t="shared" ca="1" si="15"/>
        <v>153427.56558001635</v>
      </c>
      <c r="AC52" t="str">
        <f t="shared" ca="1" si="5"/>
        <v/>
      </c>
      <c r="AD52" t="str">
        <f t="shared" ca="1" si="6"/>
        <v/>
      </c>
    </row>
    <row r="53" spans="1:30">
      <c r="A53" s="180">
        <f ca="1">'PRICE_IOF Ñ USAR'!A53</f>
        <v>35</v>
      </c>
      <c r="B53" s="179">
        <f ca="1">'PRICE_IOF Ñ USAR'!B53</f>
        <v>45787</v>
      </c>
      <c r="C53" s="177">
        <f t="shared" ca="1" si="7"/>
        <v>356.40996821490808</v>
      </c>
      <c r="D53" s="24">
        <f t="shared" ca="1" si="16"/>
        <v>1749.9605204080781</v>
      </c>
      <c r="E53" s="177">
        <f t="shared" ca="1" si="8"/>
        <v>189856.68974081162</v>
      </c>
      <c r="F53" s="178">
        <f t="shared" ca="1" si="9"/>
        <v>39.944750938895567</v>
      </c>
      <c r="G53" s="178">
        <f t="shared" ca="1" si="10"/>
        <v>26.319999999999997</v>
      </c>
      <c r="H53" s="177">
        <f t="shared" ca="1" si="11"/>
        <v>25</v>
      </c>
      <c r="I53" s="25">
        <f t="shared" ca="1" si="12"/>
        <v>2197.6352395618819</v>
      </c>
      <c r="J53" s="9" t="str">
        <f ca="1">'PRICE_IOF Ñ USAR'!J53</f>
        <v/>
      </c>
      <c r="K53" s="9" t="str">
        <f ca="1">'PRICE_IOF Ñ USAR'!K53</f>
        <v/>
      </c>
      <c r="L53" s="9">
        <f ca="1">'PRICE_IOF Ñ USAR'!L53</f>
        <v>5</v>
      </c>
      <c r="N53" s="176">
        <f t="shared" ca="1" si="13"/>
        <v>30</v>
      </c>
      <c r="O53" s="176">
        <f t="shared" ca="1" si="17"/>
        <v>1059</v>
      </c>
      <c r="P53" s="175">
        <f t="shared" ca="1" si="0"/>
        <v>1412.263074962759</v>
      </c>
      <c r="Q53" s="11">
        <f t="shared" ca="1" si="1"/>
        <v>2.9930000000000002E-2</v>
      </c>
      <c r="R53" s="12">
        <f t="shared" ca="1" si="2"/>
        <v>42.269033833635376</v>
      </c>
      <c r="S53" s="513"/>
      <c r="U53" s="31">
        <f t="shared" ca="1" si="18"/>
        <v>2106.3704886229862</v>
      </c>
      <c r="V53" s="31">
        <f t="shared" ca="1" si="19"/>
        <v>2197.6352395618819</v>
      </c>
      <c r="X53" s="58">
        <f t="shared" ca="1" si="3"/>
        <v>35</v>
      </c>
      <c r="Y53" s="61">
        <f t="shared" ca="1" si="4"/>
        <v>45787</v>
      </c>
      <c r="Z53" s="31">
        <f t="shared" ca="1" si="14"/>
        <v>1412.263074962759</v>
      </c>
      <c r="AA53" s="31">
        <f t="shared" ca="1" si="20"/>
        <v>1411.5336058245664</v>
      </c>
      <c r="AB53" s="31">
        <f t="shared" ca="1" si="15"/>
        <v>152015.30250505358</v>
      </c>
      <c r="AC53" t="str">
        <f t="shared" ca="1" si="5"/>
        <v/>
      </c>
      <c r="AD53" t="str">
        <f t="shared" ca="1" si="6"/>
        <v/>
      </c>
    </row>
    <row r="54" spans="1:30">
      <c r="A54" s="180">
        <f ca="1">'PRICE_IOF Ñ USAR'!A54</f>
        <v>36</v>
      </c>
      <c r="B54" s="179">
        <f ca="1">'PRICE_IOF Ñ USAR'!B54</f>
        <v>45818</v>
      </c>
      <c r="C54" s="177">
        <f t="shared" ca="1" si="7"/>
        <v>359.68893992826565</v>
      </c>
      <c r="D54" s="24">
        <f t="shared" ca="1" si="16"/>
        <v>1746.6815486947205</v>
      </c>
      <c r="E54" s="177">
        <f t="shared" ca="1" si="8"/>
        <v>189497.00080088337</v>
      </c>
      <c r="F54" s="178">
        <f t="shared" ca="1" si="9"/>
        <v>39.869904845570439</v>
      </c>
      <c r="G54" s="178">
        <f t="shared" ca="1" si="10"/>
        <v>26.319999999999997</v>
      </c>
      <c r="H54" s="177">
        <f t="shared" ca="1" si="11"/>
        <v>25</v>
      </c>
      <c r="I54" s="25">
        <f t="shared" ca="1" si="12"/>
        <v>2197.5603934685569</v>
      </c>
      <c r="J54" s="9" t="str">
        <f ca="1">'PRICE_IOF Ñ USAR'!J54</f>
        <v/>
      </c>
      <c r="K54" s="9" t="str">
        <f ca="1">'PRICE_IOF Ñ USAR'!K54</f>
        <v/>
      </c>
      <c r="L54" s="9">
        <f ca="1">'PRICE_IOF Ñ USAR'!L54</f>
        <v>6</v>
      </c>
      <c r="N54" s="176">
        <f t="shared" ca="1" si="13"/>
        <v>31</v>
      </c>
      <c r="O54" s="176">
        <f t="shared" ca="1" si="17"/>
        <v>1090</v>
      </c>
      <c r="P54" s="175">
        <f t="shared" ca="1" si="0"/>
        <v>1425.2558952753218</v>
      </c>
      <c r="Q54" s="11">
        <f t="shared" ca="1" si="1"/>
        <v>2.9930000000000002E-2</v>
      </c>
      <c r="R54" s="12">
        <f t="shared" ca="1" si="2"/>
        <v>42.657908945590385</v>
      </c>
      <c r="S54" s="513"/>
      <c r="U54" s="31">
        <f t="shared" ca="1" si="18"/>
        <v>2106.3704886229862</v>
      </c>
      <c r="V54" s="31">
        <f t="shared" ca="1" si="19"/>
        <v>2197.5603934685569</v>
      </c>
      <c r="X54" s="58">
        <f t="shared" ca="1" si="3"/>
        <v>36</v>
      </c>
      <c r="Y54" s="61">
        <f t="shared" ca="1" si="4"/>
        <v>45818</v>
      </c>
      <c r="Z54" s="31">
        <f t="shared" ca="1" si="14"/>
        <v>1425.2558952753218</v>
      </c>
      <c r="AA54" s="31">
        <f t="shared" ca="1" si="20"/>
        <v>1398.5407855120036</v>
      </c>
      <c r="AB54" s="31">
        <f t="shared" ca="1" si="15"/>
        <v>150590.04660977825</v>
      </c>
      <c r="AC54" t="str">
        <f t="shared" ca="1" si="5"/>
        <v/>
      </c>
      <c r="AD54" t="str">
        <f t="shared" ca="1" si="6"/>
        <v/>
      </c>
    </row>
    <row r="55" spans="1:30">
      <c r="A55" s="180">
        <f ca="1">'PRICE_IOF Ñ USAR'!A55</f>
        <v>37</v>
      </c>
      <c r="B55" s="179">
        <f ca="1">'PRICE_IOF Ñ USAR'!B55</f>
        <v>45848</v>
      </c>
      <c r="C55" s="177">
        <f t="shared" ca="1" si="7"/>
        <v>362.99807818143927</v>
      </c>
      <c r="D55" s="24">
        <f t="shared" ca="1" si="16"/>
        <v>1743.3724104415469</v>
      </c>
      <c r="E55" s="177">
        <f t="shared" ca="1" si="8"/>
        <v>189134.00272270193</v>
      </c>
      <c r="F55" s="178">
        <f t="shared" ca="1" si="9"/>
        <v>39.794370168185509</v>
      </c>
      <c r="G55" s="178">
        <f t="shared" ca="1" si="10"/>
        <v>26.319999999999997</v>
      </c>
      <c r="H55" s="177">
        <f t="shared" ca="1" si="11"/>
        <v>25</v>
      </c>
      <c r="I55" s="25">
        <f t="shared" ca="1" si="12"/>
        <v>2197.484858791172</v>
      </c>
      <c r="J55" s="9" t="str">
        <f ca="1">'PRICE_IOF Ñ USAR'!J55</f>
        <v/>
      </c>
      <c r="K55" s="9" t="str">
        <f ca="1">'PRICE_IOF Ñ USAR'!K55</f>
        <v/>
      </c>
      <c r="L55" s="9">
        <f ca="1">'PRICE_IOF Ñ USAR'!L55</f>
        <v>7</v>
      </c>
      <c r="N55" s="176">
        <f t="shared" ca="1" si="13"/>
        <v>30</v>
      </c>
      <c r="O55" s="176">
        <f t="shared" ca="1" si="17"/>
        <v>1120</v>
      </c>
      <c r="P55" s="175">
        <f t="shared" ca="1" si="0"/>
        <v>1438.3682495349708</v>
      </c>
      <c r="Q55" s="11">
        <f t="shared" ca="1" si="1"/>
        <v>2.9930000000000002E-2</v>
      </c>
      <c r="R55" s="12">
        <f t="shared" ca="1" si="2"/>
        <v>43.050361708581676</v>
      </c>
      <c r="S55" s="513"/>
      <c r="U55" s="31">
        <f t="shared" ca="1" si="18"/>
        <v>2106.3704886229862</v>
      </c>
      <c r="V55" s="31">
        <f t="shared" ca="1" si="19"/>
        <v>2197.484858791172</v>
      </c>
      <c r="X55" s="58">
        <f t="shared" ca="1" si="3"/>
        <v>37</v>
      </c>
      <c r="Y55" s="61">
        <f t="shared" ca="1" si="4"/>
        <v>45848</v>
      </c>
      <c r="Z55" s="31">
        <f t="shared" ca="1" si="14"/>
        <v>1438.3682495349708</v>
      </c>
      <c r="AA55" s="31">
        <f t="shared" ca="1" si="20"/>
        <v>1385.4284312523546</v>
      </c>
      <c r="AB55" s="31">
        <f t="shared" ca="1" si="15"/>
        <v>149151.67836024327</v>
      </c>
      <c r="AC55" t="str">
        <f t="shared" ca="1" si="5"/>
        <v/>
      </c>
      <c r="AD55" t="str">
        <f t="shared" ca="1" si="6"/>
        <v/>
      </c>
    </row>
    <row r="56" spans="1:30">
      <c r="A56" s="180">
        <f ca="1">'PRICE_IOF Ñ USAR'!A56</f>
        <v>38</v>
      </c>
      <c r="B56" s="179">
        <f ca="1">'PRICE_IOF Ñ USAR'!B56</f>
        <v>45879</v>
      </c>
      <c r="C56" s="177">
        <f t="shared" ca="1" si="7"/>
        <v>366.33766050659574</v>
      </c>
      <c r="D56" s="24">
        <f t="shared" ca="1" si="16"/>
        <v>1740.0328281163904</v>
      </c>
      <c r="E56" s="177">
        <f t="shared" ca="1" si="8"/>
        <v>188767.66506219533</v>
      </c>
      <c r="F56" s="178">
        <f t="shared" ca="1" si="9"/>
        <v>39.718140571767407</v>
      </c>
      <c r="G56" s="178">
        <f t="shared" ca="1" si="10"/>
        <v>26.319999999999997</v>
      </c>
      <c r="H56" s="177">
        <f t="shared" ca="1" si="11"/>
        <v>25</v>
      </c>
      <c r="I56" s="25">
        <f t="shared" ca="1" si="12"/>
        <v>2197.4086291947538</v>
      </c>
      <c r="J56" s="9" t="str">
        <f ca="1">'PRICE_IOF Ñ USAR'!J56</f>
        <v/>
      </c>
      <c r="K56" s="9" t="str">
        <f ca="1">'PRICE_IOF Ñ USAR'!K56</f>
        <v/>
      </c>
      <c r="L56" s="9">
        <f ca="1">'PRICE_IOF Ñ USAR'!L56</f>
        <v>8</v>
      </c>
      <c r="N56" s="176">
        <f t="shared" ca="1" si="13"/>
        <v>31</v>
      </c>
      <c r="O56" s="176">
        <f t="shared" ca="1" si="17"/>
        <v>1151</v>
      </c>
      <c r="P56" s="175">
        <f t="shared" ca="1" si="0"/>
        <v>1451.6012374540214</v>
      </c>
      <c r="Q56" s="11">
        <f t="shared" ca="1" si="1"/>
        <v>2.9930000000000002E-2</v>
      </c>
      <c r="R56" s="12">
        <f t="shared" ca="1" si="2"/>
        <v>43.44642503699886</v>
      </c>
      <c r="S56" s="513"/>
      <c r="U56" s="31">
        <f t="shared" ca="1" si="18"/>
        <v>2106.3704886229862</v>
      </c>
      <c r="V56" s="31">
        <f t="shared" ca="1" si="19"/>
        <v>2197.4086291947538</v>
      </c>
      <c r="X56" s="58">
        <f t="shared" ca="1" si="3"/>
        <v>38</v>
      </c>
      <c r="Y56" s="61">
        <f t="shared" ca="1" si="4"/>
        <v>45879</v>
      </c>
      <c r="Z56" s="31">
        <f t="shared" ca="1" si="14"/>
        <v>1451.6012374540214</v>
      </c>
      <c r="AA56" s="31">
        <f t="shared" ca="1" si="20"/>
        <v>1372.195443333304</v>
      </c>
      <c r="AB56" s="31">
        <f t="shared" ca="1" si="15"/>
        <v>147700.07712278925</v>
      </c>
      <c r="AC56" t="str">
        <f t="shared" ca="1" si="5"/>
        <v/>
      </c>
      <c r="AD56" t="str">
        <f t="shared" ca="1" si="6"/>
        <v/>
      </c>
    </row>
    <row r="57" spans="1:30">
      <c r="A57" s="180">
        <f ca="1">'PRICE_IOF Ñ USAR'!A57</f>
        <v>39</v>
      </c>
      <c r="B57" s="179">
        <f ca="1">'PRICE_IOF Ñ USAR'!B57</f>
        <v>45910</v>
      </c>
      <c r="C57" s="177">
        <f t="shared" ca="1" si="7"/>
        <v>369.70796698919821</v>
      </c>
      <c r="D57" s="24">
        <f t="shared" ca="1" si="16"/>
        <v>1736.6625216337879</v>
      </c>
      <c r="E57" s="177">
        <f t="shared" ca="1" si="8"/>
        <v>188397.95709520613</v>
      </c>
      <c r="F57" s="178">
        <f t="shared" ca="1" si="9"/>
        <v>39.641209663061019</v>
      </c>
      <c r="G57" s="178">
        <f t="shared" ca="1" si="10"/>
        <v>26.319999999999997</v>
      </c>
      <c r="H57" s="177">
        <f t="shared" ca="1" si="11"/>
        <v>25</v>
      </c>
      <c r="I57" s="25">
        <f t="shared" ca="1" si="12"/>
        <v>2197.3316982860474</v>
      </c>
      <c r="J57" s="9" t="str">
        <f ca="1">'PRICE_IOF Ñ USAR'!J57</f>
        <v/>
      </c>
      <c r="K57" s="9" t="str">
        <f ca="1">'PRICE_IOF Ñ USAR'!K57</f>
        <v/>
      </c>
      <c r="L57" s="9">
        <f ca="1">'PRICE_IOF Ñ USAR'!L57</f>
        <v>9</v>
      </c>
      <c r="N57" s="176">
        <f t="shared" ca="1" si="13"/>
        <v>31</v>
      </c>
      <c r="O57" s="176">
        <f t="shared" ca="1" si="17"/>
        <v>1182</v>
      </c>
      <c r="P57" s="175">
        <f t="shared" ca="1" si="0"/>
        <v>1464.9559688621416</v>
      </c>
      <c r="Q57" s="11">
        <f t="shared" ca="1" si="1"/>
        <v>2.9930000000000002E-2</v>
      </c>
      <c r="R57" s="12">
        <f t="shared" ca="1" si="2"/>
        <v>43.8461321480439</v>
      </c>
      <c r="S57" s="513"/>
      <c r="U57" s="31">
        <f t="shared" ca="1" si="18"/>
        <v>2106.3704886229862</v>
      </c>
      <c r="V57" s="31">
        <f t="shared" ca="1" si="19"/>
        <v>2197.3316982860474</v>
      </c>
      <c r="X57" s="58">
        <f t="shared" ca="1" si="3"/>
        <v>39</v>
      </c>
      <c r="Y57" s="61">
        <f t="shared" ca="1" si="4"/>
        <v>45910</v>
      </c>
      <c r="Z57" s="31">
        <f t="shared" ca="1" si="14"/>
        <v>1464.9559688621416</v>
      </c>
      <c r="AA57" s="31">
        <f t="shared" ca="1" si="20"/>
        <v>1358.8407119251838</v>
      </c>
      <c r="AB57" s="31">
        <f t="shared" ca="1" si="15"/>
        <v>146235.12115392712</v>
      </c>
      <c r="AC57" t="str">
        <f t="shared" ca="1" si="5"/>
        <v/>
      </c>
      <c r="AD57" t="str">
        <f t="shared" ca="1" si="6"/>
        <v/>
      </c>
    </row>
    <row r="58" spans="1:30">
      <c r="A58" s="180">
        <f ca="1">'PRICE_IOF Ñ USAR'!A58</f>
        <v>40</v>
      </c>
      <c r="B58" s="179">
        <f ca="1">'PRICE_IOF Ñ USAR'!B58</f>
        <v>45940</v>
      </c>
      <c r="C58" s="177">
        <f t="shared" ca="1" si="7"/>
        <v>373.109280291495</v>
      </c>
      <c r="D58" s="24">
        <f t="shared" ca="1" si="16"/>
        <v>1733.2612083314912</v>
      </c>
      <c r="E58" s="177">
        <f t="shared" ca="1" si="8"/>
        <v>188024.84781491462</v>
      </c>
      <c r="F58" s="178">
        <f t="shared" ca="1" si="9"/>
        <v>39.563570989993288</v>
      </c>
      <c r="G58" s="178">
        <f t="shared" ca="1" si="10"/>
        <v>26.319999999999997</v>
      </c>
      <c r="H58" s="177">
        <f t="shared" ca="1" si="11"/>
        <v>25</v>
      </c>
      <c r="I58" s="25">
        <f t="shared" ca="1" si="12"/>
        <v>2197.2540596129797</v>
      </c>
      <c r="J58" s="9" t="str">
        <f ca="1">'PRICE_IOF Ñ USAR'!J58</f>
        <v/>
      </c>
      <c r="K58" s="9" t="str">
        <f ca="1">'PRICE_IOF Ñ USAR'!K58</f>
        <v/>
      </c>
      <c r="L58" s="9">
        <f ca="1">'PRICE_IOF Ñ USAR'!L58</f>
        <v>10</v>
      </c>
      <c r="N58" s="176">
        <f t="shared" ca="1" si="13"/>
        <v>30</v>
      </c>
      <c r="O58" s="176">
        <f t="shared" ca="1" si="17"/>
        <v>1212</v>
      </c>
      <c r="P58" s="175">
        <f t="shared" ca="1" si="0"/>
        <v>1478.4335637994332</v>
      </c>
      <c r="Q58" s="11">
        <f t="shared" ca="1" si="1"/>
        <v>2.9930000000000002E-2</v>
      </c>
      <c r="R58" s="12">
        <f t="shared" ca="1" si="2"/>
        <v>44.249516564517037</v>
      </c>
      <c r="S58" s="513"/>
      <c r="U58" s="31">
        <f t="shared" ca="1" si="18"/>
        <v>2106.3704886229862</v>
      </c>
      <c r="V58" s="31">
        <f t="shared" ca="1" si="19"/>
        <v>2197.2540596129797</v>
      </c>
      <c r="X58" s="58">
        <f t="shared" ca="1" si="3"/>
        <v>40</v>
      </c>
      <c r="Y58" s="61">
        <f t="shared" ca="1" si="4"/>
        <v>45940</v>
      </c>
      <c r="Z58" s="31">
        <f t="shared" ca="1" si="14"/>
        <v>1478.4335637994332</v>
      </c>
      <c r="AA58" s="31">
        <f t="shared" ca="1" si="20"/>
        <v>1345.3631169878922</v>
      </c>
      <c r="AB58" s="31">
        <f t="shared" ca="1" si="15"/>
        <v>144756.68759012769</v>
      </c>
      <c r="AC58" t="str">
        <f t="shared" ca="1" si="5"/>
        <v/>
      </c>
      <c r="AD58" t="str">
        <f t="shared" ca="1" si="6"/>
        <v/>
      </c>
    </row>
    <row r="59" spans="1:30">
      <c r="A59" s="180">
        <f ca="1">'PRICE_IOF Ñ USAR'!A59</f>
        <v>41</v>
      </c>
      <c r="B59" s="179">
        <f ca="1">'PRICE_IOF Ñ USAR'!B59</f>
        <v>45971</v>
      </c>
      <c r="C59" s="177">
        <f t="shared" ca="1" si="7"/>
        <v>376.54188567622828</v>
      </c>
      <c r="D59" s="24">
        <f t="shared" ca="1" si="16"/>
        <v>1729.8286029467579</v>
      </c>
      <c r="E59" s="177">
        <f t="shared" ca="1" si="8"/>
        <v>187648.30592923838</v>
      </c>
      <c r="F59" s="178">
        <f t="shared" ca="1" si="9"/>
        <v>39.485218041132072</v>
      </c>
      <c r="G59" s="178">
        <f t="shared" ca="1" si="10"/>
        <v>26.319999999999997</v>
      </c>
      <c r="H59" s="177">
        <f t="shared" ca="1" si="11"/>
        <v>25</v>
      </c>
      <c r="I59" s="25">
        <f t="shared" ca="1" si="12"/>
        <v>2197.1757066641185</v>
      </c>
      <c r="J59" s="9" t="str">
        <f ca="1">'PRICE_IOF Ñ USAR'!J59</f>
        <v/>
      </c>
      <c r="K59" s="9" t="str">
        <f ca="1">'PRICE_IOF Ñ USAR'!K59</f>
        <v/>
      </c>
      <c r="L59" s="9">
        <f ca="1">'PRICE_IOF Ñ USAR'!L59</f>
        <v>11</v>
      </c>
      <c r="N59" s="176">
        <f t="shared" ca="1" si="13"/>
        <v>31</v>
      </c>
      <c r="O59" s="176">
        <f t="shared" ca="1" si="17"/>
        <v>1243</v>
      </c>
      <c r="P59" s="175">
        <f t="shared" ca="1" si="0"/>
        <v>1492.0351526103661</v>
      </c>
      <c r="Q59" s="11">
        <f t="shared" ca="1" si="1"/>
        <v>2.9930000000000002E-2</v>
      </c>
      <c r="R59" s="12">
        <f t="shared" ca="1" si="2"/>
        <v>44.656612117628264</v>
      </c>
      <c r="S59" s="513"/>
      <c r="U59" s="31">
        <f t="shared" ca="1" si="18"/>
        <v>2106.3704886229862</v>
      </c>
      <c r="V59" s="31">
        <f t="shared" ca="1" si="19"/>
        <v>2197.1757066641185</v>
      </c>
      <c r="X59" s="58">
        <f t="shared" ca="1" si="3"/>
        <v>41</v>
      </c>
      <c r="Y59" s="61">
        <f t="shared" ca="1" si="4"/>
        <v>45971</v>
      </c>
      <c r="Z59" s="31">
        <f t="shared" ca="1" si="14"/>
        <v>1492.0351526103661</v>
      </c>
      <c r="AA59" s="31">
        <f t="shared" ca="1" si="20"/>
        <v>1331.7615281769592</v>
      </c>
      <c r="AB59" s="31">
        <f t="shared" ca="1" si="15"/>
        <v>143264.65243751733</v>
      </c>
      <c r="AC59" t="str">
        <f t="shared" ca="1" si="5"/>
        <v/>
      </c>
      <c r="AD59" t="str">
        <f t="shared" ca="1" si="6"/>
        <v/>
      </c>
    </row>
    <row r="60" spans="1:30">
      <c r="A60" s="180">
        <f ca="1">'PRICE_IOF Ñ USAR'!A60</f>
        <v>42</v>
      </c>
      <c r="B60" s="179">
        <f ca="1">'PRICE_IOF Ñ USAR'!B60</f>
        <v>46001</v>
      </c>
      <c r="C60" s="177">
        <f t="shared" ca="1" si="7"/>
        <v>380.00607103055677</v>
      </c>
      <c r="D60" s="24">
        <f t="shared" ca="1" si="16"/>
        <v>1726.3644175924294</v>
      </c>
      <c r="E60" s="177">
        <f t="shared" ca="1" si="8"/>
        <v>187268.29985820781</v>
      </c>
      <c r="F60" s="178">
        <f t="shared" ca="1" si="9"/>
        <v>39.406144245140062</v>
      </c>
      <c r="G60" s="178">
        <f t="shared" ca="1" si="10"/>
        <v>26.319999999999997</v>
      </c>
      <c r="H60" s="177">
        <f t="shared" ca="1" si="11"/>
        <v>25</v>
      </c>
      <c r="I60" s="25">
        <f t="shared" ca="1" si="12"/>
        <v>2197.0966328681266</v>
      </c>
      <c r="J60" s="9" t="str">
        <f ca="1">'PRICE_IOF Ñ USAR'!J60</f>
        <v/>
      </c>
      <c r="K60" s="9" t="str">
        <f ca="1">'PRICE_IOF Ñ USAR'!K60</f>
        <v/>
      </c>
      <c r="L60" s="9">
        <f ca="1">'PRICE_IOF Ñ USAR'!L60</f>
        <v>12</v>
      </c>
      <c r="N60" s="176">
        <f t="shared" ca="1" si="13"/>
        <v>30</v>
      </c>
      <c r="O60" s="176">
        <f t="shared" ca="1" si="17"/>
        <v>1273</v>
      </c>
      <c r="P60" s="175">
        <f t="shared" ca="1" si="0"/>
        <v>1505.7618760385806</v>
      </c>
      <c r="Q60" s="11">
        <f t="shared" ca="1" si="1"/>
        <v>2.9930000000000002E-2</v>
      </c>
      <c r="R60" s="12">
        <f t="shared" ca="1" si="2"/>
        <v>45.067452949834717</v>
      </c>
      <c r="S60" s="513"/>
      <c r="U60" s="31">
        <f t="shared" ca="1" si="18"/>
        <v>2106.3704886229862</v>
      </c>
      <c r="V60" s="31">
        <f t="shared" ca="1" si="19"/>
        <v>2197.0966328681266</v>
      </c>
      <c r="X60" s="58">
        <f t="shared" ca="1" si="3"/>
        <v>42</v>
      </c>
      <c r="Y60" s="61">
        <f t="shared" ca="1" si="4"/>
        <v>46001</v>
      </c>
      <c r="Z60" s="31">
        <f t="shared" ca="1" si="14"/>
        <v>1505.7618760385806</v>
      </c>
      <c r="AA60" s="31">
        <f t="shared" ca="1" si="20"/>
        <v>1318.0348047487448</v>
      </c>
      <c r="AB60" s="31">
        <f t="shared" ca="1" si="15"/>
        <v>141758.89056147877</v>
      </c>
      <c r="AC60" t="str">
        <f t="shared" ca="1" si="5"/>
        <v/>
      </c>
      <c r="AD60" t="str">
        <f t="shared" ca="1" si="6"/>
        <v/>
      </c>
    </row>
    <row r="61" spans="1:30">
      <c r="A61" s="180">
        <f ca="1">'PRICE_IOF Ñ USAR'!A61</f>
        <v>43</v>
      </c>
      <c r="B61" s="179">
        <f ca="1">'PRICE_IOF Ñ USAR'!B61</f>
        <v>46032</v>
      </c>
      <c r="C61" s="177">
        <f t="shared" ca="1" si="7"/>
        <v>383.50212689020123</v>
      </c>
      <c r="D61" s="24">
        <f t="shared" ca="1" si="16"/>
        <v>1722.8683617327849</v>
      </c>
      <c r="E61" s="177">
        <f t="shared" ca="1" si="8"/>
        <v>186884.79773131761</v>
      </c>
      <c r="F61" s="178">
        <f t="shared" ca="1" si="9"/>
        <v>39.326342970223642</v>
      </c>
      <c r="G61" s="178">
        <f t="shared" ca="1" si="10"/>
        <v>26.319999999999997</v>
      </c>
      <c r="H61" s="177">
        <f t="shared" ca="1" si="11"/>
        <v>25</v>
      </c>
      <c r="I61" s="25">
        <f t="shared" ca="1" si="12"/>
        <v>2197.0168315932101</v>
      </c>
      <c r="J61" s="9" t="str">
        <f ca="1">'PRICE_IOF Ñ USAR'!J61</f>
        <v/>
      </c>
      <c r="K61" s="9" t="str">
        <f ca="1">'PRICE_IOF Ñ USAR'!K61</f>
        <v/>
      </c>
      <c r="L61" s="9">
        <f ca="1">'PRICE_IOF Ñ USAR'!L61</f>
        <v>1</v>
      </c>
      <c r="N61" s="176">
        <f t="shared" ca="1" si="13"/>
        <v>31</v>
      </c>
      <c r="O61" s="176">
        <f t="shared" ca="1" si="17"/>
        <v>1304</v>
      </c>
      <c r="P61" s="175">
        <f t="shared" ca="1" si="0"/>
        <v>1519.6148853225573</v>
      </c>
      <c r="Q61" s="11">
        <f t="shared" ca="1" si="1"/>
        <v>2.9930000000000002E-2</v>
      </c>
      <c r="R61" s="12">
        <f t="shared" ca="1" si="2"/>
        <v>45.482073517704144</v>
      </c>
      <c r="S61" s="513"/>
      <c r="U61" s="31">
        <f t="shared" ca="1" si="18"/>
        <v>2106.3704886229862</v>
      </c>
      <c r="V61" s="31">
        <f t="shared" ca="1" si="19"/>
        <v>2197.0168315932101</v>
      </c>
      <c r="X61" s="58">
        <f t="shared" ca="1" si="3"/>
        <v>43</v>
      </c>
      <c r="Y61" s="61">
        <f t="shared" ca="1" si="4"/>
        <v>46032</v>
      </c>
      <c r="Z61" s="31">
        <f t="shared" ca="1" si="14"/>
        <v>1519.6148853225573</v>
      </c>
      <c r="AA61" s="31">
        <f t="shared" ca="1" si="20"/>
        <v>1304.1817954647681</v>
      </c>
      <c r="AB61" s="31">
        <f t="shared" ca="1" si="15"/>
        <v>140239.27567615622</v>
      </c>
      <c r="AC61" t="str">
        <f t="shared" ca="1" si="5"/>
        <v/>
      </c>
      <c r="AD61" t="str">
        <f t="shared" ca="1" si="6"/>
        <v/>
      </c>
    </row>
    <row r="62" spans="1:30">
      <c r="A62" s="180">
        <f ca="1">'PRICE_IOF Ñ USAR'!A62</f>
        <v>44</v>
      </c>
      <c r="B62" s="179">
        <f ca="1">'PRICE_IOF Ñ USAR'!B62</f>
        <v>46063</v>
      </c>
      <c r="C62" s="177">
        <f t="shared" ca="1" si="7"/>
        <v>387.03034646381116</v>
      </c>
      <c r="D62" s="24">
        <f t="shared" ca="1" si="16"/>
        <v>1719.340142159175</v>
      </c>
      <c r="E62" s="177">
        <f t="shared" ca="1" si="8"/>
        <v>186497.7673848538</v>
      </c>
      <c r="F62" s="178">
        <f t="shared" ca="1" si="9"/>
        <v>39.245807523576701</v>
      </c>
      <c r="G62" s="178">
        <f t="shared" ca="1" si="10"/>
        <v>26.319999999999997</v>
      </c>
      <c r="H62" s="177">
        <f t="shared" ca="1" si="11"/>
        <v>25</v>
      </c>
      <c r="I62" s="25">
        <f t="shared" ca="1" si="12"/>
        <v>2196.9362961465631</v>
      </c>
      <c r="J62" s="9" t="str">
        <f ca="1">'PRICE_IOF Ñ USAR'!J62</f>
        <v/>
      </c>
      <c r="K62" s="9" t="str">
        <f ca="1">'PRICE_IOF Ñ USAR'!K62</f>
        <v/>
      </c>
      <c r="L62" s="9">
        <f ca="1">'PRICE_IOF Ñ USAR'!L62</f>
        <v>2</v>
      </c>
      <c r="N62" s="176">
        <f t="shared" ca="1" si="13"/>
        <v>31</v>
      </c>
      <c r="O62" s="176">
        <f t="shared" ca="1" si="17"/>
        <v>1335</v>
      </c>
      <c r="P62" s="175">
        <f t="shared" ca="1" si="0"/>
        <v>1533.5953422921709</v>
      </c>
      <c r="Q62" s="11">
        <f t="shared" ca="1" si="1"/>
        <v>2.9930000000000002E-2</v>
      </c>
      <c r="R62" s="12">
        <f t="shared" ca="1" si="2"/>
        <v>45.900508594804677</v>
      </c>
      <c r="S62" s="513"/>
      <c r="U62" s="31">
        <f t="shared" ca="1" si="18"/>
        <v>2106.3704886229862</v>
      </c>
      <c r="V62" s="31">
        <f t="shared" ca="1" si="19"/>
        <v>2196.9362961465631</v>
      </c>
      <c r="X62" s="58">
        <f t="shared" ca="1" si="3"/>
        <v>44</v>
      </c>
      <c r="Y62" s="61">
        <f t="shared" ca="1" si="4"/>
        <v>46063</v>
      </c>
      <c r="Z62" s="31">
        <f t="shared" ca="1" si="14"/>
        <v>1533.5953422921709</v>
      </c>
      <c r="AA62" s="31">
        <f t="shared" ca="1" si="20"/>
        <v>1290.2013384951545</v>
      </c>
      <c r="AB62" s="31">
        <f t="shared" ca="1" si="15"/>
        <v>138705.68033386406</v>
      </c>
      <c r="AC62" t="str">
        <f t="shared" ca="1" si="5"/>
        <v/>
      </c>
      <c r="AD62" t="str">
        <f t="shared" ca="1" si="6"/>
        <v/>
      </c>
    </row>
    <row r="63" spans="1:30">
      <c r="A63" s="180">
        <f ca="1">'PRICE_IOF Ñ USAR'!A63</f>
        <v>45</v>
      </c>
      <c r="B63" s="179">
        <f ca="1">'PRICE_IOF Ñ USAR'!B63</f>
        <v>46091</v>
      </c>
      <c r="C63" s="177">
        <f t="shared" ca="1" si="7"/>
        <v>390.59102565755529</v>
      </c>
      <c r="D63" s="24">
        <f t="shared" ca="1" si="16"/>
        <v>1715.7794629654309</v>
      </c>
      <c r="E63" s="177">
        <f t="shared" ca="1" si="8"/>
        <v>186107.17635919625</v>
      </c>
      <c r="F63" s="178">
        <f t="shared" ca="1" si="9"/>
        <v>39.1645311508193</v>
      </c>
      <c r="G63" s="178">
        <f t="shared" ca="1" si="10"/>
        <v>26.319999999999997</v>
      </c>
      <c r="H63" s="177">
        <f t="shared" ca="1" si="11"/>
        <v>25</v>
      </c>
      <c r="I63" s="25">
        <f t="shared" ca="1" si="12"/>
        <v>2196.8550197738055</v>
      </c>
      <c r="J63" s="9" t="str">
        <f ca="1">'PRICE_IOF Ñ USAR'!J63</f>
        <v/>
      </c>
      <c r="K63" s="9" t="str">
        <f ca="1">'PRICE_IOF Ñ USAR'!K63</f>
        <v/>
      </c>
      <c r="L63" s="9">
        <f ca="1">'PRICE_IOF Ñ USAR'!L63</f>
        <v>3</v>
      </c>
      <c r="N63" s="176">
        <f t="shared" ca="1" si="13"/>
        <v>28</v>
      </c>
      <c r="O63" s="176">
        <f t="shared" ca="1" si="17"/>
        <v>1363</v>
      </c>
      <c r="P63" s="175">
        <f t="shared" ca="1" si="0"/>
        <v>1547.7044194661319</v>
      </c>
      <c r="Q63" s="11">
        <f t="shared" ca="1" si="1"/>
        <v>2.9930000000000002E-2</v>
      </c>
      <c r="R63" s="12">
        <f t="shared" ca="1" si="2"/>
        <v>46.322793274621333</v>
      </c>
      <c r="S63" s="513"/>
      <c r="U63" s="31">
        <f t="shared" ca="1" si="18"/>
        <v>2106.3704886229862</v>
      </c>
      <c r="V63" s="31">
        <f t="shared" ca="1" si="19"/>
        <v>2196.8550197738055</v>
      </c>
      <c r="X63" s="58">
        <f t="shared" ca="1" si="3"/>
        <v>45</v>
      </c>
      <c r="Y63" s="61">
        <f t="shared" ca="1" si="4"/>
        <v>46091</v>
      </c>
      <c r="Z63" s="31">
        <f t="shared" ca="1" si="14"/>
        <v>1547.7044194661319</v>
      </c>
      <c r="AA63" s="31">
        <f t="shared" ca="1" si="20"/>
        <v>1276.0922613211935</v>
      </c>
      <c r="AB63" s="31">
        <f t="shared" ca="1" si="15"/>
        <v>137157.97591439792</v>
      </c>
      <c r="AC63" t="str">
        <f t="shared" ca="1" si="5"/>
        <v/>
      </c>
      <c r="AD63" t="str">
        <f t="shared" ca="1" si="6"/>
        <v/>
      </c>
    </row>
    <row r="64" spans="1:30">
      <c r="A64" s="180">
        <f ca="1">'PRICE_IOF Ñ USAR'!A64</f>
        <v>46</v>
      </c>
      <c r="B64" s="179">
        <f ca="1">'PRICE_IOF Ñ USAR'!B64</f>
        <v>46122</v>
      </c>
      <c r="C64" s="177">
        <f t="shared" ca="1" si="7"/>
        <v>394.18446309993965</v>
      </c>
      <c r="D64" s="24">
        <f t="shared" ca="1" si="16"/>
        <v>1712.1860255230465</v>
      </c>
      <c r="E64" s="177">
        <f t="shared" ca="1" si="8"/>
        <v>185712.99189609633</v>
      </c>
      <c r="F64" s="178">
        <f t="shared" ca="1" si="9"/>
        <v>39.082507035431213</v>
      </c>
      <c r="G64" s="178">
        <f t="shared" ca="1" si="10"/>
        <v>26.319999999999997</v>
      </c>
      <c r="H64" s="177">
        <f t="shared" ca="1" si="11"/>
        <v>25</v>
      </c>
      <c r="I64" s="25">
        <f t="shared" ca="1" si="12"/>
        <v>2196.7729956584176</v>
      </c>
      <c r="J64" s="9" t="str">
        <f ca="1">'PRICE_IOF Ñ USAR'!J64</f>
        <v/>
      </c>
      <c r="K64" s="9" t="str">
        <f ca="1">'PRICE_IOF Ñ USAR'!K64</f>
        <v/>
      </c>
      <c r="L64" s="9">
        <f ca="1">'PRICE_IOF Ñ USAR'!L64</f>
        <v>4</v>
      </c>
      <c r="N64" s="176">
        <f t="shared" ca="1" si="13"/>
        <v>31</v>
      </c>
      <c r="O64" s="176">
        <f t="shared" ca="1" si="17"/>
        <v>1394</v>
      </c>
      <c r="P64" s="175">
        <f t="shared" ca="1" si="0"/>
        <v>1561.9433001503223</v>
      </c>
      <c r="Q64" s="11">
        <f t="shared" ca="1" si="1"/>
        <v>2.9930000000000002E-2</v>
      </c>
      <c r="R64" s="12">
        <f t="shared" ca="1" si="2"/>
        <v>46.748962973499147</v>
      </c>
      <c r="S64" s="513"/>
      <c r="U64" s="31">
        <f t="shared" ca="1" si="18"/>
        <v>2106.3704886229862</v>
      </c>
      <c r="V64" s="31">
        <f t="shared" ca="1" si="19"/>
        <v>2196.7729956584176</v>
      </c>
      <c r="X64" s="58">
        <f t="shared" ca="1" si="3"/>
        <v>46</v>
      </c>
      <c r="Y64" s="61">
        <f t="shared" ca="1" si="4"/>
        <v>46122</v>
      </c>
      <c r="Z64" s="31">
        <f t="shared" ca="1" si="14"/>
        <v>1561.9433001503223</v>
      </c>
      <c r="AA64" s="31">
        <f t="shared" ca="1" si="20"/>
        <v>1261.8533806370031</v>
      </c>
      <c r="AB64" s="31">
        <f t="shared" ca="1" si="15"/>
        <v>135596.03261424758</v>
      </c>
      <c r="AC64" t="str">
        <f t="shared" ca="1" si="5"/>
        <v/>
      </c>
      <c r="AD64" t="str">
        <f t="shared" ca="1" si="6"/>
        <v/>
      </c>
    </row>
    <row r="65" spans="1:30">
      <c r="A65" s="180">
        <f ca="1">'PRICE_IOF Ñ USAR'!A65</f>
        <v>47</v>
      </c>
      <c r="B65" s="179">
        <f ca="1">'PRICE_IOF Ñ USAR'!B65</f>
        <v>46152</v>
      </c>
      <c r="C65" s="177">
        <f t="shared" ca="1" si="7"/>
        <v>397.81096016685228</v>
      </c>
      <c r="D65" s="24">
        <f t="shared" ca="1" si="16"/>
        <v>1708.5595284561339</v>
      </c>
      <c r="E65" s="177">
        <f t="shared" ca="1" si="8"/>
        <v>185315.18093592947</v>
      </c>
      <c r="F65" s="178">
        <f t="shared" ca="1" si="9"/>
        <v>38.99972829818023</v>
      </c>
      <c r="G65" s="178">
        <f t="shared" ca="1" si="10"/>
        <v>26.319999999999997</v>
      </c>
      <c r="H65" s="177">
        <f t="shared" ca="1" si="11"/>
        <v>25</v>
      </c>
      <c r="I65" s="25">
        <f t="shared" ca="1" si="12"/>
        <v>2196.6902169211667</v>
      </c>
      <c r="J65" s="9" t="str">
        <f ca="1">'PRICE_IOF Ñ USAR'!J65</f>
        <v/>
      </c>
      <c r="K65" s="9" t="str">
        <f ca="1">'PRICE_IOF Ñ USAR'!K65</f>
        <v/>
      </c>
      <c r="L65" s="9">
        <f ca="1">'PRICE_IOF Ñ USAR'!L65</f>
        <v>5</v>
      </c>
      <c r="N65" s="176">
        <f t="shared" ca="1" si="13"/>
        <v>30</v>
      </c>
      <c r="O65" s="176">
        <f t="shared" ca="1" si="17"/>
        <v>1424</v>
      </c>
      <c r="P65" s="175">
        <f t="shared" ca="1" si="0"/>
        <v>1576.3131785370383</v>
      </c>
      <c r="Q65" s="11">
        <f t="shared" ca="1" si="1"/>
        <v>2.9930000000000002E-2</v>
      </c>
      <c r="R65" s="12">
        <f t="shared" ca="1" si="2"/>
        <v>47.179053433613561</v>
      </c>
      <c r="S65" s="513"/>
      <c r="U65" s="31">
        <f t="shared" ca="1" si="18"/>
        <v>2106.3704886229862</v>
      </c>
      <c r="V65" s="31">
        <f t="shared" ca="1" si="19"/>
        <v>2196.6902169211667</v>
      </c>
      <c r="X65" s="58">
        <f t="shared" ca="1" si="3"/>
        <v>47</v>
      </c>
      <c r="Y65" s="61">
        <f t="shared" ca="1" si="4"/>
        <v>46152</v>
      </c>
      <c r="Z65" s="31">
        <f t="shared" ca="1" si="14"/>
        <v>1576.3131785370383</v>
      </c>
      <c r="AA65" s="31">
        <f t="shared" ca="1" si="20"/>
        <v>1247.4835022502871</v>
      </c>
      <c r="AB65" s="31">
        <f t="shared" ca="1" si="15"/>
        <v>134019.71943571055</v>
      </c>
      <c r="AC65" t="str">
        <f t="shared" ca="1" si="5"/>
        <v/>
      </c>
      <c r="AD65" t="str">
        <f t="shared" ca="1" si="6"/>
        <v/>
      </c>
    </row>
    <row r="66" spans="1:30">
      <c r="A66" s="180">
        <f ca="1">'PRICE_IOF Ñ USAR'!A66</f>
        <v>48</v>
      </c>
      <c r="B66" s="179">
        <f ca="1">'PRICE_IOF Ñ USAR'!B66</f>
        <v>46183</v>
      </c>
      <c r="C66" s="177">
        <f t="shared" ca="1" si="7"/>
        <v>401.47082100683929</v>
      </c>
      <c r="D66" s="24">
        <f t="shared" ca="1" si="16"/>
        <v>1704.8996676161469</v>
      </c>
      <c r="E66" s="177">
        <f t="shared" ca="1" si="8"/>
        <v>184913.71011492264</v>
      </c>
      <c r="F66" s="178">
        <f t="shared" ca="1" si="9"/>
        <v>38.91618799654519</v>
      </c>
      <c r="G66" s="178">
        <f t="shared" ca="1" si="10"/>
        <v>26.319999999999997</v>
      </c>
      <c r="H66" s="177">
        <f t="shared" ca="1" si="11"/>
        <v>25</v>
      </c>
      <c r="I66" s="25">
        <f t="shared" ca="1" si="12"/>
        <v>2196.6066766195313</v>
      </c>
      <c r="J66" s="9" t="str">
        <f ca="1">'PRICE_IOF Ñ USAR'!J66</f>
        <v/>
      </c>
      <c r="K66" s="9" t="str">
        <f ca="1">'PRICE_IOF Ñ USAR'!K66</f>
        <v/>
      </c>
      <c r="L66" s="9">
        <f ca="1">'PRICE_IOF Ñ USAR'!L66</f>
        <v>6</v>
      </c>
      <c r="N66" s="176">
        <f t="shared" ca="1" si="13"/>
        <v>31</v>
      </c>
      <c r="O66" s="176">
        <f t="shared" ca="1" si="17"/>
        <v>1455</v>
      </c>
      <c r="P66" s="175">
        <f t="shared" ca="1" si="0"/>
        <v>1590.8152598051452</v>
      </c>
      <c r="Q66" s="11">
        <f t="shared" ca="1" si="1"/>
        <v>2.9930000000000002E-2</v>
      </c>
      <c r="R66" s="12">
        <f t="shared" ca="1" si="2"/>
        <v>47.613100725967996</v>
      </c>
      <c r="S66" s="513"/>
      <c r="U66" s="31">
        <f t="shared" ca="1" si="18"/>
        <v>2106.3704886229862</v>
      </c>
      <c r="V66" s="31">
        <f t="shared" ca="1" si="19"/>
        <v>2196.6066766195313</v>
      </c>
      <c r="X66" s="58">
        <f t="shared" ca="1" si="3"/>
        <v>48</v>
      </c>
      <c r="Y66" s="61">
        <f t="shared" ca="1" si="4"/>
        <v>46183</v>
      </c>
      <c r="Z66" s="31">
        <f t="shared" ca="1" si="14"/>
        <v>1590.8152598051452</v>
      </c>
      <c r="AA66" s="31">
        <f t="shared" ca="1" si="20"/>
        <v>1232.9814209821802</v>
      </c>
      <c r="AB66" s="31">
        <f t="shared" ca="1" si="15"/>
        <v>132428.90417590539</v>
      </c>
      <c r="AC66" t="str">
        <f t="shared" ca="1" si="5"/>
        <v/>
      </c>
      <c r="AD66" t="str">
        <f t="shared" ca="1" si="6"/>
        <v/>
      </c>
    </row>
    <row r="67" spans="1:30">
      <c r="A67" s="180">
        <f ca="1">'PRICE_IOF Ñ USAR'!A67</f>
        <v>49</v>
      </c>
      <c r="B67" s="179">
        <f ca="1">'PRICE_IOF Ñ USAR'!B67</f>
        <v>46213</v>
      </c>
      <c r="C67" s="177">
        <f t="shared" ca="1" si="7"/>
        <v>405.16435256661362</v>
      </c>
      <c r="D67" s="24">
        <f t="shared" ca="1" si="16"/>
        <v>1701.2061360563725</v>
      </c>
      <c r="E67" s="177">
        <f t="shared" ca="1" si="8"/>
        <v>184508.54576235602</v>
      </c>
      <c r="F67" s="178">
        <f t="shared" ca="1" si="9"/>
        <v>38.831879124133756</v>
      </c>
      <c r="G67" s="178">
        <f t="shared" ca="1" si="10"/>
        <v>26.319999999999997</v>
      </c>
      <c r="H67" s="177">
        <f t="shared" ca="1" si="11"/>
        <v>25</v>
      </c>
      <c r="I67" s="25">
        <f t="shared" ca="1" si="12"/>
        <v>2196.5223677471199</v>
      </c>
      <c r="J67" s="9" t="str">
        <f ca="1">'PRICE_IOF Ñ USAR'!J67</f>
        <v/>
      </c>
      <c r="K67" s="9" t="str">
        <f ca="1">'PRICE_IOF Ñ USAR'!K67</f>
        <v/>
      </c>
      <c r="L67" s="9">
        <f ca="1">'PRICE_IOF Ñ USAR'!L67</f>
        <v>7</v>
      </c>
      <c r="N67" s="176">
        <f t="shared" ca="1" si="13"/>
        <v>30</v>
      </c>
      <c r="O67" s="176">
        <f t="shared" ca="1" si="17"/>
        <v>1485</v>
      </c>
      <c r="P67" s="175">
        <f t="shared" ca="1" si="0"/>
        <v>1605.4507602211536</v>
      </c>
      <c r="Q67" s="11">
        <f t="shared" ca="1" si="1"/>
        <v>2.9930000000000002E-2</v>
      </c>
      <c r="R67" s="12">
        <f t="shared" ca="1" si="2"/>
        <v>48.051141253419132</v>
      </c>
      <c r="S67" s="513"/>
      <c r="U67" s="31">
        <f t="shared" ca="1" si="18"/>
        <v>2106.3704886229862</v>
      </c>
      <c r="V67" s="31">
        <f t="shared" ca="1" si="19"/>
        <v>2196.5223677471199</v>
      </c>
      <c r="X67" s="58">
        <f t="shared" ca="1" si="3"/>
        <v>49</v>
      </c>
      <c r="Y67" s="61">
        <f t="shared" ca="1" si="4"/>
        <v>46213</v>
      </c>
      <c r="Z67" s="31">
        <f t="shared" ca="1" si="14"/>
        <v>1605.4507602211536</v>
      </c>
      <c r="AA67" s="31">
        <f t="shared" ca="1" si="20"/>
        <v>1218.3459205661718</v>
      </c>
      <c r="AB67" s="31">
        <f t="shared" ca="1" si="15"/>
        <v>130823.45341568424</v>
      </c>
      <c r="AC67" t="str">
        <f t="shared" ca="1" si="5"/>
        <v/>
      </c>
      <c r="AD67" t="str">
        <f t="shared" ca="1" si="6"/>
        <v/>
      </c>
    </row>
    <row r="68" spans="1:30">
      <c r="A68" s="180">
        <f ca="1">'PRICE_IOF Ñ USAR'!A68</f>
        <v>50</v>
      </c>
      <c r="B68" s="179">
        <f ca="1">'PRICE_IOF Ñ USAR'!B68</f>
        <v>46244</v>
      </c>
      <c r="C68" s="177">
        <f t="shared" ca="1" si="7"/>
        <v>408.89186461679765</v>
      </c>
      <c r="D68" s="24">
        <f t="shared" ca="1" si="16"/>
        <v>1697.4786240061885</v>
      </c>
      <c r="E68" s="177">
        <f t="shared" ca="1" si="8"/>
        <v>184099.65389773922</v>
      </c>
      <c r="F68" s="178">
        <f t="shared" ca="1" si="9"/>
        <v>38.746794610094767</v>
      </c>
      <c r="G68" s="178">
        <f t="shared" ca="1" si="10"/>
        <v>26.319999999999997</v>
      </c>
      <c r="H68" s="177">
        <f t="shared" ca="1" si="11"/>
        <v>25</v>
      </c>
      <c r="I68" s="25">
        <f t="shared" ca="1" si="12"/>
        <v>2196.437283233081</v>
      </c>
      <c r="J68" s="9" t="str">
        <f ca="1">'PRICE_IOF Ñ USAR'!J68</f>
        <v/>
      </c>
      <c r="K68" s="9" t="str">
        <f ca="1">'PRICE_IOF Ñ USAR'!K68</f>
        <v/>
      </c>
      <c r="L68" s="9">
        <f ca="1">'PRICE_IOF Ñ USAR'!L68</f>
        <v>8</v>
      </c>
      <c r="N68" s="176">
        <f t="shared" ca="1" si="13"/>
        <v>31</v>
      </c>
      <c r="O68" s="176">
        <f t="shared" ca="1" si="17"/>
        <v>1516</v>
      </c>
      <c r="P68" s="175">
        <f t="shared" ca="1" si="0"/>
        <v>1620.2209072412268</v>
      </c>
      <c r="Q68" s="11">
        <f t="shared" ca="1" si="1"/>
        <v>2.9930000000000002E-2</v>
      </c>
      <c r="R68" s="12">
        <f t="shared" ca="1" si="2"/>
        <v>48.493211753729923</v>
      </c>
      <c r="S68" s="513"/>
      <c r="U68" s="31">
        <f t="shared" ca="1" si="18"/>
        <v>2106.3704886229862</v>
      </c>
      <c r="V68" s="31">
        <f t="shared" ca="1" si="19"/>
        <v>2196.437283233081</v>
      </c>
      <c r="X68" s="58">
        <f t="shared" ca="1" si="3"/>
        <v>50</v>
      </c>
      <c r="Y68" s="61">
        <f t="shared" ca="1" si="4"/>
        <v>46244</v>
      </c>
      <c r="Z68" s="31">
        <f t="shared" ca="1" si="14"/>
        <v>1620.2209072412268</v>
      </c>
      <c r="AA68" s="31">
        <f t="shared" ca="1" si="20"/>
        <v>1203.5757735460986</v>
      </c>
      <c r="AB68" s="31">
        <f t="shared" ca="1" si="15"/>
        <v>129203.23250844302</v>
      </c>
      <c r="AC68" t="str">
        <f t="shared" ca="1" si="5"/>
        <v/>
      </c>
      <c r="AD68" t="str">
        <f t="shared" ca="1" si="6"/>
        <v/>
      </c>
    </row>
    <row r="69" spans="1:30">
      <c r="A69" s="180">
        <f ca="1">'PRICE_IOF Ñ USAR'!A69</f>
        <v>51</v>
      </c>
      <c r="B69" s="179">
        <f ca="1">'PRICE_IOF Ñ USAR'!B69</f>
        <v>46275</v>
      </c>
      <c r="C69" s="177">
        <f t="shared" ca="1" si="7"/>
        <v>412.65366977790404</v>
      </c>
      <c r="D69" s="24">
        <f t="shared" ca="1" si="16"/>
        <v>1693.7168188450821</v>
      </c>
      <c r="E69" s="177">
        <f t="shared" ca="1" si="8"/>
        <v>183687.00022796131</v>
      </c>
      <c r="F69" s="178">
        <f t="shared" ca="1" si="9"/>
        <v>38.660927318525239</v>
      </c>
      <c r="G69" s="178">
        <f t="shared" ca="1" si="10"/>
        <v>26.319999999999997</v>
      </c>
      <c r="H69" s="177">
        <f t="shared" ca="1" si="11"/>
        <v>25</v>
      </c>
      <c r="I69" s="25">
        <f t="shared" ca="1" si="12"/>
        <v>2196.3514159415117</v>
      </c>
      <c r="J69" s="9" t="str">
        <f ca="1">'PRICE_IOF Ñ USAR'!J69</f>
        <v/>
      </c>
      <c r="K69" s="9" t="str">
        <f ca="1">'PRICE_IOF Ñ USAR'!K69</f>
        <v/>
      </c>
      <c r="L69" s="9">
        <f ca="1">'PRICE_IOF Ñ USAR'!L69</f>
        <v>9</v>
      </c>
      <c r="N69" s="176">
        <f t="shared" ca="1" si="13"/>
        <v>31</v>
      </c>
      <c r="O69" s="176">
        <f t="shared" ca="1" si="17"/>
        <v>1547</v>
      </c>
      <c r="P69" s="175">
        <f t="shared" ca="1" si="0"/>
        <v>1635.1269396141242</v>
      </c>
      <c r="Q69" s="11">
        <f t="shared" ca="1" si="1"/>
        <v>2.9930000000000002E-2</v>
      </c>
      <c r="R69" s="12">
        <f t="shared" ca="1" si="2"/>
        <v>48.93934930265074</v>
      </c>
      <c r="S69" s="513"/>
      <c r="U69" s="31">
        <f t="shared" ca="1" si="18"/>
        <v>2106.3704886229862</v>
      </c>
      <c r="V69" s="31">
        <f t="shared" ca="1" si="19"/>
        <v>2196.3514159415117</v>
      </c>
      <c r="X69" s="58">
        <f t="shared" ca="1" si="3"/>
        <v>51</v>
      </c>
      <c r="Y69" s="61">
        <f t="shared" ca="1" si="4"/>
        <v>46275</v>
      </c>
      <c r="Z69" s="31">
        <f t="shared" ca="1" si="14"/>
        <v>1635.1269396141242</v>
      </c>
      <c r="AA69" s="31">
        <f t="shared" ca="1" si="20"/>
        <v>1188.6697411732011</v>
      </c>
      <c r="AB69" s="31">
        <f t="shared" ca="1" si="15"/>
        <v>127568.10556882889</v>
      </c>
      <c r="AC69" t="str">
        <f t="shared" ca="1" si="5"/>
        <v/>
      </c>
      <c r="AD69" t="str">
        <f t="shared" ca="1" si="6"/>
        <v/>
      </c>
    </row>
    <row r="70" spans="1:30">
      <c r="A70" s="180">
        <f ca="1">'PRICE_IOF Ñ USAR'!A70</f>
        <v>52</v>
      </c>
      <c r="B70" s="179">
        <f ca="1">'PRICE_IOF Ñ USAR'!B70</f>
        <v>46305</v>
      </c>
      <c r="C70" s="177">
        <f t="shared" ca="1" si="7"/>
        <v>416.45008354655351</v>
      </c>
      <c r="D70" s="24">
        <f t="shared" ca="1" si="16"/>
        <v>1689.9204050764326</v>
      </c>
      <c r="E70" s="177">
        <f t="shared" ca="1" si="8"/>
        <v>183270.55014441477</v>
      </c>
      <c r="F70" s="178">
        <f t="shared" ca="1" si="9"/>
        <v>38.574270047871877</v>
      </c>
      <c r="G70" s="178">
        <f t="shared" ca="1" si="10"/>
        <v>26.319999999999997</v>
      </c>
      <c r="H70" s="177">
        <f t="shared" ca="1" si="11"/>
        <v>25</v>
      </c>
      <c r="I70" s="25">
        <f t="shared" ca="1" si="12"/>
        <v>2196.2647586708581</v>
      </c>
      <c r="J70" s="9" t="str">
        <f ca="1">'PRICE_IOF Ñ USAR'!J70</f>
        <v/>
      </c>
      <c r="K70" s="9" t="str">
        <f ca="1">'PRICE_IOF Ñ USAR'!K70</f>
        <v/>
      </c>
      <c r="L70" s="9">
        <f ca="1">'PRICE_IOF Ñ USAR'!L70</f>
        <v>10</v>
      </c>
      <c r="N70" s="176">
        <f t="shared" ca="1" si="13"/>
        <v>30</v>
      </c>
      <c r="O70" s="176">
        <f t="shared" ca="1" si="17"/>
        <v>1577</v>
      </c>
      <c r="P70" s="175">
        <f t="shared" ca="1" si="0"/>
        <v>1650.1701074850939</v>
      </c>
      <c r="Q70" s="11">
        <f t="shared" ca="1" si="1"/>
        <v>2.9930000000000002E-2</v>
      </c>
      <c r="R70" s="12">
        <f t="shared" ca="1" si="2"/>
        <v>49.389591317028867</v>
      </c>
      <c r="S70" s="513"/>
      <c r="U70" s="31">
        <f t="shared" ca="1" si="18"/>
        <v>2106.3704886229862</v>
      </c>
      <c r="V70" s="31">
        <f t="shared" ca="1" si="19"/>
        <v>2196.2647586708581</v>
      </c>
      <c r="X70" s="58">
        <f t="shared" ca="1" si="3"/>
        <v>52</v>
      </c>
      <c r="Y70" s="61">
        <f t="shared" ca="1" si="4"/>
        <v>46305</v>
      </c>
      <c r="Z70" s="31">
        <f t="shared" ca="1" si="14"/>
        <v>1650.1701074850939</v>
      </c>
      <c r="AA70" s="31">
        <f t="shared" ca="1" si="20"/>
        <v>1173.6265733022315</v>
      </c>
      <c r="AB70" s="31">
        <f t="shared" ca="1" si="15"/>
        <v>125917.93546134379</v>
      </c>
      <c r="AC70" t="str">
        <f t="shared" ca="1" si="5"/>
        <v/>
      </c>
      <c r="AD70" t="str">
        <f t="shared" ca="1" si="6"/>
        <v/>
      </c>
    </row>
    <row r="71" spans="1:30">
      <c r="A71" s="180">
        <f ca="1">'PRICE_IOF Ñ USAR'!A71</f>
        <v>53</v>
      </c>
      <c r="B71" s="179">
        <f ca="1">'PRICE_IOF Ñ USAR'!B71</f>
        <v>46336</v>
      </c>
      <c r="C71" s="177">
        <f t="shared" ca="1" si="7"/>
        <v>420.28142432193613</v>
      </c>
      <c r="D71" s="24">
        <f t="shared" ca="1" si="16"/>
        <v>1686.08906430105</v>
      </c>
      <c r="E71" s="177">
        <f t="shared" ca="1" si="8"/>
        <v>182850.26872009283</v>
      </c>
      <c r="F71" s="178">
        <f t="shared" ca="1" si="9"/>
        <v>38.4868155303271</v>
      </c>
      <c r="G71" s="178">
        <f t="shared" ca="1" si="10"/>
        <v>26.319999999999997</v>
      </c>
      <c r="H71" s="177">
        <f t="shared" ca="1" si="11"/>
        <v>25</v>
      </c>
      <c r="I71" s="25">
        <f t="shared" ca="1" si="12"/>
        <v>2196.1773041533133</v>
      </c>
      <c r="J71" s="9" t="str">
        <f ca="1">'PRICE_IOF Ñ USAR'!J71</f>
        <v/>
      </c>
      <c r="K71" s="9" t="str">
        <f ca="1">'PRICE_IOF Ñ USAR'!K71</f>
        <v/>
      </c>
      <c r="L71" s="9">
        <f ca="1">'PRICE_IOF Ñ USAR'!L71</f>
        <v>11</v>
      </c>
      <c r="N71" s="176">
        <f t="shared" ca="1" si="13"/>
        <v>31</v>
      </c>
      <c r="O71" s="176">
        <f t="shared" ca="1" si="17"/>
        <v>1608</v>
      </c>
      <c r="P71" s="175">
        <f t="shared" ca="1" si="0"/>
        <v>1665.3516725007207</v>
      </c>
      <c r="Q71" s="11">
        <f t="shared" ca="1" si="1"/>
        <v>2.9930000000000002E-2</v>
      </c>
      <c r="R71" s="12">
        <f t="shared" ca="1" si="2"/>
        <v>49.843975557946571</v>
      </c>
      <c r="S71" s="513"/>
      <c r="U71" s="31">
        <f t="shared" ca="1" si="18"/>
        <v>2106.3704886229862</v>
      </c>
      <c r="V71" s="31">
        <f t="shared" ca="1" si="19"/>
        <v>2196.1773041533133</v>
      </c>
      <c r="X71" s="58">
        <f t="shared" ca="1" si="3"/>
        <v>53</v>
      </c>
      <c r="Y71" s="61">
        <f t="shared" ca="1" si="4"/>
        <v>46336</v>
      </c>
      <c r="Z71" s="31">
        <f t="shared" ca="1" si="14"/>
        <v>1665.3516725007207</v>
      </c>
      <c r="AA71" s="31">
        <f t="shared" ca="1" si="20"/>
        <v>1158.4450082866047</v>
      </c>
      <c r="AB71" s="31">
        <f t="shared" ca="1" si="15"/>
        <v>124252.58378884307</v>
      </c>
      <c r="AC71" t="str">
        <f t="shared" ca="1" si="5"/>
        <v/>
      </c>
      <c r="AD71" t="str">
        <f t="shared" ca="1" si="6"/>
        <v/>
      </c>
    </row>
    <row r="72" spans="1:30">
      <c r="A72" s="180">
        <f ca="1">'PRICE_IOF Ñ USAR'!A72</f>
        <v>54</v>
      </c>
      <c r="B72" s="179">
        <f ca="1">'PRICE_IOF Ñ USAR'!B72</f>
        <v>46366</v>
      </c>
      <c r="C72" s="177">
        <f t="shared" ca="1" si="7"/>
        <v>424.14801343251429</v>
      </c>
      <c r="D72" s="24">
        <f t="shared" ca="1" si="16"/>
        <v>1682.2224751904719</v>
      </c>
      <c r="E72" s="177">
        <f t="shared" ca="1" si="8"/>
        <v>182426.12070666032</v>
      </c>
      <c r="F72" s="178">
        <f t="shared" ca="1" si="9"/>
        <v>38.398556431219497</v>
      </c>
      <c r="G72" s="178">
        <f t="shared" ca="1" si="10"/>
        <v>26.319999999999997</v>
      </c>
      <c r="H72" s="177">
        <f t="shared" ca="1" si="11"/>
        <v>25</v>
      </c>
      <c r="I72" s="25">
        <f t="shared" ca="1" si="12"/>
        <v>2196.0890450542056</v>
      </c>
      <c r="J72" s="9" t="str">
        <f ca="1">'PRICE_IOF Ñ USAR'!J72</f>
        <v/>
      </c>
      <c r="K72" s="9" t="str">
        <f ca="1">'PRICE_IOF Ñ USAR'!K72</f>
        <v/>
      </c>
      <c r="L72" s="9">
        <f ca="1">'PRICE_IOF Ñ USAR'!L72</f>
        <v>12</v>
      </c>
      <c r="N72" s="176">
        <f t="shared" ca="1" si="13"/>
        <v>30</v>
      </c>
      <c r="O72" s="176">
        <f t="shared" ca="1" si="17"/>
        <v>1638</v>
      </c>
      <c r="P72" s="175">
        <f t="shared" ca="1" si="0"/>
        <v>1680.6729079147374</v>
      </c>
      <c r="Q72" s="11">
        <f t="shared" ca="1" si="1"/>
        <v>2.9930000000000002E-2</v>
      </c>
      <c r="R72" s="12">
        <f t="shared" ca="1" si="2"/>
        <v>50.302540133888094</v>
      </c>
      <c r="S72" s="513"/>
      <c r="U72" s="31">
        <f t="shared" ca="1" si="18"/>
        <v>2106.3704886229862</v>
      </c>
      <c r="V72" s="31">
        <f t="shared" ca="1" si="19"/>
        <v>2196.0890450542056</v>
      </c>
      <c r="X72" s="58">
        <f t="shared" ca="1" si="3"/>
        <v>54</v>
      </c>
      <c r="Y72" s="61">
        <f t="shared" ca="1" si="4"/>
        <v>46366</v>
      </c>
      <c r="Z72" s="31">
        <f t="shared" ca="1" si="14"/>
        <v>1680.6729079147374</v>
      </c>
      <c r="AA72" s="31">
        <f t="shared" ca="1" si="20"/>
        <v>1143.123772872588</v>
      </c>
      <c r="AB72" s="31">
        <f t="shared" ca="1" si="15"/>
        <v>122571.91088092834</v>
      </c>
      <c r="AC72" t="str">
        <f t="shared" ca="1" si="5"/>
        <v/>
      </c>
      <c r="AD72" t="str">
        <f t="shared" ca="1" si="6"/>
        <v/>
      </c>
    </row>
    <row r="73" spans="1:30">
      <c r="A73" s="180">
        <f ca="1">'PRICE_IOF Ñ USAR'!A73</f>
        <v>55</v>
      </c>
      <c r="B73" s="179">
        <f ca="1">'PRICE_IOF Ñ USAR'!B73</f>
        <v>46397</v>
      </c>
      <c r="C73" s="177">
        <f t="shared" ca="1" si="7"/>
        <v>428.05017516297266</v>
      </c>
      <c r="D73" s="24">
        <f t="shared" ca="1" si="16"/>
        <v>1678.3203134600135</v>
      </c>
      <c r="E73" s="177">
        <f t="shared" ca="1" si="8"/>
        <v>181998.07053149736</v>
      </c>
      <c r="F73" s="178">
        <f t="shared" ca="1" si="9"/>
        <v>38.309485348398667</v>
      </c>
      <c r="G73" s="178">
        <f t="shared" ca="1" si="10"/>
        <v>26.319999999999997</v>
      </c>
      <c r="H73" s="177">
        <f t="shared" ca="1" si="11"/>
        <v>25</v>
      </c>
      <c r="I73" s="25">
        <f t="shared" ca="1" si="12"/>
        <v>2195.9999739713849</v>
      </c>
      <c r="J73" s="9" t="str">
        <f ca="1">'PRICE_IOF Ñ USAR'!J73</f>
        <v/>
      </c>
      <c r="K73" s="9" t="str">
        <f ca="1">'PRICE_IOF Ñ USAR'!K73</f>
        <v/>
      </c>
      <c r="L73" s="9">
        <f ca="1">'PRICE_IOF Ñ USAR'!L73</f>
        <v>1</v>
      </c>
      <c r="N73" s="176">
        <f t="shared" ca="1" si="13"/>
        <v>31</v>
      </c>
      <c r="O73" s="176">
        <f t="shared" ca="1" si="17"/>
        <v>1669</v>
      </c>
      <c r="P73" s="175">
        <f t="shared" ca="1" si="0"/>
        <v>1696.1350986948114</v>
      </c>
      <c r="Q73" s="11">
        <f t="shared" ca="1" si="1"/>
        <v>2.9930000000000002E-2</v>
      </c>
      <c r="R73" s="12">
        <f t="shared" ca="1" si="2"/>
        <v>50.765323503935711</v>
      </c>
      <c r="S73" s="513"/>
      <c r="U73" s="31">
        <f t="shared" ca="1" si="18"/>
        <v>2106.3704886229862</v>
      </c>
      <c r="V73" s="31">
        <f t="shared" ca="1" si="19"/>
        <v>2195.9999739713849</v>
      </c>
      <c r="X73" s="58">
        <f t="shared" ca="1" si="3"/>
        <v>55</v>
      </c>
      <c r="Y73" s="61">
        <f t="shared" ca="1" si="4"/>
        <v>46397</v>
      </c>
      <c r="Z73" s="31">
        <f t="shared" ca="1" si="14"/>
        <v>1696.1350986948114</v>
      </c>
      <c r="AA73" s="31">
        <f t="shared" ca="1" si="20"/>
        <v>1127.661582092514</v>
      </c>
      <c r="AB73" s="31">
        <f t="shared" ca="1" si="15"/>
        <v>120875.77578223353</v>
      </c>
      <c r="AC73" t="str">
        <f t="shared" ca="1" si="5"/>
        <v/>
      </c>
      <c r="AD73" t="str">
        <f t="shared" ca="1" si="6"/>
        <v/>
      </c>
    </row>
    <row r="74" spans="1:30">
      <c r="A74" s="180">
        <f ca="1">'PRICE_IOF Ñ USAR'!A74</f>
        <v>56</v>
      </c>
      <c r="B74" s="179">
        <f ca="1">'PRICE_IOF Ñ USAR'!B74</f>
        <v>46428</v>
      </c>
      <c r="C74" s="177">
        <f t="shared" ca="1" si="7"/>
        <v>431.98823678141434</v>
      </c>
      <c r="D74" s="24">
        <f t="shared" ca="1" si="16"/>
        <v>1674.3822518415718</v>
      </c>
      <c r="E74" s="177">
        <f t="shared" ca="1" si="8"/>
        <v>181566.08229471595</v>
      </c>
      <c r="F74" s="178">
        <f t="shared" ca="1" si="9"/>
        <v>38.219594811614449</v>
      </c>
      <c r="G74" s="178">
        <f t="shared" ca="1" si="10"/>
        <v>26.319999999999997</v>
      </c>
      <c r="H74" s="177">
        <f t="shared" ca="1" si="11"/>
        <v>25</v>
      </c>
      <c r="I74" s="25">
        <f t="shared" ca="1" si="12"/>
        <v>2195.9100834346009</v>
      </c>
      <c r="J74" s="9" t="str">
        <f ca="1">'PRICE_IOF Ñ USAR'!J74</f>
        <v/>
      </c>
      <c r="K74" s="9" t="str">
        <f ca="1">'PRICE_IOF Ñ USAR'!K74</f>
        <v/>
      </c>
      <c r="L74" s="9">
        <f ca="1">'PRICE_IOF Ñ USAR'!L74</f>
        <v>2</v>
      </c>
      <c r="N74" s="176">
        <f t="shared" ca="1" si="13"/>
        <v>31</v>
      </c>
      <c r="O74" s="176">
        <f t="shared" ca="1" si="17"/>
        <v>1700</v>
      </c>
      <c r="P74" s="175">
        <f t="shared" ca="1" si="0"/>
        <v>1711.7395416303132</v>
      </c>
      <c r="Q74" s="11">
        <f t="shared" ca="1" si="1"/>
        <v>2.9930000000000002E-2</v>
      </c>
      <c r="R74" s="12">
        <f t="shared" ca="1" si="2"/>
        <v>51.23236448099528</v>
      </c>
      <c r="S74" s="513"/>
      <c r="U74" s="31">
        <f t="shared" ca="1" si="18"/>
        <v>2106.3704886229862</v>
      </c>
      <c r="V74" s="31">
        <f t="shared" ca="1" si="19"/>
        <v>2195.9100834346009</v>
      </c>
      <c r="X74" s="58">
        <f t="shared" ca="1" si="3"/>
        <v>56</v>
      </c>
      <c r="Y74" s="61">
        <f t="shared" ca="1" si="4"/>
        <v>46428</v>
      </c>
      <c r="Z74" s="31">
        <f t="shared" ca="1" si="14"/>
        <v>1711.7395416303132</v>
      </c>
      <c r="AA74" s="31">
        <f t="shared" ca="1" si="20"/>
        <v>1112.0571391570122</v>
      </c>
      <c r="AB74" s="31">
        <f t="shared" ca="1" si="15"/>
        <v>119164.03624060321</v>
      </c>
      <c r="AC74" t="str">
        <f t="shared" ca="1" si="5"/>
        <v/>
      </c>
      <c r="AD74" t="str">
        <f t="shared" ca="1" si="6"/>
        <v/>
      </c>
    </row>
    <row r="75" spans="1:30">
      <c r="A75" s="180">
        <f ca="1">'PRICE_IOF Ñ USAR'!A75</f>
        <v>57</v>
      </c>
      <c r="B75" s="179">
        <f ca="1">'PRICE_IOF Ñ USAR'!B75</f>
        <v>46456</v>
      </c>
      <c r="C75" s="177">
        <f t="shared" ca="1" si="7"/>
        <v>435.96252856680962</v>
      </c>
      <c r="D75" s="24">
        <f t="shared" ca="1" si="16"/>
        <v>1670.4079600561765</v>
      </c>
      <c r="E75" s="177">
        <f t="shared" ca="1" si="8"/>
        <v>181130.11976614915</v>
      </c>
      <c r="F75" s="178">
        <f t="shared" ca="1" si="9"/>
        <v>38.128877281890354</v>
      </c>
      <c r="G75" s="178">
        <f t="shared" ca="1" si="10"/>
        <v>26.319999999999997</v>
      </c>
      <c r="H75" s="177">
        <f t="shared" ca="1" si="11"/>
        <v>25</v>
      </c>
      <c r="I75" s="25">
        <f t="shared" ca="1" si="12"/>
        <v>2195.8193659048766</v>
      </c>
      <c r="J75" s="9" t="str">
        <f ca="1">'PRICE_IOF Ñ USAR'!J75</f>
        <v/>
      </c>
      <c r="K75" s="9" t="str">
        <f ca="1">'PRICE_IOF Ñ USAR'!K75</f>
        <v/>
      </c>
      <c r="L75" s="9">
        <f ca="1">'PRICE_IOF Ñ USAR'!L75</f>
        <v>3</v>
      </c>
      <c r="N75" s="176">
        <f t="shared" ca="1" si="13"/>
        <v>28</v>
      </c>
      <c r="O75" s="176">
        <f t="shared" ca="1" si="17"/>
        <v>1728</v>
      </c>
      <c r="P75" s="175">
        <f t="shared" ca="1" si="0"/>
        <v>1727.4875454410744</v>
      </c>
      <c r="Q75" s="11">
        <f t="shared" ca="1" si="1"/>
        <v>2.9930000000000002E-2</v>
      </c>
      <c r="R75" s="12">
        <f t="shared" ca="1" si="2"/>
        <v>51.70370223505136</v>
      </c>
      <c r="S75" s="513"/>
      <c r="U75" s="31">
        <f t="shared" ca="1" si="18"/>
        <v>2106.3704886229862</v>
      </c>
      <c r="V75" s="31">
        <f t="shared" ca="1" si="19"/>
        <v>2195.8193659048766</v>
      </c>
      <c r="X75" s="58">
        <f t="shared" ca="1" si="3"/>
        <v>57</v>
      </c>
      <c r="Y75" s="61">
        <f t="shared" ca="1" si="4"/>
        <v>46456</v>
      </c>
      <c r="Z75" s="31">
        <f t="shared" ca="1" si="14"/>
        <v>1727.4875454410744</v>
      </c>
      <c r="AA75" s="31">
        <f t="shared" ca="1" si="20"/>
        <v>1096.309135346251</v>
      </c>
      <c r="AB75" s="31">
        <f t="shared" ca="1" si="15"/>
        <v>117436.54869516213</v>
      </c>
      <c r="AC75" t="str">
        <f t="shared" ca="1" si="5"/>
        <v/>
      </c>
      <c r="AD75" t="str">
        <f t="shared" ca="1" si="6"/>
        <v/>
      </c>
    </row>
    <row r="76" spans="1:30">
      <c r="A76" s="180">
        <f ca="1">'PRICE_IOF Ñ USAR'!A76</f>
        <v>58</v>
      </c>
      <c r="B76" s="179">
        <f ca="1">'PRICE_IOF Ñ USAR'!B76</f>
        <v>46487</v>
      </c>
      <c r="C76" s="177">
        <f t="shared" ca="1" si="7"/>
        <v>439.97338383669512</v>
      </c>
      <c r="D76" s="24">
        <f t="shared" ca="1" si="16"/>
        <v>1666.397104786291</v>
      </c>
      <c r="E76" s="177">
        <f t="shared" ca="1" si="8"/>
        <v>180690.14638231246</v>
      </c>
      <c r="F76" s="178">
        <f t="shared" ca="1" si="9"/>
        <v>38.03732515089132</v>
      </c>
      <c r="G76" s="178">
        <f t="shared" ca="1" si="10"/>
        <v>26.319999999999997</v>
      </c>
      <c r="H76" s="177">
        <f t="shared" ca="1" si="11"/>
        <v>25</v>
      </c>
      <c r="I76" s="25">
        <f t="shared" ca="1" si="12"/>
        <v>2195.7278137738776</v>
      </c>
      <c r="J76" s="9" t="str">
        <f ca="1">'PRICE_IOF Ñ USAR'!J76</f>
        <v/>
      </c>
      <c r="K76" s="9" t="str">
        <f ca="1">'PRICE_IOF Ñ USAR'!K76</f>
        <v/>
      </c>
      <c r="L76" s="9">
        <f ca="1">'PRICE_IOF Ñ USAR'!L76</f>
        <v>4</v>
      </c>
      <c r="N76" s="176">
        <f t="shared" ca="1" si="13"/>
        <v>31</v>
      </c>
      <c r="O76" s="176">
        <f t="shared" ca="1" si="17"/>
        <v>1759</v>
      </c>
      <c r="P76" s="175">
        <f t="shared" ca="1" si="0"/>
        <v>1743.3804308871502</v>
      </c>
      <c r="Q76" s="11">
        <f t="shared" ca="1" si="1"/>
        <v>2.9930000000000002E-2</v>
      </c>
      <c r="R76" s="12">
        <f t="shared" ca="1" si="2"/>
        <v>52.179376296452411</v>
      </c>
      <c r="S76" s="513"/>
      <c r="U76" s="31">
        <f t="shared" ca="1" si="18"/>
        <v>2106.3704886229862</v>
      </c>
      <c r="V76" s="31">
        <f t="shared" ca="1" si="19"/>
        <v>2195.7278137738776</v>
      </c>
      <c r="X76" s="58">
        <f t="shared" ca="1" si="3"/>
        <v>58</v>
      </c>
      <c r="Y76" s="61">
        <f t="shared" ca="1" si="4"/>
        <v>46487</v>
      </c>
      <c r="Z76" s="31">
        <f t="shared" ca="1" si="14"/>
        <v>1743.3804308871502</v>
      </c>
      <c r="AA76" s="31">
        <f t="shared" ca="1" si="20"/>
        <v>1080.4162499001752</v>
      </c>
      <c r="AB76" s="31">
        <f t="shared" ca="1" si="15"/>
        <v>115693.16826427498</v>
      </c>
      <c r="AC76" t="str">
        <f t="shared" ca="1" si="5"/>
        <v/>
      </c>
      <c r="AD76" t="str">
        <f t="shared" ca="1" si="6"/>
        <v/>
      </c>
    </row>
    <row r="77" spans="1:30">
      <c r="A77" s="180">
        <f ca="1">'PRICE_IOF Ñ USAR'!A77</f>
        <v>59</v>
      </c>
      <c r="B77" s="179">
        <f ca="1">'PRICE_IOF Ñ USAR'!B77</f>
        <v>46517</v>
      </c>
      <c r="C77" s="177">
        <f t="shared" ca="1" si="7"/>
        <v>444.02113897512845</v>
      </c>
      <c r="D77" s="24">
        <f t="shared" ca="1" si="16"/>
        <v>1662.3493496478577</v>
      </c>
      <c r="E77" s="177">
        <f t="shared" ca="1" si="8"/>
        <v>180246.12524333733</v>
      </c>
      <c r="F77" s="178">
        <f t="shared" ca="1" si="9"/>
        <v>37.944930740285621</v>
      </c>
      <c r="G77" s="178">
        <f t="shared" ca="1" si="10"/>
        <v>26.319999999999997</v>
      </c>
      <c r="H77" s="177">
        <f t="shared" ca="1" si="11"/>
        <v>25</v>
      </c>
      <c r="I77" s="25">
        <f t="shared" ca="1" si="12"/>
        <v>2195.6354193632719</v>
      </c>
      <c r="J77" s="9" t="str">
        <f ca="1">'PRICE_IOF Ñ USAR'!J77</f>
        <v/>
      </c>
      <c r="K77" s="9" t="str">
        <f ca="1">'PRICE_IOF Ñ USAR'!K77</f>
        <v/>
      </c>
      <c r="L77" s="9">
        <f ca="1">'PRICE_IOF Ñ USAR'!L77</f>
        <v>5</v>
      </c>
      <c r="N77" s="176">
        <f t="shared" ca="1" si="13"/>
        <v>30</v>
      </c>
      <c r="O77" s="176">
        <f t="shared" ca="1" si="17"/>
        <v>1789</v>
      </c>
      <c r="P77" s="175">
        <f t="shared" ca="1" si="0"/>
        <v>1759.4195308795875</v>
      </c>
      <c r="Q77" s="11">
        <f t="shared" ca="1" si="1"/>
        <v>2.9930000000000002E-2</v>
      </c>
      <c r="R77" s="12">
        <f t="shared" ca="1" si="2"/>
        <v>52.659426559226056</v>
      </c>
      <c r="S77" s="513"/>
      <c r="U77" s="31">
        <f t="shared" ca="1" si="18"/>
        <v>2106.3704886229862</v>
      </c>
      <c r="V77" s="31">
        <f t="shared" ca="1" si="19"/>
        <v>2195.6354193632719</v>
      </c>
      <c r="X77" s="58">
        <f t="shared" ca="1" si="3"/>
        <v>59</v>
      </c>
      <c r="Y77" s="61">
        <f t="shared" ca="1" si="4"/>
        <v>46517</v>
      </c>
      <c r="Z77" s="31">
        <f t="shared" ca="1" si="14"/>
        <v>1759.4195308795875</v>
      </c>
      <c r="AA77" s="31">
        <f t="shared" ca="1" si="20"/>
        <v>1064.3771499077379</v>
      </c>
      <c r="AB77" s="31">
        <f t="shared" ca="1" si="15"/>
        <v>113933.74873339539</v>
      </c>
      <c r="AC77" t="str">
        <f t="shared" ca="1" si="5"/>
        <v/>
      </c>
      <c r="AD77" t="str">
        <f t="shared" ca="1" si="6"/>
        <v/>
      </c>
    </row>
    <row r="78" spans="1:30">
      <c r="A78" s="180">
        <f ca="1">'PRICE_IOF Ñ USAR'!A78</f>
        <v>60</v>
      </c>
      <c r="B78" s="179">
        <f ca="1">'PRICE_IOF Ñ USAR'!B78</f>
        <v>46548</v>
      </c>
      <c r="C78" s="177">
        <f t="shared" ca="1" si="7"/>
        <v>448.10613346090122</v>
      </c>
      <c r="D78" s="24">
        <f t="shared" ca="1" si="16"/>
        <v>1658.2643551620849</v>
      </c>
      <c r="E78" s="177">
        <f t="shared" ca="1" si="8"/>
        <v>179798.01910987642</v>
      </c>
      <c r="F78" s="178">
        <f t="shared" ca="1" si="9"/>
        <v>37.851686301100841</v>
      </c>
      <c r="G78" s="178">
        <f t="shared" ca="1" si="10"/>
        <v>26.319999999999997</v>
      </c>
      <c r="H78" s="177">
        <f t="shared" ca="1" si="11"/>
        <v>25</v>
      </c>
      <c r="I78" s="25">
        <f t="shared" ca="1" si="12"/>
        <v>2195.5421749240872</v>
      </c>
      <c r="J78" s="9" t="str">
        <f ca="1">'PRICE_IOF Ñ USAR'!J78</f>
        <v/>
      </c>
      <c r="K78" s="9" t="str">
        <f ca="1">'PRICE_IOF Ñ USAR'!K78</f>
        <v/>
      </c>
      <c r="L78" s="9">
        <f ca="1">'PRICE_IOF Ñ USAR'!L78</f>
        <v>6</v>
      </c>
      <c r="N78" s="176">
        <f t="shared" ca="1" si="13"/>
        <v>31</v>
      </c>
      <c r="O78" s="176">
        <f t="shared" ca="1" si="17"/>
        <v>1820</v>
      </c>
      <c r="P78" s="175">
        <f t="shared" ca="1" si="0"/>
        <v>1775.6061905922154</v>
      </c>
      <c r="Q78" s="11">
        <f t="shared" ca="1" si="1"/>
        <v>2.9930000000000002E-2</v>
      </c>
      <c r="R78" s="12">
        <f t="shared" ca="1" si="2"/>
        <v>53.143893284425012</v>
      </c>
      <c r="S78" s="513"/>
      <c r="U78" s="31">
        <f t="shared" ca="1" si="18"/>
        <v>2106.3704886229862</v>
      </c>
      <c r="V78" s="31">
        <f t="shared" ca="1" si="19"/>
        <v>2195.5421749240872</v>
      </c>
      <c r="X78" s="58">
        <f t="shared" ca="1" si="3"/>
        <v>60</v>
      </c>
      <c r="Y78" s="61">
        <f t="shared" ca="1" si="4"/>
        <v>46548</v>
      </c>
      <c r="Z78" s="31">
        <f t="shared" ca="1" si="14"/>
        <v>1775.6061905922154</v>
      </c>
      <c r="AA78" s="31">
        <f t="shared" ca="1" si="20"/>
        <v>1048.19049019511</v>
      </c>
      <c r="AB78" s="31">
        <f t="shared" ca="1" si="15"/>
        <v>112158.14254280318</v>
      </c>
      <c r="AC78" t="str">
        <f t="shared" ca="1" si="5"/>
        <v/>
      </c>
      <c r="AD78" t="str">
        <f t="shared" ca="1" si="6"/>
        <v/>
      </c>
    </row>
    <row r="79" spans="1:30">
      <c r="A79" s="180">
        <f ca="1">'PRICE_IOF Ñ USAR'!A79</f>
        <v>61</v>
      </c>
      <c r="B79" s="179">
        <f ca="1">'PRICE_IOF Ñ USAR'!B79</f>
        <v>46578</v>
      </c>
      <c r="C79" s="177">
        <f t="shared" ca="1" si="7"/>
        <v>452.22870989600938</v>
      </c>
      <c r="D79" s="24">
        <f t="shared" ca="1" si="16"/>
        <v>1654.1417787269768</v>
      </c>
      <c r="E79" s="177">
        <f t="shared" ca="1" si="8"/>
        <v>179345.79039998041</v>
      </c>
      <c r="F79" s="178">
        <f t="shared" ca="1" si="9"/>
        <v>37.757584013074052</v>
      </c>
      <c r="G79" s="178">
        <f t="shared" ca="1" si="10"/>
        <v>26.319999999999997</v>
      </c>
      <c r="H79" s="177">
        <f t="shared" ca="1" si="11"/>
        <v>25</v>
      </c>
      <c r="I79" s="25">
        <f t="shared" ca="1" si="12"/>
        <v>2195.4480726360603</v>
      </c>
      <c r="J79" s="9" t="str">
        <f ca="1">'PRICE_IOF Ñ USAR'!J79</f>
        <v/>
      </c>
      <c r="K79" s="9" t="str">
        <f ca="1">'PRICE_IOF Ñ USAR'!K79</f>
        <v/>
      </c>
      <c r="L79" s="9">
        <f ca="1">'PRICE_IOF Ñ USAR'!L79</f>
        <v>7</v>
      </c>
      <c r="N79" s="176">
        <f t="shared" ca="1" si="13"/>
        <v>30</v>
      </c>
      <c r="O79" s="176">
        <f t="shared" ca="1" si="17"/>
        <v>1850</v>
      </c>
      <c r="P79" s="175">
        <f t="shared" ca="1" si="0"/>
        <v>1791.9417675744621</v>
      </c>
      <c r="Q79" s="11">
        <f t="shared" ca="1" si="1"/>
        <v>2.9930000000000002E-2</v>
      </c>
      <c r="R79" s="12">
        <f t="shared" ca="1" si="2"/>
        <v>53.632817103503655</v>
      </c>
      <c r="S79" s="513"/>
      <c r="U79" s="31">
        <f t="shared" ca="1" si="18"/>
        <v>2106.3704886229862</v>
      </c>
      <c r="V79" s="31">
        <f t="shared" ca="1" si="19"/>
        <v>2195.4480726360603</v>
      </c>
      <c r="X79" s="58">
        <f t="shared" ca="1" si="3"/>
        <v>61</v>
      </c>
      <c r="Y79" s="61">
        <f t="shared" ca="1" si="4"/>
        <v>46578</v>
      </c>
      <c r="Z79" s="31">
        <f t="shared" ca="1" si="14"/>
        <v>1791.9417675744621</v>
      </c>
      <c r="AA79" s="31">
        <f t="shared" ca="1" si="20"/>
        <v>1031.8549132128633</v>
      </c>
      <c r="AB79" s="31">
        <f t="shared" ca="1" si="15"/>
        <v>110366.20077522872</v>
      </c>
      <c r="AC79" t="str">
        <f t="shared" ca="1" si="5"/>
        <v/>
      </c>
      <c r="AD79" t="str">
        <f t="shared" ca="1" si="6"/>
        <v/>
      </c>
    </row>
    <row r="80" spans="1:30">
      <c r="A80" s="180">
        <f ca="1">'PRICE_IOF Ñ USAR'!A80</f>
        <v>62</v>
      </c>
      <c r="B80" s="179">
        <f ca="1">'PRICE_IOF Ñ USAR'!B80</f>
        <v>46609</v>
      </c>
      <c r="C80" s="177">
        <f t="shared" ca="1" si="7"/>
        <v>456.38921403438712</v>
      </c>
      <c r="D80" s="24">
        <f t="shared" ca="1" si="16"/>
        <v>1649.981274588599</v>
      </c>
      <c r="E80" s="177">
        <f t="shared" ca="1" si="8"/>
        <v>178889.40118594602</v>
      </c>
      <c r="F80" s="178">
        <f t="shared" ca="1" si="9"/>
        <v>37.662615983995885</v>
      </c>
      <c r="G80" s="178">
        <f t="shared" ca="1" si="10"/>
        <v>26.319999999999997</v>
      </c>
      <c r="H80" s="177">
        <f t="shared" ca="1" si="11"/>
        <v>25</v>
      </c>
      <c r="I80" s="25">
        <f t="shared" ca="1" si="12"/>
        <v>2195.353104606982</v>
      </c>
      <c r="J80" s="9" t="str">
        <f ca="1">'PRICE_IOF Ñ USAR'!J80</f>
        <v/>
      </c>
      <c r="K80" s="9" t="str">
        <f ca="1">'PRICE_IOF Ñ USAR'!K80</f>
        <v/>
      </c>
      <c r="L80" s="9">
        <f ca="1">'PRICE_IOF Ñ USAR'!L80</f>
        <v>8</v>
      </c>
      <c r="N80" s="176">
        <f t="shared" ca="1" si="13"/>
        <v>31</v>
      </c>
      <c r="O80" s="176">
        <f t="shared" ca="1" si="17"/>
        <v>1881</v>
      </c>
      <c r="P80" s="175">
        <f t="shared" ca="1" si="0"/>
        <v>1808.4276318652105</v>
      </c>
      <c r="Q80" s="11">
        <f t="shared" ca="1" si="1"/>
        <v>2.9930000000000002E-2</v>
      </c>
      <c r="R80" s="12">
        <f t="shared" ca="1" si="2"/>
        <v>54.126239021725752</v>
      </c>
      <c r="S80" s="513"/>
      <c r="U80" s="31">
        <f t="shared" ca="1" si="18"/>
        <v>2106.3704886229862</v>
      </c>
      <c r="V80" s="31">
        <f t="shared" ca="1" si="19"/>
        <v>2195.353104606982</v>
      </c>
      <c r="X80" s="58">
        <f t="shared" ca="1" si="3"/>
        <v>62</v>
      </c>
      <c r="Y80" s="61">
        <f t="shared" ca="1" si="4"/>
        <v>46609</v>
      </c>
      <c r="Z80" s="31">
        <f t="shared" ca="1" si="14"/>
        <v>1808.4276318652105</v>
      </c>
      <c r="AA80" s="31">
        <f t="shared" ca="1" si="20"/>
        <v>1015.369048922115</v>
      </c>
      <c r="AB80" s="31">
        <f t="shared" ca="1" si="15"/>
        <v>108557.77314336351</v>
      </c>
      <c r="AC80" t="str">
        <f t="shared" ca="1" si="5"/>
        <v/>
      </c>
      <c r="AD80" t="str">
        <f t="shared" ca="1" si="6"/>
        <v/>
      </c>
    </row>
    <row r="81" spans="1:30">
      <c r="A81" s="180">
        <f ca="1">'PRICE_IOF Ñ USAR'!A81</f>
        <v>63</v>
      </c>
      <c r="B81" s="179">
        <f ca="1">'PRICE_IOF Ñ USAR'!B81</f>
        <v>46640</v>
      </c>
      <c r="C81" s="177">
        <f t="shared" ca="1" si="7"/>
        <v>460.58799481090568</v>
      </c>
      <c r="D81" s="24">
        <f t="shared" ca="1" si="16"/>
        <v>1645.7824938120805</v>
      </c>
      <c r="E81" s="177">
        <f t="shared" ca="1" si="8"/>
        <v>178428.81319113512</v>
      </c>
      <c r="F81" s="178">
        <f t="shared" ca="1" si="9"/>
        <v>37.566774249048663</v>
      </c>
      <c r="G81" s="178">
        <f t="shared" ca="1" si="10"/>
        <v>26.319999999999997</v>
      </c>
      <c r="H81" s="177">
        <f t="shared" ca="1" si="11"/>
        <v>25</v>
      </c>
      <c r="I81" s="25">
        <f t="shared" ca="1" si="12"/>
        <v>2195.257262872035</v>
      </c>
      <c r="J81" s="9" t="str">
        <f ca="1">'PRICE_IOF Ñ USAR'!J81</f>
        <v/>
      </c>
      <c r="K81" s="9" t="str">
        <f ca="1">'PRICE_IOF Ñ USAR'!K81</f>
        <v/>
      </c>
      <c r="L81" s="9">
        <f ca="1">'PRICE_IOF Ñ USAR'!L81</f>
        <v>9</v>
      </c>
      <c r="N81" s="176">
        <f t="shared" ca="1" si="13"/>
        <v>31</v>
      </c>
      <c r="O81" s="176">
        <f t="shared" ca="1" si="17"/>
        <v>1912</v>
      </c>
      <c r="P81" s="175">
        <f t="shared" ca="1" si="0"/>
        <v>1825.0651661077009</v>
      </c>
      <c r="Q81" s="11">
        <f t="shared" ca="1" si="1"/>
        <v>2.9930000000000002E-2</v>
      </c>
      <c r="R81" s="12">
        <f t="shared" ca="1" si="2"/>
        <v>54.62420042160349</v>
      </c>
      <c r="S81" s="513"/>
      <c r="U81" s="31">
        <f t="shared" ca="1" si="18"/>
        <v>2106.3704886229862</v>
      </c>
      <c r="V81" s="31">
        <f t="shared" ca="1" si="19"/>
        <v>2195.257262872035</v>
      </c>
      <c r="X81" s="58">
        <f t="shared" ca="1" si="3"/>
        <v>63</v>
      </c>
      <c r="Y81" s="61">
        <f t="shared" ca="1" si="4"/>
        <v>46640</v>
      </c>
      <c r="Z81" s="31">
        <f t="shared" ca="1" si="14"/>
        <v>1825.0651661077009</v>
      </c>
      <c r="AA81" s="31">
        <f t="shared" ca="1" si="20"/>
        <v>998.73151467962452</v>
      </c>
      <c r="AB81" s="31">
        <f t="shared" ca="1" si="15"/>
        <v>106732.70797725581</v>
      </c>
      <c r="AC81" t="str">
        <f t="shared" ca="1" si="5"/>
        <v/>
      </c>
      <c r="AD81" t="str">
        <f t="shared" ca="1" si="6"/>
        <v/>
      </c>
    </row>
    <row r="82" spans="1:30">
      <c r="A82" s="180">
        <f ca="1">'PRICE_IOF Ñ USAR'!A82</f>
        <v>64</v>
      </c>
      <c r="B82" s="179">
        <f ca="1">'PRICE_IOF Ñ USAR'!B82</f>
        <v>46670</v>
      </c>
      <c r="C82" s="177">
        <f t="shared" ca="1" si="7"/>
        <v>464.82540437063608</v>
      </c>
      <c r="D82" s="24">
        <f t="shared" ca="1" si="16"/>
        <v>1641.5450842523501</v>
      </c>
      <c r="E82" s="177">
        <f t="shared" ca="1" si="8"/>
        <v>177963.98778676448</v>
      </c>
      <c r="F82" s="178">
        <f t="shared" ca="1" si="9"/>
        <v>37.470050770138378</v>
      </c>
      <c r="G82" s="178">
        <f t="shared" ca="1" si="10"/>
        <v>26.319999999999997</v>
      </c>
      <c r="H82" s="177">
        <f t="shared" ca="1" si="11"/>
        <v>25</v>
      </c>
      <c r="I82" s="25">
        <f t="shared" ca="1" si="12"/>
        <v>2195.1605393931245</v>
      </c>
      <c r="J82" s="9" t="str">
        <f ca="1">'PRICE_IOF Ñ USAR'!J82</f>
        <v/>
      </c>
      <c r="K82" s="9" t="str">
        <f ca="1">'PRICE_IOF Ñ USAR'!K82</f>
        <v/>
      </c>
      <c r="L82" s="9">
        <f ca="1">'PRICE_IOF Ñ USAR'!L82</f>
        <v>10</v>
      </c>
      <c r="N82" s="176">
        <f t="shared" ca="1" si="13"/>
        <v>30</v>
      </c>
      <c r="O82" s="176">
        <f t="shared" ca="1" si="17"/>
        <v>1942</v>
      </c>
      <c r="P82" s="175">
        <f t="shared" ref="P82:P145" ca="1" si="21">IF(A82&lt;&gt;"",Z82,"")</f>
        <v>1841.8557656654921</v>
      </c>
      <c r="Q82" s="11">
        <f t="shared" ref="Q82:Q145" ca="1" si="22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ca="1" si="23">IFERROR(Q82*P82,"")</f>
        <v>55.126743066368178</v>
      </c>
      <c r="S82" s="513"/>
      <c r="U82" s="31">
        <f t="shared" ca="1" si="18"/>
        <v>2106.3704886229862</v>
      </c>
      <c r="V82" s="31">
        <f t="shared" ca="1" si="19"/>
        <v>2195.1605393931245</v>
      </c>
      <c r="X82" s="58">
        <f t="shared" ref="X82:X145" ca="1" si="24">A82</f>
        <v>64</v>
      </c>
      <c r="Y82" s="61">
        <f t="shared" ref="Y82:Y145" ca="1" si="25">B82</f>
        <v>46670</v>
      </c>
      <c r="Z82" s="31">
        <f t="shared" ca="1" si="14"/>
        <v>1841.8557656654921</v>
      </c>
      <c r="AA82" s="31">
        <f t="shared" ca="1" si="20"/>
        <v>981.9409151218332</v>
      </c>
      <c r="AB82" s="31">
        <f t="shared" ca="1" si="15"/>
        <v>104890.85221159032</v>
      </c>
      <c r="AC82" t="str">
        <f t="shared" ref="AC82:AC145" ca="1" si="26">J82</f>
        <v/>
      </c>
      <c r="AD82" t="str">
        <f t="shared" ref="AD82:AD145" ca="1" si="27">K82</f>
        <v/>
      </c>
    </row>
    <row r="83" spans="1:30">
      <c r="A83" s="180">
        <f ca="1">'PRICE_IOF Ñ USAR'!A83</f>
        <v>65</v>
      </c>
      <c r="B83" s="179">
        <f ca="1">'PRICE_IOF Ñ USAR'!B83</f>
        <v>46701</v>
      </c>
      <c r="C83" s="177">
        <f t="shared" ref="C83:C146" ca="1" si="28">IFERROR(IF(OR(J83="Carencia",K83="Pula"),0,$I$13-D83),"")</f>
        <v>469.10179809838496</v>
      </c>
      <c r="D83" s="24">
        <f t="shared" ca="1" si="16"/>
        <v>1637.2686905246012</v>
      </c>
      <c r="E83" s="177">
        <f t="shared" ref="E83:E146" ca="1" si="29">IFERROR(IF(OR(J83="Carencia",K83="Pula"),E82+D83+SUM(F83:H83),(E82-C83)),"")</f>
        <v>177494.88598866609</v>
      </c>
      <c r="F83" s="178">
        <f t="shared" ref="F83:F146" ca="1" si="30">IFERROR(IF(OR(AND(DAY(B83)=DAY(B82),MONTH(B83)&lt;&gt;MONTH(B82)),MONTH(B83)&lt;&gt;MONTH(B82)),IF(K83="Pula",0,E82*$I$7),""),"")</f>
        <v>37.37243743522054</v>
      </c>
      <c r="G83" s="178">
        <f t="shared" ref="G83:G146" ca="1" si="31">IFERROR(IF(OR(AND(DAY(B83)=DAY(B82),MONTH(B83)&lt;&gt;MONTH(B82)),MONTH(B83)&lt;&gt;MONTH(B82)),IF(K83="Pula",0,$C$11*$I$8),0),"")</f>
        <v>26.319999999999997</v>
      </c>
      <c r="H83" s="177">
        <f t="shared" ref="H83:H146" ca="1" si="32">IFERROR(IF(OR(AND(DAY(B83)=DAY(B82),MONTH(B83)&lt;&gt;MONTH(B82)),MONTH(B83)&lt;&gt;MONTH(B82)),IF(K83="Pula",0,$I$10),0),"")</f>
        <v>25</v>
      </c>
      <c r="I83" s="25">
        <f t="shared" ref="I83:I146" ca="1" si="33">IFERROR(IF(OR(J83="Carencia",K83="Pula"),0,SUM(C83:D83,F83:H83)),"")</f>
        <v>2195.0629260582068</v>
      </c>
      <c r="J83" s="9" t="str">
        <f ca="1">'PRICE_IOF Ñ USAR'!J83</f>
        <v/>
      </c>
      <c r="K83" s="9" t="str">
        <f ca="1">'PRICE_IOF Ñ USAR'!K83</f>
        <v/>
      </c>
      <c r="L83" s="9">
        <f ca="1">'PRICE_IOF Ñ USAR'!L83</f>
        <v>11</v>
      </c>
      <c r="N83" s="176">
        <f t="shared" ref="N83:N146" ca="1" si="34">IFERROR(B83-B82,"")</f>
        <v>31</v>
      </c>
      <c r="O83" s="176">
        <f t="shared" ca="1" si="17"/>
        <v>1973</v>
      </c>
      <c r="P83" s="175">
        <f t="shared" ca="1" si="21"/>
        <v>1858.8008387394875</v>
      </c>
      <c r="Q83" s="11">
        <f t="shared" ca="1" si="22"/>
        <v>2.9930000000000002E-2</v>
      </c>
      <c r="R83" s="12">
        <f t="shared" ca="1" si="23"/>
        <v>55.633909103472867</v>
      </c>
      <c r="S83" s="513"/>
      <c r="U83" s="31">
        <f t="shared" ca="1" si="18"/>
        <v>2106.3704886229862</v>
      </c>
      <c r="V83" s="31">
        <f t="shared" ca="1" si="19"/>
        <v>2195.0629260582068</v>
      </c>
      <c r="X83" s="58">
        <f t="shared" ca="1" si="24"/>
        <v>65</v>
      </c>
      <c r="Y83" s="61">
        <f t="shared" ca="1" si="25"/>
        <v>46701</v>
      </c>
      <c r="Z83" s="31">
        <f t="shared" ref="Z83:Z146" ca="1" si="35">IFERROR(IF(OR(AC83="Carencia",AD83="Pula"),0,$L$7-AA83),"")</f>
        <v>1858.8008387394875</v>
      </c>
      <c r="AA83" s="31">
        <f t="shared" ca="1" si="20"/>
        <v>964.99584204783798</v>
      </c>
      <c r="AB83" s="31">
        <f t="shared" ref="AB83:AB146" ca="1" si="36">IFERROR(IF(OR(AC83="Carencia",AD83="Pula"),AB82,(AB82-Z83)),"")</f>
        <v>103032.05137285084</v>
      </c>
      <c r="AC83" t="str">
        <f t="shared" ca="1" si="26"/>
        <v/>
      </c>
      <c r="AD83" t="str">
        <f t="shared" ca="1" si="27"/>
        <v/>
      </c>
    </row>
    <row r="84" spans="1:30">
      <c r="A84" s="180">
        <f ca="1">'PRICE_IOF Ñ USAR'!A84</f>
        <v>66</v>
      </c>
      <c r="B84" s="179">
        <f ca="1">'PRICE_IOF Ñ USAR'!B84</f>
        <v>46731</v>
      </c>
      <c r="C84" s="177">
        <f t="shared" ca="1" si="28"/>
        <v>473.4175346484983</v>
      </c>
      <c r="D84" s="24">
        <f t="shared" ref="D84:D147" ca="1" si="37">IFERROR(IF(DAY(B84)=DAY(B83),IF(K84="Pula",0,($D$9)*E83),IF(AND(K84="Pula",J84=""),0,IF(AND($F$3=30,OR(AND(DAY(B83)=28,MONTH(B83)=2),AND(DAY(B83)=29,MONTH(B83)=2))),$D$9*E83,$D$9*E83))),"")</f>
        <v>1632.9529539744879</v>
      </c>
      <c r="E84" s="177">
        <f t="shared" ca="1" si="29"/>
        <v>177021.46845401759</v>
      </c>
      <c r="F84" s="178">
        <f t="shared" ca="1" si="30"/>
        <v>37.273926057619882</v>
      </c>
      <c r="G84" s="178">
        <f t="shared" ca="1" si="31"/>
        <v>26.319999999999997</v>
      </c>
      <c r="H84" s="177">
        <f t="shared" ca="1" si="32"/>
        <v>25</v>
      </c>
      <c r="I84" s="25">
        <f t="shared" ca="1" si="33"/>
        <v>2194.9644146806063</v>
      </c>
      <c r="J84" s="9" t="str">
        <f ca="1">'PRICE_IOF Ñ USAR'!J84</f>
        <v/>
      </c>
      <c r="K84" s="9" t="str">
        <f ca="1">'PRICE_IOF Ñ USAR'!K84</f>
        <v/>
      </c>
      <c r="L84" s="9">
        <f ca="1">'PRICE_IOF Ñ USAR'!L84</f>
        <v>12</v>
      </c>
      <c r="N84" s="176">
        <f t="shared" ca="1" si="34"/>
        <v>30</v>
      </c>
      <c r="O84" s="176">
        <f t="shared" ref="O84:O147" ca="1" si="38">IFERROR(N84+O83,"")</f>
        <v>2003</v>
      </c>
      <c r="P84" s="175">
        <f t="shared" ca="1" si="21"/>
        <v>1875.9018064860381</v>
      </c>
      <c r="Q84" s="11">
        <f t="shared" ca="1" si="22"/>
        <v>2.9930000000000002E-2</v>
      </c>
      <c r="R84" s="12">
        <f t="shared" ca="1" si="23"/>
        <v>56.145741068127123</v>
      </c>
      <c r="S84" s="513"/>
      <c r="U84" s="31">
        <f t="shared" ref="U84:U147" ca="1" si="39">IFERROR(IF(OR(J84="Carencia",K84="Pula"),0,C84+D84),"")</f>
        <v>2106.3704886229862</v>
      </c>
      <c r="V84" s="31">
        <f t="shared" ref="V84:V147" ca="1" si="40">IFERROR(I84,0)</f>
        <v>2194.9644146806063</v>
      </c>
      <c r="X84" s="58">
        <f t="shared" ca="1" si="24"/>
        <v>66</v>
      </c>
      <c r="Y84" s="61">
        <f t="shared" ca="1" si="25"/>
        <v>46731</v>
      </c>
      <c r="Z84" s="31">
        <f t="shared" ca="1" si="35"/>
        <v>1875.9018064860381</v>
      </c>
      <c r="AA84" s="31">
        <f t="shared" ref="AA84:AA147" ca="1" si="41">IF(AND(DAY(Y84)=DAY(Y83),MONTH(Y84)&lt;&gt;MONTH(Y83)),IF(AH84="Pula",0,($D$9))*AB83,((1+$D$9)^(N84/_xlfn.DAYS(EDATE(Y83,1),Y83))-1)*AB83)</f>
        <v>947.89487430128725</v>
      </c>
      <c r="AB84" s="31">
        <f t="shared" ca="1" si="36"/>
        <v>101156.14956636479</v>
      </c>
      <c r="AC84" t="str">
        <f t="shared" ca="1" si="26"/>
        <v/>
      </c>
      <c r="AD84" t="str">
        <f t="shared" ca="1" si="27"/>
        <v/>
      </c>
    </row>
    <row r="85" spans="1:30">
      <c r="A85" s="180">
        <f ca="1">'PRICE_IOF Ñ USAR'!A85</f>
        <v>67</v>
      </c>
      <c r="B85" s="179">
        <f ca="1">'PRICE_IOF Ñ USAR'!B85</f>
        <v>46762</v>
      </c>
      <c r="C85" s="177">
        <f t="shared" ca="1" si="28"/>
        <v>477.77297597494294</v>
      </c>
      <c r="D85" s="24">
        <f t="shared" ca="1" si="37"/>
        <v>1628.5975126480432</v>
      </c>
      <c r="E85" s="177">
        <f t="shared" ca="1" si="29"/>
        <v>176543.69547804265</v>
      </c>
      <c r="F85" s="178">
        <f t="shared" ca="1" si="30"/>
        <v>37.174508375343699</v>
      </c>
      <c r="G85" s="178">
        <f t="shared" ca="1" si="31"/>
        <v>26.319999999999997</v>
      </c>
      <c r="H85" s="177">
        <f t="shared" ca="1" si="32"/>
        <v>25</v>
      </c>
      <c r="I85" s="25">
        <f t="shared" ca="1" si="33"/>
        <v>2194.8649969983298</v>
      </c>
      <c r="J85" s="9" t="str">
        <f ca="1">'PRICE_IOF Ñ USAR'!J85</f>
        <v/>
      </c>
      <c r="K85" s="9" t="str">
        <f ca="1">'PRICE_IOF Ñ USAR'!K85</f>
        <v/>
      </c>
      <c r="L85" s="9">
        <f ca="1">'PRICE_IOF Ñ USAR'!L85</f>
        <v>1</v>
      </c>
      <c r="N85" s="176">
        <f t="shared" ca="1" si="34"/>
        <v>31</v>
      </c>
      <c r="O85" s="176">
        <f t="shared" ca="1" si="38"/>
        <v>2034</v>
      </c>
      <c r="P85" s="175">
        <f t="shared" ca="1" si="21"/>
        <v>1893.1601031361347</v>
      </c>
      <c r="Q85" s="11">
        <f t="shared" ca="1" si="22"/>
        <v>2.9930000000000002E-2</v>
      </c>
      <c r="R85" s="12">
        <f t="shared" ca="1" si="23"/>
        <v>56.662281886864513</v>
      </c>
      <c r="S85" s="513"/>
      <c r="U85" s="31">
        <f t="shared" ca="1" si="39"/>
        <v>2106.3704886229862</v>
      </c>
      <c r="V85" s="31">
        <f t="shared" ca="1" si="40"/>
        <v>2194.8649969983298</v>
      </c>
      <c r="X85" s="58">
        <f t="shared" ca="1" si="24"/>
        <v>67</v>
      </c>
      <c r="Y85" s="61">
        <f t="shared" ca="1" si="25"/>
        <v>46762</v>
      </c>
      <c r="Z85" s="31">
        <f t="shared" ca="1" si="35"/>
        <v>1893.1601031361347</v>
      </c>
      <c r="AA85" s="31">
        <f t="shared" ca="1" si="41"/>
        <v>930.63657765119069</v>
      </c>
      <c r="AB85" s="31">
        <f t="shared" ca="1" si="36"/>
        <v>99262.98946322866</v>
      </c>
      <c r="AC85" t="str">
        <f t="shared" ca="1" si="26"/>
        <v/>
      </c>
      <c r="AD85" t="str">
        <f t="shared" ca="1" si="27"/>
        <v/>
      </c>
    </row>
    <row r="86" spans="1:30">
      <c r="A86" s="180">
        <f ca="1">'PRICE_IOF Ñ USAR'!A86</f>
        <v>68</v>
      </c>
      <c r="B86" s="179">
        <f ca="1">'PRICE_IOF Ñ USAR'!B86</f>
        <v>46793</v>
      </c>
      <c r="C86" s="177">
        <f t="shared" ca="1" si="28"/>
        <v>482.16848736166139</v>
      </c>
      <c r="D86" s="24">
        <f t="shared" ca="1" si="37"/>
        <v>1624.2020012613248</v>
      </c>
      <c r="E86" s="177">
        <f t="shared" ca="1" si="29"/>
        <v>176061.52699068098</v>
      </c>
      <c r="F86" s="178">
        <f t="shared" ca="1" si="30"/>
        <v>37.074176050388957</v>
      </c>
      <c r="G86" s="178">
        <f t="shared" ca="1" si="31"/>
        <v>26.319999999999997</v>
      </c>
      <c r="H86" s="177">
        <f t="shared" ca="1" si="32"/>
        <v>25</v>
      </c>
      <c r="I86" s="25">
        <f t="shared" ca="1" si="33"/>
        <v>2194.7646646733751</v>
      </c>
      <c r="J86" s="9" t="str">
        <f ca="1">'PRICE_IOF Ñ USAR'!J86</f>
        <v/>
      </c>
      <c r="K86" s="9" t="str">
        <f ca="1">'PRICE_IOF Ñ USAR'!K86</f>
        <v/>
      </c>
      <c r="L86" s="9">
        <f ca="1">'PRICE_IOF Ñ USAR'!L86</f>
        <v>2</v>
      </c>
      <c r="N86" s="176">
        <f t="shared" ca="1" si="34"/>
        <v>31</v>
      </c>
      <c r="O86" s="176">
        <f t="shared" ca="1" si="38"/>
        <v>2065</v>
      </c>
      <c r="P86" s="175">
        <f t="shared" ca="1" si="21"/>
        <v>1910.5771761156921</v>
      </c>
      <c r="Q86" s="11">
        <f t="shared" ca="1" si="22"/>
        <v>2.9930000000000002E-2</v>
      </c>
      <c r="R86" s="12">
        <f t="shared" ca="1" si="23"/>
        <v>57.183574881142668</v>
      </c>
      <c r="S86" s="513"/>
      <c r="U86" s="31">
        <f t="shared" ca="1" si="39"/>
        <v>2106.3704886229862</v>
      </c>
      <c r="V86" s="31">
        <f t="shared" ca="1" si="40"/>
        <v>2194.7646646733751</v>
      </c>
      <c r="X86" s="58">
        <f t="shared" ca="1" si="24"/>
        <v>68</v>
      </c>
      <c r="Y86" s="61">
        <f t="shared" ca="1" si="25"/>
        <v>46793</v>
      </c>
      <c r="Z86" s="31">
        <f t="shared" ca="1" si="35"/>
        <v>1910.5771761156921</v>
      </c>
      <c r="AA86" s="31">
        <f t="shared" ca="1" si="41"/>
        <v>913.21950467163333</v>
      </c>
      <c r="AB86" s="31">
        <f t="shared" ca="1" si="36"/>
        <v>97352.412287112966</v>
      </c>
      <c r="AC86" t="str">
        <f t="shared" ca="1" si="26"/>
        <v/>
      </c>
      <c r="AD86" t="str">
        <f t="shared" ca="1" si="27"/>
        <v/>
      </c>
    </row>
    <row r="87" spans="1:30">
      <c r="A87" s="180">
        <f ca="1">'PRICE_IOF Ñ USAR'!A87</f>
        <v>69</v>
      </c>
      <c r="B87" s="179">
        <f ca="1">'PRICE_IOF Ñ USAR'!B87</f>
        <v>46822</v>
      </c>
      <c r="C87" s="177">
        <f t="shared" ca="1" si="28"/>
        <v>486.6044374532089</v>
      </c>
      <c r="D87" s="24">
        <f t="shared" ca="1" si="37"/>
        <v>1619.7660511697773</v>
      </c>
      <c r="E87" s="177">
        <f t="shared" ca="1" si="29"/>
        <v>175574.92255322778</v>
      </c>
      <c r="F87" s="178">
        <f t="shared" ca="1" si="30"/>
        <v>36.97292066804301</v>
      </c>
      <c r="G87" s="178">
        <f t="shared" ca="1" si="31"/>
        <v>26.319999999999997</v>
      </c>
      <c r="H87" s="177">
        <f t="shared" ca="1" si="32"/>
        <v>25</v>
      </c>
      <c r="I87" s="25">
        <f t="shared" ca="1" si="33"/>
        <v>2194.6634092910294</v>
      </c>
      <c r="J87" s="9" t="str">
        <f ca="1">'PRICE_IOF Ñ USAR'!J87</f>
        <v/>
      </c>
      <c r="K87" s="9" t="str">
        <f ca="1">'PRICE_IOF Ñ USAR'!K87</f>
        <v/>
      </c>
      <c r="L87" s="9">
        <f ca="1">'PRICE_IOF Ñ USAR'!L87</f>
        <v>3</v>
      </c>
      <c r="N87" s="176">
        <f t="shared" ca="1" si="34"/>
        <v>29</v>
      </c>
      <c r="O87" s="176">
        <f t="shared" ca="1" si="38"/>
        <v>2094</v>
      </c>
      <c r="P87" s="175">
        <f t="shared" ca="1" si="21"/>
        <v>1928.1544861669436</v>
      </c>
      <c r="Q87" s="11">
        <f t="shared" ca="1" si="22"/>
        <v>2.9930000000000002E-2</v>
      </c>
      <c r="R87" s="12">
        <f t="shared" ca="1" si="23"/>
        <v>57.709663770976626</v>
      </c>
      <c r="S87" s="513"/>
      <c r="U87" s="31">
        <f t="shared" ca="1" si="39"/>
        <v>2106.3704886229862</v>
      </c>
      <c r="V87" s="31">
        <f t="shared" ca="1" si="40"/>
        <v>2194.6634092910294</v>
      </c>
      <c r="X87" s="58">
        <f t="shared" ca="1" si="24"/>
        <v>69</v>
      </c>
      <c r="Y87" s="61">
        <f t="shared" ca="1" si="25"/>
        <v>46822</v>
      </c>
      <c r="Z87" s="31">
        <f t="shared" ca="1" si="35"/>
        <v>1928.1544861669436</v>
      </c>
      <c r="AA87" s="31">
        <f t="shared" ca="1" si="41"/>
        <v>895.6421946203817</v>
      </c>
      <c r="AB87" s="31">
        <f t="shared" ca="1" si="36"/>
        <v>95424.257800946027</v>
      </c>
      <c r="AC87" t="str">
        <f t="shared" ca="1" si="26"/>
        <v/>
      </c>
      <c r="AD87" t="str">
        <f t="shared" ca="1" si="27"/>
        <v/>
      </c>
    </row>
    <row r="88" spans="1:30">
      <c r="A88" s="180">
        <f ca="1">'PRICE_IOF Ñ USAR'!A88</f>
        <v>70</v>
      </c>
      <c r="B88" s="179">
        <f ca="1">'PRICE_IOF Ñ USAR'!B88</f>
        <v>46853</v>
      </c>
      <c r="C88" s="177">
        <f t="shared" ca="1" si="28"/>
        <v>491.08119828567055</v>
      </c>
      <c r="D88" s="24">
        <f t="shared" ca="1" si="37"/>
        <v>1615.2892903373156</v>
      </c>
      <c r="E88" s="177">
        <f t="shared" ca="1" si="29"/>
        <v>175083.84135494209</v>
      </c>
      <c r="F88" s="178">
        <f t="shared" ca="1" si="30"/>
        <v>36.870733736177833</v>
      </c>
      <c r="G88" s="178">
        <f t="shared" ca="1" si="31"/>
        <v>26.319999999999997</v>
      </c>
      <c r="H88" s="177">
        <f t="shared" ca="1" si="32"/>
        <v>25</v>
      </c>
      <c r="I88" s="25">
        <f t="shared" ca="1" si="33"/>
        <v>2194.5612223591643</v>
      </c>
      <c r="J88" s="9" t="str">
        <f ca="1">'PRICE_IOF Ñ USAR'!J88</f>
        <v/>
      </c>
      <c r="K88" s="9" t="str">
        <f ca="1">'PRICE_IOF Ñ USAR'!K88</f>
        <v/>
      </c>
      <c r="L88" s="9">
        <f ca="1">'PRICE_IOF Ñ USAR'!L88</f>
        <v>4</v>
      </c>
      <c r="N88" s="176">
        <f t="shared" ca="1" si="34"/>
        <v>31</v>
      </c>
      <c r="O88" s="176">
        <f t="shared" ca="1" si="38"/>
        <v>2125</v>
      </c>
      <c r="P88" s="175">
        <f t="shared" ca="1" si="21"/>
        <v>1945.893507470952</v>
      </c>
      <c r="Q88" s="11">
        <f t="shared" ca="1" si="22"/>
        <v>2.9930000000000002E-2</v>
      </c>
      <c r="R88" s="12">
        <f t="shared" ca="1" si="23"/>
        <v>58.240592678605601</v>
      </c>
      <c r="S88" s="513"/>
      <c r="U88" s="31">
        <f t="shared" ca="1" si="39"/>
        <v>2106.3704886229862</v>
      </c>
      <c r="V88" s="31">
        <f t="shared" ca="1" si="40"/>
        <v>2194.5612223591643</v>
      </c>
      <c r="X88" s="58">
        <f t="shared" ca="1" si="24"/>
        <v>70</v>
      </c>
      <c r="Y88" s="61">
        <f t="shared" ca="1" si="25"/>
        <v>46853</v>
      </c>
      <c r="Z88" s="31">
        <f t="shared" ca="1" si="35"/>
        <v>1945.893507470952</v>
      </c>
      <c r="AA88" s="31">
        <f t="shared" ca="1" si="41"/>
        <v>877.90317331637345</v>
      </c>
      <c r="AB88" s="31">
        <f t="shared" ca="1" si="36"/>
        <v>93478.364293475068</v>
      </c>
      <c r="AC88" t="str">
        <f t="shared" ca="1" si="26"/>
        <v/>
      </c>
      <c r="AD88" t="str">
        <f t="shared" ca="1" si="27"/>
        <v/>
      </c>
    </row>
    <row r="89" spans="1:30">
      <c r="A89" s="180">
        <f ca="1">'PRICE_IOF Ñ USAR'!A89</f>
        <v>71</v>
      </c>
      <c r="B89" s="179">
        <f ca="1">'PRICE_IOF Ñ USAR'!B89</f>
        <v>46883</v>
      </c>
      <c r="C89" s="177">
        <f t="shared" ca="1" si="28"/>
        <v>495.59914531786353</v>
      </c>
      <c r="D89" s="24">
        <f t="shared" ca="1" si="37"/>
        <v>1610.7713433051226</v>
      </c>
      <c r="E89" s="177">
        <f t="shared" ca="1" si="29"/>
        <v>174588.24220962424</v>
      </c>
      <c r="F89" s="178">
        <f t="shared" ca="1" si="30"/>
        <v>36.767606684537839</v>
      </c>
      <c r="G89" s="178">
        <f t="shared" ca="1" si="31"/>
        <v>26.319999999999997</v>
      </c>
      <c r="H89" s="177">
        <f t="shared" ca="1" si="32"/>
        <v>25</v>
      </c>
      <c r="I89" s="25">
        <f t="shared" ca="1" si="33"/>
        <v>2194.4580953075242</v>
      </c>
      <c r="J89" s="9" t="str">
        <f ca="1">'PRICE_IOF Ñ USAR'!J89</f>
        <v/>
      </c>
      <c r="K89" s="9" t="str">
        <f ca="1">'PRICE_IOF Ñ USAR'!K89</f>
        <v/>
      </c>
      <c r="L89" s="9">
        <f ca="1">'PRICE_IOF Ñ USAR'!L89</f>
        <v>5</v>
      </c>
      <c r="N89" s="176">
        <f t="shared" ca="1" si="34"/>
        <v>30</v>
      </c>
      <c r="O89" s="176">
        <f t="shared" ca="1" si="38"/>
        <v>2155</v>
      </c>
      <c r="P89" s="175">
        <f t="shared" ca="1" si="21"/>
        <v>1963.7957277712449</v>
      </c>
      <c r="Q89" s="11">
        <f t="shared" ca="1" si="22"/>
        <v>2.9930000000000002E-2</v>
      </c>
      <c r="R89" s="12">
        <f t="shared" ca="1" si="23"/>
        <v>58.776406132193365</v>
      </c>
      <c r="S89" s="513"/>
      <c r="U89" s="31">
        <f t="shared" ca="1" si="39"/>
        <v>2106.3704886229862</v>
      </c>
      <c r="V89" s="31">
        <f t="shared" ca="1" si="40"/>
        <v>2194.4580953075242</v>
      </c>
      <c r="X89" s="58">
        <f t="shared" ca="1" si="24"/>
        <v>71</v>
      </c>
      <c r="Y89" s="61">
        <f t="shared" ca="1" si="25"/>
        <v>46883</v>
      </c>
      <c r="Z89" s="31">
        <f t="shared" ca="1" si="35"/>
        <v>1963.7957277712449</v>
      </c>
      <c r="AA89" s="31">
        <f t="shared" ca="1" si="41"/>
        <v>860.00095301608053</v>
      </c>
      <c r="AB89" s="31">
        <f t="shared" ca="1" si="36"/>
        <v>91514.568565703827</v>
      </c>
      <c r="AC89" t="str">
        <f t="shared" ca="1" si="26"/>
        <v/>
      </c>
      <c r="AD89" t="str">
        <f t="shared" ca="1" si="27"/>
        <v/>
      </c>
    </row>
    <row r="90" spans="1:30">
      <c r="A90" s="180">
        <f ca="1">'PRICE_IOF Ñ USAR'!A90</f>
        <v>72</v>
      </c>
      <c r="B90" s="179">
        <f ca="1">'PRICE_IOF Ñ USAR'!B90</f>
        <v>46914</v>
      </c>
      <c r="C90" s="177">
        <f t="shared" ca="1" si="28"/>
        <v>500.15865746282589</v>
      </c>
      <c r="D90" s="24">
        <f t="shared" ca="1" si="37"/>
        <v>1606.2118311601603</v>
      </c>
      <c r="E90" s="177">
        <f t="shared" ca="1" si="29"/>
        <v>174088.08355216141</v>
      </c>
      <c r="F90" s="178">
        <f t="shared" ca="1" si="30"/>
        <v>36.663530864021091</v>
      </c>
      <c r="G90" s="178">
        <f t="shared" ca="1" si="31"/>
        <v>26.319999999999997</v>
      </c>
      <c r="H90" s="177">
        <f t="shared" ca="1" si="32"/>
        <v>25</v>
      </c>
      <c r="I90" s="25">
        <f t="shared" ca="1" si="33"/>
        <v>2194.3540194870075</v>
      </c>
      <c r="J90" s="9" t="str">
        <f ca="1">'PRICE_IOF Ñ USAR'!J90</f>
        <v/>
      </c>
      <c r="K90" s="9" t="str">
        <f ca="1">'PRICE_IOF Ñ USAR'!K90</f>
        <v/>
      </c>
      <c r="L90" s="9">
        <f ca="1">'PRICE_IOF Ñ USAR'!L90</f>
        <v>6</v>
      </c>
      <c r="N90" s="176">
        <f t="shared" ca="1" si="34"/>
        <v>31</v>
      </c>
      <c r="O90" s="176">
        <f t="shared" ca="1" si="38"/>
        <v>2186</v>
      </c>
      <c r="P90" s="175">
        <f t="shared" ca="1" si="21"/>
        <v>1981.8626484985907</v>
      </c>
      <c r="Q90" s="11">
        <f t="shared" ca="1" si="22"/>
        <v>2.9930000000000002E-2</v>
      </c>
      <c r="R90" s="12">
        <f t="shared" ca="1" si="23"/>
        <v>59.317149069562824</v>
      </c>
      <c r="S90" s="513"/>
      <c r="U90" s="31">
        <f t="shared" ca="1" si="39"/>
        <v>2106.3704886229862</v>
      </c>
      <c r="V90" s="31">
        <f t="shared" ca="1" si="40"/>
        <v>2194.3540194870075</v>
      </c>
      <c r="X90" s="58">
        <f t="shared" ca="1" si="24"/>
        <v>72</v>
      </c>
      <c r="Y90" s="61">
        <f t="shared" ca="1" si="25"/>
        <v>46914</v>
      </c>
      <c r="Z90" s="31">
        <f t="shared" ca="1" si="35"/>
        <v>1981.8626484985907</v>
      </c>
      <c r="AA90" s="31">
        <f t="shared" ca="1" si="41"/>
        <v>841.93403228873456</v>
      </c>
      <c r="AB90" s="31">
        <f t="shared" ca="1" si="36"/>
        <v>89532.70591720524</v>
      </c>
      <c r="AC90" t="str">
        <f t="shared" ca="1" si="26"/>
        <v/>
      </c>
      <c r="AD90" t="str">
        <f t="shared" ca="1" si="27"/>
        <v/>
      </c>
    </row>
    <row r="91" spans="1:30">
      <c r="A91" s="180">
        <f ca="1">'PRICE_IOF Ñ USAR'!A91</f>
        <v>73</v>
      </c>
      <c r="B91" s="179">
        <f ca="1">'PRICE_IOF Ñ USAR'!B91</f>
        <v>46944</v>
      </c>
      <c r="C91" s="177">
        <f t="shared" ca="1" si="28"/>
        <v>504.76011711959586</v>
      </c>
      <c r="D91" s="24">
        <f t="shared" ca="1" si="37"/>
        <v>1601.6103715033903</v>
      </c>
      <c r="E91" s="177">
        <f t="shared" ca="1" si="29"/>
        <v>173583.32343504182</v>
      </c>
      <c r="F91" s="178">
        <f t="shared" ca="1" si="30"/>
        <v>36.558497545953898</v>
      </c>
      <c r="G91" s="178">
        <f t="shared" ca="1" si="31"/>
        <v>26.319999999999997</v>
      </c>
      <c r="H91" s="177">
        <f t="shared" ca="1" si="32"/>
        <v>25</v>
      </c>
      <c r="I91" s="25">
        <f t="shared" ca="1" si="33"/>
        <v>2194.2489861689401</v>
      </c>
      <c r="J91" s="9" t="str">
        <f ca="1">'PRICE_IOF Ñ USAR'!J91</f>
        <v/>
      </c>
      <c r="K91" s="9" t="str">
        <f ca="1">'PRICE_IOF Ñ USAR'!K91</f>
        <v/>
      </c>
      <c r="L91" s="9">
        <f ca="1">'PRICE_IOF Ñ USAR'!L91</f>
        <v>7</v>
      </c>
      <c r="N91" s="176">
        <f t="shared" ca="1" si="34"/>
        <v>30</v>
      </c>
      <c r="O91" s="176">
        <f t="shared" ca="1" si="38"/>
        <v>2216</v>
      </c>
      <c r="P91" s="175">
        <f t="shared" ca="1" si="21"/>
        <v>2000.0957848969213</v>
      </c>
      <c r="Q91" s="11">
        <f t="shared" ca="1" si="22"/>
        <v>2.9930000000000002E-2</v>
      </c>
      <c r="R91" s="12">
        <f t="shared" ca="1" si="23"/>
        <v>59.862866841964859</v>
      </c>
      <c r="S91" s="513"/>
      <c r="U91" s="31">
        <f t="shared" ca="1" si="39"/>
        <v>2106.3704886229862</v>
      </c>
      <c r="V91" s="31">
        <f t="shared" ca="1" si="40"/>
        <v>2194.2489861689401</v>
      </c>
      <c r="X91" s="58">
        <f t="shared" ca="1" si="24"/>
        <v>73</v>
      </c>
      <c r="Y91" s="61">
        <f t="shared" ca="1" si="25"/>
        <v>46944</v>
      </c>
      <c r="Z91" s="31">
        <f t="shared" ca="1" si="35"/>
        <v>2000.0957848969213</v>
      </c>
      <c r="AA91" s="31">
        <f t="shared" ca="1" si="41"/>
        <v>823.70089589040413</v>
      </c>
      <c r="AB91" s="31">
        <f t="shared" ca="1" si="36"/>
        <v>87532.610132308313</v>
      </c>
      <c r="AC91" t="str">
        <f t="shared" ca="1" si="26"/>
        <v/>
      </c>
      <c r="AD91" t="str">
        <f t="shared" ca="1" si="27"/>
        <v/>
      </c>
    </row>
    <row r="92" spans="1:30">
      <c r="A92" s="180">
        <f ca="1">'PRICE_IOF Ñ USAR'!A92</f>
        <v>74</v>
      </c>
      <c r="B92" s="179">
        <f ca="1">'PRICE_IOF Ñ USAR'!B92</f>
        <v>46975</v>
      </c>
      <c r="C92" s="177">
        <f t="shared" ca="1" si="28"/>
        <v>509.40391020528273</v>
      </c>
      <c r="D92" s="24">
        <f t="shared" ca="1" si="37"/>
        <v>1596.9665784177034</v>
      </c>
      <c r="E92" s="177">
        <f t="shared" ca="1" si="29"/>
        <v>173073.91952483653</v>
      </c>
      <c r="F92" s="178">
        <f t="shared" ca="1" si="30"/>
        <v>36.452497921358784</v>
      </c>
      <c r="G92" s="178">
        <f t="shared" ca="1" si="31"/>
        <v>26.319999999999997</v>
      </c>
      <c r="H92" s="177">
        <f t="shared" ca="1" si="32"/>
        <v>25</v>
      </c>
      <c r="I92" s="25">
        <f t="shared" ca="1" si="33"/>
        <v>2194.1429865443451</v>
      </c>
      <c r="J92" s="9" t="str">
        <f ca="1">'PRICE_IOF Ñ USAR'!J92</f>
        <v/>
      </c>
      <c r="K92" s="9" t="str">
        <f ca="1">'PRICE_IOF Ñ USAR'!K92</f>
        <v/>
      </c>
      <c r="L92" s="9">
        <f ca="1">'PRICE_IOF Ñ USAR'!L92</f>
        <v>8</v>
      </c>
      <c r="N92" s="176">
        <f t="shared" ca="1" si="34"/>
        <v>31</v>
      </c>
      <c r="O92" s="176">
        <f t="shared" ca="1" si="38"/>
        <v>2247</v>
      </c>
      <c r="P92" s="175">
        <f t="shared" ca="1" si="21"/>
        <v>2018.4966661504122</v>
      </c>
      <c r="Q92" s="11">
        <f t="shared" ca="1" si="22"/>
        <v>2.9930000000000002E-2</v>
      </c>
      <c r="R92" s="12">
        <f t="shared" ca="1" si="23"/>
        <v>60.413605217881845</v>
      </c>
      <c r="S92" s="513"/>
      <c r="U92" s="31">
        <f t="shared" ca="1" si="39"/>
        <v>2106.3704886229862</v>
      </c>
      <c r="V92" s="31">
        <f t="shared" ca="1" si="40"/>
        <v>2194.1429865443451</v>
      </c>
      <c r="X92" s="58">
        <f t="shared" ca="1" si="24"/>
        <v>74</v>
      </c>
      <c r="Y92" s="61">
        <f t="shared" ca="1" si="25"/>
        <v>46975</v>
      </c>
      <c r="Z92" s="31">
        <f t="shared" ca="1" si="35"/>
        <v>2018.4966661504122</v>
      </c>
      <c r="AA92" s="31">
        <f t="shared" ca="1" si="41"/>
        <v>805.30001463691315</v>
      </c>
      <c r="AB92" s="31">
        <f t="shared" ca="1" si="36"/>
        <v>85514.113466157898</v>
      </c>
      <c r="AC92" t="str">
        <f t="shared" ca="1" si="26"/>
        <v/>
      </c>
      <c r="AD92" t="str">
        <f t="shared" ca="1" si="27"/>
        <v/>
      </c>
    </row>
    <row r="93" spans="1:30">
      <c r="A93" s="180">
        <f ca="1">'PRICE_IOF Ñ USAR'!A93</f>
        <v>75</v>
      </c>
      <c r="B93" s="179">
        <f ca="1">'PRICE_IOF Ñ USAR'!B93</f>
        <v>47006</v>
      </c>
      <c r="C93" s="177">
        <f t="shared" ca="1" si="28"/>
        <v>514.09042618743342</v>
      </c>
      <c r="D93" s="24">
        <f t="shared" ca="1" si="37"/>
        <v>1592.2800624355527</v>
      </c>
      <c r="E93" s="177">
        <f t="shared" ca="1" si="29"/>
        <v>172559.82909864909</v>
      </c>
      <c r="F93" s="178">
        <f t="shared" ca="1" si="30"/>
        <v>36.345523100215672</v>
      </c>
      <c r="G93" s="178">
        <f t="shared" ca="1" si="31"/>
        <v>26.319999999999997</v>
      </c>
      <c r="H93" s="177">
        <f t="shared" ca="1" si="32"/>
        <v>25</v>
      </c>
      <c r="I93" s="25">
        <f t="shared" ca="1" si="33"/>
        <v>2194.0360117232021</v>
      </c>
      <c r="J93" s="9" t="str">
        <f ca="1">'PRICE_IOF Ñ USAR'!J93</f>
        <v/>
      </c>
      <c r="K93" s="9" t="str">
        <f ca="1">'PRICE_IOF Ñ USAR'!K93</f>
        <v/>
      </c>
      <c r="L93" s="9">
        <f ca="1">'PRICE_IOF Ñ USAR'!L93</f>
        <v>9</v>
      </c>
      <c r="N93" s="176">
        <f t="shared" ca="1" si="34"/>
        <v>31</v>
      </c>
      <c r="O93" s="176">
        <f t="shared" ca="1" si="38"/>
        <v>2278</v>
      </c>
      <c r="P93" s="175">
        <f t="shared" ca="1" si="21"/>
        <v>2037.0668355117336</v>
      </c>
      <c r="Q93" s="11">
        <f t="shared" ca="1" si="22"/>
        <v>2.9930000000000002E-2</v>
      </c>
      <c r="R93" s="12">
        <f t="shared" ca="1" si="23"/>
        <v>60.969410386866194</v>
      </c>
      <c r="S93" s="513"/>
      <c r="U93" s="31">
        <f t="shared" ca="1" si="39"/>
        <v>2106.3704886229862</v>
      </c>
      <c r="V93" s="31">
        <f t="shared" ca="1" si="40"/>
        <v>2194.0360117232021</v>
      </c>
      <c r="X93" s="58">
        <f t="shared" ca="1" si="24"/>
        <v>75</v>
      </c>
      <c r="Y93" s="61">
        <f t="shared" ca="1" si="25"/>
        <v>47006</v>
      </c>
      <c r="Z93" s="31">
        <f t="shared" ca="1" si="35"/>
        <v>2037.0668355117336</v>
      </c>
      <c r="AA93" s="31">
        <f t="shared" ca="1" si="41"/>
        <v>786.72984527559163</v>
      </c>
      <c r="AB93" s="31">
        <f t="shared" ca="1" si="36"/>
        <v>83477.04663064616</v>
      </c>
      <c r="AC93" t="str">
        <f t="shared" ca="1" si="26"/>
        <v/>
      </c>
      <c r="AD93" t="str">
        <f t="shared" ca="1" si="27"/>
        <v/>
      </c>
    </row>
    <row r="94" spans="1:30">
      <c r="A94" s="180">
        <f ca="1">'PRICE_IOF Ñ USAR'!A94</f>
        <v>76</v>
      </c>
      <c r="B94" s="179">
        <f ca="1">'PRICE_IOF Ñ USAR'!B94</f>
        <v>47036</v>
      </c>
      <c r="C94" s="177">
        <f t="shared" ca="1" si="28"/>
        <v>518.82005811669569</v>
      </c>
      <c r="D94" s="24">
        <f t="shared" ca="1" si="37"/>
        <v>1587.5504305062905</v>
      </c>
      <c r="E94" s="177">
        <f t="shared" ca="1" si="29"/>
        <v>172041.0090405324</v>
      </c>
      <c r="F94" s="178">
        <f t="shared" ca="1" si="30"/>
        <v>36.237564110716313</v>
      </c>
      <c r="G94" s="178">
        <f t="shared" ca="1" si="31"/>
        <v>26.319999999999997</v>
      </c>
      <c r="H94" s="177">
        <f t="shared" ca="1" si="32"/>
        <v>25</v>
      </c>
      <c r="I94" s="25">
        <f t="shared" ca="1" si="33"/>
        <v>2193.9280527337028</v>
      </c>
      <c r="J94" s="9" t="str">
        <f ca="1">'PRICE_IOF Ñ USAR'!J94</f>
        <v/>
      </c>
      <c r="K94" s="9" t="str">
        <f ca="1">'PRICE_IOF Ñ USAR'!K94</f>
        <v/>
      </c>
      <c r="L94" s="9">
        <f ca="1">'PRICE_IOF Ñ USAR'!L94</f>
        <v>10</v>
      </c>
      <c r="N94" s="176">
        <f t="shared" ca="1" si="34"/>
        <v>30</v>
      </c>
      <c r="O94" s="176">
        <f t="shared" ca="1" si="38"/>
        <v>2308</v>
      </c>
      <c r="P94" s="175">
        <f t="shared" ca="1" si="21"/>
        <v>2055.8078504314808</v>
      </c>
      <c r="Q94" s="11">
        <f t="shared" ca="1" si="22"/>
        <v>2.9930000000000002E-2</v>
      </c>
      <c r="R94" s="12">
        <f t="shared" ca="1" si="23"/>
        <v>61.530328963414227</v>
      </c>
      <c r="S94" s="513"/>
      <c r="U94" s="31">
        <f t="shared" ca="1" si="39"/>
        <v>2106.3704886229862</v>
      </c>
      <c r="V94" s="31">
        <f t="shared" ca="1" si="40"/>
        <v>2193.9280527337028</v>
      </c>
      <c r="X94" s="58">
        <f t="shared" ca="1" si="24"/>
        <v>76</v>
      </c>
      <c r="Y94" s="61">
        <f t="shared" ca="1" si="25"/>
        <v>47036</v>
      </c>
      <c r="Z94" s="31">
        <f t="shared" ca="1" si="35"/>
        <v>2055.8078504314808</v>
      </c>
      <c r="AA94" s="31">
        <f t="shared" ca="1" si="41"/>
        <v>767.98883035584481</v>
      </c>
      <c r="AB94" s="31">
        <f t="shared" ca="1" si="36"/>
        <v>81421.238780214684</v>
      </c>
      <c r="AC94" t="str">
        <f t="shared" ca="1" si="26"/>
        <v/>
      </c>
      <c r="AD94" t="str">
        <f t="shared" ca="1" si="27"/>
        <v/>
      </c>
    </row>
    <row r="95" spans="1:30">
      <c r="A95" s="180">
        <f ca="1">'PRICE_IOF Ñ USAR'!A95</f>
        <v>77</v>
      </c>
      <c r="B95" s="179">
        <f ca="1">'PRICE_IOF Ñ USAR'!B95</f>
        <v>47067</v>
      </c>
      <c r="C95" s="177">
        <f t="shared" ca="1" si="28"/>
        <v>523.59320265978386</v>
      </c>
      <c r="D95" s="24">
        <f t="shared" ca="1" si="37"/>
        <v>1582.7772859632023</v>
      </c>
      <c r="E95" s="177">
        <f t="shared" ca="1" si="29"/>
        <v>171517.41583787263</v>
      </c>
      <c r="F95" s="178">
        <f t="shared" ca="1" si="30"/>
        <v>36.128611898511807</v>
      </c>
      <c r="G95" s="178">
        <f t="shared" ca="1" si="31"/>
        <v>26.319999999999997</v>
      </c>
      <c r="H95" s="177">
        <f t="shared" ca="1" si="32"/>
        <v>25</v>
      </c>
      <c r="I95" s="25">
        <f t="shared" ca="1" si="33"/>
        <v>2193.8191005214981</v>
      </c>
      <c r="J95" s="9" t="str">
        <f ca="1">'PRICE_IOF Ñ USAR'!J95</f>
        <v/>
      </c>
      <c r="K95" s="9" t="str">
        <f ca="1">'PRICE_IOF Ñ USAR'!K95</f>
        <v/>
      </c>
      <c r="L95" s="9">
        <f ca="1">'PRICE_IOF Ñ USAR'!L95</f>
        <v>11</v>
      </c>
      <c r="N95" s="176">
        <f t="shared" ca="1" si="34"/>
        <v>31</v>
      </c>
      <c r="O95" s="176">
        <f t="shared" ca="1" si="38"/>
        <v>2339</v>
      </c>
      <c r="P95" s="175">
        <f t="shared" ca="1" si="21"/>
        <v>2074.7212826887931</v>
      </c>
      <c r="Q95" s="11">
        <f t="shared" ca="1" si="22"/>
        <v>2.9930000000000002E-2</v>
      </c>
      <c r="R95" s="12">
        <f t="shared" ca="1" si="23"/>
        <v>62.096407990875576</v>
      </c>
      <c r="S95" s="513"/>
      <c r="U95" s="31">
        <f t="shared" ca="1" si="39"/>
        <v>2106.3704886229862</v>
      </c>
      <c r="V95" s="31">
        <f t="shared" ca="1" si="40"/>
        <v>2193.8191005214981</v>
      </c>
      <c r="X95" s="58">
        <f t="shared" ca="1" si="24"/>
        <v>77</v>
      </c>
      <c r="Y95" s="61">
        <f t="shared" ca="1" si="25"/>
        <v>47067</v>
      </c>
      <c r="Z95" s="31">
        <f t="shared" ca="1" si="35"/>
        <v>2074.7212826887931</v>
      </c>
      <c r="AA95" s="31">
        <f t="shared" ca="1" si="41"/>
        <v>749.07539809853245</v>
      </c>
      <c r="AB95" s="31">
        <f t="shared" ca="1" si="36"/>
        <v>79346.517497525885</v>
      </c>
      <c r="AC95" t="str">
        <f t="shared" ca="1" si="26"/>
        <v/>
      </c>
      <c r="AD95" t="str">
        <f t="shared" ca="1" si="27"/>
        <v/>
      </c>
    </row>
    <row r="96" spans="1:30">
      <c r="A96" s="180">
        <f ca="1">'PRICE_IOF Ñ USAR'!A96</f>
        <v>78</v>
      </c>
      <c r="B96" s="179">
        <f ca="1">'PRICE_IOF Ñ USAR'!B96</f>
        <v>47097</v>
      </c>
      <c r="C96" s="177">
        <f t="shared" ca="1" si="28"/>
        <v>528.41026013274586</v>
      </c>
      <c r="D96" s="24">
        <f t="shared" ca="1" si="37"/>
        <v>1577.9602284902403</v>
      </c>
      <c r="E96" s="177">
        <f t="shared" ca="1" si="29"/>
        <v>170989.00557773988</v>
      </c>
      <c r="F96" s="178">
        <f t="shared" ca="1" si="30"/>
        <v>36.018657325953257</v>
      </c>
      <c r="G96" s="178">
        <f t="shared" ca="1" si="31"/>
        <v>26.319999999999997</v>
      </c>
      <c r="H96" s="177">
        <f t="shared" ca="1" si="32"/>
        <v>25</v>
      </c>
      <c r="I96" s="25">
        <f t="shared" ca="1" si="33"/>
        <v>2193.7091459489397</v>
      </c>
      <c r="J96" s="9" t="str">
        <f ca="1">'PRICE_IOF Ñ USAR'!J96</f>
        <v/>
      </c>
      <c r="K96" s="9" t="str">
        <f ca="1">'PRICE_IOF Ñ USAR'!K96</f>
        <v/>
      </c>
      <c r="L96" s="9">
        <f ca="1">'PRICE_IOF Ñ USAR'!L96</f>
        <v>12</v>
      </c>
      <c r="N96" s="176">
        <f t="shared" ca="1" si="34"/>
        <v>30</v>
      </c>
      <c r="O96" s="176">
        <f t="shared" ca="1" si="38"/>
        <v>2369</v>
      </c>
      <c r="P96" s="175">
        <f t="shared" ca="1" si="21"/>
        <v>2093.8087185231793</v>
      </c>
      <c r="Q96" s="11">
        <f t="shared" ca="1" si="22"/>
        <v>2.9930000000000002E-2</v>
      </c>
      <c r="R96" s="12">
        <f t="shared" ca="1" si="23"/>
        <v>62.667694945398758</v>
      </c>
      <c r="S96" s="513"/>
      <c r="U96" s="31">
        <f t="shared" ca="1" si="39"/>
        <v>2106.3704886229862</v>
      </c>
      <c r="V96" s="31">
        <f t="shared" ca="1" si="40"/>
        <v>2193.7091459489397</v>
      </c>
      <c r="X96" s="58">
        <f t="shared" ca="1" si="24"/>
        <v>78</v>
      </c>
      <c r="Y96" s="61">
        <f t="shared" ca="1" si="25"/>
        <v>47097</v>
      </c>
      <c r="Z96" s="31">
        <f t="shared" ca="1" si="35"/>
        <v>2093.8087185231793</v>
      </c>
      <c r="AA96" s="31">
        <f t="shared" ca="1" si="41"/>
        <v>729.98796226414595</v>
      </c>
      <c r="AB96" s="31">
        <f t="shared" ca="1" si="36"/>
        <v>77252.7087790027</v>
      </c>
      <c r="AC96" t="str">
        <f t="shared" ca="1" si="26"/>
        <v/>
      </c>
      <c r="AD96" t="str">
        <f t="shared" ca="1" si="27"/>
        <v/>
      </c>
    </row>
    <row r="97" spans="1:30">
      <c r="A97" s="180">
        <f ca="1">'PRICE_IOF Ñ USAR'!A97</f>
        <v>79</v>
      </c>
      <c r="B97" s="179">
        <f ca="1">'PRICE_IOF Ñ USAR'!B97</f>
        <v>47128</v>
      </c>
      <c r="C97" s="177">
        <f t="shared" ca="1" si="28"/>
        <v>533.27163453453727</v>
      </c>
      <c r="D97" s="24">
        <f t="shared" ca="1" si="37"/>
        <v>1573.0988540884489</v>
      </c>
      <c r="E97" s="177">
        <f t="shared" ca="1" si="29"/>
        <v>170455.73394320536</v>
      </c>
      <c r="F97" s="178">
        <f t="shared" ca="1" si="30"/>
        <v>35.907691171325375</v>
      </c>
      <c r="G97" s="178">
        <f t="shared" ca="1" si="31"/>
        <v>26.319999999999997</v>
      </c>
      <c r="H97" s="177">
        <f t="shared" ca="1" si="32"/>
        <v>25</v>
      </c>
      <c r="I97" s="25">
        <f t="shared" ca="1" si="33"/>
        <v>2193.5981797943118</v>
      </c>
      <c r="J97" s="9" t="str">
        <f ca="1">'PRICE_IOF Ñ USAR'!J97</f>
        <v/>
      </c>
      <c r="K97" s="9" t="str">
        <f ca="1">'PRICE_IOF Ñ USAR'!K97</f>
        <v/>
      </c>
      <c r="L97" s="9">
        <f ca="1">'PRICE_IOF Ñ USAR'!L97</f>
        <v>1</v>
      </c>
      <c r="N97" s="176">
        <f t="shared" ca="1" si="34"/>
        <v>31</v>
      </c>
      <c r="O97" s="176">
        <f t="shared" ca="1" si="38"/>
        <v>2400</v>
      </c>
      <c r="P97" s="175">
        <f t="shared" ca="1" si="21"/>
        <v>2113.0717587675517</v>
      </c>
      <c r="Q97" s="11">
        <f t="shared" ca="1" si="22"/>
        <v>2.9930000000000002E-2</v>
      </c>
      <c r="R97" s="12">
        <f t="shared" ca="1" si="23"/>
        <v>63.244237739912826</v>
      </c>
      <c r="S97" s="513"/>
      <c r="U97" s="31">
        <f t="shared" ca="1" si="39"/>
        <v>2106.3704886229862</v>
      </c>
      <c r="V97" s="31">
        <f t="shared" ca="1" si="40"/>
        <v>2193.5981797943118</v>
      </c>
      <c r="X97" s="58">
        <f t="shared" ca="1" si="24"/>
        <v>79</v>
      </c>
      <c r="Y97" s="61">
        <f t="shared" ca="1" si="25"/>
        <v>47128</v>
      </c>
      <c r="Z97" s="31">
        <f t="shared" ca="1" si="35"/>
        <v>2113.0717587675517</v>
      </c>
      <c r="AA97" s="31">
        <f t="shared" ca="1" si="41"/>
        <v>710.72492201977354</v>
      </c>
      <c r="AB97" s="31">
        <f t="shared" ca="1" si="36"/>
        <v>75139.637020235154</v>
      </c>
      <c r="AC97" t="str">
        <f t="shared" ca="1" si="26"/>
        <v/>
      </c>
      <c r="AD97" t="str">
        <f t="shared" ca="1" si="27"/>
        <v/>
      </c>
    </row>
    <row r="98" spans="1:30">
      <c r="A98" s="180">
        <f ca="1">'PRICE_IOF Ñ USAR'!A98</f>
        <v>80</v>
      </c>
      <c r="B98" s="179">
        <f ca="1">'PRICE_IOF Ñ USAR'!B98</f>
        <v>47159</v>
      </c>
      <c r="C98" s="177">
        <f t="shared" ca="1" si="28"/>
        <v>538.17773358090403</v>
      </c>
      <c r="D98" s="24">
        <f t="shared" ca="1" si="37"/>
        <v>1568.1927550420821</v>
      </c>
      <c r="E98" s="177">
        <f t="shared" ca="1" si="29"/>
        <v>169917.55620962445</v>
      </c>
      <c r="F98" s="178">
        <f t="shared" ca="1" si="30"/>
        <v>35.795704128073126</v>
      </c>
      <c r="G98" s="178">
        <f t="shared" ca="1" si="31"/>
        <v>26.319999999999997</v>
      </c>
      <c r="H98" s="177">
        <f t="shared" ca="1" si="32"/>
        <v>25</v>
      </c>
      <c r="I98" s="25">
        <f t="shared" ca="1" si="33"/>
        <v>2193.4861927510597</v>
      </c>
      <c r="J98" s="9" t="str">
        <f ca="1">'PRICE_IOF Ñ USAR'!J98</f>
        <v/>
      </c>
      <c r="K98" s="9" t="str">
        <f ca="1">'PRICE_IOF Ñ USAR'!K98</f>
        <v/>
      </c>
      <c r="L98" s="9">
        <f ca="1">'PRICE_IOF Ñ USAR'!L98</f>
        <v>2</v>
      </c>
      <c r="N98" s="176">
        <f t="shared" ca="1" si="34"/>
        <v>31</v>
      </c>
      <c r="O98" s="176">
        <f t="shared" ca="1" si="38"/>
        <v>2431</v>
      </c>
      <c r="P98" s="175">
        <f t="shared" ca="1" si="21"/>
        <v>2132.5120189824847</v>
      </c>
      <c r="Q98" s="11">
        <f t="shared" ca="1" si="22"/>
        <v>2.9930000000000002E-2</v>
      </c>
      <c r="R98" s="12">
        <f t="shared" ca="1" si="23"/>
        <v>63.826084728145773</v>
      </c>
      <c r="S98" s="513"/>
      <c r="U98" s="31">
        <f t="shared" ca="1" si="39"/>
        <v>2106.3704886229862</v>
      </c>
      <c r="V98" s="31">
        <f t="shared" ca="1" si="40"/>
        <v>2193.4861927510597</v>
      </c>
      <c r="X98" s="58">
        <f t="shared" ca="1" si="24"/>
        <v>80</v>
      </c>
      <c r="Y98" s="61">
        <f t="shared" ca="1" si="25"/>
        <v>47159</v>
      </c>
      <c r="Z98" s="31">
        <f t="shared" ca="1" si="35"/>
        <v>2132.5120189824847</v>
      </c>
      <c r="AA98" s="31">
        <f t="shared" ca="1" si="41"/>
        <v>691.28466180484054</v>
      </c>
      <c r="AB98" s="31">
        <f t="shared" ca="1" si="36"/>
        <v>73007.125001252673</v>
      </c>
      <c r="AC98" t="str">
        <f t="shared" ca="1" si="26"/>
        <v/>
      </c>
      <c r="AD98" t="str">
        <f t="shared" ca="1" si="27"/>
        <v/>
      </c>
    </row>
    <row r="99" spans="1:30">
      <c r="A99" s="180">
        <f ca="1">'PRICE_IOF Ñ USAR'!A99</f>
        <v>81</v>
      </c>
      <c r="B99" s="179">
        <f ca="1">'PRICE_IOF Ñ USAR'!B99</f>
        <v>47187</v>
      </c>
      <c r="C99" s="177">
        <f t="shared" ca="1" si="28"/>
        <v>543.12896873857699</v>
      </c>
      <c r="D99" s="24">
        <f t="shared" ca="1" si="37"/>
        <v>1563.2415198844092</v>
      </c>
      <c r="E99" s="177">
        <f t="shared" ca="1" si="29"/>
        <v>169374.42724088588</v>
      </c>
      <c r="F99" s="178">
        <f t="shared" ca="1" si="30"/>
        <v>35.682686804021138</v>
      </c>
      <c r="G99" s="178">
        <f t="shared" ca="1" si="31"/>
        <v>26.319999999999997</v>
      </c>
      <c r="H99" s="177">
        <f t="shared" ca="1" si="32"/>
        <v>25</v>
      </c>
      <c r="I99" s="25">
        <f t="shared" ca="1" si="33"/>
        <v>2193.3731754270075</v>
      </c>
      <c r="J99" s="9" t="str">
        <f ca="1">'PRICE_IOF Ñ USAR'!J99</f>
        <v/>
      </c>
      <c r="K99" s="9" t="str">
        <f ca="1">'PRICE_IOF Ñ USAR'!K99</f>
        <v/>
      </c>
      <c r="L99" s="9">
        <f ca="1">'PRICE_IOF Ñ USAR'!L99</f>
        <v>3</v>
      </c>
      <c r="N99" s="176">
        <f t="shared" ca="1" si="34"/>
        <v>28</v>
      </c>
      <c r="O99" s="176">
        <f t="shared" ca="1" si="38"/>
        <v>2459</v>
      </c>
      <c r="P99" s="175">
        <f t="shared" ca="1" si="21"/>
        <v>2152.1311295917103</v>
      </c>
      <c r="Q99" s="11">
        <f t="shared" ca="1" si="22"/>
        <v>2.9930000000000002E-2</v>
      </c>
      <c r="R99" s="12">
        <f t="shared" ca="1" si="23"/>
        <v>64.413284708679896</v>
      </c>
      <c r="S99" s="513"/>
      <c r="U99" s="31">
        <f t="shared" ca="1" si="39"/>
        <v>2106.3704886229862</v>
      </c>
      <c r="V99" s="31">
        <f t="shared" ca="1" si="40"/>
        <v>2193.3731754270075</v>
      </c>
      <c r="X99" s="58">
        <f t="shared" ca="1" si="24"/>
        <v>81</v>
      </c>
      <c r="Y99" s="61">
        <f t="shared" ca="1" si="25"/>
        <v>47187</v>
      </c>
      <c r="Z99" s="31">
        <f t="shared" ca="1" si="35"/>
        <v>2152.1311295917103</v>
      </c>
      <c r="AA99" s="31">
        <f t="shared" ca="1" si="41"/>
        <v>671.66555119561485</v>
      </c>
      <c r="AB99" s="31">
        <f t="shared" ca="1" si="36"/>
        <v>70854.993871660961</v>
      </c>
      <c r="AC99" t="str">
        <f t="shared" ca="1" si="26"/>
        <v/>
      </c>
      <c r="AD99" t="str">
        <f t="shared" ca="1" si="27"/>
        <v/>
      </c>
    </row>
    <row r="100" spans="1:30">
      <c r="A100" s="180">
        <f ca="1">'PRICE_IOF Ñ USAR'!A100</f>
        <v>82</v>
      </c>
      <c r="B100" s="179">
        <f ca="1">'PRICE_IOF Ñ USAR'!B100</f>
        <v>47218</v>
      </c>
      <c r="C100" s="177">
        <f t="shared" ca="1" si="28"/>
        <v>548.12575525978082</v>
      </c>
      <c r="D100" s="24">
        <f t="shared" ca="1" si="37"/>
        <v>1558.2447333632053</v>
      </c>
      <c r="E100" s="177">
        <f t="shared" ca="1" si="29"/>
        <v>168826.30148562611</v>
      </c>
      <c r="F100" s="178">
        <f t="shared" ca="1" si="30"/>
        <v>35.568629720586038</v>
      </c>
      <c r="G100" s="178">
        <f t="shared" ca="1" si="31"/>
        <v>26.319999999999997</v>
      </c>
      <c r="H100" s="177">
        <f t="shared" ca="1" si="32"/>
        <v>25</v>
      </c>
      <c r="I100" s="25">
        <f t="shared" ca="1" si="33"/>
        <v>2193.2591183435725</v>
      </c>
      <c r="J100" s="9" t="str">
        <f ca="1">'PRICE_IOF Ñ USAR'!J100</f>
        <v/>
      </c>
      <c r="K100" s="9" t="str">
        <f ca="1">'PRICE_IOF Ñ USAR'!K100</f>
        <v/>
      </c>
      <c r="L100" s="9">
        <f ca="1">'PRICE_IOF Ñ USAR'!L100</f>
        <v>4</v>
      </c>
      <c r="N100" s="176">
        <f t="shared" ca="1" si="34"/>
        <v>31</v>
      </c>
      <c r="O100" s="176">
        <f t="shared" ca="1" si="38"/>
        <v>2490</v>
      </c>
      <c r="P100" s="175">
        <f t="shared" ca="1" si="21"/>
        <v>2171.9307360188595</v>
      </c>
      <c r="Q100" s="11">
        <f t="shared" ca="1" si="22"/>
        <v>2.9930000000000002E-2</v>
      </c>
      <c r="R100" s="12">
        <f t="shared" ca="1" si="23"/>
        <v>65.005886929044465</v>
      </c>
      <c r="S100" s="513"/>
      <c r="U100" s="31">
        <f t="shared" ca="1" si="39"/>
        <v>2106.3704886229862</v>
      </c>
      <c r="V100" s="31">
        <f t="shared" ca="1" si="40"/>
        <v>2193.2591183435725</v>
      </c>
      <c r="X100" s="58">
        <f t="shared" ca="1" si="24"/>
        <v>82</v>
      </c>
      <c r="Y100" s="61">
        <f t="shared" ca="1" si="25"/>
        <v>47218</v>
      </c>
      <c r="Z100" s="31">
        <f t="shared" ca="1" si="35"/>
        <v>2171.9307360188595</v>
      </c>
      <c r="AA100" s="31">
        <f t="shared" ca="1" si="41"/>
        <v>651.86594476846608</v>
      </c>
      <c r="AB100" s="31">
        <f t="shared" ca="1" si="36"/>
        <v>68683.063135642107</v>
      </c>
      <c r="AC100" t="str">
        <f t="shared" ca="1" si="26"/>
        <v/>
      </c>
      <c r="AD100" t="str">
        <f t="shared" ca="1" si="27"/>
        <v/>
      </c>
    </row>
    <row r="101" spans="1:30">
      <c r="A101" s="180">
        <f ca="1">'PRICE_IOF Ñ USAR'!A101</f>
        <v>83</v>
      </c>
      <c r="B101" s="179">
        <f ca="1">'PRICE_IOF Ñ USAR'!B101</f>
        <v>47248</v>
      </c>
      <c r="C101" s="177">
        <f t="shared" ca="1" si="28"/>
        <v>553.16851221706065</v>
      </c>
      <c r="D101" s="24">
        <f t="shared" ca="1" si="37"/>
        <v>1553.2019764059255</v>
      </c>
      <c r="E101" s="177">
        <f t="shared" ca="1" si="29"/>
        <v>168273.13297340905</v>
      </c>
      <c r="F101" s="178">
        <f t="shared" ca="1" si="30"/>
        <v>35.453523311981485</v>
      </c>
      <c r="G101" s="178">
        <f t="shared" ca="1" si="31"/>
        <v>26.319999999999997</v>
      </c>
      <c r="H101" s="177">
        <f t="shared" ca="1" si="32"/>
        <v>25</v>
      </c>
      <c r="I101" s="25">
        <f t="shared" ca="1" si="33"/>
        <v>2193.1440119349677</v>
      </c>
      <c r="J101" s="9" t="str">
        <f ca="1">'PRICE_IOF Ñ USAR'!J101</f>
        <v/>
      </c>
      <c r="K101" s="9" t="str">
        <f ca="1">'PRICE_IOF Ñ USAR'!K101</f>
        <v/>
      </c>
      <c r="L101" s="9">
        <f ca="1">'PRICE_IOF Ñ USAR'!L101</f>
        <v>5</v>
      </c>
      <c r="N101" s="176">
        <f t="shared" ca="1" si="34"/>
        <v>30</v>
      </c>
      <c r="O101" s="176">
        <f t="shared" ca="1" si="38"/>
        <v>2520</v>
      </c>
      <c r="P101" s="175">
        <f t="shared" ca="1" si="21"/>
        <v>2191.9124988254589</v>
      </c>
      <c r="Q101" s="11">
        <f t="shared" ca="1" si="22"/>
        <v>2.9930000000000002E-2</v>
      </c>
      <c r="R101" s="12">
        <f t="shared" ca="1" si="23"/>
        <v>65.603941089845989</v>
      </c>
      <c r="S101" s="513"/>
      <c r="U101" s="31">
        <f t="shared" ca="1" si="39"/>
        <v>2106.3704886229862</v>
      </c>
      <c r="V101" s="31">
        <f t="shared" ca="1" si="40"/>
        <v>2193.1440119349677</v>
      </c>
      <c r="X101" s="58">
        <f t="shared" ca="1" si="24"/>
        <v>83</v>
      </c>
      <c r="Y101" s="61">
        <f t="shared" ca="1" si="25"/>
        <v>47248</v>
      </c>
      <c r="Z101" s="31">
        <f t="shared" ca="1" si="35"/>
        <v>2191.9124988254589</v>
      </c>
      <c r="AA101" s="31">
        <f t="shared" ca="1" si="41"/>
        <v>631.88418196186637</v>
      </c>
      <c r="AB101" s="31">
        <f t="shared" ca="1" si="36"/>
        <v>66491.150636816645</v>
      </c>
      <c r="AC101" t="str">
        <f t="shared" ca="1" si="26"/>
        <v/>
      </c>
      <c r="AD101" t="str">
        <f t="shared" ca="1" si="27"/>
        <v/>
      </c>
    </row>
    <row r="102" spans="1:30">
      <c r="A102" s="180">
        <f ca="1">'PRICE_IOF Ñ USAR'!A102</f>
        <v>84</v>
      </c>
      <c r="B102" s="179">
        <f ca="1">'PRICE_IOF Ñ USAR'!B102</f>
        <v>47279</v>
      </c>
      <c r="C102" s="177">
        <f t="shared" ca="1" si="28"/>
        <v>558.25766253842926</v>
      </c>
      <c r="D102" s="24">
        <f t="shared" ca="1" si="37"/>
        <v>1548.1128260845569</v>
      </c>
      <c r="E102" s="177">
        <f t="shared" ca="1" si="29"/>
        <v>167714.87531087062</v>
      </c>
      <c r="F102" s="178">
        <f t="shared" ca="1" si="30"/>
        <v>35.337357924415905</v>
      </c>
      <c r="G102" s="178">
        <f t="shared" ca="1" si="31"/>
        <v>26.319999999999997</v>
      </c>
      <c r="H102" s="177">
        <f t="shared" ca="1" si="32"/>
        <v>25</v>
      </c>
      <c r="I102" s="25">
        <f t="shared" ca="1" si="33"/>
        <v>2193.0278465474021</v>
      </c>
      <c r="J102" s="9" t="str">
        <f ca="1">'PRICE_IOF Ñ USAR'!J102</f>
        <v/>
      </c>
      <c r="K102" s="9" t="str">
        <f ca="1">'PRICE_IOF Ñ USAR'!K102</f>
        <v/>
      </c>
      <c r="L102" s="9">
        <f ca="1">'PRICE_IOF Ñ USAR'!L102</f>
        <v>6</v>
      </c>
      <c r="N102" s="176">
        <f t="shared" ca="1" si="34"/>
        <v>31</v>
      </c>
      <c r="O102" s="176">
        <f t="shared" ca="1" si="38"/>
        <v>2551</v>
      </c>
      <c r="P102" s="175">
        <f t="shared" ca="1" si="21"/>
        <v>2212.0780938502035</v>
      </c>
      <c r="Q102" s="11">
        <f t="shared" ca="1" si="22"/>
        <v>2.9930000000000002E-2</v>
      </c>
      <c r="R102" s="12">
        <f t="shared" ca="1" si="23"/>
        <v>66.207497348936599</v>
      </c>
      <c r="S102" s="513"/>
      <c r="U102" s="31">
        <f t="shared" ca="1" si="39"/>
        <v>2106.3704886229862</v>
      </c>
      <c r="V102" s="31">
        <f t="shared" ca="1" si="40"/>
        <v>2193.0278465474021</v>
      </c>
      <c r="X102" s="58">
        <f t="shared" ca="1" si="24"/>
        <v>84</v>
      </c>
      <c r="Y102" s="61">
        <f t="shared" ca="1" si="25"/>
        <v>47279</v>
      </c>
      <c r="Z102" s="31">
        <f t="shared" ca="1" si="35"/>
        <v>2212.0780938502035</v>
      </c>
      <c r="AA102" s="31">
        <f t="shared" ca="1" si="41"/>
        <v>611.71858693712193</v>
      </c>
      <c r="AB102" s="31">
        <f t="shared" ca="1" si="36"/>
        <v>64279.072542966438</v>
      </c>
      <c r="AC102" t="str">
        <f t="shared" ca="1" si="26"/>
        <v/>
      </c>
      <c r="AD102" t="str">
        <f t="shared" ca="1" si="27"/>
        <v/>
      </c>
    </row>
    <row r="103" spans="1:30">
      <c r="A103" s="180">
        <f ca="1">'PRICE_IOF Ñ USAR'!A103</f>
        <v>85</v>
      </c>
      <c r="B103" s="179">
        <f ca="1">'PRICE_IOF Ñ USAR'!B103</f>
        <v>47309</v>
      </c>
      <c r="C103" s="177">
        <f t="shared" ca="1" si="28"/>
        <v>563.39363304283711</v>
      </c>
      <c r="D103" s="24">
        <f t="shared" ca="1" si="37"/>
        <v>1542.976855580149</v>
      </c>
      <c r="E103" s="177">
        <f t="shared" ca="1" si="29"/>
        <v>167151.48167782777</v>
      </c>
      <c r="F103" s="178">
        <f t="shared" ca="1" si="30"/>
        <v>35.220123815282832</v>
      </c>
      <c r="G103" s="178">
        <f t="shared" ca="1" si="31"/>
        <v>26.319999999999997</v>
      </c>
      <c r="H103" s="177">
        <f t="shared" ca="1" si="32"/>
        <v>25</v>
      </c>
      <c r="I103" s="25">
        <f t="shared" ca="1" si="33"/>
        <v>2192.9106124382693</v>
      </c>
      <c r="J103" s="9" t="str">
        <f ca="1">'PRICE_IOF Ñ USAR'!J103</f>
        <v/>
      </c>
      <c r="K103" s="9" t="str">
        <f ca="1">'PRICE_IOF Ñ USAR'!K103</f>
        <v/>
      </c>
      <c r="L103" s="9">
        <f ca="1">'PRICE_IOF Ñ USAR'!L103</f>
        <v>7</v>
      </c>
      <c r="N103" s="176">
        <f t="shared" ca="1" si="34"/>
        <v>30</v>
      </c>
      <c r="O103" s="176">
        <f t="shared" ca="1" si="38"/>
        <v>2581</v>
      </c>
      <c r="P103" s="175">
        <f t="shared" ca="1" si="21"/>
        <v>2232.4292123495024</v>
      </c>
      <c r="Q103" s="11">
        <f t="shared" ca="1" si="22"/>
        <v>2.9930000000000002E-2</v>
      </c>
      <c r="R103" s="12">
        <f t="shared" ca="1" si="23"/>
        <v>66.816606325620612</v>
      </c>
      <c r="S103" s="513"/>
      <c r="U103" s="31">
        <f t="shared" ca="1" si="39"/>
        <v>2106.3704886229862</v>
      </c>
      <c r="V103" s="31">
        <f t="shared" ca="1" si="40"/>
        <v>2192.9106124382693</v>
      </c>
      <c r="X103" s="58">
        <f t="shared" ca="1" si="24"/>
        <v>85</v>
      </c>
      <c r="Y103" s="61">
        <f t="shared" ca="1" si="25"/>
        <v>47309</v>
      </c>
      <c r="Z103" s="31">
        <f t="shared" ca="1" si="35"/>
        <v>2232.4292123495024</v>
      </c>
      <c r="AA103" s="31">
        <f t="shared" ca="1" si="41"/>
        <v>591.36746843782271</v>
      </c>
      <c r="AB103" s="31">
        <f t="shared" ca="1" si="36"/>
        <v>62046.643330616935</v>
      </c>
      <c r="AC103" t="str">
        <f t="shared" ca="1" si="26"/>
        <v/>
      </c>
      <c r="AD103" t="str">
        <f t="shared" ca="1" si="27"/>
        <v/>
      </c>
    </row>
    <row r="104" spans="1:30">
      <c r="A104" s="180">
        <f ca="1">'PRICE_IOF Ñ USAR'!A104</f>
        <v>86</v>
      </c>
      <c r="B104" s="179">
        <f ca="1">'PRICE_IOF Ñ USAR'!B104</f>
        <v>47340</v>
      </c>
      <c r="C104" s="177">
        <f t="shared" ca="1" si="28"/>
        <v>568.57685447596896</v>
      </c>
      <c r="D104" s="24">
        <f t="shared" ca="1" si="37"/>
        <v>1537.7936341470172</v>
      </c>
      <c r="E104" s="177">
        <f t="shared" ca="1" si="29"/>
        <v>166582.9048233518</v>
      </c>
      <c r="F104" s="178">
        <f t="shared" ca="1" si="30"/>
        <v>35.101811152343835</v>
      </c>
      <c r="G104" s="178">
        <f t="shared" ca="1" si="31"/>
        <v>26.319999999999997</v>
      </c>
      <c r="H104" s="177">
        <f t="shared" ca="1" si="32"/>
        <v>25</v>
      </c>
      <c r="I104" s="25">
        <f t="shared" ca="1" si="33"/>
        <v>2192.7922997753303</v>
      </c>
      <c r="J104" s="9" t="str">
        <f ca="1">'PRICE_IOF Ñ USAR'!J104</f>
        <v/>
      </c>
      <c r="K104" s="9" t="str">
        <f ca="1">'PRICE_IOF Ñ USAR'!K104</f>
        <v/>
      </c>
      <c r="L104" s="9">
        <f ca="1">'PRICE_IOF Ñ USAR'!L104</f>
        <v>8</v>
      </c>
      <c r="N104" s="176">
        <f t="shared" ca="1" si="34"/>
        <v>31</v>
      </c>
      <c r="O104" s="176">
        <f t="shared" ca="1" si="38"/>
        <v>2612</v>
      </c>
      <c r="P104" s="175">
        <f t="shared" ca="1" si="21"/>
        <v>2252.9675611393254</v>
      </c>
      <c r="Q104" s="11">
        <f t="shared" ca="1" si="22"/>
        <v>2.9930000000000002E-2</v>
      </c>
      <c r="R104" s="12">
        <f t="shared" ca="1" si="23"/>
        <v>67.431319104900012</v>
      </c>
      <c r="S104" s="513"/>
      <c r="U104" s="31">
        <f t="shared" ca="1" si="39"/>
        <v>2106.3704886229862</v>
      </c>
      <c r="V104" s="31">
        <f t="shared" ca="1" si="40"/>
        <v>2192.7922997753303</v>
      </c>
      <c r="X104" s="58">
        <f t="shared" ca="1" si="24"/>
        <v>86</v>
      </c>
      <c r="Y104" s="61">
        <f t="shared" ca="1" si="25"/>
        <v>47340</v>
      </c>
      <c r="Z104" s="31">
        <f t="shared" ca="1" si="35"/>
        <v>2252.9675611393254</v>
      </c>
      <c r="AA104" s="31">
        <f t="shared" ca="1" si="41"/>
        <v>570.82911964799985</v>
      </c>
      <c r="AB104" s="31">
        <f t="shared" ca="1" si="36"/>
        <v>59793.67576947761</v>
      </c>
      <c r="AC104" t="str">
        <f t="shared" ca="1" si="26"/>
        <v/>
      </c>
      <c r="AD104" t="str">
        <f t="shared" ca="1" si="27"/>
        <v/>
      </c>
    </row>
    <row r="105" spans="1:30">
      <c r="A105" s="180">
        <f ca="1">'PRICE_IOF Ñ USAR'!A105</f>
        <v>87</v>
      </c>
      <c r="B105" s="179">
        <f ca="1">'PRICE_IOF Ñ USAR'!B105</f>
        <v>47371</v>
      </c>
      <c r="C105" s="177">
        <f t="shared" ca="1" si="28"/>
        <v>573.80776154636942</v>
      </c>
      <c r="D105" s="24">
        <f t="shared" ca="1" si="37"/>
        <v>1532.5627270766167</v>
      </c>
      <c r="E105" s="177">
        <f t="shared" ca="1" si="29"/>
        <v>166009.09706180543</v>
      </c>
      <c r="F105" s="178">
        <f t="shared" ca="1" si="30"/>
        <v>34.982410012903877</v>
      </c>
      <c r="G105" s="178">
        <f t="shared" ca="1" si="31"/>
        <v>26.319999999999997</v>
      </c>
      <c r="H105" s="177">
        <f t="shared" ca="1" si="32"/>
        <v>25</v>
      </c>
      <c r="I105" s="25">
        <f t="shared" ca="1" si="33"/>
        <v>2192.6728986358903</v>
      </c>
      <c r="J105" s="9" t="str">
        <f ca="1">'PRICE_IOF Ñ USAR'!J105</f>
        <v/>
      </c>
      <c r="K105" s="9" t="str">
        <f ca="1">'PRICE_IOF Ñ USAR'!K105</f>
        <v/>
      </c>
      <c r="L105" s="9">
        <f ca="1">'PRICE_IOF Ñ USAR'!L105</f>
        <v>9</v>
      </c>
      <c r="N105" s="176">
        <f t="shared" ca="1" si="34"/>
        <v>31</v>
      </c>
      <c r="O105" s="176">
        <f t="shared" ca="1" si="38"/>
        <v>2643</v>
      </c>
      <c r="P105" s="175">
        <f t="shared" ca="1" si="21"/>
        <v>2273.6948627383481</v>
      </c>
      <c r="Q105" s="11">
        <f t="shared" ca="1" si="22"/>
        <v>2.9930000000000002E-2</v>
      </c>
      <c r="R105" s="12">
        <f t="shared" ca="1" si="23"/>
        <v>68.051687241758756</v>
      </c>
      <c r="S105" s="513"/>
      <c r="U105" s="31">
        <f t="shared" ca="1" si="39"/>
        <v>2106.3704886229862</v>
      </c>
      <c r="V105" s="31">
        <f t="shared" ca="1" si="40"/>
        <v>2192.6728986358903</v>
      </c>
      <c r="X105" s="58">
        <f t="shared" ca="1" si="24"/>
        <v>87</v>
      </c>
      <c r="Y105" s="61">
        <f t="shared" ca="1" si="25"/>
        <v>47371</v>
      </c>
      <c r="Z105" s="31">
        <f t="shared" ca="1" si="35"/>
        <v>2273.6948627383481</v>
      </c>
      <c r="AA105" s="31">
        <f t="shared" ca="1" si="41"/>
        <v>550.10181804897752</v>
      </c>
      <c r="AB105" s="31">
        <f t="shared" ca="1" si="36"/>
        <v>57519.980906739263</v>
      </c>
      <c r="AC105" t="str">
        <f t="shared" ca="1" si="26"/>
        <v/>
      </c>
      <c r="AD105" t="str">
        <f t="shared" ca="1" si="27"/>
        <v/>
      </c>
    </row>
    <row r="106" spans="1:30">
      <c r="A106" s="180">
        <f ca="1">'PRICE_IOF Ñ USAR'!A106</f>
        <v>88</v>
      </c>
      <c r="B106" s="179">
        <f ca="1">'PRICE_IOF Ñ USAR'!B106</f>
        <v>47401</v>
      </c>
      <c r="C106" s="177">
        <f t="shared" ca="1" si="28"/>
        <v>579.08679296190257</v>
      </c>
      <c r="D106" s="24">
        <f t="shared" ca="1" si="37"/>
        <v>1527.2836956610836</v>
      </c>
      <c r="E106" s="177">
        <f t="shared" ca="1" si="29"/>
        <v>165430.01026884353</v>
      </c>
      <c r="F106" s="178">
        <f t="shared" ca="1" si="30"/>
        <v>34.86191038297914</v>
      </c>
      <c r="G106" s="178">
        <f t="shared" ca="1" si="31"/>
        <v>26.319999999999997</v>
      </c>
      <c r="H106" s="177">
        <f t="shared" ca="1" si="32"/>
        <v>25</v>
      </c>
      <c r="I106" s="25">
        <f t="shared" ca="1" si="33"/>
        <v>2192.5523990059655</v>
      </c>
      <c r="J106" s="9" t="str">
        <f ca="1">'PRICE_IOF Ñ USAR'!J106</f>
        <v/>
      </c>
      <c r="K106" s="9" t="str">
        <f ca="1">'PRICE_IOF Ñ USAR'!K106</f>
        <v/>
      </c>
      <c r="L106" s="9">
        <f ca="1">'PRICE_IOF Ñ USAR'!L106</f>
        <v>10</v>
      </c>
      <c r="N106" s="176">
        <f t="shared" ca="1" si="34"/>
        <v>30</v>
      </c>
      <c r="O106" s="176">
        <f t="shared" ca="1" si="38"/>
        <v>2673</v>
      </c>
      <c r="P106" s="175">
        <f t="shared" ca="1" si="21"/>
        <v>2294.6128555124174</v>
      </c>
      <c r="Q106" s="11">
        <f t="shared" ca="1" si="22"/>
        <v>2.9930000000000002E-2</v>
      </c>
      <c r="R106" s="12">
        <f t="shared" ca="1" si="23"/>
        <v>68.677762765486662</v>
      </c>
      <c r="S106" s="513"/>
      <c r="U106" s="31">
        <f t="shared" ca="1" si="39"/>
        <v>2106.3704886229862</v>
      </c>
      <c r="V106" s="31">
        <f t="shared" ca="1" si="40"/>
        <v>2192.5523990059655</v>
      </c>
      <c r="X106" s="58">
        <f t="shared" ca="1" si="24"/>
        <v>88</v>
      </c>
      <c r="Y106" s="61">
        <f t="shared" ca="1" si="25"/>
        <v>47401</v>
      </c>
      <c r="Z106" s="31">
        <f t="shared" ca="1" si="35"/>
        <v>2294.6128555124174</v>
      </c>
      <c r="AA106" s="31">
        <f t="shared" ca="1" si="41"/>
        <v>529.18382527490814</v>
      </c>
      <c r="AB106" s="31">
        <f t="shared" ca="1" si="36"/>
        <v>55225.368051226847</v>
      </c>
      <c r="AC106" t="str">
        <f t="shared" ca="1" si="26"/>
        <v/>
      </c>
      <c r="AD106" t="str">
        <f t="shared" ca="1" si="27"/>
        <v/>
      </c>
    </row>
    <row r="107" spans="1:30">
      <c r="A107" s="180">
        <f ca="1">'PRICE_IOF Ñ USAR'!A107</f>
        <v>89</v>
      </c>
      <c r="B107" s="179">
        <f ca="1">'PRICE_IOF Ñ USAR'!B107</f>
        <v>47432</v>
      </c>
      <c r="C107" s="177">
        <f t="shared" ca="1" si="28"/>
        <v>584.4143914665442</v>
      </c>
      <c r="D107" s="24">
        <f t="shared" ca="1" si="37"/>
        <v>1521.956097156442</v>
      </c>
      <c r="E107" s="177">
        <f t="shared" ca="1" si="29"/>
        <v>164845.595877377</v>
      </c>
      <c r="F107" s="178">
        <f t="shared" ca="1" si="30"/>
        <v>34.74030215645714</v>
      </c>
      <c r="G107" s="178">
        <f t="shared" ca="1" si="31"/>
        <v>26.319999999999997</v>
      </c>
      <c r="H107" s="177">
        <f t="shared" ca="1" si="32"/>
        <v>25</v>
      </c>
      <c r="I107" s="25">
        <f t="shared" ca="1" si="33"/>
        <v>2192.4307907794437</v>
      </c>
      <c r="J107" s="9" t="str">
        <f ca="1">'PRICE_IOF Ñ USAR'!J107</f>
        <v/>
      </c>
      <c r="K107" s="9" t="str">
        <f ca="1">'PRICE_IOF Ñ USAR'!K107</f>
        <v/>
      </c>
      <c r="L107" s="9">
        <f ca="1">'PRICE_IOF Ñ USAR'!L107</f>
        <v>11</v>
      </c>
      <c r="N107" s="176">
        <f t="shared" ca="1" si="34"/>
        <v>31</v>
      </c>
      <c r="O107" s="176">
        <f t="shared" ca="1" si="38"/>
        <v>2704</v>
      </c>
      <c r="P107" s="175">
        <f t="shared" ca="1" si="21"/>
        <v>2315.7232938203474</v>
      </c>
      <c r="Q107" s="11">
        <f t="shared" ca="1" si="22"/>
        <v>2.9930000000000002E-2</v>
      </c>
      <c r="R107" s="12">
        <f t="shared" ca="1" si="23"/>
        <v>69.309598184042997</v>
      </c>
      <c r="S107" s="513"/>
      <c r="U107" s="31">
        <f t="shared" ca="1" si="39"/>
        <v>2106.3704886229862</v>
      </c>
      <c r="V107" s="31">
        <f t="shared" ca="1" si="40"/>
        <v>2192.4307907794437</v>
      </c>
      <c r="X107" s="58">
        <f t="shared" ca="1" si="24"/>
        <v>89</v>
      </c>
      <c r="Y107" s="61">
        <f t="shared" ca="1" si="25"/>
        <v>47432</v>
      </c>
      <c r="Z107" s="31">
        <f t="shared" ca="1" si="35"/>
        <v>2315.7232938203474</v>
      </c>
      <c r="AA107" s="31">
        <f t="shared" ca="1" si="41"/>
        <v>508.07338696697792</v>
      </c>
      <c r="AB107" s="31">
        <f t="shared" ca="1" si="36"/>
        <v>52909.644757406502</v>
      </c>
      <c r="AC107" t="str">
        <f t="shared" ca="1" si="26"/>
        <v/>
      </c>
      <c r="AD107" t="str">
        <f t="shared" ca="1" si="27"/>
        <v/>
      </c>
    </row>
    <row r="108" spans="1:30">
      <c r="A108" s="180">
        <f ca="1">'PRICE_IOF Ñ USAR'!A108</f>
        <v>90</v>
      </c>
      <c r="B108" s="179">
        <f ca="1">'PRICE_IOF Ñ USAR'!B108</f>
        <v>47462</v>
      </c>
      <c r="C108" s="177">
        <f t="shared" ca="1" si="28"/>
        <v>589.79100387751487</v>
      </c>
      <c r="D108" s="24">
        <f t="shared" ca="1" si="37"/>
        <v>1516.5794847454713</v>
      </c>
      <c r="E108" s="177">
        <f t="shared" ca="1" si="29"/>
        <v>164255.8048734995</v>
      </c>
      <c r="F108" s="178">
        <f t="shared" ca="1" si="30"/>
        <v>34.617575134249172</v>
      </c>
      <c r="G108" s="178">
        <f t="shared" ca="1" si="31"/>
        <v>26.319999999999997</v>
      </c>
      <c r="H108" s="177">
        <f t="shared" ca="1" si="32"/>
        <v>25</v>
      </c>
      <c r="I108" s="25">
        <f t="shared" ca="1" si="33"/>
        <v>2192.3080637572357</v>
      </c>
      <c r="J108" s="9" t="str">
        <f ca="1">'PRICE_IOF Ñ USAR'!J108</f>
        <v/>
      </c>
      <c r="K108" s="9" t="str">
        <f ca="1">'PRICE_IOF Ñ USAR'!K108</f>
        <v/>
      </c>
      <c r="L108" s="9">
        <f ca="1">'PRICE_IOF Ñ USAR'!L108</f>
        <v>12</v>
      </c>
      <c r="N108" s="176">
        <f t="shared" ca="1" si="34"/>
        <v>30</v>
      </c>
      <c r="O108" s="176">
        <f t="shared" ca="1" si="38"/>
        <v>2734</v>
      </c>
      <c r="P108" s="175">
        <f t="shared" ca="1" si="21"/>
        <v>2337.0279481610528</v>
      </c>
      <c r="Q108" s="11">
        <f t="shared" ca="1" si="22"/>
        <v>2.9930000000000002E-2</v>
      </c>
      <c r="R108" s="12">
        <f t="shared" ca="1" si="23"/>
        <v>69.947246488460308</v>
      </c>
      <c r="S108" s="513"/>
      <c r="U108" s="31">
        <f t="shared" ca="1" si="39"/>
        <v>2106.3704886229862</v>
      </c>
      <c r="V108" s="31">
        <f t="shared" ca="1" si="40"/>
        <v>2192.3080637572357</v>
      </c>
      <c r="X108" s="58">
        <f t="shared" ca="1" si="24"/>
        <v>90</v>
      </c>
      <c r="Y108" s="61">
        <f t="shared" ca="1" si="25"/>
        <v>47462</v>
      </c>
      <c r="Z108" s="31">
        <f t="shared" ca="1" si="35"/>
        <v>2337.0279481610528</v>
      </c>
      <c r="AA108" s="31">
        <f t="shared" ca="1" si="41"/>
        <v>486.76873262627242</v>
      </c>
      <c r="AB108" s="31">
        <f t="shared" ca="1" si="36"/>
        <v>50572.616809245446</v>
      </c>
      <c r="AC108" t="str">
        <f t="shared" ca="1" si="26"/>
        <v/>
      </c>
      <c r="AD108" t="str">
        <f t="shared" ca="1" si="27"/>
        <v/>
      </c>
    </row>
    <row r="109" spans="1:30">
      <c r="A109" s="180">
        <f ca="1">'PRICE_IOF Ñ USAR'!A109</f>
        <v>91</v>
      </c>
      <c r="B109" s="179">
        <f ca="1">'PRICE_IOF Ñ USAR'!B109</f>
        <v>47493</v>
      </c>
      <c r="C109" s="177">
        <f t="shared" ca="1" si="28"/>
        <v>595.2170811227536</v>
      </c>
      <c r="D109" s="24">
        <f t="shared" ca="1" si="37"/>
        <v>1511.1534075002326</v>
      </c>
      <c r="E109" s="177">
        <f t="shared" ca="1" si="29"/>
        <v>163660.58779237675</v>
      </c>
      <c r="F109" s="178">
        <f t="shared" ca="1" si="30"/>
        <v>34.493719023434899</v>
      </c>
      <c r="G109" s="178">
        <f t="shared" ca="1" si="31"/>
        <v>26.319999999999997</v>
      </c>
      <c r="H109" s="177">
        <f t="shared" ca="1" si="32"/>
        <v>25</v>
      </c>
      <c r="I109" s="25">
        <f t="shared" ca="1" si="33"/>
        <v>2192.1842076464213</v>
      </c>
      <c r="J109" s="9" t="str">
        <f ca="1">'PRICE_IOF Ñ USAR'!J109</f>
        <v/>
      </c>
      <c r="K109" s="9" t="str">
        <f ca="1">'PRICE_IOF Ñ USAR'!K109</f>
        <v/>
      </c>
      <c r="L109" s="9">
        <f ca="1">'PRICE_IOF Ñ USAR'!L109</f>
        <v>1</v>
      </c>
      <c r="N109" s="176">
        <f t="shared" ca="1" si="34"/>
        <v>31</v>
      </c>
      <c r="O109" s="176">
        <f t="shared" ca="1" si="38"/>
        <v>2765</v>
      </c>
      <c r="P109" s="175">
        <f t="shared" ca="1" si="21"/>
        <v>2358.5286053220384</v>
      </c>
      <c r="Q109" s="11">
        <f t="shared" ca="1" si="22"/>
        <v>2.9930000000000002E-2</v>
      </c>
      <c r="R109" s="12">
        <f t="shared" ca="1" si="23"/>
        <v>70.590761157288611</v>
      </c>
      <c r="S109" s="513"/>
      <c r="U109" s="31">
        <f t="shared" ca="1" si="39"/>
        <v>2106.3704886229862</v>
      </c>
      <c r="V109" s="31">
        <f t="shared" ca="1" si="40"/>
        <v>2192.1842076464213</v>
      </c>
      <c r="X109" s="58">
        <f t="shared" ca="1" si="24"/>
        <v>91</v>
      </c>
      <c r="Y109" s="61">
        <f t="shared" ca="1" si="25"/>
        <v>47493</v>
      </c>
      <c r="Z109" s="31">
        <f t="shared" ca="1" si="35"/>
        <v>2358.5286053220384</v>
      </c>
      <c r="AA109" s="31">
        <f t="shared" ca="1" si="41"/>
        <v>465.26807546528687</v>
      </c>
      <c r="AB109" s="31">
        <f t="shared" ca="1" si="36"/>
        <v>48214.088203923406</v>
      </c>
      <c r="AC109" t="str">
        <f t="shared" ca="1" si="26"/>
        <v/>
      </c>
      <c r="AD109" t="str">
        <f t="shared" ca="1" si="27"/>
        <v/>
      </c>
    </row>
    <row r="110" spans="1:30">
      <c r="A110" s="180">
        <f ca="1">'PRICE_IOF Ñ USAR'!A110</f>
        <v>92</v>
      </c>
      <c r="B110" s="179">
        <f ca="1">'PRICE_IOF Ñ USAR'!B110</f>
        <v>47524</v>
      </c>
      <c r="C110" s="177">
        <f t="shared" ca="1" si="28"/>
        <v>600.69307827873649</v>
      </c>
      <c r="D110" s="24">
        <f t="shared" ca="1" si="37"/>
        <v>1505.6774103442497</v>
      </c>
      <c r="E110" s="177">
        <f t="shared" ca="1" si="29"/>
        <v>163059.89471409802</v>
      </c>
      <c r="F110" s="178">
        <f t="shared" ca="1" si="30"/>
        <v>34.368723436399122</v>
      </c>
      <c r="G110" s="178">
        <f t="shared" ca="1" si="31"/>
        <v>26.319999999999997</v>
      </c>
      <c r="H110" s="177">
        <f t="shared" ca="1" si="32"/>
        <v>25</v>
      </c>
      <c r="I110" s="25">
        <f t="shared" ca="1" si="33"/>
        <v>2192.0592120593856</v>
      </c>
      <c r="J110" s="9" t="str">
        <f ca="1">'PRICE_IOF Ñ USAR'!J110</f>
        <v/>
      </c>
      <c r="K110" s="9" t="str">
        <f ca="1">'PRICE_IOF Ñ USAR'!K110</f>
        <v/>
      </c>
      <c r="L110" s="9">
        <f ca="1">'PRICE_IOF Ñ USAR'!L110</f>
        <v>2</v>
      </c>
      <c r="N110" s="176">
        <f t="shared" ca="1" si="34"/>
        <v>31</v>
      </c>
      <c r="O110" s="176">
        <f t="shared" ca="1" si="38"/>
        <v>2796</v>
      </c>
      <c r="P110" s="175">
        <f t="shared" ca="1" si="21"/>
        <v>2380.2270685292538</v>
      </c>
      <c r="Q110" s="11">
        <f t="shared" ca="1" si="22"/>
        <v>2.9930000000000002E-2</v>
      </c>
      <c r="R110" s="12">
        <f t="shared" ca="1" si="23"/>
        <v>71.240196161080576</v>
      </c>
      <c r="S110" s="513"/>
      <c r="U110" s="31">
        <f t="shared" ca="1" si="39"/>
        <v>2106.3704886229862</v>
      </c>
      <c r="V110" s="31">
        <f t="shared" ca="1" si="40"/>
        <v>2192.0592120593856</v>
      </c>
      <c r="X110" s="58">
        <f t="shared" ca="1" si="24"/>
        <v>92</v>
      </c>
      <c r="Y110" s="61">
        <f t="shared" ca="1" si="25"/>
        <v>47524</v>
      </c>
      <c r="Z110" s="31">
        <f t="shared" ca="1" si="35"/>
        <v>2380.2270685292538</v>
      </c>
      <c r="AA110" s="31">
        <f t="shared" ca="1" si="41"/>
        <v>443.56961225807152</v>
      </c>
      <c r="AB110" s="31">
        <f t="shared" ca="1" si="36"/>
        <v>45833.861135394152</v>
      </c>
      <c r="AC110" t="str">
        <f t="shared" ca="1" si="26"/>
        <v/>
      </c>
      <c r="AD110" t="str">
        <f t="shared" ca="1" si="27"/>
        <v/>
      </c>
    </row>
    <row r="111" spans="1:30">
      <c r="A111" s="180">
        <f ca="1">'PRICE_IOF Ñ USAR'!A111</f>
        <v>93</v>
      </c>
      <c r="B111" s="179">
        <f ca="1">'PRICE_IOF Ñ USAR'!B111</f>
        <v>47552</v>
      </c>
      <c r="C111" s="177">
        <f t="shared" ca="1" si="28"/>
        <v>606.21945460864345</v>
      </c>
      <c r="D111" s="24">
        <f t="shared" ca="1" si="37"/>
        <v>1500.1510340143427</v>
      </c>
      <c r="E111" s="177">
        <f t="shared" ca="1" si="29"/>
        <v>162453.67525948936</v>
      </c>
      <c r="F111" s="178">
        <f t="shared" ca="1" si="30"/>
        <v>34.242577889960586</v>
      </c>
      <c r="G111" s="178">
        <f t="shared" ca="1" si="31"/>
        <v>26.319999999999997</v>
      </c>
      <c r="H111" s="177">
        <f t="shared" ca="1" si="32"/>
        <v>25</v>
      </c>
      <c r="I111" s="25">
        <f t="shared" ca="1" si="33"/>
        <v>2191.9330665129469</v>
      </c>
      <c r="J111" s="9" t="str">
        <f ca="1">'PRICE_IOF Ñ USAR'!J111</f>
        <v/>
      </c>
      <c r="K111" s="9" t="str">
        <f ca="1">'PRICE_IOF Ñ USAR'!K111</f>
        <v/>
      </c>
      <c r="L111" s="9">
        <f ca="1">'PRICE_IOF Ñ USAR'!L111</f>
        <v>3</v>
      </c>
      <c r="N111" s="176">
        <f t="shared" ca="1" si="34"/>
        <v>28</v>
      </c>
      <c r="O111" s="176">
        <f t="shared" ca="1" si="38"/>
        <v>2824</v>
      </c>
      <c r="P111" s="175">
        <f t="shared" ca="1" si="21"/>
        <v>2402.1251575983274</v>
      </c>
      <c r="Q111" s="11">
        <f t="shared" ca="1" si="22"/>
        <v>2.9930000000000002E-2</v>
      </c>
      <c r="R111" s="12">
        <f t="shared" ca="1" si="23"/>
        <v>71.895605966917941</v>
      </c>
      <c r="S111" s="513"/>
      <c r="U111" s="31">
        <f t="shared" ca="1" si="39"/>
        <v>2106.3704886229862</v>
      </c>
      <c r="V111" s="31">
        <f t="shared" ca="1" si="40"/>
        <v>2191.9330665129469</v>
      </c>
      <c r="X111" s="58">
        <f t="shared" ca="1" si="24"/>
        <v>93</v>
      </c>
      <c r="Y111" s="61">
        <f t="shared" ca="1" si="25"/>
        <v>47552</v>
      </c>
      <c r="Z111" s="31">
        <f t="shared" ca="1" si="35"/>
        <v>2402.1251575983274</v>
      </c>
      <c r="AA111" s="31">
        <f t="shared" ca="1" si="41"/>
        <v>421.67152318899787</v>
      </c>
      <c r="AB111" s="31">
        <f t="shared" ca="1" si="36"/>
        <v>43431.735977795826</v>
      </c>
      <c r="AC111" t="str">
        <f t="shared" ca="1" si="26"/>
        <v/>
      </c>
      <c r="AD111" t="str">
        <f t="shared" ca="1" si="27"/>
        <v/>
      </c>
    </row>
    <row r="112" spans="1:30">
      <c r="A112" s="180">
        <f ca="1">'PRICE_IOF Ñ USAR'!A112</f>
        <v>94</v>
      </c>
      <c r="B112" s="179">
        <f ca="1">'PRICE_IOF Ñ USAR'!B112</f>
        <v>47583</v>
      </c>
      <c r="C112" s="177">
        <f t="shared" ca="1" si="28"/>
        <v>611.79667360087524</v>
      </c>
      <c r="D112" s="24">
        <f t="shared" ca="1" si="37"/>
        <v>1494.5738150221109</v>
      </c>
      <c r="E112" s="177">
        <f t="shared" ca="1" si="29"/>
        <v>161841.87858588848</v>
      </c>
      <c r="F112" s="178">
        <f t="shared" ca="1" si="30"/>
        <v>34.115271804492771</v>
      </c>
      <c r="G112" s="178">
        <f t="shared" ca="1" si="31"/>
        <v>26.319999999999997</v>
      </c>
      <c r="H112" s="177">
        <f t="shared" ca="1" si="32"/>
        <v>25</v>
      </c>
      <c r="I112" s="25">
        <f t="shared" ca="1" si="33"/>
        <v>2191.8057604274791</v>
      </c>
      <c r="J112" s="9" t="str">
        <f ca="1">'PRICE_IOF Ñ USAR'!J112</f>
        <v/>
      </c>
      <c r="K112" s="9" t="str">
        <f ca="1">'PRICE_IOF Ñ USAR'!K112</f>
        <v/>
      </c>
      <c r="L112" s="9">
        <f ca="1">'PRICE_IOF Ñ USAR'!L112</f>
        <v>4</v>
      </c>
      <c r="N112" s="176">
        <f t="shared" ca="1" si="34"/>
        <v>31</v>
      </c>
      <c r="O112" s="176">
        <f t="shared" ca="1" si="38"/>
        <v>2855</v>
      </c>
      <c r="P112" s="175">
        <f t="shared" ca="1" si="21"/>
        <v>2424.2247090871915</v>
      </c>
      <c r="Q112" s="11">
        <f t="shared" ca="1" si="22"/>
        <v>2.9930000000000002E-2</v>
      </c>
      <c r="R112" s="12">
        <f t="shared" ca="1" si="23"/>
        <v>72.557045542979651</v>
      </c>
      <c r="S112" s="513"/>
      <c r="U112" s="31">
        <f t="shared" ca="1" si="39"/>
        <v>2106.3704886229862</v>
      </c>
      <c r="V112" s="31">
        <f t="shared" ca="1" si="40"/>
        <v>2191.8057604274791</v>
      </c>
      <c r="X112" s="58">
        <f t="shared" ca="1" si="24"/>
        <v>94</v>
      </c>
      <c r="Y112" s="61">
        <f t="shared" ca="1" si="25"/>
        <v>47583</v>
      </c>
      <c r="Z112" s="31">
        <f t="shared" ca="1" si="35"/>
        <v>2424.2247090871915</v>
      </c>
      <c r="AA112" s="31">
        <f t="shared" ca="1" si="41"/>
        <v>399.57197170013364</v>
      </c>
      <c r="AB112" s="31">
        <f t="shared" ca="1" si="36"/>
        <v>41007.511268708637</v>
      </c>
      <c r="AC112" t="str">
        <f t="shared" ca="1" si="26"/>
        <v/>
      </c>
      <c r="AD112" t="str">
        <f t="shared" ca="1" si="27"/>
        <v/>
      </c>
    </row>
    <row r="113" spans="1:30">
      <c r="A113" s="180">
        <f ca="1">'PRICE_IOF Ñ USAR'!A113</f>
        <v>95</v>
      </c>
      <c r="B113" s="179">
        <f ca="1">'PRICE_IOF Ñ USAR'!B113</f>
        <v>47613</v>
      </c>
      <c r="C113" s="177">
        <f t="shared" ca="1" si="28"/>
        <v>617.42520300792603</v>
      </c>
      <c r="D113" s="24">
        <f t="shared" ca="1" si="37"/>
        <v>1488.9452856150601</v>
      </c>
      <c r="E113" s="177">
        <f t="shared" ca="1" si="29"/>
        <v>161224.45338288054</v>
      </c>
      <c r="F113" s="178">
        <f t="shared" ca="1" si="30"/>
        <v>33.986794503036585</v>
      </c>
      <c r="G113" s="178">
        <f t="shared" ca="1" si="31"/>
        <v>26.319999999999997</v>
      </c>
      <c r="H113" s="177">
        <f t="shared" ca="1" si="32"/>
        <v>25</v>
      </c>
      <c r="I113" s="25">
        <f t="shared" ca="1" si="33"/>
        <v>2191.6772831260228</v>
      </c>
      <c r="J113" s="9" t="str">
        <f ca="1">'PRICE_IOF Ñ USAR'!J113</f>
        <v/>
      </c>
      <c r="K113" s="9" t="str">
        <f ca="1">'PRICE_IOF Ñ USAR'!K113</f>
        <v/>
      </c>
      <c r="L113" s="9">
        <f ca="1">'PRICE_IOF Ñ USAR'!L113</f>
        <v>5</v>
      </c>
      <c r="N113" s="176">
        <f t="shared" ca="1" si="34"/>
        <v>30</v>
      </c>
      <c r="O113" s="176">
        <f t="shared" ca="1" si="38"/>
        <v>2885</v>
      </c>
      <c r="P113" s="175">
        <f t="shared" ca="1" si="21"/>
        <v>2446.5275764501121</v>
      </c>
      <c r="Q113" s="11">
        <f t="shared" ca="1" si="22"/>
        <v>2.9930000000000002E-2</v>
      </c>
      <c r="R113" s="12">
        <f t="shared" ca="1" si="23"/>
        <v>73.224570363151855</v>
      </c>
      <c r="S113" s="513"/>
      <c r="U113" s="31">
        <f t="shared" ca="1" si="39"/>
        <v>2106.3704886229862</v>
      </c>
      <c r="V113" s="31">
        <f t="shared" ca="1" si="40"/>
        <v>2191.6772831260228</v>
      </c>
      <c r="X113" s="58">
        <f t="shared" ca="1" si="24"/>
        <v>95</v>
      </c>
      <c r="Y113" s="61">
        <f t="shared" ca="1" si="25"/>
        <v>47613</v>
      </c>
      <c r="Z113" s="31">
        <f t="shared" ca="1" si="35"/>
        <v>2446.5275764501121</v>
      </c>
      <c r="AA113" s="31">
        <f t="shared" ca="1" si="41"/>
        <v>377.26910433721338</v>
      </c>
      <c r="AB113" s="31">
        <f t="shared" ca="1" si="36"/>
        <v>38560.983692258524</v>
      </c>
      <c r="AC113" t="str">
        <f t="shared" ca="1" si="26"/>
        <v/>
      </c>
      <c r="AD113" t="str">
        <f t="shared" ca="1" si="27"/>
        <v/>
      </c>
    </row>
    <row r="114" spans="1:30">
      <c r="A114" s="180">
        <f ca="1">'PRICE_IOF Ñ USAR'!A114</f>
        <v>96</v>
      </c>
      <c r="B114" s="179">
        <f ca="1">'PRICE_IOF Ñ USAR'!B114</f>
        <v>47644</v>
      </c>
      <c r="C114" s="177">
        <f t="shared" ca="1" si="28"/>
        <v>623.10551488561282</v>
      </c>
      <c r="D114" s="24">
        <f t="shared" ca="1" si="37"/>
        <v>1483.2649737373733</v>
      </c>
      <c r="E114" s="177">
        <f t="shared" ca="1" si="29"/>
        <v>160601.34786799492</v>
      </c>
      <c r="F114" s="178">
        <f t="shared" ca="1" si="30"/>
        <v>33.857135210404913</v>
      </c>
      <c r="G114" s="178">
        <f t="shared" ca="1" si="31"/>
        <v>26.319999999999997</v>
      </c>
      <c r="H114" s="177">
        <f t="shared" ca="1" si="32"/>
        <v>25</v>
      </c>
      <c r="I114" s="25">
        <f t="shared" ca="1" si="33"/>
        <v>2191.5476238333913</v>
      </c>
      <c r="J114" s="9" t="str">
        <f ca="1">'PRICE_IOF Ñ USAR'!J114</f>
        <v/>
      </c>
      <c r="K114" s="9" t="str">
        <f ca="1">'PRICE_IOF Ñ USAR'!K114</f>
        <v/>
      </c>
      <c r="L114" s="9">
        <f ca="1">'PRICE_IOF Ñ USAR'!L114</f>
        <v>6</v>
      </c>
      <c r="N114" s="176">
        <f t="shared" ca="1" si="34"/>
        <v>31</v>
      </c>
      <c r="O114" s="176">
        <f t="shared" ca="1" si="38"/>
        <v>2916</v>
      </c>
      <c r="P114" s="175">
        <f t="shared" ca="1" si="21"/>
        <v>2469.0356301931329</v>
      </c>
      <c r="Q114" s="11">
        <f t="shared" ca="1" si="22"/>
        <v>2.9930000000000002E-2</v>
      </c>
      <c r="R114" s="12">
        <f t="shared" ca="1" si="23"/>
        <v>73.898236411680472</v>
      </c>
      <c r="S114" s="513"/>
      <c r="U114" s="31">
        <f t="shared" ca="1" si="39"/>
        <v>2106.3704886229862</v>
      </c>
      <c r="V114" s="31">
        <f t="shared" ca="1" si="40"/>
        <v>2191.5476238333913</v>
      </c>
      <c r="X114" s="58">
        <f t="shared" ca="1" si="24"/>
        <v>96</v>
      </c>
      <c r="Y114" s="61">
        <f t="shared" ca="1" si="25"/>
        <v>47644</v>
      </c>
      <c r="Z114" s="31">
        <f t="shared" ca="1" si="35"/>
        <v>2469.0356301931329</v>
      </c>
      <c r="AA114" s="31">
        <f t="shared" ca="1" si="41"/>
        <v>354.76105059419251</v>
      </c>
      <c r="AB114" s="31">
        <f t="shared" ca="1" si="36"/>
        <v>36091.948062065392</v>
      </c>
      <c r="AC114" t="str">
        <f t="shared" ca="1" si="26"/>
        <v/>
      </c>
      <c r="AD114" t="str">
        <f t="shared" ca="1" si="27"/>
        <v/>
      </c>
    </row>
    <row r="115" spans="1:30">
      <c r="A115" s="180">
        <f ca="1">'PRICE_IOF Ñ USAR'!A115</f>
        <v>97</v>
      </c>
      <c r="B115" s="179">
        <f ca="1">'PRICE_IOF Ñ USAR'!B115</f>
        <v>47674</v>
      </c>
      <c r="C115" s="177">
        <f t="shared" ca="1" si="28"/>
        <v>628.83808563266666</v>
      </c>
      <c r="D115" s="24">
        <f t="shared" ca="1" si="37"/>
        <v>1477.5324029903195</v>
      </c>
      <c r="E115" s="177">
        <f t="shared" ca="1" si="29"/>
        <v>159972.50978236226</v>
      </c>
      <c r="F115" s="178">
        <f t="shared" ca="1" si="30"/>
        <v>33.726283052278937</v>
      </c>
      <c r="G115" s="178">
        <f t="shared" ca="1" si="31"/>
        <v>26.319999999999997</v>
      </c>
      <c r="H115" s="177">
        <f t="shared" ca="1" si="32"/>
        <v>25</v>
      </c>
      <c r="I115" s="25">
        <f t="shared" ca="1" si="33"/>
        <v>2191.4167716752654</v>
      </c>
      <c r="J115" s="9" t="str">
        <f ca="1">'PRICE_IOF Ñ USAR'!J115</f>
        <v/>
      </c>
      <c r="K115" s="9" t="str">
        <f ca="1">'PRICE_IOF Ñ USAR'!K115</f>
        <v/>
      </c>
      <c r="L115" s="9">
        <f ca="1">'PRICE_IOF Ñ USAR'!L115</f>
        <v>7</v>
      </c>
      <c r="N115" s="176">
        <f t="shared" ca="1" si="34"/>
        <v>30</v>
      </c>
      <c r="O115" s="176">
        <f t="shared" ca="1" si="38"/>
        <v>2946</v>
      </c>
      <c r="P115" s="175">
        <f t="shared" ca="1" si="21"/>
        <v>2491.7507580309548</v>
      </c>
      <c r="Q115" s="11">
        <f t="shared" ca="1" si="22"/>
        <v>2.9930000000000002E-2</v>
      </c>
      <c r="R115" s="12">
        <f t="shared" ca="1" si="23"/>
        <v>74.578100187866482</v>
      </c>
      <c r="S115" s="513"/>
      <c r="U115" s="31">
        <f t="shared" ca="1" si="39"/>
        <v>2106.3704886229862</v>
      </c>
      <c r="V115" s="31">
        <f t="shared" ca="1" si="40"/>
        <v>2191.4167716752654</v>
      </c>
      <c r="X115" s="58">
        <f t="shared" ca="1" si="24"/>
        <v>97</v>
      </c>
      <c r="Y115" s="61">
        <f t="shared" ca="1" si="25"/>
        <v>47674</v>
      </c>
      <c r="Z115" s="31">
        <f t="shared" ca="1" si="35"/>
        <v>2491.7507580309548</v>
      </c>
      <c r="AA115" s="31">
        <f t="shared" ca="1" si="41"/>
        <v>332.04592275637083</v>
      </c>
      <c r="AB115" s="31">
        <f t="shared" ca="1" si="36"/>
        <v>33600.197304034438</v>
      </c>
      <c r="AC115" t="str">
        <f t="shared" ca="1" si="26"/>
        <v/>
      </c>
      <c r="AD115" t="str">
        <f t="shared" ca="1" si="27"/>
        <v/>
      </c>
    </row>
    <row r="116" spans="1:30">
      <c r="A116" s="180">
        <f ca="1">'PRICE_IOF Ñ USAR'!A116</f>
        <v>98</v>
      </c>
      <c r="B116" s="179">
        <f ca="1">'PRICE_IOF Ñ USAR'!B116</f>
        <v>47705</v>
      </c>
      <c r="C116" s="177">
        <f t="shared" ca="1" si="28"/>
        <v>634.62339603068608</v>
      </c>
      <c r="D116" s="24">
        <f t="shared" ca="1" si="37"/>
        <v>1471.7470925923001</v>
      </c>
      <c r="E116" s="177">
        <f t="shared" ca="1" si="29"/>
        <v>159337.88638633158</v>
      </c>
      <c r="F116" s="178">
        <f t="shared" ca="1" si="30"/>
        <v>33.594227054296077</v>
      </c>
      <c r="G116" s="178">
        <f t="shared" ca="1" si="31"/>
        <v>26.319999999999997</v>
      </c>
      <c r="H116" s="177">
        <f t="shared" ca="1" si="32"/>
        <v>25</v>
      </c>
      <c r="I116" s="25">
        <f t="shared" ca="1" si="33"/>
        <v>2191.2847156772823</v>
      </c>
      <c r="J116" s="9" t="str">
        <f ca="1">'PRICE_IOF Ñ USAR'!J116</f>
        <v/>
      </c>
      <c r="K116" s="9" t="str">
        <f ca="1">'PRICE_IOF Ñ USAR'!K116</f>
        <v/>
      </c>
      <c r="L116" s="9">
        <f ca="1">'PRICE_IOF Ñ USAR'!L116</f>
        <v>8</v>
      </c>
      <c r="N116" s="176">
        <f t="shared" ca="1" si="34"/>
        <v>31</v>
      </c>
      <c r="O116" s="176">
        <f t="shared" ca="1" si="38"/>
        <v>2977</v>
      </c>
      <c r="P116" s="175">
        <f t="shared" ca="1" si="21"/>
        <v>2514.6748650452528</v>
      </c>
      <c r="Q116" s="11">
        <f t="shared" ca="1" si="22"/>
        <v>2.9930000000000002E-2</v>
      </c>
      <c r="R116" s="12">
        <f t="shared" ca="1" si="23"/>
        <v>75.264218710804414</v>
      </c>
      <c r="S116" s="513"/>
      <c r="U116" s="31">
        <f t="shared" ca="1" si="39"/>
        <v>2106.3704886229862</v>
      </c>
      <c r="V116" s="31">
        <f t="shared" ca="1" si="40"/>
        <v>2191.2847156772823</v>
      </c>
      <c r="X116" s="58">
        <f t="shared" ca="1" si="24"/>
        <v>98</v>
      </c>
      <c r="Y116" s="61">
        <f t="shared" ca="1" si="25"/>
        <v>47705</v>
      </c>
      <c r="Z116" s="31">
        <f t="shared" ca="1" si="35"/>
        <v>2514.6748650452528</v>
      </c>
      <c r="AA116" s="31">
        <f t="shared" ca="1" si="41"/>
        <v>309.12181574207278</v>
      </c>
      <c r="AB116" s="31">
        <f t="shared" ca="1" si="36"/>
        <v>31085.522438989185</v>
      </c>
      <c r="AC116" t="str">
        <f t="shared" ca="1" si="26"/>
        <v/>
      </c>
      <c r="AD116" t="str">
        <f t="shared" ca="1" si="27"/>
        <v/>
      </c>
    </row>
    <row r="117" spans="1:30">
      <c r="A117" s="180">
        <f ca="1">'PRICE_IOF Ñ USAR'!A117</f>
        <v>99</v>
      </c>
      <c r="B117" s="179">
        <f ca="1">'PRICE_IOF Ñ USAR'!B117</f>
        <v>47736</v>
      </c>
      <c r="C117" s="177">
        <f t="shared" ca="1" si="28"/>
        <v>640.46193128446134</v>
      </c>
      <c r="D117" s="24">
        <f t="shared" ca="1" si="37"/>
        <v>1465.9085573385248</v>
      </c>
      <c r="E117" s="177">
        <f t="shared" ca="1" si="29"/>
        <v>158697.42445504712</v>
      </c>
      <c r="F117" s="178">
        <f t="shared" ca="1" si="30"/>
        <v>33.460956141129635</v>
      </c>
      <c r="G117" s="178">
        <f t="shared" ca="1" si="31"/>
        <v>26.319999999999997</v>
      </c>
      <c r="H117" s="177">
        <f t="shared" ca="1" si="32"/>
        <v>25</v>
      </c>
      <c r="I117" s="25">
        <f t="shared" ca="1" si="33"/>
        <v>2191.1514447641161</v>
      </c>
      <c r="J117" s="9" t="str">
        <f ca="1">'PRICE_IOF Ñ USAR'!J117</f>
        <v/>
      </c>
      <c r="K117" s="9" t="str">
        <f ca="1">'PRICE_IOF Ñ USAR'!K117</f>
        <v/>
      </c>
      <c r="L117" s="9">
        <f ca="1">'PRICE_IOF Ñ USAR'!L117</f>
        <v>9</v>
      </c>
      <c r="N117" s="176">
        <f t="shared" ca="1" si="34"/>
        <v>31</v>
      </c>
      <c r="O117" s="176">
        <f t="shared" ca="1" si="38"/>
        <v>3008</v>
      </c>
      <c r="P117" s="175">
        <f t="shared" ca="1" si="21"/>
        <v>2537.8098738444542</v>
      </c>
      <c r="Q117" s="11">
        <f t="shared" ca="1" si="22"/>
        <v>2.9930000000000002E-2</v>
      </c>
      <c r="R117" s="12">
        <f t="shared" ca="1" si="23"/>
        <v>75.956649524164519</v>
      </c>
      <c r="S117" s="513"/>
      <c r="U117" s="31">
        <f t="shared" ca="1" si="39"/>
        <v>2106.3704886229862</v>
      </c>
      <c r="V117" s="31">
        <f t="shared" ca="1" si="40"/>
        <v>2191.1514447641161</v>
      </c>
      <c r="X117" s="58">
        <f t="shared" ca="1" si="24"/>
        <v>99</v>
      </c>
      <c r="Y117" s="61">
        <f t="shared" ca="1" si="25"/>
        <v>47736</v>
      </c>
      <c r="Z117" s="31">
        <f t="shared" ca="1" si="35"/>
        <v>2537.8098738444542</v>
      </c>
      <c r="AA117" s="31">
        <f t="shared" ca="1" si="41"/>
        <v>285.98680694287134</v>
      </c>
      <c r="AB117" s="31">
        <f t="shared" ca="1" si="36"/>
        <v>28547.712565144731</v>
      </c>
      <c r="AC117" t="str">
        <f t="shared" ca="1" si="26"/>
        <v/>
      </c>
      <c r="AD117" t="str">
        <f t="shared" ca="1" si="27"/>
        <v/>
      </c>
    </row>
    <row r="118" spans="1:30">
      <c r="A118" s="180">
        <f ca="1">'PRICE_IOF Ñ USAR'!A118</f>
        <v>100</v>
      </c>
      <c r="B118" s="179">
        <f ca="1">'PRICE_IOF Ñ USAR'!B118</f>
        <v>47766</v>
      </c>
      <c r="C118" s="177">
        <f t="shared" ca="1" si="28"/>
        <v>646.35418106266593</v>
      </c>
      <c r="D118" s="24">
        <f t="shared" ca="1" si="37"/>
        <v>1460.0163075603202</v>
      </c>
      <c r="E118" s="177">
        <f t="shared" ca="1" si="29"/>
        <v>158051.07027398446</v>
      </c>
      <c r="F118" s="178">
        <f t="shared" ca="1" si="30"/>
        <v>33.326459135559894</v>
      </c>
      <c r="G118" s="178">
        <f t="shared" ca="1" si="31"/>
        <v>26.319999999999997</v>
      </c>
      <c r="H118" s="177">
        <f t="shared" ca="1" si="32"/>
        <v>25</v>
      </c>
      <c r="I118" s="25">
        <f t="shared" ca="1" si="33"/>
        <v>2191.0169477585464</v>
      </c>
      <c r="J118" s="9" t="str">
        <f ca="1">'PRICE_IOF Ñ USAR'!J118</f>
        <v/>
      </c>
      <c r="K118" s="9" t="str">
        <f ca="1">'PRICE_IOF Ñ USAR'!K118</f>
        <v/>
      </c>
      <c r="L118" s="9">
        <f ca="1">'PRICE_IOF Ñ USAR'!L118</f>
        <v>10</v>
      </c>
      <c r="N118" s="176">
        <f t="shared" ca="1" si="34"/>
        <v>30</v>
      </c>
      <c r="O118" s="176">
        <f t="shared" ca="1" si="38"/>
        <v>3038</v>
      </c>
      <c r="P118" s="175">
        <f t="shared" ca="1" si="21"/>
        <v>2561.1577247249834</v>
      </c>
      <c r="Q118" s="11">
        <f t="shared" ca="1" si="22"/>
        <v>2.9930000000000002E-2</v>
      </c>
      <c r="R118" s="12">
        <f t="shared" ca="1" si="23"/>
        <v>76.655450701018751</v>
      </c>
      <c r="S118" s="513"/>
      <c r="U118" s="31">
        <f t="shared" ca="1" si="39"/>
        <v>2106.3704886229862</v>
      </c>
      <c r="V118" s="31">
        <f t="shared" ca="1" si="40"/>
        <v>2191.0169477585464</v>
      </c>
      <c r="X118" s="58">
        <f t="shared" ca="1" si="24"/>
        <v>100</v>
      </c>
      <c r="Y118" s="61">
        <f t="shared" ca="1" si="25"/>
        <v>47766</v>
      </c>
      <c r="Z118" s="31">
        <f t="shared" ca="1" si="35"/>
        <v>2561.1577247249834</v>
      </c>
      <c r="AA118" s="31">
        <f t="shared" ca="1" si="41"/>
        <v>262.63895606234206</v>
      </c>
      <c r="AB118" s="31">
        <f t="shared" ca="1" si="36"/>
        <v>25986.554840419747</v>
      </c>
      <c r="AC118" t="str">
        <f t="shared" ca="1" si="26"/>
        <v/>
      </c>
      <c r="AD118" t="str">
        <f t="shared" ca="1" si="27"/>
        <v/>
      </c>
    </row>
    <row r="119" spans="1:30">
      <c r="A119" s="180">
        <f ca="1">'PRICE_IOF Ñ USAR'!A119</f>
        <v>101</v>
      </c>
      <c r="B119" s="179">
        <f ca="1">'PRICE_IOF Ñ USAR'!B119</f>
        <v>47797</v>
      </c>
      <c r="C119" s="177">
        <f t="shared" ca="1" si="28"/>
        <v>652.30063953892545</v>
      </c>
      <c r="D119" s="24">
        <f t="shared" ca="1" si="37"/>
        <v>1454.0698490840607</v>
      </c>
      <c r="E119" s="177">
        <f t="shared" ca="1" si="29"/>
        <v>157398.76963444552</v>
      </c>
      <c r="F119" s="178">
        <f t="shared" ca="1" si="30"/>
        <v>33.190724757536735</v>
      </c>
      <c r="G119" s="178">
        <f t="shared" ca="1" si="31"/>
        <v>26.319999999999997</v>
      </c>
      <c r="H119" s="177">
        <f t="shared" ca="1" si="32"/>
        <v>25</v>
      </c>
      <c r="I119" s="25">
        <f t="shared" ca="1" si="33"/>
        <v>2190.8812133805231</v>
      </c>
      <c r="J119" s="9" t="str">
        <f ca="1">'PRICE_IOF Ñ USAR'!J119</f>
        <v/>
      </c>
      <c r="K119" s="9" t="str">
        <f ca="1">'PRICE_IOF Ñ USAR'!K119</f>
        <v/>
      </c>
      <c r="L119" s="9">
        <f ca="1">'PRICE_IOF Ñ USAR'!L119</f>
        <v>11</v>
      </c>
      <c r="N119" s="176">
        <f t="shared" ca="1" si="34"/>
        <v>31</v>
      </c>
      <c r="O119" s="176">
        <f t="shared" ca="1" si="38"/>
        <v>3069</v>
      </c>
      <c r="P119" s="175">
        <f t="shared" ca="1" si="21"/>
        <v>2584.720375833992</v>
      </c>
      <c r="Q119" s="11">
        <f t="shared" ca="1" si="22"/>
        <v>2.9930000000000002E-2</v>
      </c>
      <c r="R119" s="12">
        <f t="shared" ca="1" si="23"/>
        <v>77.360680848711382</v>
      </c>
      <c r="S119" s="513"/>
      <c r="U119" s="31">
        <f t="shared" ca="1" si="39"/>
        <v>2106.3704886229862</v>
      </c>
      <c r="V119" s="31">
        <f t="shared" ca="1" si="40"/>
        <v>2190.8812133805231</v>
      </c>
      <c r="X119" s="58">
        <f t="shared" ca="1" si="24"/>
        <v>101</v>
      </c>
      <c r="Y119" s="61">
        <f t="shared" ca="1" si="25"/>
        <v>47797</v>
      </c>
      <c r="Z119" s="31">
        <f t="shared" ca="1" si="35"/>
        <v>2584.720375833992</v>
      </c>
      <c r="AA119" s="31">
        <f t="shared" ca="1" si="41"/>
        <v>239.07630495333322</v>
      </c>
      <c r="AB119" s="31">
        <f t="shared" ca="1" si="36"/>
        <v>23401.834464585754</v>
      </c>
      <c r="AC119" t="str">
        <f t="shared" ca="1" si="26"/>
        <v/>
      </c>
      <c r="AD119" t="str">
        <f t="shared" ca="1" si="27"/>
        <v/>
      </c>
    </row>
    <row r="120" spans="1:30">
      <c r="A120" s="180">
        <f ca="1">'PRICE_IOF Ñ USAR'!A120</f>
        <v>102</v>
      </c>
      <c r="B120" s="179">
        <f ca="1">'PRICE_IOF Ñ USAR'!B120</f>
        <v>47827</v>
      </c>
      <c r="C120" s="177">
        <f t="shared" ca="1" si="28"/>
        <v>658.30180543326333</v>
      </c>
      <c r="D120" s="24">
        <f t="shared" ca="1" si="37"/>
        <v>1448.0686831897228</v>
      </c>
      <c r="E120" s="177">
        <f t="shared" ca="1" si="29"/>
        <v>156740.46782901225</v>
      </c>
      <c r="F120" s="178">
        <f t="shared" ca="1" si="30"/>
        <v>33.053741623233563</v>
      </c>
      <c r="G120" s="178">
        <f t="shared" ca="1" si="31"/>
        <v>26.319999999999997</v>
      </c>
      <c r="H120" s="177">
        <f t="shared" ca="1" si="32"/>
        <v>25</v>
      </c>
      <c r="I120" s="25">
        <f t="shared" ca="1" si="33"/>
        <v>2190.74423024622</v>
      </c>
      <c r="J120" s="9" t="str">
        <f ca="1">'PRICE_IOF Ñ USAR'!J120</f>
        <v/>
      </c>
      <c r="K120" s="9" t="str">
        <f ca="1">'PRICE_IOF Ñ USAR'!K120</f>
        <v/>
      </c>
      <c r="L120" s="9">
        <f ca="1">'PRICE_IOF Ñ USAR'!L120</f>
        <v>12</v>
      </c>
      <c r="N120" s="176">
        <f t="shared" ca="1" si="34"/>
        <v>30</v>
      </c>
      <c r="O120" s="176">
        <f t="shared" ca="1" si="38"/>
        <v>3099</v>
      </c>
      <c r="P120" s="175">
        <f t="shared" ca="1" si="21"/>
        <v>2608.499803333586</v>
      </c>
      <c r="Q120" s="11">
        <f t="shared" ca="1" si="22"/>
        <v>2.9930000000000002E-2</v>
      </c>
      <c r="R120" s="12">
        <f t="shared" ca="1" si="23"/>
        <v>78.072399113774239</v>
      </c>
      <c r="S120" s="513"/>
      <c r="U120" s="31">
        <f t="shared" ca="1" si="39"/>
        <v>2106.3704886229862</v>
      </c>
      <c r="V120" s="31">
        <f t="shared" ca="1" si="40"/>
        <v>2190.74423024622</v>
      </c>
      <c r="X120" s="58">
        <f t="shared" ca="1" si="24"/>
        <v>102</v>
      </c>
      <c r="Y120" s="61">
        <f t="shared" ca="1" si="25"/>
        <v>47827</v>
      </c>
      <c r="Z120" s="31">
        <f t="shared" ca="1" si="35"/>
        <v>2608.499803333586</v>
      </c>
      <c r="AA120" s="31">
        <f t="shared" ca="1" si="41"/>
        <v>215.29687745373934</v>
      </c>
      <c r="AB120" s="31">
        <f t="shared" ca="1" si="36"/>
        <v>20793.334661252167</v>
      </c>
      <c r="AC120" t="str">
        <f t="shared" ca="1" si="26"/>
        <v/>
      </c>
      <c r="AD120" t="str">
        <f t="shared" ca="1" si="27"/>
        <v/>
      </c>
    </row>
    <row r="121" spans="1:30">
      <c r="A121" s="180">
        <f ca="1">'PRICE_IOF Ñ USAR'!A121</f>
        <v>103</v>
      </c>
      <c r="B121" s="179">
        <f ca="1">'PRICE_IOF Ñ USAR'!B121</f>
        <v>47858</v>
      </c>
      <c r="C121" s="177">
        <f t="shared" ca="1" si="28"/>
        <v>664.35818205392616</v>
      </c>
      <c r="D121" s="24">
        <f t="shared" ca="1" si="37"/>
        <v>1442.01230656906</v>
      </c>
      <c r="E121" s="177">
        <f t="shared" ca="1" si="29"/>
        <v>156076.10964695833</v>
      </c>
      <c r="F121" s="178">
        <f t="shared" ca="1" si="30"/>
        <v>32.915498244092575</v>
      </c>
      <c r="G121" s="178">
        <f t="shared" ca="1" si="31"/>
        <v>26.319999999999997</v>
      </c>
      <c r="H121" s="177">
        <f t="shared" ca="1" si="32"/>
        <v>25</v>
      </c>
      <c r="I121" s="25">
        <f t="shared" ca="1" si="33"/>
        <v>2190.6059868670791</v>
      </c>
      <c r="J121" s="9" t="str">
        <f ca="1">'PRICE_IOF Ñ USAR'!J121</f>
        <v/>
      </c>
      <c r="K121" s="9" t="str">
        <f ca="1">'PRICE_IOF Ñ USAR'!K121</f>
        <v/>
      </c>
      <c r="L121" s="9">
        <f ca="1">'PRICE_IOF Ñ USAR'!L121</f>
        <v>1</v>
      </c>
      <c r="N121" s="176">
        <f t="shared" ca="1" si="34"/>
        <v>31</v>
      </c>
      <c r="O121" s="176">
        <f t="shared" ca="1" si="38"/>
        <v>3130</v>
      </c>
      <c r="P121" s="175">
        <f t="shared" ca="1" si="21"/>
        <v>2632.4980015665619</v>
      </c>
      <c r="Q121" s="11">
        <f t="shared" ca="1" si="22"/>
        <v>2.9930000000000002E-2</v>
      </c>
      <c r="R121" s="12">
        <f t="shared" ca="1" si="23"/>
        <v>78.790665186887196</v>
      </c>
      <c r="S121" s="513"/>
      <c r="U121" s="31">
        <f t="shared" ca="1" si="39"/>
        <v>2106.3704886229862</v>
      </c>
      <c r="V121" s="31">
        <f t="shared" ca="1" si="40"/>
        <v>2190.6059868670791</v>
      </c>
      <c r="X121" s="58">
        <f t="shared" ca="1" si="24"/>
        <v>103</v>
      </c>
      <c r="Y121" s="61">
        <f t="shared" ca="1" si="25"/>
        <v>47858</v>
      </c>
      <c r="Z121" s="31">
        <f t="shared" ca="1" si="35"/>
        <v>2632.4980015665619</v>
      </c>
      <c r="AA121" s="31">
        <f t="shared" ca="1" si="41"/>
        <v>191.29867922076355</v>
      </c>
      <c r="AB121" s="31">
        <f t="shared" ca="1" si="36"/>
        <v>18160.836659685607</v>
      </c>
      <c r="AC121" t="str">
        <f t="shared" ca="1" si="26"/>
        <v/>
      </c>
      <c r="AD121" t="str">
        <f t="shared" ca="1" si="27"/>
        <v/>
      </c>
    </row>
    <row r="122" spans="1:30">
      <c r="A122" s="180">
        <f ca="1">'PRICE_IOF Ñ USAR'!A122</f>
        <v>104</v>
      </c>
      <c r="B122" s="179">
        <f ca="1">'PRICE_IOF Ñ USAR'!B122</f>
        <v>47889</v>
      </c>
      <c r="C122" s="177">
        <f t="shared" ca="1" si="28"/>
        <v>670.47027733959749</v>
      </c>
      <c r="D122" s="24">
        <f t="shared" ca="1" si="37"/>
        <v>1435.9002112833887</v>
      </c>
      <c r="E122" s="177">
        <f t="shared" ca="1" si="29"/>
        <v>155405.63936961873</v>
      </c>
      <c r="F122" s="178">
        <f t="shared" ca="1" si="30"/>
        <v>32.775983025861251</v>
      </c>
      <c r="G122" s="178">
        <f t="shared" ca="1" si="31"/>
        <v>26.319999999999997</v>
      </c>
      <c r="H122" s="177">
        <f t="shared" ca="1" si="32"/>
        <v>25</v>
      </c>
      <c r="I122" s="25">
        <f t="shared" ca="1" si="33"/>
        <v>2190.4664716488473</v>
      </c>
      <c r="J122" s="9" t="str">
        <f ca="1">'PRICE_IOF Ñ USAR'!J122</f>
        <v/>
      </c>
      <c r="K122" s="9" t="str">
        <f ca="1">'PRICE_IOF Ñ USAR'!K122</f>
        <v/>
      </c>
      <c r="L122" s="9">
        <f ca="1">'PRICE_IOF Ñ USAR'!L122</f>
        <v>2</v>
      </c>
      <c r="N122" s="176">
        <f t="shared" ca="1" si="34"/>
        <v>31</v>
      </c>
      <c r="O122" s="176">
        <f t="shared" ca="1" si="38"/>
        <v>3161</v>
      </c>
      <c r="P122" s="175">
        <f t="shared" ca="1" si="21"/>
        <v>2656.7169832236705</v>
      </c>
      <c r="Q122" s="11">
        <f t="shared" ca="1" si="22"/>
        <v>2.9930000000000002E-2</v>
      </c>
      <c r="R122" s="12">
        <f t="shared" ca="1" si="23"/>
        <v>79.515539307884467</v>
      </c>
      <c r="S122" s="513"/>
      <c r="U122" s="31">
        <f t="shared" ca="1" si="39"/>
        <v>2106.3704886229862</v>
      </c>
      <c r="V122" s="31">
        <f t="shared" ca="1" si="40"/>
        <v>2190.4664716488473</v>
      </c>
      <c r="X122" s="58">
        <f t="shared" ca="1" si="24"/>
        <v>104</v>
      </c>
      <c r="Y122" s="61">
        <f t="shared" ca="1" si="25"/>
        <v>47889</v>
      </c>
      <c r="Z122" s="31">
        <f t="shared" ca="1" si="35"/>
        <v>2656.7169832236705</v>
      </c>
      <c r="AA122" s="31">
        <f t="shared" ca="1" si="41"/>
        <v>167.07969756365515</v>
      </c>
      <c r="AB122" s="31">
        <f t="shared" ca="1" si="36"/>
        <v>15504.119676461936</v>
      </c>
      <c r="AC122" t="str">
        <f t="shared" ca="1" si="26"/>
        <v/>
      </c>
      <c r="AD122" t="str">
        <f t="shared" ca="1" si="27"/>
        <v/>
      </c>
    </row>
    <row r="123" spans="1:30">
      <c r="A123" s="180">
        <f ca="1">'PRICE_IOF Ñ USAR'!A123</f>
        <v>105</v>
      </c>
      <c r="B123" s="179">
        <f ca="1">'PRICE_IOF Ñ USAR'!B123</f>
        <v>47917</v>
      </c>
      <c r="C123" s="177">
        <f t="shared" ca="1" si="28"/>
        <v>676.63860390199602</v>
      </c>
      <c r="D123" s="24">
        <f t="shared" ca="1" si="37"/>
        <v>1429.7318847209901</v>
      </c>
      <c r="E123" s="177">
        <f t="shared" ca="1" si="29"/>
        <v>154729.00076571674</v>
      </c>
      <c r="F123" s="178">
        <f t="shared" ca="1" si="30"/>
        <v>32.635184267619934</v>
      </c>
      <c r="G123" s="178">
        <f t="shared" ca="1" si="31"/>
        <v>26.319999999999997</v>
      </c>
      <c r="H123" s="177">
        <f t="shared" ca="1" si="32"/>
        <v>25</v>
      </c>
      <c r="I123" s="25">
        <f t="shared" ca="1" si="33"/>
        <v>2190.3256728906063</v>
      </c>
      <c r="J123" s="9" t="str">
        <f ca="1">'PRICE_IOF Ñ USAR'!J123</f>
        <v/>
      </c>
      <c r="K123" s="9" t="str">
        <f ca="1">'PRICE_IOF Ñ USAR'!K123</f>
        <v/>
      </c>
      <c r="L123" s="9">
        <f ca="1">'PRICE_IOF Ñ USAR'!L123</f>
        <v>3</v>
      </c>
      <c r="N123" s="176">
        <f t="shared" ca="1" si="34"/>
        <v>28</v>
      </c>
      <c r="O123" s="176">
        <f t="shared" ca="1" si="38"/>
        <v>3189</v>
      </c>
      <c r="P123" s="175">
        <f t="shared" ca="1" si="21"/>
        <v>2681.1587795124169</v>
      </c>
      <c r="Q123" s="11">
        <f t="shared" ca="1" si="22"/>
        <v>2.9930000000000002E-2</v>
      </c>
      <c r="R123" s="12">
        <f t="shared" ca="1" si="23"/>
        <v>80.247082270806644</v>
      </c>
      <c r="S123" s="513"/>
      <c r="U123" s="31">
        <f t="shared" ca="1" si="39"/>
        <v>2106.3704886229862</v>
      </c>
      <c r="V123" s="31">
        <f t="shared" ca="1" si="40"/>
        <v>2190.3256728906063</v>
      </c>
      <c r="X123" s="58">
        <f t="shared" ca="1" si="24"/>
        <v>105</v>
      </c>
      <c r="Y123" s="61">
        <f t="shared" ca="1" si="25"/>
        <v>47917</v>
      </c>
      <c r="Z123" s="31">
        <f t="shared" ca="1" si="35"/>
        <v>2681.1587795124169</v>
      </c>
      <c r="AA123" s="31">
        <f t="shared" ca="1" si="41"/>
        <v>142.63790127490853</v>
      </c>
      <c r="AB123" s="31">
        <f t="shared" ca="1" si="36"/>
        <v>12822.96089694952</v>
      </c>
      <c r="AC123" t="str">
        <f t="shared" ca="1" si="26"/>
        <v/>
      </c>
      <c r="AD123" t="str">
        <f t="shared" ca="1" si="27"/>
        <v/>
      </c>
    </row>
    <row r="124" spans="1:30">
      <c r="A124" s="180">
        <f ca="1">'PRICE_IOF Ñ USAR'!A124</f>
        <v>106</v>
      </c>
      <c r="B124" s="179">
        <f ca="1">'PRICE_IOF Ñ USAR'!B124</f>
        <v>47948</v>
      </c>
      <c r="C124" s="177">
        <f t="shared" ca="1" si="28"/>
        <v>682.86367906886858</v>
      </c>
      <c r="D124" s="24">
        <f t="shared" ca="1" si="37"/>
        <v>1423.5068095541176</v>
      </c>
      <c r="E124" s="177">
        <f t="shared" ca="1" si="29"/>
        <v>154046.13708664788</v>
      </c>
      <c r="F124" s="178">
        <f t="shared" ca="1" si="30"/>
        <v>32.49309016080052</v>
      </c>
      <c r="G124" s="178">
        <f t="shared" ca="1" si="31"/>
        <v>26.319999999999997</v>
      </c>
      <c r="H124" s="177">
        <f t="shared" ca="1" si="32"/>
        <v>25</v>
      </c>
      <c r="I124" s="25">
        <f t="shared" ca="1" si="33"/>
        <v>2190.1835787837867</v>
      </c>
      <c r="J124" s="9" t="str">
        <f ca="1">'PRICE_IOF Ñ USAR'!J124</f>
        <v/>
      </c>
      <c r="K124" s="9" t="str">
        <f ca="1">'PRICE_IOF Ñ USAR'!K124</f>
        <v/>
      </c>
      <c r="L124" s="9">
        <f ca="1">'PRICE_IOF Ñ USAR'!L124</f>
        <v>4</v>
      </c>
      <c r="N124" s="176">
        <f t="shared" ca="1" si="34"/>
        <v>31</v>
      </c>
      <c r="O124" s="176">
        <f t="shared" ca="1" si="38"/>
        <v>3220</v>
      </c>
      <c r="P124" s="175">
        <f t="shared" ca="1" si="21"/>
        <v>2705.8254403274163</v>
      </c>
      <c r="Q124" s="11">
        <f t="shared" ca="1" si="22"/>
        <v>2.9930000000000002E-2</v>
      </c>
      <c r="R124" s="12">
        <f t="shared" ca="1" si="23"/>
        <v>80.985355428999583</v>
      </c>
      <c r="S124" s="513"/>
      <c r="U124" s="31">
        <f t="shared" ca="1" si="39"/>
        <v>2106.3704886229862</v>
      </c>
      <c r="V124" s="31">
        <f t="shared" ca="1" si="40"/>
        <v>2190.1835787837867</v>
      </c>
      <c r="X124" s="58">
        <f t="shared" ca="1" si="24"/>
        <v>106</v>
      </c>
      <c r="Y124" s="61">
        <f t="shared" ca="1" si="25"/>
        <v>47948</v>
      </c>
      <c r="Z124" s="31">
        <f t="shared" ca="1" si="35"/>
        <v>2705.8254403274163</v>
      </c>
      <c r="AA124" s="31">
        <f t="shared" ca="1" si="41"/>
        <v>117.97124045990903</v>
      </c>
      <c r="AB124" s="31">
        <f t="shared" ca="1" si="36"/>
        <v>10117.135456622103</v>
      </c>
      <c r="AC124" t="str">
        <f t="shared" ca="1" si="26"/>
        <v/>
      </c>
      <c r="AD124" t="str">
        <f t="shared" ca="1" si="27"/>
        <v/>
      </c>
    </row>
    <row r="125" spans="1:30">
      <c r="A125" s="180">
        <f ca="1">'PRICE_IOF Ñ USAR'!A125</f>
        <v>107</v>
      </c>
      <c r="B125" s="179">
        <f ca="1">'PRICE_IOF Ñ USAR'!B125</f>
        <v>47978</v>
      </c>
      <c r="C125" s="177">
        <f t="shared" ca="1" si="28"/>
        <v>689.14602492737731</v>
      </c>
      <c r="D125" s="24">
        <f t="shared" ca="1" si="37"/>
        <v>1417.2244636956088</v>
      </c>
      <c r="E125" s="177">
        <f t="shared" ca="1" si="29"/>
        <v>153356.9910617205</v>
      </c>
      <c r="F125" s="178">
        <f t="shared" ca="1" si="30"/>
        <v>32.349688788196055</v>
      </c>
      <c r="G125" s="178">
        <f t="shared" ca="1" si="31"/>
        <v>26.319999999999997</v>
      </c>
      <c r="H125" s="177">
        <f t="shared" ca="1" si="32"/>
        <v>25</v>
      </c>
      <c r="I125" s="25">
        <f t="shared" ca="1" si="33"/>
        <v>2190.0401774111824</v>
      </c>
      <c r="J125" s="9" t="str">
        <f ca="1">'PRICE_IOF Ñ USAR'!J125</f>
        <v/>
      </c>
      <c r="K125" s="9" t="str">
        <f ca="1">'PRICE_IOF Ñ USAR'!K125</f>
        <v/>
      </c>
      <c r="L125" s="9">
        <f ca="1">'PRICE_IOF Ñ USAR'!L125</f>
        <v>5</v>
      </c>
      <c r="N125" s="176">
        <f t="shared" ca="1" si="34"/>
        <v>30</v>
      </c>
      <c r="O125" s="176">
        <f t="shared" ca="1" si="38"/>
        <v>3250</v>
      </c>
      <c r="P125" s="175">
        <f t="shared" ca="1" si="21"/>
        <v>2730.7190344223141</v>
      </c>
      <c r="Q125" s="11">
        <f t="shared" ca="1" si="22"/>
        <v>2.9930000000000002E-2</v>
      </c>
      <c r="R125" s="12">
        <f t="shared" ca="1" si="23"/>
        <v>81.73042070025987</v>
      </c>
      <c r="S125" s="513"/>
      <c r="U125" s="31">
        <f t="shared" ca="1" si="39"/>
        <v>2106.3704886229862</v>
      </c>
      <c r="V125" s="31">
        <f t="shared" ca="1" si="40"/>
        <v>2190.0401774111824</v>
      </c>
      <c r="X125" s="58">
        <f t="shared" ca="1" si="24"/>
        <v>107</v>
      </c>
      <c r="Y125" s="61">
        <f t="shared" ca="1" si="25"/>
        <v>47978</v>
      </c>
      <c r="Z125" s="31">
        <f t="shared" ca="1" si="35"/>
        <v>2730.7190344223141</v>
      </c>
      <c r="AA125" s="31">
        <f t="shared" ca="1" si="41"/>
        <v>93.077646365011475</v>
      </c>
      <c r="AB125" s="31">
        <f t="shared" ca="1" si="36"/>
        <v>7386.4164221997889</v>
      </c>
      <c r="AC125" t="str">
        <f t="shared" ca="1" si="26"/>
        <v/>
      </c>
      <c r="AD125" t="str">
        <f t="shared" ca="1" si="27"/>
        <v/>
      </c>
    </row>
    <row r="126" spans="1:30">
      <c r="A126" s="180">
        <f ca="1">'PRICE_IOF Ñ USAR'!A126</f>
        <v>108</v>
      </c>
      <c r="B126" s="179">
        <f ca="1">'PRICE_IOF Ñ USAR'!B126</f>
        <v>48009</v>
      </c>
      <c r="C126" s="177">
        <f t="shared" ca="1" si="28"/>
        <v>695.48616836788642</v>
      </c>
      <c r="D126" s="24">
        <f t="shared" ca="1" si="37"/>
        <v>1410.8843202550997</v>
      </c>
      <c r="E126" s="177">
        <f t="shared" ca="1" si="29"/>
        <v>152661.50489335263</v>
      </c>
      <c r="F126" s="178">
        <f t="shared" ca="1" si="30"/>
        <v>32.204968122961304</v>
      </c>
      <c r="G126" s="178">
        <f t="shared" ca="1" si="31"/>
        <v>26.319999999999997</v>
      </c>
      <c r="H126" s="177">
        <f t="shared" ca="1" si="32"/>
        <v>25</v>
      </c>
      <c r="I126" s="25">
        <f t="shared" ca="1" si="33"/>
        <v>2189.8954567459477</v>
      </c>
      <c r="J126" s="9" t="str">
        <f ca="1">'PRICE_IOF Ñ USAR'!J126</f>
        <v/>
      </c>
      <c r="K126" s="9" t="str">
        <f ca="1">'PRICE_IOF Ñ USAR'!K126</f>
        <v/>
      </c>
      <c r="L126" s="9">
        <f ca="1">'PRICE_IOF Ñ USAR'!L126</f>
        <v>6</v>
      </c>
      <c r="N126" s="176">
        <f t="shared" ca="1" si="34"/>
        <v>31</v>
      </c>
      <c r="O126" s="176">
        <f t="shared" ca="1" si="38"/>
        <v>3281</v>
      </c>
      <c r="P126" s="175">
        <f t="shared" ca="1" si="21"/>
        <v>2755.8416495832885</v>
      </c>
      <c r="Q126" s="11">
        <f t="shared" ca="1" si="22"/>
        <v>2.9930000000000002E-2</v>
      </c>
      <c r="R126" s="12">
        <f t="shared" ca="1" si="23"/>
        <v>82.482340572027823</v>
      </c>
      <c r="S126" s="513"/>
      <c r="U126" s="31">
        <f t="shared" ca="1" si="39"/>
        <v>2106.3704886229862</v>
      </c>
      <c r="V126" s="31">
        <f t="shared" ca="1" si="40"/>
        <v>2189.8954567459477</v>
      </c>
      <c r="X126" s="58">
        <f t="shared" ca="1" si="24"/>
        <v>108</v>
      </c>
      <c r="Y126" s="61">
        <f t="shared" ca="1" si="25"/>
        <v>48009</v>
      </c>
      <c r="Z126" s="31">
        <f t="shared" ca="1" si="35"/>
        <v>2755.8416495832885</v>
      </c>
      <c r="AA126" s="31">
        <f t="shared" ca="1" si="41"/>
        <v>67.955031204037098</v>
      </c>
      <c r="AB126" s="31">
        <f t="shared" ca="1" si="36"/>
        <v>4630.5747726165009</v>
      </c>
      <c r="AC126" t="str">
        <f t="shared" ca="1" si="26"/>
        <v/>
      </c>
      <c r="AD126" t="str">
        <f t="shared" ca="1" si="27"/>
        <v/>
      </c>
    </row>
    <row r="127" spans="1:30">
      <c r="A127" s="180">
        <f ca="1">'PRICE_IOF Ñ USAR'!A127</f>
        <v>109</v>
      </c>
      <c r="B127" s="179">
        <f ca="1">'PRICE_IOF Ñ USAR'!B127</f>
        <v>48039</v>
      </c>
      <c r="C127" s="177">
        <f t="shared" ca="1" si="28"/>
        <v>701.88464112815063</v>
      </c>
      <c r="D127" s="24">
        <f t="shared" ca="1" si="37"/>
        <v>1404.4858474948355</v>
      </c>
      <c r="E127" s="177">
        <f t="shared" ca="1" si="29"/>
        <v>151959.62025222447</v>
      </c>
      <c r="F127" s="178">
        <f t="shared" ca="1" si="30"/>
        <v>32.058916027604056</v>
      </c>
      <c r="G127" s="178">
        <f t="shared" ca="1" si="31"/>
        <v>26.319999999999997</v>
      </c>
      <c r="H127" s="177">
        <f t="shared" ca="1" si="32"/>
        <v>25</v>
      </c>
      <c r="I127" s="25">
        <f t="shared" ca="1" si="33"/>
        <v>2189.7494046505903</v>
      </c>
      <c r="J127" s="9" t="str">
        <f ca="1">'PRICE_IOF Ñ USAR'!J127</f>
        <v/>
      </c>
      <c r="K127" s="9" t="str">
        <f ca="1">'PRICE_IOF Ñ USAR'!K127</f>
        <v/>
      </c>
      <c r="L127" s="9">
        <f ca="1">'PRICE_IOF Ñ USAR'!L127</f>
        <v>7</v>
      </c>
      <c r="N127" s="176">
        <f t="shared" ca="1" si="34"/>
        <v>30</v>
      </c>
      <c r="O127" s="176">
        <f t="shared" ca="1" si="38"/>
        <v>3311</v>
      </c>
      <c r="P127" s="175">
        <f t="shared" ca="1" si="21"/>
        <v>2781.1953928041512</v>
      </c>
      <c r="Q127" s="11">
        <f t="shared" ca="1" si="22"/>
        <v>2.9930000000000002E-2</v>
      </c>
      <c r="R127" s="12">
        <f t="shared" ca="1" si="23"/>
        <v>83.241178106628254</v>
      </c>
      <c r="S127" s="513"/>
      <c r="U127" s="31">
        <f t="shared" ca="1" si="39"/>
        <v>2106.3704886229862</v>
      </c>
      <c r="V127" s="31">
        <f t="shared" ca="1" si="40"/>
        <v>2189.7494046505903</v>
      </c>
      <c r="X127" s="58">
        <f t="shared" ca="1" si="24"/>
        <v>109</v>
      </c>
      <c r="Y127" s="61">
        <f t="shared" ca="1" si="25"/>
        <v>48039</v>
      </c>
      <c r="Z127" s="31">
        <f t="shared" ca="1" si="35"/>
        <v>2781.1953928041512</v>
      </c>
      <c r="AA127" s="31">
        <f t="shared" ca="1" si="41"/>
        <v>42.601287983174323</v>
      </c>
      <c r="AB127" s="31">
        <f t="shared" ca="1" si="36"/>
        <v>1849.3793798123497</v>
      </c>
      <c r="AC127" t="str">
        <f t="shared" ca="1" si="26"/>
        <v/>
      </c>
      <c r="AD127" t="str">
        <f t="shared" ca="1" si="27"/>
        <v/>
      </c>
    </row>
    <row r="128" spans="1:30">
      <c r="A128" s="180">
        <f ca="1">'PRICE_IOF Ñ USAR'!A128</f>
        <v>110</v>
      </c>
      <c r="B128" s="179">
        <f ca="1">'PRICE_IOF Ñ USAR'!B128</f>
        <v>48070</v>
      </c>
      <c r="C128" s="177">
        <f t="shared" ca="1" si="28"/>
        <v>708.34197983791341</v>
      </c>
      <c r="D128" s="24">
        <f t="shared" ca="1" si="37"/>
        <v>1398.0285087850727</v>
      </c>
      <c r="E128" s="177">
        <f t="shared" ca="1" si="29"/>
        <v>151251.27827238655</v>
      </c>
      <c r="F128" s="178">
        <f t="shared" ca="1" si="30"/>
        <v>31.91152025296714</v>
      </c>
      <c r="G128" s="178">
        <f t="shared" ca="1" si="31"/>
        <v>26.319999999999997</v>
      </c>
      <c r="H128" s="177">
        <f t="shared" ca="1" si="32"/>
        <v>25</v>
      </c>
      <c r="I128" s="25">
        <f t="shared" ca="1" si="33"/>
        <v>2189.6020088759533</v>
      </c>
      <c r="J128" s="9" t="str">
        <f ca="1">'PRICE_IOF Ñ USAR'!J128</f>
        <v/>
      </c>
      <c r="K128" s="9" t="str">
        <f ca="1">'PRICE_IOF Ñ USAR'!K128</f>
        <v/>
      </c>
      <c r="L128" s="9">
        <f ca="1">'PRICE_IOF Ñ USAR'!L128</f>
        <v>8</v>
      </c>
      <c r="N128" s="176">
        <f t="shared" ca="1" si="34"/>
        <v>31</v>
      </c>
      <c r="O128" s="176">
        <f t="shared" ca="1" si="38"/>
        <v>3342</v>
      </c>
      <c r="P128" s="175">
        <f t="shared" ca="1" si="21"/>
        <v>2806.7823904630568</v>
      </c>
      <c r="Q128" s="11">
        <f t="shared" ca="1" si="22"/>
        <v>2.9930000000000002E-2</v>
      </c>
      <c r="R128" s="12">
        <f t="shared" ca="1" si="23"/>
        <v>84.006996946559298</v>
      </c>
      <c r="S128" s="513"/>
      <c r="U128" s="31">
        <f t="shared" ca="1" si="39"/>
        <v>2106.3704886229862</v>
      </c>
      <c r="V128" s="31">
        <f t="shared" ca="1" si="40"/>
        <v>2189.6020088759533</v>
      </c>
      <c r="X128" s="58">
        <f t="shared" ca="1" si="24"/>
        <v>110</v>
      </c>
      <c r="Y128" s="61">
        <f t="shared" ca="1" si="25"/>
        <v>48070</v>
      </c>
      <c r="Z128" s="31">
        <f t="shared" ca="1" si="35"/>
        <v>2806.7823904630568</v>
      </c>
      <c r="AA128" s="31">
        <f t="shared" ca="1" si="41"/>
        <v>17.014290324268391</v>
      </c>
      <c r="AB128" s="31">
        <f t="shared" ca="1" si="36"/>
        <v>-957.40301065070707</v>
      </c>
      <c r="AC128" t="str">
        <f t="shared" ca="1" si="26"/>
        <v/>
      </c>
      <c r="AD128" t="str">
        <f t="shared" ca="1" si="27"/>
        <v/>
      </c>
    </row>
    <row r="129" spans="1:30">
      <c r="A129" s="180">
        <f ca="1">'PRICE_IOF Ñ USAR'!A129</f>
        <v>111</v>
      </c>
      <c r="B129" s="179">
        <f ca="1">'PRICE_IOF Ñ USAR'!B129</f>
        <v>48101</v>
      </c>
      <c r="C129" s="177">
        <f t="shared" ca="1" si="28"/>
        <v>714.85872606391081</v>
      </c>
      <c r="D129" s="24">
        <f t="shared" ca="1" si="37"/>
        <v>1391.5117625590754</v>
      </c>
      <c r="E129" s="177">
        <f t="shared" ca="1" si="29"/>
        <v>150536.41954632264</v>
      </c>
      <c r="F129" s="178">
        <f t="shared" ca="1" si="30"/>
        <v>31.762768437201178</v>
      </c>
      <c r="G129" s="178">
        <f t="shared" ca="1" si="31"/>
        <v>26.319999999999997</v>
      </c>
      <c r="H129" s="177">
        <f t="shared" ca="1" si="32"/>
        <v>25</v>
      </c>
      <c r="I129" s="25">
        <f t="shared" ca="1" si="33"/>
        <v>2189.4532570601873</v>
      </c>
      <c r="J129" s="9" t="str">
        <f ca="1">'PRICE_IOF Ñ USAR'!J129</f>
        <v/>
      </c>
      <c r="K129" s="9" t="str">
        <f ca="1">'PRICE_IOF Ñ USAR'!K129</f>
        <v/>
      </c>
      <c r="L129" s="9">
        <f ca="1">'PRICE_IOF Ñ USAR'!L129</f>
        <v>9</v>
      </c>
      <c r="N129" s="176">
        <f t="shared" ca="1" si="34"/>
        <v>31</v>
      </c>
      <c r="O129" s="176">
        <f t="shared" ca="1" si="38"/>
        <v>3373</v>
      </c>
      <c r="P129" s="175">
        <f t="shared" ca="1" si="21"/>
        <v>2832.6047885008397</v>
      </c>
      <c r="Q129" s="11">
        <f t="shared" ca="1" si="22"/>
        <v>2.9930000000000002E-2</v>
      </c>
      <c r="R129" s="12">
        <f t="shared" ca="1" si="23"/>
        <v>84.779861319830133</v>
      </c>
      <c r="S129" s="513"/>
      <c r="U129" s="31">
        <f t="shared" ca="1" si="39"/>
        <v>2106.3704886229862</v>
      </c>
      <c r="V129" s="31">
        <f t="shared" ca="1" si="40"/>
        <v>2189.4532570601873</v>
      </c>
      <c r="X129" s="58">
        <f t="shared" ca="1" si="24"/>
        <v>111</v>
      </c>
      <c r="Y129" s="61">
        <f t="shared" ca="1" si="25"/>
        <v>48101</v>
      </c>
      <c r="Z129" s="31">
        <f t="shared" ca="1" si="35"/>
        <v>2832.6047885008397</v>
      </c>
      <c r="AA129" s="31">
        <f t="shared" ca="1" si="41"/>
        <v>-8.8081077135144632</v>
      </c>
      <c r="AB129" s="31">
        <f t="shared" ca="1" si="36"/>
        <v>-3790.0077991515468</v>
      </c>
      <c r="AC129" t="str">
        <f t="shared" ca="1" si="26"/>
        <v/>
      </c>
      <c r="AD129" t="str">
        <f t="shared" ca="1" si="27"/>
        <v/>
      </c>
    </row>
    <row r="130" spans="1:30">
      <c r="A130" s="180">
        <f ca="1">'PRICE_IOF Ñ USAR'!A130</f>
        <v>112</v>
      </c>
      <c r="B130" s="179">
        <f ca="1">'PRICE_IOF Ñ USAR'!B130</f>
        <v>48131</v>
      </c>
      <c r="C130" s="177">
        <f t="shared" ca="1" si="28"/>
        <v>721.43542635529298</v>
      </c>
      <c r="D130" s="24">
        <f t="shared" ca="1" si="37"/>
        <v>1384.9350622676932</v>
      </c>
      <c r="E130" s="177">
        <f t="shared" ca="1" si="29"/>
        <v>149814.98411996735</v>
      </c>
      <c r="F130" s="178">
        <f t="shared" ca="1" si="30"/>
        <v>31.612648104727754</v>
      </c>
      <c r="G130" s="178">
        <f t="shared" ca="1" si="31"/>
        <v>26.319999999999997</v>
      </c>
      <c r="H130" s="177">
        <f t="shared" ca="1" si="32"/>
        <v>25</v>
      </c>
      <c r="I130" s="25">
        <f t="shared" ca="1" si="33"/>
        <v>2189.303136727714</v>
      </c>
      <c r="J130" s="9" t="str">
        <f ca="1">'PRICE_IOF Ñ USAR'!J130</f>
        <v/>
      </c>
      <c r="K130" s="9" t="str">
        <f ca="1">'PRICE_IOF Ñ USAR'!K130</f>
        <v/>
      </c>
      <c r="L130" s="9">
        <f ca="1">'PRICE_IOF Ñ USAR'!L130</f>
        <v>10</v>
      </c>
      <c r="N130" s="176">
        <f t="shared" ca="1" si="34"/>
        <v>30</v>
      </c>
      <c r="O130" s="176">
        <f t="shared" ca="1" si="38"/>
        <v>3403</v>
      </c>
      <c r="P130" s="175">
        <f t="shared" ca="1" si="21"/>
        <v>2858.6647526009892</v>
      </c>
      <c r="Q130" s="11">
        <f t="shared" ca="1" si="22"/>
        <v>2.9930000000000002E-2</v>
      </c>
      <c r="R130" s="12">
        <f t="shared" ca="1" si="23"/>
        <v>85.559836045347609</v>
      </c>
      <c r="S130" s="513"/>
      <c r="U130" s="31">
        <f t="shared" ca="1" si="39"/>
        <v>2106.3704886229862</v>
      </c>
      <c r="V130" s="31">
        <f t="shared" ca="1" si="40"/>
        <v>2189.303136727714</v>
      </c>
      <c r="X130" s="58">
        <f t="shared" ca="1" si="24"/>
        <v>112</v>
      </c>
      <c r="Y130" s="61">
        <f t="shared" ca="1" si="25"/>
        <v>48131</v>
      </c>
      <c r="Z130" s="31">
        <f t="shared" ca="1" si="35"/>
        <v>2858.6647526009892</v>
      </c>
      <c r="AA130" s="31">
        <f t="shared" ca="1" si="41"/>
        <v>-34.868071813663732</v>
      </c>
      <c r="AB130" s="31">
        <f t="shared" ca="1" si="36"/>
        <v>-6648.6725517525356</v>
      </c>
      <c r="AC130" t="str">
        <f t="shared" ca="1" si="26"/>
        <v/>
      </c>
      <c r="AD130" t="str">
        <f t="shared" ca="1" si="27"/>
        <v/>
      </c>
    </row>
    <row r="131" spans="1:30">
      <c r="A131" s="180">
        <f ca="1">'PRICE_IOF Ñ USAR'!A131</f>
        <v>113</v>
      </c>
      <c r="B131" s="179">
        <f ca="1">'PRICE_IOF Ñ USAR'!B131</f>
        <v>48162</v>
      </c>
      <c r="C131" s="177">
        <f t="shared" ca="1" si="28"/>
        <v>728.07263228946249</v>
      </c>
      <c r="D131" s="24">
        <f t="shared" ca="1" si="37"/>
        <v>1378.2978563335237</v>
      </c>
      <c r="E131" s="177">
        <f t="shared" ca="1" si="29"/>
        <v>149086.91148767789</v>
      </c>
      <c r="F131" s="178">
        <f t="shared" ca="1" si="30"/>
        <v>31.461146665193144</v>
      </c>
      <c r="G131" s="178">
        <f t="shared" ca="1" si="31"/>
        <v>26.319999999999997</v>
      </c>
      <c r="H131" s="177">
        <f t="shared" ca="1" si="32"/>
        <v>25</v>
      </c>
      <c r="I131" s="25">
        <f t="shared" ca="1" si="33"/>
        <v>2189.1516352881795</v>
      </c>
      <c r="J131" s="9" t="str">
        <f ca="1">'PRICE_IOF Ñ USAR'!J131</f>
        <v/>
      </c>
      <c r="K131" s="9" t="str">
        <f ca="1">'PRICE_IOF Ñ USAR'!K131</f>
        <v/>
      </c>
      <c r="L131" s="9">
        <f ca="1">'PRICE_IOF Ñ USAR'!L131</f>
        <v>11</v>
      </c>
      <c r="N131" s="176">
        <f t="shared" ca="1" si="34"/>
        <v>31</v>
      </c>
      <c r="O131" s="176">
        <f t="shared" ca="1" si="38"/>
        <v>3434</v>
      </c>
      <c r="P131" s="175">
        <f t="shared" ca="1" si="21"/>
        <v>2884.9644683712822</v>
      </c>
      <c r="Q131" s="11">
        <f t="shared" ca="1" si="22"/>
        <v>2.9930000000000002E-2</v>
      </c>
      <c r="R131" s="12">
        <f t="shared" ca="1" si="23"/>
        <v>86.346986538352482</v>
      </c>
      <c r="S131" s="513"/>
      <c r="U131" s="31">
        <f t="shared" ca="1" si="39"/>
        <v>2106.3704886229862</v>
      </c>
      <c r="V131" s="31">
        <f t="shared" ca="1" si="40"/>
        <v>2189.1516352881795</v>
      </c>
      <c r="X131" s="58">
        <f t="shared" ca="1" si="24"/>
        <v>113</v>
      </c>
      <c r="Y131" s="61">
        <f t="shared" ca="1" si="25"/>
        <v>48162</v>
      </c>
      <c r="Z131" s="31">
        <f t="shared" ca="1" si="35"/>
        <v>2884.9644683712822</v>
      </c>
      <c r="AA131" s="31">
        <f t="shared" ca="1" si="41"/>
        <v>-61.167787583957029</v>
      </c>
      <c r="AB131" s="31">
        <f t="shared" ca="1" si="36"/>
        <v>-9533.6370201238169</v>
      </c>
      <c r="AC131" t="str">
        <f t="shared" ca="1" si="26"/>
        <v/>
      </c>
      <c r="AD131" t="str">
        <f t="shared" ca="1" si="27"/>
        <v/>
      </c>
    </row>
    <row r="132" spans="1:30">
      <c r="A132" s="180">
        <f ca="1">'PRICE_IOF Ñ USAR'!A132</f>
        <v>114</v>
      </c>
      <c r="B132" s="179">
        <f ca="1">'PRICE_IOF Ñ USAR'!B132</f>
        <v>48192</v>
      </c>
      <c r="C132" s="177">
        <f t="shared" ca="1" si="28"/>
        <v>734.77090051833397</v>
      </c>
      <c r="D132" s="24">
        <f t="shared" ca="1" si="37"/>
        <v>1371.5995881046522</v>
      </c>
      <c r="E132" s="177">
        <f t="shared" ca="1" si="29"/>
        <v>148352.14058715955</v>
      </c>
      <c r="F132" s="178">
        <f t="shared" ca="1" si="30"/>
        <v>31.308251412412357</v>
      </c>
      <c r="G132" s="178">
        <f t="shared" ca="1" si="31"/>
        <v>26.319999999999997</v>
      </c>
      <c r="H132" s="177">
        <f t="shared" ca="1" si="32"/>
        <v>25</v>
      </c>
      <c r="I132" s="25">
        <f t="shared" ca="1" si="33"/>
        <v>2188.9987400353989</v>
      </c>
      <c r="J132" s="9" t="str">
        <f ca="1">'PRICE_IOF Ñ USAR'!J132</f>
        <v/>
      </c>
      <c r="K132" s="9" t="str">
        <f ca="1">'PRICE_IOF Ñ USAR'!K132</f>
        <v/>
      </c>
      <c r="L132" s="9">
        <f ca="1">'PRICE_IOF Ñ USAR'!L132</f>
        <v>12</v>
      </c>
      <c r="N132" s="176">
        <f t="shared" ca="1" si="34"/>
        <v>30</v>
      </c>
      <c r="O132" s="176">
        <f t="shared" ca="1" si="38"/>
        <v>3464</v>
      </c>
      <c r="P132" s="175">
        <f t="shared" ca="1" si="21"/>
        <v>2911.5061415270889</v>
      </c>
      <c r="Q132" s="11">
        <f t="shared" ca="1" si="22"/>
        <v>2.9930000000000002E-2</v>
      </c>
      <c r="R132" s="12">
        <f t="shared" ca="1" si="23"/>
        <v>87.141378815905782</v>
      </c>
      <c r="S132" s="513"/>
      <c r="U132" s="31">
        <f t="shared" ca="1" si="39"/>
        <v>2106.3704886229862</v>
      </c>
      <c r="V132" s="31">
        <f t="shared" ca="1" si="40"/>
        <v>2188.9987400353989</v>
      </c>
      <c r="X132" s="58">
        <f t="shared" ca="1" si="24"/>
        <v>114</v>
      </c>
      <c r="Y132" s="61">
        <f t="shared" ca="1" si="25"/>
        <v>48192</v>
      </c>
      <c r="Z132" s="31">
        <f t="shared" ca="1" si="35"/>
        <v>2911.5061415270889</v>
      </c>
      <c r="AA132" s="31">
        <f t="shared" ca="1" si="41"/>
        <v>-87.709460739763571</v>
      </c>
      <c r="AB132" s="31">
        <f t="shared" ca="1" si="36"/>
        <v>-12445.143161650905</v>
      </c>
      <c r="AC132" t="str">
        <f t="shared" ca="1" si="26"/>
        <v/>
      </c>
      <c r="AD132" t="str">
        <f t="shared" ca="1" si="27"/>
        <v/>
      </c>
    </row>
    <row r="133" spans="1:30">
      <c r="A133" s="180">
        <f ca="1">'PRICE_IOF Ñ USAR'!A133</f>
        <v>115</v>
      </c>
      <c r="B133" s="179">
        <f ca="1">'PRICE_IOF Ñ USAR'!B133</f>
        <v>48223</v>
      </c>
      <c r="C133" s="177">
        <f t="shared" ca="1" si="28"/>
        <v>741.53079281501982</v>
      </c>
      <c r="D133" s="24">
        <f t="shared" ca="1" si="37"/>
        <v>1364.8396958079663</v>
      </c>
      <c r="E133" s="177">
        <f t="shared" ca="1" si="29"/>
        <v>147610.60979434452</v>
      </c>
      <c r="F133" s="178">
        <f t="shared" ca="1" si="30"/>
        <v>31.153949523303506</v>
      </c>
      <c r="G133" s="178">
        <f t="shared" ca="1" si="31"/>
        <v>26.319999999999997</v>
      </c>
      <c r="H133" s="177">
        <f t="shared" ca="1" si="32"/>
        <v>25</v>
      </c>
      <c r="I133" s="25">
        <f t="shared" ca="1" si="33"/>
        <v>2188.84443814629</v>
      </c>
      <c r="J133" s="9" t="str">
        <f ca="1">'PRICE_IOF Ñ USAR'!J133</f>
        <v/>
      </c>
      <c r="K133" s="9" t="str">
        <f ca="1">'PRICE_IOF Ñ USAR'!K133</f>
        <v/>
      </c>
      <c r="L133" s="9">
        <f ca="1">'PRICE_IOF Ñ USAR'!L133</f>
        <v>1</v>
      </c>
      <c r="N133" s="176">
        <f t="shared" ca="1" si="34"/>
        <v>31</v>
      </c>
      <c r="O133" s="176">
        <f t="shared" ca="1" si="38"/>
        <v>3495</v>
      </c>
      <c r="P133" s="175">
        <f t="shared" ca="1" si="21"/>
        <v>2938.2919980763595</v>
      </c>
      <c r="Q133" s="11">
        <f t="shared" ca="1" si="22"/>
        <v>2.9930000000000002E-2</v>
      </c>
      <c r="R133" s="12">
        <f t="shared" ca="1" si="23"/>
        <v>87.943079502425448</v>
      </c>
      <c r="S133" s="513"/>
      <c r="U133" s="31">
        <f t="shared" ca="1" si="39"/>
        <v>2106.3704886229862</v>
      </c>
      <c r="V133" s="31">
        <f t="shared" ca="1" si="40"/>
        <v>2188.84443814629</v>
      </c>
      <c r="X133" s="58">
        <f t="shared" ca="1" si="24"/>
        <v>115</v>
      </c>
      <c r="Y133" s="61">
        <f t="shared" ca="1" si="25"/>
        <v>48223</v>
      </c>
      <c r="Z133" s="31">
        <f t="shared" ca="1" si="35"/>
        <v>2938.2919980763595</v>
      </c>
      <c r="AA133" s="31">
        <f t="shared" ca="1" si="41"/>
        <v>-114.49531728903401</v>
      </c>
      <c r="AB133" s="31">
        <f t="shared" ca="1" si="36"/>
        <v>-15383.435159727265</v>
      </c>
      <c r="AC133" t="str">
        <f t="shared" ca="1" si="26"/>
        <v/>
      </c>
      <c r="AD133" t="str">
        <f t="shared" ca="1" si="27"/>
        <v/>
      </c>
    </row>
    <row r="134" spans="1:30">
      <c r="A134" s="180">
        <f ca="1">'PRICE_IOF Ñ USAR'!A134</f>
        <v>116</v>
      </c>
      <c r="B134" s="179">
        <f ca="1">'PRICE_IOF Ñ USAR'!B134</f>
        <v>48254</v>
      </c>
      <c r="C134" s="177">
        <f t="shared" ca="1" si="28"/>
        <v>748.35287612094498</v>
      </c>
      <c r="D134" s="24">
        <f t="shared" ca="1" si="37"/>
        <v>1358.0176125020412</v>
      </c>
      <c r="E134" s="177">
        <f t="shared" ca="1" si="29"/>
        <v>146862.25691822357</v>
      </c>
      <c r="F134" s="178">
        <f t="shared" ca="1" si="30"/>
        <v>30.998228056812351</v>
      </c>
      <c r="G134" s="178">
        <f t="shared" ca="1" si="31"/>
        <v>26.319999999999997</v>
      </c>
      <c r="H134" s="177">
        <f t="shared" ca="1" si="32"/>
        <v>25</v>
      </c>
      <c r="I134" s="25">
        <f t="shared" ca="1" si="33"/>
        <v>2188.6887166797987</v>
      </c>
      <c r="J134" s="9" t="str">
        <f ca="1">'PRICE_IOF Ñ USAR'!J134</f>
        <v/>
      </c>
      <c r="K134" s="9" t="str">
        <f ca="1">'PRICE_IOF Ñ USAR'!K134</f>
        <v/>
      </c>
      <c r="L134" s="9">
        <f ca="1">'PRICE_IOF Ñ USAR'!L134</f>
        <v>2</v>
      </c>
      <c r="N134" s="176">
        <f t="shared" ca="1" si="34"/>
        <v>31</v>
      </c>
      <c r="O134" s="176">
        <f t="shared" ca="1" si="38"/>
        <v>3526</v>
      </c>
      <c r="P134" s="175">
        <f t="shared" ca="1" si="21"/>
        <v>2965.3242845063178</v>
      </c>
      <c r="Q134" s="11">
        <f t="shared" ca="1" si="22"/>
        <v>2.9930000000000002E-2</v>
      </c>
      <c r="R134" s="12">
        <f t="shared" ca="1" si="23"/>
        <v>88.752155835274095</v>
      </c>
      <c r="S134" s="513"/>
      <c r="U134" s="31">
        <f t="shared" ca="1" si="39"/>
        <v>2106.3704886229862</v>
      </c>
      <c r="V134" s="31">
        <f t="shared" ca="1" si="40"/>
        <v>2188.6887166797987</v>
      </c>
      <c r="X134" s="58">
        <f t="shared" ca="1" si="24"/>
        <v>116</v>
      </c>
      <c r="Y134" s="61">
        <f t="shared" ca="1" si="25"/>
        <v>48254</v>
      </c>
      <c r="Z134" s="31">
        <f t="shared" ca="1" si="35"/>
        <v>2965.3242845063178</v>
      </c>
      <c r="AA134" s="31">
        <f t="shared" ca="1" si="41"/>
        <v>-141.5276037189922</v>
      </c>
      <c r="AB134" s="31">
        <f t="shared" ca="1" si="36"/>
        <v>-18348.759444233583</v>
      </c>
      <c r="AC134" t="str">
        <f t="shared" ca="1" si="26"/>
        <v/>
      </c>
      <c r="AD134" t="str">
        <f t="shared" ca="1" si="27"/>
        <v/>
      </c>
    </row>
    <row r="135" spans="1:30">
      <c r="A135" s="180">
        <f ca="1">'PRICE_IOF Ñ USAR'!A135</f>
        <v>117</v>
      </c>
      <c r="B135" s="179">
        <f ca="1">'PRICE_IOF Ñ USAR'!B135</f>
        <v>48283</v>
      </c>
      <c r="C135" s="177">
        <f t="shared" ca="1" si="28"/>
        <v>755.23772259339512</v>
      </c>
      <c r="D135" s="24">
        <f t="shared" ca="1" si="37"/>
        <v>1351.132766029591</v>
      </c>
      <c r="E135" s="177">
        <f t="shared" ca="1" si="29"/>
        <v>146107.01919563019</v>
      </c>
      <c r="F135" s="178">
        <f t="shared" ca="1" si="30"/>
        <v>30.841073952826953</v>
      </c>
      <c r="G135" s="178">
        <f t="shared" ca="1" si="31"/>
        <v>26.319999999999997</v>
      </c>
      <c r="H135" s="177">
        <f t="shared" ca="1" si="32"/>
        <v>25</v>
      </c>
      <c r="I135" s="25">
        <f t="shared" ca="1" si="33"/>
        <v>2188.5315625758135</v>
      </c>
      <c r="J135" s="9" t="str">
        <f ca="1">'PRICE_IOF Ñ USAR'!J135</f>
        <v/>
      </c>
      <c r="K135" s="9" t="str">
        <f ca="1">'PRICE_IOF Ñ USAR'!K135</f>
        <v/>
      </c>
      <c r="L135" s="9">
        <f ca="1">'PRICE_IOF Ñ USAR'!L135</f>
        <v>3</v>
      </c>
      <c r="N135" s="176">
        <f t="shared" ca="1" si="34"/>
        <v>29</v>
      </c>
      <c r="O135" s="176">
        <f t="shared" ca="1" si="38"/>
        <v>3555</v>
      </c>
      <c r="P135" s="175">
        <f t="shared" ca="1" si="21"/>
        <v>2992.6052679718696</v>
      </c>
      <c r="Q135" s="11">
        <f t="shared" ca="1" si="22"/>
        <v>2.9930000000000002E-2</v>
      </c>
      <c r="R135" s="12">
        <f t="shared" ca="1" si="23"/>
        <v>89.568675670398065</v>
      </c>
      <c r="S135" s="513"/>
      <c r="U135" s="31">
        <f t="shared" ca="1" si="39"/>
        <v>2106.3704886229862</v>
      </c>
      <c r="V135" s="31">
        <f t="shared" ca="1" si="40"/>
        <v>2188.5315625758135</v>
      </c>
      <c r="X135" s="58">
        <f t="shared" ca="1" si="24"/>
        <v>117</v>
      </c>
      <c r="Y135" s="61">
        <f t="shared" ca="1" si="25"/>
        <v>48283</v>
      </c>
      <c r="Z135" s="31">
        <f t="shared" ca="1" si="35"/>
        <v>2992.6052679718696</v>
      </c>
      <c r="AA135" s="31">
        <f t="shared" ca="1" si="41"/>
        <v>-168.80858718454439</v>
      </c>
      <c r="AB135" s="31">
        <f t="shared" ca="1" si="36"/>
        <v>-21341.364712205454</v>
      </c>
      <c r="AC135" t="str">
        <f t="shared" ca="1" si="26"/>
        <v/>
      </c>
      <c r="AD135" t="str">
        <f t="shared" ca="1" si="27"/>
        <v/>
      </c>
    </row>
    <row r="136" spans="1:30">
      <c r="A136" s="180">
        <f ca="1">'PRICE_IOF Ñ USAR'!A136</f>
        <v>118</v>
      </c>
      <c r="B136" s="179">
        <f ca="1">'PRICE_IOF Ñ USAR'!B136</f>
        <v>48314</v>
      </c>
      <c r="C136" s="177">
        <f t="shared" ca="1" si="28"/>
        <v>762.18590965350336</v>
      </c>
      <c r="D136" s="24">
        <f t="shared" ca="1" si="37"/>
        <v>1344.1845789694828</v>
      </c>
      <c r="E136" s="177">
        <f t="shared" ca="1" si="29"/>
        <v>145344.8332859767</v>
      </c>
      <c r="F136" s="178">
        <f t="shared" ca="1" si="30"/>
        <v>30.682474031082339</v>
      </c>
      <c r="G136" s="178">
        <f t="shared" ca="1" si="31"/>
        <v>26.319999999999997</v>
      </c>
      <c r="H136" s="177">
        <f t="shared" ca="1" si="32"/>
        <v>25</v>
      </c>
      <c r="I136" s="25">
        <f t="shared" ca="1" si="33"/>
        <v>2188.3729626540685</v>
      </c>
      <c r="J136" s="9" t="str">
        <f ca="1">'PRICE_IOF Ñ USAR'!J136</f>
        <v/>
      </c>
      <c r="K136" s="9" t="str">
        <f ca="1">'PRICE_IOF Ñ USAR'!K136</f>
        <v/>
      </c>
      <c r="L136" s="9">
        <f ca="1">'PRICE_IOF Ñ USAR'!L136</f>
        <v>4</v>
      </c>
      <c r="N136" s="176">
        <f t="shared" ca="1" si="34"/>
        <v>31</v>
      </c>
      <c r="O136" s="176">
        <f t="shared" ca="1" si="38"/>
        <v>3586</v>
      </c>
      <c r="P136" s="175">
        <f t="shared" ca="1" si="21"/>
        <v>3020.1372364857475</v>
      </c>
      <c r="Q136" s="11">
        <f t="shared" ca="1" si="22"/>
        <v>2.9930000000000002E-2</v>
      </c>
      <c r="R136" s="12">
        <f t="shared" ca="1" si="23"/>
        <v>90.392707488018431</v>
      </c>
      <c r="S136" s="513"/>
      <c r="U136" s="31">
        <f t="shared" ca="1" si="39"/>
        <v>2106.3704886229862</v>
      </c>
      <c r="V136" s="31">
        <f t="shared" ca="1" si="40"/>
        <v>2188.3729626540685</v>
      </c>
      <c r="X136" s="58">
        <f t="shared" ca="1" si="24"/>
        <v>118</v>
      </c>
      <c r="Y136" s="61">
        <f t="shared" ca="1" si="25"/>
        <v>48314</v>
      </c>
      <c r="Z136" s="31">
        <f t="shared" ca="1" si="35"/>
        <v>3020.1372364857475</v>
      </c>
      <c r="AA136" s="31">
        <f t="shared" ca="1" si="41"/>
        <v>-196.34055569842218</v>
      </c>
      <c r="AB136" s="31">
        <f t="shared" ca="1" si="36"/>
        <v>-24361.501948691202</v>
      </c>
      <c r="AC136" t="str">
        <f t="shared" ca="1" si="26"/>
        <v/>
      </c>
      <c r="AD136" t="str">
        <f t="shared" ca="1" si="27"/>
        <v/>
      </c>
    </row>
    <row r="137" spans="1:30">
      <c r="A137" s="180">
        <f ca="1">'PRICE_IOF Ñ USAR'!A137</f>
        <v>119</v>
      </c>
      <c r="B137" s="179">
        <f ca="1">'PRICE_IOF Ñ USAR'!B137</f>
        <v>48344</v>
      </c>
      <c r="C137" s="177">
        <f t="shared" ca="1" si="28"/>
        <v>769.19802003467726</v>
      </c>
      <c r="D137" s="24">
        <f t="shared" ca="1" si="37"/>
        <v>1337.1724685883089</v>
      </c>
      <c r="E137" s="177">
        <f t="shared" ca="1" si="29"/>
        <v>144575.63526594202</v>
      </c>
      <c r="F137" s="178">
        <f t="shared" ca="1" si="30"/>
        <v>30.522414990055108</v>
      </c>
      <c r="G137" s="178">
        <f t="shared" ca="1" si="31"/>
        <v>26.319999999999997</v>
      </c>
      <c r="H137" s="177">
        <f t="shared" ca="1" si="32"/>
        <v>25</v>
      </c>
      <c r="I137" s="25">
        <f t="shared" ca="1" si="33"/>
        <v>2188.2129036130414</v>
      </c>
      <c r="J137" s="9" t="str">
        <f ca="1">'PRICE_IOF Ñ USAR'!J137</f>
        <v/>
      </c>
      <c r="K137" s="9" t="str">
        <f ca="1">'PRICE_IOF Ñ USAR'!K137</f>
        <v/>
      </c>
      <c r="L137" s="9">
        <f ca="1">'PRICE_IOF Ñ USAR'!L137</f>
        <v>5</v>
      </c>
      <c r="N137" s="176">
        <f t="shared" ca="1" si="34"/>
        <v>30</v>
      </c>
      <c r="O137" s="176">
        <f t="shared" ca="1" si="38"/>
        <v>3616</v>
      </c>
      <c r="P137" s="175">
        <f t="shared" ca="1" si="21"/>
        <v>3047.9224991103997</v>
      </c>
      <c r="Q137" s="11">
        <f t="shared" ca="1" si="22"/>
        <v>2.9930000000000002E-2</v>
      </c>
      <c r="R137" s="12">
        <f t="shared" ca="1" si="23"/>
        <v>91.224320398374275</v>
      </c>
      <c r="S137" s="513"/>
      <c r="U137" s="31">
        <f t="shared" ca="1" si="39"/>
        <v>2106.3704886229862</v>
      </c>
      <c r="V137" s="31">
        <f t="shared" ca="1" si="40"/>
        <v>2188.2129036130414</v>
      </c>
      <c r="X137" s="58">
        <f t="shared" ca="1" si="24"/>
        <v>119</v>
      </c>
      <c r="Y137" s="61">
        <f t="shared" ca="1" si="25"/>
        <v>48344</v>
      </c>
      <c r="Z137" s="31">
        <f t="shared" ca="1" si="35"/>
        <v>3047.9224991103997</v>
      </c>
      <c r="AA137" s="31">
        <f t="shared" ca="1" si="41"/>
        <v>-224.12581832307416</v>
      </c>
      <c r="AB137" s="31">
        <f t="shared" ca="1" si="36"/>
        <v>-27409.424447801601</v>
      </c>
      <c r="AC137" t="str">
        <f t="shared" ca="1" si="26"/>
        <v/>
      </c>
      <c r="AD137" t="str">
        <f t="shared" ca="1" si="27"/>
        <v/>
      </c>
    </row>
    <row r="138" spans="1:30">
      <c r="A138" s="180">
        <f ca="1">'PRICE_IOF Ñ USAR'!A138</f>
        <v>120</v>
      </c>
      <c r="B138" s="179">
        <f ca="1">'PRICE_IOF Ñ USAR'!B138</f>
        <v>48375</v>
      </c>
      <c r="C138" s="177">
        <f t="shared" ca="1" si="28"/>
        <v>776.27464183147163</v>
      </c>
      <c r="D138" s="24">
        <f t="shared" ca="1" si="37"/>
        <v>1330.0958467915145</v>
      </c>
      <c r="E138" s="177">
        <f t="shared" ca="1" si="29"/>
        <v>143799.36062411056</v>
      </c>
      <c r="F138" s="178">
        <f t="shared" ca="1" si="30"/>
        <v>30.360883405847826</v>
      </c>
      <c r="G138" s="178">
        <f t="shared" ca="1" si="31"/>
        <v>26.319999999999997</v>
      </c>
      <c r="H138" s="177">
        <f t="shared" ca="1" si="32"/>
        <v>25</v>
      </c>
      <c r="I138" s="25">
        <f t="shared" ca="1" si="33"/>
        <v>2188.0513720288341</v>
      </c>
      <c r="J138" s="9" t="str">
        <f ca="1">'PRICE_IOF Ñ USAR'!J138</f>
        <v/>
      </c>
      <c r="K138" s="9" t="str">
        <f ca="1">'PRICE_IOF Ñ USAR'!K138</f>
        <v/>
      </c>
      <c r="L138" s="9">
        <f ca="1">'PRICE_IOF Ñ USAR'!L138</f>
        <v>6</v>
      </c>
      <c r="N138" s="176">
        <f t="shared" ca="1" si="34"/>
        <v>31</v>
      </c>
      <c r="O138" s="176">
        <f t="shared" ca="1" si="38"/>
        <v>3647</v>
      </c>
      <c r="P138" s="175">
        <f t="shared" ca="1" si="21"/>
        <v>3075.963386151649</v>
      </c>
      <c r="Q138" s="11">
        <f t="shared" ca="1" si="22"/>
        <v>2.9930000000000002E-2</v>
      </c>
      <c r="R138" s="12">
        <f t="shared" ca="1" si="23"/>
        <v>92.063584147518867</v>
      </c>
      <c r="S138" s="513"/>
      <c r="U138" s="31">
        <f t="shared" ca="1" si="39"/>
        <v>2106.3704886229862</v>
      </c>
      <c r="V138" s="31">
        <f t="shared" ca="1" si="40"/>
        <v>2188.0513720288341</v>
      </c>
      <c r="X138" s="58">
        <f t="shared" ca="1" si="24"/>
        <v>120</v>
      </c>
      <c r="Y138" s="61">
        <f t="shared" ca="1" si="25"/>
        <v>48375</v>
      </c>
      <c r="Z138" s="31">
        <f t="shared" ca="1" si="35"/>
        <v>3075.963386151649</v>
      </c>
      <c r="AA138" s="31">
        <f t="shared" ca="1" si="41"/>
        <v>-252.16670536432358</v>
      </c>
      <c r="AB138" s="31">
        <f t="shared" ca="1" si="36"/>
        <v>-30485.387833953249</v>
      </c>
      <c r="AC138" t="str">
        <f t="shared" ca="1" si="26"/>
        <v/>
      </c>
      <c r="AD138" t="str">
        <f t="shared" ca="1" si="27"/>
        <v/>
      </c>
    </row>
    <row r="139" spans="1:30">
      <c r="A139" s="180">
        <f ca="1">'PRICE_IOF Ñ USAR'!A139</f>
        <v>121</v>
      </c>
      <c r="B139" s="179">
        <f ca="1">'PRICE_IOF Ñ USAR'!B139</f>
        <v>48405</v>
      </c>
      <c r="C139" s="177">
        <f t="shared" ca="1" si="28"/>
        <v>783.41636854891135</v>
      </c>
      <c r="D139" s="24">
        <f t="shared" ca="1" si="37"/>
        <v>1322.9541200740748</v>
      </c>
      <c r="E139" s="177">
        <f t="shared" ca="1" si="29"/>
        <v>143015.94425556166</v>
      </c>
      <c r="F139" s="178">
        <f t="shared" ca="1" si="30"/>
        <v>30.197865731063217</v>
      </c>
      <c r="G139" s="178">
        <f t="shared" ca="1" si="31"/>
        <v>26.319999999999997</v>
      </c>
      <c r="H139" s="177">
        <f t="shared" ca="1" si="32"/>
        <v>25</v>
      </c>
      <c r="I139" s="25">
        <f t="shared" ca="1" si="33"/>
        <v>2187.8883543540496</v>
      </c>
      <c r="J139" s="9" t="str">
        <f ca="1">'PRICE_IOF Ñ USAR'!J139</f>
        <v/>
      </c>
      <c r="K139" s="9" t="str">
        <f ca="1">'PRICE_IOF Ñ USAR'!K139</f>
        <v/>
      </c>
      <c r="L139" s="9">
        <f ca="1">'PRICE_IOF Ñ USAR'!L139</f>
        <v>7</v>
      </c>
      <c r="N139" s="176">
        <f t="shared" ca="1" si="34"/>
        <v>30</v>
      </c>
      <c r="O139" s="176">
        <f t="shared" ca="1" si="38"/>
        <v>3677</v>
      </c>
      <c r="P139" s="175">
        <f t="shared" ca="1" si="21"/>
        <v>3104.2622493541326</v>
      </c>
      <c r="Q139" s="11">
        <f t="shared" ca="1" si="22"/>
        <v>2.9930000000000002E-2</v>
      </c>
      <c r="R139" s="12">
        <f t="shared" ca="1" si="23"/>
        <v>92.910569123169196</v>
      </c>
      <c r="S139" s="513"/>
      <c r="U139" s="31">
        <f t="shared" ca="1" si="39"/>
        <v>2106.3704886229862</v>
      </c>
      <c r="V139" s="31">
        <f t="shared" ca="1" si="40"/>
        <v>2187.8883543540496</v>
      </c>
      <c r="X139" s="58">
        <f t="shared" ca="1" si="24"/>
        <v>121</v>
      </c>
      <c r="Y139" s="61">
        <f t="shared" ca="1" si="25"/>
        <v>48405</v>
      </c>
      <c r="Z139" s="31">
        <f t="shared" ca="1" si="35"/>
        <v>3104.2622493541326</v>
      </c>
      <c r="AA139" s="31">
        <f t="shared" ca="1" si="41"/>
        <v>-280.46556856680729</v>
      </c>
      <c r="AB139" s="31">
        <f t="shared" ca="1" si="36"/>
        <v>-33589.650083307381</v>
      </c>
      <c r="AC139" t="str">
        <f t="shared" ca="1" si="26"/>
        <v/>
      </c>
      <c r="AD139" t="str">
        <f t="shared" ca="1" si="27"/>
        <v/>
      </c>
    </row>
    <row r="140" spans="1:30">
      <c r="A140" s="180">
        <f ca="1">'PRICE_IOF Ñ USAR'!A140</f>
        <v>122</v>
      </c>
      <c r="B140" s="179">
        <f ca="1">'PRICE_IOF Ñ USAR'!B140</f>
        <v>48436</v>
      </c>
      <c r="C140" s="177">
        <f t="shared" ca="1" si="28"/>
        <v>790.62379915226734</v>
      </c>
      <c r="D140" s="24">
        <f t="shared" ca="1" si="37"/>
        <v>1315.7466894707188</v>
      </c>
      <c r="E140" s="177">
        <f t="shared" ca="1" si="29"/>
        <v>142225.32045640939</v>
      </c>
      <c r="F140" s="178">
        <f t="shared" ca="1" si="30"/>
        <v>30.033348293667949</v>
      </c>
      <c r="G140" s="178">
        <f t="shared" ca="1" si="31"/>
        <v>26.319999999999997</v>
      </c>
      <c r="H140" s="177">
        <f t="shared" ca="1" si="32"/>
        <v>25</v>
      </c>
      <c r="I140" s="25">
        <f t="shared" ca="1" si="33"/>
        <v>2187.7238369166544</v>
      </c>
      <c r="J140" s="9" t="str">
        <f ca="1">'PRICE_IOF Ñ USAR'!J140</f>
        <v/>
      </c>
      <c r="K140" s="9" t="str">
        <f ca="1">'PRICE_IOF Ñ USAR'!K140</f>
        <v/>
      </c>
      <c r="L140" s="9">
        <f ca="1">'PRICE_IOF Ñ USAR'!L140</f>
        <v>8</v>
      </c>
      <c r="N140" s="176">
        <f t="shared" ca="1" si="34"/>
        <v>31</v>
      </c>
      <c r="O140" s="176">
        <f t="shared" ca="1" si="38"/>
        <v>3708</v>
      </c>
      <c r="P140" s="175">
        <f t="shared" ca="1" si="21"/>
        <v>3132.8214620985382</v>
      </c>
      <c r="Q140" s="11">
        <f t="shared" ca="1" si="22"/>
        <v>2.9930000000000002E-2</v>
      </c>
      <c r="R140" s="12">
        <f t="shared" ca="1" si="23"/>
        <v>93.765346360609257</v>
      </c>
      <c r="S140" s="513"/>
      <c r="U140" s="31">
        <f t="shared" ca="1" si="39"/>
        <v>2106.3704886229862</v>
      </c>
      <c r="V140" s="31">
        <f t="shared" ca="1" si="40"/>
        <v>2187.7238369166544</v>
      </c>
      <c r="X140" s="58">
        <f t="shared" ca="1" si="24"/>
        <v>122</v>
      </c>
      <c r="Y140" s="61">
        <f t="shared" ca="1" si="25"/>
        <v>48436</v>
      </c>
      <c r="Z140" s="31">
        <f t="shared" ca="1" si="35"/>
        <v>3132.8214620985382</v>
      </c>
      <c r="AA140" s="31">
        <f t="shared" ca="1" si="41"/>
        <v>-309.02478131121279</v>
      </c>
      <c r="AB140" s="31">
        <f t="shared" ca="1" si="36"/>
        <v>-36722.471545405919</v>
      </c>
      <c r="AC140" t="str">
        <f t="shared" ca="1" si="26"/>
        <v/>
      </c>
      <c r="AD140" t="str">
        <f t="shared" ca="1" si="27"/>
        <v/>
      </c>
    </row>
    <row r="141" spans="1:30">
      <c r="A141" s="180">
        <f ca="1">'PRICE_IOF Ñ USAR'!A141</f>
        <v>123</v>
      </c>
      <c r="B141" s="179">
        <f ca="1">'PRICE_IOF Ñ USAR'!B141</f>
        <v>48467</v>
      </c>
      <c r="C141" s="177">
        <f t="shared" ca="1" si="28"/>
        <v>797.89753811729133</v>
      </c>
      <c r="D141" s="24">
        <f t="shared" ca="1" si="37"/>
        <v>1308.4729505056948</v>
      </c>
      <c r="E141" s="177">
        <f t="shared" ca="1" si="29"/>
        <v>141427.42291829211</v>
      </c>
      <c r="F141" s="178">
        <f t="shared" ca="1" si="30"/>
        <v>29.867317295845972</v>
      </c>
      <c r="G141" s="178">
        <f t="shared" ca="1" si="31"/>
        <v>26.319999999999997</v>
      </c>
      <c r="H141" s="177">
        <f t="shared" ca="1" si="32"/>
        <v>25</v>
      </c>
      <c r="I141" s="25">
        <f t="shared" ca="1" si="33"/>
        <v>2187.5578059188324</v>
      </c>
      <c r="J141" s="9" t="str">
        <f ca="1">'PRICE_IOF Ñ USAR'!J141</f>
        <v/>
      </c>
      <c r="K141" s="9" t="str">
        <f ca="1">'PRICE_IOF Ñ USAR'!K141</f>
        <v/>
      </c>
      <c r="L141" s="9">
        <f ca="1">'PRICE_IOF Ñ USAR'!L141</f>
        <v>9</v>
      </c>
      <c r="N141" s="176">
        <f t="shared" ca="1" si="34"/>
        <v>31</v>
      </c>
      <c r="O141" s="176">
        <f t="shared" ca="1" si="38"/>
        <v>3739</v>
      </c>
      <c r="P141" s="175">
        <f t="shared" ca="1" si="21"/>
        <v>3161.6434196006553</v>
      </c>
      <c r="Q141" s="11">
        <f t="shared" ca="1" si="22"/>
        <v>2.9930000000000002E-2</v>
      </c>
      <c r="R141" s="12">
        <f t="shared" ca="1" si="23"/>
        <v>94.627987548647624</v>
      </c>
      <c r="S141" s="513"/>
      <c r="U141" s="31">
        <f t="shared" ca="1" si="39"/>
        <v>2106.3704886229862</v>
      </c>
      <c r="V141" s="31">
        <f t="shared" ca="1" si="40"/>
        <v>2187.5578059188324</v>
      </c>
      <c r="X141" s="58">
        <f t="shared" ca="1" si="24"/>
        <v>123</v>
      </c>
      <c r="Y141" s="61">
        <f t="shared" ca="1" si="25"/>
        <v>48467</v>
      </c>
      <c r="Z141" s="31">
        <f t="shared" ca="1" si="35"/>
        <v>3161.6434196006553</v>
      </c>
      <c r="AA141" s="31">
        <f t="shared" ca="1" si="41"/>
        <v>-337.84673881333003</v>
      </c>
      <c r="AB141" s="31">
        <f t="shared" ca="1" si="36"/>
        <v>-39884.114965006571</v>
      </c>
      <c r="AC141" t="str">
        <f t="shared" ca="1" si="26"/>
        <v/>
      </c>
      <c r="AD141" t="str">
        <f t="shared" ca="1" si="27"/>
        <v/>
      </c>
    </row>
    <row r="142" spans="1:30">
      <c r="A142" s="180">
        <f ca="1">'PRICE_IOF Ñ USAR'!A142</f>
        <v>124</v>
      </c>
      <c r="B142" s="179">
        <f ca="1">'PRICE_IOF Ñ USAR'!B142</f>
        <v>48497</v>
      </c>
      <c r="C142" s="177">
        <f t="shared" ca="1" si="28"/>
        <v>805.23819548091114</v>
      </c>
      <c r="D142" s="24">
        <f t="shared" ca="1" si="37"/>
        <v>1301.132293142075</v>
      </c>
      <c r="E142" s="177">
        <f t="shared" ca="1" si="29"/>
        <v>140622.18472281119</v>
      </c>
      <c r="F142" s="178">
        <f t="shared" ca="1" si="30"/>
        <v>29.699758812841345</v>
      </c>
      <c r="G142" s="178">
        <f t="shared" ca="1" si="31"/>
        <v>26.319999999999997</v>
      </c>
      <c r="H142" s="177">
        <f t="shared" ca="1" si="32"/>
        <v>25</v>
      </c>
      <c r="I142" s="25">
        <f t="shared" ca="1" si="33"/>
        <v>2187.3902474358279</v>
      </c>
      <c r="J142" s="9" t="str">
        <f ca="1">'PRICE_IOF Ñ USAR'!J142</f>
        <v/>
      </c>
      <c r="K142" s="9" t="str">
        <f ca="1">'PRICE_IOF Ñ USAR'!K142</f>
        <v/>
      </c>
      <c r="L142" s="9">
        <f ca="1">'PRICE_IOF Ñ USAR'!L142</f>
        <v>10</v>
      </c>
      <c r="N142" s="176">
        <f t="shared" ca="1" si="34"/>
        <v>30</v>
      </c>
      <c r="O142" s="176">
        <f t="shared" ca="1" si="38"/>
        <v>3769</v>
      </c>
      <c r="P142" s="175">
        <f t="shared" ca="1" si="21"/>
        <v>3190.7305391122595</v>
      </c>
      <c r="Q142" s="11">
        <f t="shared" ca="1" si="22"/>
        <v>2.9930000000000002E-2</v>
      </c>
      <c r="R142" s="12">
        <f t="shared" ca="1" si="23"/>
        <v>95.498565035629937</v>
      </c>
      <c r="S142" s="513"/>
      <c r="U142" s="31">
        <f t="shared" ca="1" si="39"/>
        <v>2106.3704886229862</v>
      </c>
      <c r="V142" s="31">
        <f t="shared" ca="1" si="40"/>
        <v>2187.3902474358279</v>
      </c>
      <c r="X142" s="58">
        <f t="shared" ca="1" si="24"/>
        <v>124</v>
      </c>
      <c r="Y142" s="61">
        <f t="shared" ca="1" si="25"/>
        <v>48497</v>
      </c>
      <c r="Z142" s="31">
        <f t="shared" ca="1" si="35"/>
        <v>3190.7305391122595</v>
      </c>
      <c r="AA142" s="31">
        <f t="shared" ca="1" si="41"/>
        <v>-366.93385832493419</v>
      </c>
      <c r="AB142" s="31">
        <f t="shared" ca="1" si="36"/>
        <v>-43074.845504118828</v>
      </c>
      <c r="AC142" t="str">
        <f t="shared" ca="1" si="26"/>
        <v/>
      </c>
      <c r="AD142" t="str">
        <f t="shared" ca="1" si="27"/>
        <v/>
      </c>
    </row>
    <row r="143" spans="1:30">
      <c r="A143" s="180">
        <f ca="1">'PRICE_IOF Ñ USAR'!A143</f>
        <v>125</v>
      </c>
      <c r="B143" s="179">
        <f ca="1">'PRICE_IOF Ñ USAR'!B143</f>
        <v>48528</v>
      </c>
      <c r="C143" s="177">
        <f t="shared" ca="1" si="28"/>
        <v>812.64638689239564</v>
      </c>
      <c r="D143" s="24">
        <f t="shared" ca="1" si="37"/>
        <v>1293.7241017305905</v>
      </c>
      <c r="E143" s="177">
        <f t="shared" ca="1" si="29"/>
        <v>139809.5383359188</v>
      </c>
      <c r="F143" s="178">
        <f t="shared" ca="1" si="30"/>
        <v>29.530658791790351</v>
      </c>
      <c r="G143" s="178">
        <f t="shared" ca="1" si="31"/>
        <v>26.319999999999997</v>
      </c>
      <c r="H143" s="177">
        <f t="shared" ca="1" si="32"/>
        <v>25</v>
      </c>
      <c r="I143" s="25">
        <f t="shared" ca="1" si="33"/>
        <v>2187.2211474147766</v>
      </c>
      <c r="J143" s="9" t="str">
        <f ca="1">'PRICE_IOF Ñ USAR'!J143</f>
        <v/>
      </c>
      <c r="K143" s="9" t="str">
        <f ca="1">'PRICE_IOF Ñ USAR'!K143</f>
        <v/>
      </c>
      <c r="L143" s="9">
        <f ca="1">'PRICE_IOF Ñ USAR'!L143</f>
        <v>11</v>
      </c>
      <c r="N143" s="176">
        <f t="shared" ca="1" si="34"/>
        <v>31</v>
      </c>
      <c r="O143" s="176">
        <f t="shared" ca="1" si="38"/>
        <v>3800</v>
      </c>
      <c r="P143" s="175">
        <f t="shared" ca="1" si="21"/>
        <v>3220.0852601238421</v>
      </c>
      <c r="Q143" s="11">
        <f t="shared" ca="1" si="22"/>
        <v>2.9930000000000002E-2</v>
      </c>
      <c r="R143" s="12">
        <f t="shared" ca="1" si="23"/>
        <v>96.377151835506595</v>
      </c>
      <c r="S143" s="513"/>
      <c r="U143" s="31">
        <f t="shared" ca="1" si="39"/>
        <v>2106.3704886229862</v>
      </c>
      <c r="V143" s="31">
        <f t="shared" ca="1" si="40"/>
        <v>2187.2211474147766</v>
      </c>
      <c r="X143" s="58">
        <f t="shared" ca="1" si="24"/>
        <v>125</v>
      </c>
      <c r="Y143" s="61">
        <f t="shared" ca="1" si="25"/>
        <v>48528</v>
      </c>
      <c r="Z143" s="31">
        <f t="shared" ca="1" si="35"/>
        <v>3220.0852601238421</v>
      </c>
      <c r="AA143" s="31">
        <f t="shared" ca="1" si="41"/>
        <v>-396.28857933651688</v>
      </c>
      <c r="AB143" s="31">
        <f t="shared" ca="1" si="36"/>
        <v>-46294.930764242672</v>
      </c>
      <c r="AC143" t="str">
        <f t="shared" ca="1" si="26"/>
        <v/>
      </c>
      <c r="AD143" t="str">
        <f t="shared" ca="1" si="27"/>
        <v/>
      </c>
    </row>
    <row r="144" spans="1:30">
      <c r="A144" s="180">
        <f ca="1">'PRICE_IOF Ñ USAR'!A144</f>
        <v>126</v>
      </c>
      <c r="B144" s="179">
        <f ca="1">'PRICE_IOF Ñ USAR'!B144</f>
        <v>48558</v>
      </c>
      <c r="C144" s="177">
        <f t="shared" ca="1" si="28"/>
        <v>820.12273366498584</v>
      </c>
      <c r="D144" s="24">
        <f t="shared" ca="1" si="37"/>
        <v>1286.2477549580003</v>
      </c>
      <c r="E144" s="177">
        <f t="shared" ca="1" si="29"/>
        <v>138989.41560225381</v>
      </c>
      <c r="F144" s="178">
        <f t="shared" ca="1" si="30"/>
        <v>29.36000305054295</v>
      </c>
      <c r="G144" s="178">
        <f t="shared" ca="1" si="31"/>
        <v>26.319999999999997</v>
      </c>
      <c r="H144" s="177">
        <f t="shared" ca="1" si="32"/>
        <v>25</v>
      </c>
      <c r="I144" s="25">
        <f t="shared" ca="1" si="33"/>
        <v>2187.0504916735295</v>
      </c>
      <c r="J144" s="9" t="str">
        <f ca="1">'PRICE_IOF Ñ USAR'!J144</f>
        <v/>
      </c>
      <c r="K144" s="9" t="str">
        <f ca="1">'PRICE_IOF Ñ USAR'!K144</f>
        <v/>
      </c>
      <c r="L144" s="9">
        <f ca="1">'PRICE_IOF Ñ USAR'!L144</f>
        <v>12</v>
      </c>
      <c r="N144" s="176">
        <f t="shared" ca="1" si="34"/>
        <v>30</v>
      </c>
      <c r="O144" s="176">
        <f t="shared" ca="1" si="38"/>
        <v>3830</v>
      </c>
      <c r="P144" s="175">
        <f t="shared" ca="1" si="21"/>
        <v>3249.7100445692076</v>
      </c>
      <c r="Q144" s="11">
        <f t="shared" ca="1" si="22"/>
        <v>2.9930000000000002E-2</v>
      </c>
      <c r="R144" s="12">
        <f t="shared" ca="1" si="23"/>
        <v>97.263821633956397</v>
      </c>
      <c r="S144" s="513"/>
      <c r="U144" s="31">
        <f t="shared" ca="1" si="39"/>
        <v>2106.3704886229862</v>
      </c>
      <c r="V144" s="31">
        <f t="shared" ca="1" si="40"/>
        <v>2187.0504916735295</v>
      </c>
      <c r="X144" s="58">
        <f t="shared" ca="1" si="24"/>
        <v>126</v>
      </c>
      <c r="Y144" s="61">
        <f t="shared" ca="1" si="25"/>
        <v>48558</v>
      </c>
      <c r="Z144" s="31">
        <f t="shared" ca="1" si="35"/>
        <v>3249.7100445692076</v>
      </c>
      <c r="AA144" s="31">
        <f t="shared" ca="1" si="41"/>
        <v>-425.91336378188225</v>
      </c>
      <c r="AB144" s="31">
        <f t="shared" ca="1" si="36"/>
        <v>-49544.640808811877</v>
      </c>
      <c r="AC144" t="str">
        <f t="shared" ca="1" si="26"/>
        <v/>
      </c>
      <c r="AD144" t="str">
        <f t="shared" ca="1" si="27"/>
        <v/>
      </c>
    </row>
    <row r="145" spans="1:30">
      <c r="A145" s="180">
        <f ca="1">'PRICE_IOF Ñ USAR'!A145</f>
        <v>127</v>
      </c>
      <c r="B145" s="179">
        <f ca="1">'PRICE_IOF Ñ USAR'!B145</f>
        <v>48589</v>
      </c>
      <c r="C145" s="177">
        <f t="shared" ca="1" si="28"/>
        <v>827.66786282800513</v>
      </c>
      <c r="D145" s="24">
        <f t="shared" ca="1" si="37"/>
        <v>1278.702625794981</v>
      </c>
      <c r="E145" s="177">
        <f t="shared" ca="1" si="29"/>
        <v>138161.7477394258</v>
      </c>
      <c r="F145" s="178">
        <f t="shared" ca="1" si="30"/>
        <v>29.187777276473302</v>
      </c>
      <c r="G145" s="178">
        <f t="shared" ca="1" si="31"/>
        <v>26.319999999999997</v>
      </c>
      <c r="H145" s="177">
        <f t="shared" ca="1" si="32"/>
        <v>25</v>
      </c>
      <c r="I145" s="25">
        <f t="shared" ca="1" si="33"/>
        <v>2186.8782658994596</v>
      </c>
      <c r="J145" s="9" t="str">
        <f ca="1">'PRICE_IOF Ñ USAR'!J145</f>
        <v/>
      </c>
      <c r="K145" s="9" t="str">
        <f ca="1">'PRICE_IOF Ñ USAR'!K145</f>
        <v/>
      </c>
      <c r="L145" s="9">
        <f ca="1">'PRICE_IOF Ñ USAR'!L145</f>
        <v>1</v>
      </c>
      <c r="N145" s="176">
        <f t="shared" ca="1" si="34"/>
        <v>31</v>
      </c>
      <c r="O145" s="176">
        <f t="shared" ca="1" si="38"/>
        <v>3861</v>
      </c>
      <c r="P145" s="175">
        <f t="shared" ca="1" si="21"/>
        <v>3279.6073770319508</v>
      </c>
      <c r="Q145" s="11">
        <f t="shared" ca="1" si="22"/>
        <v>2.9930000000000002E-2</v>
      </c>
      <c r="R145" s="12">
        <f t="shared" ca="1" si="23"/>
        <v>98.15864879456629</v>
      </c>
      <c r="S145" s="513"/>
      <c r="U145" s="31">
        <f t="shared" ca="1" si="39"/>
        <v>2106.3704886229862</v>
      </c>
      <c r="V145" s="31">
        <f t="shared" ca="1" si="40"/>
        <v>2186.8782658994596</v>
      </c>
      <c r="X145" s="58">
        <f t="shared" ca="1" si="24"/>
        <v>127</v>
      </c>
      <c r="Y145" s="61">
        <f t="shared" ca="1" si="25"/>
        <v>48589</v>
      </c>
      <c r="Z145" s="31">
        <f t="shared" ca="1" si="35"/>
        <v>3279.6073770319508</v>
      </c>
      <c r="AA145" s="31">
        <f t="shared" ca="1" si="41"/>
        <v>-455.81069624462543</v>
      </c>
      <c r="AB145" s="31">
        <f t="shared" ca="1" si="36"/>
        <v>-52824.248185843826</v>
      </c>
      <c r="AC145" t="str">
        <f t="shared" ca="1" si="26"/>
        <v/>
      </c>
      <c r="AD145" t="str">
        <f t="shared" ca="1" si="27"/>
        <v/>
      </c>
    </row>
    <row r="146" spans="1:30">
      <c r="A146" s="180">
        <f ca="1">'PRICE_IOF Ñ USAR'!A146</f>
        <v>128</v>
      </c>
      <c r="B146" s="179">
        <f ca="1">'PRICE_IOF Ñ USAR'!B146</f>
        <v>48620</v>
      </c>
      <c r="C146" s="177">
        <f t="shared" ca="1" si="28"/>
        <v>835.28240717944664</v>
      </c>
      <c r="D146" s="24">
        <f t="shared" ca="1" si="37"/>
        <v>1271.0880814435395</v>
      </c>
      <c r="E146" s="177">
        <f t="shared" ca="1" si="29"/>
        <v>137326.46533224636</v>
      </c>
      <c r="F146" s="178">
        <f t="shared" ca="1" si="30"/>
        <v>29.01396702527942</v>
      </c>
      <c r="G146" s="178">
        <f t="shared" ca="1" si="31"/>
        <v>26.319999999999997</v>
      </c>
      <c r="H146" s="177">
        <f t="shared" ca="1" si="32"/>
        <v>25</v>
      </c>
      <c r="I146" s="25">
        <f t="shared" ca="1" si="33"/>
        <v>2186.7044556482656</v>
      </c>
      <c r="J146" s="9" t="str">
        <f ca="1">'PRICE_IOF Ñ USAR'!J146</f>
        <v/>
      </c>
      <c r="K146" s="9" t="str">
        <f ca="1">'PRICE_IOF Ñ USAR'!K146</f>
        <v/>
      </c>
      <c r="L146" s="9">
        <f ca="1">'PRICE_IOF Ñ USAR'!L146</f>
        <v>2</v>
      </c>
      <c r="N146" s="176">
        <f t="shared" ca="1" si="34"/>
        <v>31</v>
      </c>
      <c r="O146" s="176">
        <f t="shared" ca="1" si="38"/>
        <v>3892</v>
      </c>
      <c r="P146" s="175">
        <f t="shared" ref="P146:P209" ca="1" si="42">IF(A146&lt;&gt;"",Z146,"")</f>
        <v>3309.7797649538361</v>
      </c>
      <c r="Q146" s="11">
        <f t="shared" ref="Q146:Q209" ca="1" si="43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ca="1" si="44">IFERROR(Q146*P146,"")</f>
        <v>99.061708365068327</v>
      </c>
      <c r="S146" s="513"/>
      <c r="U146" s="31">
        <f t="shared" ca="1" si="39"/>
        <v>2106.3704886229862</v>
      </c>
      <c r="V146" s="31">
        <f t="shared" ca="1" si="40"/>
        <v>2186.7044556482656</v>
      </c>
      <c r="X146" s="58">
        <f t="shared" ref="X146:X209" ca="1" si="45">A146</f>
        <v>128</v>
      </c>
      <c r="Y146" s="61">
        <f t="shared" ref="Y146:Y209" ca="1" si="46">B146</f>
        <v>48620</v>
      </c>
      <c r="Z146" s="31">
        <f t="shared" ca="1" si="35"/>
        <v>3309.7797649538361</v>
      </c>
      <c r="AA146" s="31">
        <f t="shared" ca="1" si="41"/>
        <v>-485.98308416651076</v>
      </c>
      <c r="AB146" s="31">
        <f t="shared" ca="1" si="36"/>
        <v>-56134.027950797659</v>
      </c>
      <c r="AC146" t="str">
        <f t="shared" ref="AC146:AC209" ca="1" si="47">J146</f>
        <v/>
      </c>
      <c r="AD146" t="str">
        <f t="shared" ref="AD146:AD209" ca="1" si="48">K146</f>
        <v/>
      </c>
    </row>
    <row r="147" spans="1:30">
      <c r="A147" s="180">
        <f ca="1">'PRICE_IOF Ñ USAR'!A147</f>
        <v>129</v>
      </c>
      <c r="B147" s="179">
        <f ca="1">'PRICE_IOF Ñ USAR'!B147</f>
        <v>48648</v>
      </c>
      <c r="C147" s="177">
        <f t="shared" ref="C147:C210" ca="1" si="49">IFERROR(IF(OR(J147="Carencia",K147="Pula"),0,$I$13-D147),"")</f>
        <v>842.96700533904482</v>
      </c>
      <c r="D147" s="24">
        <f t="shared" ca="1" si="37"/>
        <v>1263.4034832839413</v>
      </c>
      <c r="E147" s="177">
        <f t="shared" ref="E147:E210" ca="1" si="50">IFERROR(IF(OR(J147="Carencia",K147="Pula"),E146+D147+SUM(F147:H147),(E146-C147)),"")</f>
        <v>136483.49832690731</v>
      </c>
      <c r="F147" s="178">
        <f t="shared" ref="F147:F210" ca="1" si="51">IFERROR(IF(OR(AND(DAY(B147)=DAY(B146),MONTH(B147)&lt;&gt;MONTH(B146)),MONTH(B147)&lt;&gt;MONTH(B146)),IF(K147="Pula",0,E146*$I$7),""),"")</f>
        <v>28.838557719771735</v>
      </c>
      <c r="G147" s="178">
        <f t="shared" ref="G147:G210" ca="1" si="52">IFERROR(IF(OR(AND(DAY(B147)=DAY(B146),MONTH(B147)&lt;&gt;MONTH(B146)),MONTH(B147)&lt;&gt;MONTH(B146)),IF(K147="Pula",0,$C$11*$I$8),0),"")</f>
        <v>26.319999999999997</v>
      </c>
      <c r="H147" s="177">
        <f t="shared" ref="H147:H210" ca="1" si="53">IFERROR(IF(OR(AND(DAY(B147)=DAY(B146),MONTH(B147)&lt;&gt;MONTH(B146)),MONTH(B147)&lt;&gt;MONTH(B146)),IF(K147="Pula",0,$I$10),0),"")</f>
        <v>25</v>
      </c>
      <c r="I147" s="25">
        <f t="shared" ref="I147:I210" ca="1" si="54">IFERROR(IF(OR(J147="Carencia",K147="Pula"),0,SUM(C147:D147,F147:H147)),"")</f>
        <v>2186.5290463427582</v>
      </c>
      <c r="J147" s="9" t="str">
        <f ca="1">'PRICE_IOF Ñ USAR'!J147</f>
        <v/>
      </c>
      <c r="K147" s="9" t="str">
        <f ca="1">'PRICE_IOF Ñ USAR'!K147</f>
        <v/>
      </c>
      <c r="L147" s="9">
        <f ca="1">'PRICE_IOF Ñ USAR'!L147</f>
        <v>3</v>
      </c>
      <c r="N147" s="176">
        <f t="shared" ref="N147:N210" ca="1" si="55">IFERROR(B147-B146,"")</f>
        <v>28</v>
      </c>
      <c r="O147" s="176">
        <f t="shared" ca="1" si="38"/>
        <v>3920</v>
      </c>
      <c r="P147" s="175">
        <f t="shared" ca="1" si="42"/>
        <v>3340.2297388450925</v>
      </c>
      <c r="Q147" s="11">
        <f t="shared" ca="1" si="43"/>
        <v>2.9930000000000002E-2</v>
      </c>
      <c r="R147" s="12">
        <f t="shared" ca="1" si="44"/>
        <v>99.973076083633629</v>
      </c>
      <c r="S147" s="513"/>
      <c r="U147" s="31">
        <f t="shared" ca="1" si="39"/>
        <v>2106.3704886229862</v>
      </c>
      <c r="V147" s="31">
        <f t="shared" ca="1" si="40"/>
        <v>2186.5290463427582</v>
      </c>
      <c r="X147" s="58">
        <f t="shared" ca="1" si="45"/>
        <v>129</v>
      </c>
      <c r="Y147" s="61">
        <f t="shared" ca="1" si="46"/>
        <v>48648</v>
      </c>
      <c r="Z147" s="31">
        <f t="shared" ref="Z147:Z210" ca="1" si="56">IFERROR(IF(OR(AC147="Carencia",AD147="Pula"),0,$L$7-AA147),"")</f>
        <v>3340.2297388450925</v>
      </c>
      <c r="AA147" s="31">
        <f t="shared" ca="1" si="41"/>
        <v>-516.43305805776686</v>
      </c>
      <c r="AB147" s="31">
        <f t="shared" ref="AB147:AB210" ca="1" si="57">IFERROR(IF(OR(AC147="Carencia",AD147="Pula"),AB146,(AB146-Z147)),"")</f>
        <v>-59474.257689642749</v>
      </c>
      <c r="AC147" t="str">
        <f t="shared" ca="1" si="47"/>
        <v/>
      </c>
      <c r="AD147" t="str">
        <f t="shared" ca="1" si="48"/>
        <v/>
      </c>
    </row>
    <row r="148" spans="1:30">
      <c r="A148" s="180">
        <f ca="1">'PRICE_IOF Ñ USAR'!A148</f>
        <v>130</v>
      </c>
      <c r="B148" s="179">
        <f ca="1">'PRICE_IOF Ñ USAR'!B148</f>
        <v>48679</v>
      </c>
      <c r="C148" s="177">
        <f t="shared" ca="1" si="49"/>
        <v>850.72230180183601</v>
      </c>
      <c r="D148" s="24">
        <f t="shared" ref="D148:D211" ca="1" si="58">IFERROR(IF(DAY(B148)=DAY(B147),IF(K148="Pula",0,($D$9)*E147),IF(AND(K148="Pula",J148=""),0,IF(AND($F$3=30,OR(AND(DAY(B147)=28,MONTH(B147)=2),AND(DAY(B147)=29,MONTH(B147)=2))),$D$9*E147,$D$9*E147))),"")</f>
        <v>1255.6481868211501</v>
      </c>
      <c r="E148" s="177">
        <f t="shared" ca="1" si="50"/>
        <v>135632.77602510547</v>
      </c>
      <c r="F148" s="178">
        <f t="shared" ca="1" si="51"/>
        <v>28.661534648650537</v>
      </c>
      <c r="G148" s="178">
        <f t="shared" ca="1" si="52"/>
        <v>26.319999999999997</v>
      </c>
      <c r="H148" s="177">
        <f t="shared" ca="1" si="53"/>
        <v>25</v>
      </c>
      <c r="I148" s="25">
        <f t="shared" ca="1" si="54"/>
        <v>2186.3520232716369</v>
      </c>
      <c r="J148" s="9" t="str">
        <f ca="1">'PRICE_IOF Ñ USAR'!J148</f>
        <v/>
      </c>
      <c r="K148" s="9" t="str">
        <f ca="1">'PRICE_IOF Ñ USAR'!K148</f>
        <v/>
      </c>
      <c r="L148" s="9">
        <f ca="1">'PRICE_IOF Ñ USAR'!L148</f>
        <v>4</v>
      </c>
      <c r="N148" s="176">
        <f t="shared" ca="1" si="55"/>
        <v>31</v>
      </c>
      <c r="O148" s="176">
        <f t="shared" ref="O148:O211" ca="1" si="59">IFERROR(N148+O147,"")</f>
        <v>3951</v>
      </c>
      <c r="P148" s="175">
        <f t="shared" ca="1" si="42"/>
        <v>3370.9598524966418</v>
      </c>
      <c r="Q148" s="11">
        <f t="shared" ca="1" si="43"/>
        <v>2.9930000000000002E-2</v>
      </c>
      <c r="R148" s="12">
        <f t="shared" ca="1" si="44"/>
        <v>100.89282838522449</v>
      </c>
      <c r="S148" s="513"/>
      <c r="U148" s="31">
        <f t="shared" ref="U148:U211" ca="1" si="60">IFERROR(IF(OR(J148="Carencia",K148="Pula"),0,C148+D148),"")</f>
        <v>2106.3704886229862</v>
      </c>
      <c r="V148" s="31">
        <f t="shared" ref="V148:V211" ca="1" si="61">IFERROR(I148,0)</f>
        <v>2186.3520232716369</v>
      </c>
      <c r="X148" s="58">
        <f t="shared" ca="1" si="45"/>
        <v>130</v>
      </c>
      <c r="Y148" s="61">
        <f t="shared" ca="1" si="46"/>
        <v>48679</v>
      </c>
      <c r="Z148" s="31">
        <f t="shared" ca="1" si="56"/>
        <v>3370.9598524966418</v>
      </c>
      <c r="AA148" s="31">
        <f t="shared" ref="AA148:AA211" ca="1" si="62">IF(AND(DAY(Y148)=DAY(Y147),MONTH(Y148)&lt;&gt;MONTH(Y147)),IF(AH148="Pula",0,($D$9))*AB147,((1+$D$9)^(N148/_xlfn.DAYS(EDATE(Y147,1),Y147))-1)*AB147)</f>
        <v>-547.16317170931632</v>
      </c>
      <c r="AB148" s="31">
        <f t="shared" ca="1" si="57"/>
        <v>-62845.217542139391</v>
      </c>
      <c r="AC148" t="str">
        <f t="shared" ca="1" si="47"/>
        <v/>
      </c>
      <c r="AD148" t="str">
        <f t="shared" ca="1" si="48"/>
        <v/>
      </c>
    </row>
    <row r="149" spans="1:30">
      <c r="A149" s="180">
        <f ca="1">'PRICE_IOF Ñ USAR'!A149</f>
        <v>131</v>
      </c>
      <c r="B149" s="179">
        <f ca="1">'PRICE_IOF Ñ USAR'!B149</f>
        <v>48709</v>
      </c>
      <c r="C149" s="177">
        <f t="shared" ca="1" si="49"/>
        <v>858.54894699221063</v>
      </c>
      <c r="D149" s="24">
        <f t="shared" ca="1" si="58"/>
        <v>1247.8215416307755</v>
      </c>
      <c r="E149" s="177">
        <f t="shared" ca="1" si="50"/>
        <v>134774.22707811327</v>
      </c>
      <c r="F149" s="178">
        <f t="shared" ca="1" si="51"/>
        <v>28.48288296527215</v>
      </c>
      <c r="G149" s="178">
        <f t="shared" ca="1" si="52"/>
        <v>26.319999999999997</v>
      </c>
      <c r="H149" s="177">
        <f t="shared" ca="1" si="53"/>
        <v>25</v>
      </c>
      <c r="I149" s="25">
        <f t="shared" ca="1" si="54"/>
        <v>2186.1733715882583</v>
      </c>
      <c r="J149" s="9" t="str">
        <f ca="1">'PRICE_IOF Ñ USAR'!J149</f>
        <v/>
      </c>
      <c r="K149" s="9" t="str">
        <f ca="1">'PRICE_IOF Ñ USAR'!K149</f>
        <v/>
      </c>
      <c r="L149" s="9">
        <f ca="1">'PRICE_IOF Ñ USAR'!L149</f>
        <v>5</v>
      </c>
      <c r="N149" s="176">
        <f t="shared" ca="1" si="55"/>
        <v>30</v>
      </c>
      <c r="O149" s="176">
        <f t="shared" ca="1" si="59"/>
        <v>3981</v>
      </c>
      <c r="P149" s="175">
        <f t="shared" ca="1" si="42"/>
        <v>3401.9726831942839</v>
      </c>
      <c r="Q149" s="11">
        <f t="shared" ca="1" si="43"/>
        <v>2.9930000000000002E-2</v>
      </c>
      <c r="R149" s="12">
        <f t="shared" ca="1" si="44"/>
        <v>101.82104240800493</v>
      </c>
      <c r="S149" s="513"/>
      <c r="U149" s="31">
        <f t="shared" ca="1" si="60"/>
        <v>2106.3704886229862</v>
      </c>
      <c r="V149" s="31">
        <f t="shared" ca="1" si="61"/>
        <v>2186.1733715882583</v>
      </c>
      <c r="X149" s="58">
        <f t="shared" ca="1" si="45"/>
        <v>131</v>
      </c>
      <c r="Y149" s="61">
        <f t="shared" ca="1" si="46"/>
        <v>48709</v>
      </c>
      <c r="Z149" s="31">
        <f t="shared" ca="1" si="56"/>
        <v>3401.9726831942839</v>
      </c>
      <c r="AA149" s="31">
        <f t="shared" ca="1" si="62"/>
        <v>-578.17600240695845</v>
      </c>
      <c r="AB149" s="31">
        <f t="shared" ca="1" si="57"/>
        <v>-66247.190225333674</v>
      </c>
      <c r="AC149" t="str">
        <f t="shared" ca="1" si="47"/>
        <v/>
      </c>
      <c r="AD149" t="str">
        <f t="shared" ca="1" si="48"/>
        <v/>
      </c>
    </row>
    <row r="150" spans="1:30">
      <c r="A150" s="180">
        <f ca="1">'PRICE_IOF Ñ USAR'!A150</f>
        <v>132</v>
      </c>
      <c r="B150" s="179">
        <f ca="1">'PRICE_IOF Ñ USAR'!B150</f>
        <v>48740</v>
      </c>
      <c r="C150" s="177">
        <f t="shared" ca="1" si="49"/>
        <v>866.44759731846352</v>
      </c>
      <c r="D150" s="24">
        <f t="shared" ca="1" si="58"/>
        <v>1239.9228913045226</v>
      </c>
      <c r="E150" s="177">
        <f t="shared" ca="1" si="50"/>
        <v>133907.77948079479</v>
      </c>
      <c r="F150" s="178">
        <f t="shared" ca="1" si="51"/>
        <v>28.302587686403786</v>
      </c>
      <c r="G150" s="178">
        <f t="shared" ca="1" si="52"/>
        <v>26.319999999999997</v>
      </c>
      <c r="H150" s="177">
        <f t="shared" ca="1" si="53"/>
        <v>25</v>
      </c>
      <c r="I150" s="25">
        <f t="shared" ca="1" si="54"/>
        <v>2185.9930763093903</v>
      </c>
      <c r="J150" s="9" t="str">
        <f ca="1">'PRICE_IOF Ñ USAR'!J150</f>
        <v/>
      </c>
      <c r="K150" s="9" t="str">
        <f ca="1">'PRICE_IOF Ñ USAR'!K150</f>
        <v/>
      </c>
      <c r="L150" s="9">
        <f ca="1">'PRICE_IOF Ñ USAR'!L150</f>
        <v>6</v>
      </c>
      <c r="N150" s="176">
        <f t="shared" ca="1" si="55"/>
        <v>31</v>
      </c>
      <c r="O150" s="176">
        <f t="shared" ca="1" si="59"/>
        <v>4012</v>
      </c>
      <c r="P150" s="175">
        <f t="shared" ca="1" si="42"/>
        <v>3433.2708319348471</v>
      </c>
      <c r="Q150" s="11">
        <f t="shared" ca="1" si="43"/>
        <v>2.9930000000000002E-2</v>
      </c>
      <c r="R150" s="12">
        <f t="shared" ca="1" si="44"/>
        <v>102.75779599980999</v>
      </c>
      <c r="S150" s="513"/>
      <c r="U150" s="31">
        <f t="shared" ca="1" si="60"/>
        <v>2106.3704886229862</v>
      </c>
      <c r="V150" s="31">
        <f t="shared" ca="1" si="61"/>
        <v>2185.9930763093903</v>
      </c>
      <c r="X150" s="58">
        <f t="shared" ca="1" si="45"/>
        <v>132</v>
      </c>
      <c r="Y150" s="61">
        <f t="shared" ca="1" si="46"/>
        <v>48740</v>
      </c>
      <c r="Z150" s="31">
        <f t="shared" ca="1" si="56"/>
        <v>3433.2708319348471</v>
      </c>
      <c r="AA150" s="31">
        <f t="shared" ca="1" si="62"/>
        <v>-609.47415114752187</v>
      </c>
      <c r="AB150" s="31">
        <f t="shared" ca="1" si="57"/>
        <v>-69680.46105726852</v>
      </c>
      <c r="AC150" t="str">
        <f t="shared" ca="1" si="47"/>
        <v/>
      </c>
      <c r="AD150" t="str">
        <f t="shared" ca="1" si="48"/>
        <v/>
      </c>
    </row>
    <row r="151" spans="1:30">
      <c r="A151" s="180">
        <f ca="1">'PRICE_IOF Ñ USAR'!A151</f>
        <v>133</v>
      </c>
      <c r="B151" s="179">
        <f ca="1">'PRICE_IOF Ñ USAR'!B151</f>
        <v>48770</v>
      </c>
      <c r="C151" s="177">
        <f t="shared" ca="1" si="49"/>
        <v>874.41891522784636</v>
      </c>
      <c r="D151" s="24">
        <f t="shared" ca="1" si="58"/>
        <v>1231.9515733951398</v>
      </c>
      <c r="E151" s="177">
        <f t="shared" ca="1" si="50"/>
        <v>133033.36056556695</v>
      </c>
      <c r="F151" s="178">
        <f t="shared" ca="1" si="51"/>
        <v>28.120633690966908</v>
      </c>
      <c r="G151" s="178">
        <f t="shared" ca="1" si="52"/>
        <v>26.319999999999997</v>
      </c>
      <c r="H151" s="177">
        <f t="shared" ca="1" si="53"/>
        <v>25</v>
      </c>
      <c r="I151" s="25">
        <f t="shared" ca="1" si="54"/>
        <v>2185.8111223139531</v>
      </c>
      <c r="J151" s="9" t="str">
        <f ca="1">'PRICE_IOF Ñ USAR'!J151</f>
        <v/>
      </c>
      <c r="K151" s="9" t="str">
        <f ca="1">'PRICE_IOF Ñ USAR'!K151</f>
        <v/>
      </c>
      <c r="L151" s="9">
        <f ca="1">'PRICE_IOF Ñ USAR'!L151</f>
        <v>7</v>
      </c>
      <c r="N151" s="176">
        <f t="shared" ca="1" si="55"/>
        <v>30</v>
      </c>
      <c r="O151" s="176">
        <f t="shared" ca="1" si="59"/>
        <v>4042</v>
      </c>
      <c r="P151" s="175">
        <f t="shared" ca="1" si="42"/>
        <v>3464.8569236443313</v>
      </c>
      <c r="Q151" s="11">
        <f t="shared" ca="1" si="43"/>
        <v>2.9930000000000002E-2</v>
      </c>
      <c r="R151" s="12">
        <f t="shared" ca="1" si="44"/>
        <v>103.70316772467484</v>
      </c>
      <c r="S151" s="513"/>
      <c r="U151" s="31">
        <f t="shared" ca="1" si="60"/>
        <v>2106.3704886229862</v>
      </c>
      <c r="V151" s="31">
        <f t="shared" ca="1" si="61"/>
        <v>2185.8111223139531</v>
      </c>
      <c r="X151" s="58">
        <f t="shared" ca="1" si="45"/>
        <v>133</v>
      </c>
      <c r="Y151" s="61">
        <f t="shared" ca="1" si="46"/>
        <v>48770</v>
      </c>
      <c r="Z151" s="31">
        <f t="shared" ca="1" si="56"/>
        <v>3464.8569236443313</v>
      </c>
      <c r="AA151" s="31">
        <f t="shared" ca="1" si="62"/>
        <v>-641.06024285700607</v>
      </c>
      <c r="AB151" s="31">
        <f t="shared" ca="1" si="57"/>
        <v>-73145.317980912849</v>
      </c>
      <c r="AC151" t="str">
        <f t="shared" ca="1" si="47"/>
        <v/>
      </c>
      <c r="AD151" t="str">
        <f t="shared" ca="1" si="48"/>
        <v/>
      </c>
    </row>
    <row r="152" spans="1:30">
      <c r="A152" s="180">
        <f ca="1">'PRICE_IOF Ñ USAR'!A152</f>
        <v>134</v>
      </c>
      <c r="B152" s="179">
        <f ca="1">'PRICE_IOF Ñ USAR'!B152</f>
        <v>48801</v>
      </c>
      <c r="C152" s="177">
        <f t="shared" ca="1" si="49"/>
        <v>882.46356926212457</v>
      </c>
      <c r="D152" s="24">
        <f t="shared" ca="1" si="58"/>
        <v>1223.9069193608616</v>
      </c>
      <c r="E152" s="177">
        <f t="shared" ca="1" si="50"/>
        <v>132150.89699630483</v>
      </c>
      <c r="F152" s="178">
        <f t="shared" ca="1" si="51"/>
        <v>27.937005718769061</v>
      </c>
      <c r="G152" s="178">
        <f t="shared" ca="1" si="52"/>
        <v>26.319999999999997</v>
      </c>
      <c r="H152" s="177">
        <f t="shared" ca="1" si="53"/>
        <v>25</v>
      </c>
      <c r="I152" s="25">
        <f t="shared" ca="1" si="54"/>
        <v>2185.6274943417552</v>
      </c>
      <c r="J152" s="9" t="str">
        <f ca="1">'PRICE_IOF Ñ USAR'!J152</f>
        <v/>
      </c>
      <c r="K152" s="9" t="str">
        <f ca="1">'PRICE_IOF Ñ USAR'!K152</f>
        <v/>
      </c>
      <c r="L152" s="9">
        <f ca="1">'PRICE_IOF Ñ USAR'!L152</f>
        <v>8</v>
      </c>
      <c r="N152" s="176">
        <f t="shared" ca="1" si="55"/>
        <v>31</v>
      </c>
      <c r="O152" s="176">
        <f t="shared" ca="1" si="59"/>
        <v>4073</v>
      </c>
      <c r="P152" s="175">
        <f t="shared" ca="1" si="42"/>
        <v>3496.733607398055</v>
      </c>
      <c r="Q152" s="11">
        <f t="shared" ca="1" si="43"/>
        <v>2.9930000000000002E-2</v>
      </c>
      <c r="R152" s="12">
        <f t="shared" ca="1" si="44"/>
        <v>104.6572368694238</v>
      </c>
      <c r="S152" s="513"/>
      <c r="U152" s="31">
        <f t="shared" ca="1" si="60"/>
        <v>2106.3704886229862</v>
      </c>
      <c r="V152" s="31">
        <f t="shared" ca="1" si="61"/>
        <v>2185.6274943417552</v>
      </c>
      <c r="X152" s="58">
        <f t="shared" ca="1" si="45"/>
        <v>134</v>
      </c>
      <c r="Y152" s="61">
        <f t="shared" ca="1" si="46"/>
        <v>48801</v>
      </c>
      <c r="Z152" s="31">
        <f t="shared" ca="1" si="56"/>
        <v>3496.733607398055</v>
      </c>
      <c r="AA152" s="31">
        <f t="shared" ca="1" si="62"/>
        <v>-672.93692661072976</v>
      </c>
      <c r="AB152" s="31">
        <f t="shared" ca="1" si="57"/>
        <v>-76642.051588310904</v>
      </c>
      <c r="AC152" t="str">
        <f t="shared" ca="1" si="47"/>
        <v/>
      </c>
      <c r="AD152" t="str">
        <f t="shared" ca="1" si="48"/>
        <v/>
      </c>
    </row>
    <row r="153" spans="1:30">
      <c r="A153" s="180">
        <f ca="1">'PRICE_IOF Ñ USAR'!A153</f>
        <v>135</v>
      </c>
      <c r="B153" s="179">
        <f ca="1">'PRICE_IOF Ñ USAR'!B153</f>
        <v>48832</v>
      </c>
      <c r="C153" s="177">
        <f t="shared" ca="1" si="49"/>
        <v>890.58223411364861</v>
      </c>
      <c r="D153" s="24">
        <f t="shared" ca="1" si="58"/>
        <v>1215.7882545093375</v>
      </c>
      <c r="E153" s="177">
        <f t="shared" ca="1" si="50"/>
        <v>131260.31476219118</v>
      </c>
      <c r="F153" s="178">
        <f t="shared" ca="1" si="51"/>
        <v>27.751688369224016</v>
      </c>
      <c r="G153" s="178">
        <f t="shared" ca="1" si="52"/>
        <v>26.319999999999997</v>
      </c>
      <c r="H153" s="177">
        <f t="shared" ca="1" si="53"/>
        <v>25</v>
      </c>
      <c r="I153" s="25">
        <f t="shared" ca="1" si="54"/>
        <v>2185.4421769922105</v>
      </c>
      <c r="J153" s="9" t="str">
        <f ca="1">'PRICE_IOF Ñ USAR'!J153</f>
        <v/>
      </c>
      <c r="K153" s="9" t="str">
        <f ca="1">'PRICE_IOF Ñ USAR'!K153</f>
        <v/>
      </c>
      <c r="L153" s="9">
        <f ca="1">'PRICE_IOF Ñ USAR'!L153</f>
        <v>9</v>
      </c>
      <c r="N153" s="176">
        <f t="shared" ca="1" si="55"/>
        <v>31</v>
      </c>
      <c r="O153" s="176">
        <f t="shared" ca="1" si="59"/>
        <v>4104</v>
      </c>
      <c r="P153" s="175">
        <f t="shared" ca="1" si="42"/>
        <v>3528.9035566428302</v>
      </c>
      <c r="Q153" s="11">
        <f t="shared" ca="1" si="43"/>
        <v>2.9930000000000002E-2</v>
      </c>
      <c r="R153" s="12">
        <f t="shared" ca="1" si="44"/>
        <v>105.62008345031991</v>
      </c>
      <c r="S153" s="513"/>
      <c r="U153" s="31">
        <f t="shared" ca="1" si="60"/>
        <v>2106.3704886229862</v>
      </c>
      <c r="V153" s="31">
        <f t="shared" ca="1" si="61"/>
        <v>2185.4421769922105</v>
      </c>
      <c r="X153" s="58">
        <f t="shared" ca="1" si="45"/>
        <v>135</v>
      </c>
      <c r="Y153" s="61">
        <f t="shared" ca="1" si="46"/>
        <v>48832</v>
      </c>
      <c r="Z153" s="31">
        <f t="shared" ca="1" si="56"/>
        <v>3528.9035566428302</v>
      </c>
      <c r="AA153" s="31">
        <f t="shared" ca="1" si="62"/>
        <v>-705.10687585550488</v>
      </c>
      <c r="AB153" s="31">
        <f t="shared" ca="1" si="57"/>
        <v>-80170.955144953739</v>
      </c>
      <c r="AC153" t="str">
        <f t="shared" ca="1" si="47"/>
        <v/>
      </c>
      <c r="AD153" t="str">
        <f t="shared" ca="1" si="48"/>
        <v/>
      </c>
    </row>
    <row r="154" spans="1:30">
      <c r="A154" s="180">
        <f ca="1">'PRICE_IOF Ñ USAR'!A154</f>
        <v>136</v>
      </c>
      <c r="B154" s="179">
        <f ca="1">'PRICE_IOF Ñ USAR'!B154</f>
        <v>48862</v>
      </c>
      <c r="C154" s="177">
        <f t="shared" ca="1" si="49"/>
        <v>898.77559068193841</v>
      </c>
      <c r="D154" s="24">
        <f t="shared" ca="1" si="58"/>
        <v>1207.5948979410477</v>
      </c>
      <c r="E154" s="177">
        <f t="shared" ca="1" si="50"/>
        <v>130361.53917150924</v>
      </c>
      <c r="F154" s="178">
        <f t="shared" ca="1" si="51"/>
        <v>27.564666100060148</v>
      </c>
      <c r="G154" s="178">
        <f t="shared" ca="1" si="52"/>
        <v>26.319999999999997</v>
      </c>
      <c r="H154" s="177">
        <f t="shared" ca="1" si="53"/>
        <v>25</v>
      </c>
      <c r="I154" s="25">
        <f t="shared" ca="1" si="54"/>
        <v>2185.2551547230464</v>
      </c>
      <c r="J154" s="9" t="str">
        <f ca="1">'PRICE_IOF Ñ USAR'!J154</f>
        <v/>
      </c>
      <c r="K154" s="9" t="str">
        <f ca="1">'PRICE_IOF Ñ USAR'!K154</f>
        <v/>
      </c>
      <c r="L154" s="9">
        <f ca="1">'PRICE_IOF Ñ USAR'!L154</f>
        <v>10</v>
      </c>
      <c r="N154" s="176">
        <f t="shared" ca="1" si="55"/>
        <v>30</v>
      </c>
      <c r="O154" s="176">
        <f t="shared" ca="1" si="59"/>
        <v>4134</v>
      </c>
      <c r="P154" s="175">
        <f t="shared" ca="1" si="42"/>
        <v>3561.369469421179</v>
      </c>
      <c r="Q154" s="11">
        <f t="shared" ca="1" si="43"/>
        <v>2.9930000000000002E-2</v>
      </c>
      <c r="R154" s="12">
        <f t="shared" ca="1" si="44"/>
        <v>106.59178821977589</v>
      </c>
      <c r="S154" s="513"/>
      <c r="U154" s="31">
        <f t="shared" ca="1" si="60"/>
        <v>2106.3704886229862</v>
      </c>
      <c r="V154" s="31">
        <f t="shared" ca="1" si="61"/>
        <v>2185.2551547230464</v>
      </c>
      <c r="X154" s="58">
        <f t="shared" ca="1" si="45"/>
        <v>136</v>
      </c>
      <c r="Y154" s="61">
        <f t="shared" ca="1" si="46"/>
        <v>48862</v>
      </c>
      <c r="Z154" s="31">
        <f t="shared" ca="1" si="56"/>
        <v>3561.369469421179</v>
      </c>
      <c r="AA154" s="31">
        <f t="shared" ca="1" si="62"/>
        <v>-737.57278863385363</v>
      </c>
      <c r="AB154" s="31">
        <f t="shared" ca="1" si="57"/>
        <v>-83732.324614374913</v>
      </c>
      <c r="AC154" t="str">
        <f t="shared" ca="1" si="47"/>
        <v/>
      </c>
      <c r="AD154" t="str">
        <f t="shared" ca="1" si="48"/>
        <v/>
      </c>
    </row>
    <row r="155" spans="1:30">
      <c r="A155" s="180">
        <f ca="1">'PRICE_IOF Ñ USAR'!A155</f>
        <v>137</v>
      </c>
      <c r="B155" s="179">
        <f ca="1">'PRICE_IOF Ñ USAR'!B155</f>
        <v>48893</v>
      </c>
      <c r="C155" s="177">
        <f t="shared" ca="1" si="49"/>
        <v>907.04432613078939</v>
      </c>
      <c r="D155" s="24">
        <f t="shared" ca="1" si="58"/>
        <v>1199.3261624921968</v>
      </c>
      <c r="E155" s="177">
        <f t="shared" ca="1" si="50"/>
        <v>129454.49484537845</v>
      </c>
      <c r="F155" s="178">
        <f t="shared" ca="1" si="51"/>
        <v>27.375923226016941</v>
      </c>
      <c r="G155" s="178">
        <f t="shared" ca="1" si="52"/>
        <v>26.319999999999997</v>
      </c>
      <c r="H155" s="177">
        <f t="shared" ca="1" si="53"/>
        <v>25</v>
      </c>
      <c r="I155" s="25">
        <f t="shared" ca="1" si="54"/>
        <v>2185.0664118490031</v>
      </c>
      <c r="J155" s="9" t="str">
        <f ca="1">'PRICE_IOF Ñ USAR'!J155</f>
        <v/>
      </c>
      <c r="K155" s="9" t="str">
        <f ca="1">'PRICE_IOF Ñ USAR'!K155</f>
        <v/>
      </c>
      <c r="L155" s="9">
        <f ca="1">'PRICE_IOF Ñ USAR'!L155</f>
        <v>11</v>
      </c>
      <c r="N155" s="176">
        <f t="shared" ca="1" si="55"/>
        <v>31</v>
      </c>
      <c r="O155" s="176">
        <f t="shared" ca="1" si="59"/>
        <v>4165</v>
      </c>
      <c r="P155" s="175">
        <f t="shared" ca="1" si="42"/>
        <v>3594.1340685976152</v>
      </c>
      <c r="Q155" s="11">
        <f t="shared" ca="1" si="43"/>
        <v>2.9930000000000002E-2</v>
      </c>
      <c r="R155" s="12">
        <f t="shared" ca="1" si="44"/>
        <v>107.57243267312663</v>
      </c>
      <c r="S155" s="513"/>
      <c r="U155" s="31">
        <f t="shared" ca="1" si="60"/>
        <v>2106.3704886229862</v>
      </c>
      <c r="V155" s="31">
        <f t="shared" ca="1" si="61"/>
        <v>2185.0664118490031</v>
      </c>
      <c r="X155" s="58">
        <f t="shared" ca="1" si="45"/>
        <v>137</v>
      </c>
      <c r="Y155" s="61">
        <f t="shared" ca="1" si="46"/>
        <v>48893</v>
      </c>
      <c r="Z155" s="31">
        <f t="shared" ca="1" si="56"/>
        <v>3594.1340685976152</v>
      </c>
      <c r="AA155" s="31">
        <f t="shared" ca="1" si="62"/>
        <v>-770.33738781028967</v>
      </c>
      <c r="AB155" s="31">
        <f t="shared" ca="1" si="57"/>
        <v>-87326.45868297253</v>
      </c>
      <c r="AC155" t="str">
        <f t="shared" ca="1" si="47"/>
        <v/>
      </c>
      <c r="AD155" t="str">
        <f t="shared" ca="1" si="48"/>
        <v/>
      </c>
    </row>
    <row r="156" spans="1:30">
      <c r="A156" s="180">
        <f ca="1">'PRICE_IOF Ñ USAR'!A156</f>
        <v>138</v>
      </c>
      <c r="B156" s="179">
        <f ca="1">'PRICE_IOF Ñ USAR'!B156</f>
        <v>48923</v>
      </c>
      <c r="C156" s="177">
        <f t="shared" ca="1" si="49"/>
        <v>915.38913394590372</v>
      </c>
      <c r="D156" s="24">
        <f t="shared" ca="1" si="58"/>
        <v>1190.9813546770824</v>
      </c>
      <c r="E156" s="177">
        <f t="shared" ca="1" si="50"/>
        <v>128539.10571143254</v>
      </c>
      <c r="F156" s="178">
        <f t="shared" ca="1" si="51"/>
        <v>27.185443917529476</v>
      </c>
      <c r="G156" s="178">
        <f t="shared" ca="1" si="52"/>
        <v>26.319999999999997</v>
      </c>
      <c r="H156" s="177">
        <f t="shared" ca="1" si="53"/>
        <v>25</v>
      </c>
      <c r="I156" s="25">
        <f t="shared" ca="1" si="54"/>
        <v>2184.8759325405158</v>
      </c>
      <c r="J156" s="9" t="str">
        <f ca="1">'PRICE_IOF Ñ USAR'!J156</f>
        <v/>
      </c>
      <c r="K156" s="9" t="str">
        <f ca="1">'PRICE_IOF Ñ USAR'!K156</f>
        <v/>
      </c>
      <c r="L156" s="9">
        <f ca="1">'PRICE_IOF Ñ USAR'!L156</f>
        <v>12</v>
      </c>
      <c r="N156" s="176">
        <f t="shared" ca="1" si="55"/>
        <v>30</v>
      </c>
      <c r="O156" s="176">
        <f t="shared" ca="1" si="59"/>
        <v>4195</v>
      </c>
      <c r="P156" s="175">
        <f t="shared" ca="1" si="42"/>
        <v>3627.2001020870057</v>
      </c>
      <c r="Q156" s="11">
        <f t="shared" ca="1" si="43"/>
        <v>2.9930000000000002E-2</v>
      </c>
      <c r="R156" s="12">
        <f t="shared" ca="1" si="44"/>
        <v>108.56209905546409</v>
      </c>
      <c r="S156" s="513"/>
      <c r="U156" s="31">
        <f t="shared" ca="1" si="60"/>
        <v>2106.3704886229862</v>
      </c>
      <c r="V156" s="31">
        <f t="shared" ca="1" si="61"/>
        <v>2184.8759325405158</v>
      </c>
      <c r="X156" s="58">
        <f t="shared" ca="1" si="45"/>
        <v>138</v>
      </c>
      <c r="Y156" s="61">
        <f t="shared" ca="1" si="46"/>
        <v>48923</v>
      </c>
      <c r="Z156" s="31">
        <f t="shared" ca="1" si="56"/>
        <v>3627.2001020870057</v>
      </c>
      <c r="AA156" s="31">
        <f t="shared" ca="1" si="62"/>
        <v>-803.40342129968042</v>
      </c>
      <c r="AB156" s="31">
        <f t="shared" ca="1" si="57"/>
        <v>-90953.658785059539</v>
      </c>
      <c r="AC156" t="str">
        <f t="shared" ca="1" si="47"/>
        <v/>
      </c>
      <c r="AD156" t="str">
        <f t="shared" ca="1" si="48"/>
        <v/>
      </c>
    </row>
    <row r="157" spans="1:30">
      <c r="A157" s="180">
        <f ca="1">'PRICE_IOF Ñ USAR'!A157</f>
        <v>139</v>
      </c>
      <c r="B157" s="179">
        <f ca="1">'PRICE_IOF Ñ USAR'!B157</f>
        <v>48954</v>
      </c>
      <c r="C157" s="177">
        <f t="shared" ca="1" si="49"/>
        <v>923.81071399305279</v>
      </c>
      <c r="D157" s="24">
        <f t="shared" ca="1" si="58"/>
        <v>1182.5597746299334</v>
      </c>
      <c r="E157" s="177">
        <f t="shared" ca="1" si="50"/>
        <v>127615.29499743949</v>
      </c>
      <c r="F157" s="178">
        <f t="shared" ca="1" si="51"/>
        <v>26.993212199400833</v>
      </c>
      <c r="G157" s="178">
        <f t="shared" ca="1" si="52"/>
        <v>26.319999999999997</v>
      </c>
      <c r="H157" s="177">
        <f t="shared" ca="1" si="53"/>
        <v>25</v>
      </c>
      <c r="I157" s="25">
        <f t="shared" ca="1" si="54"/>
        <v>2184.683700822387</v>
      </c>
      <c r="J157" s="9" t="str">
        <f ca="1">'PRICE_IOF Ñ USAR'!J157</f>
        <v/>
      </c>
      <c r="K157" s="9" t="str">
        <f ca="1">'PRICE_IOF Ñ USAR'!K157</f>
        <v/>
      </c>
      <c r="L157" s="9">
        <f ca="1">'PRICE_IOF Ñ USAR'!L157</f>
        <v>1</v>
      </c>
      <c r="N157" s="176">
        <f t="shared" ca="1" si="55"/>
        <v>31</v>
      </c>
      <c r="O157" s="176">
        <f t="shared" ca="1" si="59"/>
        <v>4226</v>
      </c>
      <c r="P157" s="175">
        <f t="shared" ca="1" si="42"/>
        <v>3660.5703430850353</v>
      </c>
      <c r="Q157" s="11">
        <f t="shared" ca="1" si="43"/>
        <v>2.9930000000000002E-2</v>
      </c>
      <c r="R157" s="12">
        <f t="shared" ca="1" si="44"/>
        <v>109.56087036853512</v>
      </c>
      <c r="S157" s="513"/>
      <c r="U157" s="31">
        <f t="shared" ca="1" si="60"/>
        <v>2106.3704886229862</v>
      </c>
      <c r="V157" s="31">
        <f t="shared" ca="1" si="61"/>
        <v>2184.683700822387</v>
      </c>
      <c r="X157" s="58">
        <f t="shared" ca="1" si="45"/>
        <v>139</v>
      </c>
      <c r="Y157" s="61">
        <f t="shared" ca="1" si="46"/>
        <v>48954</v>
      </c>
      <c r="Z157" s="31">
        <f t="shared" ca="1" si="56"/>
        <v>3660.5703430850353</v>
      </c>
      <c r="AA157" s="31">
        <f t="shared" ca="1" si="62"/>
        <v>-836.77366229770985</v>
      </c>
      <c r="AB157" s="31">
        <f t="shared" ca="1" si="57"/>
        <v>-94614.22912814458</v>
      </c>
      <c r="AC157" t="str">
        <f t="shared" ca="1" si="47"/>
        <v/>
      </c>
      <c r="AD157" t="str">
        <f t="shared" ca="1" si="48"/>
        <v/>
      </c>
    </row>
    <row r="158" spans="1:30">
      <c r="A158" s="180">
        <f ca="1">'PRICE_IOF Ñ USAR'!A158</f>
        <v>140</v>
      </c>
      <c r="B158" s="179">
        <f ca="1">'PRICE_IOF Ñ USAR'!B158</f>
        <v>48985</v>
      </c>
      <c r="C158" s="177">
        <f t="shared" ca="1" si="49"/>
        <v>932.30977257677182</v>
      </c>
      <c r="D158" s="24">
        <f t="shared" ca="1" si="58"/>
        <v>1174.0607160462143</v>
      </c>
      <c r="E158" s="177">
        <f t="shared" ca="1" si="50"/>
        <v>126682.98522486271</v>
      </c>
      <c r="F158" s="178">
        <f t="shared" ca="1" si="51"/>
        <v>26.799211949462293</v>
      </c>
      <c r="G158" s="178">
        <f t="shared" ca="1" si="52"/>
        <v>26.319999999999997</v>
      </c>
      <c r="H158" s="177">
        <f t="shared" ca="1" si="53"/>
        <v>25</v>
      </c>
      <c r="I158" s="25">
        <f t="shared" ca="1" si="54"/>
        <v>2184.4897005724488</v>
      </c>
      <c r="J158" s="9" t="str">
        <f ca="1">'PRICE_IOF Ñ USAR'!J158</f>
        <v/>
      </c>
      <c r="K158" s="9" t="str">
        <f ca="1">'PRICE_IOF Ñ USAR'!K158</f>
        <v/>
      </c>
      <c r="L158" s="9">
        <f ca="1">'PRICE_IOF Ñ USAR'!L158</f>
        <v>2</v>
      </c>
      <c r="N158" s="176">
        <f t="shared" ca="1" si="55"/>
        <v>31</v>
      </c>
      <c r="O158" s="176">
        <f t="shared" ca="1" si="59"/>
        <v>4257</v>
      </c>
      <c r="P158" s="175">
        <f t="shared" ca="1" si="42"/>
        <v>3694.247590300788</v>
      </c>
      <c r="Q158" s="11">
        <f t="shared" ca="1" si="43"/>
        <v>2.9930000000000002E-2</v>
      </c>
      <c r="R158" s="12">
        <f t="shared" ca="1" si="44"/>
        <v>110.5688303777026</v>
      </c>
      <c r="S158" s="513"/>
      <c r="U158" s="31">
        <f t="shared" ca="1" si="60"/>
        <v>2106.3704886229862</v>
      </c>
      <c r="V158" s="31">
        <f t="shared" ca="1" si="61"/>
        <v>2184.4897005724488</v>
      </c>
      <c r="X158" s="58">
        <f t="shared" ca="1" si="45"/>
        <v>140</v>
      </c>
      <c r="Y158" s="61">
        <f t="shared" ca="1" si="46"/>
        <v>48985</v>
      </c>
      <c r="Z158" s="31">
        <f t="shared" ca="1" si="56"/>
        <v>3694.247590300788</v>
      </c>
      <c r="AA158" s="31">
        <f t="shared" ca="1" si="62"/>
        <v>-870.45090951346242</v>
      </c>
      <c r="AB158" s="31">
        <f t="shared" ca="1" si="57"/>
        <v>-98308.476718445367</v>
      </c>
      <c r="AC158" t="str">
        <f t="shared" ca="1" si="47"/>
        <v/>
      </c>
      <c r="AD158" t="str">
        <f t="shared" ca="1" si="48"/>
        <v/>
      </c>
    </row>
    <row r="159" spans="1:30">
      <c r="A159" s="180">
        <f ca="1">'PRICE_IOF Ñ USAR'!A159</f>
        <v>141</v>
      </c>
      <c r="B159" s="179">
        <f ca="1">'PRICE_IOF Ñ USAR'!B159</f>
        <v>49013</v>
      </c>
      <c r="C159" s="177">
        <f t="shared" ca="1" si="49"/>
        <v>940.8870224995992</v>
      </c>
      <c r="D159" s="24">
        <f t="shared" ca="1" si="58"/>
        <v>1165.483466123387</v>
      </c>
      <c r="E159" s="177">
        <f t="shared" ca="1" si="50"/>
        <v>125742.09820236311</v>
      </c>
      <c r="F159" s="178">
        <f t="shared" ca="1" si="51"/>
        <v>26.603426897221173</v>
      </c>
      <c r="G159" s="178">
        <f t="shared" ca="1" si="52"/>
        <v>26.319999999999997</v>
      </c>
      <c r="H159" s="177">
        <f t="shared" ca="1" si="53"/>
        <v>25</v>
      </c>
      <c r="I159" s="25">
        <f t="shared" ca="1" si="54"/>
        <v>2184.2939155202075</v>
      </c>
      <c r="J159" s="9" t="str">
        <f ca="1">'PRICE_IOF Ñ USAR'!J159</f>
        <v/>
      </c>
      <c r="K159" s="9" t="str">
        <f ca="1">'PRICE_IOF Ñ USAR'!K159</f>
        <v/>
      </c>
      <c r="L159" s="9">
        <f ca="1">'PRICE_IOF Ñ USAR'!L159</f>
        <v>3</v>
      </c>
      <c r="N159" s="176">
        <f t="shared" ca="1" si="55"/>
        <v>28</v>
      </c>
      <c r="O159" s="176">
        <f t="shared" ca="1" si="59"/>
        <v>4285</v>
      </c>
      <c r="P159" s="175">
        <f t="shared" ca="1" si="42"/>
        <v>3728.2346681914714</v>
      </c>
      <c r="Q159" s="11">
        <f t="shared" ca="1" si="43"/>
        <v>2.9930000000000002E-2</v>
      </c>
      <c r="R159" s="12">
        <f t="shared" ca="1" si="44"/>
        <v>111.58606361897074</v>
      </c>
      <c r="S159" s="513"/>
      <c r="U159" s="31">
        <f t="shared" ca="1" si="60"/>
        <v>2106.3704886229862</v>
      </c>
      <c r="V159" s="31">
        <f t="shared" ca="1" si="61"/>
        <v>2184.2939155202075</v>
      </c>
      <c r="X159" s="58">
        <f t="shared" ca="1" si="45"/>
        <v>141</v>
      </c>
      <c r="Y159" s="61">
        <f t="shared" ca="1" si="46"/>
        <v>49013</v>
      </c>
      <c r="Z159" s="31">
        <f t="shared" ca="1" si="56"/>
        <v>3728.2346681914714</v>
      </c>
      <c r="AA159" s="31">
        <f t="shared" ca="1" si="62"/>
        <v>-904.43798740414604</v>
      </c>
      <c r="AB159" s="31">
        <f t="shared" ca="1" si="57"/>
        <v>-102036.71138663683</v>
      </c>
      <c r="AC159" t="str">
        <f t="shared" ca="1" si="47"/>
        <v/>
      </c>
      <c r="AD159" t="str">
        <f t="shared" ca="1" si="48"/>
        <v/>
      </c>
    </row>
    <row r="160" spans="1:30">
      <c r="A160" s="180">
        <f ca="1">'PRICE_IOF Ñ USAR'!A160</f>
        <v>142</v>
      </c>
      <c r="B160" s="179">
        <f ca="1">'PRICE_IOF Ñ USAR'!B160</f>
        <v>49044</v>
      </c>
      <c r="C160" s="177">
        <f t="shared" ca="1" si="49"/>
        <v>949.54318312185569</v>
      </c>
      <c r="D160" s="24">
        <f t="shared" ca="1" si="58"/>
        <v>1156.8273055011305</v>
      </c>
      <c r="E160" s="177">
        <f t="shared" ca="1" si="50"/>
        <v>124792.55501924125</v>
      </c>
      <c r="F160" s="178">
        <f t="shared" ca="1" si="51"/>
        <v>26.405840622496253</v>
      </c>
      <c r="G160" s="178">
        <f t="shared" ca="1" si="52"/>
        <v>26.319999999999997</v>
      </c>
      <c r="H160" s="177">
        <f t="shared" ca="1" si="53"/>
        <v>25</v>
      </c>
      <c r="I160" s="25">
        <f t="shared" ca="1" si="54"/>
        <v>2184.0963292454826</v>
      </c>
      <c r="J160" s="9" t="str">
        <f ca="1">'PRICE_IOF Ñ USAR'!J160</f>
        <v/>
      </c>
      <c r="K160" s="9" t="str">
        <f ca="1">'PRICE_IOF Ñ USAR'!K160</f>
        <v/>
      </c>
      <c r="L160" s="9">
        <f ca="1">'PRICE_IOF Ñ USAR'!L160</f>
        <v>4</v>
      </c>
      <c r="N160" s="176">
        <f t="shared" ca="1" si="55"/>
        <v>31</v>
      </c>
      <c r="O160" s="176">
        <f t="shared" ca="1" si="59"/>
        <v>4316</v>
      </c>
      <c r="P160" s="175">
        <f t="shared" ca="1" si="42"/>
        <v>3762.5344271993004</v>
      </c>
      <c r="Q160" s="11">
        <f t="shared" ca="1" si="43"/>
        <v>2.9930000000000002E-2</v>
      </c>
      <c r="R160" s="12">
        <f t="shared" ca="1" si="44"/>
        <v>112.61265540607506</v>
      </c>
      <c r="S160" s="513"/>
      <c r="U160" s="31">
        <f t="shared" ca="1" si="60"/>
        <v>2106.3704886229862</v>
      </c>
      <c r="V160" s="31">
        <f t="shared" ca="1" si="61"/>
        <v>2184.0963292454826</v>
      </c>
      <c r="X160" s="58">
        <f t="shared" ca="1" si="45"/>
        <v>142</v>
      </c>
      <c r="Y160" s="61">
        <f t="shared" ca="1" si="46"/>
        <v>49044</v>
      </c>
      <c r="Z160" s="31">
        <f t="shared" ca="1" si="56"/>
        <v>3762.5344271993004</v>
      </c>
      <c r="AA160" s="31">
        <f t="shared" ca="1" si="62"/>
        <v>-938.73774641197508</v>
      </c>
      <c r="AB160" s="31">
        <f t="shared" ca="1" si="57"/>
        <v>-105799.24581383613</v>
      </c>
      <c r="AC160" t="str">
        <f t="shared" ca="1" si="47"/>
        <v/>
      </c>
      <c r="AD160" t="str">
        <f t="shared" ca="1" si="48"/>
        <v/>
      </c>
    </row>
    <row r="161" spans="1:30">
      <c r="A161" s="180">
        <f ca="1">'PRICE_IOF Ñ USAR'!A161</f>
        <v>143</v>
      </c>
      <c r="B161" s="179">
        <f ca="1">'PRICE_IOF Ñ USAR'!B161</f>
        <v>49074</v>
      </c>
      <c r="C161" s="177">
        <f t="shared" ca="1" si="49"/>
        <v>958.27898042197717</v>
      </c>
      <c r="D161" s="24">
        <f t="shared" ca="1" si="58"/>
        <v>1148.091508201009</v>
      </c>
      <c r="E161" s="177">
        <f t="shared" ca="1" si="50"/>
        <v>123834.27603881927</v>
      </c>
      <c r="F161" s="178">
        <f t="shared" ca="1" si="51"/>
        <v>26.206436554040664</v>
      </c>
      <c r="G161" s="178">
        <f t="shared" ca="1" si="52"/>
        <v>26.319999999999997</v>
      </c>
      <c r="H161" s="177">
        <f t="shared" ca="1" si="53"/>
        <v>25</v>
      </c>
      <c r="I161" s="25">
        <f t="shared" ca="1" si="54"/>
        <v>2183.8969251770268</v>
      </c>
      <c r="J161" s="9" t="str">
        <f ca="1">'PRICE_IOF Ñ USAR'!J161</f>
        <v/>
      </c>
      <c r="K161" s="9" t="str">
        <f ca="1">'PRICE_IOF Ñ USAR'!K161</f>
        <v/>
      </c>
      <c r="L161" s="9">
        <f ca="1">'PRICE_IOF Ñ USAR'!L161</f>
        <v>5</v>
      </c>
      <c r="N161" s="176">
        <f t="shared" ca="1" si="55"/>
        <v>30</v>
      </c>
      <c r="O161" s="176">
        <f t="shared" ca="1" si="59"/>
        <v>4346</v>
      </c>
      <c r="P161" s="175">
        <f t="shared" ca="1" si="42"/>
        <v>3797.1497439905579</v>
      </c>
      <c r="Q161" s="11">
        <f t="shared" ca="1" si="43"/>
        <v>2.9930000000000002E-2</v>
      </c>
      <c r="R161" s="12">
        <f t="shared" ca="1" si="44"/>
        <v>113.6486918376374</v>
      </c>
      <c r="S161" s="513"/>
      <c r="U161" s="31">
        <f t="shared" ca="1" si="60"/>
        <v>2106.3704886229862</v>
      </c>
      <c r="V161" s="31">
        <f t="shared" ca="1" si="61"/>
        <v>2183.8969251770268</v>
      </c>
      <c r="X161" s="58">
        <f t="shared" ca="1" si="45"/>
        <v>143</v>
      </c>
      <c r="Y161" s="61">
        <f t="shared" ca="1" si="46"/>
        <v>49074</v>
      </c>
      <c r="Z161" s="31">
        <f t="shared" ca="1" si="56"/>
        <v>3797.1497439905579</v>
      </c>
      <c r="AA161" s="31">
        <f t="shared" ca="1" si="62"/>
        <v>-973.35306320323252</v>
      </c>
      <c r="AB161" s="31">
        <f t="shared" ca="1" si="57"/>
        <v>-109596.39555782668</v>
      </c>
      <c r="AC161" t="str">
        <f t="shared" ca="1" si="47"/>
        <v/>
      </c>
      <c r="AD161" t="str">
        <f t="shared" ca="1" si="48"/>
        <v/>
      </c>
    </row>
    <row r="162" spans="1:30">
      <c r="A162" s="180">
        <f ca="1">'PRICE_IOF Ñ USAR'!A162</f>
        <v>144</v>
      </c>
      <c r="B162" s="179">
        <f ca="1">'PRICE_IOF Ñ USAR'!B162</f>
        <v>49105</v>
      </c>
      <c r="C162" s="177">
        <f t="shared" ca="1" si="49"/>
        <v>967.09514705740162</v>
      </c>
      <c r="D162" s="24">
        <f t="shared" ca="1" si="58"/>
        <v>1139.2753415655845</v>
      </c>
      <c r="E162" s="177">
        <f t="shared" ca="1" si="50"/>
        <v>122867.18089176186</v>
      </c>
      <c r="F162" s="178">
        <f t="shared" ca="1" si="51"/>
        <v>26.005197968152046</v>
      </c>
      <c r="G162" s="178">
        <f t="shared" ca="1" si="52"/>
        <v>26.319999999999997</v>
      </c>
      <c r="H162" s="177">
        <f t="shared" ca="1" si="53"/>
        <v>25</v>
      </c>
      <c r="I162" s="25">
        <f t="shared" ca="1" si="54"/>
        <v>2183.6956865911384</v>
      </c>
      <c r="J162" s="9" t="str">
        <f ca="1">'PRICE_IOF Ñ USAR'!J162</f>
        <v/>
      </c>
      <c r="K162" s="9" t="str">
        <f ca="1">'PRICE_IOF Ñ USAR'!K162</f>
        <v/>
      </c>
      <c r="L162" s="9">
        <f ca="1">'PRICE_IOF Ñ USAR'!L162</f>
        <v>6</v>
      </c>
      <c r="N162" s="176">
        <f t="shared" ca="1" si="55"/>
        <v>31</v>
      </c>
      <c r="O162" s="176">
        <f t="shared" ca="1" si="59"/>
        <v>4377</v>
      </c>
      <c r="P162" s="175">
        <f t="shared" ca="1" si="42"/>
        <v>3832.0835216968562</v>
      </c>
      <c r="Q162" s="11">
        <f t="shared" ca="1" si="43"/>
        <v>2.9930000000000002E-2</v>
      </c>
      <c r="R162" s="12">
        <f t="shared" ca="1" si="44"/>
        <v>114.69425980438692</v>
      </c>
      <c r="S162" s="513"/>
      <c r="U162" s="31">
        <f t="shared" ca="1" si="60"/>
        <v>2106.3704886229862</v>
      </c>
      <c r="V162" s="31">
        <f t="shared" ca="1" si="61"/>
        <v>2183.6956865911384</v>
      </c>
      <c r="X162" s="58">
        <f t="shared" ca="1" si="45"/>
        <v>144</v>
      </c>
      <c r="Y162" s="61">
        <f t="shared" ca="1" si="46"/>
        <v>49105</v>
      </c>
      <c r="Z162" s="31">
        <f t="shared" ca="1" si="56"/>
        <v>3832.0835216968562</v>
      </c>
      <c r="AA162" s="31">
        <f t="shared" ca="1" si="62"/>
        <v>-1008.286840909531</v>
      </c>
      <c r="AB162" s="31">
        <f t="shared" ca="1" si="57"/>
        <v>-113428.47907952353</v>
      </c>
      <c r="AC162" t="str">
        <f t="shared" ca="1" si="47"/>
        <v/>
      </c>
      <c r="AD162" t="str">
        <f t="shared" ca="1" si="48"/>
        <v/>
      </c>
    </row>
    <row r="163" spans="1:30">
      <c r="A163" s="180">
        <f ca="1">'PRICE_IOF Ñ USAR'!A163</f>
        <v>145</v>
      </c>
      <c r="B163" s="179">
        <f ca="1">'PRICE_IOF Ñ USAR'!B163</f>
        <v>49135</v>
      </c>
      <c r="C163" s="177">
        <f t="shared" ca="1" si="49"/>
        <v>975.99242242601485</v>
      </c>
      <c r="D163" s="24">
        <f t="shared" ca="1" si="58"/>
        <v>1130.3780661969713</v>
      </c>
      <c r="E163" s="177">
        <f t="shared" ca="1" si="50"/>
        <v>121891.18846933584</v>
      </c>
      <c r="F163" s="178">
        <f t="shared" ca="1" si="51"/>
        <v>25.802107987269991</v>
      </c>
      <c r="G163" s="178">
        <f t="shared" ca="1" si="52"/>
        <v>26.319999999999997</v>
      </c>
      <c r="H163" s="177">
        <f t="shared" ca="1" si="53"/>
        <v>25</v>
      </c>
      <c r="I163" s="25">
        <f t="shared" ca="1" si="54"/>
        <v>2183.4925966102564</v>
      </c>
      <c r="J163" s="9" t="str">
        <f ca="1">'PRICE_IOF Ñ USAR'!J163</f>
        <v/>
      </c>
      <c r="K163" s="9" t="str">
        <f ca="1">'PRICE_IOF Ñ USAR'!K163</f>
        <v/>
      </c>
      <c r="L163" s="9">
        <f ca="1">'PRICE_IOF Ñ USAR'!L163</f>
        <v>7</v>
      </c>
      <c r="N163" s="176">
        <f t="shared" ca="1" si="55"/>
        <v>30</v>
      </c>
      <c r="O163" s="176">
        <f t="shared" ca="1" si="59"/>
        <v>4407</v>
      </c>
      <c r="P163" s="175">
        <f t="shared" ca="1" si="42"/>
        <v>3867.3386901586191</v>
      </c>
      <c r="Q163" s="11">
        <f t="shared" ca="1" si="43"/>
        <v>2.9930000000000002E-2</v>
      </c>
      <c r="R163" s="12">
        <f t="shared" ca="1" si="44"/>
        <v>115.74944699644747</v>
      </c>
      <c r="S163" s="513"/>
      <c r="U163" s="31">
        <f t="shared" ca="1" si="60"/>
        <v>2106.3704886229862</v>
      </c>
      <c r="V163" s="31">
        <f t="shared" ca="1" si="61"/>
        <v>2183.4925966102564</v>
      </c>
      <c r="X163" s="58">
        <f t="shared" ca="1" si="45"/>
        <v>145</v>
      </c>
      <c r="Y163" s="61">
        <f t="shared" ca="1" si="46"/>
        <v>49135</v>
      </c>
      <c r="Z163" s="31">
        <f t="shared" ca="1" si="56"/>
        <v>3867.3386901586191</v>
      </c>
      <c r="AA163" s="31">
        <f t="shared" ca="1" si="62"/>
        <v>-1043.5420093712939</v>
      </c>
      <c r="AB163" s="31">
        <f t="shared" ca="1" si="57"/>
        <v>-117295.81776968215</v>
      </c>
      <c r="AC163" t="str">
        <f t="shared" ca="1" si="47"/>
        <v/>
      </c>
      <c r="AD163" t="str">
        <f t="shared" ca="1" si="48"/>
        <v/>
      </c>
    </row>
    <row r="164" spans="1:30">
      <c r="A164" s="180">
        <f ca="1">'PRICE_IOF Ñ USAR'!A164</f>
        <v>146</v>
      </c>
      <c r="B164" s="179">
        <f ca="1">'PRICE_IOF Ñ USAR'!B164</f>
        <v>49166</v>
      </c>
      <c r="C164" s="177">
        <f t="shared" ca="1" si="49"/>
        <v>984.97155272816372</v>
      </c>
      <c r="D164" s="24">
        <f t="shared" ca="1" si="58"/>
        <v>1121.3989358948224</v>
      </c>
      <c r="E164" s="177">
        <f t="shared" ca="1" si="50"/>
        <v>120906.21691660768</v>
      </c>
      <c r="F164" s="178">
        <f t="shared" ca="1" si="51"/>
        <v>25.597149578560529</v>
      </c>
      <c r="G164" s="178">
        <f t="shared" ca="1" si="52"/>
        <v>26.319999999999997</v>
      </c>
      <c r="H164" s="177">
        <f t="shared" ca="1" si="53"/>
        <v>25</v>
      </c>
      <c r="I164" s="25">
        <f t="shared" ca="1" si="54"/>
        <v>2183.287638201547</v>
      </c>
      <c r="J164" s="9" t="str">
        <f ca="1">'PRICE_IOF Ñ USAR'!J164</f>
        <v/>
      </c>
      <c r="K164" s="9" t="str">
        <f ca="1">'PRICE_IOF Ñ USAR'!K164</f>
        <v/>
      </c>
      <c r="L164" s="9">
        <f ca="1">'PRICE_IOF Ñ USAR'!L164</f>
        <v>8</v>
      </c>
      <c r="N164" s="176">
        <f t="shared" ca="1" si="55"/>
        <v>31</v>
      </c>
      <c r="O164" s="176">
        <f t="shared" ca="1" si="59"/>
        <v>4438</v>
      </c>
      <c r="P164" s="175">
        <f t="shared" ca="1" si="42"/>
        <v>3902.9182061708025</v>
      </c>
      <c r="Q164" s="11">
        <f t="shared" ca="1" si="43"/>
        <v>2.9930000000000002E-2</v>
      </c>
      <c r="R164" s="12">
        <f t="shared" ca="1" si="44"/>
        <v>116.81434191069212</v>
      </c>
      <c r="S164" s="513"/>
      <c r="U164" s="31">
        <f t="shared" ca="1" si="60"/>
        <v>2106.3704886229862</v>
      </c>
      <c r="V164" s="31">
        <f t="shared" ca="1" si="61"/>
        <v>2183.287638201547</v>
      </c>
      <c r="X164" s="58">
        <f t="shared" ca="1" si="45"/>
        <v>146</v>
      </c>
      <c r="Y164" s="61">
        <f t="shared" ca="1" si="46"/>
        <v>49166</v>
      </c>
      <c r="Z164" s="31">
        <f t="shared" ca="1" si="56"/>
        <v>3902.9182061708025</v>
      </c>
      <c r="AA164" s="31">
        <f t="shared" ca="1" si="62"/>
        <v>-1079.1215253834769</v>
      </c>
      <c r="AB164" s="31">
        <f t="shared" ca="1" si="57"/>
        <v>-121198.73597585295</v>
      </c>
      <c r="AC164" t="str">
        <f t="shared" ca="1" si="47"/>
        <v/>
      </c>
      <c r="AD164" t="str">
        <f t="shared" ca="1" si="48"/>
        <v/>
      </c>
    </row>
    <row r="165" spans="1:30">
      <c r="A165" s="180">
        <f ca="1">'PRICE_IOF Ñ USAR'!A165</f>
        <v>147</v>
      </c>
      <c r="B165" s="179">
        <f ca="1">'PRICE_IOF Ñ USAR'!B165</f>
        <v>49197</v>
      </c>
      <c r="C165" s="177">
        <f t="shared" ca="1" si="49"/>
        <v>994.03329102923794</v>
      </c>
      <c r="D165" s="24">
        <f t="shared" ca="1" si="58"/>
        <v>1112.3371975937482</v>
      </c>
      <c r="E165" s="177">
        <f t="shared" ca="1" si="50"/>
        <v>119912.18362557844</v>
      </c>
      <c r="F165" s="178">
        <f t="shared" ca="1" si="51"/>
        <v>25.390305552487614</v>
      </c>
      <c r="G165" s="178">
        <f t="shared" ca="1" si="52"/>
        <v>26.319999999999997</v>
      </c>
      <c r="H165" s="177">
        <f t="shared" ca="1" si="53"/>
        <v>25</v>
      </c>
      <c r="I165" s="25">
        <f t="shared" ca="1" si="54"/>
        <v>2183.0807941754738</v>
      </c>
      <c r="J165" s="9" t="str">
        <f ca="1">'PRICE_IOF Ñ USAR'!J165</f>
        <v/>
      </c>
      <c r="K165" s="9" t="str">
        <f ca="1">'PRICE_IOF Ñ USAR'!K165</f>
        <v/>
      </c>
      <c r="L165" s="9">
        <f ca="1">'PRICE_IOF Ñ USAR'!L165</f>
        <v>9</v>
      </c>
      <c r="N165" s="176">
        <f t="shared" ca="1" si="55"/>
        <v>31</v>
      </c>
      <c r="O165" s="176">
        <f t="shared" ca="1" si="59"/>
        <v>4469</v>
      </c>
      <c r="P165" s="175">
        <f t="shared" ca="1" si="42"/>
        <v>3938.8250537308745</v>
      </c>
      <c r="Q165" s="11">
        <f t="shared" ca="1" si="43"/>
        <v>2.9930000000000002E-2</v>
      </c>
      <c r="R165" s="12">
        <f t="shared" ca="1" si="44"/>
        <v>117.88903385816508</v>
      </c>
      <c r="S165" s="513"/>
      <c r="U165" s="31">
        <f t="shared" ca="1" si="60"/>
        <v>2106.3704886229862</v>
      </c>
      <c r="V165" s="31">
        <f t="shared" ca="1" si="61"/>
        <v>2183.0807941754738</v>
      </c>
      <c r="X165" s="58">
        <f t="shared" ca="1" si="45"/>
        <v>147</v>
      </c>
      <c r="Y165" s="61">
        <f t="shared" ca="1" si="46"/>
        <v>49197</v>
      </c>
      <c r="Z165" s="31">
        <f t="shared" ca="1" si="56"/>
        <v>3938.8250537308745</v>
      </c>
      <c r="AA165" s="31">
        <f t="shared" ca="1" si="62"/>
        <v>-1115.0283729435491</v>
      </c>
      <c r="AB165" s="31">
        <f t="shared" ca="1" si="57"/>
        <v>-125137.56102958383</v>
      </c>
      <c r="AC165" t="str">
        <f t="shared" ca="1" si="47"/>
        <v/>
      </c>
      <c r="AD165" t="str">
        <f t="shared" ca="1" si="48"/>
        <v/>
      </c>
    </row>
    <row r="166" spans="1:30">
      <c r="A166" s="180">
        <f ca="1">'PRICE_IOF Ñ USAR'!A166</f>
        <v>148</v>
      </c>
      <c r="B166" s="179">
        <f ca="1">'PRICE_IOF Ñ USAR'!B166</f>
        <v>49227</v>
      </c>
      <c r="C166" s="177">
        <f t="shared" ca="1" si="49"/>
        <v>1003.1783973228289</v>
      </c>
      <c r="D166" s="24">
        <f t="shared" ca="1" si="58"/>
        <v>1103.1920913001572</v>
      </c>
      <c r="E166" s="177">
        <f t="shared" ca="1" si="50"/>
        <v>118909.00522825561</v>
      </c>
      <c r="F166" s="178">
        <f t="shared" ca="1" si="51"/>
        <v>25.181558561371475</v>
      </c>
      <c r="G166" s="178">
        <f t="shared" ca="1" si="52"/>
        <v>26.319999999999997</v>
      </c>
      <c r="H166" s="177">
        <f t="shared" ca="1" si="53"/>
        <v>25</v>
      </c>
      <c r="I166" s="25">
        <f t="shared" ca="1" si="54"/>
        <v>2182.8720471843576</v>
      </c>
      <c r="J166" s="9" t="str">
        <f ca="1">'PRICE_IOF Ñ USAR'!J166</f>
        <v/>
      </c>
      <c r="K166" s="9" t="str">
        <f ca="1">'PRICE_IOF Ñ USAR'!K166</f>
        <v/>
      </c>
      <c r="L166" s="9">
        <f ca="1">'PRICE_IOF Ñ USAR'!L166</f>
        <v>10</v>
      </c>
      <c r="N166" s="176">
        <f t="shared" ca="1" si="55"/>
        <v>30</v>
      </c>
      <c r="O166" s="176">
        <f t="shared" ca="1" si="59"/>
        <v>4499</v>
      </c>
      <c r="P166" s="175">
        <f t="shared" ca="1" si="42"/>
        <v>3975.0622442890817</v>
      </c>
      <c r="Q166" s="11">
        <f t="shared" ca="1" si="43"/>
        <v>2.9930000000000002E-2</v>
      </c>
      <c r="R166" s="12">
        <f t="shared" ca="1" si="44"/>
        <v>118.97361297157222</v>
      </c>
      <c r="S166" s="513"/>
      <c r="U166" s="31">
        <f t="shared" ca="1" si="60"/>
        <v>2106.3704886229862</v>
      </c>
      <c r="V166" s="31">
        <f t="shared" ca="1" si="61"/>
        <v>2182.8720471843576</v>
      </c>
      <c r="X166" s="58">
        <f t="shared" ca="1" si="45"/>
        <v>148</v>
      </c>
      <c r="Y166" s="61">
        <f t="shared" ca="1" si="46"/>
        <v>49227</v>
      </c>
      <c r="Z166" s="31">
        <f t="shared" ca="1" si="56"/>
        <v>3975.0622442890817</v>
      </c>
      <c r="AA166" s="31">
        <f t="shared" ca="1" si="62"/>
        <v>-1151.2655635017563</v>
      </c>
      <c r="AB166" s="31">
        <f t="shared" ca="1" si="57"/>
        <v>-129112.62327387292</v>
      </c>
      <c r="AC166" t="str">
        <f t="shared" ca="1" si="47"/>
        <v/>
      </c>
      <c r="AD166" t="str">
        <f t="shared" ca="1" si="48"/>
        <v/>
      </c>
    </row>
    <row r="167" spans="1:30">
      <c r="A167" s="180">
        <f ca="1">'PRICE_IOF Ñ USAR'!A167</f>
        <v>149</v>
      </c>
      <c r="B167" s="179">
        <f ca="1">'PRICE_IOF Ñ USAR'!B167</f>
        <v>49258</v>
      </c>
      <c r="C167" s="177">
        <f t="shared" ca="1" si="49"/>
        <v>1012.4076385944693</v>
      </c>
      <c r="D167" s="24">
        <f t="shared" ca="1" si="58"/>
        <v>1093.9628500285169</v>
      </c>
      <c r="E167" s="177">
        <f t="shared" ca="1" si="50"/>
        <v>117896.59758966115</v>
      </c>
      <c r="F167" s="178">
        <f t="shared" ca="1" si="51"/>
        <v>24.970891097933681</v>
      </c>
      <c r="G167" s="178">
        <f t="shared" ca="1" si="52"/>
        <v>26.319999999999997</v>
      </c>
      <c r="H167" s="177">
        <f t="shared" ca="1" si="53"/>
        <v>25</v>
      </c>
      <c r="I167" s="25">
        <f t="shared" ca="1" si="54"/>
        <v>2182.6613797209202</v>
      </c>
      <c r="J167" s="9" t="str">
        <f ca="1">'PRICE_IOF Ñ USAR'!J167</f>
        <v/>
      </c>
      <c r="K167" s="9" t="str">
        <f ca="1">'PRICE_IOF Ñ USAR'!K167</f>
        <v/>
      </c>
      <c r="L167" s="9">
        <f ca="1">'PRICE_IOF Ñ USAR'!L167</f>
        <v>11</v>
      </c>
      <c r="N167" s="176">
        <f t="shared" ca="1" si="55"/>
        <v>31</v>
      </c>
      <c r="O167" s="176">
        <f t="shared" ca="1" si="59"/>
        <v>4530</v>
      </c>
      <c r="P167" s="175">
        <f t="shared" ca="1" si="42"/>
        <v>4011.632817001012</v>
      </c>
      <c r="Q167" s="11">
        <f t="shared" ca="1" si="43"/>
        <v>2.9930000000000002E-2</v>
      </c>
      <c r="R167" s="12">
        <f t="shared" ca="1" si="44"/>
        <v>120.0681702128403</v>
      </c>
      <c r="S167" s="513"/>
      <c r="U167" s="31">
        <f t="shared" ca="1" si="60"/>
        <v>2106.3704886229862</v>
      </c>
      <c r="V167" s="31">
        <f t="shared" ca="1" si="61"/>
        <v>2182.6613797209202</v>
      </c>
      <c r="X167" s="58">
        <f t="shared" ca="1" si="45"/>
        <v>149</v>
      </c>
      <c r="Y167" s="61">
        <f t="shared" ca="1" si="46"/>
        <v>49258</v>
      </c>
      <c r="Z167" s="31">
        <f t="shared" ca="1" si="56"/>
        <v>4011.632817001012</v>
      </c>
      <c r="AA167" s="31">
        <f t="shared" ca="1" si="62"/>
        <v>-1187.8361362136868</v>
      </c>
      <c r="AB167" s="31">
        <f t="shared" ca="1" si="57"/>
        <v>-133124.25609087394</v>
      </c>
      <c r="AC167" t="str">
        <f t="shared" ca="1" si="47"/>
        <v/>
      </c>
      <c r="AD167" t="str">
        <f t="shared" ca="1" si="48"/>
        <v/>
      </c>
    </row>
    <row r="168" spans="1:30">
      <c r="A168" s="180">
        <f ca="1">'PRICE_IOF Ñ USAR'!A168</f>
        <v>150</v>
      </c>
      <c r="B168" s="179">
        <f ca="1">'PRICE_IOF Ñ USAR'!B168</f>
        <v>49288</v>
      </c>
      <c r="C168" s="177">
        <f t="shared" ca="1" si="49"/>
        <v>1021.7217888859584</v>
      </c>
      <c r="D168" s="24">
        <f t="shared" ca="1" si="58"/>
        <v>1084.6486997370278</v>
      </c>
      <c r="E168" s="177">
        <f t="shared" ca="1" si="50"/>
        <v>116874.87580077519</v>
      </c>
      <c r="F168" s="178">
        <f t="shared" ca="1" si="51"/>
        <v>24.758285493828843</v>
      </c>
      <c r="G168" s="178">
        <f t="shared" ca="1" si="52"/>
        <v>26.319999999999997</v>
      </c>
      <c r="H168" s="177">
        <f t="shared" ca="1" si="53"/>
        <v>25</v>
      </c>
      <c r="I168" s="25">
        <f t="shared" ca="1" si="54"/>
        <v>2182.448774116815</v>
      </c>
      <c r="J168" s="9" t="str">
        <f ca="1">'PRICE_IOF Ñ USAR'!J168</f>
        <v/>
      </c>
      <c r="K168" s="9" t="str">
        <f ca="1">'PRICE_IOF Ñ USAR'!K168</f>
        <v/>
      </c>
      <c r="L168" s="9">
        <f ca="1">'PRICE_IOF Ñ USAR'!L168</f>
        <v>12</v>
      </c>
      <c r="N168" s="176">
        <f t="shared" ca="1" si="55"/>
        <v>30</v>
      </c>
      <c r="O168" s="176">
        <f t="shared" ca="1" si="59"/>
        <v>4560</v>
      </c>
      <c r="P168" s="175">
        <f t="shared" ca="1" si="42"/>
        <v>4048.5398389824854</v>
      </c>
      <c r="Q168" s="11">
        <f t="shared" ca="1" si="43"/>
        <v>2.9930000000000002E-2</v>
      </c>
      <c r="R168" s="12">
        <f t="shared" ca="1" si="44"/>
        <v>121.17279738074579</v>
      </c>
      <c r="S168" s="513"/>
      <c r="U168" s="31">
        <f t="shared" ca="1" si="60"/>
        <v>2106.3704886229862</v>
      </c>
      <c r="V168" s="31">
        <f t="shared" ca="1" si="61"/>
        <v>2182.448774116815</v>
      </c>
      <c r="X168" s="58">
        <f t="shared" ca="1" si="45"/>
        <v>150</v>
      </c>
      <c r="Y168" s="61">
        <f t="shared" ca="1" si="46"/>
        <v>49288</v>
      </c>
      <c r="Z168" s="31">
        <f t="shared" ca="1" si="56"/>
        <v>4048.5398389824854</v>
      </c>
      <c r="AA168" s="31">
        <f t="shared" ca="1" si="62"/>
        <v>-1224.74315819516</v>
      </c>
      <c r="AB168" s="31">
        <f t="shared" ca="1" si="57"/>
        <v>-137172.79592985642</v>
      </c>
      <c r="AC168" t="str">
        <f t="shared" ca="1" si="47"/>
        <v/>
      </c>
      <c r="AD168" t="str">
        <f t="shared" ca="1" si="48"/>
        <v/>
      </c>
    </row>
    <row r="169" spans="1:30">
      <c r="A169" s="180">
        <f ca="1">'PRICE_IOF Ñ USAR'!A169</f>
        <v>151</v>
      </c>
      <c r="B169" s="179">
        <f ca="1">'PRICE_IOF Ñ USAR'!B169</f>
        <v>49319</v>
      </c>
      <c r="C169" s="177">
        <f t="shared" ca="1" si="49"/>
        <v>1031.1216293602804</v>
      </c>
      <c r="D169" s="24">
        <f t="shared" ca="1" si="58"/>
        <v>1075.2488592627058</v>
      </c>
      <c r="E169" s="177">
        <f t="shared" ca="1" si="50"/>
        <v>115843.75417141491</v>
      </c>
      <c r="F169" s="178">
        <f t="shared" ca="1" si="51"/>
        <v>24.54372391816279</v>
      </c>
      <c r="G169" s="178">
        <f t="shared" ca="1" si="52"/>
        <v>26.319999999999997</v>
      </c>
      <c r="H169" s="177">
        <f t="shared" ca="1" si="53"/>
        <v>25</v>
      </c>
      <c r="I169" s="25">
        <f t="shared" ca="1" si="54"/>
        <v>2182.2342125411492</v>
      </c>
      <c r="J169" s="9" t="str">
        <f ca="1">'PRICE_IOF Ñ USAR'!J169</f>
        <v/>
      </c>
      <c r="K169" s="9" t="str">
        <f ca="1">'PRICE_IOF Ñ USAR'!K169</f>
        <v/>
      </c>
      <c r="L169" s="9">
        <f ca="1">'PRICE_IOF Ñ USAR'!L169</f>
        <v>1</v>
      </c>
      <c r="N169" s="176">
        <f t="shared" ca="1" si="55"/>
        <v>31</v>
      </c>
      <c r="O169" s="176">
        <f t="shared" ca="1" si="59"/>
        <v>4591</v>
      </c>
      <c r="P169" s="175">
        <f t="shared" ca="1" si="42"/>
        <v>4085.7864055667869</v>
      </c>
      <c r="Q169" s="11">
        <f t="shared" ca="1" si="43"/>
        <v>2.9930000000000002E-2</v>
      </c>
      <c r="R169" s="12">
        <f t="shared" ca="1" si="44"/>
        <v>122.28758711861394</v>
      </c>
      <c r="S169" s="513"/>
      <c r="U169" s="31">
        <f t="shared" ca="1" si="60"/>
        <v>2106.3704886229862</v>
      </c>
      <c r="V169" s="31">
        <f t="shared" ca="1" si="61"/>
        <v>2182.2342125411492</v>
      </c>
      <c r="X169" s="58">
        <f t="shared" ca="1" si="45"/>
        <v>151</v>
      </c>
      <c r="Y169" s="61">
        <f t="shared" ca="1" si="46"/>
        <v>49319</v>
      </c>
      <c r="Z169" s="31">
        <f t="shared" ca="1" si="56"/>
        <v>4085.7864055667869</v>
      </c>
      <c r="AA169" s="31">
        <f t="shared" ca="1" si="62"/>
        <v>-1261.9897247794615</v>
      </c>
      <c r="AB169" s="31">
        <f t="shared" ca="1" si="57"/>
        <v>-141258.58233542321</v>
      </c>
      <c r="AC169" t="str">
        <f t="shared" ca="1" si="47"/>
        <v/>
      </c>
      <c r="AD169" t="str">
        <f t="shared" ca="1" si="48"/>
        <v/>
      </c>
    </row>
    <row r="170" spans="1:30">
      <c r="A170" s="180">
        <f ca="1">'PRICE_IOF Ñ USAR'!A170</f>
        <v>152</v>
      </c>
      <c r="B170" s="179">
        <f ca="1">'PRICE_IOF Ñ USAR'!B170</f>
        <v>49350</v>
      </c>
      <c r="C170" s="177">
        <f t="shared" ca="1" si="49"/>
        <v>1040.6079483671185</v>
      </c>
      <c r="D170" s="24">
        <f t="shared" ca="1" si="58"/>
        <v>1065.7625402558676</v>
      </c>
      <c r="E170" s="177">
        <f t="shared" ca="1" si="50"/>
        <v>114803.14622304779</v>
      </c>
      <c r="F170" s="178">
        <f t="shared" ca="1" si="51"/>
        <v>24.327188375997132</v>
      </c>
      <c r="G170" s="178">
        <f t="shared" ca="1" si="52"/>
        <v>26.319999999999997</v>
      </c>
      <c r="H170" s="177">
        <f t="shared" ca="1" si="53"/>
        <v>25</v>
      </c>
      <c r="I170" s="25">
        <f t="shared" ca="1" si="54"/>
        <v>2182.0176769989835</v>
      </c>
      <c r="J170" s="9" t="str">
        <f ca="1">'PRICE_IOF Ñ USAR'!J170</f>
        <v/>
      </c>
      <c r="K170" s="9" t="str">
        <f ca="1">'PRICE_IOF Ñ USAR'!K170</f>
        <v/>
      </c>
      <c r="L170" s="9">
        <f ca="1">'PRICE_IOF Ñ USAR'!L170</f>
        <v>2</v>
      </c>
      <c r="N170" s="176">
        <f t="shared" ca="1" si="55"/>
        <v>31</v>
      </c>
      <c r="O170" s="176">
        <f t="shared" ca="1" si="59"/>
        <v>4622</v>
      </c>
      <c r="P170" s="175">
        <f t="shared" ca="1" si="42"/>
        <v>4123.375640564268</v>
      </c>
      <c r="Q170" s="11">
        <f t="shared" ca="1" si="43"/>
        <v>2.9930000000000002E-2</v>
      </c>
      <c r="R170" s="12">
        <f t="shared" ca="1" si="44"/>
        <v>123.41263292208855</v>
      </c>
      <c r="S170" s="513"/>
      <c r="U170" s="31">
        <f t="shared" ca="1" si="60"/>
        <v>2106.3704886229862</v>
      </c>
      <c r="V170" s="31">
        <f t="shared" ca="1" si="61"/>
        <v>2182.0176769989835</v>
      </c>
      <c r="X170" s="58">
        <f t="shared" ca="1" si="45"/>
        <v>152</v>
      </c>
      <c r="Y170" s="61">
        <f t="shared" ca="1" si="46"/>
        <v>49350</v>
      </c>
      <c r="Z170" s="31">
        <f t="shared" ca="1" si="56"/>
        <v>4123.375640564268</v>
      </c>
      <c r="AA170" s="31">
        <f t="shared" ca="1" si="62"/>
        <v>-1299.5789597769428</v>
      </c>
      <c r="AB170" s="31">
        <f t="shared" ca="1" si="57"/>
        <v>-145381.95797598749</v>
      </c>
      <c r="AC170" t="str">
        <f t="shared" ca="1" si="47"/>
        <v/>
      </c>
      <c r="AD170" t="str">
        <f t="shared" ca="1" si="48"/>
        <v/>
      </c>
    </row>
    <row r="171" spans="1:30">
      <c r="A171" s="180">
        <f ca="1">'PRICE_IOF Ñ USAR'!A171</f>
        <v>153</v>
      </c>
      <c r="B171" s="179">
        <f ca="1">'PRICE_IOF Ñ USAR'!B171</f>
        <v>49378</v>
      </c>
      <c r="C171" s="177">
        <f t="shared" ca="1" si="49"/>
        <v>1050.1815415089736</v>
      </c>
      <c r="D171" s="24">
        <f t="shared" ca="1" si="58"/>
        <v>1056.1889471140125</v>
      </c>
      <c r="E171" s="177">
        <f t="shared" ca="1" si="50"/>
        <v>113752.96468153881</v>
      </c>
      <c r="F171" s="178">
        <f t="shared" ca="1" si="51"/>
        <v>24.108660706840038</v>
      </c>
      <c r="G171" s="178">
        <f t="shared" ca="1" si="52"/>
        <v>26.319999999999997</v>
      </c>
      <c r="H171" s="177">
        <f t="shared" ca="1" si="53"/>
        <v>25</v>
      </c>
      <c r="I171" s="25">
        <f t="shared" ca="1" si="54"/>
        <v>2181.7991493298264</v>
      </c>
      <c r="J171" s="9" t="str">
        <f ca="1">'PRICE_IOF Ñ USAR'!J171</f>
        <v/>
      </c>
      <c r="K171" s="9" t="str">
        <f ca="1">'PRICE_IOF Ñ USAR'!K171</f>
        <v/>
      </c>
      <c r="L171" s="9">
        <f ca="1">'PRICE_IOF Ñ USAR'!L171</f>
        <v>3</v>
      </c>
      <c r="N171" s="176">
        <f t="shared" ca="1" si="55"/>
        <v>28</v>
      </c>
      <c r="O171" s="176">
        <f t="shared" ca="1" si="59"/>
        <v>4650</v>
      </c>
      <c r="P171" s="175">
        <f t="shared" ca="1" si="42"/>
        <v>4161.310696524336</v>
      </c>
      <c r="Q171" s="11">
        <f t="shared" ca="1" si="43"/>
        <v>2.9930000000000002E-2</v>
      </c>
      <c r="R171" s="12">
        <f t="shared" ca="1" si="44"/>
        <v>124.54802914697338</v>
      </c>
      <c r="S171" s="513"/>
      <c r="U171" s="31">
        <f t="shared" ca="1" si="60"/>
        <v>2106.3704886229862</v>
      </c>
      <c r="V171" s="31">
        <f t="shared" ca="1" si="61"/>
        <v>2181.7991493298264</v>
      </c>
      <c r="X171" s="58">
        <f t="shared" ca="1" si="45"/>
        <v>153</v>
      </c>
      <c r="Y171" s="61">
        <f t="shared" ca="1" si="46"/>
        <v>49378</v>
      </c>
      <c r="Z171" s="31">
        <f t="shared" ca="1" si="56"/>
        <v>4161.310696524336</v>
      </c>
      <c r="AA171" s="31">
        <f t="shared" ca="1" si="62"/>
        <v>-1337.5140157370104</v>
      </c>
      <c r="AB171" s="31">
        <f t="shared" ca="1" si="57"/>
        <v>-149543.26867251183</v>
      </c>
      <c r="AC171" t="str">
        <f t="shared" ca="1" si="47"/>
        <v/>
      </c>
      <c r="AD171" t="str">
        <f t="shared" ca="1" si="48"/>
        <v/>
      </c>
    </row>
    <row r="172" spans="1:30">
      <c r="A172" s="180">
        <f ca="1">'PRICE_IOF Ñ USAR'!A172</f>
        <v>154</v>
      </c>
      <c r="B172" s="179">
        <f ca="1">'PRICE_IOF Ñ USAR'!B172</f>
        <v>49409</v>
      </c>
      <c r="C172" s="177">
        <f t="shared" ca="1" si="49"/>
        <v>1059.8432117078889</v>
      </c>
      <c r="D172" s="24">
        <f t="shared" ca="1" si="58"/>
        <v>1046.5272769150972</v>
      </c>
      <c r="E172" s="177">
        <f t="shared" ca="1" si="50"/>
        <v>112693.12146983092</v>
      </c>
      <c r="F172" s="178">
        <f t="shared" ca="1" si="51"/>
        <v>23.888122583123153</v>
      </c>
      <c r="G172" s="178">
        <f t="shared" ca="1" si="52"/>
        <v>26.319999999999997</v>
      </c>
      <c r="H172" s="177">
        <f t="shared" ca="1" si="53"/>
        <v>25</v>
      </c>
      <c r="I172" s="25">
        <f t="shared" ca="1" si="54"/>
        <v>2181.5786112061096</v>
      </c>
      <c r="J172" s="9" t="str">
        <f ca="1">'PRICE_IOF Ñ USAR'!J172</f>
        <v/>
      </c>
      <c r="K172" s="9" t="str">
        <f ca="1">'PRICE_IOF Ñ USAR'!K172</f>
        <v/>
      </c>
      <c r="L172" s="9">
        <f ca="1">'PRICE_IOF Ñ USAR'!L172</f>
        <v>4</v>
      </c>
      <c r="N172" s="176">
        <f t="shared" ca="1" si="55"/>
        <v>31</v>
      </c>
      <c r="O172" s="176">
        <f t="shared" ca="1" si="59"/>
        <v>4681</v>
      </c>
      <c r="P172" s="175">
        <f t="shared" ca="1" si="42"/>
        <v>4199.5947549998509</v>
      </c>
      <c r="Q172" s="11">
        <f t="shared" ca="1" si="43"/>
        <v>2.9930000000000002E-2</v>
      </c>
      <c r="R172" s="12">
        <f t="shared" ca="1" si="44"/>
        <v>125.69387101714554</v>
      </c>
      <c r="S172" s="513"/>
      <c r="U172" s="31">
        <f t="shared" ca="1" si="60"/>
        <v>2106.3704886229862</v>
      </c>
      <c r="V172" s="31">
        <f t="shared" ca="1" si="61"/>
        <v>2181.5786112061096</v>
      </c>
      <c r="X172" s="58">
        <f t="shared" ca="1" si="45"/>
        <v>154</v>
      </c>
      <c r="Y172" s="61">
        <f t="shared" ca="1" si="46"/>
        <v>49409</v>
      </c>
      <c r="Z172" s="31">
        <f t="shared" ca="1" si="56"/>
        <v>4199.5947549998509</v>
      </c>
      <c r="AA172" s="31">
        <f t="shared" ca="1" si="62"/>
        <v>-1375.798074212526</v>
      </c>
      <c r="AB172" s="31">
        <f t="shared" ca="1" si="57"/>
        <v>-153742.86342751168</v>
      </c>
      <c r="AC172" t="str">
        <f t="shared" ca="1" si="47"/>
        <v/>
      </c>
      <c r="AD172" t="str">
        <f t="shared" ca="1" si="48"/>
        <v/>
      </c>
    </row>
    <row r="173" spans="1:30">
      <c r="A173" s="180">
        <f ca="1">'PRICE_IOF Ñ USAR'!A173</f>
        <v>155</v>
      </c>
      <c r="B173" s="179">
        <f ca="1">'PRICE_IOF Ñ USAR'!B173</f>
        <v>49439</v>
      </c>
      <c r="C173" s="177">
        <f t="shared" ca="1" si="49"/>
        <v>1069.593769272791</v>
      </c>
      <c r="D173" s="24">
        <f t="shared" ca="1" si="58"/>
        <v>1036.7767193501952</v>
      </c>
      <c r="E173" s="177">
        <f t="shared" ca="1" si="50"/>
        <v>111623.52770055813</v>
      </c>
      <c r="F173" s="178">
        <f t="shared" ca="1" si="51"/>
        <v>23.665555508664493</v>
      </c>
      <c r="G173" s="178">
        <f t="shared" ca="1" si="52"/>
        <v>26.319999999999997</v>
      </c>
      <c r="H173" s="177">
        <f t="shared" ca="1" si="53"/>
        <v>25</v>
      </c>
      <c r="I173" s="25">
        <f t="shared" ca="1" si="54"/>
        <v>2181.3560441316508</v>
      </c>
      <c r="J173" s="9" t="str">
        <f ca="1">'PRICE_IOF Ñ USAR'!J173</f>
        <v/>
      </c>
      <c r="K173" s="9" t="str">
        <f ca="1">'PRICE_IOF Ñ USAR'!K173</f>
        <v/>
      </c>
      <c r="L173" s="9">
        <f ca="1">'PRICE_IOF Ñ USAR'!L173</f>
        <v>5</v>
      </c>
      <c r="N173" s="176">
        <f t="shared" ca="1" si="55"/>
        <v>30</v>
      </c>
      <c r="O173" s="176">
        <f t="shared" ca="1" si="59"/>
        <v>4711</v>
      </c>
      <c r="P173" s="175">
        <f t="shared" ca="1" si="42"/>
        <v>4238.2310268139627</v>
      </c>
      <c r="Q173" s="11">
        <f t="shared" ca="1" si="43"/>
        <v>2.9930000000000002E-2</v>
      </c>
      <c r="R173" s="12">
        <f t="shared" ca="1" si="44"/>
        <v>126.8502546325419</v>
      </c>
      <c r="S173" s="513"/>
      <c r="U173" s="31">
        <f t="shared" ca="1" si="60"/>
        <v>2106.3704886229862</v>
      </c>
      <c r="V173" s="31">
        <f t="shared" ca="1" si="61"/>
        <v>2181.3560441316508</v>
      </c>
      <c r="X173" s="58">
        <f t="shared" ca="1" si="45"/>
        <v>155</v>
      </c>
      <c r="Y173" s="61">
        <f t="shared" ca="1" si="46"/>
        <v>49439</v>
      </c>
      <c r="Z173" s="31">
        <f t="shared" ca="1" si="56"/>
        <v>4238.2310268139627</v>
      </c>
      <c r="AA173" s="31">
        <f t="shared" ca="1" si="62"/>
        <v>-1414.4343460266371</v>
      </c>
      <c r="AB173" s="31">
        <f t="shared" ca="1" si="57"/>
        <v>-157981.09445432565</v>
      </c>
      <c r="AC173" t="str">
        <f t="shared" ca="1" si="47"/>
        <v/>
      </c>
      <c r="AD173" t="str">
        <f t="shared" ca="1" si="48"/>
        <v/>
      </c>
    </row>
    <row r="174" spans="1:30">
      <c r="A174" s="180">
        <f ca="1">'PRICE_IOF Ñ USAR'!A174</f>
        <v>156</v>
      </c>
      <c r="B174" s="179">
        <f ca="1">'PRICE_IOF Ñ USAR'!B174</f>
        <v>49470</v>
      </c>
      <c r="C174" s="177">
        <f t="shared" ca="1" si="49"/>
        <v>1079.4340319674482</v>
      </c>
      <c r="D174" s="24">
        <f t="shared" ca="1" si="58"/>
        <v>1026.936456655538</v>
      </c>
      <c r="E174" s="177">
        <f t="shared" ca="1" si="50"/>
        <v>110544.09366859068</v>
      </c>
      <c r="F174" s="178">
        <f t="shared" ca="1" si="51"/>
        <v>23.440940817117209</v>
      </c>
      <c r="G174" s="178">
        <f t="shared" ca="1" si="52"/>
        <v>26.319999999999997</v>
      </c>
      <c r="H174" s="177">
        <f t="shared" ca="1" si="53"/>
        <v>25</v>
      </c>
      <c r="I174" s="25">
        <f t="shared" ca="1" si="54"/>
        <v>2181.1314294401036</v>
      </c>
      <c r="J174" s="9" t="str">
        <f ca="1">'PRICE_IOF Ñ USAR'!J174</f>
        <v/>
      </c>
      <c r="K174" s="9" t="str">
        <f ca="1">'PRICE_IOF Ñ USAR'!K174</f>
        <v/>
      </c>
      <c r="L174" s="9">
        <f ca="1">'PRICE_IOF Ñ USAR'!L174</f>
        <v>6</v>
      </c>
      <c r="N174" s="176">
        <f t="shared" ca="1" si="55"/>
        <v>31</v>
      </c>
      <c r="O174" s="176">
        <f t="shared" ca="1" si="59"/>
        <v>4742</v>
      </c>
      <c r="P174" s="175">
        <f t="shared" ca="1" si="42"/>
        <v>4277.2227523293905</v>
      </c>
      <c r="Q174" s="11">
        <f t="shared" ca="1" si="43"/>
        <v>2.9930000000000002E-2</v>
      </c>
      <c r="R174" s="12">
        <f t="shared" ca="1" si="44"/>
        <v>128.01727697721867</v>
      </c>
      <c r="S174" s="513"/>
      <c r="U174" s="31">
        <f t="shared" ca="1" si="60"/>
        <v>2106.3704886229862</v>
      </c>
      <c r="V174" s="31">
        <f t="shared" ca="1" si="61"/>
        <v>2181.1314294401036</v>
      </c>
      <c r="X174" s="58">
        <f t="shared" ca="1" si="45"/>
        <v>156</v>
      </c>
      <c r="Y174" s="61">
        <f t="shared" ca="1" si="46"/>
        <v>49470</v>
      </c>
      <c r="Z174" s="31">
        <f t="shared" ca="1" si="56"/>
        <v>4277.2227523293905</v>
      </c>
      <c r="AA174" s="31">
        <f t="shared" ca="1" si="62"/>
        <v>-1453.4260715420648</v>
      </c>
      <c r="AB174" s="31">
        <f t="shared" ca="1" si="57"/>
        <v>-162258.31720665505</v>
      </c>
      <c r="AC174" t="str">
        <f t="shared" ca="1" si="47"/>
        <v/>
      </c>
      <c r="AD174" t="str">
        <f t="shared" ca="1" si="48"/>
        <v/>
      </c>
    </row>
    <row r="175" spans="1:30">
      <c r="A175" s="180">
        <f ca="1">'PRICE_IOF Ñ USAR'!A175</f>
        <v>157</v>
      </c>
      <c r="B175" s="179">
        <f ca="1">'PRICE_IOF Ñ USAR'!B175</f>
        <v>49500</v>
      </c>
      <c r="C175" s="177">
        <f t="shared" ca="1" si="49"/>
        <v>1089.3648250790559</v>
      </c>
      <c r="D175" s="24">
        <f t="shared" ca="1" si="58"/>
        <v>1017.0056635439303</v>
      </c>
      <c r="E175" s="177">
        <f t="shared" ca="1" si="50"/>
        <v>109454.72884351162</v>
      </c>
      <c r="F175" s="178">
        <f t="shared" ca="1" si="51"/>
        <v>23.214259670404044</v>
      </c>
      <c r="G175" s="178">
        <f t="shared" ca="1" si="52"/>
        <v>26.319999999999997</v>
      </c>
      <c r="H175" s="177">
        <f t="shared" ca="1" si="53"/>
        <v>25</v>
      </c>
      <c r="I175" s="25">
        <f t="shared" ca="1" si="54"/>
        <v>2180.9047482933902</v>
      </c>
      <c r="J175" s="9" t="str">
        <f ca="1">'PRICE_IOF Ñ USAR'!J175</f>
        <v/>
      </c>
      <c r="K175" s="9" t="str">
        <f ca="1">'PRICE_IOF Ñ USAR'!K175</f>
        <v/>
      </c>
      <c r="L175" s="9">
        <f ca="1">'PRICE_IOF Ñ USAR'!L175</f>
        <v>7</v>
      </c>
      <c r="N175" s="176">
        <f t="shared" ca="1" si="55"/>
        <v>30</v>
      </c>
      <c r="O175" s="176">
        <f t="shared" ca="1" si="59"/>
        <v>4772</v>
      </c>
      <c r="P175" s="175">
        <f t="shared" ca="1" si="42"/>
        <v>4316.5732017201917</v>
      </c>
      <c r="Q175" s="11">
        <f t="shared" ca="1" si="43"/>
        <v>2.9930000000000002E-2</v>
      </c>
      <c r="R175" s="12">
        <f t="shared" ca="1" si="44"/>
        <v>129.19503592748535</v>
      </c>
      <c r="S175" s="513"/>
      <c r="U175" s="31">
        <f t="shared" ca="1" si="60"/>
        <v>2106.3704886229862</v>
      </c>
      <c r="V175" s="31">
        <f t="shared" ca="1" si="61"/>
        <v>2180.9047482933902</v>
      </c>
      <c r="X175" s="58">
        <f t="shared" ca="1" si="45"/>
        <v>157</v>
      </c>
      <c r="Y175" s="61">
        <f t="shared" ca="1" si="46"/>
        <v>49500</v>
      </c>
      <c r="Z175" s="31">
        <f t="shared" ca="1" si="56"/>
        <v>4316.5732017201917</v>
      </c>
      <c r="AA175" s="31">
        <f t="shared" ca="1" si="62"/>
        <v>-1492.7765209328668</v>
      </c>
      <c r="AB175" s="31">
        <f t="shared" ca="1" si="57"/>
        <v>-166574.89040837524</v>
      </c>
      <c r="AC175" t="str">
        <f t="shared" ca="1" si="47"/>
        <v/>
      </c>
      <c r="AD175" t="str">
        <f t="shared" ca="1" si="48"/>
        <v/>
      </c>
    </row>
    <row r="176" spans="1:30">
      <c r="A176" s="180">
        <f ca="1">'PRICE_IOF Ñ USAR'!A176</f>
        <v>158</v>
      </c>
      <c r="B176" s="179">
        <f ca="1">'PRICE_IOF Ñ USAR'!B176</f>
        <v>49531</v>
      </c>
      <c r="C176" s="177">
        <f t="shared" ca="1" si="49"/>
        <v>1099.3869814874515</v>
      </c>
      <c r="D176" s="24">
        <f t="shared" ca="1" si="58"/>
        <v>1006.9835071355348</v>
      </c>
      <c r="E176" s="177">
        <f t="shared" ca="1" si="50"/>
        <v>108355.34186202417</v>
      </c>
      <c r="F176" s="178">
        <f t="shared" ca="1" si="51"/>
        <v>22.98549305713744</v>
      </c>
      <c r="G176" s="178">
        <f t="shared" ca="1" si="52"/>
        <v>26.319999999999997</v>
      </c>
      <c r="H176" s="177">
        <f t="shared" ca="1" si="53"/>
        <v>25</v>
      </c>
      <c r="I176" s="25">
        <f t="shared" ca="1" si="54"/>
        <v>2180.6759816801236</v>
      </c>
      <c r="J176" s="9" t="str">
        <f ca="1">'PRICE_IOF Ñ USAR'!J176</f>
        <v/>
      </c>
      <c r="K176" s="9" t="str">
        <f ca="1">'PRICE_IOF Ñ USAR'!K176</f>
        <v/>
      </c>
      <c r="L176" s="9">
        <f ca="1">'PRICE_IOF Ñ USAR'!L176</f>
        <v>8</v>
      </c>
      <c r="N176" s="176">
        <f t="shared" ca="1" si="55"/>
        <v>31</v>
      </c>
      <c r="O176" s="176">
        <f t="shared" ca="1" si="59"/>
        <v>4803</v>
      </c>
      <c r="P176" s="175">
        <f t="shared" ca="1" si="42"/>
        <v>4356.2856752460275</v>
      </c>
      <c r="Q176" s="11">
        <f t="shared" ca="1" si="43"/>
        <v>2.9930000000000002E-2</v>
      </c>
      <c r="R176" s="12">
        <f t="shared" ca="1" si="44"/>
        <v>130.38363026011362</v>
      </c>
      <c r="S176" s="513"/>
      <c r="U176" s="31">
        <f t="shared" ca="1" si="60"/>
        <v>2106.3704886229862</v>
      </c>
      <c r="V176" s="31">
        <f t="shared" ca="1" si="61"/>
        <v>2180.6759816801236</v>
      </c>
      <c r="X176" s="58">
        <f t="shared" ca="1" si="45"/>
        <v>158</v>
      </c>
      <c r="Y176" s="61">
        <f t="shared" ca="1" si="46"/>
        <v>49531</v>
      </c>
      <c r="Z176" s="31">
        <f t="shared" ca="1" si="56"/>
        <v>4356.2856752460275</v>
      </c>
      <c r="AA176" s="31">
        <f t="shared" ca="1" si="62"/>
        <v>-1532.4889944587023</v>
      </c>
      <c r="AB176" s="31">
        <f t="shared" ca="1" si="57"/>
        <v>-170931.17608362128</v>
      </c>
      <c r="AC176" t="str">
        <f t="shared" ca="1" si="47"/>
        <v/>
      </c>
      <c r="AD176" t="str">
        <f t="shared" ca="1" si="48"/>
        <v/>
      </c>
    </row>
    <row r="177" spans="1:30">
      <c r="A177" s="180">
        <f ca="1">'PRICE_IOF Ñ USAR'!A177</f>
        <v>159</v>
      </c>
      <c r="B177" s="179">
        <f ca="1">'PRICE_IOF Ñ USAR'!B177</f>
        <v>49562</v>
      </c>
      <c r="C177" s="177">
        <f t="shared" ca="1" si="49"/>
        <v>1109.5013417349667</v>
      </c>
      <c r="D177" s="24">
        <f t="shared" ca="1" si="58"/>
        <v>996.86914688801949</v>
      </c>
      <c r="E177" s="177">
        <f t="shared" ca="1" si="50"/>
        <v>107245.8405202892</v>
      </c>
      <c r="F177" s="178">
        <f t="shared" ca="1" si="51"/>
        <v>22.754621791025077</v>
      </c>
      <c r="G177" s="178">
        <f t="shared" ca="1" si="52"/>
        <v>26.319999999999997</v>
      </c>
      <c r="H177" s="177">
        <f t="shared" ca="1" si="53"/>
        <v>25</v>
      </c>
      <c r="I177" s="25">
        <f t="shared" ca="1" si="54"/>
        <v>2180.4451104140112</v>
      </c>
      <c r="J177" s="9" t="str">
        <f ca="1">'PRICE_IOF Ñ USAR'!J177</f>
        <v/>
      </c>
      <c r="K177" s="9" t="str">
        <f ca="1">'PRICE_IOF Ñ USAR'!K177</f>
        <v/>
      </c>
      <c r="L177" s="9">
        <f ca="1">'PRICE_IOF Ñ USAR'!L177</f>
        <v>9</v>
      </c>
      <c r="N177" s="176">
        <f t="shared" ca="1" si="55"/>
        <v>31</v>
      </c>
      <c r="O177" s="176">
        <f t="shared" ca="1" si="59"/>
        <v>4834</v>
      </c>
      <c r="P177" s="175">
        <f t="shared" ca="1" si="42"/>
        <v>4396.3635035289453</v>
      </c>
      <c r="Q177" s="11">
        <f t="shared" ca="1" si="43"/>
        <v>2.9930000000000002E-2</v>
      </c>
      <c r="R177" s="12">
        <f t="shared" ca="1" si="44"/>
        <v>131.58315966062133</v>
      </c>
      <c r="S177" s="513"/>
      <c r="U177" s="31">
        <f t="shared" ca="1" si="60"/>
        <v>2106.3704886229862</v>
      </c>
      <c r="V177" s="31">
        <f t="shared" ca="1" si="61"/>
        <v>2180.4451104140112</v>
      </c>
      <c r="X177" s="58">
        <f t="shared" ca="1" si="45"/>
        <v>159</v>
      </c>
      <c r="Y177" s="61">
        <f t="shared" ca="1" si="46"/>
        <v>49562</v>
      </c>
      <c r="Z177" s="31">
        <f t="shared" ca="1" si="56"/>
        <v>4396.3635035289453</v>
      </c>
      <c r="AA177" s="31">
        <f t="shared" ca="1" si="62"/>
        <v>-1572.5668227416197</v>
      </c>
      <c r="AB177" s="31">
        <f t="shared" ca="1" si="57"/>
        <v>-175327.53958715021</v>
      </c>
      <c r="AC177" t="str">
        <f t="shared" ca="1" si="47"/>
        <v/>
      </c>
      <c r="AD177" t="str">
        <f t="shared" ca="1" si="48"/>
        <v/>
      </c>
    </row>
    <row r="178" spans="1:30">
      <c r="A178" s="180">
        <f ca="1">'PRICE_IOF Ñ USAR'!A178</f>
        <v>160</v>
      </c>
      <c r="B178" s="179">
        <f ca="1">'PRICE_IOF Ñ USAR'!B178</f>
        <v>49592</v>
      </c>
      <c r="C178" s="177">
        <f t="shared" ca="1" si="49"/>
        <v>1119.7087540969233</v>
      </c>
      <c r="D178" s="24">
        <f t="shared" ca="1" si="58"/>
        <v>986.6617345260629</v>
      </c>
      <c r="E178" s="177">
        <f t="shared" ca="1" si="50"/>
        <v>106126.13176619228</v>
      </c>
      <c r="F178" s="178">
        <f t="shared" ca="1" si="51"/>
        <v>22.521626509260734</v>
      </c>
      <c r="G178" s="178">
        <f t="shared" ca="1" si="52"/>
        <v>26.319999999999997</v>
      </c>
      <c r="H178" s="177">
        <f t="shared" ca="1" si="53"/>
        <v>25</v>
      </c>
      <c r="I178" s="25">
        <f t="shared" ca="1" si="54"/>
        <v>2180.2121151322472</v>
      </c>
      <c r="J178" s="9" t="str">
        <f ca="1">'PRICE_IOF Ñ USAR'!J178</f>
        <v/>
      </c>
      <c r="K178" s="9" t="str">
        <f ca="1">'PRICE_IOF Ñ USAR'!K178</f>
        <v/>
      </c>
      <c r="L178" s="9">
        <f ca="1">'PRICE_IOF Ñ USAR'!L178</f>
        <v>10</v>
      </c>
      <c r="N178" s="176">
        <f t="shared" ca="1" si="55"/>
        <v>30</v>
      </c>
      <c r="O178" s="176">
        <f t="shared" ca="1" si="59"/>
        <v>4864</v>
      </c>
      <c r="P178" s="175">
        <f t="shared" ca="1" si="42"/>
        <v>4436.8100478327151</v>
      </c>
      <c r="Q178" s="11">
        <f t="shared" ca="1" si="43"/>
        <v>2.9930000000000002E-2</v>
      </c>
      <c r="R178" s="12">
        <f t="shared" ca="1" si="44"/>
        <v>132.79372473163318</v>
      </c>
      <c r="S178" s="513"/>
      <c r="U178" s="31">
        <f t="shared" ca="1" si="60"/>
        <v>2106.3704886229862</v>
      </c>
      <c r="V178" s="31">
        <f t="shared" ca="1" si="61"/>
        <v>2180.2121151322472</v>
      </c>
      <c r="X178" s="58">
        <f t="shared" ca="1" si="45"/>
        <v>160</v>
      </c>
      <c r="Y178" s="61">
        <f t="shared" ca="1" si="46"/>
        <v>49592</v>
      </c>
      <c r="Z178" s="31">
        <f t="shared" ca="1" si="56"/>
        <v>4436.8100478327151</v>
      </c>
      <c r="AA178" s="31">
        <f t="shared" ca="1" si="62"/>
        <v>-1613.0133670453897</v>
      </c>
      <c r="AB178" s="31">
        <f t="shared" ca="1" si="57"/>
        <v>-179764.34963498294</v>
      </c>
      <c r="AC178" t="str">
        <f t="shared" ca="1" si="47"/>
        <v/>
      </c>
      <c r="AD178" t="str">
        <f t="shared" ca="1" si="48"/>
        <v/>
      </c>
    </row>
    <row r="179" spans="1:30">
      <c r="A179" s="180">
        <f ca="1">'PRICE_IOF Ñ USAR'!A179</f>
        <v>161</v>
      </c>
      <c r="B179" s="179">
        <f ca="1">'PRICE_IOF Ñ USAR'!B179</f>
        <v>49623</v>
      </c>
      <c r="C179" s="177">
        <f t="shared" ca="1" si="49"/>
        <v>1130.0100746527753</v>
      </c>
      <c r="D179" s="24">
        <f t="shared" ca="1" si="58"/>
        <v>976.36041397021086</v>
      </c>
      <c r="E179" s="177">
        <f t="shared" ca="1" si="50"/>
        <v>104996.12169153951</v>
      </c>
      <c r="F179" s="178">
        <f t="shared" ca="1" si="51"/>
        <v>22.286487670900378</v>
      </c>
      <c r="G179" s="178">
        <f t="shared" ca="1" si="52"/>
        <v>26.319999999999997</v>
      </c>
      <c r="H179" s="177">
        <f t="shared" ca="1" si="53"/>
        <v>25</v>
      </c>
      <c r="I179" s="25">
        <f t="shared" ca="1" si="54"/>
        <v>2179.9769762938868</v>
      </c>
      <c r="J179" s="9" t="str">
        <f ca="1">'PRICE_IOF Ñ USAR'!J179</f>
        <v/>
      </c>
      <c r="K179" s="9" t="str">
        <f ca="1">'PRICE_IOF Ñ USAR'!K179</f>
        <v/>
      </c>
      <c r="L179" s="9">
        <f ca="1">'PRICE_IOF Ñ USAR'!L179</f>
        <v>11</v>
      </c>
      <c r="N179" s="176">
        <f t="shared" ca="1" si="55"/>
        <v>31</v>
      </c>
      <c r="O179" s="176">
        <f t="shared" ca="1" si="59"/>
        <v>4895</v>
      </c>
      <c r="P179" s="175">
        <f t="shared" ca="1" si="42"/>
        <v>4477.628700344736</v>
      </c>
      <c r="Q179" s="11">
        <f t="shared" ca="1" si="43"/>
        <v>2.9930000000000002E-2</v>
      </c>
      <c r="R179" s="12">
        <f t="shared" ca="1" si="44"/>
        <v>134.01542700131796</v>
      </c>
      <c r="S179" s="513"/>
      <c r="U179" s="31">
        <f t="shared" ca="1" si="60"/>
        <v>2106.3704886229862</v>
      </c>
      <c r="V179" s="31">
        <f t="shared" ca="1" si="61"/>
        <v>2179.9769762938868</v>
      </c>
      <c r="X179" s="58">
        <f t="shared" ca="1" si="45"/>
        <v>161</v>
      </c>
      <c r="Y179" s="61">
        <f t="shared" ca="1" si="46"/>
        <v>49623</v>
      </c>
      <c r="Z179" s="31">
        <f t="shared" ca="1" si="56"/>
        <v>4477.628700344736</v>
      </c>
      <c r="AA179" s="31">
        <f t="shared" ca="1" si="62"/>
        <v>-1653.8320195574108</v>
      </c>
      <c r="AB179" s="31">
        <f t="shared" ca="1" si="57"/>
        <v>-184241.97833532767</v>
      </c>
      <c r="AC179" t="str">
        <f t="shared" ca="1" si="47"/>
        <v/>
      </c>
      <c r="AD179" t="str">
        <f t="shared" ca="1" si="48"/>
        <v/>
      </c>
    </row>
    <row r="180" spans="1:30">
      <c r="A180" s="180">
        <f ca="1">'PRICE_IOF Ñ USAR'!A180</f>
        <v>162</v>
      </c>
      <c r="B180" s="179">
        <f ca="1">'PRICE_IOF Ñ USAR'!B180</f>
        <v>49653</v>
      </c>
      <c r="C180" s="177">
        <f t="shared" ca="1" si="49"/>
        <v>1140.4061673579083</v>
      </c>
      <c r="D180" s="24">
        <f t="shared" ca="1" si="58"/>
        <v>965.96432126507784</v>
      </c>
      <c r="E180" s="177">
        <f t="shared" ca="1" si="50"/>
        <v>103855.71552418159</v>
      </c>
      <c r="F180" s="178">
        <f t="shared" ca="1" si="51"/>
        <v>22.049185555223296</v>
      </c>
      <c r="G180" s="178">
        <f t="shared" ca="1" si="52"/>
        <v>26.319999999999997</v>
      </c>
      <c r="H180" s="177">
        <f t="shared" ca="1" si="53"/>
        <v>25</v>
      </c>
      <c r="I180" s="25">
        <f t="shared" ca="1" si="54"/>
        <v>2179.7396741782095</v>
      </c>
      <c r="J180" s="9" t="str">
        <f ca="1">'PRICE_IOF Ñ USAR'!J180</f>
        <v/>
      </c>
      <c r="K180" s="9" t="str">
        <f ca="1">'PRICE_IOF Ñ USAR'!K180</f>
        <v/>
      </c>
      <c r="L180" s="9">
        <f ca="1">'PRICE_IOF Ñ USAR'!L180</f>
        <v>12</v>
      </c>
      <c r="N180" s="176">
        <f t="shared" ca="1" si="55"/>
        <v>30</v>
      </c>
      <c r="O180" s="176">
        <f t="shared" ca="1" si="59"/>
        <v>4925</v>
      </c>
      <c r="P180" s="175">
        <f t="shared" ca="1" si="42"/>
        <v>4518.8228844605292</v>
      </c>
      <c r="Q180" s="11">
        <f t="shared" ca="1" si="43"/>
        <v>2.9930000000000002E-2</v>
      </c>
      <c r="R180" s="12">
        <f t="shared" ca="1" si="44"/>
        <v>135.24836893190366</v>
      </c>
      <c r="S180" s="513"/>
      <c r="U180" s="31">
        <f t="shared" ca="1" si="60"/>
        <v>2106.3704886229862</v>
      </c>
      <c r="V180" s="31">
        <f t="shared" ca="1" si="61"/>
        <v>2179.7396741782095</v>
      </c>
      <c r="X180" s="58">
        <f t="shared" ca="1" si="45"/>
        <v>162</v>
      </c>
      <c r="Y180" s="61">
        <f t="shared" ca="1" si="46"/>
        <v>49653</v>
      </c>
      <c r="Z180" s="31">
        <f t="shared" ca="1" si="56"/>
        <v>4518.8228844605292</v>
      </c>
      <c r="AA180" s="31">
        <f t="shared" ca="1" si="62"/>
        <v>-1695.0262036732042</v>
      </c>
      <c r="AB180" s="31">
        <f t="shared" ca="1" si="57"/>
        <v>-188760.80121978821</v>
      </c>
      <c r="AC180" t="str">
        <f t="shared" ca="1" si="47"/>
        <v/>
      </c>
      <c r="AD180" t="str">
        <f t="shared" ca="1" si="48"/>
        <v/>
      </c>
    </row>
    <row r="181" spans="1:30">
      <c r="A181" s="180">
        <f ca="1">'PRICE_IOF Ñ USAR'!A181</f>
        <v>163</v>
      </c>
      <c r="B181" s="179">
        <f ca="1">'PRICE_IOF Ñ USAR'!B181</f>
        <v>49684</v>
      </c>
      <c r="C181" s="177">
        <f t="shared" ca="1" si="49"/>
        <v>1150.8979041160972</v>
      </c>
      <c r="D181" s="24">
        <f t="shared" ca="1" si="58"/>
        <v>955.47258450688901</v>
      </c>
      <c r="E181" s="177">
        <f t="shared" ca="1" si="50"/>
        <v>102704.8176200655</v>
      </c>
      <c r="F181" s="178">
        <f t="shared" ca="1" si="51"/>
        <v>21.809700260078134</v>
      </c>
      <c r="G181" s="178">
        <f t="shared" ca="1" si="52"/>
        <v>26.319999999999997</v>
      </c>
      <c r="H181" s="177">
        <f t="shared" ca="1" si="53"/>
        <v>25</v>
      </c>
      <c r="I181" s="25">
        <f t="shared" ca="1" si="54"/>
        <v>2179.5001888830643</v>
      </c>
      <c r="J181" s="9" t="str">
        <f ca="1">'PRICE_IOF Ñ USAR'!J181</f>
        <v/>
      </c>
      <c r="K181" s="9" t="str">
        <f ca="1">'PRICE_IOF Ñ USAR'!K181</f>
        <v/>
      </c>
      <c r="L181" s="9">
        <f ca="1">'PRICE_IOF Ñ USAR'!L181</f>
        <v>1</v>
      </c>
      <c r="N181" s="176">
        <f t="shared" ca="1" si="55"/>
        <v>31</v>
      </c>
      <c r="O181" s="176">
        <f t="shared" ca="1" si="59"/>
        <v>4956</v>
      </c>
      <c r="P181" s="175">
        <f t="shared" ca="1" si="42"/>
        <v>4560.3960550708562</v>
      </c>
      <c r="Q181" s="11">
        <f t="shared" ca="1" si="43"/>
        <v>2.9930000000000002E-2</v>
      </c>
      <c r="R181" s="12">
        <f t="shared" ca="1" si="44"/>
        <v>136.49265392827073</v>
      </c>
      <c r="S181" s="513"/>
      <c r="U181" s="31">
        <f t="shared" ca="1" si="60"/>
        <v>2106.3704886229862</v>
      </c>
      <c r="V181" s="31">
        <f t="shared" ca="1" si="61"/>
        <v>2179.5001888830643</v>
      </c>
      <c r="X181" s="58">
        <f t="shared" ca="1" si="45"/>
        <v>163</v>
      </c>
      <c r="Y181" s="61">
        <f t="shared" ca="1" si="46"/>
        <v>49684</v>
      </c>
      <c r="Z181" s="31">
        <f t="shared" ca="1" si="56"/>
        <v>4560.3960550708562</v>
      </c>
      <c r="AA181" s="31">
        <f t="shared" ca="1" si="62"/>
        <v>-1736.5993742835312</v>
      </c>
      <c r="AB181" s="31">
        <f t="shared" ca="1" si="57"/>
        <v>-193321.19727485906</v>
      </c>
      <c r="AC181" t="str">
        <f t="shared" ca="1" si="47"/>
        <v/>
      </c>
      <c r="AD181" t="str">
        <f t="shared" ca="1" si="48"/>
        <v/>
      </c>
    </row>
    <row r="182" spans="1:30">
      <c r="A182" s="180">
        <f ca="1">'PRICE_IOF Ñ USAR'!A182</f>
        <v>164</v>
      </c>
      <c r="B182" s="179">
        <f ca="1">'PRICE_IOF Ñ USAR'!B182</f>
        <v>49715</v>
      </c>
      <c r="C182" s="177">
        <f t="shared" ca="1" si="49"/>
        <v>1161.4861648526314</v>
      </c>
      <c r="D182" s="24">
        <f t="shared" ca="1" si="58"/>
        <v>944.88432377035474</v>
      </c>
      <c r="E182" s="177">
        <f t="shared" ca="1" si="50"/>
        <v>101543.33145521287</v>
      </c>
      <c r="F182" s="178">
        <f t="shared" ca="1" si="51"/>
        <v>21.568011700213756</v>
      </c>
      <c r="G182" s="178">
        <f t="shared" ca="1" si="52"/>
        <v>26.319999999999997</v>
      </c>
      <c r="H182" s="177">
        <f t="shared" ca="1" si="53"/>
        <v>25</v>
      </c>
      <c r="I182" s="25">
        <f t="shared" ca="1" si="54"/>
        <v>2179.2585003232002</v>
      </c>
      <c r="J182" s="9" t="str">
        <f ca="1">'PRICE_IOF Ñ USAR'!J182</f>
        <v/>
      </c>
      <c r="K182" s="9" t="str">
        <f ca="1">'PRICE_IOF Ñ USAR'!K182</f>
        <v/>
      </c>
      <c r="L182" s="9">
        <f ca="1">'PRICE_IOF Ñ USAR'!L182</f>
        <v>2</v>
      </c>
      <c r="N182" s="176">
        <f t="shared" ca="1" si="55"/>
        <v>31</v>
      </c>
      <c r="O182" s="176">
        <f t="shared" ca="1" si="59"/>
        <v>4987</v>
      </c>
      <c r="P182" s="175">
        <f t="shared" ca="1" si="42"/>
        <v>4602.351698851473</v>
      </c>
      <c r="Q182" s="11">
        <f t="shared" ca="1" si="43"/>
        <v>2.9930000000000002E-2</v>
      </c>
      <c r="R182" s="12">
        <f t="shared" ca="1" si="44"/>
        <v>137.74838634662459</v>
      </c>
      <c r="S182" s="513"/>
      <c r="U182" s="31">
        <f t="shared" ca="1" si="60"/>
        <v>2106.3704886229862</v>
      </c>
      <c r="V182" s="31">
        <f t="shared" ca="1" si="61"/>
        <v>2179.2585003232002</v>
      </c>
      <c r="X182" s="58">
        <f t="shared" ca="1" si="45"/>
        <v>164</v>
      </c>
      <c r="Y182" s="61">
        <f t="shared" ca="1" si="46"/>
        <v>49715</v>
      </c>
      <c r="Z182" s="31">
        <f t="shared" ca="1" si="56"/>
        <v>4602.351698851473</v>
      </c>
      <c r="AA182" s="31">
        <f t="shared" ca="1" si="62"/>
        <v>-1778.5550180641474</v>
      </c>
      <c r="AB182" s="31">
        <f t="shared" ca="1" si="57"/>
        <v>-197923.54897371054</v>
      </c>
      <c r="AC182" t="str">
        <f t="shared" ca="1" si="47"/>
        <v/>
      </c>
      <c r="AD182" t="str">
        <f t="shared" ca="1" si="48"/>
        <v/>
      </c>
    </row>
    <row r="183" spans="1:30">
      <c r="A183" s="180">
        <f ca="1">'PRICE_IOF Ñ USAR'!A183</f>
        <v>165</v>
      </c>
      <c r="B183" s="179">
        <f ca="1">'PRICE_IOF Ñ USAR'!B183</f>
        <v>49744</v>
      </c>
      <c r="C183" s="177">
        <f t="shared" ca="1" si="49"/>
        <v>1172.1718375881137</v>
      </c>
      <c r="D183" s="24">
        <f t="shared" ca="1" si="58"/>
        <v>934.19865103487257</v>
      </c>
      <c r="E183" s="177">
        <f t="shared" ca="1" si="50"/>
        <v>100371.15961762475</v>
      </c>
      <c r="F183" s="178">
        <f t="shared" ca="1" si="51"/>
        <v>21.324099605594704</v>
      </c>
      <c r="G183" s="178">
        <f t="shared" ca="1" si="52"/>
        <v>26.319999999999997</v>
      </c>
      <c r="H183" s="177">
        <f t="shared" ca="1" si="53"/>
        <v>25</v>
      </c>
      <c r="I183" s="25">
        <f t="shared" ca="1" si="54"/>
        <v>2179.014588228581</v>
      </c>
      <c r="J183" s="9" t="str">
        <f ca="1">'PRICE_IOF Ñ USAR'!J183</f>
        <v/>
      </c>
      <c r="K183" s="9" t="str">
        <f ca="1">'PRICE_IOF Ñ USAR'!K183</f>
        <v/>
      </c>
      <c r="L183" s="9">
        <f ca="1">'PRICE_IOF Ñ USAR'!L183</f>
        <v>3</v>
      </c>
      <c r="N183" s="176">
        <f t="shared" ca="1" si="55"/>
        <v>29</v>
      </c>
      <c r="O183" s="176">
        <f t="shared" ca="1" si="59"/>
        <v>5016</v>
      </c>
      <c r="P183" s="175">
        <f t="shared" ca="1" si="42"/>
        <v>4644.6933345555508</v>
      </c>
      <c r="Q183" s="11">
        <f t="shared" ca="1" si="43"/>
        <v>2.9930000000000002E-2</v>
      </c>
      <c r="R183" s="12">
        <f t="shared" ca="1" si="44"/>
        <v>139.01567150324763</v>
      </c>
      <c r="S183" s="513"/>
      <c r="U183" s="31">
        <f t="shared" ca="1" si="60"/>
        <v>2106.3704886229862</v>
      </c>
      <c r="V183" s="31">
        <f t="shared" ca="1" si="61"/>
        <v>2179.014588228581</v>
      </c>
      <c r="X183" s="58">
        <f t="shared" ca="1" si="45"/>
        <v>165</v>
      </c>
      <c r="Y183" s="61">
        <f t="shared" ca="1" si="46"/>
        <v>49744</v>
      </c>
      <c r="Z183" s="31">
        <f t="shared" ca="1" si="56"/>
        <v>4644.6933345555508</v>
      </c>
      <c r="AA183" s="31">
        <f t="shared" ca="1" si="62"/>
        <v>-1820.8966537682256</v>
      </c>
      <c r="AB183" s="31">
        <f t="shared" ca="1" si="57"/>
        <v>-202568.24230826608</v>
      </c>
      <c r="AC183" t="str">
        <f t="shared" ca="1" si="47"/>
        <v/>
      </c>
      <c r="AD183" t="str">
        <f t="shared" ca="1" si="48"/>
        <v/>
      </c>
    </row>
    <row r="184" spans="1:30">
      <c r="A184" s="180">
        <f ca="1">'PRICE_IOF Ñ USAR'!A184</f>
        <v>166</v>
      </c>
      <c r="B184" s="179">
        <f ca="1">'PRICE_IOF Ñ USAR'!B184</f>
        <v>49775</v>
      </c>
      <c r="C184" s="177">
        <f t="shared" ca="1" si="49"/>
        <v>1182.9558185129354</v>
      </c>
      <c r="D184" s="24">
        <f t="shared" ca="1" si="58"/>
        <v>923.41467011005068</v>
      </c>
      <c r="E184" s="177">
        <f t="shared" ca="1" si="50"/>
        <v>99188.203799111827</v>
      </c>
      <c r="F184" s="178">
        <f t="shared" ca="1" si="51"/>
        <v>21.077943519701201</v>
      </c>
      <c r="G184" s="178">
        <f t="shared" ca="1" si="52"/>
        <v>26.319999999999997</v>
      </c>
      <c r="H184" s="177">
        <f t="shared" ca="1" si="53"/>
        <v>25</v>
      </c>
      <c r="I184" s="25">
        <f t="shared" ca="1" si="54"/>
        <v>2178.7684321426877</v>
      </c>
      <c r="J184" s="9" t="str">
        <f ca="1">'PRICE_IOF Ñ USAR'!J184</f>
        <v/>
      </c>
      <c r="K184" s="9" t="str">
        <f ca="1">'PRICE_IOF Ñ USAR'!K184</f>
        <v/>
      </c>
      <c r="L184" s="9">
        <f ca="1">'PRICE_IOF Ñ USAR'!L184</f>
        <v>4</v>
      </c>
      <c r="N184" s="176">
        <f t="shared" ca="1" si="55"/>
        <v>31</v>
      </c>
      <c r="O184" s="176">
        <f t="shared" ca="1" si="59"/>
        <v>5047</v>
      </c>
      <c r="P184" s="175">
        <f t="shared" ca="1" si="42"/>
        <v>4687.4245133087934</v>
      </c>
      <c r="Q184" s="11">
        <f t="shared" ca="1" si="43"/>
        <v>2.9930000000000002E-2</v>
      </c>
      <c r="R184" s="12">
        <f t="shared" ca="1" si="44"/>
        <v>140.29461568333218</v>
      </c>
      <c r="S184" s="513"/>
      <c r="U184" s="31">
        <f t="shared" ca="1" si="60"/>
        <v>2106.3704886229862</v>
      </c>
      <c r="V184" s="31">
        <f t="shared" ca="1" si="61"/>
        <v>2178.7684321426877</v>
      </c>
      <c r="X184" s="58">
        <f t="shared" ca="1" si="45"/>
        <v>166</v>
      </c>
      <c r="Y184" s="61">
        <f t="shared" ca="1" si="46"/>
        <v>49775</v>
      </c>
      <c r="Z184" s="31">
        <f t="shared" ca="1" si="56"/>
        <v>4687.4245133087934</v>
      </c>
      <c r="AA184" s="31">
        <f t="shared" ca="1" si="62"/>
        <v>-1863.6278325214682</v>
      </c>
      <c r="AB184" s="31">
        <f t="shared" ca="1" si="57"/>
        <v>-207255.66682157488</v>
      </c>
      <c r="AC184" t="str">
        <f t="shared" ca="1" si="47"/>
        <v/>
      </c>
      <c r="AD184" t="str">
        <f t="shared" ca="1" si="48"/>
        <v/>
      </c>
    </row>
    <row r="185" spans="1:30">
      <c r="A185" s="180">
        <f ca="1">'PRICE_IOF Ñ USAR'!A185</f>
        <v>167</v>
      </c>
      <c r="B185" s="179">
        <f ca="1">'PRICE_IOF Ñ USAR'!B185</f>
        <v>49805</v>
      </c>
      <c r="C185" s="177">
        <f t="shared" ca="1" si="49"/>
        <v>1193.8390120624406</v>
      </c>
      <c r="D185" s="24">
        <f t="shared" ca="1" si="58"/>
        <v>912.53147656054557</v>
      </c>
      <c r="E185" s="177">
        <f t="shared" ca="1" si="50"/>
        <v>97994.364787049388</v>
      </c>
      <c r="F185" s="178">
        <f t="shared" ca="1" si="51"/>
        <v>20.829522797813485</v>
      </c>
      <c r="G185" s="178">
        <f t="shared" ca="1" si="52"/>
        <v>26.319999999999997</v>
      </c>
      <c r="H185" s="177">
        <f t="shared" ca="1" si="53"/>
        <v>25</v>
      </c>
      <c r="I185" s="25">
        <f t="shared" ca="1" si="54"/>
        <v>2178.5200114207996</v>
      </c>
      <c r="J185" s="9" t="str">
        <f ca="1">'PRICE_IOF Ñ USAR'!J185</f>
        <v/>
      </c>
      <c r="K185" s="9" t="str">
        <f ca="1">'PRICE_IOF Ñ USAR'!K185</f>
        <v/>
      </c>
      <c r="L185" s="9">
        <f ca="1">'PRICE_IOF Ñ USAR'!L185</f>
        <v>5</v>
      </c>
      <c r="N185" s="176">
        <f t="shared" ca="1" si="55"/>
        <v>30</v>
      </c>
      <c r="O185" s="176">
        <f t="shared" ca="1" si="59"/>
        <v>5077</v>
      </c>
      <c r="P185" s="175">
        <f t="shared" ca="1" si="42"/>
        <v>4730.5488189072594</v>
      </c>
      <c r="Q185" s="11">
        <f t="shared" ca="1" si="43"/>
        <v>2.9930000000000002E-2</v>
      </c>
      <c r="R185" s="12">
        <f t="shared" ca="1" si="44"/>
        <v>141.58532614989429</v>
      </c>
      <c r="S185" s="513"/>
      <c r="U185" s="31">
        <f t="shared" ca="1" si="60"/>
        <v>2106.3704886229862</v>
      </c>
      <c r="V185" s="31">
        <f t="shared" ca="1" si="61"/>
        <v>2178.5200114207996</v>
      </c>
      <c r="X185" s="58">
        <f t="shared" ca="1" si="45"/>
        <v>167</v>
      </c>
      <c r="Y185" s="61">
        <f t="shared" ca="1" si="46"/>
        <v>49805</v>
      </c>
      <c r="Z185" s="31">
        <f t="shared" ca="1" si="56"/>
        <v>4730.5488189072594</v>
      </c>
      <c r="AA185" s="31">
        <f t="shared" ca="1" si="62"/>
        <v>-1906.7521381199338</v>
      </c>
      <c r="AB185" s="31">
        <f t="shared" ca="1" si="57"/>
        <v>-211986.21564048214</v>
      </c>
      <c r="AC185" t="str">
        <f t="shared" ca="1" si="47"/>
        <v/>
      </c>
      <c r="AD185" t="str">
        <f t="shared" ca="1" si="48"/>
        <v/>
      </c>
    </row>
    <row r="186" spans="1:30">
      <c r="A186" s="180">
        <f ca="1">'PRICE_IOF Ñ USAR'!A186</f>
        <v>168</v>
      </c>
      <c r="B186" s="179">
        <f ca="1">'PRICE_IOF Ñ USAR'!B186</f>
        <v>49836</v>
      </c>
      <c r="C186" s="177">
        <f t="shared" ca="1" si="49"/>
        <v>1204.8223309927776</v>
      </c>
      <c r="D186" s="24">
        <f t="shared" ca="1" si="58"/>
        <v>901.54815763020849</v>
      </c>
      <c r="E186" s="177">
        <f t="shared" ca="1" si="50"/>
        <v>96789.542456056617</v>
      </c>
      <c r="F186" s="178">
        <f t="shared" ca="1" si="51"/>
        <v>20.578816605280373</v>
      </c>
      <c r="G186" s="178">
        <f t="shared" ca="1" si="52"/>
        <v>26.319999999999997</v>
      </c>
      <c r="H186" s="177">
        <f t="shared" ca="1" si="53"/>
        <v>25</v>
      </c>
      <c r="I186" s="25">
        <f t="shared" ca="1" si="54"/>
        <v>2178.2693052282666</v>
      </c>
      <c r="J186" s="9" t="str">
        <f ca="1">'PRICE_IOF Ñ USAR'!J186</f>
        <v/>
      </c>
      <c r="K186" s="9" t="str">
        <f ca="1">'PRICE_IOF Ñ USAR'!K186</f>
        <v/>
      </c>
      <c r="L186" s="9">
        <f ca="1">'PRICE_IOF Ñ USAR'!L186</f>
        <v>6</v>
      </c>
      <c r="N186" s="176">
        <f t="shared" ca="1" si="55"/>
        <v>31</v>
      </c>
      <c r="O186" s="176">
        <f t="shared" ca="1" si="59"/>
        <v>5108</v>
      </c>
      <c r="P186" s="175">
        <f t="shared" ca="1" si="42"/>
        <v>4774.0698681179301</v>
      </c>
      <c r="Q186" s="11">
        <f t="shared" ca="1" si="43"/>
        <v>2.9930000000000002E-2</v>
      </c>
      <c r="R186" s="12">
        <f t="shared" ca="1" si="44"/>
        <v>142.88791115276965</v>
      </c>
      <c r="S186" s="513"/>
      <c r="U186" s="31">
        <f t="shared" ca="1" si="60"/>
        <v>2106.3704886229862</v>
      </c>
      <c r="V186" s="31">
        <f t="shared" ca="1" si="61"/>
        <v>2178.2693052282666</v>
      </c>
      <c r="X186" s="58">
        <f t="shared" ca="1" si="45"/>
        <v>168</v>
      </c>
      <c r="Y186" s="61">
        <f t="shared" ca="1" si="46"/>
        <v>49836</v>
      </c>
      <c r="Z186" s="31">
        <f t="shared" ca="1" si="56"/>
        <v>4774.0698681179301</v>
      </c>
      <c r="AA186" s="31">
        <f t="shared" ca="1" si="62"/>
        <v>-1950.2731873306045</v>
      </c>
      <c r="AB186" s="31">
        <f t="shared" ca="1" si="57"/>
        <v>-216760.28550860006</v>
      </c>
      <c r="AC186" t="str">
        <f t="shared" ca="1" si="47"/>
        <v/>
      </c>
      <c r="AD186" t="str">
        <f t="shared" ca="1" si="48"/>
        <v/>
      </c>
    </row>
    <row r="187" spans="1:30">
      <c r="A187" s="180">
        <f ca="1">'PRICE_IOF Ñ USAR'!A187</f>
        <v>169</v>
      </c>
      <c r="B187" s="179">
        <f ca="1">'PRICE_IOF Ñ USAR'!B187</f>
        <v>49866</v>
      </c>
      <c r="C187" s="177">
        <f t="shared" ca="1" si="49"/>
        <v>1215.906696457452</v>
      </c>
      <c r="D187" s="24">
        <f t="shared" ca="1" si="58"/>
        <v>890.46379216553419</v>
      </c>
      <c r="E187" s="177">
        <f t="shared" ca="1" si="50"/>
        <v>95573.635759599172</v>
      </c>
      <c r="F187" s="178">
        <f t="shared" ca="1" si="51"/>
        <v>20.325803915771889</v>
      </c>
      <c r="G187" s="178">
        <f t="shared" ca="1" si="52"/>
        <v>26.319999999999997</v>
      </c>
      <c r="H187" s="177">
        <f t="shared" ca="1" si="53"/>
        <v>25</v>
      </c>
      <c r="I187" s="25">
        <f t="shared" ca="1" si="54"/>
        <v>2178.0162925387581</v>
      </c>
      <c r="J187" s="9" t="str">
        <f ca="1">'PRICE_IOF Ñ USAR'!J187</f>
        <v/>
      </c>
      <c r="K187" s="9" t="str">
        <f ca="1">'PRICE_IOF Ñ USAR'!K187</f>
        <v/>
      </c>
      <c r="L187" s="9">
        <f ca="1">'PRICE_IOF Ñ USAR'!L187</f>
        <v>7</v>
      </c>
      <c r="N187" s="176">
        <f t="shared" ca="1" si="55"/>
        <v>30</v>
      </c>
      <c r="O187" s="176">
        <f t="shared" ca="1" si="59"/>
        <v>5138</v>
      </c>
      <c r="P187" s="175">
        <f t="shared" ca="1" si="42"/>
        <v>4817.9913109820445</v>
      </c>
      <c r="Q187" s="11">
        <f t="shared" ca="1" si="43"/>
        <v>2.9930000000000002E-2</v>
      </c>
      <c r="R187" s="12">
        <f t="shared" ca="1" si="44"/>
        <v>144.2024799376926</v>
      </c>
      <c r="S187" s="513"/>
      <c r="U187" s="31">
        <f t="shared" ca="1" si="60"/>
        <v>2106.3704886229862</v>
      </c>
      <c r="V187" s="31">
        <f t="shared" ca="1" si="61"/>
        <v>2178.0162925387581</v>
      </c>
      <c r="X187" s="58">
        <f t="shared" ca="1" si="45"/>
        <v>169</v>
      </c>
      <c r="Y187" s="61">
        <f t="shared" ca="1" si="46"/>
        <v>49866</v>
      </c>
      <c r="Z187" s="31">
        <f t="shared" ca="1" si="56"/>
        <v>4817.9913109820445</v>
      </c>
      <c r="AA187" s="31">
        <f t="shared" ca="1" si="62"/>
        <v>-1994.1946301947191</v>
      </c>
      <c r="AB187" s="31">
        <f t="shared" ca="1" si="57"/>
        <v>-221578.2768195821</v>
      </c>
      <c r="AC187" t="str">
        <f t="shared" ca="1" si="47"/>
        <v/>
      </c>
      <c r="AD187" t="str">
        <f t="shared" ca="1" si="48"/>
        <v/>
      </c>
    </row>
    <row r="188" spans="1:30">
      <c r="A188" s="180">
        <f ca="1">'PRICE_IOF Ñ USAR'!A188</f>
        <v>170</v>
      </c>
      <c r="B188" s="179">
        <f ca="1">'PRICE_IOF Ñ USAR'!B188</f>
        <v>49897</v>
      </c>
      <c r="C188" s="177">
        <f t="shared" ca="1" si="49"/>
        <v>1227.0930380845812</v>
      </c>
      <c r="D188" s="24">
        <f t="shared" ca="1" si="58"/>
        <v>879.27745053840511</v>
      </c>
      <c r="E188" s="177">
        <f t="shared" ca="1" si="50"/>
        <v>94346.54272151459</v>
      </c>
      <c r="F188" s="178">
        <f t="shared" ca="1" si="51"/>
        <v>20.070463509515825</v>
      </c>
      <c r="G188" s="178">
        <f t="shared" ca="1" si="52"/>
        <v>26.319999999999997</v>
      </c>
      <c r="H188" s="177">
        <f t="shared" ca="1" si="53"/>
        <v>25</v>
      </c>
      <c r="I188" s="25">
        <f t="shared" ca="1" si="54"/>
        <v>2177.7609521325021</v>
      </c>
      <c r="J188" s="9" t="str">
        <f ca="1">'PRICE_IOF Ñ USAR'!J188</f>
        <v/>
      </c>
      <c r="K188" s="9" t="str">
        <f ca="1">'PRICE_IOF Ñ USAR'!K188</f>
        <v/>
      </c>
      <c r="L188" s="9">
        <f ca="1">'PRICE_IOF Ñ USAR'!L188</f>
        <v>8</v>
      </c>
      <c r="N188" s="176">
        <f t="shared" ca="1" si="55"/>
        <v>31</v>
      </c>
      <c r="O188" s="176">
        <f t="shared" ca="1" si="59"/>
        <v>5169</v>
      </c>
      <c r="P188" s="175">
        <f t="shared" ca="1" si="42"/>
        <v>4862.3168311212212</v>
      </c>
      <c r="Q188" s="11">
        <f t="shared" ca="1" si="43"/>
        <v>2.9930000000000002E-2</v>
      </c>
      <c r="R188" s="12">
        <f t="shared" ca="1" si="44"/>
        <v>145.52914275545817</v>
      </c>
      <c r="S188" s="513"/>
      <c r="U188" s="31">
        <f t="shared" ca="1" si="60"/>
        <v>2106.3704886229862</v>
      </c>
      <c r="V188" s="31">
        <f t="shared" ca="1" si="61"/>
        <v>2177.7609521325021</v>
      </c>
      <c r="X188" s="58">
        <f t="shared" ca="1" si="45"/>
        <v>170</v>
      </c>
      <c r="Y188" s="61">
        <f t="shared" ca="1" si="46"/>
        <v>49897</v>
      </c>
      <c r="Z188" s="31">
        <f t="shared" ca="1" si="56"/>
        <v>4862.3168311212212</v>
      </c>
      <c r="AA188" s="31">
        <f t="shared" ca="1" si="62"/>
        <v>-2038.520150333896</v>
      </c>
      <c r="AB188" s="31">
        <f t="shared" ca="1" si="57"/>
        <v>-226440.59365070332</v>
      </c>
      <c r="AC188" t="str">
        <f t="shared" ca="1" si="47"/>
        <v/>
      </c>
      <c r="AD188" t="str">
        <f t="shared" ca="1" si="48"/>
        <v/>
      </c>
    </row>
    <row r="189" spans="1:30">
      <c r="A189" s="180">
        <f ca="1">'PRICE_IOF Ñ USAR'!A189</f>
        <v>171</v>
      </c>
      <c r="B189" s="179">
        <f ca="1">'PRICE_IOF Ñ USAR'!B189</f>
        <v>49928</v>
      </c>
      <c r="C189" s="177">
        <f t="shared" ca="1" si="49"/>
        <v>1238.3822940548612</v>
      </c>
      <c r="D189" s="24">
        <f t="shared" ca="1" si="58"/>
        <v>867.98819456812487</v>
      </c>
      <c r="E189" s="177">
        <f t="shared" ca="1" si="50"/>
        <v>93108.160427459734</v>
      </c>
      <c r="F189" s="178">
        <f t="shared" ca="1" si="51"/>
        <v>19.812773971518066</v>
      </c>
      <c r="G189" s="178">
        <f t="shared" ca="1" si="52"/>
        <v>26.319999999999997</v>
      </c>
      <c r="H189" s="177">
        <f t="shared" ca="1" si="53"/>
        <v>25</v>
      </c>
      <c r="I189" s="25">
        <f t="shared" ca="1" si="54"/>
        <v>2177.5032625945046</v>
      </c>
      <c r="J189" s="9" t="str">
        <f ca="1">'PRICE_IOF Ñ USAR'!J189</f>
        <v/>
      </c>
      <c r="K189" s="9" t="str">
        <f ca="1">'PRICE_IOF Ñ USAR'!K189</f>
        <v/>
      </c>
      <c r="L189" s="9">
        <f ca="1">'PRICE_IOF Ñ USAR'!L189</f>
        <v>9</v>
      </c>
      <c r="N189" s="176">
        <f t="shared" ca="1" si="55"/>
        <v>31</v>
      </c>
      <c r="O189" s="176">
        <f t="shared" ca="1" si="59"/>
        <v>5200</v>
      </c>
      <c r="P189" s="175">
        <f t="shared" ca="1" si="42"/>
        <v>4907.0501460463984</v>
      </c>
      <c r="Q189" s="11">
        <f t="shared" ca="1" si="43"/>
        <v>2.9930000000000002E-2</v>
      </c>
      <c r="R189" s="12">
        <f t="shared" ca="1" si="44"/>
        <v>146.86801087116871</v>
      </c>
      <c r="S189" s="513"/>
      <c r="U189" s="31">
        <f t="shared" ca="1" si="60"/>
        <v>2106.3704886229862</v>
      </c>
      <c r="V189" s="31">
        <f t="shared" ca="1" si="61"/>
        <v>2177.5032625945046</v>
      </c>
      <c r="X189" s="58">
        <f t="shared" ca="1" si="45"/>
        <v>171</v>
      </c>
      <c r="Y189" s="61">
        <f t="shared" ca="1" si="46"/>
        <v>49928</v>
      </c>
      <c r="Z189" s="31">
        <f t="shared" ca="1" si="56"/>
        <v>4907.0501460463984</v>
      </c>
      <c r="AA189" s="31">
        <f t="shared" ca="1" si="62"/>
        <v>-2083.2534652590725</v>
      </c>
      <c r="AB189" s="31">
        <f t="shared" ca="1" si="57"/>
        <v>-231347.6437967497</v>
      </c>
      <c r="AC189" t="str">
        <f t="shared" ca="1" si="47"/>
        <v/>
      </c>
      <c r="AD189" t="str">
        <f t="shared" ca="1" si="48"/>
        <v/>
      </c>
    </row>
    <row r="190" spans="1:30">
      <c r="A190" s="180">
        <f ca="1">'PRICE_IOF Ñ USAR'!A190</f>
        <v>172</v>
      </c>
      <c r="B190" s="179">
        <f ca="1">'PRICE_IOF Ñ USAR'!B190</f>
        <v>49958</v>
      </c>
      <c r="C190" s="177">
        <f t="shared" ca="1" si="49"/>
        <v>1249.775411180251</v>
      </c>
      <c r="D190" s="24">
        <f t="shared" ca="1" si="58"/>
        <v>856.59507744273515</v>
      </c>
      <c r="E190" s="177">
        <f t="shared" ca="1" si="50"/>
        <v>91858.385016279484</v>
      </c>
      <c r="F190" s="178">
        <f t="shared" ca="1" si="51"/>
        <v>19.552713689766545</v>
      </c>
      <c r="G190" s="178">
        <f t="shared" ca="1" si="52"/>
        <v>26.319999999999997</v>
      </c>
      <c r="H190" s="177">
        <f t="shared" ca="1" si="53"/>
        <v>25</v>
      </c>
      <c r="I190" s="25">
        <f t="shared" ca="1" si="54"/>
        <v>2177.2432023127531</v>
      </c>
      <c r="J190" s="9" t="str">
        <f ca="1">'PRICE_IOF Ñ USAR'!J190</f>
        <v/>
      </c>
      <c r="K190" s="9" t="str">
        <f ca="1">'PRICE_IOF Ñ USAR'!K190</f>
        <v/>
      </c>
      <c r="L190" s="9">
        <f ca="1">'PRICE_IOF Ñ USAR'!L190</f>
        <v>10</v>
      </c>
      <c r="N190" s="176">
        <f t="shared" ca="1" si="55"/>
        <v>30</v>
      </c>
      <c r="O190" s="176">
        <f t="shared" ca="1" si="59"/>
        <v>5230</v>
      </c>
      <c r="P190" s="175">
        <f t="shared" ca="1" si="42"/>
        <v>4952.1950074696106</v>
      </c>
      <c r="Q190" s="11">
        <f t="shared" ca="1" si="43"/>
        <v>2.9930000000000002E-2</v>
      </c>
      <c r="R190" s="12">
        <f t="shared" ca="1" si="44"/>
        <v>148.21919657356545</v>
      </c>
      <c r="S190" s="513"/>
      <c r="U190" s="31">
        <f t="shared" ca="1" si="60"/>
        <v>2106.3704886229862</v>
      </c>
      <c r="V190" s="31">
        <f t="shared" ca="1" si="61"/>
        <v>2177.2432023127531</v>
      </c>
      <c r="X190" s="58">
        <f t="shared" ca="1" si="45"/>
        <v>172</v>
      </c>
      <c r="Y190" s="61">
        <f t="shared" ca="1" si="46"/>
        <v>49958</v>
      </c>
      <c r="Z190" s="31">
        <f t="shared" ca="1" si="56"/>
        <v>4952.1950074696106</v>
      </c>
      <c r="AA190" s="31">
        <f t="shared" ca="1" si="62"/>
        <v>-2128.3983266822856</v>
      </c>
      <c r="AB190" s="31">
        <f t="shared" ca="1" si="57"/>
        <v>-236299.83880421933</v>
      </c>
      <c r="AC190" t="str">
        <f t="shared" ca="1" si="47"/>
        <v/>
      </c>
      <c r="AD190" t="str">
        <f t="shared" ca="1" si="48"/>
        <v/>
      </c>
    </row>
    <row r="191" spans="1:30">
      <c r="A191" s="180">
        <f ca="1">'PRICE_IOF Ñ USAR'!A191</f>
        <v>173</v>
      </c>
      <c r="B191" s="179">
        <f ca="1">'PRICE_IOF Ñ USAR'!B191</f>
        <v>49989</v>
      </c>
      <c r="C191" s="177">
        <f t="shared" ca="1" si="49"/>
        <v>1261.2733449833793</v>
      </c>
      <c r="D191" s="24">
        <f t="shared" ca="1" si="58"/>
        <v>845.09714363960688</v>
      </c>
      <c r="E191" s="177">
        <f t="shared" ca="1" si="50"/>
        <v>90597.111671296108</v>
      </c>
      <c r="F191" s="178">
        <f t="shared" ca="1" si="51"/>
        <v>19.290260853418694</v>
      </c>
      <c r="G191" s="178">
        <f t="shared" ca="1" si="52"/>
        <v>26.319999999999997</v>
      </c>
      <c r="H191" s="177">
        <f t="shared" ca="1" si="53"/>
        <v>25</v>
      </c>
      <c r="I191" s="25">
        <f t="shared" ca="1" si="54"/>
        <v>2176.980749476405</v>
      </c>
      <c r="J191" s="9" t="str">
        <f ca="1">'PRICE_IOF Ñ USAR'!J191</f>
        <v/>
      </c>
      <c r="K191" s="9" t="str">
        <f ca="1">'PRICE_IOF Ñ USAR'!K191</f>
        <v/>
      </c>
      <c r="L191" s="9">
        <f ca="1">'PRICE_IOF Ñ USAR'!L191</f>
        <v>11</v>
      </c>
      <c r="N191" s="176">
        <f t="shared" ca="1" si="55"/>
        <v>31</v>
      </c>
      <c r="O191" s="176">
        <f t="shared" ca="1" si="59"/>
        <v>5261</v>
      </c>
      <c r="P191" s="175">
        <f t="shared" ca="1" si="42"/>
        <v>4997.755201618651</v>
      </c>
      <c r="Q191" s="11">
        <f t="shared" ca="1" si="43"/>
        <v>2.9930000000000002E-2</v>
      </c>
      <c r="R191" s="12">
        <f t="shared" ca="1" si="44"/>
        <v>149.58281318444622</v>
      </c>
      <c r="S191" s="513"/>
      <c r="U191" s="31">
        <f t="shared" ca="1" si="60"/>
        <v>2106.3704886229862</v>
      </c>
      <c r="V191" s="31">
        <f t="shared" ca="1" si="61"/>
        <v>2176.980749476405</v>
      </c>
      <c r="X191" s="58">
        <f t="shared" ca="1" si="45"/>
        <v>173</v>
      </c>
      <c r="Y191" s="61">
        <f t="shared" ca="1" si="46"/>
        <v>49989</v>
      </c>
      <c r="Z191" s="31">
        <f t="shared" ca="1" si="56"/>
        <v>4997.755201618651</v>
      </c>
      <c r="AA191" s="31">
        <f t="shared" ca="1" si="62"/>
        <v>-2173.9585208313251</v>
      </c>
      <c r="AB191" s="31">
        <f t="shared" ca="1" si="57"/>
        <v>-241297.59400583798</v>
      </c>
      <c r="AC191" t="str">
        <f t="shared" ca="1" si="47"/>
        <v/>
      </c>
      <c r="AD191" t="str">
        <f t="shared" ca="1" si="48"/>
        <v/>
      </c>
    </row>
    <row r="192" spans="1:30">
      <c r="A192" s="180">
        <f ca="1">'PRICE_IOF Ñ USAR'!A192</f>
        <v>174</v>
      </c>
      <c r="B192" s="179">
        <f ca="1">'PRICE_IOF Ñ USAR'!B192</f>
        <v>50019</v>
      </c>
      <c r="C192" s="177">
        <f t="shared" ca="1" si="49"/>
        <v>1272.8770597776827</v>
      </c>
      <c r="D192" s="24">
        <f t="shared" ca="1" si="58"/>
        <v>833.49342884530347</v>
      </c>
      <c r="E192" s="177">
        <f t="shared" ca="1" si="50"/>
        <v>89324.234611518419</v>
      </c>
      <c r="F192" s="178">
        <f t="shared" ca="1" si="51"/>
        <v>19.025393450972185</v>
      </c>
      <c r="G192" s="178">
        <f t="shared" ca="1" si="52"/>
        <v>26.319999999999997</v>
      </c>
      <c r="H192" s="177">
        <f t="shared" ca="1" si="53"/>
        <v>25</v>
      </c>
      <c r="I192" s="25">
        <f t="shared" ca="1" si="54"/>
        <v>2176.7158820739587</v>
      </c>
      <c r="J192" s="9" t="str">
        <f ca="1">'PRICE_IOF Ñ USAR'!J192</f>
        <v/>
      </c>
      <c r="K192" s="9" t="str">
        <f ca="1">'PRICE_IOF Ñ USAR'!K192</f>
        <v/>
      </c>
      <c r="L192" s="9">
        <f ca="1">'PRICE_IOF Ñ USAR'!L192</f>
        <v>12</v>
      </c>
      <c r="N192" s="176">
        <f t="shared" ca="1" si="55"/>
        <v>30</v>
      </c>
      <c r="O192" s="176">
        <f t="shared" ca="1" si="59"/>
        <v>5291</v>
      </c>
      <c r="P192" s="175">
        <f t="shared" ca="1" si="42"/>
        <v>5043.7345495545997</v>
      </c>
      <c r="Q192" s="11">
        <f t="shared" ca="1" si="43"/>
        <v>2.9930000000000002E-2</v>
      </c>
      <c r="R192" s="12">
        <f t="shared" ca="1" si="44"/>
        <v>150.95897506816917</v>
      </c>
      <c r="S192" s="513"/>
      <c r="U192" s="31">
        <f t="shared" ca="1" si="60"/>
        <v>2106.3704886229862</v>
      </c>
      <c r="V192" s="31">
        <f t="shared" ca="1" si="61"/>
        <v>2176.7158820739587</v>
      </c>
      <c r="X192" s="58">
        <f t="shared" ca="1" si="45"/>
        <v>174</v>
      </c>
      <c r="Y192" s="61">
        <f t="shared" ca="1" si="46"/>
        <v>50019</v>
      </c>
      <c r="Z192" s="31">
        <f t="shared" ca="1" si="56"/>
        <v>5043.7345495545997</v>
      </c>
      <c r="AA192" s="31">
        <f t="shared" ca="1" si="62"/>
        <v>-2219.9378687672743</v>
      </c>
      <c r="AB192" s="31">
        <f t="shared" ca="1" si="57"/>
        <v>-246341.32855539257</v>
      </c>
      <c r="AC192" t="str">
        <f t="shared" ca="1" si="47"/>
        <v/>
      </c>
      <c r="AD192" t="str">
        <f t="shared" ca="1" si="48"/>
        <v/>
      </c>
    </row>
    <row r="193" spans="1:30">
      <c r="A193" s="180">
        <f ca="1">'PRICE_IOF Ñ USAR'!A193</f>
        <v>175</v>
      </c>
      <c r="B193" s="179">
        <f ca="1">'PRICE_IOF Ñ USAR'!B193</f>
        <v>50050</v>
      </c>
      <c r="C193" s="177">
        <f t="shared" ca="1" si="49"/>
        <v>1284.587528748282</v>
      </c>
      <c r="D193" s="24">
        <f t="shared" ca="1" si="58"/>
        <v>821.78295987470415</v>
      </c>
      <c r="E193" s="177">
        <f t="shared" ca="1" si="50"/>
        <v>88039.647082770141</v>
      </c>
      <c r="F193" s="178">
        <f t="shared" ca="1" si="51"/>
        <v>18.758089268418868</v>
      </c>
      <c r="G193" s="178">
        <f t="shared" ca="1" si="52"/>
        <v>26.319999999999997</v>
      </c>
      <c r="H193" s="177">
        <f t="shared" ca="1" si="53"/>
        <v>25</v>
      </c>
      <c r="I193" s="25">
        <f t="shared" ca="1" si="54"/>
        <v>2176.448577891405</v>
      </c>
      <c r="J193" s="9" t="str">
        <f ca="1">'PRICE_IOF Ñ USAR'!J193</f>
        <v/>
      </c>
      <c r="K193" s="9" t="str">
        <f ca="1">'PRICE_IOF Ñ USAR'!K193</f>
        <v/>
      </c>
      <c r="L193" s="9">
        <f ca="1">'PRICE_IOF Ñ USAR'!L193</f>
        <v>1</v>
      </c>
      <c r="N193" s="176">
        <f t="shared" ca="1" si="55"/>
        <v>31</v>
      </c>
      <c r="O193" s="176">
        <f t="shared" ca="1" si="59"/>
        <v>5322</v>
      </c>
      <c r="P193" s="175">
        <f t="shared" ca="1" si="42"/>
        <v>5090.1369074923059</v>
      </c>
      <c r="Q193" s="11">
        <f t="shared" ca="1" si="43"/>
        <v>2.9930000000000002E-2</v>
      </c>
      <c r="R193" s="12">
        <f t="shared" ca="1" si="44"/>
        <v>152.34779764124471</v>
      </c>
      <c r="S193" s="513"/>
      <c r="U193" s="31">
        <f t="shared" ca="1" si="60"/>
        <v>2106.3704886229862</v>
      </c>
      <c r="V193" s="31">
        <f t="shared" ca="1" si="61"/>
        <v>2176.448577891405</v>
      </c>
      <c r="X193" s="58">
        <f t="shared" ca="1" si="45"/>
        <v>175</v>
      </c>
      <c r="Y193" s="61">
        <f t="shared" ca="1" si="46"/>
        <v>50050</v>
      </c>
      <c r="Z193" s="31">
        <f t="shared" ca="1" si="56"/>
        <v>5090.1369074923059</v>
      </c>
      <c r="AA193" s="31">
        <f t="shared" ca="1" si="62"/>
        <v>-2266.3402267049801</v>
      </c>
      <c r="AB193" s="31">
        <f t="shared" ca="1" si="57"/>
        <v>-251431.46546288487</v>
      </c>
      <c r="AC193" t="str">
        <f t="shared" ca="1" si="47"/>
        <v/>
      </c>
      <c r="AD193" t="str">
        <f t="shared" ca="1" si="48"/>
        <v/>
      </c>
    </row>
    <row r="194" spans="1:30">
      <c r="A194" s="180">
        <f ca="1">'PRICE_IOF Ñ USAR'!A194</f>
        <v>176</v>
      </c>
      <c r="B194" s="179">
        <f ca="1">'PRICE_IOF Ñ USAR'!B194</f>
        <v>50081</v>
      </c>
      <c r="C194" s="177">
        <f t="shared" ca="1" si="49"/>
        <v>1296.4057340336008</v>
      </c>
      <c r="D194" s="24">
        <f t="shared" ca="1" si="58"/>
        <v>809.96475458938551</v>
      </c>
      <c r="E194" s="177">
        <f t="shared" ca="1" si="50"/>
        <v>86743.241348736541</v>
      </c>
      <c r="F194" s="178">
        <f t="shared" ca="1" si="51"/>
        <v>18.48832588738173</v>
      </c>
      <c r="G194" s="178">
        <f t="shared" ca="1" si="52"/>
        <v>26.319999999999997</v>
      </c>
      <c r="H194" s="177">
        <f t="shared" ca="1" si="53"/>
        <v>25</v>
      </c>
      <c r="I194" s="25">
        <f t="shared" ca="1" si="54"/>
        <v>2176.1788145103678</v>
      </c>
      <c r="J194" s="9" t="str">
        <f ca="1">'PRICE_IOF Ñ USAR'!J194</f>
        <v/>
      </c>
      <c r="K194" s="9" t="str">
        <f ca="1">'PRICE_IOF Ñ USAR'!K194</f>
        <v/>
      </c>
      <c r="L194" s="9">
        <f ca="1">'PRICE_IOF Ñ USAR'!L194</f>
        <v>2</v>
      </c>
      <c r="N194" s="176">
        <f t="shared" ca="1" si="55"/>
        <v>31</v>
      </c>
      <c r="O194" s="176">
        <f t="shared" ca="1" si="59"/>
        <v>5353</v>
      </c>
      <c r="P194" s="175">
        <f t="shared" ca="1" si="42"/>
        <v>5136.9661671237909</v>
      </c>
      <c r="Q194" s="11">
        <f t="shared" ca="1" si="43"/>
        <v>2.9930000000000002E-2</v>
      </c>
      <c r="R194" s="12">
        <f t="shared" ca="1" si="44"/>
        <v>153.74939738201508</v>
      </c>
      <c r="S194" s="513"/>
      <c r="U194" s="31">
        <f t="shared" ca="1" si="60"/>
        <v>2106.3704886229862</v>
      </c>
      <c r="V194" s="31">
        <f t="shared" ca="1" si="61"/>
        <v>2176.1788145103678</v>
      </c>
      <c r="X194" s="58">
        <f t="shared" ca="1" si="45"/>
        <v>176</v>
      </c>
      <c r="Y194" s="61">
        <f t="shared" ca="1" si="46"/>
        <v>50081</v>
      </c>
      <c r="Z194" s="31">
        <f t="shared" ca="1" si="56"/>
        <v>5136.9661671237909</v>
      </c>
      <c r="AA194" s="31">
        <f t="shared" ca="1" si="62"/>
        <v>-2313.1694863364655</v>
      </c>
      <c r="AB194" s="31">
        <f t="shared" ca="1" si="57"/>
        <v>-256568.43163000865</v>
      </c>
      <c r="AC194" t="str">
        <f t="shared" ca="1" si="47"/>
        <v/>
      </c>
      <c r="AD194" t="str">
        <f t="shared" ca="1" si="48"/>
        <v/>
      </c>
    </row>
    <row r="195" spans="1:30">
      <c r="A195" s="180">
        <f ca="1">'PRICE_IOF Ñ USAR'!A195</f>
        <v>177</v>
      </c>
      <c r="B195" s="179">
        <f ca="1">'PRICE_IOF Ñ USAR'!B195</f>
        <v>50109</v>
      </c>
      <c r="C195" s="177">
        <f t="shared" ca="1" si="49"/>
        <v>1308.3326668077359</v>
      </c>
      <c r="D195" s="24">
        <f t="shared" ca="1" si="58"/>
        <v>798.03782181525025</v>
      </c>
      <c r="E195" s="177">
        <f t="shared" ca="1" si="50"/>
        <v>85434.908681928806</v>
      </c>
      <c r="F195" s="178">
        <f t="shared" ca="1" si="51"/>
        <v>18.216080683234676</v>
      </c>
      <c r="G195" s="178">
        <f t="shared" ca="1" si="52"/>
        <v>26.319999999999997</v>
      </c>
      <c r="H195" s="177">
        <f t="shared" ca="1" si="53"/>
        <v>25</v>
      </c>
      <c r="I195" s="25">
        <f t="shared" ca="1" si="54"/>
        <v>2175.9065693062212</v>
      </c>
      <c r="J195" s="9" t="str">
        <f ca="1">'PRICE_IOF Ñ USAR'!J195</f>
        <v/>
      </c>
      <c r="K195" s="9" t="str">
        <f ca="1">'PRICE_IOF Ñ USAR'!K195</f>
        <v/>
      </c>
      <c r="L195" s="9">
        <f ca="1">'PRICE_IOF Ñ USAR'!L195</f>
        <v>3</v>
      </c>
      <c r="N195" s="176">
        <f t="shared" ca="1" si="55"/>
        <v>28</v>
      </c>
      <c r="O195" s="176">
        <f t="shared" ca="1" si="59"/>
        <v>5381</v>
      </c>
      <c r="P195" s="175">
        <f t="shared" ca="1" si="42"/>
        <v>5184.2262559446453</v>
      </c>
      <c r="Q195" s="11">
        <f t="shared" ca="1" si="43"/>
        <v>2.9930000000000002E-2</v>
      </c>
      <c r="R195" s="12">
        <f t="shared" ca="1" si="44"/>
        <v>155.16389184042325</v>
      </c>
      <c r="S195" s="513"/>
      <c r="U195" s="31">
        <f t="shared" ca="1" si="60"/>
        <v>2106.3704886229862</v>
      </c>
      <c r="V195" s="31">
        <f t="shared" ca="1" si="61"/>
        <v>2175.9065693062212</v>
      </c>
      <c r="X195" s="58">
        <f t="shared" ca="1" si="45"/>
        <v>177</v>
      </c>
      <c r="Y195" s="61">
        <f t="shared" ca="1" si="46"/>
        <v>50109</v>
      </c>
      <c r="Z195" s="31">
        <f t="shared" ca="1" si="56"/>
        <v>5184.2262559446453</v>
      </c>
      <c r="AA195" s="31">
        <f t="shared" ca="1" si="62"/>
        <v>-2360.42957515732</v>
      </c>
      <c r="AB195" s="31">
        <f t="shared" ca="1" si="57"/>
        <v>-261752.65788595329</v>
      </c>
      <c r="AC195" t="str">
        <f t="shared" ca="1" si="47"/>
        <v/>
      </c>
      <c r="AD195" t="str">
        <f t="shared" ca="1" si="48"/>
        <v/>
      </c>
    </row>
    <row r="196" spans="1:30">
      <c r="A196" s="180">
        <f ca="1">'PRICE_IOF Ñ USAR'!A196</f>
        <v>178</v>
      </c>
      <c r="B196" s="179">
        <f ca="1">'PRICE_IOF Ñ USAR'!B196</f>
        <v>50140</v>
      </c>
      <c r="C196" s="177">
        <f t="shared" ca="1" si="49"/>
        <v>1320.3693273635868</v>
      </c>
      <c r="D196" s="24">
        <f t="shared" ca="1" si="58"/>
        <v>786.0011612593994</v>
      </c>
      <c r="E196" s="177">
        <f t="shared" ca="1" si="50"/>
        <v>84114.539354565219</v>
      </c>
      <c r="F196" s="178">
        <f t="shared" ca="1" si="51"/>
        <v>17.94133082320505</v>
      </c>
      <c r="G196" s="178">
        <f t="shared" ca="1" si="52"/>
        <v>26.319999999999997</v>
      </c>
      <c r="H196" s="177">
        <f t="shared" ca="1" si="53"/>
        <v>25</v>
      </c>
      <c r="I196" s="25">
        <f t="shared" ca="1" si="54"/>
        <v>2175.6318194461915</v>
      </c>
      <c r="J196" s="9" t="str">
        <f ca="1">'PRICE_IOF Ñ USAR'!J196</f>
        <v/>
      </c>
      <c r="K196" s="9" t="str">
        <f ca="1">'PRICE_IOF Ñ USAR'!K196</f>
        <v/>
      </c>
      <c r="L196" s="9">
        <f ca="1">'PRICE_IOF Ñ USAR'!L196</f>
        <v>4</v>
      </c>
      <c r="N196" s="176">
        <f t="shared" ca="1" si="55"/>
        <v>31</v>
      </c>
      <c r="O196" s="176">
        <f t="shared" ca="1" si="59"/>
        <v>5412</v>
      </c>
      <c r="P196" s="175">
        <f t="shared" ca="1" si="42"/>
        <v>5231.9211375834184</v>
      </c>
      <c r="Q196" s="11">
        <f t="shared" ca="1" si="43"/>
        <v>2.9930000000000002E-2</v>
      </c>
      <c r="R196" s="12">
        <f t="shared" ca="1" si="44"/>
        <v>156.59139964787173</v>
      </c>
      <c r="S196" s="513"/>
      <c r="U196" s="31">
        <f t="shared" ca="1" si="60"/>
        <v>2106.3704886229862</v>
      </c>
      <c r="V196" s="31">
        <f t="shared" ca="1" si="61"/>
        <v>2175.6318194461915</v>
      </c>
      <c r="X196" s="58">
        <f t="shared" ca="1" si="45"/>
        <v>178</v>
      </c>
      <c r="Y196" s="61">
        <f t="shared" ca="1" si="46"/>
        <v>50140</v>
      </c>
      <c r="Z196" s="31">
        <f t="shared" ca="1" si="56"/>
        <v>5231.9211375834184</v>
      </c>
      <c r="AA196" s="31">
        <f t="shared" ca="1" si="62"/>
        <v>-2408.1244567960925</v>
      </c>
      <c r="AB196" s="31">
        <f t="shared" ca="1" si="57"/>
        <v>-266984.5790235367</v>
      </c>
      <c r="AC196" t="str">
        <f t="shared" ca="1" si="47"/>
        <v/>
      </c>
      <c r="AD196" t="str">
        <f t="shared" ca="1" si="48"/>
        <v/>
      </c>
    </row>
    <row r="197" spans="1:30">
      <c r="A197" s="180">
        <f ca="1">'PRICE_IOF Ñ USAR'!A197</f>
        <v>179</v>
      </c>
      <c r="B197" s="179">
        <f ca="1">'PRICE_IOF Ñ USAR'!B197</f>
        <v>50170</v>
      </c>
      <c r="C197" s="177">
        <f t="shared" ca="1" si="49"/>
        <v>1332.5167251967466</v>
      </c>
      <c r="D197" s="24">
        <f t="shared" ca="1" si="58"/>
        <v>773.85376342623954</v>
      </c>
      <c r="E197" s="177">
        <f t="shared" ca="1" si="50"/>
        <v>82782.022629368468</v>
      </c>
      <c r="F197" s="178">
        <f t="shared" ca="1" si="51"/>
        <v>17.664053264458698</v>
      </c>
      <c r="G197" s="178">
        <f t="shared" ca="1" si="52"/>
        <v>26.319999999999997</v>
      </c>
      <c r="H197" s="177">
        <f t="shared" ca="1" si="53"/>
        <v>25</v>
      </c>
      <c r="I197" s="25">
        <f t="shared" ca="1" si="54"/>
        <v>2175.3545418874451</v>
      </c>
      <c r="J197" s="9" t="str">
        <f ca="1">'PRICE_IOF Ñ USAR'!J197</f>
        <v/>
      </c>
      <c r="K197" s="9" t="str">
        <f ca="1">'PRICE_IOF Ñ USAR'!K197</f>
        <v/>
      </c>
      <c r="L197" s="9">
        <f ca="1">'PRICE_IOF Ñ USAR'!L197</f>
        <v>5</v>
      </c>
      <c r="N197" s="176">
        <f t="shared" ca="1" si="55"/>
        <v>30</v>
      </c>
      <c r="O197" s="176">
        <f t="shared" ca="1" si="59"/>
        <v>5442</v>
      </c>
      <c r="P197" s="175">
        <f t="shared" ca="1" si="42"/>
        <v>5280.0548121340416</v>
      </c>
      <c r="Q197" s="11">
        <f t="shared" ca="1" si="43"/>
        <v>2.9930000000000002E-2</v>
      </c>
      <c r="R197" s="12">
        <f t="shared" ca="1" si="44"/>
        <v>158.03204052717189</v>
      </c>
      <c r="S197" s="513"/>
      <c r="U197" s="31">
        <f t="shared" ca="1" si="60"/>
        <v>2106.3704886229862</v>
      </c>
      <c r="V197" s="31">
        <f t="shared" ca="1" si="61"/>
        <v>2175.3545418874451</v>
      </c>
      <c r="X197" s="58">
        <f t="shared" ca="1" si="45"/>
        <v>179</v>
      </c>
      <c r="Y197" s="61">
        <f t="shared" ca="1" si="46"/>
        <v>50170</v>
      </c>
      <c r="Z197" s="31">
        <f t="shared" ca="1" si="56"/>
        <v>5280.0548121340416</v>
      </c>
      <c r="AA197" s="31">
        <f t="shared" ca="1" si="62"/>
        <v>-2456.2581313467158</v>
      </c>
      <c r="AB197" s="31">
        <f t="shared" ca="1" si="57"/>
        <v>-272264.63383567077</v>
      </c>
      <c r="AC197" t="str">
        <f t="shared" ca="1" si="47"/>
        <v/>
      </c>
      <c r="AD197" t="str">
        <f t="shared" ca="1" si="48"/>
        <v/>
      </c>
    </row>
    <row r="198" spans="1:30">
      <c r="A198" s="180">
        <f ca="1">'PRICE_IOF Ñ USAR'!A198</f>
        <v>180</v>
      </c>
      <c r="B198" s="179">
        <f ca="1">'PRICE_IOF Ñ USAR'!B198</f>
        <v>50201</v>
      </c>
      <c r="C198" s="177">
        <f t="shared" ca="1" si="49"/>
        <v>1344.7758790901685</v>
      </c>
      <c r="D198" s="24">
        <f t="shared" ca="1" si="58"/>
        <v>761.59460953281757</v>
      </c>
      <c r="E198" s="177">
        <f t="shared" ca="1" si="50"/>
        <v>81437.246750278297</v>
      </c>
      <c r="F198" s="178">
        <f t="shared" ca="1" si="51"/>
        <v>17.384224752167381</v>
      </c>
      <c r="G198" s="178">
        <f t="shared" ca="1" si="52"/>
        <v>26.319999999999997</v>
      </c>
      <c r="H198" s="177">
        <f t="shared" ca="1" si="53"/>
        <v>25</v>
      </c>
      <c r="I198" s="25">
        <f t="shared" ca="1" si="54"/>
        <v>2175.0747133751538</v>
      </c>
      <c r="J198" s="9" t="str">
        <f ca="1">'PRICE_IOF Ñ USAR'!J198</f>
        <v/>
      </c>
      <c r="K198" s="9" t="str">
        <f ca="1">'PRICE_IOF Ñ USAR'!K198</f>
        <v/>
      </c>
      <c r="L198" s="9">
        <f ca="1">'PRICE_IOF Ñ USAR'!L198</f>
        <v>6</v>
      </c>
      <c r="N198" s="176">
        <f t="shared" ca="1" si="55"/>
        <v>31</v>
      </c>
      <c r="O198" s="176">
        <f t="shared" ca="1" si="59"/>
        <v>5473</v>
      </c>
      <c r="P198" s="175">
        <f t="shared" ca="1" si="42"/>
        <v>5328.6313164913108</v>
      </c>
      <c r="Q198" s="11">
        <f t="shared" ca="1" si="43"/>
        <v>2.9930000000000002E-2</v>
      </c>
      <c r="R198" s="12">
        <f t="shared" ca="1" si="44"/>
        <v>159.48593530258495</v>
      </c>
      <c r="S198" s="513"/>
      <c r="U198" s="31">
        <f t="shared" ca="1" si="60"/>
        <v>2106.3704886229862</v>
      </c>
      <c r="V198" s="31">
        <f t="shared" ca="1" si="61"/>
        <v>2175.0747133751538</v>
      </c>
      <c r="X198" s="58">
        <f t="shared" ca="1" si="45"/>
        <v>180</v>
      </c>
      <c r="Y198" s="61">
        <f t="shared" ca="1" si="46"/>
        <v>50201</v>
      </c>
      <c r="Z198" s="31">
        <f t="shared" ca="1" si="56"/>
        <v>5328.6313164913108</v>
      </c>
      <c r="AA198" s="31">
        <f t="shared" ca="1" si="62"/>
        <v>-2504.8346357039854</v>
      </c>
      <c r="AB198" s="31">
        <f t="shared" ca="1" si="57"/>
        <v>-277593.26515216206</v>
      </c>
      <c r="AC198" t="str">
        <f t="shared" ca="1" si="47"/>
        <v/>
      </c>
      <c r="AD198" t="str">
        <f t="shared" ca="1" si="48"/>
        <v/>
      </c>
    </row>
    <row r="199" spans="1:30">
      <c r="A199" s="180">
        <f ca="1">'PRICE_IOF Ñ USAR'!A199</f>
        <v>181</v>
      </c>
      <c r="B199" s="179">
        <f ca="1">'PRICE_IOF Ñ USAR'!B199</f>
        <v>50231</v>
      </c>
      <c r="C199" s="177">
        <f t="shared" ca="1" si="49"/>
        <v>1357.1478171996089</v>
      </c>
      <c r="D199" s="24">
        <f t="shared" ca="1" si="58"/>
        <v>749.22267142337728</v>
      </c>
      <c r="E199" s="177">
        <f t="shared" ca="1" si="50"/>
        <v>80080.098933078683</v>
      </c>
      <c r="F199" s="178">
        <f t="shared" ca="1" si="51"/>
        <v>17.101821817558442</v>
      </c>
      <c r="G199" s="178">
        <f t="shared" ca="1" si="52"/>
        <v>26.319999999999997</v>
      </c>
      <c r="H199" s="177">
        <f t="shared" ca="1" si="53"/>
        <v>25</v>
      </c>
      <c r="I199" s="25">
        <f t="shared" ca="1" si="54"/>
        <v>2174.792310440545</v>
      </c>
      <c r="J199" s="9" t="str">
        <f ca="1">'PRICE_IOF Ñ USAR'!J199</f>
        <v/>
      </c>
      <c r="K199" s="9" t="str">
        <f ca="1">'PRICE_IOF Ñ USAR'!K199</f>
        <v/>
      </c>
      <c r="L199" s="9">
        <f ca="1">'PRICE_IOF Ñ USAR'!L199</f>
        <v>7</v>
      </c>
      <c r="N199" s="176">
        <f t="shared" ca="1" si="55"/>
        <v>30</v>
      </c>
      <c r="O199" s="176">
        <f t="shared" ca="1" si="59"/>
        <v>5503</v>
      </c>
      <c r="P199" s="175">
        <f t="shared" ca="1" si="42"/>
        <v>5377.6547246894552</v>
      </c>
      <c r="Q199" s="11">
        <f t="shared" ca="1" si="43"/>
        <v>2.9930000000000002E-2</v>
      </c>
      <c r="R199" s="12">
        <f t="shared" ca="1" si="44"/>
        <v>160.95320590995541</v>
      </c>
      <c r="S199" s="513"/>
      <c r="U199">
        <f t="shared" ca="1" si="60"/>
        <v>2106.3704886229862</v>
      </c>
      <c r="V199" s="31">
        <f t="shared" ca="1" si="61"/>
        <v>2174.792310440545</v>
      </c>
      <c r="X199" s="58">
        <f t="shared" ca="1" si="45"/>
        <v>181</v>
      </c>
      <c r="Y199" s="61">
        <f t="shared" ca="1" si="46"/>
        <v>50231</v>
      </c>
      <c r="Z199" s="31">
        <f t="shared" ca="1" si="56"/>
        <v>5377.6547246894552</v>
      </c>
      <c r="AA199" s="31">
        <f t="shared" ca="1" si="62"/>
        <v>-2553.8580439021293</v>
      </c>
      <c r="AB199" s="66">
        <f t="shared" ca="1" si="57"/>
        <v>-282970.91987685149</v>
      </c>
      <c r="AC199" t="str">
        <f t="shared" ca="1" si="47"/>
        <v/>
      </c>
      <c r="AD199" t="str">
        <f t="shared" ca="1" si="48"/>
        <v/>
      </c>
    </row>
    <row r="200" spans="1:30">
      <c r="A200" s="180">
        <f ca="1">'PRICE_IOF Ñ USAR'!A200</f>
        <v>182</v>
      </c>
      <c r="B200" s="179">
        <f ca="1">'PRICE_IOF Ñ USAR'!B200</f>
        <v>50262</v>
      </c>
      <c r="C200" s="177">
        <f t="shared" ca="1" si="49"/>
        <v>1369.6335771398567</v>
      </c>
      <c r="D200" s="24">
        <f t="shared" ca="1" si="58"/>
        <v>736.73691148312957</v>
      </c>
      <c r="E200" s="177">
        <f t="shared" ca="1" si="50"/>
        <v>78710.465355938824</v>
      </c>
      <c r="F200" s="178">
        <f t="shared" ca="1" si="51"/>
        <v>16.816820775946525</v>
      </c>
      <c r="G200" s="178">
        <f t="shared" ca="1" si="52"/>
        <v>26.319999999999997</v>
      </c>
      <c r="H200" s="177">
        <f t="shared" ca="1" si="53"/>
        <v>25</v>
      </c>
      <c r="I200" s="25">
        <f t="shared" ca="1" si="54"/>
        <v>2174.5073093989326</v>
      </c>
      <c r="J200" s="9" t="str">
        <f ca="1">'PRICE_IOF Ñ USAR'!J200</f>
        <v/>
      </c>
      <c r="K200" s="9" t="str">
        <f ca="1">'PRICE_IOF Ñ USAR'!K200</f>
        <v/>
      </c>
      <c r="L200" s="9">
        <f ca="1">'PRICE_IOF Ñ USAR'!L200</f>
        <v>8</v>
      </c>
      <c r="N200" s="176">
        <f t="shared" ca="1" si="55"/>
        <v>31</v>
      </c>
      <c r="O200" s="176">
        <f t="shared" ca="1" si="59"/>
        <v>5534</v>
      </c>
      <c r="P200" s="175">
        <f t="shared" ca="1" si="42"/>
        <v>5427.1291482438173</v>
      </c>
      <c r="Q200" s="11">
        <f t="shared" ca="1" si="43"/>
        <v>2.9930000000000002E-2</v>
      </c>
      <c r="R200" s="12">
        <f t="shared" ca="1" si="44"/>
        <v>162.43397540693746</v>
      </c>
      <c r="S200" s="513"/>
      <c r="U200">
        <f t="shared" ca="1" si="60"/>
        <v>2106.3704886229862</v>
      </c>
      <c r="V200" s="31">
        <f t="shared" ca="1" si="61"/>
        <v>2174.5073093989326</v>
      </c>
      <c r="X200" s="58">
        <f t="shared" ca="1" si="45"/>
        <v>182</v>
      </c>
      <c r="Y200" s="61">
        <f t="shared" ca="1" si="46"/>
        <v>50262</v>
      </c>
      <c r="Z200" s="31">
        <f t="shared" ca="1" si="56"/>
        <v>5427.1291482438173</v>
      </c>
      <c r="AA200" s="31">
        <f t="shared" ca="1" si="62"/>
        <v>-2603.3324674564915</v>
      </c>
      <c r="AB200" s="31">
        <f t="shared" ca="1" si="57"/>
        <v>-288398.0490250953</v>
      </c>
      <c r="AC200" t="str">
        <f t="shared" ca="1" si="47"/>
        <v/>
      </c>
      <c r="AD200" t="str">
        <f t="shared" ca="1" si="48"/>
        <v/>
      </c>
    </row>
    <row r="201" spans="1:30">
      <c r="A201" s="180">
        <f ca="1">'PRICE_IOF Ñ USAR'!A201</f>
        <v>183</v>
      </c>
      <c r="B201" s="179">
        <f ca="1">'PRICE_IOF Ñ USAR'!B201</f>
        <v>50293</v>
      </c>
      <c r="C201" s="177">
        <f t="shared" ca="1" si="49"/>
        <v>1382.2342060717572</v>
      </c>
      <c r="D201" s="24">
        <f t="shared" ca="1" si="58"/>
        <v>724.13628255122899</v>
      </c>
      <c r="E201" s="177">
        <f t="shared" ca="1" si="50"/>
        <v>77328.231149867061</v>
      </c>
      <c r="F201" s="178">
        <f t="shared" ca="1" si="51"/>
        <v>16.529197724747153</v>
      </c>
      <c r="G201" s="178">
        <f t="shared" ca="1" si="52"/>
        <v>26.319999999999997</v>
      </c>
      <c r="H201" s="177">
        <f t="shared" ca="1" si="53"/>
        <v>25</v>
      </c>
      <c r="I201" s="25">
        <f t="shared" ca="1" si="54"/>
        <v>2174.2196863477334</v>
      </c>
      <c r="J201" s="9" t="str">
        <f ca="1">'PRICE_IOF Ñ USAR'!J201</f>
        <v/>
      </c>
      <c r="K201" s="9" t="str">
        <f ca="1">'PRICE_IOF Ñ USAR'!K201</f>
        <v/>
      </c>
      <c r="L201" s="9">
        <f ca="1">'PRICE_IOF Ñ USAR'!L201</f>
        <v>9</v>
      </c>
      <c r="N201" s="176">
        <f t="shared" ca="1" si="55"/>
        <v>31</v>
      </c>
      <c r="O201" s="176">
        <f t="shared" ca="1" si="59"/>
        <v>5565</v>
      </c>
      <c r="P201" s="175">
        <f t="shared" ca="1" si="42"/>
        <v>5477.0587364956809</v>
      </c>
      <c r="Q201" s="11">
        <f t="shared" ca="1" si="43"/>
        <v>2.9930000000000002E-2</v>
      </c>
      <c r="R201" s="12">
        <f t="shared" ca="1" si="44"/>
        <v>163.92836798331575</v>
      </c>
      <c r="S201" s="513"/>
      <c r="U201">
        <f t="shared" ca="1" si="60"/>
        <v>2106.3704886229862</v>
      </c>
      <c r="V201" s="31">
        <f t="shared" ca="1" si="61"/>
        <v>2174.2196863477334</v>
      </c>
      <c r="X201" s="58">
        <f t="shared" ca="1" si="45"/>
        <v>183</v>
      </c>
      <c r="Y201" s="61">
        <f t="shared" ca="1" si="46"/>
        <v>50293</v>
      </c>
      <c r="Z201" s="31">
        <f t="shared" ca="1" si="56"/>
        <v>5477.0587364956809</v>
      </c>
      <c r="AA201" s="31">
        <f t="shared" ca="1" si="62"/>
        <v>-2653.262055708356</v>
      </c>
      <c r="AB201" s="31">
        <f t="shared" ca="1" si="57"/>
        <v>-293875.10776159097</v>
      </c>
      <c r="AC201" t="str">
        <f t="shared" ca="1" si="47"/>
        <v/>
      </c>
      <c r="AD201" t="str">
        <f t="shared" ca="1" si="48"/>
        <v/>
      </c>
    </row>
    <row r="202" spans="1:30">
      <c r="A202" s="180">
        <f ca="1">'PRICE_IOF Ñ USAR'!A202</f>
        <v>184</v>
      </c>
      <c r="B202" s="179">
        <f ca="1">'PRICE_IOF Ñ USAR'!B202</f>
        <v>50323</v>
      </c>
      <c r="C202" s="177">
        <f t="shared" ca="1" si="49"/>
        <v>1394.9507607900355</v>
      </c>
      <c r="D202" s="24">
        <f t="shared" ca="1" si="58"/>
        <v>711.41972783295057</v>
      </c>
      <c r="E202" s="177">
        <f t="shared" ca="1" si="50"/>
        <v>75933.28038907703</v>
      </c>
      <c r="F202" s="178">
        <f t="shared" ca="1" si="51"/>
        <v>16.238928541472085</v>
      </c>
      <c r="G202" s="178">
        <f t="shared" ca="1" si="52"/>
        <v>26.319999999999997</v>
      </c>
      <c r="H202" s="177">
        <f t="shared" ca="1" si="53"/>
        <v>25</v>
      </c>
      <c r="I202" s="25">
        <f t="shared" ca="1" si="54"/>
        <v>2173.9294171644583</v>
      </c>
      <c r="J202" s="9" t="str">
        <f ca="1">'PRICE_IOF Ñ USAR'!J202</f>
        <v/>
      </c>
      <c r="K202" s="9" t="str">
        <f ca="1">'PRICE_IOF Ñ USAR'!K202</f>
        <v/>
      </c>
      <c r="L202" s="9">
        <f ca="1">'PRICE_IOF Ñ USAR'!L202</f>
        <v>10</v>
      </c>
      <c r="N202" s="176">
        <f t="shared" ca="1" si="55"/>
        <v>30</v>
      </c>
      <c r="O202" s="176">
        <f t="shared" ca="1" si="59"/>
        <v>5595</v>
      </c>
      <c r="P202" s="175">
        <f t="shared" ca="1" si="42"/>
        <v>5527.4476769602734</v>
      </c>
      <c r="Q202" s="11">
        <f t="shared" ca="1" si="43"/>
        <v>2.9930000000000002E-2</v>
      </c>
      <c r="R202" s="12">
        <f t="shared" ca="1" si="44"/>
        <v>165.43650897142101</v>
      </c>
      <c r="S202" s="513"/>
      <c r="U202">
        <f t="shared" ca="1" si="60"/>
        <v>2106.3704886229862</v>
      </c>
      <c r="V202" s="31">
        <f t="shared" ca="1" si="61"/>
        <v>2173.9294171644583</v>
      </c>
      <c r="X202" s="58">
        <f t="shared" ca="1" si="45"/>
        <v>184</v>
      </c>
      <c r="Y202" s="61">
        <f t="shared" ca="1" si="46"/>
        <v>50323</v>
      </c>
      <c r="Z202" s="31">
        <f t="shared" ca="1" si="56"/>
        <v>5527.4476769602734</v>
      </c>
      <c r="AA202" s="31">
        <f t="shared" ca="1" si="62"/>
        <v>-2703.650996172948</v>
      </c>
      <c r="AB202" s="31">
        <f t="shared" ca="1" si="57"/>
        <v>-299402.55543855124</v>
      </c>
      <c r="AC202" t="str">
        <f t="shared" ca="1" si="47"/>
        <v/>
      </c>
      <c r="AD202" t="str">
        <f t="shared" ca="1" si="48"/>
        <v/>
      </c>
    </row>
    <row r="203" spans="1:30">
      <c r="A203" s="180">
        <f ca="1">'PRICE_IOF Ñ USAR'!A203</f>
        <v>185</v>
      </c>
      <c r="B203" s="179">
        <f ca="1">'PRICE_IOF Ñ USAR'!B203</f>
        <v>50354</v>
      </c>
      <c r="C203" s="177">
        <f t="shared" ca="1" si="49"/>
        <v>1407.7843078119286</v>
      </c>
      <c r="D203" s="24">
        <f t="shared" ca="1" si="58"/>
        <v>698.58618081105772</v>
      </c>
      <c r="E203" s="177">
        <f t="shared" ca="1" si="50"/>
        <v>74525.496081265097</v>
      </c>
      <c r="F203" s="178">
        <f t="shared" ca="1" si="51"/>
        <v>15.945988881706176</v>
      </c>
      <c r="G203" s="178">
        <f t="shared" ca="1" si="52"/>
        <v>26.319999999999997</v>
      </c>
      <c r="H203" s="177">
        <f t="shared" ca="1" si="53"/>
        <v>25</v>
      </c>
      <c r="I203" s="25">
        <f t="shared" ca="1" si="54"/>
        <v>2173.6364775046927</v>
      </c>
      <c r="J203" s="9" t="str">
        <f ca="1">'PRICE_IOF Ñ USAR'!J203</f>
        <v/>
      </c>
      <c r="K203" s="9" t="str">
        <f ca="1">'PRICE_IOF Ñ USAR'!K203</f>
        <v/>
      </c>
      <c r="L203" s="9">
        <f ca="1">'PRICE_IOF Ñ USAR'!L203</f>
        <v>11</v>
      </c>
      <c r="N203" s="176">
        <f t="shared" ca="1" si="55"/>
        <v>31</v>
      </c>
      <c r="O203" s="176">
        <f t="shared" ca="1" si="59"/>
        <v>5626</v>
      </c>
      <c r="P203" s="175">
        <f t="shared" ca="1" si="42"/>
        <v>5578.3001956779563</v>
      </c>
      <c r="Q203" s="11">
        <f t="shared" ca="1" si="43"/>
        <v>2.9930000000000002E-2</v>
      </c>
      <c r="R203" s="12">
        <f t="shared" ca="1" si="44"/>
        <v>166.95852485664125</v>
      </c>
      <c r="S203" s="513"/>
      <c r="U203">
        <f t="shared" ca="1" si="60"/>
        <v>2106.3704886229862</v>
      </c>
      <c r="V203" s="31">
        <f t="shared" ca="1" si="61"/>
        <v>2173.6364775046927</v>
      </c>
      <c r="X203" s="58">
        <f t="shared" ca="1" si="45"/>
        <v>185</v>
      </c>
      <c r="Y203" s="61">
        <f t="shared" ca="1" si="46"/>
        <v>50354</v>
      </c>
      <c r="Z203" s="31">
        <f t="shared" ca="1" si="56"/>
        <v>5578.3001956779563</v>
      </c>
      <c r="AA203" s="31">
        <f t="shared" ca="1" si="62"/>
        <v>-2754.5035148906309</v>
      </c>
      <c r="AB203" s="31">
        <f t="shared" ca="1" si="57"/>
        <v>-304980.8556342292</v>
      </c>
      <c r="AC203" t="str">
        <f t="shared" ca="1" si="47"/>
        <v/>
      </c>
      <c r="AD203" t="str">
        <f t="shared" ca="1" si="48"/>
        <v/>
      </c>
    </row>
    <row r="204" spans="1:30">
      <c r="A204" s="180">
        <f ca="1">'PRICE_IOF Ñ USAR'!A204</f>
        <v>186</v>
      </c>
      <c r="B204" s="179">
        <f ca="1">'PRICE_IOF Ñ USAR'!B204</f>
        <v>50384</v>
      </c>
      <c r="C204" s="177">
        <f t="shared" ca="1" si="49"/>
        <v>1420.7359234666308</v>
      </c>
      <c r="D204" s="24">
        <f t="shared" ca="1" si="58"/>
        <v>685.63456515635539</v>
      </c>
      <c r="E204" s="177">
        <f t="shared" ca="1" si="50"/>
        <v>73104.760157798461</v>
      </c>
      <c r="F204" s="178">
        <f t="shared" ca="1" si="51"/>
        <v>15.650354177065671</v>
      </c>
      <c r="G204" s="178">
        <f t="shared" ca="1" si="52"/>
        <v>26.319999999999997</v>
      </c>
      <c r="H204" s="177">
        <f t="shared" ca="1" si="53"/>
        <v>25</v>
      </c>
      <c r="I204" s="25">
        <f t="shared" ca="1" si="54"/>
        <v>2173.3408428000521</v>
      </c>
      <c r="J204" s="9" t="str">
        <f ca="1">'PRICE_IOF Ñ USAR'!J204</f>
        <v/>
      </c>
      <c r="K204" s="9" t="str">
        <f ca="1">'PRICE_IOF Ñ USAR'!K204</f>
        <v/>
      </c>
      <c r="L204" s="9">
        <f ca="1">'PRICE_IOF Ñ USAR'!L204</f>
        <v>12</v>
      </c>
      <c r="N204" s="176">
        <f t="shared" ca="1" si="55"/>
        <v>30</v>
      </c>
      <c r="O204" s="176">
        <f t="shared" ca="1" si="59"/>
        <v>5656</v>
      </c>
      <c r="P204" s="175">
        <f t="shared" ca="1" si="42"/>
        <v>5629.6205575686672</v>
      </c>
      <c r="Q204" s="11">
        <f t="shared" ca="1" si="43"/>
        <v>2.9930000000000002E-2</v>
      </c>
      <c r="R204" s="12">
        <f t="shared" ca="1" si="44"/>
        <v>168.49454328803023</v>
      </c>
      <c r="S204" s="513"/>
      <c r="U204">
        <f t="shared" ca="1" si="60"/>
        <v>2106.3704886229862</v>
      </c>
      <c r="V204" s="31">
        <f t="shared" ca="1" si="61"/>
        <v>2173.3408428000521</v>
      </c>
      <c r="X204" s="58">
        <f t="shared" ca="1" si="45"/>
        <v>186</v>
      </c>
      <c r="Y204" s="61">
        <f t="shared" ca="1" si="46"/>
        <v>50384</v>
      </c>
      <c r="Z204" s="31">
        <f t="shared" ca="1" si="56"/>
        <v>5629.6205575686672</v>
      </c>
      <c r="AA204" s="31">
        <f t="shared" ca="1" si="62"/>
        <v>-2805.8238767813418</v>
      </c>
      <c r="AB204" s="31">
        <f t="shared" ca="1" si="57"/>
        <v>-310610.47619179788</v>
      </c>
      <c r="AC204" t="str">
        <f t="shared" ca="1" si="47"/>
        <v/>
      </c>
      <c r="AD204" t="str">
        <f t="shared" ca="1" si="48"/>
        <v/>
      </c>
    </row>
    <row r="205" spans="1:30">
      <c r="A205" s="180">
        <f ca="1">'PRICE_IOF Ñ USAR'!A205</f>
        <v>187</v>
      </c>
      <c r="B205" s="179">
        <f ca="1">'PRICE_IOF Ñ USAR'!B205</f>
        <v>50415</v>
      </c>
      <c r="C205" s="177">
        <f t="shared" ca="1" si="49"/>
        <v>1433.8066939855667</v>
      </c>
      <c r="D205" s="24">
        <f t="shared" ca="1" si="58"/>
        <v>672.56379463741962</v>
      </c>
      <c r="E205" s="177">
        <f t="shared" ca="1" si="50"/>
        <v>71670.953463812897</v>
      </c>
      <c r="F205" s="178">
        <f t="shared" ca="1" si="51"/>
        <v>15.351999633137677</v>
      </c>
      <c r="G205" s="178">
        <f t="shared" ca="1" si="52"/>
        <v>26.319999999999997</v>
      </c>
      <c r="H205" s="177">
        <f t="shared" ca="1" si="53"/>
        <v>25</v>
      </c>
      <c r="I205" s="25">
        <f t="shared" ca="1" si="54"/>
        <v>2173.0424882561242</v>
      </c>
      <c r="J205" s="9" t="str">
        <f ca="1">'PRICE_IOF Ñ USAR'!J205</f>
        <v/>
      </c>
      <c r="K205" s="9" t="str">
        <f ca="1">'PRICE_IOF Ñ USAR'!K205</f>
        <v/>
      </c>
      <c r="L205" s="9">
        <f ca="1">'PRICE_IOF Ñ USAR'!L205</f>
        <v>1</v>
      </c>
      <c r="N205" s="176">
        <f t="shared" ca="1" si="55"/>
        <v>31</v>
      </c>
      <c r="O205" s="176">
        <f t="shared" ca="1" si="59"/>
        <v>5687</v>
      </c>
      <c r="P205" s="175">
        <f t="shared" ca="1" si="42"/>
        <v>5681.4130667896043</v>
      </c>
      <c r="Q205" s="11">
        <f t="shared" ca="1" si="43"/>
        <v>2.9930000000000002E-2</v>
      </c>
      <c r="R205" s="12">
        <f t="shared" ca="1" si="44"/>
        <v>170.04469308901287</v>
      </c>
      <c r="S205" s="513"/>
      <c r="U205">
        <f t="shared" ca="1" si="60"/>
        <v>2106.3704886229862</v>
      </c>
      <c r="V205" s="31">
        <f t="shared" ca="1" si="61"/>
        <v>2173.0424882561242</v>
      </c>
      <c r="X205" s="58">
        <f t="shared" ca="1" si="45"/>
        <v>187</v>
      </c>
      <c r="Y205" s="61">
        <f t="shared" ca="1" si="46"/>
        <v>50415</v>
      </c>
      <c r="Z205" s="31">
        <f t="shared" ca="1" si="56"/>
        <v>5681.4130667896043</v>
      </c>
      <c r="AA205" s="31">
        <f t="shared" ca="1" si="62"/>
        <v>-2857.6163860022793</v>
      </c>
      <c r="AB205" s="31">
        <f t="shared" ca="1" si="57"/>
        <v>-316291.8892585875</v>
      </c>
      <c r="AC205" t="str">
        <f t="shared" ca="1" si="47"/>
        <v/>
      </c>
      <c r="AD205" t="str">
        <f t="shared" ca="1" si="48"/>
        <v/>
      </c>
    </row>
    <row r="206" spans="1:30">
      <c r="A206" s="180">
        <f ca="1">'PRICE_IOF Ñ USAR'!A206</f>
        <v>188</v>
      </c>
      <c r="B206" s="179">
        <f ca="1">'PRICE_IOF Ñ USAR'!B206</f>
        <v>50446</v>
      </c>
      <c r="C206" s="177">
        <f t="shared" ca="1" si="49"/>
        <v>1446.9977155934885</v>
      </c>
      <c r="D206" s="24">
        <f t="shared" ca="1" si="58"/>
        <v>659.37277302949781</v>
      </c>
      <c r="E206" s="177">
        <f t="shared" ca="1" si="50"/>
        <v>70223.955748219407</v>
      </c>
      <c r="F206" s="178">
        <f t="shared" ca="1" si="51"/>
        <v>15.050900227400708</v>
      </c>
      <c r="G206" s="178">
        <f t="shared" ca="1" si="52"/>
        <v>26.319999999999997</v>
      </c>
      <c r="H206" s="177">
        <f t="shared" ca="1" si="53"/>
        <v>25</v>
      </c>
      <c r="I206" s="25">
        <f t="shared" ca="1" si="54"/>
        <v>2172.741388850387</v>
      </c>
      <c r="J206" s="9" t="str">
        <f ca="1">'PRICE_IOF Ñ USAR'!J206</f>
        <v/>
      </c>
      <c r="K206" s="9" t="str">
        <f ca="1">'PRICE_IOF Ñ USAR'!K206</f>
        <v/>
      </c>
      <c r="L206" s="9">
        <f ca="1">'PRICE_IOF Ñ USAR'!L206</f>
        <v>2</v>
      </c>
      <c r="N206" s="176">
        <f t="shared" ca="1" si="55"/>
        <v>31</v>
      </c>
      <c r="O206" s="176">
        <f t="shared" ca="1" si="59"/>
        <v>5718</v>
      </c>
      <c r="P206" s="175">
        <f t="shared" ca="1" si="42"/>
        <v>5733.6820670962152</v>
      </c>
      <c r="Q206" s="11">
        <f t="shared" ca="1" si="43"/>
        <v>2.9930000000000002E-2</v>
      </c>
      <c r="R206" s="12">
        <f t="shared" ca="1" si="44"/>
        <v>171.60910426818972</v>
      </c>
      <c r="S206" s="513"/>
      <c r="U206">
        <f t="shared" ca="1" si="60"/>
        <v>2106.3704886229862</v>
      </c>
      <c r="V206" s="31">
        <f t="shared" ca="1" si="61"/>
        <v>2172.741388850387</v>
      </c>
      <c r="X206" s="58">
        <f t="shared" ca="1" si="45"/>
        <v>188</v>
      </c>
      <c r="Y206" s="61">
        <f t="shared" ca="1" si="46"/>
        <v>50446</v>
      </c>
      <c r="Z206" s="31">
        <f t="shared" ca="1" si="56"/>
        <v>5733.6820670962152</v>
      </c>
      <c r="AA206" s="31">
        <f t="shared" ca="1" si="62"/>
        <v>-2909.8853863088898</v>
      </c>
      <c r="AB206" s="31">
        <f t="shared" ca="1" si="57"/>
        <v>-322025.57132568373</v>
      </c>
      <c r="AC206" t="str">
        <f t="shared" ca="1" si="47"/>
        <v/>
      </c>
      <c r="AD206" t="str">
        <f t="shared" ca="1" si="48"/>
        <v/>
      </c>
    </row>
    <row r="207" spans="1:30">
      <c r="A207" s="180">
        <f ca="1">'PRICE_IOF Ñ USAR'!A207</f>
        <v>189</v>
      </c>
      <c r="B207" s="179">
        <f ca="1">'PRICE_IOF Ñ USAR'!B207</f>
        <v>50474</v>
      </c>
      <c r="C207" s="177">
        <f t="shared" ca="1" si="49"/>
        <v>1460.310094600417</v>
      </c>
      <c r="D207" s="24">
        <f t="shared" ca="1" si="58"/>
        <v>646.06039402256908</v>
      </c>
      <c r="E207" s="177">
        <f t="shared" ca="1" si="50"/>
        <v>68763.645653618994</v>
      </c>
      <c r="F207" s="178">
        <f t="shared" ca="1" si="51"/>
        <v>14.747030707126076</v>
      </c>
      <c r="G207" s="178">
        <f t="shared" ca="1" si="52"/>
        <v>26.319999999999997</v>
      </c>
      <c r="H207" s="177">
        <f t="shared" ca="1" si="53"/>
        <v>25</v>
      </c>
      <c r="I207" s="25">
        <f t="shared" ca="1" si="54"/>
        <v>2172.4375193301125</v>
      </c>
      <c r="J207" s="9" t="str">
        <f ca="1">'PRICE_IOF Ñ USAR'!J207</f>
        <v/>
      </c>
      <c r="K207" s="9" t="str">
        <f ca="1">'PRICE_IOF Ñ USAR'!K207</f>
        <v/>
      </c>
      <c r="L207" s="9">
        <f ca="1">'PRICE_IOF Ñ USAR'!L207</f>
        <v>3</v>
      </c>
      <c r="N207" s="176">
        <f t="shared" ca="1" si="55"/>
        <v>28</v>
      </c>
      <c r="O207" s="176">
        <f t="shared" ca="1" si="59"/>
        <v>5746</v>
      </c>
      <c r="P207" s="175">
        <f t="shared" ca="1" si="42"/>
        <v>5786.4319422064946</v>
      </c>
      <c r="Q207" s="11">
        <f t="shared" ca="1" si="43"/>
        <v>2.9930000000000002E-2</v>
      </c>
      <c r="R207" s="12">
        <f t="shared" ca="1" si="44"/>
        <v>173.18790803024038</v>
      </c>
      <c r="S207" s="513"/>
      <c r="U207">
        <f t="shared" ca="1" si="60"/>
        <v>2106.3704886229862</v>
      </c>
      <c r="V207" s="31">
        <f t="shared" ca="1" si="61"/>
        <v>2172.4375193301125</v>
      </c>
      <c r="X207" s="58">
        <f t="shared" ca="1" si="45"/>
        <v>189</v>
      </c>
      <c r="Y207" s="61">
        <f t="shared" ca="1" si="46"/>
        <v>50474</v>
      </c>
      <c r="Z207" s="31">
        <f t="shared" ca="1" si="56"/>
        <v>5786.4319422064946</v>
      </c>
      <c r="AA207" s="31">
        <f t="shared" ca="1" si="62"/>
        <v>-2962.6352614191687</v>
      </c>
      <c r="AB207" s="31">
        <f t="shared" ca="1" si="57"/>
        <v>-327812.00326789025</v>
      </c>
      <c r="AC207" t="str">
        <f t="shared" ca="1" si="47"/>
        <v/>
      </c>
      <c r="AD207" t="str">
        <f t="shared" ca="1" si="48"/>
        <v/>
      </c>
    </row>
    <row r="208" spans="1:30">
      <c r="A208" s="180">
        <f ca="1">'PRICE_IOF Ñ USAR'!A208</f>
        <v>190</v>
      </c>
      <c r="B208" s="179">
        <f ca="1">'PRICE_IOF Ñ USAR'!B208</f>
        <v>50505</v>
      </c>
      <c r="C208" s="177">
        <f t="shared" ca="1" si="49"/>
        <v>1473.7449474944256</v>
      </c>
      <c r="D208" s="24">
        <f t="shared" ca="1" si="58"/>
        <v>632.62554112856071</v>
      </c>
      <c r="E208" s="177">
        <f t="shared" ca="1" si="50"/>
        <v>67289.900706124565</v>
      </c>
      <c r="F208" s="178">
        <f t="shared" ca="1" si="51"/>
        <v>14.44036558725999</v>
      </c>
      <c r="G208" s="178">
        <f t="shared" ca="1" si="52"/>
        <v>26.319999999999997</v>
      </c>
      <c r="H208" s="177">
        <f t="shared" ca="1" si="53"/>
        <v>25</v>
      </c>
      <c r="I208" s="25">
        <f t="shared" ca="1" si="54"/>
        <v>2172.1308542102465</v>
      </c>
      <c r="J208" s="9" t="str">
        <f ca="1">'PRICE_IOF Ñ USAR'!J208</f>
        <v/>
      </c>
      <c r="K208" s="9" t="str">
        <f ca="1">'PRICE_IOF Ñ USAR'!K208</f>
        <v/>
      </c>
      <c r="L208" s="9">
        <f ca="1">'PRICE_IOF Ñ USAR'!L208</f>
        <v>4</v>
      </c>
      <c r="N208" s="176">
        <f t="shared" ca="1" si="55"/>
        <v>31</v>
      </c>
      <c r="O208" s="176">
        <f t="shared" ca="1" si="59"/>
        <v>5777</v>
      </c>
      <c r="P208" s="175">
        <f t="shared" ca="1" si="42"/>
        <v>5839.6671161686436</v>
      </c>
      <c r="Q208" s="11">
        <f t="shared" ca="1" si="43"/>
        <v>2.9930000000000002E-2</v>
      </c>
      <c r="R208" s="12">
        <f t="shared" ca="1" si="44"/>
        <v>174.78123678692751</v>
      </c>
      <c r="S208" s="513"/>
      <c r="U208">
        <f t="shared" ca="1" si="60"/>
        <v>2106.3704886229862</v>
      </c>
      <c r="V208" s="31">
        <f t="shared" ca="1" si="61"/>
        <v>2172.1308542102465</v>
      </c>
      <c r="X208" s="58">
        <f t="shared" ca="1" si="45"/>
        <v>190</v>
      </c>
      <c r="Y208" s="61">
        <f t="shared" ca="1" si="46"/>
        <v>50505</v>
      </c>
      <c r="Z208" s="31">
        <f t="shared" ca="1" si="56"/>
        <v>5839.6671161686436</v>
      </c>
      <c r="AA208" s="31">
        <f t="shared" ca="1" si="62"/>
        <v>-3015.8704353813182</v>
      </c>
      <c r="AB208" s="31">
        <f t="shared" ca="1" si="57"/>
        <v>-333651.6703840589</v>
      </c>
      <c r="AC208" t="str">
        <f t="shared" ca="1" si="47"/>
        <v/>
      </c>
      <c r="AD208" t="str">
        <f t="shared" ca="1" si="48"/>
        <v/>
      </c>
    </row>
    <row r="209" spans="1:30">
      <c r="A209" s="180">
        <f ca="1">'PRICE_IOF Ñ USAR'!A209</f>
        <v>191</v>
      </c>
      <c r="B209" s="179">
        <f ca="1">'PRICE_IOF Ñ USAR'!B209</f>
        <v>50535</v>
      </c>
      <c r="C209" s="177">
        <f t="shared" ca="1" si="49"/>
        <v>1487.3034010352767</v>
      </c>
      <c r="D209" s="24">
        <f t="shared" ca="1" si="58"/>
        <v>619.06708758770958</v>
      </c>
      <c r="E209" s="177">
        <f t="shared" ca="1" si="50"/>
        <v>65802.597305089294</v>
      </c>
      <c r="F209" s="178">
        <f t="shared" ca="1" si="51"/>
        <v>14.130879148286159</v>
      </c>
      <c r="G209" s="178">
        <f t="shared" ca="1" si="52"/>
        <v>26.319999999999997</v>
      </c>
      <c r="H209" s="177">
        <f t="shared" ca="1" si="53"/>
        <v>25</v>
      </c>
      <c r="I209" s="25">
        <f t="shared" ca="1" si="54"/>
        <v>2171.8213677712724</v>
      </c>
      <c r="J209" s="9" t="str">
        <f ca="1">'PRICE_IOF Ñ USAR'!J209</f>
        <v/>
      </c>
      <c r="K209" s="9" t="str">
        <f ca="1">'PRICE_IOF Ñ USAR'!K209</f>
        <v/>
      </c>
      <c r="L209" s="9">
        <f ca="1">'PRICE_IOF Ñ USAR'!L209</f>
        <v>5</v>
      </c>
      <c r="N209" s="176">
        <f t="shared" ca="1" si="55"/>
        <v>30</v>
      </c>
      <c r="O209" s="176">
        <f t="shared" ca="1" si="59"/>
        <v>5807</v>
      </c>
      <c r="P209" s="175">
        <f t="shared" ca="1" si="42"/>
        <v>5893.3920537321083</v>
      </c>
      <c r="Q209" s="11">
        <f t="shared" ca="1" si="43"/>
        <v>2.9930000000000002E-2</v>
      </c>
      <c r="R209" s="12">
        <f t="shared" ca="1" si="44"/>
        <v>176.38922416820202</v>
      </c>
      <c r="S209" s="513"/>
      <c r="U209">
        <f t="shared" ca="1" si="60"/>
        <v>2106.3704886229862</v>
      </c>
      <c r="V209" s="31">
        <f t="shared" ca="1" si="61"/>
        <v>2171.8213677712724</v>
      </c>
      <c r="X209" s="58">
        <f t="shared" ca="1" si="45"/>
        <v>191</v>
      </c>
      <c r="Y209" s="61">
        <f t="shared" ca="1" si="46"/>
        <v>50535</v>
      </c>
      <c r="Z209" s="31">
        <f t="shared" ca="1" si="56"/>
        <v>5893.3920537321083</v>
      </c>
      <c r="AA209" s="31">
        <f t="shared" ca="1" si="62"/>
        <v>-3069.5953729447824</v>
      </c>
      <c r="AB209" s="31">
        <f t="shared" ca="1" si="57"/>
        <v>-339545.06243779103</v>
      </c>
      <c r="AC209" t="str">
        <f t="shared" ca="1" si="47"/>
        <v/>
      </c>
      <c r="AD209" t="str">
        <f t="shared" ca="1" si="48"/>
        <v/>
      </c>
    </row>
    <row r="210" spans="1:30">
      <c r="A210" s="180">
        <f ca="1">'PRICE_IOF Ñ USAR'!A210</f>
        <v>192</v>
      </c>
      <c r="B210" s="179">
        <f ca="1">'PRICE_IOF Ñ USAR'!B210</f>
        <v>50566</v>
      </c>
      <c r="C210" s="177">
        <f t="shared" ca="1" si="49"/>
        <v>1500.9865923489233</v>
      </c>
      <c r="D210" s="24">
        <f t="shared" ca="1" si="58"/>
        <v>605.38389627406275</v>
      </c>
      <c r="E210" s="177">
        <f t="shared" ca="1" si="50"/>
        <v>64301.610712740367</v>
      </c>
      <c r="F210" s="178">
        <f t="shared" ca="1" si="51"/>
        <v>13.818545434068753</v>
      </c>
      <c r="G210" s="178">
        <f t="shared" ca="1" si="52"/>
        <v>26.319999999999997</v>
      </c>
      <c r="H210" s="177">
        <f t="shared" ca="1" si="53"/>
        <v>25</v>
      </c>
      <c r="I210" s="25">
        <f t="shared" ca="1" si="54"/>
        <v>2171.509034057055</v>
      </c>
      <c r="J210" s="9" t="str">
        <f ca="1">'PRICE_IOF Ñ USAR'!J210</f>
        <v/>
      </c>
      <c r="K210" s="9" t="str">
        <f ca="1">'PRICE_IOF Ñ USAR'!K210</f>
        <v/>
      </c>
      <c r="L210" s="9">
        <f ca="1">'PRICE_IOF Ñ USAR'!L210</f>
        <v>6</v>
      </c>
      <c r="N210" s="176">
        <f t="shared" ca="1" si="55"/>
        <v>31</v>
      </c>
      <c r="O210" s="176">
        <f t="shared" ca="1" si="59"/>
        <v>5838</v>
      </c>
      <c r="P210" s="175">
        <f t="shared" ref="P210:P273" ca="1" si="63">IF(A210&lt;&gt;"",Z210,"")</f>
        <v>5947.6112607220275</v>
      </c>
      <c r="Q210" s="11">
        <f t="shared" ref="Q210:Q273" ca="1" si="64">IF(OR(A210="",J210="Carencia",K210="Pula"),"",IF(AND($F$5="PF",O210&lt;365),$I$3*O210,IF(AND($F$5="PF",O210&gt;=365),$I$3*365,IF(AND($F$5="PJ",O210&lt;365),$I$4*O210,IF(AND($F$5="PJ",O210&gt;=365),$I$4*365)))))</f>
        <v>2.9930000000000002E-2</v>
      </c>
      <c r="R210" s="12">
        <f t="shared" ref="R210:R273" ca="1" si="65">IFERROR(Q210*P210,"")</f>
        <v>178.0120050334103</v>
      </c>
      <c r="S210" s="513"/>
      <c r="U210">
        <f t="shared" ca="1" si="60"/>
        <v>2106.3704886229862</v>
      </c>
      <c r="V210" s="31">
        <f t="shared" ca="1" si="61"/>
        <v>2171.509034057055</v>
      </c>
      <c r="X210" s="58">
        <f t="shared" ref="X210:X273" ca="1" si="66">A210</f>
        <v>192</v>
      </c>
      <c r="Y210" s="61">
        <f t="shared" ref="Y210:Y273" ca="1" si="67">B210</f>
        <v>50566</v>
      </c>
      <c r="Z210" s="31">
        <f t="shared" ca="1" si="56"/>
        <v>5947.6112607220275</v>
      </c>
      <c r="AA210" s="31">
        <f t="shared" ca="1" si="62"/>
        <v>-3123.8145799347017</v>
      </c>
      <c r="AB210" s="31">
        <f t="shared" ca="1" si="57"/>
        <v>-345492.67369851307</v>
      </c>
      <c r="AC210" t="str">
        <f t="shared" ref="AC210:AC273" ca="1" si="68">J210</f>
        <v/>
      </c>
      <c r="AD210" t="str">
        <f t="shared" ref="AD210:AD273" ca="1" si="69">K210</f>
        <v/>
      </c>
    </row>
    <row r="211" spans="1:30">
      <c r="A211" s="180">
        <f ca="1">'PRICE_IOF Ñ USAR'!A211</f>
        <v>193</v>
      </c>
      <c r="B211" s="179">
        <f ca="1">'PRICE_IOF Ñ USAR'!B211</f>
        <v>50596</v>
      </c>
      <c r="C211" s="177">
        <f t="shared" ref="C211:C274" ca="1" si="70">IFERROR(IF(OR(J211="Carencia",K211="Pula"),0,$I$13-D211),"")</f>
        <v>1514.7956690228777</v>
      </c>
      <c r="D211" s="24">
        <f t="shared" ca="1" si="58"/>
        <v>591.57481960010841</v>
      </c>
      <c r="E211" s="177">
        <f t="shared" ref="E211:E274" ca="1" si="71">IFERROR(IF(OR(J211="Carencia",K211="Pula"),E210+D211+SUM(F211:H211),(E210-C211)),"")</f>
        <v>62786.815043717492</v>
      </c>
      <c r="F211" s="178">
        <f t="shared" ref="F211:F274" ca="1" si="72">IFERROR(IF(OR(AND(DAY(B211)=DAY(B210),MONTH(B211)&lt;&gt;MONTH(B210)),MONTH(B211)&lt;&gt;MONTH(B210)),IF(K211="Pula",0,E210*$I$7),""),"")</f>
        <v>13.503338249675478</v>
      </c>
      <c r="G211" s="178">
        <f t="shared" ref="G211:G274" ca="1" si="73">IFERROR(IF(OR(AND(DAY(B211)=DAY(B210),MONTH(B211)&lt;&gt;MONTH(B210)),MONTH(B211)&lt;&gt;MONTH(B210)),IF(K211="Pula",0,$C$11*$I$8),0),"")</f>
        <v>26.319999999999997</v>
      </c>
      <c r="H211" s="177">
        <f t="shared" ref="H211:H274" ca="1" si="74">IFERROR(IF(OR(AND(DAY(B211)=DAY(B210),MONTH(B211)&lt;&gt;MONTH(B210)),MONTH(B211)&lt;&gt;MONTH(B210)),IF(K211="Pula",0,$I$10),0),"")</f>
        <v>25</v>
      </c>
      <c r="I211" s="25">
        <f t="shared" ref="I211:I274" ca="1" si="75">IFERROR(IF(OR(J211="Carencia",K211="Pula"),0,SUM(C211:D211,F211:H211)),"")</f>
        <v>2171.1938268726617</v>
      </c>
      <c r="J211" s="9" t="str">
        <f ca="1">'PRICE_IOF Ñ USAR'!J211</f>
        <v/>
      </c>
      <c r="K211" s="9" t="str">
        <f ca="1">'PRICE_IOF Ñ USAR'!K211</f>
        <v/>
      </c>
      <c r="L211" s="9">
        <f ca="1">'PRICE_IOF Ñ USAR'!L211</f>
        <v>7</v>
      </c>
      <c r="N211" s="176">
        <f t="shared" ref="N211:N274" ca="1" si="76">IFERROR(B211-B210,"")</f>
        <v>30</v>
      </c>
      <c r="O211" s="176">
        <f t="shared" ca="1" si="59"/>
        <v>5868</v>
      </c>
      <c r="P211" s="175">
        <f t="shared" ca="1" si="63"/>
        <v>6002.3292844171337</v>
      </c>
      <c r="Q211" s="11">
        <f t="shared" ca="1" si="64"/>
        <v>2.9930000000000002E-2</v>
      </c>
      <c r="R211" s="12">
        <f t="shared" ca="1" si="65"/>
        <v>179.64971548260482</v>
      </c>
      <c r="S211" s="513"/>
      <c r="U211">
        <f t="shared" ca="1" si="60"/>
        <v>2106.3704886229862</v>
      </c>
      <c r="V211" s="31">
        <f t="shared" ca="1" si="61"/>
        <v>2171.1938268726617</v>
      </c>
      <c r="X211" s="58">
        <f t="shared" ca="1" si="66"/>
        <v>193</v>
      </c>
      <c r="Y211" s="61">
        <f t="shared" ca="1" si="67"/>
        <v>50596</v>
      </c>
      <c r="Z211" s="31">
        <f t="shared" ref="Z211:Z274" ca="1" si="77">IFERROR(IF(OR(AC211="Carencia",AD211="Pula"),0,$L$7-AA211),"")</f>
        <v>6002.3292844171337</v>
      </c>
      <c r="AA211" s="31">
        <f t="shared" ca="1" si="62"/>
        <v>-3178.5326036298079</v>
      </c>
      <c r="AB211" s="31">
        <f t="shared" ref="AB211:AB274" ca="1" si="78">IFERROR(IF(OR(AC211="Carencia",AD211="Pula"),AB210,(AB210-Z211)),"")</f>
        <v>-351495.00298293022</v>
      </c>
      <c r="AC211" t="str">
        <f t="shared" ca="1" si="68"/>
        <v/>
      </c>
      <c r="AD211" t="str">
        <f t="shared" ca="1" si="69"/>
        <v/>
      </c>
    </row>
    <row r="212" spans="1:30">
      <c r="A212" s="180">
        <f ca="1">'PRICE_IOF Ñ USAR'!A212</f>
        <v>194</v>
      </c>
      <c r="B212" s="179">
        <f ca="1">'PRICE_IOF Ñ USAR'!B212</f>
        <v>50627</v>
      </c>
      <c r="C212" s="177">
        <f t="shared" ca="1" si="70"/>
        <v>1528.7317892024564</v>
      </c>
      <c r="D212" s="24">
        <f t="shared" ref="D212:D275" ca="1" si="79">IFERROR(IF(DAY(B212)=DAY(B211),IF(K212="Pula",0,($D$9)*E211),IF(AND(K212="Pula",J212=""),0,IF(AND($F$3=30,OR(AND(DAY(B211)=28,MONTH(B211)=2),AND(DAY(B211)=29,MONTH(B211)=2))),$D$9*E211,$D$9*E211))),"")</f>
        <v>577.63869942052975</v>
      </c>
      <c r="E212" s="177">
        <f t="shared" ca="1" si="71"/>
        <v>61258.083254515033</v>
      </c>
      <c r="F212" s="178">
        <f t="shared" ca="1" si="72"/>
        <v>13.185231159180674</v>
      </c>
      <c r="G212" s="178">
        <f t="shared" ca="1" si="73"/>
        <v>26.319999999999997</v>
      </c>
      <c r="H212" s="177">
        <f t="shared" ca="1" si="74"/>
        <v>25</v>
      </c>
      <c r="I212" s="25">
        <f t="shared" ca="1" si="75"/>
        <v>2170.8757197821669</v>
      </c>
      <c r="J212" s="9" t="str">
        <f ca="1">'PRICE_IOF Ñ USAR'!J212</f>
        <v/>
      </c>
      <c r="K212" s="9" t="str">
        <f ca="1">'PRICE_IOF Ñ USAR'!K212</f>
        <v/>
      </c>
      <c r="L212" s="9">
        <f ca="1">'PRICE_IOF Ñ USAR'!L212</f>
        <v>8</v>
      </c>
      <c r="N212" s="176">
        <f t="shared" ca="1" si="76"/>
        <v>31</v>
      </c>
      <c r="O212" s="176">
        <f t="shared" ref="O212:O275" ca="1" si="80">IFERROR(N212+O211,"")</f>
        <v>5899</v>
      </c>
      <c r="P212" s="175">
        <f t="shared" ca="1" si="63"/>
        <v>6057.5507139311212</v>
      </c>
      <c r="Q212" s="11">
        <f t="shared" ca="1" si="64"/>
        <v>2.9930000000000002E-2</v>
      </c>
      <c r="R212" s="12">
        <f t="shared" ca="1" si="65"/>
        <v>181.30249286795848</v>
      </c>
      <c r="S212" s="513"/>
      <c r="U212">
        <f t="shared" ref="U212:U275" ca="1" si="81">IFERROR(IF(OR(J212="Carencia",K212="Pula"),0,C212+D212),"")</f>
        <v>2106.3704886229862</v>
      </c>
      <c r="V212" s="31">
        <f t="shared" ref="V212:V275" ca="1" si="82">IFERROR(I212,0)</f>
        <v>2170.8757197821669</v>
      </c>
      <c r="X212" s="58">
        <f t="shared" ca="1" si="66"/>
        <v>194</v>
      </c>
      <c r="Y212" s="61">
        <f t="shared" ca="1" si="67"/>
        <v>50627</v>
      </c>
      <c r="Z212" s="31">
        <f t="shared" ca="1" si="77"/>
        <v>6057.5507139311212</v>
      </c>
      <c r="AA212" s="31">
        <f t="shared" ref="AA212:AA275" ca="1" si="83">IF(AND(DAY(Y212)=DAY(Y211),MONTH(Y212)&lt;&gt;MONTH(Y211)),IF(AH212="Pula",0,($D$9))*AB211,((1+$D$9)^(N212/_xlfn.DAYS(EDATE(Y211,1),Y211))-1)*AB211)</f>
        <v>-3233.7540331437963</v>
      </c>
      <c r="AB212" s="31">
        <f t="shared" ca="1" si="78"/>
        <v>-357552.55369686132</v>
      </c>
      <c r="AC212" t="str">
        <f t="shared" ca="1" si="68"/>
        <v/>
      </c>
      <c r="AD212" t="str">
        <f t="shared" ca="1" si="69"/>
        <v/>
      </c>
    </row>
    <row r="213" spans="1:30">
      <c r="A213" s="180">
        <f ca="1">'PRICE_IOF Ñ USAR'!A213</f>
        <v>195</v>
      </c>
      <c r="B213" s="179">
        <f ca="1">'PRICE_IOF Ñ USAR'!B213</f>
        <v>50658</v>
      </c>
      <c r="C213" s="177">
        <f t="shared" ca="1" si="70"/>
        <v>1542.7961216879135</v>
      </c>
      <c r="D213" s="24">
        <f t="shared" ca="1" si="79"/>
        <v>563.57436693507282</v>
      </c>
      <c r="E213" s="177">
        <f t="shared" ca="1" si="71"/>
        <v>59715.287132827121</v>
      </c>
      <c r="F213" s="178">
        <f t="shared" ca="1" si="72"/>
        <v>12.864197483448157</v>
      </c>
      <c r="G213" s="178">
        <f t="shared" ca="1" si="73"/>
        <v>26.319999999999997</v>
      </c>
      <c r="H213" s="177">
        <f t="shared" ca="1" si="74"/>
        <v>25</v>
      </c>
      <c r="I213" s="25">
        <f t="shared" ca="1" si="75"/>
        <v>2170.5546861064345</v>
      </c>
      <c r="J213" s="9" t="str">
        <f ca="1">'PRICE_IOF Ñ USAR'!J213</f>
        <v/>
      </c>
      <c r="K213" s="9" t="str">
        <f ca="1">'PRICE_IOF Ñ USAR'!K213</f>
        <v/>
      </c>
      <c r="L213" s="9">
        <f ca="1">'PRICE_IOF Ñ USAR'!L213</f>
        <v>9</v>
      </c>
      <c r="N213" s="176">
        <f t="shared" ca="1" si="76"/>
        <v>31</v>
      </c>
      <c r="O213" s="176">
        <f t="shared" ca="1" si="80"/>
        <v>5930</v>
      </c>
      <c r="P213" s="175">
        <f t="shared" ca="1" si="63"/>
        <v>6113.2801805975341</v>
      </c>
      <c r="Q213" s="11">
        <f t="shared" ca="1" si="64"/>
        <v>2.9930000000000002E-2</v>
      </c>
      <c r="R213" s="12">
        <f t="shared" ca="1" si="65"/>
        <v>182.9704758052842</v>
      </c>
      <c r="S213" s="513"/>
      <c r="U213">
        <f t="shared" ca="1" si="81"/>
        <v>2106.3704886229862</v>
      </c>
      <c r="V213" s="31">
        <f t="shared" ca="1" si="82"/>
        <v>2170.5546861064345</v>
      </c>
      <c r="X213" s="58">
        <f t="shared" ca="1" si="66"/>
        <v>195</v>
      </c>
      <c r="Y213" s="61">
        <f t="shared" ca="1" si="67"/>
        <v>50658</v>
      </c>
      <c r="Z213" s="31">
        <f t="shared" ca="1" si="77"/>
        <v>6113.2801805975341</v>
      </c>
      <c r="AA213" s="31">
        <f t="shared" ca="1" si="83"/>
        <v>-3289.4834998102087</v>
      </c>
      <c r="AB213" s="31">
        <f t="shared" ca="1" si="78"/>
        <v>-363665.83387745888</v>
      </c>
      <c r="AC213" t="str">
        <f t="shared" ca="1" si="68"/>
        <v/>
      </c>
      <c r="AD213" t="str">
        <f t="shared" ca="1" si="69"/>
        <v/>
      </c>
    </row>
    <row r="214" spans="1:30">
      <c r="A214" s="180">
        <f ca="1">'PRICE_IOF Ñ USAR'!A214</f>
        <v>196</v>
      </c>
      <c r="B214" s="179">
        <f ca="1">'PRICE_IOF Ñ USAR'!B214</f>
        <v>50688</v>
      </c>
      <c r="C214" s="177">
        <f t="shared" ca="1" si="70"/>
        <v>1556.9898460324644</v>
      </c>
      <c r="D214" s="24">
        <f t="shared" ca="1" si="79"/>
        <v>549.38064259052169</v>
      </c>
      <c r="E214" s="177">
        <f t="shared" ca="1" si="71"/>
        <v>58158.297286794659</v>
      </c>
      <c r="F214" s="178">
        <f t="shared" ca="1" si="72"/>
        <v>12.540210297893696</v>
      </c>
      <c r="G214" s="178">
        <f t="shared" ca="1" si="73"/>
        <v>26.319999999999997</v>
      </c>
      <c r="H214" s="177">
        <f t="shared" ca="1" si="74"/>
        <v>25</v>
      </c>
      <c r="I214" s="25">
        <f t="shared" ca="1" si="75"/>
        <v>2170.2306989208801</v>
      </c>
      <c r="J214" s="9" t="str">
        <f ca="1">'PRICE_IOF Ñ USAR'!J214</f>
        <v/>
      </c>
      <c r="K214" s="9" t="str">
        <f ca="1">'PRICE_IOF Ñ USAR'!K214</f>
        <v/>
      </c>
      <c r="L214" s="9">
        <f ca="1">'PRICE_IOF Ñ USAR'!L214</f>
        <v>10</v>
      </c>
      <c r="N214" s="176">
        <f t="shared" ca="1" si="76"/>
        <v>30</v>
      </c>
      <c r="O214" s="176">
        <f t="shared" ca="1" si="80"/>
        <v>5960</v>
      </c>
      <c r="P214" s="175">
        <f t="shared" ca="1" si="63"/>
        <v>6169.5223583581819</v>
      </c>
      <c r="Q214" s="11">
        <f t="shared" ca="1" si="64"/>
        <v>2.9930000000000002E-2</v>
      </c>
      <c r="R214" s="12">
        <f t="shared" ca="1" si="65"/>
        <v>184.65380418566039</v>
      </c>
      <c r="S214" s="513"/>
      <c r="U214">
        <f t="shared" ca="1" si="81"/>
        <v>2106.3704886229862</v>
      </c>
      <c r="V214" s="31">
        <f t="shared" ca="1" si="82"/>
        <v>2170.2306989208801</v>
      </c>
      <c r="X214" s="58">
        <f t="shared" ca="1" si="66"/>
        <v>196</v>
      </c>
      <c r="Y214" s="61">
        <f t="shared" ca="1" si="67"/>
        <v>50688</v>
      </c>
      <c r="Z214" s="31">
        <f t="shared" ca="1" si="77"/>
        <v>6169.5223583581819</v>
      </c>
      <c r="AA214" s="31">
        <f t="shared" ca="1" si="83"/>
        <v>-3345.7256775708565</v>
      </c>
      <c r="AB214" s="31">
        <f t="shared" ca="1" si="78"/>
        <v>-369835.35623581707</v>
      </c>
      <c r="AC214" t="str">
        <f t="shared" ca="1" si="68"/>
        <v/>
      </c>
      <c r="AD214" t="str">
        <f t="shared" ca="1" si="69"/>
        <v/>
      </c>
    </row>
    <row r="215" spans="1:30">
      <c r="A215" s="180">
        <f ca="1">'PRICE_IOF Ñ USAR'!A215</f>
        <v>197</v>
      </c>
      <c r="B215" s="179">
        <f ca="1">'PRICE_IOF Ñ USAR'!B215</f>
        <v>50719</v>
      </c>
      <c r="C215" s="177">
        <f t="shared" ca="1" si="70"/>
        <v>1571.3141526412155</v>
      </c>
      <c r="D215" s="24">
        <f t="shared" ca="1" si="79"/>
        <v>535.05633598177053</v>
      </c>
      <c r="E215" s="177">
        <f t="shared" ca="1" si="71"/>
        <v>56586.983134153445</v>
      </c>
      <c r="F215" s="178">
        <f t="shared" ca="1" si="72"/>
        <v>12.213242430226879</v>
      </c>
      <c r="G215" s="178">
        <f t="shared" ca="1" si="73"/>
        <v>26.319999999999997</v>
      </c>
      <c r="H215" s="177">
        <f t="shared" ca="1" si="74"/>
        <v>25</v>
      </c>
      <c r="I215" s="25">
        <f t="shared" ca="1" si="75"/>
        <v>2169.9037310532131</v>
      </c>
      <c r="J215" s="9" t="str">
        <f ca="1">'PRICE_IOF Ñ USAR'!J215</f>
        <v/>
      </c>
      <c r="K215" s="9" t="str">
        <f ca="1">'PRICE_IOF Ñ USAR'!K215</f>
        <v/>
      </c>
      <c r="L215" s="9">
        <f ca="1">'PRICE_IOF Ñ USAR'!L215</f>
        <v>11</v>
      </c>
      <c r="N215" s="176">
        <f t="shared" ca="1" si="76"/>
        <v>31</v>
      </c>
      <c r="O215" s="176">
        <f t="shared" ca="1" si="80"/>
        <v>5991</v>
      </c>
      <c r="P215" s="175">
        <f t="shared" ca="1" si="63"/>
        <v>6226.2819641551396</v>
      </c>
      <c r="Q215" s="11">
        <f t="shared" ca="1" si="64"/>
        <v>2.9930000000000002E-2</v>
      </c>
      <c r="R215" s="12">
        <f t="shared" ca="1" si="65"/>
        <v>186.35261918716333</v>
      </c>
      <c r="S215" s="513"/>
      <c r="U215">
        <f t="shared" ca="1" si="81"/>
        <v>2106.3704886229862</v>
      </c>
      <c r="V215" s="31">
        <f t="shared" ca="1" si="82"/>
        <v>2169.9037310532131</v>
      </c>
      <c r="X215" s="58">
        <f t="shared" ca="1" si="66"/>
        <v>197</v>
      </c>
      <c r="Y215" s="61">
        <f t="shared" ca="1" si="67"/>
        <v>50719</v>
      </c>
      <c r="Z215" s="31">
        <f t="shared" ca="1" si="77"/>
        <v>6226.2819641551396</v>
      </c>
      <c r="AA215" s="31">
        <f t="shared" ca="1" si="83"/>
        <v>-3402.4852833678146</v>
      </c>
      <c r="AB215" s="31">
        <f t="shared" ca="1" si="78"/>
        <v>-376061.63819997222</v>
      </c>
      <c r="AC215" t="str">
        <f t="shared" ca="1" si="68"/>
        <v/>
      </c>
      <c r="AD215" t="str">
        <f t="shared" ca="1" si="69"/>
        <v/>
      </c>
    </row>
    <row r="216" spans="1:30">
      <c r="A216" s="180">
        <f ca="1">'PRICE_IOF Ñ USAR'!A216</f>
        <v>198</v>
      </c>
      <c r="B216" s="179">
        <f ca="1">'PRICE_IOF Ñ USAR'!B216</f>
        <v>50749</v>
      </c>
      <c r="C216" s="177">
        <f t="shared" ca="1" si="70"/>
        <v>1585.7702428709997</v>
      </c>
      <c r="D216" s="24">
        <f t="shared" ca="1" si="79"/>
        <v>520.60024575198645</v>
      </c>
      <c r="E216" s="177">
        <f t="shared" ca="1" si="71"/>
        <v>55001.212891282448</v>
      </c>
      <c r="F216" s="178">
        <f t="shared" ca="1" si="72"/>
        <v>11.883266458172224</v>
      </c>
      <c r="G216" s="178">
        <f t="shared" ca="1" si="73"/>
        <v>26.319999999999997</v>
      </c>
      <c r="H216" s="177">
        <f t="shared" ca="1" si="74"/>
        <v>25</v>
      </c>
      <c r="I216" s="25">
        <f t="shared" ca="1" si="75"/>
        <v>2169.5737550811587</v>
      </c>
      <c r="J216" s="9" t="str">
        <f ca="1">'PRICE_IOF Ñ USAR'!J216</f>
        <v/>
      </c>
      <c r="K216" s="9" t="str">
        <f ca="1">'PRICE_IOF Ñ USAR'!K216</f>
        <v/>
      </c>
      <c r="L216" s="9">
        <f ca="1">'PRICE_IOF Ñ USAR'!L216</f>
        <v>12</v>
      </c>
      <c r="N216" s="176">
        <f t="shared" ca="1" si="76"/>
        <v>30</v>
      </c>
      <c r="O216" s="176">
        <f t="shared" ca="1" si="80"/>
        <v>6021</v>
      </c>
      <c r="P216" s="175">
        <f t="shared" ca="1" si="63"/>
        <v>6283.5637583263506</v>
      </c>
      <c r="Q216" s="11">
        <f t="shared" ca="1" si="64"/>
        <v>2.9930000000000002E-2</v>
      </c>
      <c r="R216" s="12">
        <f t="shared" ca="1" si="65"/>
        <v>188.06706328670768</v>
      </c>
      <c r="S216" s="513"/>
      <c r="U216">
        <f t="shared" ca="1" si="81"/>
        <v>2106.3704886229862</v>
      </c>
      <c r="V216" s="31">
        <f t="shared" ca="1" si="82"/>
        <v>2169.5737550811587</v>
      </c>
      <c r="X216" s="58">
        <f t="shared" ca="1" si="66"/>
        <v>198</v>
      </c>
      <c r="Y216" s="61">
        <f t="shared" ca="1" si="67"/>
        <v>50749</v>
      </c>
      <c r="Z216" s="31">
        <f t="shared" ca="1" si="77"/>
        <v>6283.5637583263506</v>
      </c>
      <c r="AA216" s="31">
        <f t="shared" ca="1" si="83"/>
        <v>-3459.7670775390247</v>
      </c>
      <c r="AB216" s="31">
        <f t="shared" ca="1" si="78"/>
        <v>-382345.20195829857</v>
      </c>
      <c r="AC216" t="str">
        <f t="shared" ca="1" si="68"/>
        <v/>
      </c>
      <c r="AD216" t="str">
        <f t="shared" ca="1" si="69"/>
        <v/>
      </c>
    </row>
    <row r="217" spans="1:30">
      <c r="A217" s="180">
        <f ca="1">'PRICE_IOF Ñ USAR'!A217</f>
        <v>199</v>
      </c>
      <c r="B217" s="179">
        <f ca="1">'PRICE_IOF Ñ USAR'!B217</f>
        <v>50780</v>
      </c>
      <c r="C217" s="177">
        <f t="shared" ca="1" si="70"/>
        <v>1600.3593291311322</v>
      </c>
      <c r="D217" s="24">
        <f t="shared" ca="1" si="79"/>
        <v>506.01115949185396</v>
      </c>
      <c r="E217" s="177">
        <f t="shared" ca="1" si="71"/>
        <v>53400.853562151315</v>
      </c>
      <c r="F217" s="178">
        <f t="shared" ca="1" si="72"/>
        <v>11.550254707169314</v>
      </c>
      <c r="G217" s="178">
        <f t="shared" ca="1" si="73"/>
        <v>26.319999999999997</v>
      </c>
      <c r="H217" s="177">
        <f t="shared" ca="1" si="74"/>
        <v>25</v>
      </c>
      <c r="I217" s="25">
        <f t="shared" ca="1" si="75"/>
        <v>2169.2407433301555</v>
      </c>
      <c r="J217" s="9" t="str">
        <f ca="1">'PRICE_IOF Ñ USAR'!J217</f>
        <v/>
      </c>
      <c r="K217" s="9" t="str">
        <f ca="1">'PRICE_IOF Ñ USAR'!K217</f>
        <v/>
      </c>
      <c r="L217" s="9">
        <f ca="1">'PRICE_IOF Ñ USAR'!L217</f>
        <v>1</v>
      </c>
      <c r="N217" s="176">
        <f t="shared" ca="1" si="76"/>
        <v>31</v>
      </c>
      <c r="O217" s="176">
        <f t="shared" ca="1" si="80"/>
        <v>6052</v>
      </c>
      <c r="P217" s="175">
        <f t="shared" ca="1" si="63"/>
        <v>6341.3725450048642</v>
      </c>
      <c r="Q217" s="11">
        <f t="shared" ca="1" si="64"/>
        <v>2.9930000000000002E-2</v>
      </c>
      <c r="R217" s="12">
        <f t="shared" ca="1" si="65"/>
        <v>189.79728027199559</v>
      </c>
      <c r="S217" s="513"/>
      <c r="U217">
        <f t="shared" ca="1" si="81"/>
        <v>2106.3704886229862</v>
      </c>
      <c r="V217" s="31">
        <f t="shared" ca="1" si="82"/>
        <v>2169.2407433301555</v>
      </c>
      <c r="X217" s="58">
        <f t="shared" ca="1" si="66"/>
        <v>199</v>
      </c>
      <c r="Y217" s="61">
        <f t="shared" ca="1" si="67"/>
        <v>50780</v>
      </c>
      <c r="Z217" s="31">
        <f t="shared" ca="1" si="77"/>
        <v>6341.3725450048642</v>
      </c>
      <c r="AA217" s="31">
        <f t="shared" ca="1" si="83"/>
        <v>-3517.5758642175392</v>
      </c>
      <c r="AB217" s="31">
        <f t="shared" ca="1" si="78"/>
        <v>-388686.57450330345</v>
      </c>
      <c r="AC217" t="str">
        <f t="shared" ca="1" si="68"/>
        <v/>
      </c>
      <c r="AD217" t="str">
        <f t="shared" ca="1" si="69"/>
        <v/>
      </c>
    </row>
    <row r="218" spans="1:30">
      <c r="A218" s="180">
        <f ca="1">'PRICE_IOF Ñ USAR'!A218</f>
        <v>200</v>
      </c>
      <c r="B218" s="179">
        <f ca="1">'PRICE_IOF Ñ USAR'!B218</f>
        <v>50811</v>
      </c>
      <c r="C218" s="177">
        <f t="shared" ca="1" si="70"/>
        <v>1615.0826349850945</v>
      </c>
      <c r="D218" s="24">
        <f t="shared" ca="1" si="79"/>
        <v>491.28785363789154</v>
      </c>
      <c r="E218" s="177">
        <f t="shared" ca="1" si="71"/>
        <v>51785.770927166217</v>
      </c>
      <c r="F218" s="178">
        <f t="shared" ca="1" si="72"/>
        <v>11.214179248051776</v>
      </c>
      <c r="G218" s="178">
        <f t="shared" ca="1" si="73"/>
        <v>26.319999999999997</v>
      </c>
      <c r="H218" s="177">
        <f t="shared" ca="1" si="74"/>
        <v>25</v>
      </c>
      <c r="I218" s="25">
        <f t="shared" ca="1" si="75"/>
        <v>2168.9046678710379</v>
      </c>
      <c r="J218" s="9" t="str">
        <f ca="1">'PRICE_IOF Ñ USAR'!J218</f>
        <v/>
      </c>
      <c r="K218" s="9" t="str">
        <f ca="1">'PRICE_IOF Ñ USAR'!K218</f>
        <v/>
      </c>
      <c r="L218" s="9">
        <f ca="1">'PRICE_IOF Ñ USAR'!L218</f>
        <v>2</v>
      </c>
      <c r="N218" s="176">
        <f t="shared" ca="1" si="76"/>
        <v>31</v>
      </c>
      <c r="O218" s="176">
        <f t="shared" ca="1" si="80"/>
        <v>6083</v>
      </c>
      <c r="P218" s="175">
        <f t="shared" ca="1" si="63"/>
        <v>6399.7131725217587</v>
      </c>
      <c r="Q218" s="11">
        <f t="shared" ca="1" si="64"/>
        <v>2.9930000000000002E-2</v>
      </c>
      <c r="R218" s="12">
        <f t="shared" ca="1" si="65"/>
        <v>191.54341525357626</v>
      </c>
      <c r="S218" s="513"/>
      <c r="U218">
        <f t="shared" ca="1" si="81"/>
        <v>2106.3704886229862</v>
      </c>
      <c r="V218" s="31">
        <f t="shared" ca="1" si="82"/>
        <v>2168.9046678710379</v>
      </c>
      <c r="X218" s="58">
        <f t="shared" ca="1" si="66"/>
        <v>200</v>
      </c>
      <c r="Y218" s="61">
        <f t="shared" ca="1" si="67"/>
        <v>50811</v>
      </c>
      <c r="Z218" s="31">
        <f t="shared" ca="1" si="77"/>
        <v>6399.7131725217587</v>
      </c>
      <c r="AA218" s="31">
        <f t="shared" ca="1" si="83"/>
        <v>-3575.9164917344337</v>
      </c>
      <c r="AB218" s="31">
        <f t="shared" ca="1" si="78"/>
        <v>-395086.28767582518</v>
      </c>
      <c r="AC218" t="str">
        <f t="shared" ca="1" si="68"/>
        <v/>
      </c>
      <c r="AD218" t="str">
        <f t="shared" ca="1" si="69"/>
        <v/>
      </c>
    </row>
    <row r="219" spans="1:30">
      <c r="A219" s="180">
        <f ca="1">'PRICE_IOF Ñ USAR'!A219</f>
        <v>201</v>
      </c>
      <c r="B219" s="179">
        <f ca="1">'PRICE_IOF Ñ USAR'!B219</f>
        <v>50839</v>
      </c>
      <c r="C219" s="177">
        <f t="shared" ca="1" si="70"/>
        <v>1629.9413952531522</v>
      </c>
      <c r="D219" s="24">
        <f t="shared" ca="1" si="79"/>
        <v>476.42909336983388</v>
      </c>
      <c r="E219" s="177">
        <f t="shared" ca="1" si="71"/>
        <v>50155.829531913063</v>
      </c>
      <c r="F219" s="178">
        <f t="shared" ca="1" si="72"/>
        <v>10.875011894704906</v>
      </c>
      <c r="G219" s="178">
        <f t="shared" ca="1" si="73"/>
        <v>26.319999999999997</v>
      </c>
      <c r="H219" s="177">
        <f t="shared" ca="1" si="74"/>
        <v>25</v>
      </c>
      <c r="I219" s="25">
        <f t="shared" ca="1" si="75"/>
        <v>2168.5655005176914</v>
      </c>
      <c r="J219" s="9" t="str">
        <f ca="1">'PRICE_IOF Ñ USAR'!J219</f>
        <v/>
      </c>
      <c r="K219" s="9" t="str">
        <f ca="1">'PRICE_IOF Ñ USAR'!K219</f>
        <v/>
      </c>
      <c r="L219" s="9">
        <f ca="1">'PRICE_IOF Ñ USAR'!L219</f>
        <v>3</v>
      </c>
      <c r="N219" s="176">
        <f t="shared" ca="1" si="76"/>
        <v>28</v>
      </c>
      <c r="O219" s="176">
        <f t="shared" ca="1" si="80"/>
        <v>6111</v>
      </c>
      <c r="P219" s="175">
        <f t="shared" ca="1" si="63"/>
        <v>6458.590533812755</v>
      </c>
      <c r="Q219" s="11">
        <f t="shared" ca="1" si="64"/>
        <v>2.9930000000000002E-2</v>
      </c>
      <c r="R219" s="12">
        <f t="shared" ca="1" si="65"/>
        <v>193.30561467701577</v>
      </c>
      <c r="S219" s="513"/>
      <c r="U219">
        <f t="shared" ca="1" si="81"/>
        <v>2106.3704886229862</v>
      </c>
      <c r="V219" s="31">
        <f t="shared" ca="1" si="82"/>
        <v>2168.5655005176914</v>
      </c>
      <c r="X219" s="58">
        <f t="shared" ca="1" si="66"/>
        <v>201</v>
      </c>
      <c r="Y219" s="61">
        <f t="shared" ca="1" si="67"/>
        <v>50839</v>
      </c>
      <c r="Z219" s="31">
        <f t="shared" ca="1" si="77"/>
        <v>6458.590533812755</v>
      </c>
      <c r="AA219" s="31">
        <f t="shared" ca="1" si="83"/>
        <v>-3634.7938530254296</v>
      </c>
      <c r="AB219" s="31">
        <f t="shared" ca="1" si="78"/>
        <v>-401544.87820963794</v>
      </c>
      <c r="AC219" t="str">
        <f t="shared" ca="1" si="68"/>
        <v/>
      </c>
      <c r="AD219" t="str">
        <f t="shared" ca="1" si="69"/>
        <v/>
      </c>
    </row>
    <row r="220" spans="1:30">
      <c r="A220" s="180">
        <f ca="1">'PRICE_IOF Ñ USAR'!A220</f>
        <v>202</v>
      </c>
      <c r="B220" s="179">
        <f ca="1">'PRICE_IOF Ñ USAR'!B220</f>
        <v>50870</v>
      </c>
      <c r="C220" s="177">
        <f t="shared" ca="1" si="70"/>
        <v>1644.936856115917</v>
      </c>
      <c r="D220" s="24">
        <f t="shared" ca="1" si="79"/>
        <v>461.43363250706915</v>
      </c>
      <c r="E220" s="177">
        <f t="shared" ca="1" si="71"/>
        <v>48510.892675797149</v>
      </c>
      <c r="F220" s="178">
        <f t="shared" ca="1" si="72"/>
        <v>10.532724201701743</v>
      </c>
      <c r="G220" s="178">
        <f t="shared" ca="1" si="73"/>
        <v>26.319999999999997</v>
      </c>
      <c r="H220" s="177">
        <f t="shared" ca="1" si="74"/>
        <v>25</v>
      </c>
      <c r="I220" s="25">
        <f t="shared" ca="1" si="75"/>
        <v>2168.2232128246883</v>
      </c>
      <c r="J220" s="9" t="str">
        <f ca="1">'PRICE_IOF Ñ USAR'!J220</f>
        <v/>
      </c>
      <c r="K220" s="9" t="str">
        <f ca="1">'PRICE_IOF Ñ USAR'!K220</f>
        <v/>
      </c>
      <c r="L220" s="9">
        <f ca="1">'PRICE_IOF Ñ USAR'!L220</f>
        <v>4</v>
      </c>
      <c r="N220" s="176">
        <f t="shared" ca="1" si="76"/>
        <v>31</v>
      </c>
      <c r="O220" s="176">
        <f t="shared" ca="1" si="80"/>
        <v>6142</v>
      </c>
      <c r="P220" s="175">
        <f t="shared" ca="1" si="63"/>
        <v>6518.009566828583</v>
      </c>
      <c r="Q220" s="11">
        <f t="shared" ca="1" si="64"/>
        <v>2.9930000000000002E-2</v>
      </c>
      <c r="R220" s="12">
        <f t="shared" ca="1" si="65"/>
        <v>195.08402633517952</v>
      </c>
      <c r="S220" s="513"/>
      <c r="U220">
        <f t="shared" ca="1" si="81"/>
        <v>2106.3704886229862</v>
      </c>
      <c r="V220" s="31">
        <f t="shared" ca="1" si="82"/>
        <v>2168.2232128246883</v>
      </c>
      <c r="X220" s="58">
        <f t="shared" ca="1" si="66"/>
        <v>202</v>
      </c>
      <c r="Y220" s="61">
        <f t="shared" ca="1" si="67"/>
        <v>50870</v>
      </c>
      <c r="Z220" s="31">
        <f t="shared" ca="1" si="77"/>
        <v>6518.009566828583</v>
      </c>
      <c r="AA220" s="31">
        <f t="shared" ca="1" si="83"/>
        <v>-3694.2128860412577</v>
      </c>
      <c r="AB220" s="31">
        <f t="shared" ca="1" si="78"/>
        <v>-408062.88777646655</v>
      </c>
      <c r="AC220" t="str">
        <f t="shared" ca="1" si="68"/>
        <v/>
      </c>
      <c r="AD220" t="str">
        <f t="shared" ca="1" si="69"/>
        <v/>
      </c>
    </row>
    <row r="221" spans="1:30">
      <c r="A221" s="180">
        <f ca="1">'PRICE_IOF Ñ USAR'!A221</f>
        <v>203</v>
      </c>
      <c r="B221" s="179">
        <f ca="1">'PRICE_IOF Ñ USAR'!B221</f>
        <v>50900</v>
      </c>
      <c r="C221" s="177">
        <f t="shared" ca="1" si="70"/>
        <v>1660.0702752188624</v>
      </c>
      <c r="D221" s="24">
        <f t="shared" ca="1" si="79"/>
        <v>446.30021340412378</v>
      </c>
      <c r="E221" s="177">
        <f t="shared" ca="1" si="71"/>
        <v>46850.82240057829</v>
      </c>
      <c r="F221" s="178">
        <f t="shared" ca="1" si="72"/>
        <v>10.187287461917402</v>
      </c>
      <c r="G221" s="178">
        <f t="shared" ca="1" si="73"/>
        <v>26.319999999999997</v>
      </c>
      <c r="H221" s="177">
        <f t="shared" ca="1" si="74"/>
        <v>25</v>
      </c>
      <c r="I221" s="25">
        <f t="shared" ca="1" si="75"/>
        <v>2167.8777760849039</v>
      </c>
      <c r="J221" s="9" t="str">
        <f ca="1">'PRICE_IOF Ñ USAR'!J221</f>
        <v/>
      </c>
      <c r="K221" s="9" t="str">
        <f ca="1">'PRICE_IOF Ñ USAR'!K221</f>
        <v/>
      </c>
      <c r="L221" s="9">
        <f ca="1">'PRICE_IOF Ñ USAR'!L221</f>
        <v>5</v>
      </c>
      <c r="N221" s="176">
        <f t="shared" ca="1" si="76"/>
        <v>30</v>
      </c>
      <c r="O221" s="176">
        <f t="shared" ca="1" si="80"/>
        <v>6172</v>
      </c>
      <c r="P221" s="175">
        <f t="shared" ca="1" si="63"/>
        <v>6577.9752549491204</v>
      </c>
      <c r="Q221" s="11">
        <f t="shared" ca="1" si="64"/>
        <v>2.9930000000000002E-2</v>
      </c>
      <c r="R221" s="12">
        <f t="shared" ca="1" si="65"/>
        <v>196.87879938062719</v>
      </c>
      <c r="S221" s="513"/>
      <c r="U221">
        <f t="shared" ca="1" si="81"/>
        <v>2106.3704886229862</v>
      </c>
      <c r="V221" s="31">
        <f t="shared" ca="1" si="82"/>
        <v>2167.8777760849039</v>
      </c>
      <c r="X221" s="58">
        <f t="shared" ca="1" si="66"/>
        <v>203</v>
      </c>
      <c r="Y221" s="61">
        <f t="shared" ca="1" si="67"/>
        <v>50900</v>
      </c>
      <c r="Z221" s="31">
        <f t="shared" ca="1" si="77"/>
        <v>6577.9752549491204</v>
      </c>
      <c r="AA221" s="31">
        <f t="shared" ca="1" si="83"/>
        <v>-3754.1785741617955</v>
      </c>
      <c r="AB221" s="31">
        <f t="shared" ca="1" si="78"/>
        <v>-414640.86303141568</v>
      </c>
      <c r="AC221" t="str">
        <f t="shared" ca="1" si="68"/>
        <v/>
      </c>
      <c r="AD221" t="str">
        <f t="shared" ca="1" si="69"/>
        <v/>
      </c>
    </row>
    <row r="222" spans="1:30">
      <c r="A222" s="180">
        <f ca="1">'PRICE_IOF Ñ USAR'!A222</f>
        <v>204</v>
      </c>
      <c r="B222" s="179">
        <f ca="1">'PRICE_IOF Ñ USAR'!B222</f>
        <v>50931</v>
      </c>
      <c r="C222" s="177">
        <f t="shared" ca="1" si="70"/>
        <v>1675.3429217778003</v>
      </c>
      <c r="D222" s="24">
        <f t="shared" ca="1" si="79"/>
        <v>431.0275668451859</v>
      </c>
      <c r="E222" s="177">
        <f t="shared" ca="1" si="71"/>
        <v>45175.479478800487</v>
      </c>
      <c r="F222" s="178">
        <f t="shared" ca="1" si="72"/>
        <v>9.838672704121441</v>
      </c>
      <c r="G222" s="178">
        <f t="shared" ca="1" si="73"/>
        <v>26.319999999999997</v>
      </c>
      <c r="H222" s="177">
        <f t="shared" ca="1" si="74"/>
        <v>25</v>
      </c>
      <c r="I222" s="25">
        <f t="shared" ca="1" si="75"/>
        <v>2167.5291613271079</v>
      </c>
      <c r="J222" s="9" t="str">
        <f ca="1">'PRICE_IOF Ñ USAR'!J222</f>
        <v/>
      </c>
      <c r="K222" s="9" t="str">
        <f ca="1">'PRICE_IOF Ñ USAR'!K222</f>
        <v/>
      </c>
      <c r="L222" s="9">
        <f ca="1">'PRICE_IOF Ñ USAR'!L222</f>
        <v>6</v>
      </c>
      <c r="N222" s="176">
        <f t="shared" ca="1" si="76"/>
        <v>31</v>
      </c>
      <c r="O222" s="176">
        <f t="shared" ca="1" si="80"/>
        <v>6203</v>
      </c>
      <c r="P222" s="175">
        <f t="shared" ca="1" si="63"/>
        <v>6638.4926274013396</v>
      </c>
      <c r="Q222" s="11">
        <f t="shared" ca="1" si="64"/>
        <v>2.9930000000000002E-2</v>
      </c>
      <c r="R222" s="12">
        <f t="shared" ca="1" si="65"/>
        <v>198.69008433812212</v>
      </c>
      <c r="S222" s="513"/>
      <c r="U222">
        <f t="shared" ca="1" si="81"/>
        <v>2106.3704886229862</v>
      </c>
      <c r="V222" s="31">
        <f t="shared" ca="1" si="82"/>
        <v>2167.5291613271079</v>
      </c>
      <c r="X222" s="58">
        <f t="shared" ca="1" si="66"/>
        <v>204</v>
      </c>
      <c r="Y222" s="61">
        <f t="shared" ca="1" si="67"/>
        <v>50931</v>
      </c>
      <c r="Z222" s="31">
        <f t="shared" ca="1" si="77"/>
        <v>6638.4926274013396</v>
      </c>
      <c r="AA222" s="31">
        <f t="shared" ca="1" si="83"/>
        <v>-3814.6959466140147</v>
      </c>
      <c r="AB222" s="31">
        <f t="shared" ca="1" si="78"/>
        <v>-421279.35565881699</v>
      </c>
      <c r="AC222" t="str">
        <f t="shared" ca="1" si="68"/>
        <v/>
      </c>
      <c r="AD222" t="str">
        <f t="shared" ca="1" si="69"/>
        <v/>
      </c>
    </row>
    <row r="223" spans="1:30">
      <c r="A223" s="180">
        <f ca="1">'PRICE_IOF Ñ USAR'!A223</f>
        <v>205</v>
      </c>
      <c r="B223" s="179">
        <f ca="1">'PRICE_IOF Ñ USAR'!B223</f>
        <v>50961</v>
      </c>
      <c r="C223" s="177">
        <f t="shared" ca="1" si="70"/>
        <v>1690.7560766853283</v>
      </c>
      <c r="D223" s="24">
        <f t="shared" ca="1" si="79"/>
        <v>415.61441193765796</v>
      </c>
      <c r="E223" s="177">
        <f t="shared" ca="1" si="71"/>
        <v>43484.72340211516</v>
      </c>
      <c r="F223" s="178">
        <f t="shared" ca="1" si="72"/>
        <v>9.4868506905481027</v>
      </c>
      <c r="G223" s="178">
        <f t="shared" ca="1" si="73"/>
        <v>26.319999999999997</v>
      </c>
      <c r="H223" s="177">
        <f t="shared" ca="1" si="74"/>
        <v>25</v>
      </c>
      <c r="I223" s="25">
        <f t="shared" ca="1" si="75"/>
        <v>2167.1773393135345</v>
      </c>
      <c r="J223" s="9" t="str">
        <f ca="1">'PRICE_IOF Ñ USAR'!J223</f>
        <v/>
      </c>
      <c r="K223" s="9" t="str">
        <f ca="1">'PRICE_IOF Ñ USAR'!K223</f>
        <v/>
      </c>
      <c r="L223" s="9">
        <f ca="1">'PRICE_IOF Ñ USAR'!L223</f>
        <v>7</v>
      </c>
      <c r="N223" s="176">
        <f t="shared" ca="1" si="76"/>
        <v>30</v>
      </c>
      <c r="O223" s="176">
        <f t="shared" ca="1" si="80"/>
        <v>6233</v>
      </c>
      <c r="P223" s="175">
        <f t="shared" ca="1" si="63"/>
        <v>6699.5667596811008</v>
      </c>
      <c r="Q223" s="11">
        <f t="shared" ca="1" si="64"/>
        <v>2.9930000000000002E-2</v>
      </c>
      <c r="R223" s="12">
        <f t="shared" ca="1" si="65"/>
        <v>200.51803311725536</v>
      </c>
      <c r="S223" s="513"/>
      <c r="U223">
        <f t="shared" ca="1" si="81"/>
        <v>2106.3704886229862</v>
      </c>
      <c r="V223" s="31">
        <f t="shared" ca="1" si="82"/>
        <v>2167.1773393135345</v>
      </c>
      <c r="X223" s="58">
        <f t="shared" ca="1" si="66"/>
        <v>205</v>
      </c>
      <c r="Y223" s="61">
        <f t="shared" ca="1" si="67"/>
        <v>50961</v>
      </c>
      <c r="Z223" s="31">
        <f t="shared" ca="1" si="77"/>
        <v>6699.5667596811008</v>
      </c>
      <c r="AA223" s="31">
        <f t="shared" ca="1" si="83"/>
        <v>-3875.7700788937755</v>
      </c>
      <c r="AB223" s="31">
        <f t="shared" ca="1" si="78"/>
        <v>-427978.92241849808</v>
      </c>
      <c r="AC223" t="str">
        <f t="shared" ca="1" si="68"/>
        <v/>
      </c>
      <c r="AD223" t="str">
        <f t="shared" ca="1" si="69"/>
        <v/>
      </c>
    </row>
    <row r="224" spans="1:30">
      <c r="A224" s="180">
        <f ca="1">'PRICE_IOF Ñ USAR'!A224</f>
        <v>206</v>
      </c>
      <c r="B224" s="179">
        <f ca="1">'PRICE_IOF Ñ USAR'!B224</f>
        <v>50992</v>
      </c>
      <c r="C224" s="177">
        <f t="shared" ca="1" si="70"/>
        <v>1706.3110326182552</v>
      </c>
      <c r="D224" s="24">
        <f t="shared" ca="1" si="79"/>
        <v>400.05945600473086</v>
      </c>
      <c r="E224" s="177">
        <f t="shared" ca="1" si="71"/>
        <v>41778.412369496902</v>
      </c>
      <c r="F224" s="178">
        <f t="shared" ca="1" si="72"/>
        <v>9.1317919144441841</v>
      </c>
      <c r="G224" s="178">
        <f t="shared" ca="1" si="73"/>
        <v>26.319999999999997</v>
      </c>
      <c r="H224" s="177">
        <f t="shared" ca="1" si="74"/>
        <v>25</v>
      </c>
      <c r="I224" s="25">
        <f t="shared" ca="1" si="75"/>
        <v>2166.8222805374303</v>
      </c>
      <c r="J224" s="9" t="str">
        <f ca="1">'PRICE_IOF Ñ USAR'!J224</f>
        <v/>
      </c>
      <c r="K224" s="9" t="str">
        <f ca="1">'PRICE_IOF Ñ USAR'!K224</f>
        <v/>
      </c>
      <c r="L224" s="9">
        <f ca="1">'PRICE_IOF Ñ USAR'!L224</f>
        <v>8</v>
      </c>
      <c r="N224" s="176">
        <f t="shared" ca="1" si="76"/>
        <v>31</v>
      </c>
      <c r="O224" s="176">
        <f t="shared" ca="1" si="80"/>
        <v>6264</v>
      </c>
      <c r="P224" s="175">
        <f t="shared" ca="1" si="63"/>
        <v>6761.2027739788264</v>
      </c>
      <c r="Q224" s="11">
        <f t="shared" ca="1" si="64"/>
        <v>2.9930000000000002E-2</v>
      </c>
      <c r="R224" s="12">
        <f t="shared" ca="1" si="65"/>
        <v>202.36279902518629</v>
      </c>
      <c r="S224" s="513"/>
      <c r="U224">
        <f t="shared" ca="1" si="81"/>
        <v>2106.3704886229862</v>
      </c>
      <c r="V224" s="31">
        <f t="shared" ca="1" si="82"/>
        <v>2166.8222805374303</v>
      </c>
      <c r="X224" s="58">
        <f t="shared" ca="1" si="66"/>
        <v>206</v>
      </c>
      <c r="Y224" s="61">
        <f t="shared" ca="1" si="67"/>
        <v>50992</v>
      </c>
      <c r="Z224" s="31">
        <f t="shared" ca="1" si="77"/>
        <v>6761.2027739788264</v>
      </c>
      <c r="AA224" s="31">
        <f t="shared" ca="1" si="83"/>
        <v>-3937.4060931915005</v>
      </c>
      <c r="AB224" s="31">
        <f t="shared" ca="1" si="78"/>
        <v>-434740.1251924769</v>
      </c>
      <c r="AC224" t="str">
        <f t="shared" ca="1" si="68"/>
        <v/>
      </c>
      <c r="AD224" t="str">
        <f t="shared" ca="1" si="69"/>
        <v/>
      </c>
    </row>
    <row r="225" spans="1:30">
      <c r="A225" s="180">
        <f ca="1">'PRICE_IOF Ñ USAR'!A225</f>
        <v>207</v>
      </c>
      <c r="B225" s="179">
        <f ca="1">'PRICE_IOF Ñ USAR'!B225</f>
        <v>51023</v>
      </c>
      <c r="C225" s="177">
        <f t="shared" ca="1" si="70"/>
        <v>1722.0090941460176</v>
      </c>
      <c r="D225" s="24">
        <f t="shared" ca="1" si="79"/>
        <v>384.36139447696854</v>
      </c>
      <c r="E225" s="177">
        <f t="shared" ca="1" si="71"/>
        <v>40056.403275350887</v>
      </c>
      <c r="F225" s="178">
        <f t="shared" ca="1" si="72"/>
        <v>8.77346659759435</v>
      </c>
      <c r="G225" s="178">
        <f t="shared" ca="1" si="73"/>
        <v>26.319999999999997</v>
      </c>
      <c r="H225" s="177">
        <f t="shared" ca="1" si="74"/>
        <v>25</v>
      </c>
      <c r="I225" s="25">
        <f t="shared" ca="1" si="75"/>
        <v>2166.4639552205808</v>
      </c>
      <c r="J225" s="9" t="str">
        <f ca="1">'PRICE_IOF Ñ USAR'!J225</f>
        <v/>
      </c>
      <c r="K225" s="9" t="str">
        <f ca="1">'PRICE_IOF Ñ USAR'!K225</f>
        <v/>
      </c>
      <c r="L225" s="9">
        <f ca="1">'PRICE_IOF Ñ USAR'!L225</f>
        <v>9</v>
      </c>
      <c r="N225" s="176">
        <f t="shared" ca="1" si="76"/>
        <v>31</v>
      </c>
      <c r="O225" s="176">
        <f t="shared" ca="1" si="80"/>
        <v>6295</v>
      </c>
      <c r="P225" s="175">
        <f t="shared" ca="1" si="63"/>
        <v>6823.4058396090895</v>
      </c>
      <c r="Q225" s="11">
        <f t="shared" ca="1" si="64"/>
        <v>2.9930000000000002E-2</v>
      </c>
      <c r="R225" s="12">
        <f t="shared" ca="1" si="65"/>
        <v>204.22453677950006</v>
      </c>
      <c r="S225" s="513"/>
      <c r="U225">
        <f t="shared" ca="1" si="81"/>
        <v>2106.3704886229862</v>
      </c>
      <c r="V225" s="31">
        <f t="shared" ca="1" si="82"/>
        <v>2166.4639552205808</v>
      </c>
      <c r="X225" s="58">
        <f t="shared" ca="1" si="66"/>
        <v>207</v>
      </c>
      <c r="Y225" s="61">
        <f t="shared" ca="1" si="67"/>
        <v>51023</v>
      </c>
      <c r="Z225" s="31">
        <f t="shared" ca="1" si="77"/>
        <v>6823.4058396090895</v>
      </c>
      <c r="AA225" s="31">
        <f t="shared" ca="1" si="83"/>
        <v>-3999.6091588217646</v>
      </c>
      <c r="AB225" s="31">
        <f t="shared" ca="1" si="78"/>
        <v>-441563.531032086</v>
      </c>
      <c r="AC225" t="str">
        <f t="shared" ca="1" si="68"/>
        <v/>
      </c>
      <c r="AD225" t="str">
        <f t="shared" ca="1" si="69"/>
        <v/>
      </c>
    </row>
    <row r="226" spans="1:30">
      <c r="A226" s="180">
        <f ca="1">'PRICE_IOF Ñ USAR'!A226</f>
        <v>208</v>
      </c>
      <c r="B226" s="179">
        <f ca="1">'PRICE_IOF Ñ USAR'!B226</f>
        <v>51053</v>
      </c>
      <c r="C226" s="177">
        <f t="shared" ca="1" si="70"/>
        <v>1737.8515778400899</v>
      </c>
      <c r="D226" s="24">
        <f t="shared" ca="1" si="79"/>
        <v>368.51891078289623</v>
      </c>
      <c r="E226" s="177">
        <f t="shared" ca="1" si="71"/>
        <v>38318.551697510797</v>
      </c>
      <c r="F226" s="178">
        <f t="shared" ca="1" si="72"/>
        <v>8.4118446878236863</v>
      </c>
      <c r="G226" s="178">
        <f t="shared" ca="1" si="73"/>
        <v>26.319999999999997</v>
      </c>
      <c r="H226" s="177">
        <f t="shared" ca="1" si="74"/>
        <v>25</v>
      </c>
      <c r="I226" s="25">
        <f t="shared" ca="1" si="75"/>
        <v>2166.1023333108101</v>
      </c>
      <c r="J226" s="9" t="str">
        <f ca="1">'PRICE_IOF Ñ USAR'!J226</f>
        <v/>
      </c>
      <c r="K226" s="9" t="str">
        <f ca="1">'PRICE_IOF Ñ USAR'!K226</f>
        <v/>
      </c>
      <c r="L226" s="9">
        <f ca="1">'PRICE_IOF Ñ USAR'!L226</f>
        <v>10</v>
      </c>
      <c r="N226" s="176">
        <f t="shared" ca="1" si="76"/>
        <v>30</v>
      </c>
      <c r="O226" s="176">
        <f t="shared" ca="1" si="80"/>
        <v>6325</v>
      </c>
      <c r="P226" s="175">
        <f t="shared" ca="1" si="63"/>
        <v>6886.1811734441617</v>
      </c>
      <c r="Q226" s="11">
        <f t="shared" ca="1" si="64"/>
        <v>2.9930000000000002E-2</v>
      </c>
      <c r="R226" s="12">
        <f t="shared" ca="1" si="65"/>
        <v>206.10340252118377</v>
      </c>
      <c r="S226" s="513"/>
      <c r="U226">
        <f t="shared" ca="1" si="81"/>
        <v>2106.3704886229862</v>
      </c>
      <c r="V226" s="31">
        <f t="shared" ca="1" si="82"/>
        <v>2166.1023333108101</v>
      </c>
      <c r="X226" s="58">
        <f t="shared" ca="1" si="66"/>
        <v>208</v>
      </c>
      <c r="Y226" s="61">
        <f t="shared" ca="1" si="67"/>
        <v>51053</v>
      </c>
      <c r="Z226" s="31">
        <f t="shared" ca="1" si="77"/>
        <v>6886.1811734441617</v>
      </c>
      <c r="AA226" s="31">
        <f t="shared" ca="1" si="83"/>
        <v>-4062.3844926568358</v>
      </c>
      <c r="AB226" s="31">
        <f t="shared" ca="1" si="78"/>
        <v>-448449.71220553014</v>
      </c>
      <c r="AC226" t="str">
        <f t="shared" ca="1" si="68"/>
        <v/>
      </c>
      <c r="AD226" t="str">
        <f t="shared" ca="1" si="69"/>
        <v/>
      </c>
    </row>
    <row r="227" spans="1:30">
      <c r="A227" s="180">
        <f ca="1">'PRICE_IOF Ñ USAR'!A227</f>
        <v>209</v>
      </c>
      <c r="B227" s="179">
        <f ca="1">'PRICE_IOF Ñ USAR'!B227</f>
        <v>51084</v>
      </c>
      <c r="C227" s="177">
        <f t="shared" ca="1" si="70"/>
        <v>1753.8398123844047</v>
      </c>
      <c r="D227" s="24">
        <f t="shared" ca="1" si="79"/>
        <v>352.53067623858146</v>
      </c>
      <c r="E227" s="177">
        <f t="shared" ca="1" si="71"/>
        <v>36564.711885126395</v>
      </c>
      <c r="F227" s="178">
        <f t="shared" ca="1" si="72"/>
        <v>8.046895856477267</v>
      </c>
      <c r="G227" s="178">
        <f t="shared" ca="1" si="73"/>
        <v>26.319999999999997</v>
      </c>
      <c r="H227" s="177">
        <f t="shared" ca="1" si="74"/>
        <v>25</v>
      </c>
      <c r="I227" s="25">
        <f t="shared" ca="1" si="75"/>
        <v>2165.7373844794638</v>
      </c>
      <c r="J227" s="9" t="str">
        <f ca="1">'PRICE_IOF Ñ USAR'!J227</f>
        <v/>
      </c>
      <c r="K227" s="9" t="str">
        <f ca="1">'PRICE_IOF Ñ USAR'!K227</f>
        <v/>
      </c>
      <c r="L227" s="9">
        <f ca="1">'PRICE_IOF Ñ USAR'!L227</f>
        <v>11</v>
      </c>
      <c r="N227" s="176">
        <f t="shared" ca="1" si="76"/>
        <v>31</v>
      </c>
      <c r="O227" s="176">
        <f t="shared" ca="1" si="80"/>
        <v>6356</v>
      </c>
      <c r="P227" s="175">
        <f t="shared" ca="1" si="63"/>
        <v>6949.5340403515329</v>
      </c>
      <c r="Q227" s="11">
        <f t="shared" ca="1" si="64"/>
        <v>2.9930000000000002E-2</v>
      </c>
      <c r="R227" s="12">
        <f t="shared" ca="1" si="65"/>
        <v>207.9995538277214</v>
      </c>
      <c r="S227" s="513"/>
      <c r="U227">
        <f t="shared" ca="1" si="81"/>
        <v>2106.3704886229862</v>
      </c>
      <c r="V227" s="31">
        <f t="shared" ca="1" si="82"/>
        <v>2165.7373844794638</v>
      </c>
      <c r="X227" s="58">
        <f t="shared" ca="1" si="66"/>
        <v>209</v>
      </c>
      <c r="Y227" s="61">
        <f t="shared" ca="1" si="67"/>
        <v>51084</v>
      </c>
      <c r="Z227" s="31">
        <f t="shared" ca="1" si="77"/>
        <v>6949.5340403515329</v>
      </c>
      <c r="AA227" s="31">
        <f t="shared" ca="1" si="83"/>
        <v>-4125.7373595642075</v>
      </c>
      <c r="AB227" s="31">
        <f t="shared" ca="1" si="78"/>
        <v>-455399.24624588166</v>
      </c>
      <c r="AC227" t="str">
        <f t="shared" ca="1" si="68"/>
        <v/>
      </c>
      <c r="AD227" t="str">
        <f t="shared" ca="1" si="69"/>
        <v/>
      </c>
    </row>
    <row r="228" spans="1:30">
      <c r="A228" s="180">
        <f ca="1">'PRICE_IOF Ñ USAR'!A228</f>
        <v>210</v>
      </c>
      <c r="B228" s="179">
        <f ca="1">'PRICE_IOF Ñ USAR'!B228</f>
        <v>51114</v>
      </c>
      <c r="C228" s="177">
        <f t="shared" ca="1" si="70"/>
        <v>1769.9751386867865</v>
      </c>
      <c r="D228" s="24">
        <f t="shared" ca="1" si="79"/>
        <v>336.39534993619975</v>
      </c>
      <c r="E228" s="177">
        <f t="shared" ca="1" si="71"/>
        <v>34794.736746439608</v>
      </c>
      <c r="F228" s="178">
        <f t="shared" ca="1" si="72"/>
        <v>7.678589495876543</v>
      </c>
      <c r="G228" s="178">
        <f t="shared" ca="1" si="73"/>
        <v>26.319999999999997</v>
      </c>
      <c r="H228" s="177">
        <f t="shared" ca="1" si="74"/>
        <v>25</v>
      </c>
      <c r="I228" s="25">
        <f t="shared" ca="1" si="75"/>
        <v>2165.3690781188629</v>
      </c>
      <c r="J228" s="9" t="str">
        <f ca="1">'PRICE_IOF Ñ USAR'!J228</f>
        <v/>
      </c>
      <c r="K228" s="9" t="str">
        <f ca="1">'PRICE_IOF Ñ USAR'!K228</f>
        <v/>
      </c>
      <c r="L228" s="9">
        <f ca="1">'PRICE_IOF Ñ USAR'!L228</f>
        <v>12</v>
      </c>
      <c r="N228" s="176">
        <f t="shared" ca="1" si="76"/>
        <v>30</v>
      </c>
      <c r="O228" s="176">
        <f t="shared" ca="1" si="80"/>
        <v>6386</v>
      </c>
      <c r="P228" s="175">
        <f t="shared" ca="1" si="63"/>
        <v>7013.4697536354806</v>
      </c>
      <c r="Q228" s="11">
        <f t="shared" ca="1" si="64"/>
        <v>2.9930000000000002E-2</v>
      </c>
      <c r="R228" s="12">
        <f t="shared" ca="1" si="65"/>
        <v>209.91314972630994</v>
      </c>
      <c r="S228" s="513"/>
      <c r="U228">
        <f t="shared" ca="1" si="81"/>
        <v>2106.3704886229862</v>
      </c>
      <c r="V228" s="31">
        <f t="shared" ca="1" si="82"/>
        <v>2165.3690781188629</v>
      </c>
      <c r="X228" s="58">
        <f t="shared" ca="1" si="66"/>
        <v>210</v>
      </c>
      <c r="Y228" s="61">
        <f t="shared" ca="1" si="67"/>
        <v>51114</v>
      </c>
      <c r="Z228" s="31">
        <f t="shared" ca="1" si="77"/>
        <v>7013.4697536354806</v>
      </c>
      <c r="AA228" s="31">
        <f t="shared" ca="1" si="83"/>
        <v>-4189.6730728481552</v>
      </c>
      <c r="AB228" s="31">
        <f t="shared" ca="1" si="78"/>
        <v>-462412.71599951712</v>
      </c>
      <c r="AC228" t="str">
        <f t="shared" ca="1" si="68"/>
        <v/>
      </c>
      <c r="AD228" t="str">
        <f t="shared" ca="1" si="69"/>
        <v/>
      </c>
    </row>
    <row r="229" spans="1:30">
      <c r="A229" s="180">
        <f ca="1">'PRICE_IOF Ñ USAR'!A229</f>
        <v>211</v>
      </c>
      <c r="B229" s="179">
        <f ca="1">'PRICE_IOF Ñ USAR'!B229</f>
        <v>51145</v>
      </c>
      <c r="C229" s="177">
        <f t="shared" ca="1" si="70"/>
        <v>1786.2589099914117</v>
      </c>
      <c r="D229" s="24">
        <f t="shared" ca="1" si="79"/>
        <v>320.11157863157439</v>
      </c>
      <c r="E229" s="177">
        <f t="shared" ca="1" si="71"/>
        <v>33008.477836448197</v>
      </c>
      <c r="F229" s="178">
        <f t="shared" ca="1" si="72"/>
        <v>7.3068947167523177</v>
      </c>
      <c r="G229" s="178">
        <f t="shared" ca="1" si="73"/>
        <v>26.319999999999997</v>
      </c>
      <c r="H229" s="177">
        <f t="shared" ca="1" si="74"/>
        <v>25</v>
      </c>
      <c r="I229" s="25">
        <f t="shared" ca="1" si="75"/>
        <v>2164.9973833397385</v>
      </c>
      <c r="J229" s="9" t="str">
        <f ca="1">'PRICE_IOF Ñ USAR'!J229</f>
        <v/>
      </c>
      <c r="K229" s="9" t="str">
        <f ca="1">'PRICE_IOF Ñ USAR'!K229</f>
        <v/>
      </c>
      <c r="L229" s="9">
        <f ca="1">'PRICE_IOF Ñ USAR'!L229</f>
        <v>1</v>
      </c>
      <c r="N229" s="176">
        <f t="shared" ca="1" si="76"/>
        <v>31</v>
      </c>
      <c r="O229" s="176">
        <f t="shared" ca="1" si="80"/>
        <v>6417</v>
      </c>
      <c r="P229" s="175">
        <f t="shared" ca="1" si="63"/>
        <v>7077.9936754826767</v>
      </c>
      <c r="Q229" s="11">
        <f t="shared" ca="1" si="64"/>
        <v>2.9930000000000002E-2</v>
      </c>
      <c r="R229" s="12">
        <f t="shared" ca="1" si="65"/>
        <v>211.84435070719653</v>
      </c>
      <c r="S229" s="513"/>
      <c r="U229">
        <f t="shared" ca="1" si="81"/>
        <v>2106.3704886229862</v>
      </c>
      <c r="V229" s="31">
        <f t="shared" ca="1" si="82"/>
        <v>2164.9973833397385</v>
      </c>
      <c r="X229" s="58">
        <f t="shared" ca="1" si="66"/>
        <v>211</v>
      </c>
      <c r="Y229" s="61">
        <f t="shared" ca="1" si="67"/>
        <v>51145</v>
      </c>
      <c r="Z229" s="31">
        <f t="shared" ca="1" si="77"/>
        <v>7077.9936754826767</v>
      </c>
      <c r="AA229" s="31">
        <f t="shared" ca="1" si="83"/>
        <v>-4254.1969946953513</v>
      </c>
      <c r="AB229" s="31">
        <f t="shared" ca="1" si="78"/>
        <v>-469490.70967499982</v>
      </c>
      <c r="AC229" t="str">
        <f t="shared" ca="1" si="68"/>
        <v/>
      </c>
      <c r="AD229" t="str">
        <f t="shared" ca="1" si="69"/>
        <v/>
      </c>
    </row>
    <row r="230" spans="1:30">
      <c r="A230" s="180">
        <f ca="1">'PRICE_IOF Ñ USAR'!A230</f>
        <v>212</v>
      </c>
      <c r="B230" s="179">
        <f ca="1">'PRICE_IOF Ñ USAR'!B230</f>
        <v>51176</v>
      </c>
      <c r="C230" s="177">
        <f t="shared" ca="1" si="70"/>
        <v>1802.6924919923038</v>
      </c>
      <c r="D230" s="24">
        <f t="shared" ca="1" si="79"/>
        <v>303.67799663068234</v>
      </c>
      <c r="E230" s="177">
        <f t="shared" ca="1" si="71"/>
        <v>31205.785344455893</v>
      </c>
      <c r="F230" s="178">
        <f t="shared" ca="1" si="72"/>
        <v>6.931780345654122</v>
      </c>
      <c r="G230" s="178">
        <f t="shared" ca="1" si="73"/>
        <v>26.319999999999997</v>
      </c>
      <c r="H230" s="177">
        <f t="shared" ca="1" si="74"/>
        <v>25</v>
      </c>
      <c r="I230" s="25">
        <f t="shared" ca="1" si="75"/>
        <v>2164.6222689686406</v>
      </c>
      <c r="J230" s="9" t="str">
        <f ca="1">'PRICE_IOF Ñ USAR'!J230</f>
        <v/>
      </c>
      <c r="K230" s="9" t="str">
        <f ca="1">'PRICE_IOF Ñ USAR'!K230</f>
        <v/>
      </c>
      <c r="L230" s="9">
        <f ca="1">'PRICE_IOF Ñ USAR'!L230</f>
        <v>2</v>
      </c>
      <c r="N230" s="176">
        <f t="shared" ca="1" si="76"/>
        <v>31</v>
      </c>
      <c r="O230" s="176">
        <f t="shared" ca="1" si="80"/>
        <v>6448</v>
      </c>
      <c r="P230" s="175">
        <f t="shared" ca="1" si="63"/>
        <v>7143.1112174119144</v>
      </c>
      <c r="Q230" s="11">
        <f t="shared" ca="1" si="64"/>
        <v>2.9930000000000002E-2</v>
      </c>
      <c r="R230" s="12">
        <f t="shared" ca="1" si="65"/>
        <v>213.79331873713861</v>
      </c>
      <c r="S230" s="513"/>
      <c r="U230">
        <f t="shared" ca="1" si="81"/>
        <v>2106.3704886229862</v>
      </c>
      <c r="V230" s="31">
        <f t="shared" ca="1" si="82"/>
        <v>2164.6222689686406</v>
      </c>
      <c r="X230" s="58">
        <f t="shared" ca="1" si="66"/>
        <v>212</v>
      </c>
      <c r="Y230" s="61">
        <f t="shared" ca="1" si="67"/>
        <v>51176</v>
      </c>
      <c r="Z230" s="31">
        <f t="shared" ca="1" si="77"/>
        <v>7143.1112174119144</v>
      </c>
      <c r="AA230" s="31">
        <f t="shared" ca="1" si="83"/>
        <v>-4319.314536624589</v>
      </c>
      <c r="AB230" s="31">
        <f t="shared" ca="1" si="78"/>
        <v>-476633.82089241175</v>
      </c>
      <c r="AC230" t="str">
        <f t="shared" ca="1" si="68"/>
        <v/>
      </c>
      <c r="AD230" t="str">
        <f t="shared" ca="1" si="69"/>
        <v/>
      </c>
    </row>
    <row r="231" spans="1:30">
      <c r="A231" s="180">
        <f ca="1">'PRICE_IOF Ñ USAR'!A231</f>
        <v>213</v>
      </c>
      <c r="B231" s="179">
        <f ca="1">'PRICE_IOF Ñ USAR'!B231</f>
        <v>51205</v>
      </c>
      <c r="C231" s="177">
        <f t="shared" ca="1" si="70"/>
        <v>1819.2772629478704</v>
      </c>
      <c r="D231" s="24">
        <f t="shared" ca="1" si="79"/>
        <v>287.0932256751156</v>
      </c>
      <c r="E231" s="177">
        <f t="shared" ca="1" si="71"/>
        <v>29386.508081508022</v>
      </c>
      <c r="F231" s="178">
        <f t="shared" ca="1" si="72"/>
        <v>6.5532149223357381</v>
      </c>
      <c r="G231" s="178">
        <f t="shared" ca="1" si="73"/>
        <v>26.319999999999997</v>
      </c>
      <c r="H231" s="177">
        <f t="shared" ca="1" si="74"/>
        <v>25</v>
      </c>
      <c r="I231" s="25">
        <f t="shared" ca="1" si="75"/>
        <v>2164.2437035453222</v>
      </c>
      <c r="J231" s="9" t="str">
        <f ca="1">'PRICE_IOF Ñ USAR'!J231</f>
        <v/>
      </c>
      <c r="K231" s="9" t="str">
        <f ca="1">'PRICE_IOF Ñ USAR'!K231</f>
        <v/>
      </c>
      <c r="L231" s="9">
        <f ca="1">'PRICE_IOF Ñ USAR'!L231</f>
        <v>3</v>
      </c>
      <c r="N231" s="176">
        <f t="shared" ca="1" si="76"/>
        <v>29</v>
      </c>
      <c r="O231" s="176">
        <f t="shared" ca="1" si="80"/>
        <v>6477</v>
      </c>
      <c r="P231" s="175">
        <f t="shared" ca="1" si="63"/>
        <v>7208.8278407279568</v>
      </c>
      <c r="Q231" s="11">
        <f t="shared" ca="1" si="64"/>
        <v>2.9930000000000002E-2</v>
      </c>
      <c r="R231" s="12">
        <f t="shared" ca="1" si="65"/>
        <v>215.76021727298775</v>
      </c>
      <c r="S231" s="513"/>
      <c r="U231">
        <f t="shared" ca="1" si="81"/>
        <v>2106.3704886229862</v>
      </c>
      <c r="V231" s="31">
        <f t="shared" ca="1" si="82"/>
        <v>2164.2437035453222</v>
      </c>
      <c r="X231" s="58">
        <f t="shared" ca="1" si="66"/>
        <v>213</v>
      </c>
      <c r="Y231" s="61">
        <f t="shared" ca="1" si="67"/>
        <v>51205</v>
      </c>
      <c r="Z231" s="31">
        <f t="shared" ca="1" si="77"/>
        <v>7208.8278407279568</v>
      </c>
      <c r="AA231" s="31">
        <f t="shared" ca="1" si="83"/>
        <v>-4385.0311599406314</v>
      </c>
      <c r="AB231" s="31">
        <f t="shared" ca="1" si="78"/>
        <v>-483842.64873313968</v>
      </c>
      <c r="AC231" t="str">
        <f t="shared" ca="1" si="68"/>
        <v/>
      </c>
      <c r="AD231" t="str">
        <f t="shared" ca="1" si="69"/>
        <v/>
      </c>
    </row>
    <row r="232" spans="1:30">
      <c r="A232" s="180">
        <f ca="1">'PRICE_IOF Ñ USAR'!A232</f>
        <v>214</v>
      </c>
      <c r="B232" s="179">
        <f ca="1">'PRICE_IOF Ñ USAR'!B232</f>
        <v>51236</v>
      </c>
      <c r="C232" s="177">
        <f t="shared" ca="1" si="70"/>
        <v>1836.0146137964975</v>
      </c>
      <c r="D232" s="24">
        <f t="shared" ca="1" si="79"/>
        <v>270.35587482648862</v>
      </c>
      <c r="E232" s="177">
        <f t="shared" ca="1" si="71"/>
        <v>27550.493467711523</v>
      </c>
      <c r="F232" s="178">
        <f t="shared" ca="1" si="72"/>
        <v>6.1711666971166848</v>
      </c>
      <c r="G232" s="178">
        <f t="shared" ca="1" si="73"/>
        <v>26.319999999999997</v>
      </c>
      <c r="H232" s="177">
        <f t="shared" ca="1" si="74"/>
        <v>25</v>
      </c>
      <c r="I232" s="25">
        <f t="shared" ca="1" si="75"/>
        <v>2163.8616553201032</v>
      </c>
      <c r="J232" s="9" t="str">
        <f ca="1">'PRICE_IOF Ñ USAR'!J232</f>
        <v/>
      </c>
      <c r="K232" s="9" t="str">
        <f ca="1">'PRICE_IOF Ñ USAR'!K232</f>
        <v/>
      </c>
      <c r="L232" s="9">
        <f ca="1">'PRICE_IOF Ñ USAR'!L232</f>
        <v>4</v>
      </c>
      <c r="N232" s="176">
        <f t="shared" ca="1" si="76"/>
        <v>31</v>
      </c>
      <c r="O232" s="176">
        <f t="shared" ca="1" si="80"/>
        <v>6508</v>
      </c>
      <c r="P232" s="175">
        <f t="shared" ca="1" si="63"/>
        <v>7275.1490569795733</v>
      </c>
      <c r="Q232" s="11">
        <f t="shared" ca="1" si="64"/>
        <v>2.9930000000000002E-2</v>
      </c>
      <c r="R232" s="12">
        <f t="shared" ca="1" si="65"/>
        <v>217.74521127539865</v>
      </c>
      <c r="S232" s="513"/>
      <c r="U232">
        <f t="shared" ca="1" si="81"/>
        <v>2106.3704886229862</v>
      </c>
      <c r="V232" s="31">
        <f t="shared" ca="1" si="82"/>
        <v>2163.8616553201032</v>
      </c>
      <c r="X232" s="58">
        <f t="shared" ca="1" si="66"/>
        <v>214</v>
      </c>
      <c r="Y232" s="61">
        <f t="shared" ca="1" si="67"/>
        <v>51236</v>
      </c>
      <c r="Z232" s="31">
        <f t="shared" ca="1" si="77"/>
        <v>7275.1490569795733</v>
      </c>
      <c r="AA232" s="31">
        <f t="shared" ca="1" si="83"/>
        <v>-4451.3523761922479</v>
      </c>
      <c r="AB232" s="31">
        <f t="shared" ca="1" si="78"/>
        <v>-491117.79779011925</v>
      </c>
      <c r="AC232" t="str">
        <f t="shared" ca="1" si="68"/>
        <v/>
      </c>
      <c r="AD232" t="str">
        <f t="shared" ca="1" si="69"/>
        <v/>
      </c>
    </row>
    <row r="233" spans="1:30">
      <c r="A233" s="180">
        <f ca="1">'PRICE_IOF Ñ USAR'!A233</f>
        <v>215</v>
      </c>
      <c r="B233" s="179">
        <f ca="1">'PRICE_IOF Ñ USAR'!B233</f>
        <v>51266</v>
      </c>
      <c r="C233" s="177">
        <f t="shared" ca="1" si="70"/>
        <v>1852.9059482732034</v>
      </c>
      <c r="D233" s="24">
        <f t="shared" ca="1" si="79"/>
        <v>253.46454034978282</v>
      </c>
      <c r="E233" s="177">
        <f t="shared" ca="1" si="71"/>
        <v>25697.587519438319</v>
      </c>
      <c r="F233" s="178">
        <f t="shared" ca="1" si="72"/>
        <v>5.7856036282194205</v>
      </c>
      <c r="G233" s="178">
        <f t="shared" ca="1" si="73"/>
        <v>26.319999999999997</v>
      </c>
      <c r="H233" s="177">
        <f t="shared" ca="1" si="74"/>
        <v>25</v>
      </c>
      <c r="I233" s="25">
        <f t="shared" ca="1" si="75"/>
        <v>2163.476092251206</v>
      </c>
      <c r="J233" s="9" t="str">
        <f ca="1">'PRICE_IOF Ñ USAR'!J233</f>
        <v/>
      </c>
      <c r="K233" s="9" t="str">
        <f ca="1">'PRICE_IOF Ñ USAR'!K233</f>
        <v/>
      </c>
      <c r="L233" s="9">
        <f ca="1">'PRICE_IOF Ñ USAR'!L233</f>
        <v>5</v>
      </c>
      <c r="N233" s="176">
        <f t="shared" ca="1" si="76"/>
        <v>30</v>
      </c>
      <c r="O233" s="176">
        <f t="shared" ca="1" si="80"/>
        <v>6538</v>
      </c>
      <c r="P233" s="175">
        <f t="shared" ca="1" si="63"/>
        <v>7342.0804284217793</v>
      </c>
      <c r="Q233" s="11">
        <f t="shared" ca="1" si="64"/>
        <v>2.9930000000000002E-2</v>
      </c>
      <c r="R233" s="12">
        <f t="shared" ca="1" si="65"/>
        <v>219.74846722266386</v>
      </c>
      <c r="S233" s="513"/>
      <c r="U233">
        <f t="shared" ca="1" si="81"/>
        <v>2106.3704886229862</v>
      </c>
      <c r="V233" s="31">
        <f t="shared" ca="1" si="82"/>
        <v>2163.476092251206</v>
      </c>
      <c r="X233" s="58">
        <f t="shared" ca="1" si="66"/>
        <v>215</v>
      </c>
      <c r="Y233" s="61">
        <f t="shared" ca="1" si="67"/>
        <v>51266</v>
      </c>
      <c r="Z233" s="31">
        <f t="shared" ca="1" si="77"/>
        <v>7342.0804284217793</v>
      </c>
      <c r="AA233" s="31">
        <f t="shared" ca="1" si="83"/>
        <v>-4518.2837476344539</v>
      </c>
      <c r="AB233" s="31">
        <f t="shared" ca="1" si="78"/>
        <v>-498459.87821854104</v>
      </c>
      <c r="AC233" t="str">
        <f t="shared" ca="1" si="68"/>
        <v/>
      </c>
      <c r="AD233" t="str">
        <f t="shared" ca="1" si="69"/>
        <v/>
      </c>
    </row>
    <row r="234" spans="1:30">
      <c r="A234" s="180">
        <f ca="1">'PRICE_IOF Ñ USAR'!A234</f>
        <v>216</v>
      </c>
      <c r="B234" s="179">
        <f ca="1">'PRICE_IOF Ñ USAR'!B234</f>
        <v>51297</v>
      </c>
      <c r="C234" s="177">
        <f t="shared" ca="1" si="70"/>
        <v>1869.9526830273687</v>
      </c>
      <c r="D234" s="24">
        <f t="shared" ca="1" si="79"/>
        <v>236.41780559561738</v>
      </c>
      <c r="E234" s="177">
        <f t="shared" ca="1" si="71"/>
        <v>23827.634836410951</v>
      </c>
      <c r="F234" s="178">
        <f t="shared" ca="1" si="72"/>
        <v>5.3964933790820471</v>
      </c>
      <c r="G234" s="178">
        <f t="shared" ca="1" si="73"/>
        <v>26.319999999999997</v>
      </c>
      <c r="H234" s="177">
        <f t="shared" ca="1" si="74"/>
        <v>25</v>
      </c>
      <c r="I234" s="25">
        <f t="shared" ca="1" si="75"/>
        <v>2163.0869820020685</v>
      </c>
      <c r="J234" s="9" t="str">
        <f ca="1">'PRICE_IOF Ñ USAR'!J234</f>
        <v/>
      </c>
      <c r="K234" s="9" t="str">
        <f ca="1">'PRICE_IOF Ñ USAR'!K234</f>
        <v/>
      </c>
      <c r="L234" s="9">
        <f ca="1">'PRICE_IOF Ñ USAR'!L234</f>
        <v>6</v>
      </c>
      <c r="N234" s="176">
        <f t="shared" ca="1" si="76"/>
        <v>31</v>
      </c>
      <c r="O234" s="176">
        <f t="shared" ca="1" si="80"/>
        <v>6569</v>
      </c>
      <c r="P234" s="175">
        <f t="shared" ca="1" si="63"/>
        <v>7409.6275684823395</v>
      </c>
      <c r="Q234" s="11">
        <f t="shared" ca="1" si="64"/>
        <v>2.9930000000000002E-2</v>
      </c>
      <c r="R234" s="12">
        <f t="shared" ca="1" si="65"/>
        <v>221.77015312467643</v>
      </c>
      <c r="S234" s="513"/>
      <c r="U234">
        <f t="shared" ca="1" si="81"/>
        <v>2106.3704886229862</v>
      </c>
      <c r="V234" s="31">
        <f t="shared" ca="1" si="82"/>
        <v>2163.0869820020685</v>
      </c>
      <c r="X234" s="58">
        <f t="shared" ca="1" si="66"/>
        <v>216</v>
      </c>
      <c r="Y234" s="61">
        <f t="shared" ca="1" si="67"/>
        <v>51297</v>
      </c>
      <c r="Z234" s="31">
        <f t="shared" ca="1" si="77"/>
        <v>7409.6275684823395</v>
      </c>
      <c r="AA234" s="31">
        <f t="shared" ca="1" si="83"/>
        <v>-4585.8308876950141</v>
      </c>
      <c r="AB234" s="31">
        <f t="shared" ca="1" si="78"/>
        <v>-505869.5057870234</v>
      </c>
      <c r="AC234" t="str">
        <f t="shared" ca="1" si="68"/>
        <v/>
      </c>
      <c r="AD234" t="str">
        <f t="shared" ca="1" si="69"/>
        <v/>
      </c>
    </row>
    <row r="235" spans="1:30">
      <c r="A235" s="180">
        <f ca="1">'PRICE_IOF Ñ USAR'!A235</f>
        <v>217</v>
      </c>
      <c r="B235" s="179">
        <f ca="1">'PRICE_IOF Ñ USAR'!B235</f>
        <v>51327</v>
      </c>
      <c r="C235" s="177">
        <f t="shared" ca="1" si="70"/>
        <v>1887.1562477415491</v>
      </c>
      <c r="D235" s="24">
        <f t="shared" ca="1" si="79"/>
        <v>219.21424088143715</v>
      </c>
      <c r="E235" s="177">
        <f t="shared" ca="1" si="71"/>
        <v>21940.478588669401</v>
      </c>
      <c r="F235" s="178">
        <f t="shared" ca="1" si="72"/>
        <v>5.0038033156462998</v>
      </c>
      <c r="G235" s="178">
        <f t="shared" ca="1" si="73"/>
        <v>26.319999999999997</v>
      </c>
      <c r="H235" s="177">
        <f t="shared" ca="1" si="74"/>
        <v>25</v>
      </c>
      <c r="I235" s="25">
        <f t="shared" ca="1" si="75"/>
        <v>2162.6942919386324</v>
      </c>
      <c r="J235" s="9" t="str">
        <f ca="1">'PRICE_IOF Ñ USAR'!J235</f>
        <v/>
      </c>
      <c r="K235" s="9" t="str">
        <f ca="1">'PRICE_IOF Ñ USAR'!K235</f>
        <v/>
      </c>
      <c r="L235" s="9">
        <f ca="1">'PRICE_IOF Ñ USAR'!L235</f>
        <v>7</v>
      </c>
      <c r="N235" s="176">
        <f t="shared" ca="1" si="76"/>
        <v>30</v>
      </c>
      <c r="O235" s="176">
        <f t="shared" ca="1" si="80"/>
        <v>6599</v>
      </c>
      <c r="P235" s="175">
        <f t="shared" ca="1" si="63"/>
        <v>7477.7961422325534</v>
      </c>
      <c r="Q235" s="11">
        <f t="shared" ca="1" si="64"/>
        <v>2.9930000000000002E-2</v>
      </c>
      <c r="R235" s="12">
        <f t="shared" ca="1" si="65"/>
        <v>223.81043853702033</v>
      </c>
      <c r="S235" s="513"/>
      <c r="U235">
        <f t="shared" ca="1" si="81"/>
        <v>2106.3704886229862</v>
      </c>
      <c r="V235" s="31">
        <f t="shared" ca="1" si="82"/>
        <v>2162.6942919386324</v>
      </c>
      <c r="X235" s="58">
        <f t="shared" ca="1" si="66"/>
        <v>217</v>
      </c>
      <c r="Y235" s="61">
        <f t="shared" ca="1" si="67"/>
        <v>51327</v>
      </c>
      <c r="Z235" s="31">
        <f t="shared" ca="1" si="77"/>
        <v>7477.7961422325534</v>
      </c>
      <c r="AA235" s="31">
        <f t="shared" ca="1" si="83"/>
        <v>-4653.999461445228</v>
      </c>
      <c r="AB235" s="31">
        <f t="shared" ca="1" si="78"/>
        <v>-513347.30192925595</v>
      </c>
      <c r="AC235" t="str">
        <f t="shared" ca="1" si="68"/>
        <v/>
      </c>
      <c r="AD235" t="str">
        <f t="shared" ca="1" si="69"/>
        <v/>
      </c>
    </row>
    <row r="236" spans="1:30">
      <c r="A236" s="180">
        <f ca="1">'PRICE_IOF Ñ USAR'!A236</f>
        <v>218</v>
      </c>
      <c r="B236" s="179">
        <f ca="1">'PRICE_IOF Ñ USAR'!B236</f>
        <v>51358</v>
      </c>
      <c r="C236" s="177">
        <f t="shared" ca="1" si="70"/>
        <v>1904.5180852513788</v>
      </c>
      <c r="D236" s="24">
        <f t="shared" ca="1" si="79"/>
        <v>201.85240337160741</v>
      </c>
      <c r="E236" s="177">
        <f t="shared" ca="1" si="71"/>
        <v>20035.96050341802</v>
      </c>
      <c r="F236" s="178">
        <f t="shared" ca="1" si="72"/>
        <v>4.6075005036205745</v>
      </c>
      <c r="G236" s="178">
        <f t="shared" ca="1" si="73"/>
        <v>26.319999999999997</v>
      </c>
      <c r="H236" s="177">
        <f t="shared" ca="1" si="74"/>
        <v>25</v>
      </c>
      <c r="I236" s="25">
        <f t="shared" ca="1" si="75"/>
        <v>2162.2979891266068</v>
      </c>
      <c r="J236" s="9" t="str">
        <f ca="1">'PRICE_IOF Ñ USAR'!J236</f>
        <v/>
      </c>
      <c r="K236" s="9" t="str">
        <f ca="1">'PRICE_IOF Ñ USAR'!K236</f>
        <v/>
      </c>
      <c r="L236" s="9">
        <f ca="1">'PRICE_IOF Ñ USAR'!L236</f>
        <v>8</v>
      </c>
      <c r="N236" s="176">
        <f t="shared" ca="1" si="76"/>
        <v>31</v>
      </c>
      <c r="O236" s="176">
        <f t="shared" ca="1" si="80"/>
        <v>6630</v>
      </c>
      <c r="P236" s="175">
        <f t="shared" ca="1" si="63"/>
        <v>7546.5918668623735</v>
      </c>
      <c r="Q236" s="11">
        <f t="shared" ca="1" si="64"/>
        <v>2.9930000000000002E-2</v>
      </c>
      <c r="R236" s="12">
        <f t="shared" ca="1" si="65"/>
        <v>225.86949457519086</v>
      </c>
      <c r="S236" s="513"/>
      <c r="U236">
        <f t="shared" ca="1" si="81"/>
        <v>2106.3704886229862</v>
      </c>
      <c r="V236" s="31">
        <f t="shared" ca="1" si="82"/>
        <v>2162.2979891266068</v>
      </c>
      <c r="X236" s="58">
        <f t="shared" ca="1" si="66"/>
        <v>218</v>
      </c>
      <c r="Y236" s="61">
        <f t="shared" ca="1" si="67"/>
        <v>51358</v>
      </c>
      <c r="Z236" s="31">
        <f t="shared" ca="1" si="77"/>
        <v>7546.5918668623735</v>
      </c>
      <c r="AA236" s="31">
        <f t="shared" ca="1" si="83"/>
        <v>-4722.7951860750482</v>
      </c>
      <c r="AB236" s="31">
        <f t="shared" ca="1" si="78"/>
        <v>-520893.89379611833</v>
      </c>
      <c r="AC236" t="str">
        <f t="shared" ca="1" si="68"/>
        <v/>
      </c>
      <c r="AD236" t="str">
        <f t="shared" ca="1" si="69"/>
        <v/>
      </c>
    </row>
    <row r="237" spans="1:30">
      <c r="A237" s="180">
        <f ca="1">'PRICE_IOF Ñ USAR'!A237</f>
        <v>219</v>
      </c>
      <c r="B237" s="179">
        <f ca="1">'PRICE_IOF Ñ USAR'!B237</f>
        <v>51389</v>
      </c>
      <c r="C237" s="177">
        <f t="shared" ca="1" si="70"/>
        <v>1922.0396516665805</v>
      </c>
      <c r="D237" s="24">
        <f t="shared" ca="1" si="79"/>
        <v>184.33083695640565</v>
      </c>
      <c r="E237" s="177">
        <f t="shared" ca="1" si="71"/>
        <v>18113.920851751442</v>
      </c>
      <c r="F237" s="178">
        <f t="shared" ca="1" si="72"/>
        <v>4.2075517057177843</v>
      </c>
      <c r="G237" s="178">
        <f t="shared" ca="1" si="73"/>
        <v>26.319999999999997</v>
      </c>
      <c r="H237" s="177">
        <f t="shared" ca="1" si="74"/>
        <v>25</v>
      </c>
      <c r="I237" s="25">
        <f t="shared" ca="1" si="75"/>
        <v>2161.8980403287042</v>
      </c>
      <c r="J237" s="9" t="str">
        <f ca="1">'PRICE_IOF Ñ USAR'!J237</f>
        <v/>
      </c>
      <c r="K237" s="9" t="str">
        <f ca="1">'PRICE_IOF Ñ USAR'!K237</f>
        <v/>
      </c>
      <c r="L237" s="9">
        <f ca="1">'PRICE_IOF Ñ USAR'!L237</f>
        <v>9</v>
      </c>
      <c r="N237" s="176">
        <f t="shared" ca="1" si="76"/>
        <v>31</v>
      </c>
      <c r="O237" s="176">
        <f t="shared" ca="1" si="80"/>
        <v>6661</v>
      </c>
      <c r="P237" s="175">
        <f t="shared" ca="1" si="63"/>
        <v>7616.0205121599047</v>
      </c>
      <c r="Q237" s="11">
        <f t="shared" ca="1" si="64"/>
        <v>2.9930000000000002E-2</v>
      </c>
      <c r="R237" s="12">
        <f t="shared" ca="1" si="65"/>
        <v>227.94749392894596</v>
      </c>
      <c r="S237" s="513"/>
      <c r="U237">
        <f t="shared" ca="1" si="81"/>
        <v>2106.3704886229862</v>
      </c>
      <c r="V237" s="31">
        <f t="shared" ca="1" si="82"/>
        <v>2161.8980403287042</v>
      </c>
      <c r="X237" s="58">
        <f t="shared" ca="1" si="66"/>
        <v>219</v>
      </c>
      <c r="Y237" s="61">
        <f t="shared" ca="1" si="67"/>
        <v>51389</v>
      </c>
      <c r="Z237" s="31">
        <f t="shared" ca="1" si="77"/>
        <v>7616.0205121599047</v>
      </c>
      <c r="AA237" s="31">
        <f t="shared" ca="1" si="83"/>
        <v>-4792.2238313725793</v>
      </c>
      <c r="AB237" s="31">
        <f t="shared" ca="1" si="78"/>
        <v>-528509.91430827824</v>
      </c>
      <c r="AC237" t="str">
        <f t="shared" ca="1" si="68"/>
        <v/>
      </c>
      <c r="AD237" t="str">
        <f t="shared" ca="1" si="69"/>
        <v/>
      </c>
    </row>
    <row r="238" spans="1:30">
      <c r="A238" s="180">
        <f ca="1">'PRICE_IOF Ñ USAR'!A238</f>
        <v>220</v>
      </c>
      <c r="B238" s="179">
        <f ca="1">'PRICE_IOF Ñ USAR'!B238</f>
        <v>51419</v>
      </c>
      <c r="C238" s="177">
        <f t="shared" ca="1" si="70"/>
        <v>1939.7224164930863</v>
      </c>
      <c r="D238" s="24">
        <f t="shared" ca="1" si="79"/>
        <v>166.6480721298999</v>
      </c>
      <c r="E238" s="177">
        <f t="shared" ca="1" si="71"/>
        <v>16174.198435258355</v>
      </c>
      <c r="F238" s="178">
        <f t="shared" ca="1" si="72"/>
        <v>3.8039233788678031</v>
      </c>
      <c r="G238" s="178">
        <f t="shared" ca="1" si="73"/>
        <v>26.319999999999997</v>
      </c>
      <c r="H238" s="177">
        <f t="shared" ca="1" si="74"/>
        <v>25</v>
      </c>
      <c r="I238" s="25">
        <f t="shared" ca="1" si="75"/>
        <v>2161.494412001854</v>
      </c>
      <c r="J238" s="9" t="str">
        <f ca="1">'PRICE_IOF Ñ USAR'!J238</f>
        <v/>
      </c>
      <c r="K238" s="9" t="str">
        <f ca="1">'PRICE_IOF Ñ USAR'!K238</f>
        <v/>
      </c>
      <c r="L238" s="9">
        <f ca="1">'PRICE_IOF Ñ USAR'!L238</f>
        <v>10</v>
      </c>
      <c r="N238" s="176">
        <f t="shared" ca="1" si="76"/>
        <v>30</v>
      </c>
      <c r="O238" s="176">
        <f t="shared" ca="1" si="80"/>
        <v>6691</v>
      </c>
      <c r="P238" s="175">
        <f t="shared" ca="1" si="63"/>
        <v>7686.0879009952987</v>
      </c>
      <c r="Q238" s="11">
        <f t="shared" ca="1" si="64"/>
        <v>2.9930000000000002E-2</v>
      </c>
      <c r="R238" s="12">
        <f t="shared" ca="1" si="65"/>
        <v>230.04461087678931</v>
      </c>
      <c r="S238" s="513"/>
      <c r="U238">
        <f t="shared" ca="1" si="81"/>
        <v>2106.3704886229862</v>
      </c>
      <c r="V238" s="31">
        <f t="shared" ca="1" si="82"/>
        <v>2161.494412001854</v>
      </c>
      <c r="X238" s="58">
        <f t="shared" ca="1" si="66"/>
        <v>220</v>
      </c>
      <c r="Y238" s="61">
        <f t="shared" ca="1" si="67"/>
        <v>51419</v>
      </c>
      <c r="Z238" s="31">
        <f t="shared" ca="1" si="77"/>
        <v>7686.0879009952987</v>
      </c>
      <c r="AA238" s="31">
        <f t="shared" ca="1" si="83"/>
        <v>-4862.2912202079733</v>
      </c>
      <c r="AB238" s="31">
        <f t="shared" ca="1" si="78"/>
        <v>-536196.00220927352</v>
      </c>
      <c r="AC238" t="str">
        <f t="shared" ca="1" si="68"/>
        <v/>
      </c>
      <c r="AD238" t="str">
        <f t="shared" ca="1" si="69"/>
        <v/>
      </c>
    </row>
    <row r="239" spans="1:30">
      <c r="A239" s="180">
        <f ca="1">'PRICE_IOF Ñ USAR'!A239</f>
        <v>221</v>
      </c>
      <c r="B239" s="179">
        <f ca="1">'PRICE_IOF Ñ USAR'!B239</f>
        <v>51450</v>
      </c>
      <c r="C239" s="177">
        <f t="shared" ca="1" si="70"/>
        <v>1957.5678627562827</v>
      </c>
      <c r="D239" s="24">
        <f t="shared" ca="1" si="79"/>
        <v>148.80262586670347</v>
      </c>
      <c r="E239" s="177">
        <f t="shared" ca="1" si="71"/>
        <v>14216.630572502072</v>
      </c>
      <c r="F239" s="178">
        <f t="shared" ca="1" si="72"/>
        <v>3.3965816714042547</v>
      </c>
      <c r="G239" s="178">
        <f t="shared" ca="1" si="73"/>
        <v>26.319999999999997</v>
      </c>
      <c r="H239" s="177">
        <f t="shared" ca="1" si="74"/>
        <v>25</v>
      </c>
      <c r="I239" s="25">
        <f t="shared" ca="1" si="75"/>
        <v>2161.0870702943907</v>
      </c>
      <c r="J239" s="9" t="str">
        <f ca="1">'PRICE_IOF Ñ USAR'!J239</f>
        <v/>
      </c>
      <c r="K239" s="9" t="str">
        <f ca="1">'PRICE_IOF Ñ USAR'!K239</f>
        <v/>
      </c>
      <c r="L239" s="9">
        <f ca="1">'PRICE_IOF Ñ USAR'!L239</f>
        <v>11</v>
      </c>
      <c r="N239" s="176">
        <f t="shared" ca="1" si="76"/>
        <v>31</v>
      </c>
      <c r="O239" s="176">
        <f t="shared" ca="1" si="80"/>
        <v>6722</v>
      </c>
      <c r="P239" s="175">
        <f t="shared" ca="1" si="63"/>
        <v>7756.7999098091141</v>
      </c>
      <c r="Q239" s="11">
        <f t="shared" ca="1" si="64"/>
        <v>2.9930000000000002E-2</v>
      </c>
      <c r="R239" s="12">
        <f t="shared" ca="1" si="65"/>
        <v>232.16102130058681</v>
      </c>
      <c r="S239" s="513"/>
      <c r="U239">
        <f t="shared" ca="1" si="81"/>
        <v>2106.3704886229862</v>
      </c>
      <c r="V239" s="31">
        <f t="shared" ca="1" si="82"/>
        <v>2161.0870702943907</v>
      </c>
      <c r="X239" s="58">
        <f t="shared" ca="1" si="66"/>
        <v>221</v>
      </c>
      <c r="Y239" s="61">
        <f t="shared" ca="1" si="67"/>
        <v>51450</v>
      </c>
      <c r="Z239" s="31">
        <f t="shared" ca="1" si="77"/>
        <v>7756.7999098091141</v>
      </c>
      <c r="AA239" s="31">
        <f t="shared" ca="1" si="83"/>
        <v>-4933.0032290217887</v>
      </c>
      <c r="AB239" s="31">
        <f t="shared" ca="1" si="78"/>
        <v>-543952.80211908265</v>
      </c>
      <c r="AC239" t="str">
        <f t="shared" ca="1" si="68"/>
        <v/>
      </c>
      <c r="AD239" t="str">
        <f t="shared" ca="1" si="69"/>
        <v/>
      </c>
    </row>
    <row r="240" spans="1:30">
      <c r="A240" s="180">
        <f ca="1">'PRICE_IOF Ñ USAR'!A240</f>
        <v>222</v>
      </c>
      <c r="B240" s="179">
        <f ca="1">'PRICE_IOF Ñ USAR'!B240</f>
        <v>51480</v>
      </c>
      <c r="C240" s="177">
        <f t="shared" ca="1" si="70"/>
        <v>1975.57748712539</v>
      </c>
      <c r="D240" s="24">
        <f t="shared" ca="1" si="79"/>
        <v>130.79300149759621</v>
      </c>
      <c r="E240" s="177">
        <f t="shared" ca="1" si="71"/>
        <v>12241.053085376681</v>
      </c>
      <c r="F240" s="178">
        <f t="shared" ca="1" si="72"/>
        <v>2.9854924202254352</v>
      </c>
      <c r="G240" s="178">
        <f t="shared" ca="1" si="73"/>
        <v>26.319999999999997</v>
      </c>
      <c r="H240" s="177">
        <f t="shared" ca="1" si="74"/>
        <v>25</v>
      </c>
      <c r="I240" s="25">
        <f t="shared" ca="1" si="75"/>
        <v>2160.6759810432118</v>
      </c>
      <c r="J240" s="9" t="str">
        <f ca="1">'PRICE_IOF Ñ USAR'!J240</f>
        <v/>
      </c>
      <c r="K240" s="9" t="str">
        <f ca="1">'PRICE_IOF Ñ USAR'!K240</f>
        <v/>
      </c>
      <c r="L240" s="9">
        <f ca="1">'PRICE_IOF Ñ USAR'!L240</f>
        <v>12</v>
      </c>
      <c r="N240" s="176">
        <f t="shared" ca="1" si="76"/>
        <v>30</v>
      </c>
      <c r="O240" s="176">
        <f t="shared" ca="1" si="80"/>
        <v>6752</v>
      </c>
      <c r="P240" s="175">
        <f t="shared" ca="1" si="63"/>
        <v>7828.1624691051647</v>
      </c>
      <c r="Q240" s="11">
        <f t="shared" ca="1" si="64"/>
        <v>2.9930000000000002E-2</v>
      </c>
      <c r="R240" s="12">
        <f t="shared" ca="1" si="65"/>
        <v>234.29690270031759</v>
      </c>
      <c r="S240" s="513"/>
      <c r="U240">
        <f t="shared" ca="1" si="81"/>
        <v>2106.3704886229862</v>
      </c>
      <c r="V240" s="31">
        <f t="shared" ca="1" si="82"/>
        <v>2160.6759810432118</v>
      </c>
      <c r="X240" s="58">
        <f t="shared" ca="1" si="66"/>
        <v>222</v>
      </c>
      <c r="Y240" s="61">
        <f t="shared" ca="1" si="67"/>
        <v>51480</v>
      </c>
      <c r="Z240" s="31">
        <f t="shared" ca="1" si="77"/>
        <v>7828.1624691051647</v>
      </c>
      <c r="AA240" s="31">
        <f t="shared" ca="1" si="83"/>
        <v>-5004.3657883178394</v>
      </c>
      <c r="AB240" s="31">
        <f t="shared" ca="1" si="78"/>
        <v>-551780.96458818787</v>
      </c>
      <c r="AC240" t="str">
        <f t="shared" ca="1" si="68"/>
        <v/>
      </c>
      <c r="AD240" t="str">
        <f t="shared" ca="1" si="69"/>
        <v/>
      </c>
    </row>
    <row r="241" spans="1:30">
      <c r="A241" s="180">
        <f ca="1">'PRICE_IOF Ñ USAR'!A241</f>
        <v>223</v>
      </c>
      <c r="B241" s="179">
        <f ca="1">'PRICE_IOF Ñ USAR'!B241</f>
        <v>51511</v>
      </c>
      <c r="C241" s="177">
        <f t="shared" ca="1" si="70"/>
        <v>1993.752800038985</v>
      </c>
      <c r="D241" s="24">
        <f t="shared" ca="1" si="79"/>
        <v>112.61768858400104</v>
      </c>
      <c r="E241" s="177">
        <f t="shared" ca="1" si="71"/>
        <v>10247.300285337697</v>
      </c>
      <c r="F241" s="178">
        <f t="shared" ca="1" si="72"/>
        <v>2.5706211479291032</v>
      </c>
      <c r="G241" s="178">
        <f t="shared" ca="1" si="73"/>
        <v>26.319999999999997</v>
      </c>
      <c r="H241" s="177">
        <f t="shared" ca="1" si="74"/>
        <v>25</v>
      </c>
      <c r="I241" s="25">
        <f t="shared" ca="1" si="75"/>
        <v>2160.2611097709155</v>
      </c>
      <c r="J241" s="9" t="str">
        <f ca="1">'PRICE_IOF Ñ USAR'!J241</f>
        <v/>
      </c>
      <c r="K241" s="9" t="str">
        <f ca="1">'PRICE_IOF Ñ USAR'!K241</f>
        <v/>
      </c>
      <c r="L241" s="9">
        <f ca="1">'PRICE_IOF Ñ USAR'!L241</f>
        <v>1</v>
      </c>
      <c r="N241" s="176">
        <f t="shared" ca="1" si="76"/>
        <v>31</v>
      </c>
      <c r="O241" s="176">
        <f t="shared" ca="1" si="80"/>
        <v>6783</v>
      </c>
      <c r="P241" s="175">
        <f t="shared" ca="1" si="63"/>
        <v>7900.1815639478964</v>
      </c>
      <c r="Q241" s="11">
        <f t="shared" ca="1" si="64"/>
        <v>2.9930000000000002E-2</v>
      </c>
      <c r="R241" s="12">
        <f t="shared" ca="1" si="65"/>
        <v>236.45243420896054</v>
      </c>
      <c r="S241" s="513"/>
      <c r="U241">
        <f t="shared" ca="1" si="81"/>
        <v>2106.3704886229862</v>
      </c>
      <c r="V241" s="31">
        <f t="shared" ca="1" si="82"/>
        <v>2160.2611097709155</v>
      </c>
      <c r="X241" s="58">
        <f t="shared" ca="1" si="66"/>
        <v>223</v>
      </c>
      <c r="Y241" s="61">
        <f t="shared" ca="1" si="67"/>
        <v>51511</v>
      </c>
      <c r="Z241" s="31">
        <f t="shared" ca="1" si="77"/>
        <v>7900.1815639478964</v>
      </c>
      <c r="AA241" s="31">
        <f t="shared" ca="1" si="83"/>
        <v>-5076.384883160571</v>
      </c>
      <c r="AB241" s="31">
        <f t="shared" ca="1" si="78"/>
        <v>-559681.1461521358</v>
      </c>
      <c r="AC241" t="str">
        <f t="shared" ca="1" si="68"/>
        <v/>
      </c>
      <c r="AD241" t="str">
        <f t="shared" ca="1" si="69"/>
        <v/>
      </c>
    </row>
    <row r="242" spans="1:30">
      <c r="A242" s="180">
        <f ca="1">'PRICE_IOF Ñ USAR'!A242</f>
        <v>224</v>
      </c>
      <c r="B242" s="179">
        <f ca="1">'PRICE_IOF Ñ USAR'!B242</f>
        <v>51542</v>
      </c>
      <c r="C242" s="177">
        <f t="shared" ca="1" si="70"/>
        <v>2012.0953258316802</v>
      </c>
      <c r="D242" s="24">
        <f t="shared" ca="1" si="79"/>
        <v>94.275162791306045</v>
      </c>
      <c r="E242" s="177">
        <f t="shared" ca="1" si="71"/>
        <v>8235.2049595060162</v>
      </c>
      <c r="F242" s="178">
        <f t="shared" ca="1" si="72"/>
        <v>2.1519330599209163</v>
      </c>
      <c r="G242" s="178">
        <f t="shared" ca="1" si="73"/>
        <v>26.319999999999997</v>
      </c>
      <c r="H242" s="177">
        <f t="shared" ca="1" si="74"/>
        <v>25</v>
      </c>
      <c r="I242" s="25">
        <f t="shared" ca="1" si="75"/>
        <v>2159.8424216829071</v>
      </c>
      <c r="J242" s="9" t="str">
        <f ca="1">'PRICE_IOF Ñ USAR'!J242</f>
        <v/>
      </c>
      <c r="K242" s="9" t="str">
        <f ca="1">'PRICE_IOF Ñ USAR'!K242</f>
        <v/>
      </c>
      <c r="L242" s="9">
        <f ca="1">'PRICE_IOF Ñ USAR'!L242</f>
        <v>2</v>
      </c>
      <c r="N242" s="176">
        <f t="shared" ca="1" si="76"/>
        <v>31</v>
      </c>
      <c r="O242" s="176">
        <f t="shared" ca="1" si="80"/>
        <v>6814</v>
      </c>
      <c r="P242" s="175">
        <f t="shared" ca="1" si="63"/>
        <v>7972.8632344643493</v>
      </c>
      <c r="Q242" s="11">
        <f t="shared" ca="1" si="64"/>
        <v>2.9930000000000002E-2</v>
      </c>
      <c r="R242" s="12">
        <f t="shared" ca="1" si="65"/>
        <v>238.62779660751798</v>
      </c>
      <c r="S242" s="513"/>
      <c r="U242">
        <f t="shared" ca="1" si="81"/>
        <v>2106.3704886229862</v>
      </c>
      <c r="V242" s="31">
        <f t="shared" ca="1" si="82"/>
        <v>2159.8424216829071</v>
      </c>
      <c r="X242" s="58">
        <f t="shared" ca="1" si="66"/>
        <v>224</v>
      </c>
      <c r="Y242" s="61">
        <f t="shared" ca="1" si="67"/>
        <v>51542</v>
      </c>
      <c r="Z242" s="31">
        <f t="shared" ca="1" si="77"/>
        <v>7972.8632344643493</v>
      </c>
      <c r="AA242" s="31">
        <f t="shared" ca="1" si="83"/>
        <v>-5149.0665536770239</v>
      </c>
      <c r="AB242" s="31">
        <f t="shared" ca="1" si="78"/>
        <v>-567654.00938660011</v>
      </c>
      <c r="AC242" t="str">
        <f t="shared" ca="1" si="68"/>
        <v/>
      </c>
      <c r="AD242" t="str">
        <f t="shared" ca="1" si="69"/>
        <v/>
      </c>
    </row>
    <row r="243" spans="1:30">
      <c r="A243" s="180">
        <f ca="1">'PRICE_IOF Ñ USAR'!A243</f>
        <v>225</v>
      </c>
      <c r="B243" s="179">
        <f ca="1">'PRICE_IOF Ñ USAR'!B243</f>
        <v>51570</v>
      </c>
      <c r="C243" s="177">
        <f t="shared" ca="1" si="70"/>
        <v>2030.6066028619655</v>
      </c>
      <c r="D243" s="24">
        <f t="shared" ca="1" si="79"/>
        <v>75.763885761020745</v>
      </c>
      <c r="E243" s="177">
        <f t="shared" ca="1" si="71"/>
        <v>6204.5983566440509</v>
      </c>
      <c r="F243" s="178">
        <f t="shared" ca="1" si="72"/>
        <v>1.7293930414962635</v>
      </c>
      <c r="G243" s="178">
        <f t="shared" ca="1" si="73"/>
        <v>26.319999999999997</v>
      </c>
      <c r="H243" s="177">
        <f t="shared" ca="1" si="74"/>
        <v>25</v>
      </c>
      <c r="I243" s="25">
        <f t="shared" ca="1" si="75"/>
        <v>2159.4198816644825</v>
      </c>
      <c r="J243" s="9" t="str">
        <f ca="1">'PRICE_IOF Ñ USAR'!J243</f>
        <v/>
      </c>
      <c r="K243" s="9" t="str">
        <f ca="1">'PRICE_IOF Ñ USAR'!K243</f>
        <v/>
      </c>
      <c r="L243" s="9">
        <f ca="1">'PRICE_IOF Ñ USAR'!L243</f>
        <v>3</v>
      </c>
      <c r="N243" s="176">
        <f t="shared" ca="1" si="76"/>
        <v>28</v>
      </c>
      <c r="O243" s="176">
        <f t="shared" ca="1" si="80"/>
        <v>6842</v>
      </c>
      <c r="P243" s="175">
        <f t="shared" ca="1" si="63"/>
        <v>8046.2135763507313</v>
      </c>
      <c r="Q243" s="11">
        <f t="shared" ca="1" si="64"/>
        <v>2.9930000000000002E-2</v>
      </c>
      <c r="R243" s="12">
        <f t="shared" ca="1" si="65"/>
        <v>240.82317234017739</v>
      </c>
      <c r="S243" s="513"/>
      <c r="U243">
        <f t="shared" ca="1" si="81"/>
        <v>2106.3704886229862</v>
      </c>
      <c r="V243" s="31">
        <f t="shared" ca="1" si="82"/>
        <v>2159.4198816644825</v>
      </c>
      <c r="X243" s="58">
        <f t="shared" ca="1" si="66"/>
        <v>225</v>
      </c>
      <c r="Y243" s="61">
        <f t="shared" ca="1" si="67"/>
        <v>51570</v>
      </c>
      <c r="Z243" s="31">
        <f t="shared" ca="1" si="77"/>
        <v>8046.2135763507313</v>
      </c>
      <c r="AA243" s="31">
        <f t="shared" ca="1" si="83"/>
        <v>-5222.4168955634059</v>
      </c>
      <c r="AB243" s="31">
        <f t="shared" ca="1" si="78"/>
        <v>-575700.22296295082</v>
      </c>
      <c r="AC243" t="str">
        <f t="shared" ca="1" si="68"/>
        <v/>
      </c>
      <c r="AD243" t="str">
        <f t="shared" ca="1" si="69"/>
        <v/>
      </c>
    </row>
    <row r="244" spans="1:30">
      <c r="A244" s="180">
        <f ca="1">'PRICE_IOF Ñ USAR'!A244</f>
        <v>226</v>
      </c>
      <c r="B244" s="179">
        <f ca="1">'PRICE_IOF Ñ USAR'!B244</f>
        <v>51601</v>
      </c>
      <c r="C244" s="177">
        <f t="shared" ca="1" si="70"/>
        <v>2049.2881836412294</v>
      </c>
      <c r="D244" s="24">
        <f t="shared" ca="1" si="79"/>
        <v>57.082304981756607</v>
      </c>
      <c r="E244" s="177">
        <f t="shared" ca="1" si="71"/>
        <v>4155.3101730028211</v>
      </c>
      <c r="F244" s="178">
        <f t="shared" ca="1" si="72"/>
        <v>1.3029656548952508</v>
      </c>
      <c r="G244" s="178">
        <f t="shared" ca="1" si="73"/>
        <v>26.319999999999997</v>
      </c>
      <c r="H244" s="177">
        <f t="shared" ca="1" si="74"/>
        <v>25</v>
      </c>
      <c r="I244" s="25">
        <f t="shared" ca="1" si="75"/>
        <v>2158.9934542778815</v>
      </c>
      <c r="J244" s="9" t="str">
        <f ca="1">'PRICE_IOF Ñ USAR'!J244</f>
        <v/>
      </c>
      <c r="K244" s="9" t="str">
        <f ca="1">'PRICE_IOF Ñ USAR'!K244</f>
        <v/>
      </c>
      <c r="L244" s="9">
        <f ca="1">'PRICE_IOF Ñ USAR'!L244</f>
        <v>4</v>
      </c>
      <c r="N244" s="176">
        <f t="shared" ca="1" si="76"/>
        <v>31</v>
      </c>
      <c r="O244" s="176">
        <f t="shared" ca="1" si="80"/>
        <v>6873</v>
      </c>
      <c r="P244" s="175">
        <f t="shared" ca="1" si="63"/>
        <v>8120.2387413836577</v>
      </c>
      <c r="Q244" s="11">
        <f t="shared" ca="1" si="64"/>
        <v>2.9930000000000002E-2</v>
      </c>
      <c r="R244" s="12">
        <f t="shared" ca="1" si="65"/>
        <v>243.0387455296129</v>
      </c>
      <c r="S244" s="513"/>
      <c r="U244">
        <f t="shared" ca="1" si="81"/>
        <v>2106.3704886229862</v>
      </c>
      <c r="V244" s="31">
        <f t="shared" ca="1" si="82"/>
        <v>2158.9934542778815</v>
      </c>
      <c r="X244" s="58">
        <f t="shared" ca="1" si="66"/>
        <v>226</v>
      </c>
      <c r="Y244" s="61">
        <f t="shared" ca="1" si="67"/>
        <v>51601</v>
      </c>
      <c r="Z244" s="31">
        <f t="shared" ca="1" si="77"/>
        <v>8120.2387413836577</v>
      </c>
      <c r="AA244" s="31">
        <f t="shared" ca="1" si="83"/>
        <v>-5296.4420605963323</v>
      </c>
      <c r="AB244" s="31">
        <f t="shared" ca="1" si="78"/>
        <v>-583820.46170433448</v>
      </c>
      <c r="AC244" t="str">
        <f t="shared" ca="1" si="68"/>
        <v/>
      </c>
      <c r="AD244" t="str">
        <f t="shared" ca="1" si="69"/>
        <v/>
      </c>
    </row>
    <row r="245" spans="1:30">
      <c r="A245" s="180">
        <f ca="1">'PRICE_IOF Ñ USAR'!A245</f>
        <v>227</v>
      </c>
      <c r="B245" s="179">
        <f ca="1">'PRICE_IOF Ñ USAR'!B245</f>
        <v>51631</v>
      </c>
      <c r="C245" s="177">
        <f t="shared" ca="1" si="70"/>
        <v>2068.1416349639658</v>
      </c>
      <c r="D245" s="24">
        <f t="shared" ca="1" si="79"/>
        <v>38.228853659020231</v>
      </c>
      <c r="E245" s="177">
        <f t="shared" ca="1" si="71"/>
        <v>2087.1685380388553</v>
      </c>
      <c r="F245" s="178">
        <f t="shared" ca="1" si="72"/>
        <v>0.87261513633059251</v>
      </c>
      <c r="G245" s="178">
        <f t="shared" ca="1" si="73"/>
        <v>26.319999999999997</v>
      </c>
      <c r="H245" s="177">
        <f t="shared" ca="1" si="74"/>
        <v>25</v>
      </c>
      <c r="I245" s="25">
        <f t="shared" ca="1" si="75"/>
        <v>2158.5631037593171</v>
      </c>
      <c r="J245" s="9" t="str">
        <f ca="1">'PRICE_IOF Ñ USAR'!J245</f>
        <v/>
      </c>
      <c r="K245" s="9" t="str">
        <f ca="1">'PRICE_IOF Ñ USAR'!K245</f>
        <v/>
      </c>
      <c r="L245" s="9">
        <f ca="1">'PRICE_IOF Ñ USAR'!L245</f>
        <v>5</v>
      </c>
      <c r="N245" s="176">
        <f t="shared" ca="1" si="76"/>
        <v>30</v>
      </c>
      <c r="O245" s="176">
        <f t="shared" ca="1" si="80"/>
        <v>6903</v>
      </c>
      <c r="P245" s="175">
        <f t="shared" ca="1" si="63"/>
        <v>8194.9449379360885</v>
      </c>
      <c r="Q245" s="11">
        <f t="shared" ca="1" si="64"/>
        <v>2.9930000000000002E-2</v>
      </c>
      <c r="R245" s="12">
        <f t="shared" ca="1" si="65"/>
        <v>245.27470199242714</v>
      </c>
      <c r="S245" s="513"/>
      <c r="U245">
        <f t="shared" ca="1" si="81"/>
        <v>2106.3704886229862</v>
      </c>
      <c r="V245" s="31">
        <f t="shared" ca="1" si="82"/>
        <v>2158.5631037593171</v>
      </c>
      <c r="X245" s="58">
        <f t="shared" ca="1" si="66"/>
        <v>227</v>
      </c>
      <c r="Y245" s="61">
        <f t="shared" ca="1" si="67"/>
        <v>51631</v>
      </c>
      <c r="Z245" s="31">
        <f t="shared" ca="1" si="77"/>
        <v>8194.9449379360885</v>
      </c>
      <c r="AA245" s="31">
        <f t="shared" ca="1" si="83"/>
        <v>-5371.1482571487632</v>
      </c>
      <c r="AB245" s="31">
        <f t="shared" ca="1" si="78"/>
        <v>-592015.40664227051</v>
      </c>
      <c r="AC245" t="str">
        <f t="shared" ca="1" si="68"/>
        <v/>
      </c>
      <c r="AD245" t="str">
        <f t="shared" ca="1" si="69"/>
        <v/>
      </c>
    </row>
    <row r="246" spans="1:30">
      <c r="A246" s="180">
        <f ca="1">'PRICE_IOF Ñ USAR'!A246</f>
        <v>228</v>
      </c>
      <c r="B246" s="179">
        <f ca="1">'PRICE_IOF Ñ USAR'!B246</f>
        <v>51662</v>
      </c>
      <c r="C246" s="177">
        <f t="shared" ca="1" si="70"/>
        <v>2087.1685380391773</v>
      </c>
      <c r="D246" s="24">
        <f t="shared" ca="1" si="79"/>
        <v>19.201950583808905</v>
      </c>
      <c r="E246" s="177">
        <f t="shared" ca="1" si="71"/>
        <v>-3.219611244276166E-10</v>
      </c>
      <c r="F246" s="178">
        <f t="shared" ca="1" si="72"/>
        <v>0.43830539298815963</v>
      </c>
      <c r="G246" s="178">
        <f t="shared" ca="1" si="73"/>
        <v>26.319999999999997</v>
      </c>
      <c r="H246" s="177">
        <f t="shared" ca="1" si="74"/>
        <v>25</v>
      </c>
      <c r="I246" s="25">
        <f t="shared" ca="1" si="75"/>
        <v>2158.1287940159746</v>
      </c>
      <c r="J246" s="9" t="str">
        <f ca="1">'PRICE_IOF Ñ USAR'!J246</f>
        <v/>
      </c>
      <c r="K246" s="9" t="str">
        <f ca="1">'PRICE_IOF Ñ USAR'!K246</f>
        <v/>
      </c>
      <c r="L246" s="9">
        <f ca="1">'PRICE_IOF Ñ USAR'!L246</f>
        <v>6</v>
      </c>
      <c r="N246" s="176">
        <f t="shared" ca="1" si="76"/>
        <v>31</v>
      </c>
      <c r="O246" s="176">
        <f t="shared" ca="1" si="80"/>
        <v>6934</v>
      </c>
      <c r="P246" s="175">
        <f t="shared" ca="1" si="63"/>
        <v>8270.3384314980121</v>
      </c>
      <c r="Q246" s="11">
        <f t="shared" ca="1" si="64"/>
        <v>2.9930000000000002E-2</v>
      </c>
      <c r="R246" s="12">
        <f t="shared" ca="1" si="65"/>
        <v>247.53122925473551</v>
      </c>
      <c r="S246" s="513"/>
      <c r="U246">
        <f t="shared" ca="1" si="81"/>
        <v>2106.3704886229862</v>
      </c>
      <c r="V246" s="31">
        <f t="shared" ca="1" si="82"/>
        <v>2158.1287940159746</v>
      </c>
      <c r="X246" s="58">
        <f t="shared" ca="1" si="66"/>
        <v>228</v>
      </c>
      <c r="Y246" s="61">
        <f t="shared" ca="1" si="67"/>
        <v>51662</v>
      </c>
      <c r="Z246" s="31">
        <f t="shared" ca="1" si="77"/>
        <v>8270.3384314980121</v>
      </c>
      <c r="AA246" s="31">
        <f t="shared" ca="1" si="83"/>
        <v>-5446.5417507106868</v>
      </c>
      <c r="AB246" s="31">
        <f t="shared" ca="1" si="78"/>
        <v>-600285.74507376854</v>
      </c>
      <c r="AC246" t="str">
        <f t="shared" ca="1" si="68"/>
        <v/>
      </c>
      <c r="AD246" t="str">
        <f t="shared" ca="1" si="69"/>
        <v/>
      </c>
    </row>
    <row r="247" spans="1:30">
      <c r="A247" s="180" t="str">
        <f ca="1">'PRICE_IOF Ñ USAR'!A247</f>
        <v/>
      </c>
      <c r="B247" s="179" t="str">
        <f ca="1">'PRICE_IOF Ñ USAR'!B247</f>
        <v/>
      </c>
      <c r="C247" s="177" t="str">
        <f t="shared" ca="1" si="70"/>
        <v/>
      </c>
      <c r="D247" s="24" t="str">
        <f t="shared" ca="1" si="79"/>
        <v/>
      </c>
      <c r="E247" s="177" t="str">
        <f t="shared" ca="1" si="71"/>
        <v/>
      </c>
      <c r="F247" s="178" t="str">
        <f t="shared" ca="1" si="72"/>
        <v/>
      </c>
      <c r="G247" s="178" t="str">
        <f t="shared" ca="1" si="73"/>
        <v/>
      </c>
      <c r="H247" s="177" t="str">
        <f t="shared" ca="1" si="74"/>
        <v/>
      </c>
      <c r="I247" s="25">
        <f t="shared" ca="1" si="75"/>
        <v>0</v>
      </c>
      <c r="J247" s="9" t="str">
        <f ca="1">'PRICE_IOF Ñ USAR'!J247</f>
        <v/>
      </c>
      <c r="K247" s="9" t="str">
        <f ca="1">'PRICE_IOF Ñ USAR'!K247</f>
        <v/>
      </c>
      <c r="L247" s="9" t="str">
        <f ca="1">'PRICE_IOF Ñ USAR'!L247</f>
        <v/>
      </c>
      <c r="N247" s="176" t="str">
        <f t="shared" ca="1" si="76"/>
        <v/>
      </c>
      <c r="O247" s="176" t="str">
        <f t="shared" ca="1" si="80"/>
        <v/>
      </c>
      <c r="P247" s="175" t="str">
        <f t="shared" ca="1" si="63"/>
        <v/>
      </c>
      <c r="Q247" s="11" t="str">
        <f t="shared" ca="1" si="64"/>
        <v/>
      </c>
      <c r="R247" s="12" t="str">
        <f t="shared" ca="1" si="65"/>
        <v/>
      </c>
      <c r="S247" s="513"/>
      <c r="U247" t="str">
        <f t="shared" ca="1" si="81"/>
        <v/>
      </c>
      <c r="V247" s="31">
        <f t="shared" ca="1" si="82"/>
        <v>0</v>
      </c>
      <c r="X247" s="58" t="str">
        <f t="shared" ca="1" si="66"/>
        <v/>
      </c>
      <c r="Y247" s="61" t="str">
        <f t="shared" ca="1" si="67"/>
        <v/>
      </c>
      <c r="Z247" s="31" t="str">
        <f t="shared" ca="1" si="77"/>
        <v/>
      </c>
      <c r="AA247" s="31" t="e">
        <f t="shared" ca="1" si="83"/>
        <v>#VALUE!</v>
      </c>
      <c r="AB247" s="31" t="str">
        <f t="shared" ca="1" si="78"/>
        <v/>
      </c>
      <c r="AC247" t="str">
        <f t="shared" ca="1" si="68"/>
        <v/>
      </c>
      <c r="AD247" t="str">
        <f t="shared" ca="1" si="69"/>
        <v/>
      </c>
    </row>
    <row r="248" spans="1:30">
      <c r="A248" s="180" t="str">
        <f ca="1">'PRICE_IOF Ñ USAR'!A248</f>
        <v/>
      </c>
      <c r="B248" s="179" t="str">
        <f ca="1">'PRICE_IOF Ñ USAR'!B248</f>
        <v/>
      </c>
      <c r="C248" s="177" t="str">
        <f t="shared" ca="1" si="70"/>
        <v/>
      </c>
      <c r="D248" s="24" t="str">
        <f t="shared" ca="1" si="79"/>
        <v/>
      </c>
      <c r="E248" s="177" t="str">
        <f t="shared" ca="1" si="71"/>
        <v/>
      </c>
      <c r="F248" s="178" t="str">
        <f t="shared" ca="1" si="72"/>
        <v/>
      </c>
      <c r="G248" s="178" t="str">
        <f t="shared" ca="1" si="73"/>
        <v/>
      </c>
      <c r="H248" s="177" t="str">
        <f t="shared" ca="1" si="74"/>
        <v/>
      </c>
      <c r="I248" s="25">
        <f t="shared" ca="1" si="75"/>
        <v>0</v>
      </c>
      <c r="J248" s="9" t="str">
        <f ca="1">'PRICE_IOF Ñ USAR'!J248</f>
        <v/>
      </c>
      <c r="K248" s="9" t="str">
        <f ca="1">'PRICE_IOF Ñ USAR'!K248</f>
        <v/>
      </c>
      <c r="L248" s="9" t="str">
        <f ca="1">'PRICE_IOF Ñ USAR'!L248</f>
        <v/>
      </c>
      <c r="N248" s="176" t="str">
        <f t="shared" ca="1" si="76"/>
        <v/>
      </c>
      <c r="O248" s="176" t="str">
        <f t="shared" ca="1" si="80"/>
        <v/>
      </c>
      <c r="P248" s="175" t="str">
        <f t="shared" ca="1" si="63"/>
        <v/>
      </c>
      <c r="Q248" s="11" t="str">
        <f t="shared" ca="1" si="64"/>
        <v/>
      </c>
      <c r="R248" s="12" t="str">
        <f t="shared" ca="1" si="65"/>
        <v/>
      </c>
      <c r="S248" s="513"/>
      <c r="U248" t="str">
        <f t="shared" ca="1" si="81"/>
        <v/>
      </c>
      <c r="V248" s="31">
        <f t="shared" ca="1" si="82"/>
        <v>0</v>
      </c>
      <c r="X248" s="58" t="str">
        <f t="shared" ca="1" si="66"/>
        <v/>
      </c>
      <c r="Y248" s="61" t="str">
        <f t="shared" ca="1" si="67"/>
        <v/>
      </c>
      <c r="Z248" s="31" t="str">
        <f t="shared" ca="1" si="77"/>
        <v/>
      </c>
      <c r="AA248" s="31" t="e">
        <f t="shared" ca="1" si="83"/>
        <v>#VALUE!</v>
      </c>
      <c r="AB248" s="31" t="str">
        <f t="shared" ca="1" si="78"/>
        <v/>
      </c>
      <c r="AC248" t="str">
        <f t="shared" ca="1" si="68"/>
        <v/>
      </c>
      <c r="AD248" t="str">
        <f t="shared" ca="1" si="69"/>
        <v/>
      </c>
    </row>
    <row r="249" spans="1:30">
      <c r="A249" s="180" t="str">
        <f ca="1">'PRICE_IOF Ñ USAR'!A249</f>
        <v/>
      </c>
      <c r="B249" s="179" t="str">
        <f ca="1">'PRICE_IOF Ñ USAR'!B249</f>
        <v/>
      </c>
      <c r="C249" s="177" t="str">
        <f t="shared" ca="1" si="70"/>
        <v/>
      </c>
      <c r="D249" s="24" t="str">
        <f t="shared" ca="1" si="79"/>
        <v/>
      </c>
      <c r="E249" s="177" t="str">
        <f t="shared" ca="1" si="71"/>
        <v/>
      </c>
      <c r="F249" s="178" t="str">
        <f t="shared" ca="1" si="72"/>
        <v/>
      </c>
      <c r="G249" s="178" t="str">
        <f t="shared" ca="1" si="73"/>
        <v/>
      </c>
      <c r="H249" s="177" t="str">
        <f t="shared" ca="1" si="74"/>
        <v/>
      </c>
      <c r="I249" s="25">
        <f t="shared" ca="1" si="75"/>
        <v>0</v>
      </c>
      <c r="J249" s="9" t="str">
        <f ca="1">'PRICE_IOF Ñ USAR'!J249</f>
        <v/>
      </c>
      <c r="K249" s="9" t="str">
        <f ca="1">'PRICE_IOF Ñ USAR'!K249</f>
        <v/>
      </c>
      <c r="L249" s="9" t="str">
        <f ca="1">'PRICE_IOF Ñ USAR'!L249</f>
        <v/>
      </c>
      <c r="N249" s="176" t="str">
        <f t="shared" ca="1" si="76"/>
        <v/>
      </c>
      <c r="O249" s="176" t="str">
        <f t="shared" ca="1" si="80"/>
        <v/>
      </c>
      <c r="P249" s="175" t="str">
        <f t="shared" ca="1" si="63"/>
        <v/>
      </c>
      <c r="Q249" s="11" t="str">
        <f t="shared" ca="1" si="64"/>
        <v/>
      </c>
      <c r="R249" s="12" t="str">
        <f t="shared" ca="1" si="65"/>
        <v/>
      </c>
      <c r="S249" s="513"/>
      <c r="U249" t="str">
        <f t="shared" ca="1" si="81"/>
        <v/>
      </c>
      <c r="V249" s="31">
        <f t="shared" ca="1" si="82"/>
        <v>0</v>
      </c>
      <c r="X249" s="58" t="str">
        <f t="shared" ca="1" si="66"/>
        <v/>
      </c>
      <c r="Y249" s="61" t="str">
        <f t="shared" ca="1" si="67"/>
        <v/>
      </c>
      <c r="Z249" s="31" t="str">
        <f t="shared" ca="1" si="77"/>
        <v/>
      </c>
      <c r="AA249" s="31" t="e">
        <f t="shared" ca="1" si="83"/>
        <v>#VALUE!</v>
      </c>
      <c r="AB249" s="31" t="str">
        <f t="shared" ca="1" si="78"/>
        <v/>
      </c>
      <c r="AC249" t="str">
        <f t="shared" ca="1" si="68"/>
        <v/>
      </c>
      <c r="AD249" t="str">
        <f t="shared" ca="1" si="69"/>
        <v/>
      </c>
    </row>
    <row r="250" spans="1:30">
      <c r="A250" s="180" t="str">
        <f ca="1">'PRICE_IOF Ñ USAR'!A250</f>
        <v/>
      </c>
      <c r="B250" s="179" t="str">
        <f ca="1">'PRICE_IOF Ñ USAR'!B250</f>
        <v/>
      </c>
      <c r="C250" s="177" t="str">
        <f t="shared" ca="1" si="70"/>
        <v/>
      </c>
      <c r="D250" s="24" t="str">
        <f t="shared" ca="1" si="79"/>
        <v/>
      </c>
      <c r="E250" s="177" t="str">
        <f t="shared" ca="1" si="71"/>
        <v/>
      </c>
      <c r="F250" s="178" t="str">
        <f t="shared" ca="1" si="72"/>
        <v/>
      </c>
      <c r="G250" s="178" t="str">
        <f t="shared" ca="1" si="73"/>
        <v/>
      </c>
      <c r="H250" s="177" t="str">
        <f t="shared" ca="1" si="74"/>
        <v/>
      </c>
      <c r="I250" s="25">
        <f t="shared" ca="1" si="75"/>
        <v>0</v>
      </c>
      <c r="J250" s="9" t="str">
        <f ca="1">'PRICE_IOF Ñ USAR'!J250</f>
        <v/>
      </c>
      <c r="K250" s="9" t="str">
        <f ca="1">'PRICE_IOF Ñ USAR'!K250</f>
        <v/>
      </c>
      <c r="L250" s="9" t="str">
        <f ca="1">'PRICE_IOF Ñ USAR'!L250</f>
        <v/>
      </c>
      <c r="N250" s="176" t="str">
        <f t="shared" ca="1" si="76"/>
        <v/>
      </c>
      <c r="O250" s="176" t="str">
        <f t="shared" ca="1" si="80"/>
        <v/>
      </c>
      <c r="P250" s="175" t="str">
        <f t="shared" ca="1" si="63"/>
        <v/>
      </c>
      <c r="Q250" s="11" t="str">
        <f t="shared" ca="1" si="64"/>
        <v/>
      </c>
      <c r="R250" s="12" t="str">
        <f t="shared" ca="1" si="65"/>
        <v/>
      </c>
      <c r="S250" s="513"/>
      <c r="U250" t="str">
        <f t="shared" ca="1" si="81"/>
        <v/>
      </c>
      <c r="V250" s="31">
        <f t="shared" ca="1" si="82"/>
        <v>0</v>
      </c>
      <c r="X250" s="58" t="str">
        <f t="shared" ca="1" si="66"/>
        <v/>
      </c>
      <c r="Y250" s="61" t="str">
        <f t="shared" ca="1" si="67"/>
        <v/>
      </c>
      <c r="Z250" s="31" t="str">
        <f t="shared" ca="1" si="77"/>
        <v/>
      </c>
      <c r="AA250" s="31" t="e">
        <f t="shared" ca="1" si="83"/>
        <v>#VALUE!</v>
      </c>
      <c r="AB250" s="31" t="str">
        <f t="shared" ca="1" si="78"/>
        <v/>
      </c>
      <c r="AC250" t="str">
        <f t="shared" ca="1" si="68"/>
        <v/>
      </c>
      <c r="AD250" t="str">
        <f t="shared" ca="1" si="69"/>
        <v/>
      </c>
    </row>
    <row r="251" spans="1:30">
      <c r="A251" s="180" t="str">
        <f ca="1">'PRICE_IOF Ñ USAR'!A251</f>
        <v/>
      </c>
      <c r="B251" s="179" t="str">
        <f ca="1">'PRICE_IOF Ñ USAR'!B251</f>
        <v/>
      </c>
      <c r="C251" s="177" t="str">
        <f t="shared" ca="1" si="70"/>
        <v/>
      </c>
      <c r="D251" s="24" t="str">
        <f t="shared" ca="1" si="79"/>
        <v/>
      </c>
      <c r="E251" s="177" t="str">
        <f t="shared" ca="1" si="71"/>
        <v/>
      </c>
      <c r="F251" s="178" t="str">
        <f t="shared" ca="1" si="72"/>
        <v/>
      </c>
      <c r="G251" s="178" t="str">
        <f t="shared" ca="1" si="73"/>
        <v/>
      </c>
      <c r="H251" s="177" t="str">
        <f t="shared" ca="1" si="74"/>
        <v/>
      </c>
      <c r="I251" s="25">
        <f t="shared" ca="1" si="75"/>
        <v>0</v>
      </c>
      <c r="J251" s="9" t="str">
        <f ca="1">'PRICE_IOF Ñ USAR'!J251</f>
        <v/>
      </c>
      <c r="K251" s="9" t="str">
        <f ca="1">'PRICE_IOF Ñ USAR'!K251</f>
        <v/>
      </c>
      <c r="L251" s="9" t="str">
        <f ca="1">'PRICE_IOF Ñ USAR'!L251</f>
        <v/>
      </c>
      <c r="N251" s="176" t="str">
        <f t="shared" ca="1" si="76"/>
        <v/>
      </c>
      <c r="O251" s="176" t="str">
        <f t="shared" ca="1" si="80"/>
        <v/>
      </c>
      <c r="P251" s="175" t="str">
        <f t="shared" ca="1" si="63"/>
        <v/>
      </c>
      <c r="Q251" s="11" t="str">
        <f t="shared" ca="1" si="64"/>
        <v/>
      </c>
      <c r="R251" s="12" t="str">
        <f t="shared" ca="1" si="65"/>
        <v/>
      </c>
      <c r="S251" s="513"/>
      <c r="U251" t="str">
        <f t="shared" ca="1" si="81"/>
        <v/>
      </c>
      <c r="V251" s="31">
        <f t="shared" ca="1" si="82"/>
        <v>0</v>
      </c>
      <c r="X251" s="58" t="str">
        <f t="shared" ca="1" si="66"/>
        <v/>
      </c>
      <c r="Y251" s="61" t="str">
        <f t="shared" ca="1" si="67"/>
        <v/>
      </c>
      <c r="Z251" s="31" t="str">
        <f t="shared" ca="1" si="77"/>
        <v/>
      </c>
      <c r="AA251" s="31" t="e">
        <f t="shared" ca="1" si="83"/>
        <v>#VALUE!</v>
      </c>
      <c r="AB251" s="31" t="str">
        <f t="shared" ca="1" si="78"/>
        <v/>
      </c>
      <c r="AC251" t="str">
        <f t="shared" ca="1" si="68"/>
        <v/>
      </c>
      <c r="AD251" t="str">
        <f t="shared" ca="1" si="69"/>
        <v/>
      </c>
    </row>
    <row r="252" spans="1:30">
      <c r="A252" s="180" t="str">
        <f ca="1">'PRICE_IOF Ñ USAR'!A252</f>
        <v/>
      </c>
      <c r="B252" s="179" t="str">
        <f ca="1">'PRICE_IOF Ñ USAR'!B252</f>
        <v/>
      </c>
      <c r="C252" s="177" t="str">
        <f t="shared" ca="1" si="70"/>
        <v/>
      </c>
      <c r="D252" s="24" t="str">
        <f t="shared" ca="1" si="79"/>
        <v/>
      </c>
      <c r="E252" s="177" t="str">
        <f t="shared" ca="1" si="71"/>
        <v/>
      </c>
      <c r="F252" s="178" t="str">
        <f t="shared" ca="1" si="72"/>
        <v/>
      </c>
      <c r="G252" s="178" t="str">
        <f t="shared" ca="1" si="73"/>
        <v/>
      </c>
      <c r="H252" s="177" t="str">
        <f t="shared" ca="1" si="74"/>
        <v/>
      </c>
      <c r="I252" s="25">
        <f t="shared" ca="1" si="75"/>
        <v>0</v>
      </c>
      <c r="J252" s="9" t="str">
        <f ca="1">'PRICE_IOF Ñ USAR'!J252</f>
        <v/>
      </c>
      <c r="K252" s="9" t="str">
        <f ca="1">'PRICE_IOF Ñ USAR'!K252</f>
        <v/>
      </c>
      <c r="L252" s="9" t="str">
        <f ca="1">'PRICE_IOF Ñ USAR'!L252</f>
        <v/>
      </c>
      <c r="N252" s="176" t="str">
        <f t="shared" ca="1" si="76"/>
        <v/>
      </c>
      <c r="O252" s="176" t="str">
        <f t="shared" ca="1" si="80"/>
        <v/>
      </c>
      <c r="P252" s="175" t="str">
        <f t="shared" ca="1" si="63"/>
        <v/>
      </c>
      <c r="Q252" s="11" t="str">
        <f t="shared" ca="1" si="64"/>
        <v/>
      </c>
      <c r="R252" s="12" t="str">
        <f t="shared" ca="1" si="65"/>
        <v/>
      </c>
      <c r="S252" s="513"/>
      <c r="U252" t="str">
        <f t="shared" ca="1" si="81"/>
        <v/>
      </c>
      <c r="V252" s="31">
        <f t="shared" ca="1" si="82"/>
        <v>0</v>
      </c>
      <c r="X252" s="58" t="str">
        <f t="shared" ca="1" si="66"/>
        <v/>
      </c>
      <c r="Y252" s="61" t="str">
        <f t="shared" ca="1" si="67"/>
        <v/>
      </c>
      <c r="Z252" s="31" t="str">
        <f t="shared" ca="1" si="77"/>
        <v/>
      </c>
      <c r="AA252" s="31" t="e">
        <f t="shared" ca="1" si="83"/>
        <v>#VALUE!</v>
      </c>
      <c r="AB252" s="31" t="str">
        <f t="shared" ca="1" si="78"/>
        <v/>
      </c>
      <c r="AC252" t="str">
        <f t="shared" ca="1" si="68"/>
        <v/>
      </c>
      <c r="AD252" t="str">
        <f t="shared" ca="1" si="69"/>
        <v/>
      </c>
    </row>
    <row r="253" spans="1:30">
      <c r="A253" s="180" t="str">
        <f ca="1">'PRICE_IOF Ñ USAR'!A253</f>
        <v/>
      </c>
      <c r="B253" s="179" t="str">
        <f ca="1">'PRICE_IOF Ñ USAR'!B253</f>
        <v/>
      </c>
      <c r="C253" s="177" t="str">
        <f t="shared" ca="1" si="70"/>
        <v/>
      </c>
      <c r="D253" s="24" t="str">
        <f t="shared" ca="1" si="79"/>
        <v/>
      </c>
      <c r="E253" s="177" t="str">
        <f t="shared" ca="1" si="71"/>
        <v/>
      </c>
      <c r="F253" s="178" t="str">
        <f t="shared" ca="1" si="72"/>
        <v/>
      </c>
      <c r="G253" s="178" t="str">
        <f t="shared" ca="1" si="73"/>
        <v/>
      </c>
      <c r="H253" s="177" t="str">
        <f t="shared" ca="1" si="74"/>
        <v/>
      </c>
      <c r="I253" s="25">
        <f t="shared" ca="1" si="75"/>
        <v>0</v>
      </c>
      <c r="J253" s="9" t="str">
        <f ca="1">'PRICE_IOF Ñ USAR'!J253</f>
        <v/>
      </c>
      <c r="K253" s="9" t="str">
        <f ca="1">'PRICE_IOF Ñ USAR'!K253</f>
        <v/>
      </c>
      <c r="L253" s="9" t="str">
        <f ca="1">'PRICE_IOF Ñ USAR'!L253</f>
        <v/>
      </c>
      <c r="N253" s="176" t="str">
        <f t="shared" ca="1" si="76"/>
        <v/>
      </c>
      <c r="O253" s="176" t="str">
        <f t="shared" ca="1" si="80"/>
        <v/>
      </c>
      <c r="P253" s="175" t="str">
        <f t="shared" ca="1" si="63"/>
        <v/>
      </c>
      <c r="Q253" s="11" t="str">
        <f t="shared" ca="1" si="64"/>
        <v/>
      </c>
      <c r="R253" s="12" t="str">
        <f t="shared" ca="1" si="65"/>
        <v/>
      </c>
      <c r="S253" s="513"/>
      <c r="U253" t="str">
        <f t="shared" ca="1" si="81"/>
        <v/>
      </c>
      <c r="V253" s="31">
        <f t="shared" ca="1" si="82"/>
        <v>0</v>
      </c>
      <c r="X253" s="58" t="str">
        <f t="shared" ca="1" si="66"/>
        <v/>
      </c>
      <c r="Y253" s="61" t="str">
        <f t="shared" ca="1" si="67"/>
        <v/>
      </c>
      <c r="Z253" s="31" t="str">
        <f t="shared" ca="1" si="77"/>
        <v/>
      </c>
      <c r="AA253" s="31" t="e">
        <f t="shared" ca="1" si="83"/>
        <v>#VALUE!</v>
      </c>
      <c r="AB253" s="31" t="str">
        <f t="shared" ca="1" si="78"/>
        <v/>
      </c>
      <c r="AC253" t="str">
        <f t="shared" ca="1" si="68"/>
        <v/>
      </c>
      <c r="AD253" t="str">
        <f t="shared" ca="1" si="69"/>
        <v/>
      </c>
    </row>
    <row r="254" spans="1:30">
      <c r="A254" s="180" t="str">
        <f ca="1">'PRICE_IOF Ñ USAR'!A254</f>
        <v/>
      </c>
      <c r="B254" s="179" t="str">
        <f ca="1">'PRICE_IOF Ñ USAR'!B254</f>
        <v/>
      </c>
      <c r="C254" s="177" t="str">
        <f t="shared" ca="1" si="70"/>
        <v/>
      </c>
      <c r="D254" s="24" t="str">
        <f t="shared" ca="1" si="79"/>
        <v/>
      </c>
      <c r="E254" s="177" t="str">
        <f t="shared" ca="1" si="71"/>
        <v/>
      </c>
      <c r="F254" s="178" t="str">
        <f t="shared" ca="1" si="72"/>
        <v/>
      </c>
      <c r="G254" s="178" t="str">
        <f t="shared" ca="1" si="73"/>
        <v/>
      </c>
      <c r="H254" s="177" t="str">
        <f t="shared" ca="1" si="74"/>
        <v/>
      </c>
      <c r="I254" s="25">
        <f t="shared" ca="1" si="75"/>
        <v>0</v>
      </c>
      <c r="J254" s="9" t="str">
        <f ca="1">'PRICE_IOF Ñ USAR'!J254</f>
        <v/>
      </c>
      <c r="K254" s="9" t="str">
        <f ca="1">'PRICE_IOF Ñ USAR'!K254</f>
        <v/>
      </c>
      <c r="L254" s="9" t="str">
        <f ca="1">'PRICE_IOF Ñ USAR'!L254</f>
        <v/>
      </c>
      <c r="N254" s="176" t="str">
        <f t="shared" ca="1" si="76"/>
        <v/>
      </c>
      <c r="O254" s="176" t="str">
        <f t="shared" ca="1" si="80"/>
        <v/>
      </c>
      <c r="P254" s="175" t="str">
        <f t="shared" ca="1" si="63"/>
        <v/>
      </c>
      <c r="Q254" s="11" t="str">
        <f t="shared" ca="1" si="64"/>
        <v/>
      </c>
      <c r="R254" s="12" t="str">
        <f t="shared" ca="1" si="65"/>
        <v/>
      </c>
      <c r="S254" s="513"/>
      <c r="U254" t="str">
        <f t="shared" ca="1" si="81"/>
        <v/>
      </c>
      <c r="V254" s="31">
        <f t="shared" ca="1" si="82"/>
        <v>0</v>
      </c>
      <c r="X254" s="58" t="str">
        <f t="shared" ca="1" si="66"/>
        <v/>
      </c>
      <c r="Y254" s="61" t="str">
        <f t="shared" ca="1" si="67"/>
        <v/>
      </c>
      <c r="Z254" s="31" t="str">
        <f t="shared" ca="1" si="77"/>
        <v/>
      </c>
      <c r="AA254" s="31" t="e">
        <f t="shared" ca="1" si="83"/>
        <v>#VALUE!</v>
      </c>
      <c r="AB254" s="31" t="str">
        <f t="shared" ca="1" si="78"/>
        <v/>
      </c>
      <c r="AC254" t="str">
        <f t="shared" ca="1" si="68"/>
        <v/>
      </c>
      <c r="AD254" t="str">
        <f t="shared" ca="1" si="69"/>
        <v/>
      </c>
    </row>
    <row r="255" spans="1:30">
      <c r="A255" s="180" t="str">
        <f ca="1">'PRICE_IOF Ñ USAR'!A255</f>
        <v/>
      </c>
      <c r="B255" s="179" t="str">
        <f ca="1">'PRICE_IOF Ñ USAR'!B255</f>
        <v/>
      </c>
      <c r="C255" s="177" t="str">
        <f t="shared" ca="1" si="70"/>
        <v/>
      </c>
      <c r="D255" s="24" t="str">
        <f t="shared" ca="1" si="79"/>
        <v/>
      </c>
      <c r="E255" s="177" t="str">
        <f t="shared" ca="1" si="71"/>
        <v/>
      </c>
      <c r="F255" s="178" t="str">
        <f t="shared" ca="1" si="72"/>
        <v/>
      </c>
      <c r="G255" s="178" t="str">
        <f t="shared" ca="1" si="73"/>
        <v/>
      </c>
      <c r="H255" s="177" t="str">
        <f t="shared" ca="1" si="74"/>
        <v/>
      </c>
      <c r="I255" s="25">
        <f t="shared" ca="1" si="75"/>
        <v>0</v>
      </c>
      <c r="J255" s="9" t="str">
        <f ca="1">'PRICE_IOF Ñ USAR'!J255</f>
        <v/>
      </c>
      <c r="K255" s="9" t="str">
        <f ca="1">'PRICE_IOF Ñ USAR'!K255</f>
        <v/>
      </c>
      <c r="L255" s="9" t="str">
        <f ca="1">'PRICE_IOF Ñ USAR'!L255</f>
        <v/>
      </c>
      <c r="N255" s="176" t="str">
        <f t="shared" ca="1" si="76"/>
        <v/>
      </c>
      <c r="O255" s="176" t="str">
        <f t="shared" ca="1" si="80"/>
        <v/>
      </c>
      <c r="P255" s="175" t="str">
        <f t="shared" ca="1" si="63"/>
        <v/>
      </c>
      <c r="Q255" s="11" t="str">
        <f t="shared" ca="1" si="64"/>
        <v/>
      </c>
      <c r="R255" s="12" t="str">
        <f t="shared" ca="1" si="65"/>
        <v/>
      </c>
      <c r="S255" s="513"/>
      <c r="U255" t="str">
        <f t="shared" ca="1" si="81"/>
        <v/>
      </c>
      <c r="V255" s="31">
        <f t="shared" ca="1" si="82"/>
        <v>0</v>
      </c>
      <c r="X255" s="58" t="str">
        <f t="shared" ca="1" si="66"/>
        <v/>
      </c>
      <c r="Y255" s="61" t="str">
        <f t="shared" ca="1" si="67"/>
        <v/>
      </c>
      <c r="Z255" s="31" t="str">
        <f t="shared" ca="1" si="77"/>
        <v/>
      </c>
      <c r="AA255" s="31" t="e">
        <f t="shared" ca="1" si="83"/>
        <v>#VALUE!</v>
      </c>
      <c r="AB255" s="31" t="str">
        <f t="shared" ca="1" si="78"/>
        <v/>
      </c>
      <c r="AC255" t="str">
        <f t="shared" ca="1" si="68"/>
        <v/>
      </c>
      <c r="AD255" t="str">
        <f t="shared" ca="1" si="69"/>
        <v/>
      </c>
    </row>
    <row r="256" spans="1:30">
      <c r="A256" s="180" t="str">
        <f ca="1">'PRICE_IOF Ñ USAR'!A256</f>
        <v/>
      </c>
      <c r="B256" s="179" t="str">
        <f ca="1">'PRICE_IOF Ñ USAR'!B256</f>
        <v/>
      </c>
      <c r="C256" s="177" t="str">
        <f t="shared" ca="1" si="70"/>
        <v/>
      </c>
      <c r="D256" s="24" t="str">
        <f t="shared" ca="1" si="79"/>
        <v/>
      </c>
      <c r="E256" s="177" t="str">
        <f t="shared" ca="1" si="71"/>
        <v/>
      </c>
      <c r="F256" s="178" t="str">
        <f t="shared" ca="1" si="72"/>
        <v/>
      </c>
      <c r="G256" s="178" t="str">
        <f t="shared" ca="1" si="73"/>
        <v/>
      </c>
      <c r="H256" s="177" t="str">
        <f t="shared" ca="1" si="74"/>
        <v/>
      </c>
      <c r="I256" s="25">
        <f t="shared" ca="1" si="75"/>
        <v>0</v>
      </c>
      <c r="J256" s="9" t="str">
        <f ca="1">'PRICE_IOF Ñ USAR'!J256</f>
        <v/>
      </c>
      <c r="K256" s="9" t="str">
        <f ca="1">'PRICE_IOF Ñ USAR'!K256</f>
        <v/>
      </c>
      <c r="L256" s="9" t="str">
        <f ca="1">'PRICE_IOF Ñ USAR'!L256</f>
        <v/>
      </c>
      <c r="N256" s="176" t="str">
        <f t="shared" ca="1" si="76"/>
        <v/>
      </c>
      <c r="O256" s="176" t="str">
        <f t="shared" ca="1" si="80"/>
        <v/>
      </c>
      <c r="P256" s="175" t="str">
        <f t="shared" ca="1" si="63"/>
        <v/>
      </c>
      <c r="Q256" s="11" t="str">
        <f t="shared" ca="1" si="64"/>
        <v/>
      </c>
      <c r="R256" s="12" t="str">
        <f t="shared" ca="1" si="65"/>
        <v/>
      </c>
      <c r="S256" s="513"/>
      <c r="U256" t="str">
        <f t="shared" ca="1" si="81"/>
        <v/>
      </c>
      <c r="V256" s="31">
        <f t="shared" ca="1" si="82"/>
        <v>0</v>
      </c>
      <c r="X256" s="58" t="str">
        <f t="shared" ca="1" si="66"/>
        <v/>
      </c>
      <c r="Y256" s="61" t="str">
        <f t="shared" ca="1" si="67"/>
        <v/>
      </c>
      <c r="Z256" s="31" t="str">
        <f t="shared" ca="1" si="77"/>
        <v/>
      </c>
      <c r="AA256" s="31" t="e">
        <f t="shared" ca="1" si="83"/>
        <v>#VALUE!</v>
      </c>
      <c r="AB256" s="31" t="str">
        <f t="shared" ca="1" si="78"/>
        <v/>
      </c>
      <c r="AC256" t="str">
        <f t="shared" ca="1" si="68"/>
        <v/>
      </c>
      <c r="AD256" t="str">
        <f t="shared" ca="1" si="69"/>
        <v/>
      </c>
    </row>
    <row r="257" spans="1:30">
      <c r="A257" s="180" t="str">
        <f ca="1">'PRICE_IOF Ñ USAR'!A257</f>
        <v/>
      </c>
      <c r="B257" s="179" t="str">
        <f ca="1">'PRICE_IOF Ñ USAR'!B257</f>
        <v/>
      </c>
      <c r="C257" s="177" t="str">
        <f t="shared" ca="1" si="70"/>
        <v/>
      </c>
      <c r="D257" s="24" t="str">
        <f t="shared" ca="1" si="79"/>
        <v/>
      </c>
      <c r="E257" s="177" t="str">
        <f t="shared" ca="1" si="71"/>
        <v/>
      </c>
      <c r="F257" s="178" t="str">
        <f t="shared" ca="1" si="72"/>
        <v/>
      </c>
      <c r="G257" s="178" t="str">
        <f t="shared" ca="1" si="73"/>
        <v/>
      </c>
      <c r="H257" s="177" t="str">
        <f t="shared" ca="1" si="74"/>
        <v/>
      </c>
      <c r="I257" s="25">
        <f t="shared" ca="1" si="75"/>
        <v>0</v>
      </c>
      <c r="J257" s="9" t="str">
        <f ca="1">'PRICE_IOF Ñ USAR'!J257</f>
        <v/>
      </c>
      <c r="K257" s="9" t="str">
        <f ca="1">'PRICE_IOF Ñ USAR'!K257</f>
        <v/>
      </c>
      <c r="L257" s="9" t="str">
        <f ca="1">'PRICE_IOF Ñ USAR'!L257</f>
        <v/>
      </c>
      <c r="N257" s="176" t="str">
        <f t="shared" ca="1" si="76"/>
        <v/>
      </c>
      <c r="O257" s="176" t="str">
        <f t="shared" ca="1" si="80"/>
        <v/>
      </c>
      <c r="P257" s="175" t="str">
        <f t="shared" ca="1" si="63"/>
        <v/>
      </c>
      <c r="Q257" s="11" t="str">
        <f t="shared" ca="1" si="64"/>
        <v/>
      </c>
      <c r="R257" s="12" t="str">
        <f t="shared" ca="1" si="65"/>
        <v/>
      </c>
      <c r="S257" s="513"/>
      <c r="U257" t="str">
        <f t="shared" ca="1" si="81"/>
        <v/>
      </c>
      <c r="V257" s="31">
        <f t="shared" ca="1" si="82"/>
        <v>0</v>
      </c>
      <c r="X257" s="58" t="str">
        <f t="shared" ca="1" si="66"/>
        <v/>
      </c>
      <c r="Y257" s="61" t="str">
        <f t="shared" ca="1" si="67"/>
        <v/>
      </c>
      <c r="Z257" s="31" t="str">
        <f t="shared" ca="1" si="77"/>
        <v/>
      </c>
      <c r="AA257" s="31" t="e">
        <f t="shared" ca="1" si="83"/>
        <v>#VALUE!</v>
      </c>
      <c r="AB257" s="31" t="str">
        <f t="shared" ca="1" si="78"/>
        <v/>
      </c>
      <c r="AC257" t="str">
        <f t="shared" ca="1" si="68"/>
        <v/>
      </c>
      <c r="AD257" t="str">
        <f t="shared" ca="1" si="69"/>
        <v/>
      </c>
    </row>
    <row r="258" spans="1:30">
      <c r="A258" s="180" t="str">
        <f ca="1">'PRICE_IOF Ñ USAR'!A258</f>
        <v/>
      </c>
      <c r="B258" s="179" t="str">
        <f ca="1">'PRICE_IOF Ñ USAR'!B258</f>
        <v/>
      </c>
      <c r="C258" s="177" t="str">
        <f t="shared" ca="1" si="70"/>
        <v/>
      </c>
      <c r="D258" s="24" t="str">
        <f t="shared" ca="1" si="79"/>
        <v/>
      </c>
      <c r="E258" s="177" t="str">
        <f t="shared" ca="1" si="71"/>
        <v/>
      </c>
      <c r="F258" s="178" t="str">
        <f t="shared" ca="1" si="72"/>
        <v/>
      </c>
      <c r="G258" s="178" t="str">
        <f t="shared" ca="1" si="73"/>
        <v/>
      </c>
      <c r="H258" s="177" t="str">
        <f t="shared" ca="1" si="74"/>
        <v/>
      </c>
      <c r="I258" s="25">
        <f t="shared" ca="1" si="75"/>
        <v>0</v>
      </c>
      <c r="J258" s="9" t="str">
        <f ca="1">'PRICE_IOF Ñ USAR'!J258</f>
        <v/>
      </c>
      <c r="K258" s="9" t="str">
        <f ca="1">'PRICE_IOF Ñ USAR'!K258</f>
        <v/>
      </c>
      <c r="L258" s="9" t="str">
        <f ca="1">'PRICE_IOF Ñ USAR'!L258</f>
        <v/>
      </c>
      <c r="N258" s="176" t="str">
        <f t="shared" ca="1" si="76"/>
        <v/>
      </c>
      <c r="O258" s="176" t="str">
        <f t="shared" ca="1" si="80"/>
        <v/>
      </c>
      <c r="P258" s="175" t="str">
        <f t="shared" ca="1" si="63"/>
        <v/>
      </c>
      <c r="Q258" s="11" t="str">
        <f t="shared" ca="1" si="64"/>
        <v/>
      </c>
      <c r="R258" s="12" t="str">
        <f t="shared" ca="1" si="65"/>
        <v/>
      </c>
      <c r="S258" s="513"/>
      <c r="U258" t="str">
        <f t="shared" ca="1" si="81"/>
        <v/>
      </c>
      <c r="V258" s="31">
        <f t="shared" ca="1" si="82"/>
        <v>0</v>
      </c>
      <c r="X258" s="58" t="str">
        <f t="shared" ca="1" si="66"/>
        <v/>
      </c>
      <c r="Y258" s="61" t="str">
        <f t="shared" ca="1" si="67"/>
        <v/>
      </c>
      <c r="Z258" s="31" t="str">
        <f t="shared" ca="1" si="77"/>
        <v/>
      </c>
      <c r="AA258" s="31" t="e">
        <f t="shared" ca="1" si="83"/>
        <v>#VALUE!</v>
      </c>
      <c r="AB258" s="31" t="str">
        <f t="shared" ca="1" si="78"/>
        <v/>
      </c>
      <c r="AC258" t="str">
        <f t="shared" ca="1" si="68"/>
        <v/>
      </c>
      <c r="AD258" t="str">
        <f t="shared" ca="1" si="69"/>
        <v/>
      </c>
    </row>
    <row r="259" spans="1:30">
      <c r="A259" s="180" t="str">
        <f ca="1">'PRICE_IOF Ñ USAR'!A259</f>
        <v/>
      </c>
      <c r="B259" s="179" t="str">
        <f ca="1">'PRICE_IOF Ñ USAR'!B259</f>
        <v/>
      </c>
      <c r="C259" s="177" t="str">
        <f t="shared" ca="1" si="70"/>
        <v/>
      </c>
      <c r="D259" s="24" t="str">
        <f t="shared" ca="1" si="79"/>
        <v/>
      </c>
      <c r="E259" s="177" t="str">
        <f t="shared" ca="1" si="71"/>
        <v/>
      </c>
      <c r="F259" s="178" t="str">
        <f t="shared" ca="1" si="72"/>
        <v/>
      </c>
      <c r="G259" s="178" t="str">
        <f t="shared" ca="1" si="73"/>
        <v/>
      </c>
      <c r="H259" s="177" t="str">
        <f t="shared" ca="1" si="74"/>
        <v/>
      </c>
      <c r="I259" s="25">
        <f t="shared" ca="1" si="75"/>
        <v>0</v>
      </c>
      <c r="J259" s="9" t="str">
        <f ca="1">'PRICE_IOF Ñ USAR'!J259</f>
        <v/>
      </c>
      <c r="K259" s="9" t="str">
        <f ca="1">'PRICE_IOF Ñ USAR'!K259</f>
        <v/>
      </c>
      <c r="L259" s="9" t="str">
        <f ca="1">'PRICE_IOF Ñ USAR'!L259</f>
        <v/>
      </c>
      <c r="N259" s="176" t="str">
        <f t="shared" ca="1" si="76"/>
        <v/>
      </c>
      <c r="O259" s="176" t="str">
        <f t="shared" ca="1" si="80"/>
        <v/>
      </c>
      <c r="P259" s="175" t="str">
        <f t="shared" ca="1" si="63"/>
        <v/>
      </c>
      <c r="Q259" s="11" t="str">
        <f t="shared" ca="1" si="64"/>
        <v/>
      </c>
      <c r="R259" s="12" t="str">
        <f t="shared" ca="1" si="65"/>
        <v/>
      </c>
      <c r="S259" s="513"/>
      <c r="U259" t="str">
        <f t="shared" ca="1" si="81"/>
        <v/>
      </c>
      <c r="V259" s="31">
        <f t="shared" ca="1" si="82"/>
        <v>0</v>
      </c>
      <c r="X259" s="58" t="str">
        <f t="shared" ca="1" si="66"/>
        <v/>
      </c>
      <c r="Y259" s="61" t="str">
        <f t="shared" ca="1" si="67"/>
        <v/>
      </c>
      <c r="Z259" s="31" t="str">
        <f t="shared" ca="1" si="77"/>
        <v/>
      </c>
      <c r="AA259" s="31" t="e">
        <f t="shared" ca="1" si="83"/>
        <v>#VALUE!</v>
      </c>
      <c r="AB259" s="31" t="str">
        <f t="shared" ca="1" si="78"/>
        <v/>
      </c>
      <c r="AC259" t="str">
        <f t="shared" ca="1" si="68"/>
        <v/>
      </c>
      <c r="AD259" t="str">
        <f t="shared" ca="1" si="69"/>
        <v/>
      </c>
    </row>
    <row r="260" spans="1:30">
      <c r="A260" s="180" t="str">
        <f ca="1">'PRICE_IOF Ñ USAR'!A260</f>
        <v/>
      </c>
      <c r="B260" s="179" t="str">
        <f ca="1">'PRICE_IOF Ñ USAR'!B260</f>
        <v/>
      </c>
      <c r="C260" s="177" t="str">
        <f t="shared" ca="1" si="70"/>
        <v/>
      </c>
      <c r="D260" s="24" t="str">
        <f t="shared" ca="1" si="79"/>
        <v/>
      </c>
      <c r="E260" s="177" t="str">
        <f t="shared" ca="1" si="71"/>
        <v/>
      </c>
      <c r="F260" s="178" t="str">
        <f t="shared" ca="1" si="72"/>
        <v/>
      </c>
      <c r="G260" s="178" t="str">
        <f t="shared" ca="1" si="73"/>
        <v/>
      </c>
      <c r="H260" s="177" t="str">
        <f t="shared" ca="1" si="74"/>
        <v/>
      </c>
      <c r="I260" s="25">
        <f t="shared" ca="1" si="75"/>
        <v>0</v>
      </c>
      <c r="J260" s="9" t="str">
        <f ca="1">'PRICE_IOF Ñ USAR'!J260</f>
        <v/>
      </c>
      <c r="K260" s="9" t="str">
        <f ca="1">'PRICE_IOF Ñ USAR'!K260</f>
        <v/>
      </c>
      <c r="L260" s="9" t="str">
        <f ca="1">'PRICE_IOF Ñ USAR'!L260</f>
        <v/>
      </c>
      <c r="N260" s="176" t="str">
        <f t="shared" ca="1" si="76"/>
        <v/>
      </c>
      <c r="O260" s="176" t="str">
        <f t="shared" ca="1" si="80"/>
        <v/>
      </c>
      <c r="P260" s="175" t="str">
        <f t="shared" ca="1" si="63"/>
        <v/>
      </c>
      <c r="Q260" s="11" t="str">
        <f t="shared" ca="1" si="64"/>
        <v/>
      </c>
      <c r="R260" s="12" t="str">
        <f t="shared" ca="1" si="65"/>
        <v/>
      </c>
      <c r="S260" s="513"/>
      <c r="U260" t="str">
        <f t="shared" ca="1" si="81"/>
        <v/>
      </c>
      <c r="V260" s="31">
        <f t="shared" ca="1" si="82"/>
        <v>0</v>
      </c>
      <c r="X260" s="58" t="str">
        <f t="shared" ca="1" si="66"/>
        <v/>
      </c>
      <c r="Y260" s="61" t="str">
        <f t="shared" ca="1" si="67"/>
        <v/>
      </c>
      <c r="Z260" s="31" t="str">
        <f t="shared" ca="1" si="77"/>
        <v/>
      </c>
      <c r="AA260" s="31" t="e">
        <f t="shared" ca="1" si="83"/>
        <v>#VALUE!</v>
      </c>
      <c r="AB260" s="31" t="str">
        <f t="shared" ca="1" si="78"/>
        <v/>
      </c>
      <c r="AC260" t="str">
        <f t="shared" ca="1" si="68"/>
        <v/>
      </c>
      <c r="AD260" t="str">
        <f t="shared" ca="1" si="69"/>
        <v/>
      </c>
    </row>
    <row r="261" spans="1:30">
      <c r="A261" s="180" t="str">
        <f ca="1">'PRICE_IOF Ñ USAR'!A261</f>
        <v/>
      </c>
      <c r="B261" s="179" t="str">
        <f ca="1">'PRICE_IOF Ñ USAR'!B261</f>
        <v/>
      </c>
      <c r="C261" s="177" t="str">
        <f t="shared" ca="1" si="70"/>
        <v/>
      </c>
      <c r="D261" s="24" t="str">
        <f t="shared" ca="1" si="79"/>
        <v/>
      </c>
      <c r="E261" s="177" t="str">
        <f t="shared" ca="1" si="71"/>
        <v/>
      </c>
      <c r="F261" s="178" t="str">
        <f t="shared" ca="1" si="72"/>
        <v/>
      </c>
      <c r="G261" s="178" t="str">
        <f t="shared" ca="1" si="73"/>
        <v/>
      </c>
      <c r="H261" s="177" t="str">
        <f t="shared" ca="1" si="74"/>
        <v/>
      </c>
      <c r="I261" s="25">
        <f t="shared" ca="1" si="75"/>
        <v>0</v>
      </c>
      <c r="J261" s="9" t="str">
        <f ca="1">'PRICE_IOF Ñ USAR'!J261</f>
        <v/>
      </c>
      <c r="K261" s="9" t="str">
        <f ca="1">'PRICE_IOF Ñ USAR'!K261</f>
        <v/>
      </c>
      <c r="L261" s="9" t="str">
        <f ca="1">'PRICE_IOF Ñ USAR'!L261</f>
        <v/>
      </c>
      <c r="N261" s="176" t="str">
        <f t="shared" ca="1" si="76"/>
        <v/>
      </c>
      <c r="O261" s="176" t="str">
        <f t="shared" ca="1" si="80"/>
        <v/>
      </c>
      <c r="P261" s="175" t="str">
        <f t="shared" ca="1" si="63"/>
        <v/>
      </c>
      <c r="Q261" s="11" t="str">
        <f t="shared" ca="1" si="64"/>
        <v/>
      </c>
      <c r="R261" s="12" t="str">
        <f t="shared" ca="1" si="65"/>
        <v/>
      </c>
      <c r="S261" s="513"/>
      <c r="U261" t="str">
        <f t="shared" ca="1" si="81"/>
        <v/>
      </c>
      <c r="V261" s="31">
        <f t="shared" ca="1" si="82"/>
        <v>0</v>
      </c>
      <c r="X261" s="58" t="str">
        <f t="shared" ca="1" si="66"/>
        <v/>
      </c>
      <c r="Y261" s="61" t="str">
        <f t="shared" ca="1" si="67"/>
        <v/>
      </c>
      <c r="Z261" s="31" t="str">
        <f t="shared" ca="1" si="77"/>
        <v/>
      </c>
      <c r="AA261" s="31" t="e">
        <f t="shared" ca="1" si="83"/>
        <v>#VALUE!</v>
      </c>
      <c r="AB261" s="31" t="str">
        <f t="shared" ca="1" si="78"/>
        <v/>
      </c>
      <c r="AC261" t="str">
        <f t="shared" ca="1" si="68"/>
        <v/>
      </c>
      <c r="AD261" t="str">
        <f t="shared" ca="1" si="69"/>
        <v/>
      </c>
    </row>
    <row r="262" spans="1:30">
      <c r="A262" s="180" t="str">
        <f ca="1">'PRICE_IOF Ñ USAR'!A262</f>
        <v/>
      </c>
      <c r="B262" s="179" t="str">
        <f ca="1">'PRICE_IOF Ñ USAR'!B262</f>
        <v/>
      </c>
      <c r="C262" s="177" t="str">
        <f t="shared" ca="1" si="70"/>
        <v/>
      </c>
      <c r="D262" s="24" t="str">
        <f t="shared" ca="1" si="79"/>
        <v/>
      </c>
      <c r="E262" s="177" t="str">
        <f t="shared" ca="1" si="71"/>
        <v/>
      </c>
      <c r="F262" s="178" t="str">
        <f t="shared" ca="1" si="72"/>
        <v/>
      </c>
      <c r="G262" s="178" t="str">
        <f t="shared" ca="1" si="73"/>
        <v/>
      </c>
      <c r="H262" s="177" t="str">
        <f t="shared" ca="1" si="74"/>
        <v/>
      </c>
      <c r="I262" s="25">
        <f t="shared" ca="1" si="75"/>
        <v>0</v>
      </c>
      <c r="J262" s="9" t="str">
        <f ca="1">'PRICE_IOF Ñ USAR'!J262</f>
        <v/>
      </c>
      <c r="K262" s="9" t="str">
        <f ca="1">'PRICE_IOF Ñ USAR'!K262</f>
        <v/>
      </c>
      <c r="L262" s="9" t="str">
        <f ca="1">'PRICE_IOF Ñ USAR'!L262</f>
        <v/>
      </c>
      <c r="N262" s="176" t="str">
        <f t="shared" ca="1" si="76"/>
        <v/>
      </c>
      <c r="O262" s="176" t="str">
        <f t="shared" ca="1" si="80"/>
        <v/>
      </c>
      <c r="P262" s="175" t="str">
        <f t="shared" ca="1" si="63"/>
        <v/>
      </c>
      <c r="Q262" s="11" t="str">
        <f t="shared" ca="1" si="64"/>
        <v/>
      </c>
      <c r="R262" s="12" t="str">
        <f t="shared" ca="1" si="65"/>
        <v/>
      </c>
      <c r="S262" s="513"/>
      <c r="U262" t="str">
        <f t="shared" ca="1" si="81"/>
        <v/>
      </c>
      <c r="V262" s="31">
        <f t="shared" ca="1" si="82"/>
        <v>0</v>
      </c>
      <c r="X262" s="58" t="str">
        <f t="shared" ca="1" si="66"/>
        <v/>
      </c>
      <c r="Y262" s="61" t="str">
        <f t="shared" ca="1" si="67"/>
        <v/>
      </c>
      <c r="Z262" s="31" t="str">
        <f t="shared" ca="1" si="77"/>
        <v/>
      </c>
      <c r="AA262" s="31" t="e">
        <f t="shared" ca="1" si="83"/>
        <v>#VALUE!</v>
      </c>
      <c r="AB262" s="31" t="str">
        <f t="shared" ca="1" si="78"/>
        <v/>
      </c>
      <c r="AC262" t="str">
        <f t="shared" ca="1" si="68"/>
        <v/>
      </c>
      <c r="AD262" t="str">
        <f t="shared" ca="1" si="69"/>
        <v/>
      </c>
    </row>
    <row r="263" spans="1:30">
      <c r="A263" s="180" t="str">
        <f ca="1">'PRICE_IOF Ñ USAR'!A263</f>
        <v/>
      </c>
      <c r="B263" s="179" t="str">
        <f ca="1">'PRICE_IOF Ñ USAR'!B263</f>
        <v/>
      </c>
      <c r="C263" s="177" t="str">
        <f t="shared" ca="1" si="70"/>
        <v/>
      </c>
      <c r="D263" s="24" t="str">
        <f t="shared" ca="1" si="79"/>
        <v/>
      </c>
      <c r="E263" s="177" t="str">
        <f t="shared" ca="1" si="71"/>
        <v/>
      </c>
      <c r="F263" s="178" t="str">
        <f t="shared" ca="1" si="72"/>
        <v/>
      </c>
      <c r="G263" s="178" t="str">
        <f t="shared" ca="1" si="73"/>
        <v/>
      </c>
      <c r="H263" s="177" t="str">
        <f t="shared" ca="1" si="74"/>
        <v/>
      </c>
      <c r="I263" s="25">
        <f t="shared" ca="1" si="75"/>
        <v>0</v>
      </c>
      <c r="J263" s="9" t="str">
        <f ca="1">'PRICE_IOF Ñ USAR'!J263</f>
        <v/>
      </c>
      <c r="K263" s="9" t="str">
        <f ca="1">'PRICE_IOF Ñ USAR'!K263</f>
        <v/>
      </c>
      <c r="L263" s="9" t="str">
        <f ca="1">'PRICE_IOF Ñ USAR'!L263</f>
        <v/>
      </c>
      <c r="N263" s="176" t="str">
        <f t="shared" ca="1" si="76"/>
        <v/>
      </c>
      <c r="O263" s="176" t="str">
        <f t="shared" ca="1" si="80"/>
        <v/>
      </c>
      <c r="P263" s="175" t="str">
        <f t="shared" ca="1" si="63"/>
        <v/>
      </c>
      <c r="Q263" s="11" t="str">
        <f t="shared" ca="1" si="64"/>
        <v/>
      </c>
      <c r="R263" s="12" t="str">
        <f t="shared" ca="1" si="65"/>
        <v/>
      </c>
      <c r="S263" s="513"/>
      <c r="U263" t="str">
        <f t="shared" ca="1" si="81"/>
        <v/>
      </c>
      <c r="V263" s="31">
        <f t="shared" ca="1" si="82"/>
        <v>0</v>
      </c>
      <c r="X263" s="58" t="str">
        <f t="shared" ca="1" si="66"/>
        <v/>
      </c>
      <c r="Y263" s="61" t="str">
        <f t="shared" ca="1" si="67"/>
        <v/>
      </c>
      <c r="Z263" s="31" t="str">
        <f t="shared" ca="1" si="77"/>
        <v/>
      </c>
      <c r="AA263" s="31" t="e">
        <f t="shared" ca="1" si="83"/>
        <v>#VALUE!</v>
      </c>
      <c r="AB263" s="31" t="str">
        <f t="shared" ca="1" si="78"/>
        <v/>
      </c>
      <c r="AC263" t="str">
        <f t="shared" ca="1" si="68"/>
        <v/>
      </c>
      <c r="AD263" t="str">
        <f t="shared" ca="1" si="69"/>
        <v/>
      </c>
    </row>
    <row r="264" spans="1:30">
      <c r="A264" s="180" t="str">
        <f ca="1">'PRICE_IOF Ñ USAR'!A264</f>
        <v/>
      </c>
      <c r="B264" s="179" t="str">
        <f ca="1">'PRICE_IOF Ñ USAR'!B264</f>
        <v/>
      </c>
      <c r="C264" s="177" t="str">
        <f t="shared" ca="1" si="70"/>
        <v/>
      </c>
      <c r="D264" s="24" t="str">
        <f t="shared" ca="1" si="79"/>
        <v/>
      </c>
      <c r="E264" s="177" t="str">
        <f t="shared" ca="1" si="71"/>
        <v/>
      </c>
      <c r="F264" s="178" t="str">
        <f t="shared" ca="1" si="72"/>
        <v/>
      </c>
      <c r="G264" s="178" t="str">
        <f t="shared" ca="1" si="73"/>
        <v/>
      </c>
      <c r="H264" s="177" t="str">
        <f t="shared" ca="1" si="74"/>
        <v/>
      </c>
      <c r="I264" s="25">
        <f t="shared" ca="1" si="75"/>
        <v>0</v>
      </c>
      <c r="J264" s="9" t="str">
        <f ca="1">'PRICE_IOF Ñ USAR'!J264</f>
        <v/>
      </c>
      <c r="K264" s="9" t="str">
        <f ca="1">'PRICE_IOF Ñ USAR'!K264</f>
        <v/>
      </c>
      <c r="L264" s="9" t="str">
        <f ca="1">'PRICE_IOF Ñ USAR'!L264</f>
        <v/>
      </c>
      <c r="N264" s="176" t="str">
        <f t="shared" ca="1" si="76"/>
        <v/>
      </c>
      <c r="O264" s="176" t="str">
        <f t="shared" ca="1" si="80"/>
        <v/>
      </c>
      <c r="P264" s="175" t="str">
        <f t="shared" ca="1" si="63"/>
        <v/>
      </c>
      <c r="Q264" s="11" t="str">
        <f t="shared" ca="1" si="64"/>
        <v/>
      </c>
      <c r="R264" s="12" t="str">
        <f t="shared" ca="1" si="65"/>
        <v/>
      </c>
      <c r="S264" s="513"/>
      <c r="U264" t="str">
        <f t="shared" ca="1" si="81"/>
        <v/>
      </c>
      <c r="V264" s="31">
        <f t="shared" ca="1" si="82"/>
        <v>0</v>
      </c>
      <c r="X264" s="58" t="str">
        <f t="shared" ca="1" si="66"/>
        <v/>
      </c>
      <c r="Y264" s="61" t="str">
        <f t="shared" ca="1" si="67"/>
        <v/>
      </c>
      <c r="Z264" s="31" t="str">
        <f t="shared" ca="1" si="77"/>
        <v/>
      </c>
      <c r="AA264" s="31" t="e">
        <f t="shared" ca="1" si="83"/>
        <v>#VALUE!</v>
      </c>
      <c r="AB264" s="31" t="str">
        <f t="shared" ca="1" si="78"/>
        <v/>
      </c>
      <c r="AC264" t="str">
        <f t="shared" ca="1" si="68"/>
        <v/>
      </c>
      <c r="AD264" t="str">
        <f t="shared" ca="1" si="69"/>
        <v/>
      </c>
    </row>
    <row r="265" spans="1:30">
      <c r="A265" s="180" t="str">
        <f ca="1">'PRICE_IOF Ñ USAR'!A265</f>
        <v/>
      </c>
      <c r="B265" s="179" t="str">
        <f ca="1">'PRICE_IOF Ñ USAR'!B265</f>
        <v/>
      </c>
      <c r="C265" s="177" t="str">
        <f t="shared" ca="1" si="70"/>
        <v/>
      </c>
      <c r="D265" s="24" t="str">
        <f t="shared" ca="1" si="79"/>
        <v/>
      </c>
      <c r="E265" s="177" t="str">
        <f t="shared" ca="1" si="71"/>
        <v/>
      </c>
      <c r="F265" s="178" t="str">
        <f t="shared" ca="1" si="72"/>
        <v/>
      </c>
      <c r="G265" s="178" t="str">
        <f t="shared" ca="1" si="73"/>
        <v/>
      </c>
      <c r="H265" s="177" t="str">
        <f t="shared" ca="1" si="74"/>
        <v/>
      </c>
      <c r="I265" s="25">
        <f t="shared" ca="1" si="75"/>
        <v>0</v>
      </c>
      <c r="J265" s="9" t="str">
        <f ca="1">'PRICE_IOF Ñ USAR'!J265</f>
        <v/>
      </c>
      <c r="K265" s="9" t="str">
        <f ca="1">'PRICE_IOF Ñ USAR'!K265</f>
        <v/>
      </c>
      <c r="L265" s="9" t="str">
        <f ca="1">'PRICE_IOF Ñ USAR'!L265</f>
        <v/>
      </c>
      <c r="N265" s="176" t="str">
        <f t="shared" ca="1" si="76"/>
        <v/>
      </c>
      <c r="O265" s="176" t="str">
        <f t="shared" ca="1" si="80"/>
        <v/>
      </c>
      <c r="P265" s="175" t="str">
        <f t="shared" ca="1" si="63"/>
        <v/>
      </c>
      <c r="Q265" s="11" t="str">
        <f t="shared" ca="1" si="64"/>
        <v/>
      </c>
      <c r="R265" s="12" t="str">
        <f t="shared" ca="1" si="65"/>
        <v/>
      </c>
      <c r="S265" s="513"/>
      <c r="U265" t="str">
        <f t="shared" ca="1" si="81"/>
        <v/>
      </c>
      <c r="V265" s="31">
        <f t="shared" ca="1" si="82"/>
        <v>0</v>
      </c>
      <c r="X265" s="58" t="str">
        <f t="shared" ca="1" si="66"/>
        <v/>
      </c>
      <c r="Y265" s="61" t="str">
        <f t="shared" ca="1" si="67"/>
        <v/>
      </c>
      <c r="Z265" s="31" t="str">
        <f t="shared" ca="1" si="77"/>
        <v/>
      </c>
      <c r="AA265" s="31" t="e">
        <f t="shared" ca="1" si="83"/>
        <v>#VALUE!</v>
      </c>
      <c r="AB265" s="31" t="str">
        <f t="shared" ca="1" si="78"/>
        <v/>
      </c>
      <c r="AC265" t="str">
        <f t="shared" ca="1" si="68"/>
        <v/>
      </c>
      <c r="AD265" t="str">
        <f t="shared" ca="1" si="69"/>
        <v/>
      </c>
    </row>
    <row r="266" spans="1:30">
      <c r="A266" s="180" t="str">
        <f ca="1">'PRICE_IOF Ñ USAR'!A266</f>
        <v/>
      </c>
      <c r="B266" s="179" t="str">
        <f ca="1">'PRICE_IOF Ñ USAR'!B266</f>
        <v/>
      </c>
      <c r="C266" s="177" t="str">
        <f t="shared" ca="1" si="70"/>
        <v/>
      </c>
      <c r="D266" s="24" t="str">
        <f t="shared" ca="1" si="79"/>
        <v/>
      </c>
      <c r="E266" s="177" t="str">
        <f t="shared" ca="1" si="71"/>
        <v/>
      </c>
      <c r="F266" s="178" t="str">
        <f t="shared" ca="1" si="72"/>
        <v/>
      </c>
      <c r="G266" s="178" t="str">
        <f t="shared" ca="1" si="73"/>
        <v/>
      </c>
      <c r="H266" s="177" t="str">
        <f t="shared" ca="1" si="74"/>
        <v/>
      </c>
      <c r="I266" s="25">
        <f t="shared" ca="1" si="75"/>
        <v>0</v>
      </c>
      <c r="J266" s="9" t="str">
        <f ca="1">'PRICE_IOF Ñ USAR'!J266</f>
        <v/>
      </c>
      <c r="K266" s="9" t="str">
        <f ca="1">'PRICE_IOF Ñ USAR'!K266</f>
        <v/>
      </c>
      <c r="L266" s="9" t="str">
        <f ca="1">'PRICE_IOF Ñ USAR'!L266</f>
        <v/>
      </c>
      <c r="N266" s="176" t="str">
        <f t="shared" ca="1" si="76"/>
        <v/>
      </c>
      <c r="O266" s="176" t="str">
        <f t="shared" ca="1" si="80"/>
        <v/>
      </c>
      <c r="P266" s="175" t="str">
        <f t="shared" ca="1" si="63"/>
        <v/>
      </c>
      <c r="Q266" s="11" t="str">
        <f t="shared" ca="1" si="64"/>
        <v/>
      </c>
      <c r="R266" s="12" t="str">
        <f t="shared" ca="1" si="65"/>
        <v/>
      </c>
      <c r="S266" s="513"/>
      <c r="U266" t="str">
        <f t="shared" ca="1" si="81"/>
        <v/>
      </c>
      <c r="V266" s="31">
        <f t="shared" ca="1" si="82"/>
        <v>0</v>
      </c>
      <c r="X266" s="58" t="str">
        <f t="shared" ca="1" si="66"/>
        <v/>
      </c>
      <c r="Y266" s="61" t="str">
        <f t="shared" ca="1" si="67"/>
        <v/>
      </c>
      <c r="Z266" s="31" t="str">
        <f t="shared" ca="1" si="77"/>
        <v/>
      </c>
      <c r="AA266" s="31" t="e">
        <f t="shared" ca="1" si="83"/>
        <v>#VALUE!</v>
      </c>
      <c r="AB266" s="31" t="str">
        <f t="shared" ca="1" si="78"/>
        <v/>
      </c>
      <c r="AC266" t="str">
        <f t="shared" ca="1" si="68"/>
        <v/>
      </c>
      <c r="AD266" t="str">
        <f t="shared" ca="1" si="69"/>
        <v/>
      </c>
    </row>
    <row r="267" spans="1:30">
      <c r="A267" s="180" t="str">
        <f ca="1">'PRICE_IOF Ñ USAR'!A267</f>
        <v/>
      </c>
      <c r="B267" s="179" t="str">
        <f ca="1">'PRICE_IOF Ñ USAR'!B267</f>
        <v/>
      </c>
      <c r="C267" s="177" t="str">
        <f t="shared" ca="1" si="70"/>
        <v/>
      </c>
      <c r="D267" s="24" t="str">
        <f t="shared" ca="1" si="79"/>
        <v/>
      </c>
      <c r="E267" s="177" t="str">
        <f t="shared" ca="1" si="71"/>
        <v/>
      </c>
      <c r="F267" s="178" t="str">
        <f t="shared" ca="1" si="72"/>
        <v/>
      </c>
      <c r="G267" s="178" t="str">
        <f t="shared" ca="1" si="73"/>
        <v/>
      </c>
      <c r="H267" s="177" t="str">
        <f t="shared" ca="1" si="74"/>
        <v/>
      </c>
      <c r="I267" s="25">
        <f t="shared" ca="1" si="75"/>
        <v>0</v>
      </c>
      <c r="J267" s="9" t="str">
        <f ca="1">'PRICE_IOF Ñ USAR'!J267</f>
        <v/>
      </c>
      <c r="K267" s="9" t="str">
        <f ca="1">'PRICE_IOF Ñ USAR'!K267</f>
        <v/>
      </c>
      <c r="L267" s="9" t="str">
        <f ca="1">'PRICE_IOF Ñ USAR'!L267</f>
        <v/>
      </c>
      <c r="N267" s="176" t="str">
        <f t="shared" ca="1" si="76"/>
        <v/>
      </c>
      <c r="O267" s="176" t="str">
        <f t="shared" ca="1" si="80"/>
        <v/>
      </c>
      <c r="P267" s="175" t="str">
        <f t="shared" ca="1" si="63"/>
        <v/>
      </c>
      <c r="Q267" s="11" t="str">
        <f t="shared" ca="1" si="64"/>
        <v/>
      </c>
      <c r="R267" s="12" t="str">
        <f t="shared" ca="1" si="65"/>
        <v/>
      </c>
      <c r="S267" s="513"/>
      <c r="U267" t="str">
        <f t="shared" ca="1" si="81"/>
        <v/>
      </c>
      <c r="V267" s="31">
        <f t="shared" ca="1" si="82"/>
        <v>0</v>
      </c>
      <c r="X267" s="58" t="str">
        <f t="shared" ca="1" si="66"/>
        <v/>
      </c>
      <c r="Y267" s="61" t="str">
        <f t="shared" ca="1" si="67"/>
        <v/>
      </c>
      <c r="Z267" s="31" t="str">
        <f t="shared" ca="1" si="77"/>
        <v/>
      </c>
      <c r="AA267" s="31" t="e">
        <f t="shared" ca="1" si="83"/>
        <v>#VALUE!</v>
      </c>
      <c r="AB267" s="31" t="str">
        <f t="shared" ca="1" si="78"/>
        <v/>
      </c>
      <c r="AC267" t="str">
        <f t="shared" ca="1" si="68"/>
        <v/>
      </c>
      <c r="AD267" t="str">
        <f t="shared" ca="1" si="69"/>
        <v/>
      </c>
    </row>
    <row r="268" spans="1:30">
      <c r="A268" s="180" t="str">
        <f ca="1">'PRICE_IOF Ñ USAR'!A268</f>
        <v/>
      </c>
      <c r="B268" s="179" t="str">
        <f ca="1">'PRICE_IOF Ñ USAR'!B268</f>
        <v/>
      </c>
      <c r="C268" s="177" t="str">
        <f t="shared" ca="1" si="70"/>
        <v/>
      </c>
      <c r="D268" s="24" t="str">
        <f t="shared" ca="1" si="79"/>
        <v/>
      </c>
      <c r="E268" s="177" t="str">
        <f t="shared" ca="1" si="71"/>
        <v/>
      </c>
      <c r="F268" s="178" t="str">
        <f t="shared" ca="1" si="72"/>
        <v/>
      </c>
      <c r="G268" s="178" t="str">
        <f t="shared" ca="1" si="73"/>
        <v/>
      </c>
      <c r="H268" s="177" t="str">
        <f t="shared" ca="1" si="74"/>
        <v/>
      </c>
      <c r="I268" s="25">
        <f t="shared" ca="1" si="75"/>
        <v>0</v>
      </c>
      <c r="J268" s="9" t="str">
        <f ca="1">'PRICE_IOF Ñ USAR'!J268</f>
        <v/>
      </c>
      <c r="K268" s="9" t="str">
        <f ca="1">'PRICE_IOF Ñ USAR'!K268</f>
        <v/>
      </c>
      <c r="L268" s="9" t="str">
        <f ca="1">'PRICE_IOF Ñ USAR'!L268</f>
        <v/>
      </c>
      <c r="N268" s="176" t="str">
        <f t="shared" ca="1" si="76"/>
        <v/>
      </c>
      <c r="O268" s="176" t="str">
        <f t="shared" ca="1" si="80"/>
        <v/>
      </c>
      <c r="P268" s="175" t="str">
        <f t="shared" ca="1" si="63"/>
        <v/>
      </c>
      <c r="Q268" s="11" t="str">
        <f t="shared" ca="1" si="64"/>
        <v/>
      </c>
      <c r="R268" s="12" t="str">
        <f t="shared" ca="1" si="65"/>
        <v/>
      </c>
      <c r="S268" s="513"/>
      <c r="U268" t="str">
        <f t="shared" ca="1" si="81"/>
        <v/>
      </c>
      <c r="V268" s="31">
        <f t="shared" ca="1" si="82"/>
        <v>0</v>
      </c>
      <c r="X268" s="58" t="str">
        <f t="shared" ca="1" si="66"/>
        <v/>
      </c>
      <c r="Y268" s="61" t="str">
        <f t="shared" ca="1" si="67"/>
        <v/>
      </c>
      <c r="Z268" s="31" t="str">
        <f t="shared" ca="1" si="77"/>
        <v/>
      </c>
      <c r="AA268" s="31" t="e">
        <f t="shared" ca="1" si="83"/>
        <v>#VALUE!</v>
      </c>
      <c r="AB268" s="31" t="str">
        <f t="shared" ca="1" si="78"/>
        <v/>
      </c>
      <c r="AC268" t="str">
        <f t="shared" ca="1" si="68"/>
        <v/>
      </c>
      <c r="AD268" t="str">
        <f t="shared" ca="1" si="69"/>
        <v/>
      </c>
    </row>
    <row r="269" spans="1:30">
      <c r="A269" s="180" t="str">
        <f ca="1">'PRICE_IOF Ñ USAR'!A269</f>
        <v/>
      </c>
      <c r="B269" s="179" t="str">
        <f ca="1">'PRICE_IOF Ñ USAR'!B269</f>
        <v/>
      </c>
      <c r="C269" s="177" t="str">
        <f t="shared" ca="1" si="70"/>
        <v/>
      </c>
      <c r="D269" s="24" t="str">
        <f t="shared" ca="1" si="79"/>
        <v/>
      </c>
      <c r="E269" s="177" t="str">
        <f t="shared" ca="1" si="71"/>
        <v/>
      </c>
      <c r="F269" s="178" t="str">
        <f t="shared" ca="1" si="72"/>
        <v/>
      </c>
      <c r="G269" s="178" t="str">
        <f t="shared" ca="1" si="73"/>
        <v/>
      </c>
      <c r="H269" s="177" t="str">
        <f t="shared" ca="1" si="74"/>
        <v/>
      </c>
      <c r="I269" s="25">
        <f t="shared" ca="1" si="75"/>
        <v>0</v>
      </c>
      <c r="J269" s="9" t="str">
        <f ca="1">'PRICE_IOF Ñ USAR'!J269</f>
        <v/>
      </c>
      <c r="K269" s="9" t="str">
        <f ca="1">'PRICE_IOF Ñ USAR'!K269</f>
        <v/>
      </c>
      <c r="L269" s="9" t="str">
        <f ca="1">'PRICE_IOF Ñ USAR'!L269</f>
        <v/>
      </c>
      <c r="N269" s="176" t="str">
        <f t="shared" ca="1" si="76"/>
        <v/>
      </c>
      <c r="O269" s="176" t="str">
        <f t="shared" ca="1" si="80"/>
        <v/>
      </c>
      <c r="P269" s="175" t="str">
        <f t="shared" ca="1" si="63"/>
        <v/>
      </c>
      <c r="Q269" s="11" t="str">
        <f t="shared" ca="1" si="64"/>
        <v/>
      </c>
      <c r="R269" s="12" t="str">
        <f t="shared" ca="1" si="65"/>
        <v/>
      </c>
      <c r="S269" s="513"/>
      <c r="U269" t="str">
        <f t="shared" ca="1" si="81"/>
        <v/>
      </c>
      <c r="V269" s="31">
        <f t="shared" ca="1" si="82"/>
        <v>0</v>
      </c>
      <c r="X269" s="58" t="str">
        <f t="shared" ca="1" si="66"/>
        <v/>
      </c>
      <c r="Y269" s="61" t="str">
        <f t="shared" ca="1" si="67"/>
        <v/>
      </c>
      <c r="Z269" s="31" t="str">
        <f t="shared" ca="1" si="77"/>
        <v/>
      </c>
      <c r="AA269" s="31" t="e">
        <f t="shared" ca="1" si="83"/>
        <v>#VALUE!</v>
      </c>
      <c r="AB269" s="31" t="str">
        <f t="shared" ca="1" si="78"/>
        <v/>
      </c>
      <c r="AC269" t="str">
        <f t="shared" ca="1" si="68"/>
        <v/>
      </c>
      <c r="AD269" t="str">
        <f t="shared" ca="1" si="69"/>
        <v/>
      </c>
    </row>
    <row r="270" spans="1:30">
      <c r="A270" s="180" t="str">
        <f ca="1">'PRICE_IOF Ñ USAR'!A270</f>
        <v/>
      </c>
      <c r="B270" s="179" t="str">
        <f ca="1">'PRICE_IOF Ñ USAR'!B270</f>
        <v/>
      </c>
      <c r="C270" s="177" t="str">
        <f t="shared" ca="1" si="70"/>
        <v/>
      </c>
      <c r="D270" s="24" t="str">
        <f t="shared" ca="1" si="79"/>
        <v/>
      </c>
      <c r="E270" s="177" t="str">
        <f t="shared" ca="1" si="71"/>
        <v/>
      </c>
      <c r="F270" s="178" t="str">
        <f t="shared" ca="1" si="72"/>
        <v/>
      </c>
      <c r="G270" s="178" t="str">
        <f t="shared" ca="1" si="73"/>
        <v/>
      </c>
      <c r="H270" s="177" t="str">
        <f t="shared" ca="1" si="74"/>
        <v/>
      </c>
      <c r="I270" s="25">
        <f t="shared" ca="1" si="75"/>
        <v>0</v>
      </c>
      <c r="J270" s="9" t="str">
        <f ca="1">'PRICE_IOF Ñ USAR'!J270</f>
        <v/>
      </c>
      <c r="K270" s="9" t="str">
        <f ca="1">'PRICE_IOF Ñ USAR'!K270</f>
        <v/>
      </c>
      <c r="L270" s="9" t="str">
        <f ca="1">'PRICE_IOF Ñ USAR'!L270</f>
        <v/>
      </c>
      <c r="N270" s="176" t="str">
        <f t="shared" ca="1" si="76"/>
        <v/>
      </c>
      <c r="O270" s="176" t="str">
        <f t="shared" ca="1" si="80"/>
        <v/>
      </c>
      <c r="P270" s="175" t="str">
        <f t="shared" ca="1" si="63"/>
        <v/>
      </c>
      <c r="Q270" s="11" t="str">
        <f t="shared" ca="1" si="64"/>
        <v/>
      </c>
      <c r="R270" s="12" t="str">
        <f t="shared" ca="1" si="65"/>
        <v/>
      </c>
      <c r="S270" s="513"/>
      <c r="U270" t="str">
        <f t="shared" ca="1" si="81"/>
        <v/>
      </c>
      <c r="V270" s="31">
        <f t="shared" ca="1" si="82"/>
        <v>0</v>
      </c>
      <c r="X270" s="58" t="str">
        <f t="shared" ca="1" si="66"/>
        <v/>
      </c>
      <c r="Y270" s="61" t="str">
        <f t="shared" ca="1" si="67"/>
        <v/>
      </c>
      <c r="Z270" s="31" t="str">
        <f t="shared" ca="1" si="77"/>
        <v/>
      </c>
      <c r="AA270" s="31" t="e">
        <f t="shared" ca="1" si="83"/>
        <v>#VALUE!</v>
      </c>
      <c r="AB270" s="31" t="str">
        <f t="shared" ca="1" si="78"/>
        <v/>
      </c>
      <c r="AC270" t="str">
        <f t="shared" ca="1" si="68"/>
        <v/>
      </c>
      <c r="AD270" t="str">
        <f t="shared" ca="1" si="69"/>
        <v/>
      </c>
    </row>
    <row r="271" spans="1:30">
      <c r="A271" s="180" t="str">
        <f ca="1">'PRICE_IOF Ñ USAR'!A271</f>
        <v/>
      </c>
      <c r="B271" s="179" t="str">
        <f ca="1">'PRICE_IOF Ñ USAR'!B271</f>
        <v/>
      </c>
      <c r="C271" s="177" t="str">
        <f t="shared" ca="1" si="70"/>
        <v/>
      </c>
      <c r="D271" s="24" t="str">
        <f t="shared" ca="1" si="79"/>
        <v/>
      </c>
      <c r="E271" s="177" t="str">
        <f t="shared" ca="1" si="71"/>
        <v/>
      </c>
      <c r="F271" s="178" t="str">
        <f t="shared" ca="1" si="72"/>
        <v/>
      </c>
      <c r="G271" s="178" t="str">
        <f t="shared" ca="1" si="73"/>
        <v/>
      </c>
      <c r="H271" s="177" t="str">
        <f t="shared" ca="1" si="74"/>
        <v/>
      </c>
      <c r="I271" s="25">
        <f t="shared" ca="1" si="75"/>
        <v>0</v>
      </c>
      <c r="J271" s="9" t="str">
        <f ca="1">'PRICE_IOF Ñ USAR'!J271</f>
        <v/>
      </c>
      <c r="K271" s="9" t="str">
        <f ca="1">'PRICE_IOF Ñ USAR'!K271</f>
        <v/>
      </c>
      <c r="L271" s="9" t="str">
        <f ca="1">'PRICE_IOF Ñ USAR'!L271</f>
        <v/>
      </c>
      <c r="N271" s="176" t="str">
        <f t="shared" ca="1" si="76"/>
        <v/>
      </c>
      <c r="O271" s="176" t="str">
        <f t="shared" ca="1" si="80"/>
        <v/>
      </c>
      <c r="P271" s="175" t="str">
        <f t="shared" ca="1" si="63"/>
        <v/>
      </c>
      <c r="Q271" s="11" t="str">
        <f t="shared" ca="1" si="64"/>
        <v/>
      </c>
      <c r="R271" s="12" t="str">
        <f t="shared" ca="1" si="65"/>
        <v/>
      </c>
      <c r="S271" s="513"/>
      <c r="U271" t="str">
        <f t="shared" ca="1" si="81"/>
        <v/>
      </c>
      <c r="V271" s="31">
        <f t="shared" ca="1" si="82"/>
        <v>0</v>
      </c>
      <c r="X271" s="58" t="str">
        <f t="shared" ca="1" si="66"/>
        <v/>
      </c>
      <c r="Y271" s="61" t="str">
        <f t="shared" ca="1" si="67"/>
        <v/>
      </c>
      <c r="Z271" s="31" t="str">
        <f t="shared" ca="1" si="77"/>
        <v/>
      </c>
      <c r="AA271" s="31" t="e">
        <f t="shared" ca="1" si="83"/>
        <v>#VALUE!</v>
      </c>
      <c r="AB271" s="31" t="str">
        <f t="shared" ca="1" si="78"/>
        <v/>
      </c>
      <c r="AC271" t="str">
        <f t="shared" ca="1" si="68"/>
        <v/>
      </c>
      <c r="AD271" t="str">
        <f t="shared" ca="1" si="69"/>
        <v/>
      </c>
    </row>
    <row r="272" spans="1:30">
      <c r="A272" s="180" t="str">
        <f ca="1">'PRICE_IOF Ñ USAR'!A272</f>
        <v/>
      </c>
      <c r="B272" s="179" t="str">
        <f ca="1">'PRICE_IOF Ñ USAR'!B272</f>
        <v/>
      </c>
      <c r="C272" s="177" t="str">
        <f t="shared" ca="1" si="70"/>
        <v/>
      </c>
      <c r="D272" s="24" t="str">
        <f t="shared" ca="1" si="79"/>
        <v/>
      </c>
      <c r="E272" s="177" t="str">
        <f t="shared" ca="1" si="71"/>
        <v/>
      </c>
      <c r="F272" s="178" t="str">
        <f t="shared" ca="1" si="72"/>
        <v/>
      </c>
      <c r="G272" s="178" t="str">
        <f t="shared" ca="1" si="73"/>
        <v/>
      </c>
      <c r="H272" s="177" t="str">
        <f t="shared" ca="1" si="74"/>
        <v/>
      </c>
      <c r="I272" s="25">
        <f t="shared" ca="1" si="75"/>
        <v>0</v>
      </c>
      <c r="J272" s="9" t="str">
        <f ca="1">'PRICE_IOF Ñ USAR'!J272</f>
        <v/>
      </c>
      <c r="K272" s="9" t="str">
        <f ca="1">'PRICE_IOF Ñ USAR'!K272</f>
        <v/>
      </c>
      <c r="L272" s="9" t="str">
        <f ca="1">'PRICE_IOF Ñ USAR'!L272</f>
        <v/>
      </c>
      <c r="N272" s="176" t="str">
        <f t="shared" ca="1" si="76"/>
        <v/>
      </c>
      <c r="O272" s="176" t="str">
        <f t="shared" ca="1" si="80"/>
        <v/>
      </c>
      <c r="P272" s="175" t="str">
        <f t="shared" ca="1" si="63"/>
        <v/>
      </c>
      <c r="Q272" s="11" t="str">
        <f t="shared" ca="1" si="64"/>
        <v/>
      </c>
      <c r="R272" s="12" t="str">
        <f t="shared" ca="1" si="65"/>
        <v/>
      </c>
      <c r="S272" s="513"/>
      <c r="U272" t="str">
        <f t="shared" ca="1" si="81"/>
        <v/>
      </c>
      <c r="V272" s="31">
        <f t="shared" ca="1" si="82"/>
        <v>0</v>
      </c>
      <c r="X272" s="58" t="str">
        <f t="shared" ca="1" si="66"/>
        <v/>
      </c>
      <c r="Y272" s="61" t="str">
        <f t="shared" ca="1" si="67"/>
        <v/>
      </c>
      <c r="Z272" s="31" t="str">
        <f t="shared" ca="1" si="77"/>
        <v/>
      </c>
      <c r="AA272" s="31" t="e">
        <f t="shared" ca="1" si="83"/>
        <v>#VALUE!</v>
      </c>
      <c r="AB272" s="31" t="str">
        <f t="shared" ca="1" si="78"/>
        <v/>
      </c>
      <c r="AC272" t="str">
        <f t="shared" ca="1" si="68"/>
        <v/>
      </c>
      <c r="AD272" t="str">
        <f t="shared" ca="1" si="69"/>
        <v/>
      </c>
    </row>
    <row r="273" spans="1:30">
      <c r="A273" s="180" t="str">
        <f ca="1">'PRICE_IOF Ñ USAR'!A273</f>
        <v/>
      </c>
      <c r="B273" s="179" t="str">
        <f ca="1">'PRICE_IOF Ñ USAR'!B273</f>
        <v/>
      </c>
      <c r="C273" s="177" t="str">
        <f t="shared" ca="1" si="70"/>
        <v/>
      </c>
      <c r="D273" s="24" t="str">
        <f t="shared" ca="1" si="79"/>
        <v/>
      </c>
      <c r="E273" s="177" t="str">
        <f t="shared" ca="1" si="71"/>
        <v/>
      </c>
      <c r="F273" s="178" t="str">
        <f t="shared" ca="1" si="72"/>
        <v/>
      </c>
      <c r="G273" s="178" t="str">
        <f t="shared" ca="1" si="73"/>
        <v/>
      </c>
      <c r="H273" s="177" t="str">
        <f t="shared" ca="1" si="74"/>
        <v/>
      </c>
      <c r="I273" s="25">
        <f t="shared" ca="1" si="75"/>
        <v>0</v>
      </c>
      <c r="J273" s="9" t="str">
        <f ca="1">'PRICE_IOF Ñ USAR'!J273</f>
        <v/>
      </c>
      <c r="K273" s="9" t="str">
        <f ca="1">'PRICE_IOF Ñ USAR'!K273</f>
        <v/>
      </c>
      <c r="L273" s="9" t="str">
        <f ca="1">'PRICE_IOF Ñ USAR'!L273</f>
        <v/>
      </c>
      <c r="N273" s="176" t="str">
        <f t="shared" ca="1" si="76"/>
        <v/>
      </c>
      <c r="O273" s="176" t="str">
        <f t="shared" ca="1" si="80"/>
        <v/>
      </c>
      <c r="P273" s="175" t="str">
        <f t="shared" ca="1" si="63"/>
        <v/>
      </c>
      <c r="Q273" s="11" t="str">
        <f t="shared" ca="1" si="64"/>
        <v/>
      </c>
      <c r="R273" s="12" t="str">
        <f t="shared" ca="1" si="65"/>
        <v/>
      </c>
      <c r="S273" s="513"/>
      <c r="U273" t="str">
        <f t="shared" ca="1" si="81"/>
        <v/>
      </c>
      <c r="V273" s="31">
        <f t="shared" ca="1" si="82"/>
        <v>0</v>
      </c>
      <c r="X273" s="58" t="str">
        <f t="shared" ca="1" si="66"/>
        <v/>
      </c>
      <c r="Y273" s="61" t="str">
        <f t="shared" ca="1" si="67"/>
        <v/>
      </c>
      <c r="Z273" s="31" t="str">
        <f t="shared" ca="1" si="77"/>
        <v/>
      </c>
      <c r="AA273" s="31" t="e">
        <f t="shared" ca="1" si="83"/>
        <v>#VALUE!</v>
      </c>
      <c r="AB273" s="31" t="str">
        <f t="shared" ca="1" si="78"/>
        <v/>
      </c>
      <c r="AC273" t="str">
        <f t="shared" ca="1" si="68"/>
        <v/>
      </c>
      <c r="AD273" t="str">
        <f t="shared" ca="1" si="69"/>
        <v/>
      </c>
    </row>
    <row r="274" spans="1:30">
      <c r="A274" s="180" t="str">
        <f ca="1">'PRICE_IOF Ñ USAR'!A274</f>
        <v/>
      </c>
      <c r="B274" s="179" t="str">
        <f ca="1">'PRICE_IOF Ñ USAR'!B274</f>
        <v/>
      </c>
      <c r="C274" s="177" t="str">
        <f t="shared" ca="1" si="70"/>
        <v/>
      </c>
      <c r="D274" s="24" t="str">
        <f t="shared" ca="1" si="79"/>
        <v/>
      </c>
      <c r="E274" s="177" t="str">
        <f t="shared" ca="1" si="71"/>
        <v/>
      </c>
      <c r="F274" s="178" t="str">
        <f t="shared" ca="1" si="72"/>
        <v/>
      </c>
      <c r="G274" s="178" t="str">
        <f t="shared" ca="1" si="73"/>
        <v/>
      </c>
      <c r="H274" s="177" t="str">
        <f t="shared" ca="1" si="74"/>
        <v/>
      </c>
      <c r="I274" s="25">
        <f t="shared" ca="1" si="75"/>
        <v>0</v>
      </c>
      <c r="J274" s="9" t="str">
        <f ca="1">'PRICE_IOF Ñ USAR'!J274</f>
        <v/>
      </c>
      <c r="K274" s="9" t="str">
        <f ca="1">'PRICE_IOF Ñ USAR'!K274</f>
        <v/>
      </c>
      <c r="L274" s="9" t="str">
        <f ca="1">'PRICE_IOF Ñ USAR'!L274</f>
        <v/>
      </c>
      <c r="N274" s="176" t="str">
        <f t="shared" ca="1" si="76"/>
        <v/>
      </c>
      <c r="O274" s="176" t="str">
        <f t="shared" ca="1" si="80"/>
        <v/>
      </c>
      <c r="P274" s="175" t="str">
        <f t="shared" ref="P274:P339" ca="1" si="84">IF(A274&lt;&gt;"",Z274,"")</f>
        <v/>
      </c>
      <c r="Q274" s="11" t="str">
        <f t="shared" ref="Q274:Q339" ca="1" si="85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ca="1" si="86">IFERROR(Q274*P274,"")</f>
        <v/>
      </c>
      <c r="S274" s="513"/>
      <c r="U274" t="str">
        <f t="shared" ca="1" si="81"/>
        <v/>
      </c>
      <c r="V274" s="31">
        <f t="shared" ca="1" si="82"/>
        <v>0</v>
      </c>
      <c r="X274" s="58" t="str">
        <f t="shared" ref="X274:X339" ca="1" si="87">A274</f>
        <v/>
      </c>
      <c r="Y274" s="61" t="str">
        <f t="shared" ref="Y274:Y339" ca="1" si="88">B274</f>
        <v/>
      </c>
      <c r="Z274" s="31" t="str">
        <f t="shared" ca="1" si="77"/>
        <v/>
      </c>
      <c r="AA274" s="31" t="e">
        <f t="shared" ca="1" si="83"/>
        <v>#VALUE!</v>
      </c>
      <c r="AB274" s="31" t="str">
        <f t="shared" ca="1" si="78"/>
        <v/>
      </c>
      <c r="AC274" t="str">
        <f t="shared" ref="AC274:AC339" ca="1" si="89">J274</f>
        <v/>
      </c>
      <c r="AD274" t="str">
        <f t="shared" ref="AD274:AD339" ca="1" si="90">K274</f>
        <v/>
      </c>
    </row>
    <row r="275" spans="1:30">
      <c r="A275" s="180" t="str">
        <f ca="1">'PRICE_IOF Ñ USAR'!A275</f>
        <v/>
      </c>
      <c r="B275" s="179" t="str">
        <f ca="1">'PRICE_IOF Ñ USAR'!B275</f>
        <v/>
      </c>
      <c r="C275" s="177" t="str">
        <f t="shared" ref="C275:C338" ca="1" si="91">IFERROR(IF(OR(J275="Carencia",K275="Pula"),0,$I$13-D275),"")</f>
        <v/>
      </c>
      <c r="D275" s="24" t="str">
        <f t="shared" ca="1" si="79"/>
        <v/>
      </c>
      <c r="E275" s="177" t="str">
        <f t="shared" ref="E275:E338" ca="1" si="92">IFERROR(IF(OR(J275="Carencia",K275="Pula"),E274+D275+SUM(F275:H275),(E274-C275)),"")</f>
        <v/>
      </c>
      <c r="F275" s="178" t="str">
        <f t="shared" ref="F275:F339" ca="1" si="93">IFERROR(IF(OR(AND(DAY(B275)=DAY(B274),MONTH(B275)&lt;&gt;MONTH(B274)),MONTH(B275)&lt;&gt;MONTH(B274)),IF(K275="Pula",0,E274*$I$7),""),"")</f>
        <v/>
      </c>
      <c r="G275" s="178" t="str">
        <f t="shared" ref="G275:G339" ca="1" si="94">IFERROR(IF(OR(AND(DAY(B275)=DAY(B274),MONTH(B275)&lt;&gt;MONTH(B274)),MONTH(B275)&lt;&gt;MONTH(B274)),IF(K275="Pula",0,$C$11*$I$8),0),"")</f>
        <v/>
      </c>
      <c r="H275" s="177" t="str">
        <f t="shared" ref="H275:H339" ca="1" si="95">IFERROR(IF(OR(AND(DAY(B275)=DAY(B274),MONTH(B275)&lt;&gt;MONTH(B274)),MONTH(B275)&lt;&gt;MONTH(B274)),IF(K275="Pula",0,$I$10),0),"")</f>
        <v/>
      </c>
      <c r="I275" s="25">
        <f t="shared" ref="I275:I338" ca="1" si="96">IFERROR(IF(OR(J275="Carencia",K275="Pula"),0,SUM(C275:D275,F275:H275)),"")</f>
        <v>0</v>
      </c>
      <c r="J275" s="9" t="str">
        <f ca="1">'PRICE_IOF Ñ USAR'!J275</f>
        <v/>
      </c>
      <c r="K275" s="9" t="str">
        <f ca="1">'PRICE_IOF Ñ USAR'!K275</f>
        <v/>
      </c>
      <c r="L275" s="9" t="str">
        <f ca="1">'PRICE_IOF Ñ USAR'!L275</f>
        <v/>
      </c>
      <c r="N275" s="176" t="str">
        <f t="shared" ref="N275:N339" ca="1" si="97">IFERROR(B275-B274,"")</f>
        <v/>
      </c>
      <c r="O275" s="176" t="str">
        <f t="shared" ca="1" si="80"/>
        <v/>
      </c>
      <c r="P275" s="175" t="str">
        <f t="shared" ca="1" si="84"/>
        <v/>
      </c>
      <c r="Q275" s="11" t="str">
        <f t="shared" ca="1" si="85"/>
        <v/>
      </c>
      <c r="R275" s="12" t="str">
        <f t="shared" ca="1" si="86"/>
        <v/>
      </c>
      <c r="S275" s="513"/>
      <c r="U275" t="str">
        <f t="shared" ca="1" si="81"/>
        <v/>
      </c>
      <c r="V275" s="31">
        <f t="shared" ca="1" si="82"/>
        <v>0</v>
      </c>
      <c r="X275" s="58" t="str">
        <f t="shared" ca="1" si="87"/>
        <v/>
      </c>
      <c r="Y275" s="61" t="str">
        <f t="shared" ca="1" si="88"/>
        <v/>
      </c>
      <c r="Z275" s="31" t="str">
        <f t="shared" ref="Z275:Z338" ca="1" si="98">IFERROR(IF(OR(AC275="Carencia",AD275="Pula"),0,$L$7-AA275),"")</f>
        <v/>
      </c>
      <c r="AA275" s="31" t="e">
        <f t="shared" ca="1" si="83"/>
        <v>#VALUE!</v>
      </c>
      <c r="AB275" s="31" t="str">
        <f t="shared" ref="AB275:AB338" ca="1" si="99">IFERROR(IF(OR(AC275="Carencia",AD275="Pula"),AB274,(AB274-Z275)),"")</f>
        <v/>
      </c>
      <c r="AC275" t="str">
        <f t="shared" ca="1" si="89"/>
        <v/>
      </c>
      <c r="AD275" t="str">
        <f t="shared" ca="1" si="90"/>
        <v/>
      </c>
    </row>
    <row r="276" spans="1:30">
      <c r="A276" s="180" t="str">
        <f ca="1">'PRICE_IOF Ñ USAR'!A276</f>
        <v/>
      </c>
      <c r="B276" s="179" t="str">
        <f ca="1">'PRICE_IOF Ñ USAR'!B276</f>
        <v/>
      </c>
      <c r="C276" s="177" t="str">
        <f t="shared" ca="1" si="91"/>
        <v/>
      </c>
      <c r="D276" s="24" t="str">
        <f t="shared" ref="D276:D339" ca="1" si="100">IFERROR(IF(DAY(B276)=DAY(B275),IF(K276="Pula",0,($D$9)*E275),IF(AND(K276="Pula",J276=""),0,IF(AND($F$3=30,OR(AND(DAY(B275)=28,MONTH(B275)=2),AND(DAY(B275)=29,MONTH(B275)=2))),$D$9*E275,$D$9*E275))),"")</f>
        <v/>
      </c>
      <c r="E276" s="177" t="str">
        <f t="shared" ca="1" si="92"/>
        <v/>
      </c>
      <c r="F276" s="178" t="str">
        <f t="shared" ca="1" si="93"/>
        <v/>
      </c>
      <c r="G276" s="178" t="str">
        <f t="shared" ca="1" si="94"/>
        <v/>
      </c>
      <c r="H276" s="177" t="str">
        <f t="shared" ca="1" si="95"/>
        <v/>
      </c>
      <c r="I276" s="25">
        <f t="shared" ca="1" si="96"/>
        <v>0</v>
      </c>
      <c r="J276" s="9" t="str">
        <f ca="1">'PRICE_IOF Ñ USAR'!J276</f>
        <v/>
      </c>
      <c r="K276" s="9" t="str">
        <f ca="1">'PRICE_IOF Ñ USAR'!K276</f>
        <v/>
      </c>
      <c r="L276" s="9" t="str">
        <f ca="1">'PRICE_IOF Ñ USAR'!L276</f>
        <v/>
      </c>
      <c r="N276" s="176" t="str">
        <f t="shared" ca="1" si="97"/>
        <v/>
      </c>
      <c r="O276" s="176" t="str">
        <f t="shared" ref="O276:O339" ca="1" si="101">IFERROR(N276+O275,"")</f>
        <v/>
      </c>
      <c r="P276" s="175" t="str">
        <f t="shared" ca="1" si="84"/>
        <v/>
      </c>
      <c r="Q276" s="11" t="str">
        <f t="shared" ca="1" si="85"/>
        <v/>
      </c>
      <c r="R276" s="12" t="str">
        <f t="shared" ca="1" si="86"/>
        <v/>
      </c>
      <c r="S276" s="513"/>
      <c r="U276" t="str">
        <f t="shared" ref="U276:U339" ca="1" si="102">IFERROR(IF(OR(J276="Carencia",K276="Pula"),0,C276+D276),"")</f>
        <v/>
      </c>
      <c r="V276" s="31">
        <f t="shared" ref="V276:V339" ca="1" si="103">IFERROR(I276,0)</f>
        <v>0</v>
      </c>
      <c r="X276" s="58" t="str">
        <f t="shared" ca="1" si="87"/>
        <v/>
      </c>
      <c r="Y276" s="61" t="str">
        <f t="shared" ca="1" si="88"/>
        <v/>
      </c>
      <c r="Z276" s="31" t="str">
        <f t="shared" ca="1" si="98"/>
        <v/>
      </c>
      <c r="AA276" s="31" t="e">
        <f t="shared" ref="AA276:AA339" ca="1" si="104">IF(AND(DAY(Y276)=DAY(Y275),MONTH(Y276)&lt;&gt;MONTH(Y275)),IF(AH276="Pula",0,($D$9))*AB275,((1+$D$9)^(N276/_xlfn.DAYS(EDATE(Y275,1),Y275))-1)*AB275)</f>
        <v>#VALUE!</v>
      </c>
      <c r="AB276" s="31" t="str">
        <f t="shared" ca="1" si="99"/>
        <v/>
      </c>
      <c r="AC276" t="str">
        <f t="shared" ca="1" si="89"/>
        <v/>
      </c>
      <c r="AD276" t="str">
        <f t="shared" ca="1" si="90"/>
        <v/>
      </c>
    </row>
    <row r="277" spans="1:30">
      <c r="A277" s="180" t="str">
        <f ca="1">'PRICE_IOF Ñ USAR'!A277</f>
        <v/>
      </c>
      <c r="B277" s="179" t="str">
        <f ca="1">'PRICE_IOF Ñ USAR'!B277</f>
        <v/>
      </c>
      <c r="C277" s="177" t="str">
        <f t="shared" ca="1" si="91"/>
        <v/>
      </c>
      <c r="D277" s="24" t="str">
        <f t="shared" ca="1" si="100"/>
        <v/>
      </c>
      <c r="E277" s="177" t="str">
        <f t="shared" ca="1" si="92"/>
        <v/>
      </c>
      <c r="F277" s="178" t="str">
        <f t="shared" ca="1" si="93"/>
        <v/>
      </c>
      <c r="G277" s="178" t="str">
        <f t="shared" ca="1" si="94"/>
        <v/>
      </c>
      <c r="H277" s="177" t="str">
        <f t="shared" ca="1" si="95"/>
        <v/>
      </c>
      <c r="I277" s="25">
        <f t="shared" ca="1" si="96"/>
        <v>0</v>
      </c>
      <c r="J277" s="9" t="str">
        <f ca="1">'PRICE_IOF Ñ USAR'!J277</f>
        <v/>
      </c>
      <c r="K277" s="9" t="str">
        <f ca="1">'PRICE_IOF Ñ USAR'!K277</f>
        <v/>
      </c>
      <c r="L277" s="9" t="str">
        <f ca="1">'PRICE_IOF Ñ USAR'!L277</f>
        <v/>
      </c>
      <c r="N277" s="176" t="str">
        <f t="shared" ca="1" si="97"/>
        <v/>
      </c>
      <c r="O277" s="176" t="str">
        <f t="shared" ca="1" si="101"/>
        <v/>
      </c>
      <c r="P277" s="175" t="str">
        <f t="shared" ca="1" si="84"/>
        <v/>
      </c>
      <c r="Q277" s="11" t="str">
        <f t="shared" ca="1" si="85"/>
        <v/>
      </c>
      <c r="R277" s="12" t="str">
        <f t="shared" ca="1" si="86"/>
        <v/>
      </c>
      <c r="S277" s="513"/>
      <c r="U277" t="str">
        <f t="shared" ca="1" si="102"/>
        <v/>
      </c>
      <c r="V277" s="31">
        <f t="shared" ca="1" si="103"/>
        <v>0</v>
      </c>
      <c r="X277" s="58" t="str">
        <f t="shared" ca="1" si="87"/>
        <v/>
      </c>
      <c r="Y277" s="61" t="str">
        <f t="shared" ca="1" si="88"/>
        <v/>
      </c>
      <c r="Z277" s="31" t="str">
        <f t="shared" ca="1" si="98"/>
        <v/>
      </c>
      <c r="AA277" s="31" t="e">
        <f t="shared" ca="1" si="104"/>
        <v>#VALUE!</v>
      </c>
      <c r="AB277" s="31" t="str">
        <f t="shared" ca="1" si="99"/>
        <v/>
      </c>
      <c r="AC277" t="str">
        <f t="shared" ca="1" si="89"/>
        <v/>
      </c>
      <c r="AD277" t="str">
        <f t="shared" ca="1" si="90"/>
        <v/>
      </c>
    </row>
    <row r="278" spans="1:30">
      <c r="A278" s="180" t="str">
        <f ca="1">'PRICE_IOF Ñ USAR'!A278</f>
        <v/>
      </c>
      <c r="B278" s="179" t="str">
        <f ca="1">'PRICE_IOF Ñ USAR'!B278</f>
        <v/>
      </c>
      <c r="C278" s="177" t="str">
        <f t="shared" ca="1" si="91"/>
        <v/>
      </c>
      <c r="D278" s="24" t="str">
        <f t="shared" ca="1" si="100"/>
        <v/>
      </c>
      <c r="E278" s="177" t="str">
        <f t="shared" ca="1" si="92"/>
        <v/>
      </c>
      <c r="F278" s="178" t="str">
        <f t="shared" ca="1" si="93"/>
        <v/>
      </c>
      <c r="G278" s="178" t="str">
        <f t="shared" ca="1" si="94"/>
        <v/>
      </c>
      <c r="H278" s="177" t="str">
        <f t="shared" ca="1" si="95"/>
        <v/>
      </c>
      <c r="I278" s="25">
        <f t="shared" ca="1" si="96"/>
        <v>0</v>
      </c>
      <c r="J278" s="9" t="str">
        <f ca="1">'PRICE_IOF Ñ USAR'!J278</f>
        <v/>
      </c>
      <c r="K278" s="9" t="str">
        <f ca="1">'PRICE_IOF Ñ USAR'!K278</f>
        <v/>
      </c>
      <c r="L278" s="9" t="str">
        <f ca="1">'PRICE_IOF Ñ USAR'!L278</f>
        <v/>
      </c>
      <c r="N278" s="176" t="str">
        <f t="shared" ca="1" si="97"/>
        <v/>
      </c>
      <c r="O278" s="176" t="str">
        <f t="shared" ca="1" si="101"/>
        <v/>
      </c>
      <c r="P278" s="175" t="str">
        <f t="shared" ca="1" si="84"/>
        <v/>
      </c>
      <c r="Q278" s="11" t="str">
        <f t="shared" ca="1" si="85"/>
        <v/>
      </c>
      <c r="R278" s="12" t="str">
        <f t="shared" ca="1" si="86"/>
        <v/>
      </c>
      <c r="S278" s="513"/>
      <c r="U278" t="str">
        <f t="shared" ca="1" si="102"/>
        <v/>
      </c>
      <c r="V278" s="31">
        <f t="shared" ca="1" si="103"/>
        <v>0</v>
      </c>
      <c r="X278" s="58" t="str">
        <f t="shared" ca="1" si="87"/>
        <v/>
      </c>
      <c r="Y278" s="61" t="str">
        <f t="shared" ca="1" si="88"/>
        <v/>
      </c>
      <c r="Z278" s="31" t="str">
        <f t="shared" ca="1" si="98"/>
        <v/>
      </c>
      <c r="AA278" s="31" t="e">
        <f t="shared" ca="1" si="104"/>
        <v>#VALUE!</v>
      </c>
      <c r="AB278" s="31" t="str">
        <f t="shared" ca="1" si="99"/>
        <v/>
      </c>
      <c r="AC278" t="str">
        <f t="shared" ca="1" si="89"/>
        <v/>
      </c>
      <c r="AD278" t="str">
        <f t="shared" ca="1" si="90"/>
        <v/>
      </c>
    </row>
    <row r="279" spans="1:30">
      <c r="A279" s="180" t="str">
        <f ca="1">'PRICE_IOF Ñ USAR'!A279</f>
        <v/>
      </c>
      <c r="B279" s="179" t="str">
        <f ca="1">'PRICE_IOF Ñ USAR'!B279</f>
        <v/>
      </c>
      <c r="C279" s="177" t="str">
        <f t="shared" ca="1" si="91"/>
        <v/>
      </c>
      <c r="D279" s="24" t="str">
        <f t="shared" ca="1" si="100"/>
        <v/>
      </c>
      <c r="E279" s="177" t="str">
        <f t="shared" ca="1" si="92"/>
        <v/>
      </c>
      <c r="F279" s="178" t="str">
        <f t="shared" ca="1" si="93"/>
        <v/>
      </c>
      <c r="G279" s="178" t="str">
        <f t="shared" ca="1" si="94"/>
        <v/>
      </c>
      <c r="H279" s="177" t="str">
        <f t="shared" ca="1" si="95"/>
        <v/>
      </c>
      <c r="I279" s="25">
        <f t="shared" ca="1" si="96"/>
        <v>0</v>
      </c>
      <c r="J279" s="9" t="str">
        <f ca="1">'PRICE_IOF Ñ USAR'!J279</f>
        <v/>
      </c>
      <c r="K279" s="9" t="str">
        <f ca="1">'PRICE_IOF Ñ USAR'!K279</f>
        <v/>
      </c>
      <c r="L279" s="9" t="str">
        <f ca="1">'PRICE_IOF Ñ USAR'!L279</f>
        <v/>
      </c>
      <c r="N279" s="176" t="str">
        <f t="shared" ca="1" si="97"/>
        <v/>
      </c>
      <c r="O279" s="176" t="str">
        <f t="shared" ca="1" si="101"/>
        <v/>
      </c>
      <c r="P279" s="175" t="str">
        <f t="shared" ca="1" si="84"/>
        <v/>
      </c>
      <c r="Q279" s="11" t="str">
        <f t="shared" ca="1" si="85"/>
        <v/>
      </c>
      <c r="R279" s="12" t="str">
        <f t="shared" ca="1" si="86"/>
        <v/>
      </c>
      <c r="S279" s="513"/>
      <c r="U279" t="str">
        <f t="shared" ca="1" si="102"/>
        <v/>
      </c>
      <c r="V279" s="31">
        <f t="shared" ca="1" si="103"/>
        <v>0</v>
      </c>
      <c r="X279" s="58" t="str">
        <f t="shared" ca="1" si="87"/>
        <v/>
      </c>
      <c r="Y279" s="61" t="str">
        <f t="shared" ca="1" si="88"/>
        <v/>
      </c>
      <c r="Z279" s="31" t="str">
        <f t="shared" ca="1" si="98"/>
        <v/>
      </c>
      <c r="AA279" s="31" t="e">
        <f t="shared" ca="1" si="104"/>
        <v>#VALUE!</v>
      </c>
      <c r="AB279" s="31" t="str">
        <f t="shared" ca="1" si="99"/>
        <v/>
      </c>
      <c r="AC279" t="str">
        <f t="shared" ca="1" si="89"/>
        <v/>
      </c>
      <c r="AD279" t="str">
        <f t="shared" ca="1" si="90"/>
        <v/>
      </c>
    </row>
    <row r="280" spans="1:30">
      <c r="A280" s="180" t="str">
        <f ca="1">'PRICE_IOF Ñ USAR'!A280</f>
        <v/>
      </c>
      <c r="B280" s="179" t="str">
        <f ca="1">'PRICE_IOF Ñ USAR'!B280</f>
        <v/>
      </c>
      <c r="C280" s="177" t="str">
        <f t="shared" ca="1" si="91"/>
        <v/>
      </c>
      <c r="D280" s="24" t="str">
        <f t="shared" ca="1" si="100"/>
        <v/>
      </c>
      <c r="E280" s="177" t="str">
        <f t="shared" ca="1" si="92"/>
        <v/>
      </c>
      <c r="F280" s="178" t="str">
        <f t="shared" ca="1" si="93"/>
        <v/>
      </c>
      <c r="G280" s="178" t="str">
        <f t="shared" ca="1" si="94"/>
        <v/>
      </c>
      <c r="H280" s="177" t="str">
        <f t="shared" ca="1" si="95"/>
        <v/>
      </c>
      <c r="I280" s="25">
        <f t="shared" ca="1" si="96"/>
        <v>0</v>
      </c>
      <c r="J280" s="9" t="str">
        <f ca="1">'PRICE_IOF Ñ USAR'!J280</f>
        <v/>
      </c>
      <c r="K280" s="9" t="str">
        <f ca="1">'PRICE_IOF Ñ USAR'!K280</f>
        <v/>
      </c>
      <c r="L280" s="9" t="str">
        <f ca="1">'PRICE_IOF Ñ USAR'!L280</f>
        <v/>
      </c>
      <c r="N280" s="176" t="str">
        <f t="shared" ca="1" si="97"/>
        <v/>
      </c>
      <c r="O280" s="176" t="str">
        <f t="shared" ca="1" si="101"/>
        <v/>
      </c>
      <c r="P280" s="175" t="str">
        <f t="shared" ca="1" si="84"/>
        <v/>
      </c>
      <c r="Q280" s="11" t="str">
        <f t="shared" ca="1" si="85"/>
        <v/>
      </c>
      <c r="R280" s="12" t="str">
        <f t="shared" ca="1" si="86"/>
        <v/>
      </c>
      <c r="S280" s="513"/>
      <c r="U280" t="str">
        <f t="shared" ca="1" si="102"/>
        <v/>
      </c>
      <c r="V280" s="31">
        <f t="shared" ca="1" si="103"/>
        <v>0</v>
      </c>
      <c r="X280" s="58" t="str">
        <f t="shared" ca="1" si="87"/>
        <v/>
      </c>
      <c r="Y280" s="61" t="str">
        <f t="shared" ca="1" si="88"/>
        <v/>
      </c>
      <c r="Z280" s="31" t="str">
        <f t="shared" ca="1" si="98"/>
        <v/>
      </c>
      <c r="AA280" s="31" t="e">
        <f t="shared" ca="1" si="104"/>
        <v>#VALUE!</v>
      </c>
      <c r="AB280" s="31" t="str">
        <f t="shared" ca="1" si="99"/>
        <v/>
      </c>
      <c r="AC280" t="str">
        <f t="shared" ca="1" si="89"/>
        <v/>
      </c>
      <c r="AD280" t="str">
        <f t="shared" ca="1" si="90"/>
        <v/>
      </c>
    </row>
    <row r="281" spans="1:30">
      <c r="A281" s="180" t="str">
        <f ca="1">'PRICE_IOF Ñ USAR'!A281</f>
        <v/>
      </c>
      <c r="B281" s="179" t="str">
        <f ca="1">'PRICE_IOF Ñ USAR'!B281</f>
        <v/>
      </c>
      <c r="C281" s="177" t="str">
        <f t="shared" ca="1" si="91"/>
        <v/>
      </c>
      <c r="D281" s="24" t="str">
        <f t="shared" ca="1" si="100"/>
        <v/>
      </c>
      <c r="E281" s="177" t="str">
        <f t="shared" ca="1" si="92"/>
        <v/>
      </c>
      <c r="F281" s="178" t="str">
        <f t="shared" ca="1" si="93"/>
        <v/>
      </c>
      <c r="G281" s="178" t="str">
        <f t="shared" ca="1" si="94"/>
        <v/>
      </c>
      <c r="H281" s="177" t="str">
        <f t="shared" ca="1" si="95"/>
        <v/>
      </c>
      <c r="I281" s="25">
        <f t="shared" ca="1" si="96"/>
        <v>0</v>
      </c>
      <c r="J281" s="9" t="str">
        <f ca="1">'PRICE_IOF Ñ USAR'!J281</f>
        <v/>
      </c>
      <c r="K281" s="9" t="str">
        <f ca="1">'PRICE_IOF Ñ USAR'!K281</f>
        <v/>
      </c>
      <c r="L281" s="9" t="str">
        <f ca="1">'PRICE_IOF Ñ USAR'!L281</f>
        <v/>
      </c>
      <c r="N281" s="176" t="str">
        <f t="shared" ca="1" si="97"/>
        <v/>
      </c>
      <c r="O281" s="176" t="str">
        <f t="shared" ca="1" si="101"/>
        <v/>
      </c>
      <c r="P281" s="175" t="str">
        <f t="shared" ca="1" si="84"/>
        <v/>
      </c>
      <c r="Q281" s="11" t="str">
        <f t="shared" ca="1" si="85"/>
        <v/>
      </c>
      <c r="R281" s="12" t="str">
        <f t="shared" ca="1" si="86"/>
        <v/>
      </c>
      <c r="S281" s="513"/>
      <c r="U281" t="str">
        <f t="shared" ca="1" si="102"/>
        <v/>
      </c>
      <c r="V281" s="31">
        <f t="shared" ca="1" si="103"/>
        <v>0</v>
      </c>
      <c r="X281" s="58" t="str">
        <f t="shared" ca="1" si="87"/>
        <v/>
      </c>
      <c r="Y281" s="61" t="str">
        <f t="shared" ca="1" si="88"/>
        <v/>
      </c>
      <c r="Z281" s="31" t="str">
        <f t="shared" ca="1" si="98"/>
        <v/>
      </c>
      <c r="AA281" s="31" t="e">
        <f t="shared" ca="1" si="104"/>
        <v>#VALUE!</v>
      </c>
      <c r="AB281" s="31" t="str">
        <f t="shared" ca="1" si="99"/>
        <v/>
      </c>
      <c r="AC281" t="str">
        <f t="shared" ca="1" si="89"/>
        <v/>
      </c>
      <c r="AD281" t="str">
        <f t="shared" ca="1" si="90"/>
        <v/>
      </c>
    </row>
    <row r="282" spans="1:30">
      <c r="A282" s="180" t="str">
        <f ca="1">'PRICE_IOF Ñ USAR'!A282</f>
        <v/>
      </c>
      <c r="B282" s="179" t="str">
        <f ca="1">'PRICE_IOF Ñ USAR'!B282</f>
        <v/>
      </c>
      <c r="C282" s="177" t="str">
        <f t="shared" ca="1" si="91"/>
        <v/>
      </c>
      <c r="D282" s="24" t="str">
        <f t="shared" ca="1" si="100"/>
        <v/>
      </c>
      <c r="E282" s="177" t="str">
        <f t="shared" ca="1" si="92"/>
        <v/>
      </c>
      <c r="F282" s="178" t="str">
        <f t="shared" ca="1" si="93"/>
        <v/>
      </c>
      <c r="G282" s="178" t="str">
        <f t="shared" ca="1" si="94"/>
        <v/>
      </c>
      <c r="H282" s="177" t="str">
        <f t="shared" ca="1" si="95"/>
        <v/>
      </c>
      <c r="I282" s="25">
        <f t="shared" ca="1" si="96"/>
        <v>0</v>
      </c>
      <c r="J282" s="9" t="str">
        <f ca="1">'PRICE_IOF Ñ USAR'!J282</f>
        <v/>
      </c>
      <c r="K282" s="9" t="str">
        <f ca="1">'PRICE_IOF Ñ USAR'!K282</f>
        <v/>
      </c>
      <c r="L282" s="9" t="str">
        <f ca="1">'PRICE_IOF Ñ USAR'!L282</f>
        <v/>
      </c>
      <c r="N282" s="176" t="str">
        <f t="shared" ca="1" si="97"/>
        <v/>
      </c>
      <c r="O282" s="176" t="str">
        <f t="shared" ca="1" si="101"/>
        <v/>
      </c>
      <c r="P282" s="175" t="str">
        <f t="shared" ca="1" si="84"/>
        <v/>
      </c>
      <c r="Q282" s="11" t="str">
        <f t="shared" ca="1" si="85"/>
        <v/>
      </c>
      <c r="R282" s="12" t="str">
        <f t="shared" ca="1" si="86"/>
        <v/>
      </c>
      <c r="S282" s="513"/>
      <c r="U282" t="str">
        <f t="shared" ca="1" si="102"/>
        <v/>
      </c>
      <c r="V282" s="31">
        <f t="shared" ca="1" si="103"/>
        <v>0</v>
      </c>
      <c r="X282" s="58" t="str">
        <f t="shared" ca="1" si="87"/>
        <v/>
      </c>
      <c r="Y282" s="61" t="str">
        <f t="shared" ca="1" si="88"/>
        <v/>
      </c>
      <c r="Z282" s="31" t="str">
        <f t="shared" ca="1" si="98"/>
        <v/>
      </c>
      <c r="AA282" s="31" t="e">
        <f t="shared" ca="1" si="104"/>
        <v>#VALUE!</v>
      </c>
      <c r="AB282" s="31" t="str">
        <f t="shared" ca="1" si="99"/>
        <v/>
      </c>
      <c r="AC282" t="str">
        <f t="shared" ca="1" si="89"/>
        <v/>
      </c>
      <c r="AD282" t="str">
        <f t="shared" ca="1" si="90"/>
        <v/>
      </c>
    </row>
    <row r="283" spans="1:30">
      <c r="A283" s="180" t="str">
        <f ca="1">'PRICE_IOF Ñ USAR'!A283</f>
        <v/>
      </c>
      <c r="B283" s="179" t="str">
        <f ca="1">'PRICE_IOF Ñ USAR'!B283</f>
        <v/>
      </c>
      <c r="C283" s="177" t="str">
        <f t="shared" ca="1" si="91"/>
        <v/>
      </c>
      <c r="D283" s="24" t="str">
        <f t="shared" ca="1" si="100"/>
        <v/>
      </c>
      <c r="E283" s="177" t="str">
        <f t="shared" ca="1" si="92"/>
        <v/>
      </c>
      <c r="F283" s="178" t="str">
        <f t="shared" ca="1" si="93"/>
        <v/>
      </c>
      <c r="G283" s="178" t="str">
        <f t="shared" ca="1" si="94"/>
        <v/>
      </c>
      <c r="H283" s="177" t="str">
        <f t="shared" ca="1" si="95"/>
        <v/>
      </c>
      <c r="I283" s="25">
        <f t="shared" ca="1" si="96"/>
        <v>0</v>
      </c>
      <c r="J283" s="9" t="str">
        <f ca="1">'PRICE_IOF Ñ USAR'!J283</f>
        <v/>
      </c>
      <c r="K283" s="9" t="str">
        <f ca="1">'PRICE_IOF Ñ USAR'!K283</f>
        <v/>
      </c>
      <c r="L283" s="9" t="str">
        <f ca="1">'PRICE_IOF Ñ USAR'!L283</f>
        <v/>
      </c>
      <c r="N283" s="176" t="str">
        <f t="shared" ca="1" si="97"/>
        <v/>
      </c>
      <c r="O283" s="176" t="str">
        <f t="shared" ca="1" si="101"/>
        <v/>
      </c>
      <c r="P283" s="175" t="str">
        <f t="shared" ca="1" si="84"/>
        <v/>
      </c>
      <c r="Q283" s="11" t="str">
        <f t="shared" ca="1" si="85"/>
        <v/>
      </c>
      <c r="R283" s="12" t="str">
        <f t="shared" ca="1" si="86"/>
        <v/>
      </c>
      <c r="S283" s="513"/>
      <c r="U283" t="str">
        <f t="shared" ca="1" si="102"/>
        <v/>
      </c>
      <c r="V283" s="31">
        <f t="shared" ca="1" si="103"/>
        <v>0</v>
      </c>
      <c r="X283" s="58" t="str">
        <f t="shared" ca="1" si="87"/>
        <v/>
      </c>
      <c r="Y283" s="61" t="str">
        <f t="shared" ca="1" si="88"/>
        <v/>
      </c>
      <c r="Z283" s="31" t="str">
        <f t="shared" ca="1" si="98"/>
        <v/>
      </c>
      <c r="AA283" s="31" t="e">
        <f t="shared" ca="1" si="104"/>
        <v>#VALUE!</v>
      </c>
      <c r="AB283" s="31" t="str">
        <f t="shared" ca="1" si="99"/>
        <v/>
      </c>
      <c r="AC283" t="str">
        <f t="shared" ca="1" si="89"/>
        <v/>
      </c>
      <c r="AD283" t="str">
        <f t="shared" ca="1" si="90"/>
        <v/>
      </c>
    </row>
    <row r="284" spans="1:30">
      <c r="A284" s="180" t="str">
        <f ca="1">'PRICE_IOF Ñ USAR'!A284</f>
        <v/>
      </c>
      <c r="B284" s="179" t="str">
        <f ca="1">'PRICE_IOF Ñ USAR'!B284</f>
        <v/>
      </c>
      <c r="C284" s="177" t="str">
        <f t="shared" ca="1" si="91"/>
        <v/>
      </c>
      <c r="D284" s="24" t="str">
        <f t="shared" ca="1" si="100"/>
        <v/>
      </c>
      <c r="E284" s="177" t="str">
        <f t="shared" ca="1" si="92"/>
        <v/>
      </c>
      <c r="F284" s="178" t="str">
        <f t="shared" ca="1" si="93"/>
        <v/>
      </c>
      <c r="G284" s="178" t="str">
        <f t="shared" ca="1" si="94"/>
        <v/>
      </c>
      <c r="H284" s="177" t="str">
        <f t="shared" ca="1" si="95"/>
        <v/>
      </c>
      <c r="I284" s="25">
        <f t="shared" ca="1" si="96"/>
        <v>0</v>
      </c>
      <c r="J284" s="9" t="str">
        <f ca="1">'PRICE_IOF Ñ USAR'!J284</f>
        <v/>
      </c>
      <c r="K284" s="9" t="str">
        <f ca="1">'PRICE_IOF Ñ USAR'!K284</f>
        <v/>
      </c>
      <c r="L284" s="9" t="str">
        <f ca="1">'PRICE_IOF Ñ USAR'!L284</f>
        <v/>
      </c>
      <c r="N284" s="176" t="str">
        <f t="shared" ca="1" si="97"/>
        <v/>
      </c>
      <c r="O284" s="176" t="str">
        <f t="shared" ca="1" si="101"/>
        <v/>
      </c>
      <c r="P284" s="175" t="str">
        <f t="shared" ca="1" si="84"/>
        <v/>
      </c>
      <c r="Q284" s="11" t="str">
        <f t="shared" ca="1" si="85"/>
        <v/>
      </c>
      <c r="R284" s="12" t="str">
        <f t="shared" ca="1" si="86"/>
        <v/>
      </c>
      <c r="S284" s="513"/>
      <c r="U284" t="str">
        <f t="shared" ca="1" si="102"/>
        <v/>
      </c>
      <c r="V284" s="31">
        <f t="shared" ca="1" si="103"/>
        <v>0</v>
      </c>
      <c r="X284" s="58" t="str">
        <f t="shared" ca="1" si="87"/>
        <v/>
      </c>
      <c r="Y284" s="61" t="str">
        <f t="shared" ca="1" si="88"/>
        <v/>
      </c>
      <c r="Z284" s="31" t="str">
        <f t="shared" ca="1" si="98"/>
        <v/>
      </c>
      <c r="AA284" s="31" t="e">
        <f t="shared" ca="1" si="104"/>
        <v>#VALUE!</v>
      </c>
      <c r="AB284" s="31" t="str">
        <f t="shared" ca="1" si="99"/>
        <v/>
      </c>
      <c r="AC284" t="str">
        <f t="shared" ca="1" si="89"/>
        <v/>
      </c>
      <c r="AD284" t="str">
        <f t="shared" ca="1" si="90"/>
        <v/>
      </c>
    </row>
    <row r="285" spans="1:30">
      <c r="A285" s="180" t="str">
        <f ca="1">'PRICE_IOF Ñ USAR'!A285</f>
        <v/>
      </c>
      <c r="B285" s="179" t="str">
        <f ca="1">'PRICE_IOF Ñ USAR'!B285</f>
        <v/>
      </c>
      <c r="C285" s="177" t="str">
        <f t="shared" ca="1" si="91"/>
        <v/>
      </c>
      <c r="D285" s="24" t="str">
        <f t="shared" ca="1" si="100"/>
        <v/>
      </c>
      <c r="E285" s="177" t="str">
        <f t="shared" ca="1" si="92"/>
        <v/>
      </c>
      <c r="F285" s="178" t="str">
        <f t="shared" ca="1" si="93"/>
        <v/>
      </c>
      <c r="G285" s="178" t="str">
        <f t="shared" ca="1" si="94"/>
        <v/>
      </c>
      <c r="H285" s="177" t="str">
        <f t="shared" ca="1" si="95"/>
        <v/>
      </c>
      <c r="I285" s="25">
        <f t="shared" ca="1" si="96"/>
        <v>0</v>
      </c>
      <c r="J285" s="9" t="str">
        <f ca="1">'PRICE_IOF Ñ USAR'!J285</f>
        <v/>
      </c>
      <c r="K285" s="9" t="str">
        <f ca="1">'PRICE_IOF Ñ USAR'!K285</f>
        <v/>
      </c>
      <c r="L285" s="9" t="str">
        <f ca="1">'PRICE_IOF Ñ USAR'!L285</f>
        <v/>
      </c>
      <c r="N285" s="176" t="str">
        <f t="shared" ca="1" si="97"/>
        <v/>
      </c>
      <c r="O285" s="176" t="str">
        <f t="shared" ca="1" si="101"/>
        <v/>
      </c>
      <c r="P285" s="175" t="str">
        <f t="shared" ca="1" si="84"/>
        <v/>
      </c>
      <c r="Q285" s="11" t="str">
        <f t="shared" ca="1" si="85"/>
        <v/>
      </c>
      <c r="R285" s="12" t="str">
        <f t="shared" ca="1" si="86"/>
        <v/>
      </c>
      <c r="S285" s="513"/>
      <c r="U285" t="str">
        <f t="shared" ca="1" si="102"/>
        <v/>
      </c>
      <c r="V285" s="31">
        <f t="shared" ca="1" si="103"/>
        <v>0</v>
      </c>
      <c r="X285" s="58" t="str">
        <f t="shared" ca="1" si="87"/>
        <v/>
      </c>
      <c r="Y285" s="61" t="str">
        <f t="shared" ca="1" si="88"/>
        <v/>
      </c>
      <c r="Z285" s="31" t="str">
        <f t="shared" ca="1" si="98"/>
        <v/>
      </c>
      <c r="AA285" s="31" t="e">
        <f t="shared" ca="1" si="104"/>
        <v>#VALUE!</v>
      </c>
      <c r="AB285" s="31" t="str">
        <f t="shared" ca="1" si="99"/>
        <v/>
      </c>
      <c r="AC285" t="str">
        <f t="shared" ca="1" si="89"/>
        <v/>
      </c>
      <c r="AD285" t="str">
        <f t="shared" ca="1" si="90"/>
        <v/>
      </c>
    </row>
    <row r="286" spans="1:30">
      <c r="A286" s="180" t="str">
        <f ca="1">'PRICE_IOF Ñ USAR'!A286</f>
        <v/>
      </c>
      <c r="B286" s="179" t="str">
        <f ca="1">'PRICE_IOF Ñ USAR'!B286</f>
        <v/>
      </c>
      <c r="C286" s="177" t="str">
        <f t="shared" ca="1" si="91"/>
        <v/>
      </c>
      <c r="D286" s="24" t="str">
        <f t="shared" ca="1" si="100"/>
        <v/>
      </c>
      <c r="E286" s="177" t="str">
        <f t="shared" ca="1" si="92"/>
        <v/>
      </c>
      <c r="F286" s="178" t="str">
        <f t="shared" ca="1" si="93"/>
        <v/>
      </c>
      <c r="G286" s="178" t="str">
        <f t="shared" ca="1" si="94"/>
        <v/>
      </c>
      <c r="H286" s="177" t="str">
        <f t="shared" ca="1" si="95"/>
        <v/>
      </c>
      <c r="I286" s="25">
        <f t="shared" ca="1" si="96"/>
        <v>0</v>
      </c>
      <c r="J286" s="9" t="str">
        <f ca="1">'PRICE_IOF Ñ USAR'!J286</f>
        <v/>
      </c>
      <c r="K286" s="9" t="str">
        <f ca="1">'PRICE_IOF Ñ USAR'!K286</f>
        <v/>
      </c>
      <c r="L286" s="9" t="str">
        <f ca="1">'PRICE_IOF Ñ USAR'!L286</f>
        <v/>
      </c>
      <c r="N286" s="176" t="str">
        <f t="shared" ca="1" si="97"/>
        <v/>
      </c>
      <c r="O286" s="176" t="str">
        <f t="shared" ca="1" si="101"/>
        <v/>
      </c>
      <c r="P286" s="175" t="str">
        <f t="shared" ca="1" si="84"/>
        <v/>
      </c>
      <c r="Q286" s="11" t="str">
        <f t="shared" ca="1" si="85"/>
        <v/>
      </c>
      <c r="R286" s="12" t="str">
        <f t="shared" ca="1" si="86"/>
        <v/>
      </c>
      <c r="S286" s="513"/>
      <c r="U286" t="str">
        <f t="shared" ca="1" si="102"/>
        <v/>
      </c>
      <c r="V286" s="31">
        <f t="shared" ca="1" si="103"/>
        <v>0</v>
      </c>
      <c r="X286" s="58" t="str">
        <f t="shared" ca="1" si="87"/>
        <v/>
      </c>
      <c r="Y286" s="61" t="str">
        <f t="shared" ca="1" si="88"/>
        <v/>
      </c>
      <c r="Z286" s="31" t="str">
        <f t="shared" ca="1" si="98"/>
        <v/>
      </c>
      <c r="AA286" s="31" t="e">
        <f t="shared" ca="1" si="104"/>
        <v>#VALUE!</v>
      </c>
      <c r="AB286" s="31" t="str">
        <f t="shared" ca="1" si="99"/>
        <v/>
      </c>
      <c r="AC286" t="str">
        <f t="shared" ca="1" si="89"/>
        <v/>
      </c>
      <c r="AD286" t="str">
        <f t="shared" ca="1" si="90"/>
        <v/>
      </c>
    </row>
    <row r="287" spans="1:30">
      <c r="A287" s="180" t="str">
        <f ca="1">'PRICE_IOF Ñ USAR'!A287</f>
        <v/>
      </c>
      <c r="B287" s="179" t="str">
        <f ca="1">'PRICE_IOF Ñ USAR'!B287</f>
        <v/>
      </c>
      <c r="C287" s="177" t="str">
        <f t="shared" ca="1" si="91"/>
        <v/>
      </c>
      <c r="D287" s="24" t="str">
        <f t="shared" ca="1" si="100"/>
        <v/>
      </c>
      <c r="E287" s="177" t="str">
        <f t="shared" ca="1" si="92"/>
        <v/>
      </c>
      <c r="F287" s="178" t="str">
        <f t="shared" ca="1" si="93"/>
        <v/>
      </c>
      <c r="G287" s="178" t="str">
        <f t="shared" ca="1" si="94"/>
        <v/>
      </c>
      <c r="H287" s="177" t="str">
        <f t="shared" ca="1" si="95"/>
        <v/>
      </c>
      <c r="I287" s="25">
        <f t="shared" ca="1" si="96"/>
        <v>0</v>
      </c>
      <c r="J287" s="9" t="str">
        <f ca="1">'PRICE_IOF Ñ USAR'!J287</f>
        <v/>
      </c>
      <c r="K287" s="9" t="str">
        <f ca="1">'PRICE_IOF Ñ USAR'!K287</f>
        <v/>
      </c>
      <c r="L287" s="9" t="str">
        <f ca="1">'PRICE_IOF Ñ USAR'!L287</f>
        <v/>
      </c>
      <c r="N287" s="176" t="str">
        <f t="shared" ca="1" si="97"/>
        <v/>
      </c>
      <c r="O287" s="176" t="str">
        <f t="shared" ca="1" si="101"/>
        <v/>
      </c>
      <c r="P287" s="175" t="str">
        <f t="shared" ca="1" si="84"/>
        <v/>
      </c>
      <c r="Q287" s="11" t="str">
        <f t="shared" ca="1" si="85"/>
        <v/>
      </c>
      <c r="R287" s="12" t="str">
        <f t="shared" ca="1" si="86"/>
        <v/>
      </c>
      <c r="S287" s="513"/>
      <c r="U287" t="str">
        <f t="shared" ca="1" si="102"/>
        <v/>
      </c>
      <c r="V287" s="31">
        <f t="shared" ca="1" si="103"/>
        <v>0</v>
      </c>
      <c r="X287" s="58" t="str">
        <f t="shared" ca="1" si="87"/>
        <v/>
      </c>
      <c r="Y287" s="61" t="str">
        <f t="shared" ca="1" si="88"/>
        <v/>
      </c>
      <c r="Z287" s="31" t="str">
        <f t="shared" ca="1" si="98"/>
        <v/>
      </c>
      <c r="AA287" s="31" t="e">
        <f t="shared" ca="1" si="104"/>
        <v>#VALUE!</v>
      </c>
      <c r="AB287" s="31" t="str">
        <f t="shared" ca="1" si="99"/>
        <v/>
      </c>
      <c r="AC287" t="str">
        <f t="shared" ca="1" si="89"/>
        <v/>
      </c>
      <c r="AD287" t="str">
        <f t="shared" ca="1" si="90"/>
        <v/>
      </c>
    </row>
    <row r="288" spans="1:30">
      <c r="A288" s="180" t="str">
        <f ca="1">'PRICE_IOF Ñ USAR'!A288</f>
        <v/>
      </c>
      <c r="B288" s="179" t="str">
        <f ca="1">'PRICE_IOF Ñ USAR'!B288</f>
        <v/>
      </c>
      <c r="C288" s="177" t="str">
        <f t="shared" ca="1" si="91"/>
        <v/>
      </c>
      <c r="D288" s="24" t="str">
        <f t="shared" ca="1" si="100"/>
        <v/>
      </c>
      <c r="E288" s="177" t="str">
        <f t="shared" ca="1" si="92"/>
        <v/>
      </c>
      <c r="F288" s="178" t="str">
        <f t="shared" ca="1" si="93"/>
        <v/>
      </c>
      <c r="G288" s="178" t="str">
        <f t="shared" ca="1" si="94"/>
        <v/>
      </c>
      <c r="H288" s="177" t="str">
        <f t="shared" ca="1" si="95"/>
        <v/>
      </c>
      <c r="I288" s="25">
        <f t="shared" ca="1" si="96"/>
        <v>0</v>
      </c>
      <c r="J288" s="9" t="str">
        <f ca="1">'PRICE_IOF Ñ USAR'!J288</f>
        <v/>
      </c>
      <c r="K288" s="9" t="str">
        <f ca="1">'PRICE_IOF Ñ USAR'!K288</f>
        <v/>
      </c>
      <c r="L288" s="9" t="str">
        <f ca="1">'PRICE_IOF Ñ USAR'!L288</f>
        <v/>
      </c>
      <c r="N288" s="176" t="str">
        <f t="shared" ca="1" si="97"/>
        <v/>
      </c>
      <c r="O288" s="176" t="str">
        <f t="shared" ca="1" si="101"/>
        <v/>
      </c>
      <c r="P288" s="175" t="str">
        <f t="shared" ca="1" si="84"/>
        <v/>
      </c>
      <c r="Q288" s="11" t="str">
        <f t="shared" ca="1" si="85"/>
        <v/>
      </c>
      <c r="R288" s="12" t="str">
        <f t="shared" ca="1" si="86"/>
        <v/>
      </c>
      <c r="S288" s="513"/>
      <c r="U288" t="str">
        <f t="shared" ca="1" si="102"/>
        <v/>
      </c>
      <c r="V288" s="31">
        <f t="shared" ca="1" si="103"/>
        <v>0</v>
      </c>
      <c r="X288" s="58" t="str">
        <f t="shared" ca="1" si="87"/>
        <v/>
      </c>
      <c r="Y288" s="61" t="str">
        <f t="shared" ca="1" si="88"/>
        <v/>
      </c>
      <c r="Z288" s="31" t="str">
        <f t="shared" ca="1" si="98"/>
        <v/>
      </c>
      <c r="AA288" s="31" t="e">
        <f t="shared" ca="1" si="104"/>
        <v>#VALUE!</v>
      </c>
      <c r="AB288" s="31" t="str">
        <f t="shared" ca="1" si="99"/>
        <v/>
      </c>
      <c r="AC288" t="str">
        <f t="shared" ca="1" si="89"/>
        <v/>
      </c>
      <c r="AD288" t="str">
        <f t="shared" ca="1" si="90"/>
        <v/>
      </c>
    </row>
    <row r="289" spans="1:30">
      <c r="A289" s="180" t="str">
        <f ca="1">'PRICE_IOF Ñ USAR'!A289</f>
        <v/>
      </c>
      <c r="B289" s="179" t="str">
        <f ca="1">'PRICE_IOF Ñ USAR'!B289</f>
        <v/>
      </c>
      <c r="C289" s="177" t="str">
        <f t="shared" ca="1" si="91"/>
        <v/>
      </c>
      <c r="D289" s="24" t="str">
        <f t="shared" ca="1" si="100"/>
        <v/>
      </c>
      <c r="E289" s="177" t="str">
        <f t="shared" ca="1" si="92"/>
        <v/>
      </c>
      <c r="F289" s="178" t="str">
        <f t="shared" ca="1" si="93"/>
        <v/>
      </c>
      <c r="G289" s="178" t="str">
        <f t="shared" ca="1" si="94"/>
        <v/>
      </c>
      <c r="H289" s="177" t="str">
        <f t="shared" ca="1" si="95"/>
        <v/>
      </c>
      <c r="I289" s="25">
        <f t="shared" ca="1" si="96"/>
        <v>0</v>
      </c>
      <c r="J289" s="9" t="str">
        <f ca="1">'PRICE_IOF Ñ USAR'!J289</f>
        <v/>
      </c>
      <c r="K289" s="9" t="str">
        <f ca="1">'PRICE_IOF Ñ USAR'!K289</f>
        <v/>
      </c>
      <c r="L289" s="9" t="str">
        <f ca="1">'PRICE_IOF Ñ USAR'!L289</f>
        <v/>
      </c>
      <c r="N289" s="176" t="str">
        <f t="shared" ca="1" si="97"/>
        <v/>
      </c>
      <c r="O289" s="176" t="str">
        <f t="shared" ca="1" si="101"/>
        <v/>
      </c>
      <c r="P289" s="175" t="str">
        <f t="shared" ca="1" si="84"/>
        <v/>
      </c>
      <c r="Q289" s="11" t="str">
        <f t="shared" ca="1" si="85"/>
        <v/>
      </c>
      <c r="R289" s="12" t="str">
        <f t="shared" ca="1" si="86"/>
        <v/>
      </c>
      <c r="S289" s="513"/>
      <c r="U289" t="str">
        <f t="shared" ca="1" si="102"/>
        <v/>
      </c>
      <c r="V289" s="31">
        <f t="shared" ca="1" si="103"/>
        <v>0</v>
      </c>
      <c r="X289" s="58" t="str">
        <f t="shared" ca="1" si="87"/>
        <v/>
      </c>
      <c r="Y289" s="61" t="str">
        <f t="shared" ca="1" si="88"/>
        <v/>
      </c>
      <c r="Z289" s="31" t="str">
        <f t="shared" ca="1" si="98"/>
        <v/>
      </c>
      <c r="AA289" s="31" t="e">
        <f t="shared" ca="1" si="104"/>
        <v>#VALUE!</v>
      </c>
      <c r="AB289" s="31" t="str">
        <f t="shared" ca="1" si="99"/>
        <v/>
      </c>
      <c r="AC289" t="str">
        <f t="shared" ca="1" si="89"/>
        <v/>
      </c>
      <c r="AD289" t="str">
        <f t="shared" ca="1" si="90"/>
        <v/>
      </c>
    </row>
    <row r="290" spans="1:30">
      <c r="A290" s="180" t="str">
        <f ca="1">'PRICE_IOF Ñ USAR'!A290</f>
        <v/>
      </c>
      <c r="B290" s="179" t="str">
        <f ca="1">'PRICE_IOF Ñ USAR'!B290</f>
        <v/>
      </c>
      <c r="C290" s="177" t="str">
        <f t="shared" ca="1" si="91"/>
        <v/>
      </c>
      <c r="D290" s="24" t="str">
        <f t="shared" ca="1" si="100"/>
        <v/>
      </c>
      <c r="E290" s="177" t="str">
        <f t="shared" ca="1" si="92"/>
        <v/>
      </c>
      <c r="F290" s="178" t="str">
        <f t="shared" ca="1" si="93"/>
        <v/>
      </c>
      <c r="G290" s="178" t="str">
        <f t="shared" ca="1" si="94"/>
        <v/>
      </c>
      <c r="H290" s="177" t="str">
        <f t="shared" ca="1" si="95"/>
        <v/>
      </c>
      <c r="I290" s="25">
        <f t="shared" ca="1" si="96"/>
        <v>0</v>
      </c>
      <c r="J290" s="9" t="str">
        <f ca="1">'PRICE_IOF Ñ USAR'!J290</f>
        <v/>
      </c>
      <c r="K290" s="9" t="str">
        <f ca="1">'PRICE_IOF Ñ USAR'!K290</f>
        <v/>
      </c>
      <c r="L290" s="9" t="str">
        <f ca="1">'PRICE_IOF Ñ USAR'!L290</f>
        <v/>
      </c>
      <c r="N290" s="176" t="str">
        <f t="shared" ca="1" si="97"/>
        <v/>
      </c>
      <c r="O290" s="176" t="str">
        <f t="shared" ca="1" si="101"/>
        <v/>
      </c>
      <c r="P290" s="175" t="str">
        <f t="shared" ca="1" si="84"/>
        <v/>
      </c>
      <c r="Q290" s="11" t="str">
        <f t="shared" ca="1" si="85"/>
        <v/>
      </c>
      <c r="R290" s="12" t="str">
        <f t="shared" ca="1" si="86"/>
        <v/>
      </c>
      <c r="S290" s="513"/>
      <c r="U290" t="str">
        <f t="shared" ca="1" si="102"/>
        <v/>
      </c>
      <c r="V290" s="31">
        <f t="shared" ca="1" si="103"/>
        <v>0</v>
      </c>
      <c r="X290" s="58" t="str">
        <f t="shared" ca="1" si="87"/>
        <v/>
      </c>
      <c r="Y290" s="61" t="str">
        <f t="shared" ca="1" si="88"/>
        <v/>
      </c>
      <c r="Z290" s="31" t="str">
        <f t="shared" ca="1" si="98"/>
        <v/>
      </c>
      <c r="AA290" s="31" t="e">
        <f t="shared" ca="1" si="104"/>
        <v>#VALUE!</v>
      </c>
      <c r="AB290" s="31" t="str">
        <f t="shared" ca="1" si="99"/>
        <v/>
      </c>
      <c r="AC290" t="str">
        <f t="shared" ca="1" si="89"/>
        <v/>
      </c>
      <c r="AD290" t="str">
        <f t="shared" ca="1" si="90"/>
        <v/>
      </c>
    </row>
    <row r="291" spans="1:30">
      <c r="A291" s="180" t="str">
        <f ca="1">'PRICE_IOF Ñ USAR'!A291</f>
        <v/>
      </c>
      <c r="B291" s="179" t="str">
        <f ca="1">'PRICE_IOF Ñ USAR'!B291</f>
        <v/>
      </c>
      <c r="C291" s="177" t="str">
        <f t="shared" ca="1" si="91"/>
        <v/>
      </c>
      <c r="D291" s="24" t="str">
        <f t="shared" ca="1" si="100"/>
        <v/>
      </c>
      <c r="E291" s="177" t="str">
        <f t="shared" ca="1" si="92"/>
        <v/>
      </c>
      <c r="F291" s="178" t="str">
        <f t="shared" ca="1" si="93"/>
        <v/>
      </c>
      <c r="G291" s="178" t="str">
        <f t="shared" ca="1" si="94"/>
        <v/>
      </c>
      <c r="H291" s="177" t="str">
        <f t="shared" ca="1" si="95"/>
        <v/>
      </c>
      <c r="I291" s="25">
        <f t="shared" ca="1" si="96"/>
        <v>0</v>
      </c>
      <c r="J291" s="9" t="str">
        <f ca="1">'PRICE_IOF Ñ USAR'!J291</f>
        <v/>
      </c>
      <c r="K291" s="9" t="str">
        <f ca="1">'PRICE_IOF Ñ USAR'!K291</f>
        <v/>
      </c>
      <c r="L291" s="9" t="str">
        <f ca="1">'PRICE_IOF Ñ USAR'!L291</f>
        <v/>
      </c>
      <c r="N291" s="176" t="str">
        <f t="shared" ca="1" si="97"/>
        <v/>
      </c>
      <c r="O291" s="176" t="str">
        <f t="shared" ca="1" si="101"/>
        <v/>
      </c>
      <c r="P291" s="175" t="str">
        <f t="shared" ca="1" si="84"/>
        <v/>
      </c>
      <c r="Q291" s="11" t="str">
        <f t="shared" ca="1" si="85"/>
        <v/>
      </c>
      <c r="R291" s="12" t="str">
        <f t="shared" ca="1" si="86"/>
        <v/>
      </c>
      <c r="S291" s="513"/>
      <c r="U291" t="str">
        <f t="shared" ca="1" si="102"/>
        <v/>
      </c>
      <c r="V291" s="31">
        <f t="shared" ca="1" si="103"/>
        <v>0</v>
      </c>
      <c r="X291" s="58" t="str">
        <f t="shared" ca="1" si="87"/>
        <v/>
      </c>
      <c r="Y291" s="61" t="str">
        <f t="shared" ca="1" si="88"/>
        <v/>
      </c>
      <c r="Z291" s="31" t="str">
        <f t="shared" ca="1" si="98"/>
        <v/>
      </c>
      <c r="AA291" s="31" t="e">
        <f t="shared" ca="1" si="104"/>
        <v>#VALUE!</v>
      </c>
      <c r="AB291" s="31" t="str">
        <f t="shared" ca="1" si="99"/>
        <v/>
      </c>
      <c r="AC291" t="str">
        <f t="shared" ca="1" si="89"/>
        <v/>
      </c>
      <c r="AD291" t="str">
        <f t="shared" ca="1" si="90"/>
        <v/>
      </c>
    </row>
    <row r="292" spans="1:30">
      <c r="A292" s="180" t="str">
        <f ca="1">'PRICE_IOF Ñ USAR'!A292</f>
        <v/>
      </c>
      <c r="B292" s="179" t="str">
        <f ca="1">'PRICE_IOF Ñ USAR'!B292</f>
        <v/>
      </c>
      <c r="C292" s="177" t="str">
        <f t="shared" ca="1" si="91"/>
        <v/>
      </c>
      <c r="D292" s="24" t="str">
        <f t="shared" ca="1" si="100"/>
        <v/>
      </c>
      <c r="E292" s="177" t="str">
        <f t="shared" ca="1" si="92"/>
        <v/>
      </c>
      <c r="F292" s="178" t="str">
        <f t="shared" ca="1" si="93"/>
        <v/>
      </c>
      <c r="G292" s="178" t="str">
        <f t="shared" ca="1" si="94"/>
        <v/>
      </c>
      <c r="H292" s="177" t="str">
        <f t="shared" ca="1" si="95"/>
        <v/>
      </c>
      <c r="I292" s="25">
        <f t="shared" ca="1" si="96"/>
        <v>0</v>
      </c>
      <c r="J292" s="9" t="str">
        <f ca="1">'PRICE_IOF Ñ USAR'!J292</f>
        <v/>
      </c>
      <c r="K292" s="9" t="str">
        <f ca="1">'PRICE_IOF Ñ USAR'!K292</f>
        <v/>
      </c>
      <c r="L292" s="9" t="str">
        <f ca="1">'PRICE_IOF Ñ USAR'!L292</f>
        <v/>
      </c>
      <c r="N292" s="176" t="str">
        <f t="shared" ca="1" si="97"/>
        <v/>
      </c>
      <c r="O292" s="176" t="str">
        <f t="shared" ca="1" si="101"/>
        <v/>
      </c>
      <c r="P292" s="175" t="str">
        <f t="shared" ca="1" si="84"/>
        <v/>
      </c>
      <c r="Q292" s="11" t="str">
        <f t="shared" ca="1" si="85"/>
        <v/>
      </c>
      <c r="R292" s="12" t="str">
        <f t="shared" ca="1" si="86"/>
        <v/>
      </c>
      <c r="S292" s="513"/>
      <c r="U292" t="str">
        <f t="shared" ca="1" si="102"/>
        <v/>
      </c>
      <c r="V292" s="31">
        <f t="shared" ca="1" si="103"/>
        <v>0</v>
      </c>
      <c r="X292" s="58" t="str">
        <f t="shared" ca="1" si="87"/>
        <v/>
      </c>
      <c r="Y292" s="61" t="str">
        <f t="shared" ca="1" si="88"/>
        <v/>
      </c>
      <c r="Z292" s="31" t="str">
        <f t="shared" ca="1" si="98"/>
        <v/>
      </c>
      <c r="AA292" s="31" t="e">
        <f t="shared" ca="1" si="104"/>
        <v>#VALUE!</v>
      </c>
      <c r="AB292" s="31" t="str">
        <f t="shared" ca="1" si="99"/>
        <v/>
      </c>
      <c r="AC292" t="str">
        <f t="shared" ca="1" si="89"/>
        <v/>
      </c>
      <c r="AD292" t="str">
        <f t="shared" ca="1" si="90"/>
        <v/>
      </c>
    </row>
    <row r="293" spans="1:30">
      <c r="A293" s="180" t="str">
        <f ca="1">'PRICE_IOF Ñ USAR'!A293</f>
        <v/>
      </c>
      <c r="B293" s="179" t="str">
        <f ca="1">'PRICE_IOF Ñ USAR'!B293</f>
        <v/>
      </c>
      <c r="C293" s="177" t="str">
        <f t="shared" ca="1" si="91"/>
        <v/>
      </c>
      <c r="D293" s="24" t="str">
        <f t="shared" ca="1" si="100"/>
        <v/>
      </c>
      <c r="E293" s="177" t="str">
        <f t="shared" ca="1" si="92"/>
        <v/>
      </c>
      <c r="F293" s="178" t="str">
        <f t="shared" ca="1" si="93"/>
        <v/>
      </c>
      <c r="G293" s="178" t="str">
        <f t="shared" ca="1" si="94"/>
        <v/>
      </c>
      <c r="H293" s="177" t="str">
        <f t="shared" ca="1" si="95"/>
        <v/>
      </c>
      <c r="I293" s="25">
        <f t="shared" ca="1" si="96"/>
        <v>0</v>
      </c>
      <c r="J293" s="9" t="str">
        <f ca="1">'PRICE_IOF Ñ USAR'!J293</f>
        <v/>
      </c>
      <c r="K293" s="9" t="str">
        <f ca="1">'PRICE_IOF Ñ USAR'!K293</f>
        <v/>
      </c>
      <c r="L293" s="9" t="str">
        <f ca="1">'PRICE_IOF Ñ USAR'!L293</f>
        <v/>
      </c>
      <c r="N293" s="176" t="str">
        <f t="shared" ca="1" si="97"/>
        <v/>
      </c>
      <c r="O293" s="176" t="str">
        <f t="shared" ca="1" si="101"/>
        <v/>
      </c>
      <c r="P293" s="175" t="str">
        <f t="shared" ca="1" si="84"/>
        <v/>
      </c>
      <c r="Q293" s="11" t="str">
        <f t="shared" ca="1" si="85"/>
        <v/>
      </c>
      <c r="R293" s="12" t="str">
        <f t="shared" ca="1" si="86"/>
        <v/>
      </c>
      <c r="S293" s="513"/>
      <c r="U293" t="str">
        <f t="shared" ca="1" si="102"/>
        <v/>
      </c>
      <c r="V293" s="31">
        <f t="shared" ca="1" si="103"/>
        <v>0</v>
      </c>
      <c r="X293" s="58" t="str">
        <f t="shared" ca="1" si="87"/>
        <v/>
      </c>
      <c r="Y293" s="61" t="str">
        <f t="shared" ca="1" si="88"/>
        <v/>
      </c>
      <c r="Z293" s="31" t="str">
        <f t="shared" ca="1" si="98"/>
        <v/>
      </c>
      <c r="AA293" s="31" t="e">
        <f t="shared" ca="1" si="104"/>
        <v>#VALUE!</v>
      </c>
      <c r="AB293" s="31" t="str">
        <f t="shared" ca="1" si="99"/>
        <v/>
      </c>
      <c r="AC293" t="str">
        <f t="shared" ca="1" si="89"/>
        <v/>
      </c>
      <c r="AD293" t="str">
        <f t="shared" ca="1" si="90"/>
        <v/>
      </c>
    </row>
    <row r="294" spans="1:30">
      <c r="A294" s="180" t="str">
        <f ca="1">'PRICE_IOF Ñ USAR'!A294</f>
        <v/>
      </c>
      <c r="B294" s="179" t="str">
        <f ca="1">'PRICE_IOF Ñ USAR'!B294</f>
        <v/>
      </c>
      <c r="C294" s="177" t="str">
        <f t="shared" ca="1" si="91"/>
        <v/>
      </c>
      <c r="D294" s="24" t="str">
        <f t="shared" ca="1" si="100"/>
        <v/>
      </c>
      <c r="E294" s="177" t="str">
        <f t="shared" ca="1" si="92"/>
        <v/>
      </c>
      <c r="F294" s="178" t="str">
        <f t="shared" ca="1" si="93"/>
        <v/>
      </c>
      <c r="G294" s="178" t="str">
        <f t="shared" ca="1" si="94"/>
        <v/>
      </c>
      <c r="H294" s="177" t="str">
        <f t="shared" ca="1" si="95"/>
        <v/>
      </c>
      <c r="I294" s="25">
        <f t="shared" ca="1" si="96"/>
        <v>0</v>
      </c>
      <c r="J294" s="9" t="str">
        <f ca="1">'PRICE_IOF Ñ USAR'!J294</f>
        <v/>
      </c>
      <c r="K294" s="9" t="str">
        <f ca="1">'PRICE_IOF Ñ USAR'!K294</f>
        <v/>
      </c>
      <c r="L294" s="9" t="str">
        <f ca="1">'PRICE_IOF Ñ USAR'!L294</f>
        <v/>
      </c>
      <c r="N294" s="176" t="str">
        <f t="shared" ca="1" si="97"/>
        <v/>
      </c>
      <c r="O294" s="176" t="str">
        <f t="shared" ca="1" si="101"/>
        <v/>
      </c>
      <c r="P294" s="175" t="str">
        <f t="shared" ca="1" si="84"/>
        <v/>
      </c>
      <c r="Q294" s="11" t="str">
        <f t="shared" ca="1" si="85"/>
        <v/>
      </c>
      <c r="R294" s="12" t="str">
        <f t="shared" ca="1" si="86"/>
        <v/>
      </c>
      <c r="S294" s="513"/>
      <c r="U294" t="str">
        <f t="shared" ca="1" si="102"/>
        <v/>
      </c>
      <c r="V294" s="31">
        <f t="shared" ca="1" si="103"/>
        <v>0</v>
      </c>
      <c r="X294" s="58" t="str">
        <f t="shared" ca="1" si="87"/>
        <v/>
      </c>
      <c r="Y294" s="61" t="str">
        <f t="shared" ca="1" si="88"/>
        <v/>
      </c>
      <c r="Z294" s="31" t="str">
        <f t="shared" ca="1" si="98"/>
        <v/>
      </c>
      <c r="AA294" s="31" t="e">
        <f t="shared" ca="1" si="104"/>
        <v>#VALUE!</v>
      </c>
      <c r="AB294" s="31" t="str">
        <f t="shared" ca="1" si="99"/>
        <v/>
      </c>
      <c r="AC294" t="str">
        <f t="shared" ca="1" si="89"/>
        <v/>
      </c>
      <c r="AD294" t="str">
        <f t="shared" ca="1" si="90"/>
        <v/>
      </c>
    </row>
    <row r="295" spans="1:30">
      <c r="A295" s="180" t="str">
        <f ca="1">'PRICE_IOF Ñ USAR'!A295</f>
        <v/>
      </c>
      <c r="B295" s="179" t="str">
        <f ca="1">'PRICE_IOF Ñ USAR'!B295</f>
        <v/>
      </c>
      <c r="C295" s="177" t="str">
        <f t="shared" ca="1" si="91"/>
        <v/>
      </c>
      <c r="D295" s="24" t="str">
        <f t="shared" ca="1" si="100"/>
        <v/>
      </c>
      <c r="E295" s="177" t="str">
        <f t="shared" ca="1" si="92"/>
        <v/>
      </c>
      <c r="F295" s="178" t="str">
        <f t="shared" ca="1" si="93"/>
        <v/>
      </c>
      <c r="G295" s="178" t="str">
        <f t="shared" ca="1" si="94"/>
        <v/>
      </c>
      <c r="H295" s="177" t="str">
        <f t="shared" ca="1" si="95"/>
        <v/>
      </c>
      <c r="I295" s="25">
        <f t="shared" ca="1" si="96"/>
        <v>0</v>
      </c>
      <c r="J295" s="9" t="str">
        <f ca="1">'PRICE_IOF Ñ USAR'!J295</f>
        <v/>
      </c>
      <c r="K295" s="9" t="str">
        <f ca="1">'PRICE_IOF Ñ USAR'!K295</f>
        <v/>
      </c>
      <c r="L295" s="9" t="str">
        <f ca="1">'PRICE_IOF Ñ USAR'!L295</f>
        <v/>
      </c>
      <c r="N295" s="176" t="str">
        <f t="shared" ca="1" si="97"/>
        <v/>
      </c>
      <c r="O295" s="176" t="str">
        <f t="shared" ca="1" si="101"/>
        <v/>
      </c>
      <c r="P295" s="175" t="str">
        <f t="shared" ca="1" si="84"/>
        <v/>
      </c>
      <c r="Q295" s="11" t="str">
        <f t="shared" ca="1" si="85"/>
        <v/>
      </c>
      <c r="R295" s="12" t="str">
        <f t="shared" ca="1" si="86"/>
        <v/>
      </c>
      <c r="S295" s="513"/>
      <c r="U295" t="str">
        <f t="shared" ca="1" si="102"/>
        <v/>
      </c>
      <c r="V295" s="31">
        <f t="shared" ca="1" si="103"/>
        <v>0</v>
      </c>
      <c r="X295" s="58" t="str">
        <f t="shared" ca="1" si="87"/>
        <v/>
      </c>
      <c r="Y295" s="61" t="str">
        <f t="shared" ca="1" si="88"/>
        <v/>
      </c>
      <c r="Z295" s="31" t="str">
        <f t="shared" ca="1" si="98"/>
        <v/>
      </c>
      <c r="AA295" s="31" t="e">
        <f t="shared" ca="1" si="104"/>
        <v>#VALUE!</v>
      </c>
      <c r="AB295" s="31" t="str">
        <f t="shared" ca="1" si="99"/>
        <v/>
      </c>
      <c r="AC295" t="str">
        <f t="shared" ca="1" si="89"/>
        <v/>
      </c>
      <c r="AD295" t="str">
        <f t="shared" ca="1" si="90"/>
        <v/>
      </c>
    </row>
    <row r="296" spans="1:30">
      <c r="A296" s="180" t="str">
        <f ca="1">'PRICE_IOF Ñ USAR'!A296</f>
        <v/>
      </c>
      <c r="B296" s="179" t="str">
        <f ca="1">'PRICE_IOF Ñ USAR'!B296</f>
        <v/>
      </c>
      <c r="C296" s="177" t="str">
        <f t="shared" ca="1" si="91"/>
        <v/>
      </c>
      <c r="D296" s="24" t="str">
        <f t="shared" ca="1" si="100"/>
        <v/>
      </c>
      <c r="E296" s="177" t="str">
        <f t="shared" ca="1" si="92"/>
        <v/>
      </c>
      <c r="F296" s="178" t="str">
        <f t="shared" ca="1" si="93"/>
        <v/>
      </c>
      <c r="G296" s="178" t="str">
        <f t="shared" ca="1" si="94"/>
        <v/>
      </c>
      <c r="H296" s="177" t="str">
        <f t="shared" ca="1" si="95"/>
        <v/>
      </c>
      <c r="I296" s="25">
        <f t="shared" ca="1" si="96"/>
        <v>0</v>
      </c>
      <c r="J296" s="9" t="str">
        <f ca="1">'PRICE_IOF Ñ USAR'!J296</f>
        <v/>
      </c>
      <c r="K296" s="9" t="str">
        <f ca="1">'PRICE_IOF Ñ USAR'!K296</f>
        <v/>
      </c>
      <c r="L296" s="9" t="str">
        <f ca="1">'PRICE_IOF Ñ USAR'!L296</f>
        <v/>
      </c>
      <c r="N296" s="176" t="str">
        <f t="shared" ca="1" si="97"/>
        <v/>
      </c>
      <c r="O296" s="176" t="str">
        <f t="shared" ca="1" si="101"/>
        <v/>
      </c>
      <c r="P296" s="175" t="str">
        <f t="shared" ca="1" si="84"/>
        <v/>
      </c>
      <c r="Q296" s="11" t="str">
        <f t="shared" ca="1" si="85"/>
        <v/>
      </c>
      <c r="R296" s="12" t="str">
        <f t="shared" ca="1" si="86"/>
        <v/>
      </c>
      <c r="S296" s="513"/>
      <c r="U296" t="str">
        <f t="shared" ca="1" si="102"/>
        <v/>
      </c>
      <c r="V296" s="31">
        <f t="shared" ca="1" si="103"/>
        <v>0</v>
      </c>
      <c r="X296" s="58" t="str">
        <f t="shared" ca="1" si="87"/>
        <v/>
      </c>
      <c r="Y296" s="61" t="str">
        <f t="shared" ca="1" si="88"/>
        <v/>
      </c>
      <c r="Z296" s="31" t="str">
        <f t="shared" ca="1" si="98"/>
        <v/>
      </c>
      <c r="AA296" s="31" t="e">
        <f t="shared" ca="1" si="104"/>
        <v>#VALUE!</v>
      </c>
      <c r="AB296" s="31" t="str">
        <f t="shared" ca="1" si="99"/>
        <v/>
      </c>
      <c r="AC296" t="str">
        <f t="shared" ca="1" si="89"/>
        <v/>
      </c>
      <c r="AD296" t="str">
        <f t="shared" ca="1" si="90"/>
        <v/>
      </c>
    </row>
    <row r="297" spans="1:30">
      <c r="A297" s="180" t="str">
        <f ca="1">'PRICE_IOF Ñ USAR'!A297</f>
        <v/>
      </c>
      <c r="B297" s="179" t="str">
        <f ca="1">'PRICE_IOF Ñ USAR'!B297</f>
        <v/>
      </c>
      <c r="C297" s="177" t="str">
        <f t="shared" ca="1" si="91"/>
        <v/>
      </c>
      <c r="D297" s="24" t="str">
        <f t="shared" ca="1" si="100"/>
        <v/>
      </c>
      <c r="E297" s="177" t="str">
        <f t="shared" ca="1" si="92"/>
        <v/>
      </c>
      <c r="F297" s="178" t="str">
        <f t="shared" ca="1" si="93"/>
        <v/>
      </c>
      <c r="G297" s="178" t="str">
        <f t="shared" ca="1" si="94"/>
        <v/>
      </c>
      <c r="H297" s="177" t="str">
        <f t="shared" ca="1" si="95"/>
        <v/>
      </c>
      <c r="I297" s="25">
        <f t="shared" ca="1" si="96"/>
        <v>0</v>
      </c>
      <c r="J297" s="9" t="str">
        <f ca="1">'PRICE_IOF Ñ USAR'!J297</f>
        <v/>
      </c>
      <c r="K297" s="9" t="str">
        <f ca="1">'PRICE_IOF Ñ USAR'!K297</f>
        <v/>
      </c>
      <c r="L297" s="9" t="str">
        <f ca="1">'PRICE_IOF Ñ USAR'!L297</f>
        <v/>
      </c>
      <c r="N297" s="176" t="str">
        <f t="shared" ca="1" si="97"/>
        <v/>
      </c>
      <c r="O297" s="176" t="str">
        <f t="shared" ca="1" si="101"/>
        <v/>
      </c>
      <c r="P297" s="175" t="str">
        <f t="shared" ca="1" si="84"/>
        <v/>
      </c>
      <c r="Q297" s="11" t="str">
        <f t="shared" ca="1" si="85"/>
        <v/>
      </c>
      <c r="R297" s="12" t="str">
        <f t="shared" ca="1" si="86"/>
        <v/>
      </c>
      <c r="S297" s="513"/>
      <c r="U297" t="str">
        <f t="shared" ca="1" si="102"/>
        <v/>
      </c>
      <c r="V297" s="31">
        <f t="shared" ca="1" si="103"/>
        <v>0</v>
      </c>
      <c r="X297" s="58" t="str">
        <f t="shared" ca="1" si="87"/>
        <v/>
      </c>
      <c r="Y297" s="61" t="str">
        <f t="shared" ca="1" si="88"/>
        <v/>
      </c>
      <c r="Z297" s="31" t="str">
        <f t="shared" ca="1" si="98"/>
        <v/>
      </c>
      <c r="AA297" s="31" t="e">
        <f t="shared" ca="1" si="104"/>
        <v>#VALUE!</v>
      </c>
      <c r="AB297" s="31" t="str">
        <f t="shared" ca="1" si="99"/>
        <v/>
      </c>
      <c r="AC297" t="str">
        <f t="shared" ca="1" si="89"/>
        <v/>
      </c>
      <c r="AD297" t="str">
        <f t="shared" ca="1" si="90"/>
        <v/>
      </c>
    </row>
    <row r="298" spans="1:30">
      <c r="A298" s="180" t="str">
        <f ca="1">'PRICE_IOF Ñ USAR'!A298</f>
        <v/>
      </c>
      <c r="B298" s="179" t="str">
        <f ca="1">'PRICE_IOF Ñ USAR'!B298</f>
        <v/>
      </c>
      <c r="C298" s="177" t="str">
        <f t="shared" ca="1" si="91"/>
        <v/>
      </c>
      <c r="D298" s="24" t="str">
        <f t="shared" ca="1" si="100"/>
        <v/>
      </c>
      <c r="E298" s="177" t="str">
        <f t="shared" ca="1" si="92"/>
        <v/>
      </c>
      <c r="F298" s="178" t="str">
        <f t="shared" ca="1" si="93"/>
        <v/>
      </c>
      <c r="G298" s="178" t="str">
        <f t="shared" ca="1" si="94"/>
        <v/>
      </c>
      <c r="H298" s="177" t="str">
        <f t="shared" ca="1" si="95"/>
        <v/>
      </c>
      <c r="I298" s="25">
        <f t="shared" ca="1" si="96"/>
        <v>0</v>
      </c>
      <c r="J298" s="9" t="str">
        <f ca="1">'PRICE_IOF Ñ USAR'!J298</f>
        <v/>
      </c>
      <c r="K298" s="9" t="str">
        <f ca="1">'PRICE_IOF Ñ USAR'!K298</f>
        <v/>
      </c>
      <c r="L298" s="9" t="str">
        <f ca="1">'PRICE_IOF Ñ USAR'!L298</f>
        <v/>
      </c>
      <c r="N298" s="176" t="str">
        <f t="shared" ca="1" si="97"/>
        <v/>
      </c>
      <c r="O298" s="176" t="str">
        <f t="shared" ca="1" si="101"/>
        <v/>
      </c>
      <c r="P298" s="175" t="str">
        <f t="shared" ca="1" si="84"/>
        <v/>
      </c>
      <c r="Q298" s="11" t="str">
        <f t="shared" ca="1" si="85"/>
        <v/>
      </c>
      <c r="R298" s="12" t="str">
        <f t="shared" ca="1" si="86"/>
        <v/>
      </c>
      <c r="S298" s="513"/>
      <c r="U298" t="str">
        <f t="shared" ca="1" si="102"/>
        <v/>
      </c>
      <c r="V298" s="31">
        <f t="shared" ca="1" si="103"/>
        <v>0</v>
      </c>
      <c r="X298" s="58" t="str">
        <f t="shared" ca="1" si="87"/>
        <v/>
      </c>
      <c r="Y298" s="61" t="str">
        <f t="shared" ca="1" si="88"/>
        <v/>
      </c>
      <c r="Z298" s="31" t="str">
        <f t="shared" ca="1" si="98"/>
        <v/>
      </c>
      <c r="AA298" s="31" t="e">
        <f t="shared" ca="1" si="104"/>
        <v>#VALUE!</v>
      </c>
      <c r="AB298" s="31" t="str">
        <f t="shared" ca="1" si="99"/>
        <v/>
      </c>
      <c r="AC298" t="str">
        <f t="shared" ca="1" si="89"/>
        <v/>
      </c>
      <c r="AD298" t="str">
        <f t="shared" ca="1" si="90"/>
        <v/>
      </c>
    </row>
    <row r="299" spans="1:30">
      <c r="A299" s="180" t="str">
        <f ca="1">'PRICE_IOF Ñ USAR'!A299</f>
        <v/>
      </c>
      <c r="B299" s="179" t="str">
        <f ca="1">'PRICE_IOF Ñ USAR'!B299</f>
        <v/>
      </c>
      <c r="C299" s="177" t="str">
        <f t="shared" ca="1" si="91"/>
        <v/>
      </c>
      <c r="D299" s="24" t="str">
        <f t="shared" ca="1" si="100"/>
        <v/>
      </c>
      <c r="E299" s="177" t="str">
        <f t="shared" ca="1" si="92"/>
        <v/>
      </c>
      <c r="F299" s="178" t="str">
        <f t="shared" ca="1" si="93"/>
        <v/>
      </c>
      <c r="G299" s="178" t="str">
        <f t="shared" ca="1" si="94"/>
        <v/>
      </c>
      <c r="H299" s="177" t="str">
        <f t="shared" ca="1" si="95"/>
        <v/>
      </c>
      <c r="I299" s="25">
        <f t="shared" ca="1" si="96"/>
        <v>0</v>
      </c>
      <c r="J299" s="9" t="str">
        <f ca="1">'PRICE_IOF Ñ USAR'!J299</f>
        <v/>
      </c>
      <c r="K299" s="9" t="str">
        <f ca="1">'PRICE_IOF Ñ USAR'!K299</f>
        <v/>
      </c>
      <c r="L299" s="9" t="str">
        <f ca="1">'PRICE_IOF Ñ USAR'!L299</f>
        <v/>
      </c>
      <c r="N299" s="176" t="str">
        <f t="shared" ca="1" si="97"/>
        <v/>
      </c>
      <c r="O299" s="176" t="str">
        <f t="shared" ca="1" si="101"/>
        <v/>
      </c>
      <c r="P299" s="175" t="str">
        <f t="shared" ca="1" si="84"/>
        <v/>
      </c>
      <c r="Q299" s="11" t="str">
        <f t="shared" ca="1" si="85"/>
        <v/>
      </c>
      <c r="R299" s="12" t="str">
        <f t="shared" ca="1" si="86"/>
        <v/>
      </c>
      <c r="S299" s="513"/>
      <c r="U299" t="str">
        <f t="shared" ca="1" si="102"/>
        <v/>
      </c>
      <c r="V299" s="31">
        <f t="shared" ca="1" si="103"/>
        <v>0</v>
      </c>
      <c r="X299" s="58" t="str">
        <f t="shared" ca="1" si="87"/>
        <v/>
      </c>
      <c r="Y299" s="61" t="str">
        <f t="shared" ca="1" si="88"/>
        <v/>
      </c>
      <c r="Z299" s="31" t="str">
        <f t="shared" ca="1" si="98"/>
        <v/>
      </c>
      <c r="AA299" s="31" t="e">
        <f t="shared" ca="1" si="104"/>
        <v>#VALUE!</v>
      </c>
      <c r="AB299" s="31" t="str">
        <f t="shared" ca="1" si="99"/>
        <v/>
      </c>
      <c r="AC299" t="str">
        <f t="shared" ca="1" si="89"/>
        <v/>
      </c>
      <c r="AD299" t="str">
        <f t="shared" ca="1" si="90"/>
        <v/>
      </c>
    </row>
    <row r="300" spans="1:30">
      <c r="A300" s="180" t="str">
        <f ca="1">'PRICE_IOF Ñ USAR'!A300</f>
        <v/>
      </c>
      <c r="B300" s="179" t="str">
        <f ca="1">'PRICE_IOF Ñ USAR'!B300</f>
        <v/>
      </c>
      <c r="C300" s="177" t="str">
        <f t="shared" ca="1" si="91"/>
        <v/>
      </c>
      <c r="D300" s="24" t="str">
        <f t="shared" ca="1" si="100"/>
        <v/>
      </c>
      <c r="E300" s="177" t="str">
        <f t="shared" ca="1" si="92"/>
        <v/>
      </c>
      <c r="F300" s="178" t="str">
        <f t="shared" ca="1" si="93"/>
        <v/>
      </c>
      <c r="G300" s="178" t="str">
        <f t="shared" ca="1" si="94"/>
        <v/>
      </c>
      <c r="H300" s="177" t="str">
        <f t="shared" ca="1" si="95"/>
        <v/>
      </c>
      <c r="I300" s="25">
        <f t="shared" ca="1" si="96"/>
        <v>0</v>
      </c>
      <c r="J300" s="9" t="str">
        <f ca="1">'PRICE_IOF Ñ USAR'!J300</f>
        <v/>
      </c>
      <c r="K300" s="9" t="str">
        <f ca="1">'PRICE_IOF Ñ USAR'!K300</f>
        <v/>
      </c>
      <c r="L300" s="9" t="str">
        <f ca="1">'PRICE_IOF Ñ USAR'!L300</f>
        <v/>
      </c>
      <c r="N300" s="176" t="str">
        <f t="shared" ca="1" si="97"/>
        <v/>
      </c>
      <c r="O300" s="176" t="str">
        <f t="shared" ca="1" si="101"/>
        <v/>
      </c>
      <c r="P300" s="175" t="str">
        <f t="shared" ca="1" si="84"/>
        <v/>
      </c>
      <c r="Q300" s="11" t="str">
        <f t="shared" ca="1" si="85"/>
        <v/>
      </c>
      <c r="R300" s="12" t="str">
        <f t="shared" ca="1" si="86"/>
        <v/>
      </c>
      <c r="S300" s="513"/>
      <c r="U300" t="str">
        <f t="shared" ca="1" si="102"/>
        <v/>
      </c>
      <c r="V300" s="31">
        <f t="shared" ca="1" si="103"/>
        <v>0</v>
      </c>
      <c r="X300" s="58" t="str">
        <f t="shared" ca="1" si="87"/>
        <v/>
      </c>
      <c r="Y300" s="61" t="str">
        <f t="shared" ca="1" si="88"/>
        <v/>
      </c>
      <c r="Z300" s="31" t="str">
        <f t="shared" ca="1" si="98"/>
        <v/>
      </c>
      <c r="AA300" s="31" t="e">
        <f t="shared" ca="1" si="104"/>
        <v>#VALUE!</v>
      </c>
      <c r="AB300" s="31" t="str">
        <f t="shared" ca="1" si="99"/>
        <v/>
      </c>
      <c r="AC300" t="str">
        <f t="shared" ca="1" si="89"/>
        <v/>
      </c>
      <c r="AD300" t="str">
        <f t="shared" ca="1" si="90"/>
        <v/>
      </c>
    </row>
    <row r="301" spans="1:30">
      <c r="A301" s="180" t="str">
        <f ca="1">'PRICE_IOF Ñ USAR'!A301</f>
        <v/>
      </c>
      <c r="B301" s="179" t="str">
        <f ca="1">'PRICE_IOF Ñ USAR'!B301</f>
        <v/>
      </c>
      <c r="C301" s="177" t="str">
        <f t="shared" ca="1" si="91"/>
        <v/>
      </c>
      <c r="D301" s="24" t="str">
        <f t="shared" ca="1" si="100"/>
        <v/>
      </c>
      <c r="E301" s="177" t="str">
        <f t="shared" ca="1" si="92"/>
        <v/>
      </c>
      <c r="F301" s="178" t="str">
        <f t="shared" ca="1" si="93"/>
        <v/>
      </c>
      <c r="G301" s="178" t="str">
        <f t="shared" ca="1" si="94"/>
        <v/>
      </c>
      <c r="H301" s="177" t="str">
        <f t="shared" ca="1" si="95"/>
        <v/>
      </c>
      <c r="I301" s="25">
        <f t="shared" ca="1" si="96"/>
        <v>0</v>
      </c>
      <c r="J301" s="9" t="str">
        <f ca="1">'PRICE_IOF Ñ USAR'!J301</f>
        <v/>
      </c>
      <c r="K301" s="9" t="str">
        <f ca="1">'PRICE_IOF Ñ USAR'!K301</f>
        <v/>
      </c>
      <c r="L301" s="9" t="str">
        <f ca="1">'PRICE_IOF Ñ USAR'!L301</f>
        <v/>
      </c>
      <c r="N301" s="176" t="str">
        <f t="shared" ca="1" si="97"/>
        <v/>
      </c>
      <c r="O301" s="176" t="str">
        <f t="shared" ca="1" si="101"/>
        <v/>
      </c>
      <c r="P301" s="175" t="str">
        <f t="shared" ca="1" si="84"/>
        <v/>
      </c>
      <c r="Q301" s="11" t="str">
        <f t="shared" ca="1" si="85"/>
        <v/>
      </c>
      <c r="R301" s="12" t="str">
        <f t="shared" ca="1" si="86"/>
        <v/>
      </c>
      <c r="S301" s="513"/>
      <c r="U301" t="str">
        <f t="shared" ca="1" si="102"/>
        <v/>
      </c>
      <c r="V301" s="31">
        <f t="shared" ca="1" si="103"/>
        <v>0</v>
      </c>
      <c r="X301" s="58" t="str">
        <f t="shared" ca="1" si="87"/>
        <v/>
      </c>
      <c r="Y301" s="61" t="str">
        <f t="shared" ca="1" si="88"/>
        <v/>
      </c>
      <c r="Z301" s="31" t="str">
        <f t="shared" ca="1" si="98"/>
        <v/>
      </c>
      <c r="AA301" s="31" t="e">
        <f t="shared" ca="1" si="104"/>
        <v>#VALUE!</v>
      </c>
      <c r="AB301" s="31" t="str">
        <f t="shared" ca="1" si="99"/>
        <v/>
      </c>
      <c r="AC301" t="str">
        <f t="shared" ca="1" si="89"/>
        <v/>
      </c>
      <c r="AD301" t="str">
        <f t="shared" ca="1" si="90"/>
        <v/>
      </c>
    </row>
    <row r="302" spans="1:30">
      <c r="A302" s="180" t="str">
        <f ca="1">'PRICE_IOF Ñ USAR'!A302</f>
        <v/>
      </c>
      <c r="B302" s="179" t="str">
        <f ca="1">'PRICE_IOF Ñ USAR'!B302</f>
        <v/>
      </c>
      <c r="C302" s="177" t="str">
        <f t="shared" ca="1" si="91"/>
        <v/>
      </c>
      <c r="D302" s="24" t="str">
        <f t="shared" ca="1" si="100"/>
        <v/>
      </c>
      <c r="E302" s="177" t="str">
        <f t="shared" ca="1" si="92"/>
        <v/>
      </c>
      <c r="F302" s="178" t="str">
        <f t="shared" ca="1" si="93"/>
        <v/>
      </c>
      <c r="G302" s="178" t="str">
        <f t="shared" ca="1" si="94"/>
        <v/>
      </c>
      <c r="H302" s="177" t="str">
        <f t="shared" ca="1" si="95"/>
        <v/>
      </c>
      <c r="I302" s="25">
        <f t="shared" ca="1" si="96"/>
        <v>0</v>
      </c>
      <c r="J302" s="9" t="str">
        <f ca="1">'PRICE_IOF Ñ USAR'!J302</f>
        <v/>
      </c>
      <c r="K302" s="9" t="str">
        <f ca="1">'PRICE_IOF Ñ USAR'!K302</f>
        <v/>
      </c>
      <c r="L302" s="9" t="str">
        <f ca="1">'PRICE_IOF Ñ USAR'!L302</f>
        <v/>
      </c>
      <c r="N302" s="176" t="str">
        <f t="shared" ca="1" si="97"/>
        <v/>
      </c>
      <c r="O302" s="176" t="str">
        <f t="shared" ca="1" si="101"/>
        <v/>
      </c>
      <c r="P302" s="175" t="str">
        <f t="shared" ca="1" si="84"/>
        <v/>
      </c>
      <c r="Q302" s="11" t="str">
        <f t="shared" ca="1" si="85"/>
        <v/>
      </c>
      <c r="R302" s="12" t="str">
        <f t="shared" ca="1" si="86"/>
        <v/>
      </c>
      <c r="S302" s="513"/>
      <c r="U302" t="str">
        <f t="shared" ca="1" si="102"/>
        <v/>
      </c>
      <c r="V302" s="31">
        <f t="shared" ca="1" si="103"/>
        <v>0</v>
      </c>
      <c r="X302" s="58" t="str">
        <f t="shared" ca="1" si="87"/>
        <v/>
      </c>
      <c r="Y302" s="61" t="str">
        <f t="shared" ca="1" si="88"/>
        <v/>
      </c>
      <c r="Z302" s="31" t="str">
        <f t="shared" ca="1" si="98"/>
        <v/>
      </c>
      <c r="AA302" s="31" t="e">
        <f t="shared" ca="1" si="104"/>
        <v>#VALUE!</v>
      </c>
      <c r="AB302" s="31" t="str">
        <f t="shared" ca="1" si="99"/>
        <v/>
      </c>
      <c r="AC302" t="str">
        <f t="shared" ca="1" si="89"/>
        <v/>
      </c>
      <c r="AD302" t="str">
        <f t="shared" ca="1" si="90"/>
        <v/>
      </c>
    </row>
    <row r="303" spans="1:30">
      <c r="A303" s="180" t="str">
        <f ca="1">'PRICE_IOF Ñ USAR'!A303</f>
        <v/>
      </c>
      <c r="B303" s="179" t="str">
        <f ca="1">'PRICE_IOF Ñ USAR'!B303</f>
        <v/>
      </c>
      <c r="C303" s="177" t="str">
        <f t="shared" ca="1" si="91"/>
        <v/>
      </c>
      <c r="D303" s="24" t="str">
        <f t="shared" ca="1" si="100"/>
        <v/>
      </c>
      <c r="E303" s="177" t="str">
        <f t="shared" ca="1" si="92"/>
        <v/>
      </c>
      <c r="F303" s="178" t="str">
        <f t="shared" ca="1" si="93"/>
        <v/>
      </c>
      <c r="G303" s="178" t="str">
        <f t="shared" ca="1" si="94"/>
        <v/>
      </c>
      <c r="H303" s="177" t="str">
        <f t="shared" ca="1" si="95"/>
        <v/>
      </c>
      <c r="I303" s="25">
        <f t="shared" ca="1" si="96"/>
        <v>0</v>
      </c>
      <c r="J303" s="9" t="str">
        <f ca="1">'PRICE_IOF Ñ USAR'!J303</f>
        <v/>
      </c>
      <c r="K303" s="9" t="str">
        <f ca="1">'PRICE_IOF Ñ USAR'!K303</f>
        <v/>
      </c>
      <c r="L303" s="9" t="str">
        <f ca="1">'PRICE_IOF Ñ USAR'!L303</f>
        <v/>
      </c>
      <c r="N303" s="176" t="str">
        <f t="shared" ca="1" si="97"/>
        <v/>
      </c>
      <c r="O303" s="176" t="str">
        <f t="shared" ca="1" si="101"/>
        <v/>
      </c>
      <c r="P303" s="175" t="str">
        <f t="shared" ca="1" si="84"/>
        <v/>
      </c>
      <c r="Q303" s="11" t="str">
        <f t="shared" ca="1" si="85"/>
        <v/>
      </c>
      <c r="R303" s="12" t="str">
        <f t="shared" ca="1" si="86"/>
        <v/>
      </c>
      <c r="S303" s="513"/>
      <c r="U303" t="str">
        <f t="shared" ca="1" si="102"/>
        <v/>
      </c>
      <c r="V303" s="31">
        <f t="shared" ca="1" si="103"/>
        <v>0</v>
      </c>
      <c r="X303" s="58" t="str">
        <f t="shared" ca="1" si="87"/>
        <v/>
      </c>
      <c r="Y303" s="61" t="str">
        <f t="shared" ca="1" si="88"/>
        <v/>
      </c>
      <c r="Z303" s="31" t="str">
        <f t="shared" ca="1" si="98"/>
        <v/>
      </c>
      <c r="AA303" s="31" t="e">
        <f t="shared" ca="1" si="104"/>
        <v>#VALUE!</v>
      </c>
      <c r="AB303" s="31" t="str">
        <f t="shared" ca="1" si="99"/>
        <v/>
      </c>
      <c r="AC303" t="str">
        <f t="shared" ca="1" si="89"/>
        <v/>
      </c>
      <c r="AD303" t="str">
        <f t="shared" ca="1" si="90"/>
        <v/>
      </c>
    </row>
    <row r="304" spans="1:30">
      <c r="A304" s="180" t="str">
        <f ca="1">'PRICE_IOF Ñ USAR'!A304</f>
        <v/>
      </c>
      <c r="B304" s="179" t="str">
        <f ca="1">'PRICE_IOF Ñ USAR'!B304</f>
        <v/>
      </c>
      <c r="C304" s="177" t="str">
        <f t="shared" ca="1" si="91"/>
        <v/>
      </c>
      <c r="D304" s="24" t="str">
        <f t="shared" ca="1" si="100"/>
        <v/>
      </c>
      <c r="E304" s="177" t="str">
        <f t="shared" ca="1" si="92"/>
        <v/>
      </c>
      <c r="F304" s="178" t="str">
        <f t="shared" ca="1" si="93"/>
        <v/>
      </c>
      <c r="G304" s="178" t="str">
        <f t="shared" ca="1" si="94"/>
        <v/>
      </c>
      <c r="H304" s="177" t="str">
        <f t="shared" ca="1" si="95"/>
        <v/>
      </c>
      <c r="I304" s="25">
        <f t="shared" ca="1" si="96"/>
        <v>0</v>
      </c>
      <c r="J304" s="9" t="str">
        <f ca="1">'PRICE_IOF Ñ USAR'!J304</f>
        <v/>
      </c>
      <c r="K304" s="9" t="str">
        <f ca="1">'PRICE_IOF Ñ USAR'!K304</f>
        <v/>
      </c>
      <c r="L304" s="9" t="str">
        <f ca="1">'PRICE_IOF Ñ USAR'!L304</f>
        <v/>
      </c>
      <c r="N304" s="176" t="str">
        <f t="shared" ca="1" si="97"/>
        <v/>
      </c>
      <c r="O304" s="176" t="str">
        <f t="shared" ca="1" si="101"/>
        <v/>
      </c>
      <c r="P304" s="175" t="str">
        <f t="shared" ca="1" si="84"/>
        <v/>
      </c>
      <c r="Q304" s="11" t="str">
        <f t="shared" ca="1" si="85"/>
        <v/>
      </c>
      <c r="R304" s="12" t="str">
        <f t="shared" ca="1" si="86"/>
        <v/>
      </c>
      <c r="S304" s="513"/>
      <c r="U304" t="str">
        <f t="shared" ca="1" si="102"/>
        <v/>
      </c>
      <c r="V304" s="31">
        <f t="shared" ca="1" si="103"/>
        <v>0</v>
      </c>
      <c r="X304" s="58" t="str">
        <f t="shared" ca="1" si="87"/>
        <v/>
      </c>
      <c r="Y304" s="61" t="str">
        <f t="shared" ca="1" si="88"/>
        <v/>
      </c>
      <c r="Z304" s="31" t="str">
        <f t="shared" ca="1" si="98"/>
        <v/>
      </c>
      <c r="AA304" s="31" t="e">
        <f t="shared" ca="1" si="104"/>
        <v>#VALUE!</v>
      </c>
      <c r="AB304" s="31" t="str">
        <f t="shared" ca="1" si="99"/>
        <v/>
      </c>
      <c r="AC304" t="str">
        <f t="shared" ca="1" si="89"/>
        <v/>
      </c>
      <c r="AD304" t="str">
        <f t="shared" ca="1" si="90"/>
        <v/>
      </c>
    </row>
    <row r="305" spans="1:30">
      <c r="A305" s="180" t="str">
        <f ca="1">'PRICE_IOF Ñ USAR'!A305</f>
        <v/>
      </c>
      <c r="B305" s="179" t="str">
        <f ca="1">'PRICE_IOF Ñ USAR'!B305</f>
        <v/>
      </c>
      <c r="C305" s="177" t="str">
        <f t="shared" ca="1" si="91"/>
        <v/>
      </c>
      <c r="D305" s="24" t="str">
        <f t="shared" ca="1" si="100"/>
        <v/>
      </c>
      <c r="E305" s="177" t="str">
        <f t="shared" ca="1" si="92"/>
        <v/>
      </c>
      <c r="F305" s="178" t="str">
        <f t="shared" ca="1" si="93"/>
        <v/>
      </c>
      <c r="G305" s="178" t="str">
        <f t="shared" ca="1" si="94"/>
        <v/>
      </c>
      <c r="H305" s="177" t="str">
        <f t="shared" ca="1" si="95"/>
        <v/>
      </c>
      <c r="I305" s="25">
        <f t="shared" ca="1" si="96"/>
        <v>0</v>
      </c>
      <c r="J305" s="9" t="str">
        <f ca="1">'PRICE_IOF Ñ USAR'!J305</f>
        <v/>
      </c>
      <c r="K305" s="9" t="str">
        <f ca="1">'PRICE_IOF Ñ USAR'!K305</f>
        <v/>
      </c>
      <c r="L305" s="9" t="str">
        <f ca="1">'PRICE_IOF Ñ USAR'!L305</f>
        <v/>
      </c>
      <c r="N305" s="176" t="str">
        <f t="shared" ca="1" si="97"/>
        <v/>
      </c>
      <c r="O305" s="176" t="str">
        <f t="shared" ca="1" si="101"/>
        <v/>
      </c>
      <c r="P305" s="175" t="str">
        <f t="shared" ca="1" si="84"/>
        <v/>
      </c>
      <c r="Q305" s="11" t="str">
        <f t="shared" ca="1" si="85"/>
        <v/>
      </c>
      <c r="R305" s="12" t="str">
        <f t="shared" ca="1" si="86"/>
        <v/>
      </c>
      <c r="S305" s="513"/>
      <c r="U305" t="str">
        <f t="shared" ca="1" si="102"/>
        <v/>
      </c>
      <c r="V305" s="31">
        <f t="shared" ca="1" si="103"/>
        <v>0</v>
      </c>
      <c r="X305" s="58" t="str">
        <f t="shared" ca="1" si="87"/>
        <v/>
      </c>
      <c r="Y305" s="61" t="str">
        <f t="shared" ca="1" si="88"/>
        <v/>
      </c>
      <c r="Z305" s="31" t="str">
        <f t="shared" ca="1" si="98"/>
        <v/>
      </c>
      <c r="AA305" s="31" t="e">
        <f t="shared" ca="1" si="104"/>
        <v>#VALUE!</v>
      </c>
      <c r="AB305" s="31" t="str">
        <f t="shared" ca="1" si="99"/>
        <v/>
      </c>
      <c r="AC305" t="str">
        <f t="shared" ca="1" si="89"/>
        <v/>
      </c>
      <c r="AD305" t="str">
        <f t="shared" ca="1" si="90"/>
        <v/>
      </c>
    </row>
    <row r="306" spans="1:30">
      <c r="A306" s="180" t="str">
        <f ca="1">'PRICE_IOF Ñ USAR'!A306</f>
        <v/>
      </c>
      <c r="B306" s="179" t="str">
        <f ca="1">'PRICE_IOF Ñ USAR'!B306</f>
        <v/>
      </c>
      <c r="C306" s="177" t="str">
        <f t="shared" ca="1" si="91"/>
        <v/>
      </c>
      <c r="D306" s="24" t="str">
        <f t="shared" ca="1" si="100"/>
        <v/>
      </c>
      <c r="E306" s="177" t="str">
        <f t="shared" ca="1" si="92"/>
        <v/>
      </c>
      <c r="F306" s="178" t="str">
        <f t="shared" ca="1" si="93"/>
        <v/>
      </c>
      <c r="G306" s="178" t="str">
        <f t="shared" ca="1" si="94"/>
        <v/>
      </c>
      <c r="H306" s="177" t="str">
        <f t="shared" ca="1" si="95"/>
        <v/>
      </c>
      <c r="I306" s="25">
        <f t="shared" ca="1" si="96"/>
        <v>0</v>
      </c>
      <c r="J306" s="9" t="str">
        <f ca="1">'PRICE_IOF Ñ USAR'!J306</f>
        <v/>
      </c>
      <c r="K306" s="9" t="str">
        <f ca="1">'PRICE_IOF Ñ USAR'!K306</f>
        <v/>
      </c>
      <c r="L306" s="9" t="str">
        <f ca="1">'PRICE_IOF Ñ USAR'!L306</f>
        <v/>
      </c>
      <c r="N306" s="176" t="str">
        <f t="shared" ca="1" si="97"/>
        <v/>
      </c>
      <c r="O306" s="176" t="str">
        <f t="shared" ca="1" si="101"/>
        <v/>
      </c>
      <c r="P306" s="175" t="str">
        <f t="shared" ca="1" si="84"/>
        <v/>
      </c>
      <c r="Q306" s="11" t="str">
        <f t="shared" ca="1" si="85"/>
        <v/>
      </c>
      <c r="R306" s="12" t="str">
        <f t="shared" ca="1" si="86"/>
        <v/>
      </c>
      <c r="S306" s="513"/>
      <c r="U306" t="str">
        <f t="shared" ca="1" si="102"/>
        <v/>
      </c>
      <c r="V306" s="31">
        <f t="shared" ca="1" si="103"/>
        <v>0</v>
      </c>
      <c r="X306" s="58" t="str">
        <f t="shared" ca="1" si="87"/>
        <v/>
      </c>
      <c r="Y306" s="61" t="str">
        <f t="shared" ca="1" si="88"/>
        <v/>
      </c>
      <c r="Z306" s="31" t="str">
        <f t="shared" ca="1" si="98"/>
        <v/>
      </c>
      <c r="AA306" s="31" t="e">
        <f t="shared" ca="1" si="104"/>
        <v>#VALUE!</v>
      </c>
      <c r="AB306" s="31" t="str">
        <f t="shared" ca="1" si="99"/>
        <v/>
      </c>
      <c r="AC306" t="str">
        <f t="shared" ca="1" si="89"/>
        <v/>
      </c>
      <c r="AD306" t="str">
        <f t="shared" ca="1" si="90"/>
        <v/>
      </c>
    </row>
    <row r="307" spans="1:30">
      <c r="A307" s="180" t="str">
        <f ca="1">'PRICE_IOF Ñ USAR'!A307</f>
        <v/>
      </c>
      <c r="B307" s="179" t="str">
        <f ca="1">'PRICE_IOF Ñ USAR'!B307</f>
        <v/>
      </c>
      <c r="C307" s="177" t="str">
        <f t="shared" ca="1" si="91"/>
        <v/>
      </c>
      <c r="D307" s="24" t="str">
        <f t="shared" ca="1" si="100"/>
        <v/>
      </c>
      <c r="E307" s="177" t="str">
        <f t="shared" ca="1" si="92"/>
        <v/>
      </c>
      <c r="F307" s="178" t="str">
        <f t="shared" ca="1" si="93"/>
        <v/>
      </c>
      <c r="G307" s="178" t="str">
        <f t="shared" ca="1" si="94"/>
        <v/>
      </c>
      <c r="H307" s="177" t="str">
        <f t="shared" ca="1" si="95"/>
        <v/>
      </c>
      <c r="I307" s="25">
        <f t="shared" ca="1" si="96"/>
        <v>0</v>
      </c>
      <c r="J307" s="9" t="str">
        <f ca="1">'PRICE_IOF Ñ USAR'!J307</f>
        <v/>
      </c>
      <c r="K307" s="9" t="str">
        <f ca="1">'PRICE_IOF Ñ USAR'!K307</f>
        <v/>
      </c>
      <c r="L307" s="9" t="str">
        <f ca="1">'PRICE_IOF Ñ USAR'!L307</f>
        <v/>
      </c>
      <c r="N307" s="176" t="str">
        <f t="shared" ca="1" si="97"/>
        <v/>
      </c>
      <c r="O307" s="176" t="str">
        <f t="shared" ca="1" si="101"/>
        <v/>
      </c>
      <c r="P307" s="175" t="str">
        <f t="shared" ca="1" si="84"/>
        <v/>
      </c>
      <c r="Q307" s="11" t="str">
        <f t="shared" ca="1" si="85"/>
        <v/>
      </c>
      <c r="R307" s="12" t="str">
        <f t="shared" ca="1" si="86"/>
        <v/>
      </c>
      <c r="S307" s="513"/>
      <c r="U307" t="str">
        <f t="shared" ca="1" si="102"/>
        <v/>
      </c>
      <c r="V307" s="31">
        <f t="shared" ca="1" si="103"/>
        <v>0</v>
      </c>
      <c r="X307" s="58" t="str">
        <f t="shared" ca="1" si="87"/>
        <v/>
      </c>
      <c r="Y307" s="61" t="str">
        <f t="shared" ca="1" si="88"/>
        <v/>
      </c>
      <c r="Z307" s="31" t="str">
        <f t="shared" ca="1" si="98"/>
        <v/>
      </c>
      <c r="AA307" s="31" t="e">
        <f t="shared" ca="1" si="104"/>
        <v>#VALUE!</v>
      </c>
      <c r="AB307" s="31" t="str">
        <f t="shared" ca="1" si="99"/>
        <v/>
      </c>
      <c r="AC307" t="str">
        <f t="shared" ca="1" si="89"/>
        <v/>
      </c>
      <c r="AD307" t="str">
        <f t="shared" ca="1" si="90"/>
        <v/>
      </c>
    </row>
    <row r="308" spans="1:30">
      <c r="A308" s="180" t="str">
        <f ca="1">'PRICE_IOF Ñ USAR'!A308</f>
        <v/>
      </c>
      <c r="B308" s="179" t="str">
        <f ca="1">'PRICE_IOF Ñ USAR'!B308</f>
        <v/>
      </c>
      <c r="C308" s="177" t="str">
        <f t="shared" ca="1" si="91"/>
        <v/>
      </c>
      <c r="D308" s="24" t="str">
        <f t="shared" ca="1" si="100"/>
        <v/>
      </c>
      <c r="E308" s="177" t="str">
        <f t="shared" ca="1" si="92"/>
        <v/>
      </c>
      <c r="F308" s="178" t="str">
        <f t="shared" ca="1" si="93"/>
        <v/>
      </c>
      <c r="G308" s="178" t="str">
        <f t="shared" ca="1" si="94"/>
        <v/>
      </c>
      <c r="H308" s="177" t="str">
        <f t="shared" ca="1" si="95"/>
        <v/>
      </c>
      <c r="I308" s="25">
        <f t="shared" ca="1" si="96"/>
        <v>0</v>
      </c>
      <c r="J308" s="9" t="str">
        <f ca="1">'PRICE_IOF Ñ USAR'!J308</f>
        <v/>
      </c>
      <c r="K308" s="9" t="str">
        <f ca="1">'PRICE_IOF Ñ USAR'!K308</f>
        <v/>
      </c>
      <c r="L308" s="9" t="str">
        <f ca="1">'PRICE_IOF Ñ USAR'!L308</f>
        <v/>
      </c>
      <c r="N308" s="176" t="str">
        <f t="shared" ca="1" si="97"/>
        <v/>
      </c>
      <c r="O308" s="176" t="str">
        <f t="shared" ca="1" si="101"/>
        <v/>
      </c>
      <c r="P308" s="175" t="str">
        <f t="shared" ca="1" si="84"/>
        <v/>
      </c>
      <c r="Q308" s="11" t="str">
        <f t="shared" ca="1" si="85"/>
        <v/>
      </c>
      <c r="R308" s="12" t="str">
        <f t="shared" ca="1" si="86"/>
        <v/>
      </c>
      <c r="S308" s="513"/>
      <c r="U308" t="str">
        <f t="shared" ca="1" si="102"/>
        <v/>
      </c>
      <c r="V308" s="31">
        <f t="shared" ca="1" si="103"/>
        <v>0</v>
      </c>
      <c r="X308" s="58" t="str">
        <f t="shared" ca="1" si="87"/>
        <v/>
      </c>
      <c r="Y308" s="61" t="str">
        <f t="shared" ca="1" si="88"/>
        <v/>
      </c>
      <c r="Z308" s="31" t="str">
        <f t="shared" ca="1" si="98"/>
        <v/>
      </c>
      <c r="AA308" s="31" t="e">
        <f t="shared" ca="1" si="104"/>
        <v>#VALUE!</v>
      </c>
      <c r="AB308" s="31" t="str">
        <f t="shared" ca="1" si="99"/>
        <v/>
      </c>
      <c r="AC308" t="str">
        <f t="shared" ca="1" si="89"/>
        <v/>
      </c>
      <c r="AD308" t="str">
        <f t="shared" ca="1" si="90"/>
        <v/>
      </c>
    </row>
    <row r="309" spans="1:30">
      <c r="A309" s="180" t="str">
        <f ca="1">'PRICE_IOF Ñ USAR'!A309</f>
        <v/>
      </c>
      <c r="B309" s="179" t="str">
        <f ca="1">'PRICE_IOF Ñ USAR'!B309</f>
        <v/>
      </c>
      <c r="C309" s="177" t="str">
        <f t="shared" ca="1" si="91"/>
        <v/>
      </c>
      <c r="D309" s="24" t="str">
        <f t="shared" ca="1" si="100"/>
        <v/>
      </c>
      <c r="E309" s="177" t="str">
        <f t="shared" ca="1" si="92"/>
        <v/>
      </c>
      <c r="F309" s="178" t="str">
        <f t="shared" ca="1" si="93"/>
        <v/>
      </c>
      <c r="G309" s="178" t="str">
        <f t="shared" ca="1" si="94"/>
        <v/>
      </c>
      <c r="H309" s="177" t="str">
        <f t="shared" ca="1" si="95"/>
        <v/>
      </c>
      <c r="I309" s="25">
        <f t="shared" ca="1" si="96"/>
        <v>0</v>
      </c>
      <c r="J309" s="9" t="str">
        <f ca="1">'PRICE_IOF Ñ USAR'!J309</f>
        <v/>
      </c>
      <c r="K309" s="9" t="str">
        <f ca="1">'PRICE_IOF Ñ USAR'!K309</f>
        <v/>
      </c>
      <c r="L309" s="9" t="str">
        <f ca="1">'PRICE_IOF Ñ USAR'!L309</f>
        <v/>
      </c>
      <c r="N309" s="176" t="str">
        <f t="shared" ca="1" si="97"/>
        <v/>
      </c>
      <c r="O309" s="176" t="str">
        <f t="shared" ca="1" si="101"/>
        <v/>
      </c>
      <c r="P309" s="175" t="str">
        <f t="shared" ca="1" si="84"/>
        <v/>
      </c>
      <c r="Q309" s="11" t="str">
        <f t="shared" ca="1" si="85"/>
        <v/>
      </c>
      <c r="R309" s="12" t="str">
        <f t="shared" ca="1" si="86"/>
        <v/>
      </c>
      <c r="S309" s="513"/>
      <c r="U309" t="str">
        <f t="shared" ca="1" si="102"/>
        <v/>
      </c>
      <c r="V309" s="31">
        <f t="shared" ca="1" si="103"/>
        <v>0</v>
      </c>
      <c r="X309" s="58" t="str">
        <f t="shared" ca="1" si="87"/>
        <v/>
      </c>
      <c r="Y309" s="61" t="str">
        <f t="shared" ca="1" si="88"/>
        <v/>
      </c>
      <c r="Z309" s="31" t="str">
        <f t="shared" ca="1" si="98"/>
        <v/>
      </c>
      <c r="AA309" s="31" t="e">
        <f t="shared" ca="1" si="104"/>
        <v>#VALUE!</v>
      </c>
      <c r="AB309" s="31" t="str">
        <f t="shared" ca="1" si="99"/>
        <v/>
      </c>
      <c r="AC309" t="str">
        <f t="shared" ca="1" si="89"/>
        <v/>
      </c>
      <c r="AD309" t="str">
        <f t="shared" ca="1" si="90"/>
        <v/>
      </c>
    </row>
    <row r="310" spans="1:30">
      <c r="A310" s="180" t="str">
        <f ca="1">'PRICE_IOF Ñ USAR'!A310</f>
        <v/>
      </c>
      <c r="B310" s="179" t="str">
        <f ca="1">'PRICE_IOF Ñ USAR'!B310</f>
        <v/>
      </c>
      <c r="C310" s="177" t="str">
        <f t="shared" ca="1" si="91"/>
        <v/>
      </c>
      <c r="D310" s="24" t="str">
        <f t="shared" ca="1" si="100"/>
        <v/>
      </c>
      <c r="E310" s="177" t="str">
        <f t="shared" ca="1" si="92"/>
        <v/>
      </c>
      <c r="F310" s="178" t="str">
        <f t="shared" ca="1" si="93"/>
        <v/>
      </c>
      <c r="G310" s="178" t="str">
        <f t="shared" ca="1" si="94"/>
        <v/>
      </c>
      <c r="H310" s="177" t="str">
        <f t="shared" ca="1" si="95"/>
        <v/>
      </c>
      <c r="I310" s="25">
        <f t="shared" ca="1" si="96"/>
        <v>0</v>
      </c>
      <c r="J310" s="9" t="str">
        <f ca="1">'PRICE_IOF Ñ USAR'!J310</f>
        <v/>
      </c>
      <c r="K310" s="9" t="str">
        <f ca="1">'PRICE_IOF Ñ USAR'!K310</f>
        <v/>
      </c>
      <c r="L310" s="9" t="str">
        <f ca="1">'PRICE_IOF Ñ USAR'!L310</f>
        <v/>
      </c>
      <c r="N310" s="176" t="str">
        <f t="shared" ca="1" si="97"/>
        <v/>
      </c>
      <c r="O310" s="176" t="str">
        <f t="shared" ca="1" si="101"/>
        <v/>
      </c>
      <c r="P310" s="175" t="str">
        <f t="shared" ca="1" si="84"/>
        <v/>
      </c>
      <c r="Q310" s="11" t="str">
        <f t="shared" ca="1" si="85"/>
        <v/>
      </c>
      <c r="R310" s="12" t="str">
        <f t="shared" ca="1" si="86"/>
        <v/>
      </c>
      <c r="S310" s="513"/>
      <c r="U310" t="str">
        <f t="shared" ca="1" si="102"/>
        <v/>
      </c>
      <c r="V310" s="31">
        <f t="shared" ca="1" si="103"/>
        <v>0</v>
      </c>
      <c r="X310" s="58" t="str">
        <f t="shared" ca="1" si="87"/>
        <v/>
      </c>
      <c r="Y310" s="61" t="str">
        <f t="shared" ca="1" si="88"/>
        <v/>
      </c>
      <c r="Z310" s="31" t="str">
        <f t="shared" ca="1" si="98"/>
        <v/>
      </c>
      <c r="AA310" s="31" t="e">
        <f t="shared" ca="1" si="104"/>
        <v>#VALUE!</v>
      </c>
      <c r="AB310" s="31" t="str">
        <f t="shared" ca="1" si="99"/>
        <v/>
      </c>
      <c r="AC310" t="str">
        <f t="shared" ca="1" si="89"/>
        <v/>
      </c>
      <c r="AD310" t="str">
        <f t="shared" ca="1" si="90"/>
        <v/>
      </c>
    </row>
    <row r="311" spans="1:30">
      <c r="A311" s="180" t="str">
        <f ca="1">'PRICE_IOF Ñ USAR'!A311</f>
        <v/>
      </c>
      <c r="B311" s="179" t="str">
        <f ca="1">'PRICE_IOF Ñ USAR'!B311</f>
        <v/>
      </c>
      <c r="C311" s="177" t="str">
        <f t="shared" ca="1" si="91"/>
        <v/>
      </c>
      <c r="D311" s="24" t="str">
        <f t="shared" ca="1" si="100"/>
        <v/>
      </c>
      <c r="E311" s="177" t="str">
        <f t="shared" ca="1" si="92"/>
        <v/>
      </c>
      <c r="F311" s="178" t="str">
        <f t="shared" ca="1" si="93"/>
        <v/>
      </c>
      <c r="G311" s="178" t="str">
        <f t="shared" ca="1" si="94"/>
        <v/>
      </c>
      <c r="H311" s="177" t="str">
        <f t="shared" ca="1" si="95"/>
        <v/>
      </c>
      <c r="I311" s="25">
        <f t="shared" ca="1" si="96"/>
        <v>0</v>
      </c>
      <c r="J311" s="9" t="str">
        <f ca="1">'PRICE_IOF Ñ USAR'!J311</f>
        <v/>
      </c>
      <c r="K311" s="9" t="str">
        <f ca="1">'PRICE_IOF Ñ USAR'!K311</f>
        <v/>
      </c>
      <c r="L311" s="9" t="str">
        <f ca="1">'PRICE_IOF Ñ USAR'!L311</f>
        <v/>
      </c>
      <c r="N311" s="176" t="str">
        <f t="shared" ca="1" si="97"/>
        <v/>
      </c>
      <c r="O311" s="176" t="str">
        <f t="shared" ca="1" si="101"/>
        <v/>
      </c>
      <c r="P311" s="175" t="str">
        <f t="shared" ca="1" si="84"/>
        <v/>
      </c>
      <c r="Q311" s="11" t="str">
        <f t="shared" ca="1" si="85"/>
        <v/>
      </c>
      <c r="R311" s="12" t="str">
        <f t="shared" ca="1" si="86"/>
        <v/>
      </c>
      <c r="S311" s="513"/>
      <c r="U311" t="str">
        <f t="shared" ca="1" si="102"/>
        <v/>
      </c>
      <c r="V311" s="31">
        <f t="shared" ca="1" si="103"/>
        <v>0</v>
      </c>
      <c r="X311" s="58" t="str">
        <f t="shared" ca="1" si="87"/>
        <v/>
      </c>
      <c r="Y311" s="61" t="str">
        <f t="shared" ca="1" si="88"/>
        <v/>
      </c>
      <c r="Z311" s="31" t="str">
        <f t="shared" ca="1" si="98"/>
        <v/>
      </c>
      <c r="AA311" s="31" t="e">
        <f t="shared" ca="1" si="104"/>
        <v>#VALUE!</v>
      </c>
      <c r="AB311" s="31" t="str">
        <f t="shared" ca="1" si="99"/>
        <v/>
      </c>
      <c r="AC311" t="str">
        <f t="shared" ca="1" si="89"/>
        <v/>
      </c>
      <c r="AD311" t="str">
        <f t="shared" ca="1" si="90"/>
        <v/>
      </c>
    </row>
    <row r="312" spans="1:30">
      <c r="A312" s="180" t="str">
        <f ca="1">'PRICE_IOF Ñ USAR'!A312</f>
        <v/>
      </c>
      <c r="B312" s="179" t="str">
        <f ca="1">'PRICE_IOF Ñ USAR'!B312</f>
        <v/>
      </c>
      <c r="C312" s="177" t="str">
        <f t="shared" ca="1" si="91"/>
        <v/>
      </c>
      <c r="D312" s="24" t="str">
        <f t="shared" ca="1" si="100"/>
        <v/>
      </c>
      <c r="E312" s="177" t="str">
        <f t="shared" ca="1" si="92"/>
        <v/>
      </c>
      <c r="F312" s="178" t="str">
        <f t="shared" ca="1" si="93"/>
        <v/>
      </c>
      <c r="G312" s="178" t="str">
        <f t="shared" ca="1" si="94"/>
        <v/>
      </c>
      <c r="H312" s="177" t="str">
        <f t="shared" ca="1" si="95"/>
        <v/>
      </c>
      <c r="I312" s="25">
        <f t="shared" ca="1" si="96"/>
        <v>0</v>
      </c>
      <c r="J312" s="9" t="str">
        <f ca="1">'PRICE_IOF Ñ USAR'!J312</f>
        <v/>
      </c>
      <c r="K312" s="9" t="str">
        <f ca="1">'PRICE_IOF Ñ USAR'!K312</f>
        <v/>
      </c>
      <c r="L312" s="9" t="str">
        <f ca="1">'PRICE_IOF Ñ USAR'!L312</f>
        <v/>
      </c>
      <c r="N312" s="176" t="str">
        <f t="shared" ca="1" si="97"/>
        <v/>
      </c>
      <c r="O312" s="176" t="str">
        <f t="shared" ca="1" si="101"/>
        <v/>
      </c>
      <c r="P312" s="175" t="str">
        <f t="shared" ca="1" si="84"/>
        <v/>
      </c>
      <c r="Q312" s="11" t="str">
        <f t="shared" ca="1" si="85"/>
        <v/>
      </c>
      <c r="R312" s="12" t="str">
        <f t="shared" ca="1" si="86"/>
        <v/>
      </c>
      <c r="S312" s="513"/>
      <c r="U312" t="str">
        <f t="shared" ca="1" si="102"/>
        <v/>
      </c>
      <c r="V312" s="31">
        <f t="shared" ca="1" si="103"/>
        <v>0</v>
      </c>
      <c r="X312" s="58" t="str">
        <f t="shared" ca="1" si="87"/>
        <v/>
      </c>
      <c r="Y312" s="61" t="str">
        <f t="shared" ca="1" si="88"/>
        <v/>
      </c>
      <c r="Z312" s="31" t="str">
        <f t="shared" ca="1" si="98"/>
        <v/>
      </c>
      <c r="AA312" s="31" t="e">
        <f t="shared" ca="1" si="104"/>
        <v>#VALUE!</v>
      </c>
      <c r="AB312" s="31" t="str">
        <f t="shared" ca="1" si="99"/>
        <v/>
      </c>
      <c r="AC312" t="str">
        <f t="shared" ca="1" si="89"/>
        <v/>
      </c>
      <c r="AD312" t="str">
        <f t="shared" ca="1" si="90"/>
        <v/>
      </c>
    </row>
    <row r="313" spans="1:30">
      <c r="A313" s="180" t="str">
        <f ca="1">'PRICE_IOF Ñ USAR'!A313</f>
        <v/>
      </c>
      <c r="B313" s="179" t="str">
        <f ca="1">'PRICE_IOF Ñ USAR'!B313</f>
        <v/>
      </c>
      <c r="C313" s="177" t="str">
        <f t="shared" ca="1" si="91"/>
        <v/>
      </c>
      <c r="D313" s="24" t="str">
        <f t="shared" ca="1" si="100"/>
        <v/>
      </c>
      <c r="E313" s="177" t="str">
        <f t="shared" ca="1" si="92"/>
        <v/>
      </c>
      <c r="F313" s="178" t="str">
        <f t="shared" ca="1" si="93"/>
        <v/>
      </c>
      <c r="G313" s="178" t="str">
        <f t="shared" ca="1" si="94"/>
        <v/>
      </c>
      <c r="H313" s="177" t="str">
        <f t="shared" ca="1" si="95"/>
        <v/>
      </c>
      <c r="I313" s="25">
        <f t="shared" ca="1" si="96"/>
        <v>0</v>
      </c>
      <c r="J313" s="9" t="str">
        <f ca="1">'PRICE_IOF Ñ USAR'!J313</f>
        <v/>
      </c>
      <c r="K313" s="9" t="str">
        <f ca="1">'PRICE_IOF Ñ USAR'!K313</f>
        <v/>
      </c>
      <c r="L313" s="9" t="str">
        <f ca="1">'PRICE_IOF Ñ USAR'!L313</f>
        <v/>
      </c>
      <c r="N313" s="176" t="str">
        <f t="shared" ca="1" si="97"/>
        <v/>
      </c>
      <c r="O313" s="176" t="str">
        <f t="shared" ca="1" si="101"/>
        <v/>
      </c>
      <c r="P313" s="175" t="str">
        <f t="shared" ca="1" si="84"/>
        <v/>
      </c>
      <c r="Q313" s="11" t="str">
        <f t="shared" ca="1" si="85"/>
        <v/>
      </c>
      <c r="R313" s="12" t="str">
        <f t="shared" ca="1" si="86"/>
        <v/>
      </c>
      <c r="S313" s="513"/>
      <c r="U313" t="str">
        <f t="shared" ca="1" si="102"/>
        <v/>
      </c>
      <c r="V313" s="31">
        <f t="shared" ca="1" si="103"/>
        <v>0</v>
      </c>
      <c r="X313" s="58" t="str">
        <f t="shared" ca="1" si="87"/>
        <v/>
      </c>
      <c r="Y313" s="61" t="str">
        <f t="shared" ca="1" si="88"/>
        <v/>
      </c>
      <c r="Z313" s="31" t="str">
        <f t="shared" ca="1" si="98"/>
        <v/>
      </c>
      <c r="AA313" s="31" t="e">
        <f t="shared" ca="1" si="104"/>
        <v>#VALUE!</v>
      </c>
      <c r="AB313" s="31" t="str">
        <f t="shared" ca="1" si="99"/>
        <v/>
      </c>
      <c r="AC313" t="str">
        <f t="shared" ca="1" si="89"/>
        <v/>
      </c>
      <c r="AD313" t="str">
        <f t="shared" ca="1" si="90"/>
        <v/>
      </c>
    </row>
    <row r="314" spans="1:30">
      <c r="A314" s="180" t="str">
        <f ca="1">'PRICE_IOF Ñ USAR'!A314</f>
        <v/>
      </c>
      <c r="B314" s="179" t="str">
        <f ca="1">'PRICE_IOF Ñ USAR'!B314</f>
        <v/>
      </c>
      <c r="C314" s="177" t="str">
        <f t="shared" ca="1" si="91"/>
        <v/>
      </c>
      <c r="D314" s="24" t="str">
        <f t="shared" ca="1" si="100"/>
        <v/>
      </c>
      <c r="E314" s="177" t="str">
        <f t="shared" ca="1" si="92"/>
        <v/>
      </c>
      <c r="F314" s="178" t="str">
        <f t="shared" ca="1" si="93"/>
        <v/>
      </c>
      <c r="G314" s="178" t="str">
        <f t="shared" ca="1" si="94"/>
        <v/>
      </c>
      <c r="H314" s="177" t="str">
        <f t="shared" ca="1" si="95"/>
        <v/>
      </c>
      <c r="I314" s="25">
        <f t="shared" ca="1" si="96"/>
        <v>0</v>
      </c>
      <c r="J314" s="9" t="str">
        <f ca="1">'PRICE_IOF Ñ USAR'!J314</f>
        <v/>
      </c>
      <c r="K314" s="9" t="str">
        <f ca="1">'PRICE_IOF Ñ USAR'!K314</f>
        <v/>
      </c>
      <c r="L314" s="9" t="str">
        <f ca="1">'PRICE_IOF Ñ USAR'!L314</f>
        <v/>
      </c>
      <c r="N314" s="176" t="str">
        <f t="shared" ca="1" si="97"/>
        <v/>
      </c>
      <c r="O314" s="176" t="str">
        <f t="shared" ca="1" si="101"/>
        <v/>
      </c>
      <c r="P314" s="175" t="str">
        <f t="shared" ca="1" si="84"/>
        <v/>
      </c>
      <c r="Q314" s="11" t="str">
        <f t="shared" ca="1" si="85"/>
        <v/>
      </c>
      <c r="R314" s="12" t="str">
        <f t="shared" ca="1" si="86"/>
        <v/>
      </c>
      <c r="S314" s="513"/>
      <c r="U314" t="str">
        <f t="shared" ca="1" si="102"/>
        <v/>
      </c>
      <c r="V314" s="31">
        <f t="shared" ca="1" si="103"/>
        <v>0</v>
      </c>
      <c r="X314" s="58" t="str">
        <f t="shared" ca="1" si="87"/>
        <v/>
      </c>
      <c r="Y314" s="61" t="str">
        <f t="shared" ca="1" si="88"/>
        <v/>
      </c>
      <c r="Z314" s="31" t="str">
        <f t="shared" ca="1" si="98"/>
        <v/>
      </c>
      <c r="AA314" s="31" t="e">
        <f t="shared" ca="1" si="104"/>
        <v>#VALUE!</v>
      </c>
      <c r="AB314" s="31" t="str">
        <f t="shared" ca="1" si="99"/>
        <v/>
      </c>
      <c r="AC314" t="str">
        <f t="shared" ca="1" si="89"/>
        <v/>
      </c>
      <c r="AD314" t="str">
        <f t="shared" ca="1" si="90"/>
        <v/>
      </c>
    </row>
    <row r="315" spans="1:30">
      <c r="A315" s="180" t="str">
        <f ca="1">'PRICE_IOF Ñ USAR'!A315</f>
        <v/>
      </c>
      <c r="B315" s="179" t="str">
        <f ca="1">'PRICE_IOF Ñ USAR'!B315</f>
        <v/>
      </c>
      <c r="C315" s="177" t="str">
        <f t="shared" ca="1" si="91"/>
        <v/>
      </c>
      <c r="D315" s="24" t="str">
        <f t="shared" ca="1" si="100"/>
        <v/>
      </c>
      <c r="E315" s="177" t="str">
        <f t="shared" ca="1" si="92"/>
        <v/>
      </c>
      <c r="F315" s="178" t="str">
        <f t="shared" ca="1" si="93"/>
        <v/>
      </c>
      <c r="G315" s="178" t="str">
        <f t="shared" ca="1" si="94"/>
        <v/>
      </c>
      <c r="H315" s="177" t="str">
        <f t="shared" ca="1" si="95"/>
        <v/>
      </c>
      <c r="I315" s="25">
        <f t="shared" ca="1" si="96"/>
        <v>0</v>
      </c>
      <c r="J315" s="9" t="str">
        <f ca="1">'PRICE_IOF Ñ USAR'!J315</f>
        <v/>
      </c>
      <c r="K315" s="9" t="str">
        <f ca="1">'PRICE_IOF Ñ USAR'!K315</f>
        <v/>
      </c>
      <c r="L315" s="9" t="str">
        <f ca="1">'PRICE_IOF Ñ USAR'!L315</f>
        <v/>
      </c>
      <c r="N315" s="176" t="str">
        <f t="shared" ca="1" si="97"/>
        <v/>
      </c>
      <c r="O315" s="176" t="str">
        <f t="shared" ca="1" si="101"/>
        <v/>
      </c>
      <c r="P315" s="175" t="str">
        <f t="shared" ca="1" si="84"/>
        <v/>
      </c>
      <c r="Q315" s="11" t="str">
        <f t="shared" ca="1" si="85"/>
        <v/>
      </c>
      <c r="R315" s="12" t="str">
        <f t="shared" ca="1" si="86"/>
        <v/>
      </c>
      <c r="S315" s="513"/>
      <c r="U315" t="str">
        <f t="shared" ca="1" si="102"/>
        <v/>
      </c>
      <c r="V315" s="31">
        <f t="shared" ca="1" si="103"/>
        <v>0</v>
      </c>
      <c r="X315" s="58" t="str">
        <f t="shared" ca="1" si="87"/>
        <v/>
      </c>
      <c r="Y315" s="61" t="str">
        <f t="shared" ca="1" si="88"/>
        <v/>
      </c>
      <c r="Z315" s="31" t="str">
        <f t="shared" ca="1" si="98"/>
        <v/>
      </c>
      <c r="AA315" s="31" t="e">
        <f t="shared" ca="1" si="104"/>
        <v>#VALUE!</v>
      </c>
      <c r="AB315" s="31" t="str">
        <f t="shared" ca="1" si="99"/>
        <v/>
      </c>
      <c r="AC315" t="str">
        <f t="shared" ca="1" si="89"/>
        <v/>
      </c>
      <c r="AD315" t="str">
        <f t="shared" ca="1" si="90"/>
        <v/>
      </c>
    </row>
    <row r="316" spans="1:30">
      <c r="A316" s="180" t="str">
        <f ca="1">'PRICE_IOF Ñ USAR'!A316</f>
        <v/>
      </c>
      <c r="B316" s="179" t="str">
        <f ca="1">'PRICE_IOF Ñ USAR'!B316</f>
        <v/>
      </c>
      <c r="C316" s="177" t="str">
        <f t="shared" ca="1" si="91"/>
        <v/>
      </c>
      <c r="D316" s="24" t="str">
        <f t="shared" ca="1" si="100"/>
        <v/>
      </c>
      <c r="E316" s="177" t="str">
        <f t="shared" ca="1" si="92"/>
        <v/>
      </c>
      <c r="F316" s="178" t="str">
        <f t="shared" ca="1" si="93"/>
        <v/>
      </c>
      <c r="G316" s="178" t="str">
        <f t="shared" ca="1" si="94"/>
        <v/>
      </c>
      <c r="H316" s="177" t="str">
        <f t="shared" ca="1" si="95"/>
        <v/>
      </c>
      <c r="I316" s="25">
        <f t="shared" ca="1" si="96"/>
        <v>0</v>
      </c>
      <c r="J316" s="9" t="str">
        <f ca="1">'PRICE_IOF Ñ USAR'!J316</f>
        <v/>
      </c>
      <c r="K316" s="9" t="str">
        <f ca="1">'PRICE_IOF Ñ USAR'!K316</f>
        <v/>
      </c>
      <c r="L316" s="9" t="str">
        <f ca="1">'PRICE_IOF Ñ USAR'!L316</f>
        <v/>
      </c>
      <c r="N316" s="176" t="str">
        <f t="shared" ca="1" si="97"/>
        <v/>
      </c>
      <c r="O316" s="176" t="str">
        <f t="shared" ca="1" si="101"/>
        <v/>
      </c>
      <c r="P316" s="175" t="str">
        <f t="shared" ca="1" si="84"/>
        <v/>
      </c>
      <c r="Q316" s="11" t="str">
        <f t="shared" ca="1" si="85"/>
        <v/>
      </c>
      <c r="R316" s="12" t="str">
        <f t="shared" ca="1" si="86"/>
        <v/>
      </c>
      <c r="S316" s="513"/>
      <c r="U316" t="str">
        <f t="shared" ca="1" si="102"/>
        <v/>
      </c>
      <c r="V316" s="31">
        <f t="shared" ca="1" si="103"/>
        <v>0</v>
      </c>
      <c r="X316" s="58" t="str">
        <f t="shared" ca="1" si="87"/>
        <v/>
      </c>
      <c r="Y316" s="61" t="str">
        <f t="shared" ca="1" si="88"/>
        <v/>
      </c>
      <c r="Z316" s="31" t="str">
        <f t="shared" ca="1" si="98"/>
        <v/>
      </c>
      <c r="AA316" s="31" t="e">
        <f t="shared" ca="1" si="104"/>
        <v>#VALUE!</v>
      </c>
      <c r="AB316" s="31" t="str">
        <f t="shared" ca="1" si="99"/>
        <v/>
      </c>
      <c r="AC316" t="str">
        <f t="shared" ca="1" si="89"/>
        <v/>
      </c>
      <c r="AD316" t="str">
        <f t="shared" ca="1" si="90"/>
        <v/>
      </c>
    </row>
    <row r="317" spans="1:30">
      <c r="A317" s="180" t="str">
        <f ca="1">'PRICE_IOF Ñ USAR'!A317</f>
        <v/>
      </c>
      <c r="B317" s="179" t="str">
        <f ca="1">'PRICE_IOF Ñ USAR'!B317</f>
        <v/>
      </c>
      <c r="C317" s="177" t="str">
        <f t="shared" ca="1" si="91"/>
        <v/>
      </c>
      <c r="D317" s="24" t="str">
        <f t="shared" ca="1" si="100"/>
        <v/>
      </c>
      <c r="E317" s="177" t="str">
        <f t="shared" ca="1" si="92"/>
        <v/>
      </c>
      <c r="F317" s="178" t="str">
        <f t="shared" ca="1" si="93"/>
        <v/>
      </c>
      <c r="G317" s="178" t="str">
        <f t="shared" ca="1" si="94"/>
        <v/>
      </c>
      <c r="H317" s="177" t="str">
        <f t="shared" ca="1" si="95"/>
        <v/>
      </c>
      <c r="I317" s="25">
        <f t="shared" ca="1" si="96"/>
        <v>0</v>
      </c>
      <c r="J317" s="9" t="str">
        <f ca="1">'PRICE_IOF Ñ USAR'!J317</f>
        <v/>
      </c>
      <c r="K317" s="9" t="str">
        <f ca="1">'PRICE_IOF Ñ USAR'!K317</f>
        <v/>
      </c>
      <c r="L317" s="9" t="str">
        <f ca="1">'PRICE_IOF Ñ USAR'!L317</f>
        <v/>
      </c>
      <c r="N317" s="176" t="str">
        <f t="shared" ca="1" si="97"/>
        <v/>
      </c>
      <c r="O317" s="176" t="str">
        <f t="shared" ca="1" si="101"/>
        <v/>
      </c>
      <c r="P317" s="175" t="str">
        <f t="shared" ca="1" si="84"/>
        <v/>
      </c>
      <c r="Q317" s="11" t="str">
        <f t="shared" ca="1" si="85"/>
        <v/>
      </c>
      <c r="R317" s="12" t="str">
        <f t="shared" ca="1" si="86"/>
        <v/>
      </c>
      <c r="S317" s="513"/>
      <c r="U317" t="str">
        <f t="shared" ca="1" si="102"/>
        <v/>
      </c>
      <c r="V317" s="31">
        <f t="shared" ca="1" si="103"/>
        <v>0</v>
      </c>
      <c r="X317" s="58" t="str">
        <f t="shared" ca="1" si="87"/>
        <v/>
      </c>
      <c r="Y317" s="61" t="str">
        <f t="shared" ca="1" si="88"/>
        <v/>
      </c>
      <c r="Z317" s="31" t="str">
        <f t="shared" ca="1" si="98"/>
        <v/>
      </c>
      <c r="AA317" s="31" t="e">
        <f t="shared" ca="1" si="104"/>
        <v>#VALUE!</v>
      </c>
      <c r="AB317" s="31" t="str">
        <f t="shared" ca="1" si="99"/>
        <v/>
      </c>
      <c r="AC317" t="str">
        <f t="shared" ca="1" si="89"/>
        <v/>
      </c>
      <c r="AD317" t="str">
        <f t="shared" ca="1" si="90"/>
        <v/>
      </c>
    </row>
    <row r="318" spans="1:30">
      <c r="A318" s="180" t="str">
        <f ca="1">'PRICE_IOF Ñ USAR'!A318</f>
        <v/>
      </c>
      <c r="B318" s="179" t="str">
        <f ca="1">'PRICE_IOF Ñ USAR'!B318</f>
        <v/>
      </c>
      <c r="C318" s="177" t="str">
        <f t="shared" ca="1" si="91"/>
        <v/>
      </c>
      <c r="D318" s="24" t="str">
        <f t="shared" ca="1" si="100"/>
        <v/>
      </c>
      <c r="E318" s="177" t="str">
        <f t="shared" ca="1" si="92"/>
        <v/>
      </c>
      <c r="F318" s="178" t="str">
        <f t="shared" ca="1" si="93"/>
        <v/>
      </c>
      <c r="G318" s="178" t="str">
        <f t="shared" ca="1" si="94"/>
        <v/>
      </c>
      <c r="H318" s="177" t="str">
        <f t="shared" ca="1" si="95"/>
        <v/>
      </c>
      <c r="I318" s="25">
        <f t="shared" ca="1" si="96"/>
        <v>0</v>
      </c>
      <c r="J318" s="9" t="str">
        <f ca="1">'PRICE_IOF Ñ USAR'!J318</f>
        <v/>
      </c>
      <c r="K318" s="9" t="str">
        <f ca="1">'PRICE_IOF Ñ USAR'!K318</f>
        <v/>
      </c>
      <c r="L318" s="9" t="str">
        <f ca="1">'PRICE_IOF Ñ USAR'!L318</f>
        <v/>
      </c>
      <c r="N318" s="176" t="str">
        <f t="shared" ca="1" si="97"/>
        <v/>
      </c>
      <c r="O318" s="176" t="str">
        <f t="shared" ca="1" si="101"/>
        <v/>
      </c>
      <c r="P318" s="175" t="str">
        <f t="shared" ca="1" si="84"/>
        <v/>
      </c>
      <c r="Q318" s="11" t="str">
        <f t="shared" ca="1" si="85"/>
        <v/>
      </c>
      <c r="R318" s="12" t="str">
        <f t="shared" ca="1" si="86"/>
        <v/>
      </c>
      <c r="S318" s="513"/>
      <c r="U318" t="str">
        <f t="shared" ca="1" si="102"/>
        <v/>
      </c>
      <c r="V318" s="31">
        <f t="shared" ca="1" si="103"/>
        <v>0</v>
      </c>
      <c r="X318" s="58" t="str">
        <f t="shared" ca="1" si="87"/>
        <v/>
      </c>
      <c r="Y318" s="61" t="str">
        <f t="shared" ca="1" si="88"/>
        <v/>
      </c>
      <c r="Z318" s="31" t="str">
        <f t="shared" ca="1" si="98"/>
        <v/>
      </c>
      <c r="AA318" s="31" t="e">
        <f t="shared" ca="1" si="104"/>
        <v>#VALUE!</v>
      </c>
      <c r="AB318" s="31" t="str">
        <f t="shared" ca="1" si="99"/>
        <v/>
      </c>
      <c r="AC318" t="str">
        <f t="shared" ca="1" si="89"/>
        <v/>
      </c>
      <c r="AD318" t="str">
        <f t="shared" ca="1" si="90"/>
        <v/>
      </c>
    </row>
    <row r="319" spans="1:30">
      <c r="A319" s="180" t="str">
        <f ca="1">'PRICE_IOF Ñ USAR'!A319</f>
        <v/>
      </c>
      <c r="B319" s="179" t="str">
        <f ca="1">'PRICE_IOF Ñ USAR'!B319</f>
        <v/>
      </c>
      <c r="C319" s="177" t="str">
        <f t="shared" ca="1" si="91"/>
        <v/>
      </c>
      <c r="D319" s="24" t="str">
        <f t="shared" ca="1" si="100"/>
        <v/>
      </c>
      <c r="E319" s="177" t="str">
        <f t="shared" ca="1" si="92"/>
        <v/>
      </c>
      <c r="F319" s="178" t="str">
        <f t="shared" ca="1" si="93"/>
        <v/>
      </c>
      <c r="G319" s="178" t="str">
        <f t="shared" ca="1" si="94"/>
        <v/>
      </c>
      <c r="H319" s="177" t="str">
        <f t="shared" ca="1" si="95"/>
        <v/>
      </c>
      <c r="I319" s="25">
        <f t="shared" ca="1" si="96"/>
        <v>0</v>
      </c>
      <c r="J319" s="9" t="str">
        <f ca="1">'PRICE_IOF Ñ USAR'!J319</f>
        <v/>
      </c>
      <c r="K319" s="9" t="str">
        <f ca="1">'PRICE_IOF Ñ USAR'!K319</f>
        <v/>
      </c>
      <c r="L319" s="9" t="str">
        <f ca="1">'PRICE_IOF Ñ USAR'!L319</f>
        <v/>
      </c>
      <c r="N319" s="176" t="str">
        <f t="shared" ca="1" si="97"/>
        <v/>
      </c>
      <c r="O319" s="176" t="str">
        <f t="shared" ca="1" si="101"/>
        <v/>
      </c>
      <c r="P319" s="175" t="str">
        <f t="shared" ca="1" si="84"/>
        <v/>
      </c>
      <c r="Q319" s="11" t="str">
        <f t="shared" ca="1" si="85"/>
        <v/>
      </c>
      <c r="R319" s="12" t="str">
        <f t="shared" ca="1" si="86"/>
        <v/>
      </c>
      <c r="S319" s="513"/>
      <c r="U319" t="str">
        <f t="shared" ca="1" si="102"/>
        <v/>
      </c>
      <c r="V319" s="31">
        <f t="shared" ca="1" si="103"/>
        <v>0</v>
      </c>
      <c r="X319" s="58" t="str">
        <f t="shared" ca="1" si="87"/>
        <v/>
      </c>
      <c r="Y319" s="61" t="str">
        <f t="shared" ca="1" si="88"/>
        <v/>
      </c>
      <c r="Z319" s="31" t="str">
        <f t="shared" ca="1" si="98"/>
        <v/>
      </c>
      <c r="AA319" s="31" t="e">
        <f t="shared" ca="1" si="104"/>
        <v>#VALUE!</v>
      </c>
      <c r="AB319" s="31" t="str">
        <f t="shared" ca="1" si="99"/>
        <v/>
      </c>
      <c r="AC319" t="str">
        <f t="shared" ca="1" si="89"/>
        <v/>
      </c>
      <c r="AD319" t="str">
        <f t="shared" ca="1" si="90"/>
        <v/>
      </c>
    </row>
    <row r="320" spans="1:30">
      <c r="A320" s="180" t="str">
        <f ca="1">'PRICE_IOF Ñ USAR'!A320</f>
        <v/>
      </c>
      <c r="B320" s="179" t="str">
        <f ca="1">'PRICE_IOF Ñ USAR'!B320</f>
        <v/>
      </c>
      <c r="C320" s="177" t="str">
        <f t="shared" ca="1" si="91"/>
        <v/>
      </c>
      <c r="D320" s="24" t="str">
        <f t="shared" ca="1" si="100"/>
        <v/>
      </c>
      <c r="E320" s="177" t="str">
        <f t="shared" ca="1" si="92"/>
        <v/>
      </c>
      <c r="F320" s="178" t="str">
        <f t="shared" ca="1" si="93"/>
        <v/>
      </c>
      <c r="G320" s="178" t="str">
        <f t="shared" ca="1" si="94"/>
        <v/>
      </c>
      <c r="H320" s="177" t="str">
        <f t="shared" ca="1" si="95"/>
        <v/>
      </c>
      <c r="I320" s="25">
        <f t="shared" ca="1" si="96"/>
        <v>0</v>
      </c>
      <c r="J320" s="9" t="str">
        <f ca="1">'PRICE_IOF Ñ USAR'!J320</f>
        <v/>
      </c>
      <c r="K320" s="9" t="str">
        <f ca="1">'PRICE_IOF Ñ USAR'!K320</f>
        <v/>
      </c>
      <c r="L320" s="9" t="str">
        <f ca="1">'PRICE_IOF Ñ USAR'!L320</f>
        <v/>
      </c>
      <c r="N320" s="176" t="str">
        <f t="shared" ca="1" si="97"/>
        <v/>
      </c>
      <c r="O320" s="176" t="str">
        <f t="shared" ca="1" si="101"/>
        <v/>
      </c>
      <c r="P320" s="175" t="str">
        <f t="shared" ca="1" si="84"/>
        <v/>
      </c>
      <c r="Q320" s="11" t="str">
        <f t="shared" ca="1" si="85"/>
        <v/>
      </c>
      <c r="R320" s="12" t="str">
        <f t="shared" ca="1" si="86"/>
        <v/>
      </c>
      <c r="S320" s="513"/>
      <c r="U320" t="str">
        <f t="shared" ca="1" si="102"/>
        <v/>
      </c>
      <c r="V320" s="31">
        <f t="shared" ca="1" si="103"/>
        <v>0</v>
      </c>
      <c r="X320" s="58" t="str">
        <f t="shared" ca="1" si="87"/>
        <v/>
      </c>
      <c r="Y320" s="61" t="str">
        <f t="shared" ca="1" si="88"/>
        <v/>
      </c>
      <c r="Z320" s="31" t="str">
        <f t="shared" ca="1" si="98"/>
        <v/>
      </c>
      <c r="AA320" s="31" t="e">
        <f t="shared" ca="1" si="104"/>
        <v>#VALUE!</v>
      </c>
      <c r="AB320" s="31" t="str">
        <f t="shared" ca="1" si="99"/>
        <v/>
      </c>
      <c r="AC320" t="str">
        <f t="shared" ca="1" si="89"/>
        <v/>
      </c>
      <c r="AD320" t="str">
        <f t="shared" ca="1" si="90"/>
        <v/>
      </c>
    </row>
    <row r="321" spans="1:30">
      <c r="A321" s="180" t="str">
        <f ca="1">'PRICE_IOF Ñ USAR'!A321</f>
        <v/>
      </c>
      <c r="B321" s="179" t="str">
        <f ca="1">'PRICE_IOF Ñ USAR'!B321</f>
        <v/>
      </c>
      <c r="C321" s="177" t="str">
        <f t="shared" ca="1" si="91"/>
        <v/>
      </c>
      <c r="D321" s="24" t="str">
        <f t="shared" ca="1" si="100"/>
        <v/>
      </c>
      <c r="E321" s="177" t="str">
        <f t="shared" ca="1" si="92"/>
        <v/>
      </c>
      <c r="F321" s="178" t="str">
        <f t="shared" ca="1" si="93"/>
        <v/>
      </c>
      <c r="G321" s="178" t="str">
        <f t="shared" ca="1" si="94"/>
        <v/>
      </c>
      <c r="H321" s="177" t="str">
        <f t="shared" ca="1" si="95"/>
        <v/>
      </c>
      <c r="I321" s="25">
        <f t="shared" ca="1" si="96"/>
        <v>0</v>
      </c>
      <c r="J321" s="9" t="str">
        <f ca="1">'PRICE_IOF Ñ USAR'!J321</f>
        <v/>
      </c>
      <c r="K321" s="9" t="str">
        <f ca="1">'PRICE_IOF Ñ USAR'!K321</f>
        <v/>
      </c>
      <c r="L321" s="9" t="str">
        <f ca="1">'PRICE_IOF Ñ USAR'!L321</f>
        <v/>
      </c>
      <c r="N321" s="176" t="str">
        <f t="shared" ca="1" si="97"/>
        <v/>
      </c>
      <c r="O321" s="176" t="str">
        <f t="shared" ca="1" si="101"/>
        <v/>
      </c>
      <c r="P321" s="175" t="str">
        <f t="shared" ca="1" si="84"/>
        <v/>
      </c>
      <c r="Q321" s="11" t="str">
        <f t="shared" ca="1" si="85"/>
        <v/>
      </c>
      <c r="R321" s="12" t="str">
        <f t="shared" ca="1" si="86"/>
        <v/>
      </c>
      <c r="S321" s="513"/>
      <c r="U321" t="str">
        <f t="shared" ca="1" si="102"/>
        <v/>
      </c>
      <c r="V321" s="31">
        <f t="shared" ca="1" si="103"/>
        <v>0</v>
      </c>
      <c r="X321" s="58" t="str">
        <f t="shared" ca="1" si="87"/>
        <v/>
      </c>
      <c r="Y321" s="61" t="str">
        <f t="shared" ca="1" si="88"/>
        <v/>
      </c>
      <c r="Z321" s="31" t="str">
        <f t="shared" ca="1" si="98"/>
        <v/>
      </c>
      <c r="AA321" s="31" t="e">
        <f t="shared" ca="1" si="104"/>
        <v>#VALUE!</v>
      </c>
      <c r="AB321" s="31" t="str">
        <f t="shared" ca="1" si="99"/>
        <v/>
      </c>
      <c r="AC321" t="str">
        <f t="shared" ca="1" si="89"/>
        <v/>
      </c>
      <c r="AD321" t="str">
        <f t="shared" ca="1" si="90"/>
        <v/>
      </c>
    </row>
    <row r="322" spans="1:30">
      <c r="A322" s="180" t="str">
        <f ca="1">'PRICE_IOF Ñ USAR'!A322</f>
        <v/>
      </c>
      <c r="B322" s="179" t="str">
        <f ca="1">'PRICE_IOF Ñ USAR'!B322</f>
        <v/>
      </c>
      <c r="C322" s="177" t="str">
        <f t="shared" ca="1" si="91"/>
        <v/>
      </c>
      <c r="D322" s="24" t="str">
        <f t="shared" ca="1" si="100"/>
        <v/>
      </c>
      <c r="E322" s="177" t="str">
        <f t="shared" ca="1" si="92"/>
        <v/>
      </c>
      <c r="F322" s="178" t="str">
        <f t="shared" ca="1" si="93"/>
        <v/>
      </c>
      <c r="G322" s="178" t="str">
        <f t="shared" ca="1" si="94"/>
        <v/>
      </c>
      <c r="H322" s="177" t="str">
        <f t="shared" ca="1" si="95"/>
        <v/>
      </c>
      <c r="I322" s="25">
        <f t="shared" ca="1" si="96"/>
        <v>0</v>
      </c>
      <c r="J322" s="9" t="str">
        <f ca="1">'PRICE_IOF Ñ USAR'!J322</f>
        <v/>
      </c>
      <c r="K322" s="9" t="str">
        <f ca="1">'PRICE_IOF Ñ USAR'!K322</f>
        <v/>
      </c>
      <c r="L322" s="9" t="str">
        <f ca="1">'PRICE_IOF Ñ USAR'!L322</f>
        <v/>
      </c>
      <c r="N322" s="176" t="str">
        <f t="shared" ca="1" si="97"/>
        <v/>
      </c>
      <c r="O322" s="176" t="str">
        <f t="shared" ca="1" si="101"/>
        <v/>
      </c>
      <c r="P322" s="175" t="str">
        <f t="shared" ca="1" si="84"/>
        <v/>
      </c>
      <c r="Q322" s="11" t="str">
        <f t="shared" ca="1" si="85"/>
        <v/>
      </c>
      <c r="R322" s="12" t="str">
        <f t="shared" ca="1" si="86"/>
        <v/>
      </c>
      <c r="S322" s="513"/>
      <c r="U322" t="str">
        <f t="shared" ca="1" si="102"/>
        <v/>
      </c>
      <c r="V322" s="31">
        <f t="shared" ca="1" si="103"/>
        <v>0</v>
      </c>
      <c r="X322" s="58" t="str">
        <f t="shared" ca="1" si="87"/>
        <v/>
      </c>
      <c r="Y322" s="61" t="str">
        <f t="shared" ca="1" si="88"/>
        <v/>
      </c>
      <c r="Z322" s="31" t="str">
        <f t="shared" ca="1" si="98"/>
        <v/>
      </c>
      <c r="AA322" s="31" t="e">
        <f t="shared" ca="1" si="104"/>
        <v>#VALUE!</v>
      </c>
      <c r="AB322" s="31" t="str">
        <f t="shared" ca="1" si="99"/>
        <v/>
      </c>
      <c r="AC322" t="str">
        <f t="shared" ca="1" si="89"/>
        <v/>
      </c>
      <c r="AD322" t="str">
        <f t="shared" ca="1" si="90"/>
        <v/>
      </c>
    </row>
    <row r="323" spans="1:30">
      <c r="A323" s="180" t="str">
        <f ca="1">'PRICE_IOF Ñ USAR'!A323</f>
        <v/>
      </c>
      <c r="B323" s="179" t="str">
        <f ca="1">'PRICE_IOF Ñ USAR'!B323</f>
        <v/>
      </c>
      <c r="C323" s="177" t="str">
        <f t="shared" ca="1" si="91"/>
        <v/>
      </c>
      <c r="D323" s="24" t="str">
        <f t="shared" ca="1" si="100"/>
        <v/>
      </c>
      <c r="E323" s="177" t="str">
        <f t="shared" ca="1" si="92"/>
        <v/>
      </c>
      <c r="F323" s="178" t="str">
        <f t="shared" ca="1" si="93"/>
        <v/>
      </c>
      <c r="G323" s="178" t="str">
        <f t="shared" ca="1" si="94"/>
        <v/>
      </c>
      <c r="H323" s="177" t="str">
        <f t="shared" ca="1" si="95"/>
        <v/>
      </c>
      <c r="I323" s="25">
        <f t="shared" ca="1" si="96"/>
        <v>0</v>
      </c>
      <c r="J323" s="9" t="str">
        <f ca="1">'PRICE_IOF Ñ USAR'!J323</f>
        <v/>
      </c>
      <c r="K323" s="9" t="str">
        <f ca="1">'PRICE_IOF Ñ USAR'!K323</f>
        <v/>
      </c>
      <c r="L323" s="9" t="str">
        <f ca="1">'PRICE_IOF Ñ USAR'!L323</f>
        <v/>
      </c>
      <c r="N323" s="176" t="str">
        <f t="shared" ca="1" si="97"/>
        <v/>
      </c>
      <c r="O323" s="176" t="str">
        <f t="shared" ca="1" si="101"/>
        <v/>
      </c>
      <c r="P323" s="175" t="str">
        <f t="shared" ca="1" si="84"/>
        <v/>
      </c>
      <c r="Q323" s="11" t="str">
        <f t="shared" ca="1" si="85"/>
        <v/>
      </c>
      <c r="R323" s="12" t="str">
        <f t="shared" ca="1" si="86"/>
        <v/>
      </c>
      <c r="S323" s="513"/>
      <c r="U323" t="str">
        <f t="shared" ca="1" si="102"/>
        <v/>
      </c>
      <c r="V323" s="31">
        <f t="shared" ca="1" si="103"/>
        <v>0</v>
      </c>
      <c r="X323" s="58" t="str">
        <f t="shared" ca="1" si="87"/>
        <v/>
      </c>
      <c r="Y323" s="61" t="str">
        <f t="shared" ca="1" si="88"/>
        <v/>
      </c>
      <c r="Z323" s="31" t="str">
        <f t="shared" ca="1" si="98"/>
        <v/>
      </c>
      <c r="AA323" s="31" t="e">
        <f t="shared" ca="1" si="104"/>
        <v>#VALUE!</v>
      </c>
      <c r="AB323" s="31" t="str">
        <f t="shared" ca="1" si="99"/>
        <v/>
      </c>
      <c r="AC323" t="str">
        <f t="shared" ca="1" si="89"/>
        <v/>
      </c>
      <c r="AD323" t="str">
        <f t="shared" ca="1" si="90"/>
        <v/>
      </c>
    </row>
    <row r="324" spans="1:30">
      <c r="A324" s="180" t="str">
        <f ca="1">'PRICE_IOF Ñ USAR'!A324</f>
        <v/>
      </c>
      <c r="B324" s="179" t="str">
        <f ca="1">'PRICE_IOF Ñ USAR'!B324</f>
        <v/>
      </c>
      <c r="C324" s="177" t="str">
        <f t="shared" ca="1" si="91"/>
        <v/>
      </c>
      <c r="D324" s="24" t="str">
        <f t="shared" ca="1" si="100"/>
        <v/>
      </c>
      <c r="E324" s="177" t="str">
        <f t="shared" ca="1" si="92"/>
        <v/>
      </c>
      <c r="F324" s="178" t="str">
        <f t="shared" ca="1" si="93"/>
        <v/>
      </c>
      <c r="G324" s="178" t="str">
        <f t="shared" ca="1" si="94"/>
        <v/>
      </c>
      <c r="H324" s="177" t="str">
        <f t="shared" ca="1" si="95"/>
        <v/>
      </c>
      <c r="I324" s="25">
        <f t="shared" ca="1" si="96"/>
        <v>0</v>
      </c>
      <c r="J324" s="9" t="str">
        <f ca="1">'PRICE_IOF Ñ USAR'!J324</f>
        <v/>
      </c>
      <c r="K324" s="9" t="str">
        <f ca="1">'PRICE_IOF Ñ USAR'!K324</f>
        <v/>
      </c>
      <c r="L324" s="9" t="str">
        <f ca="1">'PRICE_IOF Ñ USAR'!L324</f>
        <v/>
      </c>
      <c r="N324" s="176" t="str">
        <f t="shared" ca="1" si="97"/>
        <v/>
      </c>
      <c r="O324" s="176" t="str">
        <f t="shared" ca="1" si="101"/>
        <v/>
      </c>
      <c r="P324" s="175" t="str">
        <f t="shared" ca="1" si="84"/>
        <v/>
      </c>
      <c r="Q324" s="11" t="str">
        <f t="shared" ca="1" si="85"/>
        <v/>
      </c>
      <c r="R324" s="12" t="str">
        <f t="shared" ca="1" si="86"/>
        <v/>
      </c>
      <c r="S324" s="513"/>
      <c r="U324" t="str">
        <f t="shared" ca="1" si="102"/>
        <v/>
      </c>
      <c r="V324" s="31">
        <f t="shared" ca="1" si="103"/>
        <v>0</v>
      </c>
      <c r="X324" s="58" t="str">
        <f t="shared" ca="1" si="87"/>
        <v/>
      </c>
      <c r="Y324" s="61" t="str">
        <f t="shared" ca="1" si="88"/>
        <v/>
      </c>
      <c r="Z324" s="31" t="str">
        <f t="shared" ca="1" si="98"/>
        <v/>
      </c>
      <c r="AA324" s="31" t="e">
        <f t="shared" ca="1" si="104"/>
        <v>#VALUE!</v>
      </c>
      <c r="AB324" s="31" t="str">
        <f t="shared" ca="1" si="99"/>
        <v/>
      </c>
      <c r="AC324" t="str">
        <f t="shared" ca="1" si="89"/>
        <v/>
      </c>
      <c r="AD324" t="str">
        <f t="shared" ca="1" si="90"/>
        <v/>
      </c>
    </row>
    <row r="325" spans="1:30">
      <c r="A325" s="180" t="str">
        <f ca="1">'PRICE_IOF Ñ USAR'!A325</f>
        <v/>
      </c>
      <c r="B325" s="179" t="str">
        <f ca="1">'PRICE_IOF Ñ USAR'!B325</f>
        <v/>
      </c>
      <c r="C325" s="177" t="str">
        <f t="shared" ca="1" si="91"/>
        <v/>
      </c>
      <c r="D325" s="24" t="str">
        <f t="shared" ca="1" si="100"/>
        <v/>
      </c>
      <c r="E325" s="177" t="str">
        <f t="shared" ca="1" si="92"/>
        <v/>
      </c>
      <c r="F325" s="178" t="str">
        <f t="shared" ca="1" si="93"/>
        <v/>
      </c>
      <c r="G325" s="178" t="str">
        <f t="shared" ca="1" si="94"/>
        <v/>
      </c>
      <c r="H325" s="177" t="str">
        <f t="shared" ca="1" si="95"/>
        <v/>
      </c>
      <c r="I325" s="25">
        <f t="shared" ca="1" si="96"/>
        <v>0</v>
      </c>
      <c r="J325" s="9" t="str">
        <f ca="1">'PRICE_IOF Ñ USAR'!J325</f>
        <v/>
      </c>
      <c r="K325" s="9" t="str">
        <f ca="1">'PRICE_IOF Ñ USAR'!K325</f>
        <v/>
      </c>
      <c r="L325" s="9" t="str">
        <f ca="1">'PRICE_IOF Ñ USAR'!L325</f>
        <v/>
      </c>
      <c r="N325" s="176" t="str">
        <f t="shared" ca="1" si="97"/>
        <v/>
      </c>
      <c r="O325" s="176" t="str">
        <f t="shared" ca="1" si="101"/>
        <v/>
      </c>
      <c r="P325" s="175" t="str">
        <f t="shared" ca="1" si="84"/>
        <v/>
      </c>
      <c r="Q325" s="11" t="str">
        <f t="shared" ca="1" si="85"/>
        <v/>
      </c>
      <c r="R325" s="12" t="str">
        <f t="shared" ca="1" si="86"/>
        <v/>
      </c>
      <c r="S325" s="513"/>
      <c r="U325" t="str">
        <f t="shared" ca="1" si="102"/>
        <v/>
      </c>
      <c r="V325" s="31">
        <f t="shared" ca="1" si="103"/>
        <v>0</v>
      </c>
      <c r="X325" s="58" t="str">
        <f t="shared" ca="1" si="87"/>
        <v/>
      </c>
      <c r="Y325" s="61" t="str">
        <f t="shared" ca="1" si="88"/>
        <v/>
      </c>
      <c r="Z325" s="31" t="str">
        <f t="shared" ca="1" si="98"/>
        <v/>
      </c>
      <c r="AA325" s="31" t="e">
        <f t="shared" ca="1" si="104"/>
        <v>#VALUE!</v>
      </c>
      <c r="AB325" s="31" t="str">
        <f t="shared" ca="1" si="99"/>
        <v/>
      </c>
      <c r="AC325" t="str">
        <f t="shared" ca="1" si="89"/>
        <v/>
      </c>
      <c r="AD325" t="str">
        <f t="shared" ca="1" si="90"/>
        <v/>
      </c>
    </row>
    <row r="326" spans="1:30">
      <c r="A326" s="180" t="str">
        <f ca="1">'PRICE_IOF Ñ USAR'!A326</f>
        <v/>
      </c>
      <c r="B326" s="179" t="str">
        <f ca="1">'PRICE_IOF Ñ USAR'!B326</f>
        <v/>
      </c>
      <c r="C326" s="177" t="str">
        <f t="shared" ca="1" si="91"/>
        <v/>
      </c>
      <c r="D326" s="24" t="str">
        <f t="shared" ca="1" si="100"/>
        <v/>
      </c>
      <c r="E326" s="177" t="str">
        <f t="shared" ca="1" si="92"/>
        <v/>
      </c>
      <c r="F326" s="178" t="str">
        <f t="shared" ca="1" si="93"/>
        <v/>
      </c>
      <c r="G326" s="178" t="str">
        <f t="shared" ca="1" si="94"/>
        <v/>
      </c>
      <c r="H326" s="177" t="str">
        <f t="shared" ca="1" si="95"/>
        <v/>
      </c>
      <c r="I326" s="25">
        <f t="shared" ca="1" si="96"/>
        <v>0</v>
      </c>
      <c r="J326" s="9" t="str">
        <f ca="1">'PRICE_IOF Ñ USAR'!J326</f>
        <v/>
      </c>
      <c r="K326" s="9" t="str">
        <f ca="1">'PRICE_IOF Ñ USAR'!K326</f>
        <v/>
      </c>
      <c r="L326" s="9" t="str">
        <f ca="1">'PRICE_IOF Ñ USAR'!L326</f>
        <v/>
      </c>
      <c r="N326" s="176" t="str">
        <f t="shared" ca="1" si="97"/>
        <v/>
      </c>
      <c r="O326" s="176" t="str">
        <f t="shared" ca="1" si="101"/>
        <v/>
      </c>
      <c r="P326" s="175" t="str">
        <f t="shared" ca="1" si="84"/>
        <v/>
      </c>
      <c r="Q326" s="11" t="str">
        <f t="shared" ca="1" si="85"/>
        <v/>
      </c>
      <c r="R326" s="12" t="str">
        <f t="shared" ca="1" si="86"/>
        <v/>
      </c>
      <c r="S326" s="513"/>
      <c r="U326" t="str">
        <f t="shared" ca="1" si="102"/>
        <v/>
      </c>
      <c r="V326" s="31">
        <f t="shared" ca="1" si="103"/>
        <v>0</v>
      </c>
      <c r="X326" s="58" t="str">
        <f t="shared" ca="1" si="87"/>
        <v/>
      </c>
      <c r="Y326" s="61" t="str">
        <f t="shared" ca="1" si="88"/>
        <v/>
      </c>
      <c r="Z326" s="31" t="str">
        <f t="shared" ca="1" si="98"/>
        <v/>
      </c>
      <c r="AA326" s="31" t="e">
        <f t="shared" ca="1" si="104"/>
        <v>#VALUE!</v>
      </c>
      <c r="AB326" s="31" t="str">
        <f t="shared" ca="1" si="99"/>
        <v/>
      </c>
      <c r="AC326" t="str">
        <f t="shared" ca="1" si="89"/>
        <v/>
      </c>
      <c r="AD326" t="str">
        <f t="shared" ca="1" si="90"/>
        <v/>
      </c>
    </row>
    <row r="327" spans="1:30">
      <c r="A327" s="180" t="str">
        <f ca="1">'PRICE_IOF Ñ USAR'!A327</f>
        <v/>
      </c>
      <c r="B327" s="179" t="str">
        <f ca="1">'PRICE_IOF Ñ USAR'!B327</f>
        <v/>
      </c>
      <c r="C327" s="177" t="str">
        <f t="shared" ca="1" si="91"/>
        <v/>
      </c>
      <c r="D327" s="24" t="str">
        <f t="shared" ca="1" si="100"/>
        <v/>
      </c>
      <c r="E327" s="177" t="str">
        <f t="shared" ca="1" si="92"/>
        <v/>
      </c>
      <c r="F327" s="178" t="str">
        <f t="shared" ca="1" si="93"/>
        <v/>
      </c>
      <c r="G327" s="178" t="str">
        <f t="shared" ca="1" si="94"/>
        <v/>
      </c>
      <c r="H327" s="177" t="str">
        <f t="shared" ca="1" si="95"/>
        <v/>
      </c>
      <c r="I327" s="25">
        <f t="shared" ca="1" si="96"/>
        <v>0</v>
      </c>
      <c r="J327" s="9" t="str">
        <f ca="1">'PRICE_IOF Ñ USAR'!J327</f>
        <v/>
      </c>
      <c r="K327" s="9" t="str">
        <f ca="1">'PRICE_IOF Ñ USAR'!K327</f>
        <v/>
      </c>
      <c r="L327" s="9" t="str">
        <f ca="1">'PRICE_IOF Ñ USAR'!L327</f>
        <v/>
      </c>
      <c r="N327" s="176" t="str">
        <f t="shared" ca="1" si="97"/>
        <v/>
      </c>
      <c r="O327" s="176" t="str">
        <f t="shared" ca="1" si="101"/>
        <v/>
      </c>
      <c r="P327" s="175" t="str">
        <f t="shared" ca="1" si="84"/>
        <v/>
      </c>
      <c r="Q327" s="11" t="str">
        <f t="shared" ca="1" si="85"/>
        <v/>
      </c>
      <c r="R327" s="12" t="str">
        <f t="shared" ca="1" si="86"/>
        <v/>
      </c>
      <c r="S327" s="513"/>
      <c r="U327" t="str">
        <f t="shared" ca="1" si="102"/>
        <v/>
      </c>
      <c r="V327" s="31">
        <f t="shared" ca="1" si="103"/>
        <v>0</v>
      </c>
      <c r="X327" s="58" t="str">
        <f t="shared" ca="1" si="87"/>
        <v/>
      </c>
      <c r="Y327" s="61" t="str">
        <f t="shared" ca="1" si="88"/>
        <v/>
      </c>
      <c r="Z327" s="31" t="str">
        <f t="shared" ca="1" si="98"/>
        <v/>
      </c>
      <c r="AA327" s="31" t="e">
        <f t="shared" ca="1" si="104"/>
        <v>#VALUE!</v>
      </c>
      <c r="AB327" s="31" t="str">
        <f t="shared" ca="1" si="99"/>
        <v/>
      </c>
      <c r="AC327" t="str">
        <f t="shared" ca="1" si="89"/>
        <v/>
      </c>
      <c r="AD327" t="str">
        <f t="shared" ca="1" si="90"/>
        <v/>
      </c>
    </row>
    <row r="328" spans="1:30">
      <c r="A328" s="180" t="str">
        <f ca="1">'PRICE_IOF Ñ USAR'!A328</f>
        <v/>
      </c>
      <c r="B328" s="179" t="str">
        <f ca="1">'PRICE_IOF Ñ USAR'!B328</f>
        <v/>
      </c>
      <c r="C328" s="177" t="str">
        <f t="shared" ca="1" si="91"/>
        <v/>
      </c>
      <c r="D328" s="24" t="str">
        <f t="shared" ca="1" si="100"/>
        <v/>
      </c>
      <c r="E328" s="177" t="str">
        <f t="shared" ca="1" si="92"/>
        <v/>
      </c>
      <c r="F328" s="178" t="str">
        <f t="shared" ca="1" si="93"/>
        <v/>
      </c>
      <c r="G328" s="178" t="str">
        <f t="shared" ca="1" si="94"/>
        <v/>
      </c>
      <c r="H328" s="177" t="str">
        <f t="shared" ca="1" si="95"/>
        <v/>
      </c>
      <c r="I328" s="25">
        <f t="shared" ca="1" si="96"/>
        <v>0</v>
      </c>
      <c r="J328" s="9" t="str">
        <f ca="1">'PRICE_IOF Ñ USAR'!J328</f>
        <v/>
      </c>
      <c r="K328" s="9" t="str">
        <f ca="1">'PRICE_IOF Ñ USAR'!K328</f>
        <v/>
      </c>
      <c r="L328" s="9" t="str">
        <f ca="1">'PRICE_IOF Ñ USAR'!L328</f>
        <v/>
      </c>
      <c r="N328" s="176" t="str">
        <f t="shared" ca="1" si="97"/>
        <v/>
      </c>
      <c r="O328" s="176" t="str">
        <f t="shared" ca="1" si="101"/>
        <v/>
      </c>
      <c r="P328" s="175" t="str">
        <f t="shared" ca="1" si="84"/>
        <v/>
      </c>
      <c r="Q328" s="11" t="str">
        <f t="shared" ca="1" si="85"/>
        <v/>
      </c>
      <c r="R328" s="12" t="str">
        <f t="shared" ca="1" si="86"/>
        <v/>
      </c>
      <c r="S328" s="513"/>
      <c r="U328" t="str">
        <f t="shared" ca="1" si="102"/>
        <v/>
      </c>
      <c r="V328" s="31">
        <f t="shared" ca="1" si="103"/>
        <v>0</v>
      </c>
      <c r="X328" s="58" t="str">
        <f t="shared" ca="1" si="87"/>
        <v/>
      </c>
      <c r="Y328" s="61" t="str">
        <f t="shared" ca="1" si="88"/>
        <v/>
      </c>
      <c r="Z328" s="31" t="str">
        <f t="shared" ca="1" si="98"/>
        <v/>
      </c>
      <c r="AA328" s="31" t="e">
        <f t="shared" ca="1" si="104"/>
        <v>#VALUE!</v>
      </c>
      <c r="AB328" s="31" t="str">
        <f t="shared" ca="1" si="99"/>
        <v/>
      </c>
      <c r="AC328" t="str">
        <f t="shared" ca="1" si="89"/>
        <v/>
      </c>
      <c r="AD328" t="str">
        <f t="shared" ca="1" si="90"/>
        <v/>
      </c>
    </row>
    <row r="329" spans="1:30">
      <c r="A329" s="180" t="str">
        <f ca="1">'PRICE_IOF Ñ USAR'!A329</f>
        <v/>
      </c>
      <c r="B329" s="179" t="str">
        <f ca="1">'PRICE_IOF Ñ USAR'!B329</f>
        <v/>
      </c>
      <c r="C329" s="177" t="str">
        <f t="shared" ca="1" si="91"/>
        <v/>
      </c>
      <c r="D329" s="24" t="str">
        <f t="shared" ca="1" si="100"/>
        <v/>
      </c>
      <c r="E329" s="177" t="str">
        <f t="shared" ca="1" si="92"/>
        <v/>
      </c>
      <c r="F329" s="178" t="str">
        <f t="shared" ca="1" si="93"/>
        <v/>
      </c>
      <c r="G329" s="178" t="str">
        <f t="shared" ca="1" si="94"/>
        <v/>
      </c>
      <c r="H329" s="177" t="str">
        <f t="shared" ca="1" si="95"/>
        <v/>
      </c>
      <c r="I329" s="25">
        <f t="shared" ca="1" si="96"/>
        <v>0</v>
      </c>
      <c r="J329" s="9" t="str">
        <f ca="1">'PRICE_IOF Ñ USAR'!J329</f>
        <v/>
      </c>
      <c r="K329" s="9" t="str">
        <f ca="1">'PRICE_IOF Ñ USAR'!K329</f>
        <v/>
      </c>
      <c r="L329" s="9" t="str">
        <f ca="1">'PRICE_IOF Ñ USAR'!L329</f>
        <v/>
      </c>
      <c r="N329" s="176" t="str">
        <f t="shared" ca="1" si="97"/>
        <v/>
      </c>
      <c r="O329" s="176" t="str">
        <f t="shared" ca="1" si="101"/>
        <v/>
      </c>
      <c r="P329" s="175" t="str">
        <f t="shared" ca="1" si="84"/>
        <v/>
      </c>
      <c r="Q329" s="11" t="str">
        <f t="shared" ca="1" si="85"/>
        <v/>
      </c>
      <c r="R329" s="12" t="str">
        <f t="shared" ca="1" si="86"/>
        <v/>
      </c>
      <c r="S329" s="513"/>
      <c r="U329" t="str">
        <f t="shared" ca="1" si="102"/>
        <v/>
      </c>
      <c r="V329" s="31">
        <f t="shared" ca="1" si="103"/>
        <v>0</v>
      </c>
      <c r="X329" s="58" t="str">
        <f t="shared" ca="1" si="87"/>
        <v/>
      </c>
      <c r="Y329" s="61" t="str">
        <f t="shared" ca="1" si="88"/>
        <v/>
      </c>
      <c r="Z329" s="31" t="str">
        <f t="shared" ca="1" si="98"/>
        <v/>
      </c>
      <c r="AA329" s="31" t="e">
        <f t="shared" ca="1" si="104"/>
        <v>#VALUE!</v>
      </c>
      <c r="AB329" s="31" t="str">
        <f t="shared" ca="1" si="99"/>
        <v/>
      </c>
      <c r="AC329" t="str">
        <f t="shared" ca="1" si="89"/>
        <v/>
      </c>
      <c r="AD329" t="str">
        <f t="shared" ca="1" si="90"/>
        <v/>
      </c>
    </row>
    <row r="330" spans="1:30">
      <c r="A330" s="180" t="str">
        <f ca="1">'PRICE_IOF Ñ USAR'!A330</f>
        <v/>
      </c>
      <c r="B330" s="179" t="str">
        <f ca="1">'PRICE_IOF Ñ USAR'!B330</f>
        <v/>
      </c>
      <c r="C330" s="177" t="str">
        <f t="shared" ca="1" si="91"/>
        <v/>
      </c>
      <c r="D330" s="24" t="str">
        <f t="shared" ca="1" si="100"/>
        <v/>
      </c>
      <c r="E330" s="177" t="str">
        <f t="shared" ca="1" si="92"/>
        <v/>
      </c>
      <c r="F330" s="178" t="str">
        <f t="shared" ca="1" si="93"/>
        <v/>
      </c>
      <c r="G330" s="178" t="str">
        <f t="shared" ca="1" si="94"/>
        <v/>
      </c>
      <c r="H330" s="177" t="str">
        <f t="shared" ca="1" si="95"/>
        <v/>
      </c>
      <c r="I330" s="25">
        <f t="shared" ca="1" si="96"/>
        <v>0</v>
      </c>
      <c r="J330" s="9" t="str">
        <f ca="1">'PRICE_IOF Ñ USAR'!J330</f>
        <v/>
      </c>
      <c r="K330" s="9" t="str">
        <f ca="1">'PRICE_IOF Ñ USAR'!K330</f>
        <v/>
      </c>
      <c r="L330" s="9" t="str">
        <f ca="1">'PRICE_IOF Ñ USAR'!L330</f>
        <v/>
      </c>
      <c r="N330" s="176" t="str">
        <f t="shared" ca="1" si="97"/>
        <v/>
      </c>
      <c r="O330" s="176" t="str">
        <f t="shared" ca="1" si="101"/>
        <v/>
      </c>
      <c r="P330" s="175" t="str">
        <f t="shared" ca="1" si="84"/>
        <v/>
      </c>
      <c r="Q330" s="11" t="str">
        <f t="shared" ca="1" si="85"/>
        <v/>
      </c>
      <c r="R330" s="12" t="str">
        <f t="shared" ca="1" si="86"/>
        <v/>
      </c>
      <c r="S330" s="513"/>
      <c r="U330" t="str">
        <f t="shared" ca="1" si="102"/>
        <v/>
      </c>
      <c r="V330" s="31">
        <f t="shared" ca="1" si="103"/>
        <v>0</v>
      </c>
      <c r="X330" s="58" t="str">
        <f t="shared" ca="1" si="87"/>
        <v/>
      </c>
      <c r="Y330" s="61" t="str">
        <f t="shared" ca="1" si="88"/>
        <v/>
      </c>
      <c r="Z330" s="31" t="str">
        <f t="shared" ca="1" si="98"/>
        <v/>
      </c>
      <c r="AA330" s="31" t="e">
        <f t="shared" ca="1" si="104"/>
        <v>#VALUE!</v>
      </c>
      <c r="AB330" s="31" t="str">
        <f t="shared" ca="1" si="99"/>
        <v/>
      </c>
      <c r="AC330" t="str">
        <f t="shared" ca="1" si="89"/>
        <v/>
      </c>
      <c r="AD330" t="str">
        <f t="shared" ca="1" si="90"/>
        <v/>
      </c>
    </row>
    <row r="331" spans="1:30">
      <c r="A331" s="180" t="str">
        <f ca="1">'PRICE_IOF Ñ USAR'!A331</f>
        <v/>
      </c>
      <c r="B331" s="179" t="str">
        <f ca="1">'PRICE_IOF Ñ USAR'!B331</f>
        <v/>
      </c>
      <c r="C331" s="177" t="str">
        <f t="shared" ca="1" si="91"/>
        <v/>
      </c>
      <c r="D331" s="24" t="str">
        <f t="shared" ca="1" si="100"/>
        <v/>
      </c>
      <c r="E331" s="177" t="str">
        <f t="shared" ca="1" si="92"/>
        <v/>
      </c>
      <c r="F331" s="178" t="str">
        <f t="shared" ca="1" si="93"/>
        <v/>
      </c>
      <c r="G331" s="178" t="str">
        <f t="shared" ca="1" si="94"/>
        <v/>
      </c>
      <c r="H331" s="177" t="str">
        <f t="shared" ca="1" si="95"/>
        <v/>
      </c>
      <c r="I331" s="25">
        <f t="shared" ca="1" si="96"/>
        <v>0</v>
      </c>
      <c r="J331" s="9" t="str">
        <f ca="1">'PRICE_IOF Ñ USAR'!J331</f>
        <v/>
      </c>
      <c r="K331" s="9" t="str">
        <f ca="1">'PRICE_IOF Ñ USAR'!K331</f>
        <v/>
      </c>
      <c r="L331" s="9" t="str">
        <f ca="1">'PRICE_IOF Ñ USAR'!L331</f>
        <v/>
      </c>
      <c r="N331" s="176" t="str">
        <f t="shared" ca="1" si="97"/>
        <v/>
      </c>
      <c r="O331" s="176" t="str">
        <f t="shared" ca="1" si="101"/>
        <v/>
      </c>
      <c r="P331" s="175" t="str">
        <f t="shared" ca="1" si="84"/>
        <v/>
      </c>
      <c r="Q331" s="11" t="str">
        <f t="shared" ca="1" si="85"/>
        <v/>
      </c>
      <c r="R331" s="12" t="str">
        <f t="shared" ca="1" si="86"/>
        <v/>
      </c>
      <c r="S331" s="513"/>
      <c r="U331" t="str">
        <f t="shared" ca="1" si="102"/>
        <v/>
      </c>
      <c r="V331" s="31">
        <f t="shared" ca="1" si="103"/>
        <v>0</v>
      </c>
      <c r="X331" s="58" t="str">
        <f t="shared" ca="1" si="87"/>
        <v/>
      </c>
      <c r="Y331" s="61" t="str">
        <f t="shared" ca="1" si="88"/>
        <v/>
      </c>
      <c r="Z331" s="31" t="str">
        <f t="shared" ca="1" si="98"/>
        <v/>
      </c>
      <c r="AA331" s="31" t="e">
        <f t="shared" ca="1" si="104"/>
        <v>#VALUE!</v>
      </c>
      <c r="AB331" s="31" t="str">
        <f t="shared" ca="1" si="99"/>
        <v/>
      </c>
      <c r="AC331" t="str">
        <f t="shared" ca="1" si="89"/>
        <v/>
      </c>
      <c r="AD331" t="str">
        <f t="shared" ca="1" si="90"/>
        <v/>
      </c>
    </row>
    <row r="332" spans="1:30">
      <c r="A332" s="180" t="str">
        <f ca="1">'PRICE_IOF Ñ USAR'!A332</f>
        <v/>
      </c>
      <c r="B332" s="179" t="str">
        <f ca="1">'PRICE_IOF Ñ USAR'!B332</f>
        <v/>
      </c>
      <c r="C332" s="177" t="str">
        <f t="shared" ca="1" si="91"/>
        <v/>
      </c>
      <c r="D332" s="24" t="str">
        <f t="shared" ca="1" si="100"/>
        <v/>
      </c>
      <c r="E332" s="177" t="str">
        <f t="shared" ca="1" si="92"/>
        <v/>
      </c>
      <c r="F332" s="178" t="str">
        <f t="shared" ca="1" si="93"/>
        <v/>
      </c>
      <c r="G332" s="178" t="str">
        <f t="shared" ca="1" si="94"/>
        <v/>
      </c>
      <c r="H332" s="177" t="str">
        <f t="shared" ca="1" si="95"/>
        <v/>
      </c>
      <c r="I332" s="25">
        <f t="shared" ca="1" si="96"/>
        <v>0</v>
      </c>
      <c r="J332" s="9" t="str">
        <f ca="1">'PRICE_IOF Ñ USAR'!J332</f>
        <v/>
      </c>
      <c r="K332" s="9" t="str">
        <f ca="1">'PRICE_IOF Ñ USAR'!K332</f>
        <v/>
      </c>
      <c r="L332" s="9" t="str">
        <f ca="1">'PRICE_IOF Ñ USAR'!L332</f>
        <v/>
      </c>
      <c r="N332" s="176" t="str">
        <f t="shared" ca="1" si="97"/>
        <v/>
      </c>
      <c r="O332" s="176" t="str">
        <f t="shared" ca="1" si="101"/>
        <v/>
      </c>
      <c r="P332" s="175" t="str">
        <f t="shared" ca="1" si="84"/>
        <v/>
      </c>
      <c r="Q332" s="11" t="str">
        <f t="shared" ca="1" si="85"/>
        <v/>
      </c>
      <c r="R332" s="12" t="str">
        <f t="shared" ca="1" si="86"/>
        <v/>
      </c>
      <c r="S332" s="513"/>
      <c r="U332" t="str">
        <f t="shared" ca="1" si="102"/>
        <v/>
      </c>
      <c r="V332" s="31">
        <f t="shared" ca="1" si="103"/>
        <v>0</v>
      </c>
      <c r="X332" s="58" t="str">
        <f t="shared" ca="1" si="87"/>
        <v/>
      </c>
      <c r="Y332" s="61" t="str">
        <f t="shared" ca="1" si="88"/>
        <v/>
      </c>
      <c r="Z332" s="31" t="str">
        <f t="shared" ca="1" si="98"/>
        <v/>
      </c>
      <c r="AA332" s="31" t="e">
        <f t="shared" ca="1" si="104"/>
        <v>#VALUE!</v>
      </c>
      <c r="AB332" s="31" t="str">
        <f t="shared" ca="1" si="99"/>
        <v/>
      </c>
      <c r="AC332" t="str">
        <f t="shared" ca="1" si="89"/>
        <v/>
      </c>
      <c r="AD332" t="str">
        <f t="shared" ca="1" si="90"/>
        <v/>
      </c>
    </row>
    <row r="333" spans="1:30">
      <c r="A333" s="180" t="str">
        <f ca="1">'PRICE_IOF Ñ USAR'!A333</f>
        <v/>
      </c>
      <c r="B333" s="179" t="str">
        <f ca="1">'PRICE_IOF Ñ USAR'!B333</f>
        <v/>
      </c>
      <c r="C333" s="177" t="str">
        <f t="shared" ca="1" si="91"/>
        <v/>
      </c>
      <c r="D333" s="24" t="str">
        <f t="shared" ca="1" si="100"/>
        <v/>
      </c>
      <c r="E333" s="177" t="str">
        <f t="shared" ca="1" si="92"/>
        <v/>
      </c>
      <c r="F333" s="178" t="str">
        <f t="shared" ca="1" si="93"/>
        <v/>
      </c>
      <c r="G333" s="178" t="str">
        <f t="shared" ca="1" si="94"/>
        <v/>
      </c>
      <c r="H333" s="177" t="str">
        <f t="shared" ca="1" si="95"/>
        <v/>
      </c>
      <c r="I333" s="25">
        <f t="shared" ca="1" si="96"/>
        <v>0</v>
      </c>
      <c r="J333" s="9" t="str">
        <f ca="1">'PRICE_IOF Ñ USAR'!J333</f>
        <v/>
      </c>
      <c r="K333" s="9" t="str">
        <f ca="1">'PRICE_IOF Ñ USAR'!K333</f>
        <v/>
      </c>
      <c r="L333" s="9" t="str">
        <f ca="1">'PRICE_IOF Ñ USAR'!L333</f>
        <v/>
      </c>
      <c r="N333" s="176" t="str">
        <f t="shared" ca="1" si="97"/>
        <v/>
      </c>
      <c r="O333" s="176" t="str">
        <f t="shared" ca="1" si="101"/>
        <v/>
      </c>
      <c r="P333" s="175" t="str">
        <f t="shared" ca="1" si="84"/>
        <v/>
      </c>
      <c r="Q333" s="11" t="str">
        <f t="shared" ca="1" si="85"/>
        <v/>
      </c>
      <c r="R333" s="12" t="str">
        <f t="shared" ca="1" si="86"/>
        <v/>
      </c>
      <c r="S333" s="513"/>
      <c r="U333" t="str">
        <f t="shared" ca="1" si="102"/>
        <v/>
      </c>
      <c r="V333" s="31">
        <f t="shared" ca="1" si="103"/>
        <v>0</v>
      </c>
      <c r="X333" s="58" t="str">
        <f t="shared" ca="1" si="87"/>
        <v/>
      </c>
      <c r="Y333" s="61" t="str">
        <f t="shared" ca="1" si="88"/>
        <v/>
      </c>
      <c r="Z333" s="31" t="str">
        <f t="shared" ca="1" si="98"/>
        <v/>
      </c>
      <c r="AA333" s="31" t="e">
        <f t="shared" ca="1" si="104"/>
        <v>#VALUE!</v>
      </c>
      <c r="AB333" s="31" t="str">
        <f t="shared" ca="1" si="99"/>
        <v/>
      </c>
      <c r="AC333" t="str">
        <f t="shared" ca="1" si="89"/>
        <v/>
      </c>
      <c r="AD333" t="str">
        <f t="shared" ca="1" si="90"/>
        <v/>
      </c>
    </row>
    <row r="334" spans="1:30">
      <c r="A334" s="180" t="str">
        <f ca="1">'PRICE_IOF Ñ USAR'!A334</f>
        <v/>
      </c>
      <c r="B334" s="179" t="str">
        <f ca="1">'PRICE_IOF Ñ USAR'!B334</f>
        <v/>
      </c>
      <c r="C334" s="177" t="str">
        <f t="shared" ca="1" si="91"/>
        <v/>
      </c>
      <c r="D334" s="24" t="str">
        <f t="shared" ca="1" si="100"/>
        <v/>
      </c>
      <c r="E334" s="177" t="str">
        <f t="shared" ca="1" si="92"/>
        <v/>
      </c>
      <c r="F334" s="178" t="str">
        <f t="shared" ca="1" si="93"/>
        <v/>
      </c>
      <c r="G334" s="178" t="str">
        <f t="shared" ca="1" si="94"/>
        <v/>
      </c>
      <c r="H334" s="177" t="str">
        <f t="shared" ca="1" si="95"/>
        <v/>
      </c>
      <c r="I334" s="25">
        <f t="shared" ca="1" si="96"/>
        <v>0</v>
      </c>
      <c r="J334" s="9" t="str">
        <f ca="1">'PRICE_IOF Ñ USAR'!J334</f>
        <v/>
      </c>
      <c r="K334" s="9" t="str">
        <f ca="1">'PRICE_IOF Ñ USAR'!K334</f>
        <v/>
      </c>
      <c r="L334" s="9" t="str">
        <f ca="1">'PRICE_IOF Ñ USAR'!L334</f>
        <v/>
      </c>
      <c r="N334" s="176" t="str">
        <f t="shared" ca="1" si="97"/>
        <v/>
      </c>
      <c r="O334" s="176" t="str">
        <f t="shared" ca="1" si="101"/>
        <v/>
      </c>
      <c r="P334" s="175" t="str">
        <f t="shared" ca="1" si="84"/>
        <v/>
      </c>
      <c r="Q334" s="11" t="str">
        <f t="shared" ca="1" si="85"/>
        <v/>
      </c>
      <c r="R334" s="12" t="str">
        <f t="shared" ca="1" si="86"/>
        <v/>
      </c>
      <c r="S334" s="513"/>
      <c r="U334" t="str">
        <f t="shared" ca="1" si="102"/>
        <v/>
      </c>
      <c r="V334" s="31">
        <f t="shared" ca="1" si="103"/>
        <v>0</v>
      </c>
      <c r="X334" s="58" t="str">
        <f t="shared" ca="1" si="87"/>
        <v/>
      </c>
      <c r="Y334" s="61" t="str">
        <f t="shared" ca="1" si="88"/>
        <v/>
      </c>
      <c r="Z334" s="31" t="str">
        <f t="shared" ca="1" si="98"/>
        <v/>
      </c>
      <c r="AA334" s="31" t="e">
        <f t="shared" ca="1" si="104"/>
        <v>#VALUE!</v>
      </c>
      <c r="AB334" s="31" t="str">
        <f t="shared" ca="1" si="99"/>
        <v/>
      </c>
      <c r="AC334" t="str">
        <f t="shared" ca="1" si="89"/>
        <v/>
      </c>
      <c r="AD334" t="str">
        <f t="shared" ca="1" si="90"/>
        <v/>
      </c>
    </row>
    <row r="335" spans="1:30">
      <c r="A335" s="180" t="str">
        <f ca="1">'PRICE_IOF Ñ USAR'!A335</f>
        <v/>
      </c>
      <c r="B335" s="179" t="str">
        <f ca="1">'PRICE_IOF Ñ USAR'!B335</f>
        <v/>
      </c>
      <c r="C335" s="177" t="str">
        <f t="shared" ca="1" si="91"/>
        <v/>
      </c>
      <c r="D335" s="24" t="str">
        <f t="shared" ca="1" si="100"/>
        <v/>
      </c>
      <c r="E335" s="177" t="str">
        <f t="shared" ca="1" si="92"/>
        <v/>
      </c>
      <c r="F335" s="178" t="str">
        <f t="shared" ca="1" si="93"/>
        <v/>
      </c>
      <c r="G335" s="178" t="str">
        <f t="shared" ca="1" si="94"/>
        <v/>
      </c>
      <c r="H335" s="177" t="str">
        <f t="shared" ca="1" si="95"/>
        <v/>
      </c>
      <c r="I335" s="25">
        <f t="shared" ca="1" si="96"/>
        <v>0</v>
      </c>
      <c r="J335" s="9" t="str">
        <f ca="1">'PRICE_IOF Ñ USAR'!J335</f>
        <v/>
      </c>
      <c r="K335" s="9" t="str">
        <f ca="1">'PRICE_IOF Ñ USAR'!K335</f>
        <v/>
      </c>
      <c r="L335" s="9" t="str">
        <f ca="1">'PRICE_IOF Ñ USAR'!L335</f>
        <v/>
      </c>
      <c r="N335" s="176" t="str">
        <f t="shared" ca="1" si="97"/>
        <v/>
      </c>
      <c r="O335" s="176" t="str">
        <f t="shared" ca="1" si="101"/>
        <v/>
      </c>
      <c r="P335" s="175" t="str">
        <f t="shared" ca="1" si="84"/>
        <v/>
      </c>
      <c r="Q335" s="11" t="str">
        <f t="shared" ca="1" si="85"/>
        <v/>
      </c>
      <c r="R335" s="12" t="str">
        <f t="shared" ca="1" si="86"/>
        <v/>
      </c>
      <c r="S335" s="513"/>
      <c r="U335" t="str">
        <f t="shared" ca="1" si="102"/>
        <v/>
      </c>
      <c r="V335" s="31">
        <f t="shared" ca="1" si="103"/>
        <v>0</v>
      </c>
      <c r="X335" s="58" t="str">
        <f t="shared" ca="1" si="87"/>
        <v/>
      </c>
      <c r="Y335" s="61" t="str">
        <f t="shared" ca="1" si="88"/>
        <v/>
      </c>
      <c r="Z335" s="31" t="str">
        <f t="shared" ca="1" si="98"/>
        <v/>
      </c>
      <c r="AA335" s="31" t="e">
        <f t="shared" ca="1" si="104"/>
        <v>#VALUE!</v>
      </c>
      <c r="AB335" s="31" t="str">
        <f t="shared" ca="1" si="99"/>
        <v/>
      </c>
      <c r="AC335" t="str">
        <f t="shared" ca="1" si="89"/>
        <v/>
      </c>
      <c r="AD335" t="str">
        <f t="shared" ca="1" si="90"/>
        <v/>
      </c>
    </row>
    <row r="336" spans="1:30">
      <c r="A336" s="180" t="str">
        <f ca="1">'PRICE_IOF Ñ USAR'!A336</f>
        <v/>
      </c>
      <c r="B336" s="179" t="str">
        <f ca="1">'PRICE_IOF Ñ USAR'!B336</f>
        <v/>
      </c>
      <c r="C336" s="177" t="str">
        <f t="shared" ca="1" si="91"/>
        <v/>
      </c>
      <c r="D336" s="24" t="str">
        <f t="shared" ca="1" si="100"/>
        <v/>
      </c>
      <c r="E336" s="177" t="str">
        <f t="shared" ca="1" si="92"/>
        <v/>
      </c>
      <c r="F336" s="178" t="str">
        <f t="shared" ca="1" si="93"/>
        <v/>
      </c>
      <c r="G336" s="178" t="str">
        <f t="shared" ca="1" si="94"/>
        <v/>
      </c>
      <c r="H336" s="177" t="str">
        <f t="shared" ca="1" si="95"/>
        <v/>
      </c>
      <c r="I336" s="25">
        <f t="shared" ca="1" si="96"/>
        <v>0</v>
      </c>
      <c r="J336" s="9" t="str">
        <f ca="1">'PRICE_IOF Ñ USAR'!J336</f>
        <v/>
      </c>
      <c r="K336" s="9" t="str">
        <f ca="1">'PRICE_IOF Ñ USAR'!K336</f>
        <v/>
      </c>
      <c r="L336" s="9" t="str">
        <f ca="1">'PRICE_IOF Ñ USAR'!L336</f>
        <v/>
      </c>
      <c r="N336" s="176" t="str">
        <f t="shared" ca="1" si="97"/>
        <v/>
      </c>
      <c r="O336" s="176" t="str">
        <f t="shared" ca="1" si="101"/>
        <v/>
      </c>
      <c r="P336" s="175" t="str">
        <f t="shared" ca="1" si="84"/>
        <v/>
      </c>
      <c r="Q336" s="11" t="str">
        <f t="shared" ca="1" si="85"/>
        <v/>
      </c>
      <c r="R336" s="12" t="str">
        <f t="shared" ca="1" si="86"/>
        <v/>
      </c>
      <c r="S336" s="513"/>
      <c r="U336" t="str">
        <f t="shared" ca="1" si="102"/>
        <v/>
      </c>
      <c r="V336" s="31">
        <f t="shared" ca="1" si="103"/>
        <v>0</v>
      </c>
      <c r="X336" s="58" t="str">
        <f t="shared" ca="1" si="87"/>
        <v/>
      </c>
      <c r="Y336" s="61" t="str">
        <f t="shared" ca="1" si="88"/>
        <v/>
      </c>
      <c r="Z336" s="31" t="str">
        <f t="shared" ca="1" si="98"/>
        <v/>
      </c>
      <c r="AA336" s="31" t="e">
        <f t="shared" ca="1" si="104"/>
        <v>#VALUE!</v>
      </c>
      <c r="AB336" s="31" t="str">
        <f t="shared" ca="1" si="99"/>
        <v/>
      </c>
      <c r="AC336" t="str">
        <f t="shared" ca="1" si="89"/>
        <v/>
      </c>
      <c r="AD336" t="str">
        <f t="shared" ca="1" si="90"/>
        <v/>
      </c>
    </row>
    <row r="337" spans="1:30">
      <c r="A337" s="180" t="str">
        <f ca="1">'PRICE_IOF Ñ USAR'!A337</f>
        <v/>
      </c>
      <c r="B337" s="179" t="str">
        <f ca="1">'PRICE_IOF Ñ USAR'!B337</f>
        <v/>
      </c>
      <c r="C337" s="177" t="str">
        <f t="shared" ca="1" si="91"/>
        <v/>
      </c>
      <c r="D337" s="24" t="str">
        <f t="shared" ca="1" si="100"/>
        <v/>
      </c>
      <c r="E337" s="177" t="str">
        <f t="shared" ca="1" si="92"/>
        <v/>
      </c>
      <c r="F337" s="178" t="str">
        <f t="shared" ca="1" si="93"/>
        <v/>
      </c>
      <c r="G337" s="178" t="str">
        <f t="shared" ca="1" si="94"/>
        <v/>
      </c>
      <c r="H337" s="177" t="str">
        <f t="shared" ca="1" si="95"/>
        <v/>
      </c>
      <c r="I337" s="25">
        <f t="shared" ca="1" si="96"/>
        <v>0</v>
      </c>
      <c r="J337" s="9" t="str">
        <f ca="1">'PRICE_IOF Ñ USAR'!J337</f>
        <v/>
      </c>
      <c r="K337" s="9" t="str">
        <f ca="1">'PRICE_IOF Ñ USAR'!K337</f>
        <v/>
      </c>
      <c r="L337" s="9" t="str">
        <f ca="1">'PRICE_IOF Ñ USAR'!L337</f>
        <v/>
      </c>
      <c r="N337" s="176" t="str">
        <f t="shared" ca="1" si="97"/>
        <v/>
      </c>
      <c r="O337" s="176" t="str">
        <f t="shared" ca="1" si="101"/>
        <v/>
      </c>
      <c r="P337" s="175" t="str">
        <f t="shared" ca="1" si="84"/>
        <v/>
      </c>
      <c r="Q337" s="11" t="str">
        <f t="shared" ca="1" si="85"/>
        <v/>
      </c>
      <c r="R337" s="12" t="str">
        <f t="shared" ca="1" si="86"/>
        <v/>
      </c>
      <c r="S337" s="513"/>
      <c r="U337" t="str">
        <f t="shared" ca="1" si="102"/>
        <v/>
      </c>
      <c r="V337" s="31">
        <f t="shared" ca="1" si="103"/>
        <v>0</v>
      </c>
      <c r="X337" s="58" t="str">
        <f t="shared" ca="1" si="87"/>
        <v/>
      </c>
      <c r="Y337" s="61" t="str">
        <f t="shared" ca="1" si="88"/>
        <v/>
      </c>
      <c r="Z337" s="31" t="str">
        <f t="shared" ca="1" si="98"/>
        <v/>
      </c>
      <c r="AA337" s="31" t="e">
        <f t="shared" ca="1" si="104"/>
        <v>#VALUE!</v>
      </c>
      <c r="AB337" s="31" t="str">
        <f t="shared" ca="1" si="99"/>
        <v/>
      </c>
      <c r="AC337" t="str">
        <f t="shared" ca="1" si="89"/>
        <v/>
      </c>
      <c r="AD337" t="str">
        <f t="shared" ca="1" si="90"/>
        <v/>
      </c>
    </row>
    <row r="338" spans="1:30">
      <c r="A338" s="180" t="str">
        <f ca="1">'PRICE_IOF Ñ USAR'!A338</f>
        <v/>
      </c>
      <c r="B338" s="179" t="str">
        <f ca="1">'PRICE_IOF Ñ USAR'!B338</f>
        <v/>
      </c>
      <c r="C338" s="177" t="str">
        <f t="shared" ca="1" si="91"/>
        <v/>
      </c>
      <c r="D338" s="24" t="str">
        <f t="shared" ca="1" si="100"/>
        <v/>
      </c>
      <c r="E338" s="177" t="str">
        <f t="shared" ca="1" si="92"/>
        <v/>
      </c>
      <c r="F338" s="178" t="str">
        <f t="shared" ca="1" si="93"/>
        <v/>
      </c>
      <c r="G338" s="178" t="str">
        <f t="shared" ca="1" si="94"/>
        <v/>
      </c>
      <c r="H338" s="177" t="str">
        <f t="shared" ca="1" si="95"/>
        <v/>
      </c>
      <c r="I338" s="25">
        <f t="shared" ca="1" si="96"/>
        <v>0</v>
      </c>
      <c r="J338" s="9" t="str">
        <f ca="1">'PRICE_IOF Ñ USAR'!J338</f>
        <v/>
      </c>
      <c r="K338" s="9" t="str">
        <f ca="1">'PRICE_IOF Ñ USAR'!K338</f>
        <v/>
      </c>
      <c r="L338" s="9" t="str">
        <f ca="1">'PRICE_IOF Ñ USAR'!L338</f>
        <v/>
      </c>
      <c r="N338" s="176" t="str">
        <f t="shared" ca="1" si="97"/>
        <v/>
      </c>
      <c r="O338" s="176" t="str">
        <f t="shared" ca="1" si="101"/>
        <v/>
      </c>
      <c r="P338" s="175" t="str">
        <f t="shared" ca="1" si="84"/>
        <v/>
      </c>
      <c r="Q338" s="11" t="str">
        <f t="shared" ca="1" si="85"/>
        <v/>
      </c>
      <c r="R338" s="12" t="str">
        <f ca="1">IFERROR(Q338*P338,"")</f>
        <v/>
      </c>
      <c r="S338" s="513"/>
      <c r="U338" t="str">
        <f t="shared" ca="1" si="102"/>
        <v/>
      </c>
      <c r="V338" s="31">
        <f t="shared" ca="1" si="103"/>
        <v>0</v>
      </c>
      <c r="X338" s="58" t="str">
        <f t="shared" ca="1" si="87"/>
        <v/>
      </c>
      <c r="Y338" s="61" t="str">
        <f t="shared" ca="1" si="88"/>
        <v/>
      </c>
      <c r="Z338" s="31" t="str">
        <f t="shared" ca="1" si="98"/>
        <v/>
      </c>
      <c r="AA338" s="31" t="e">
        <f t="shared" ca="1" si="104"/>
        <v>#VALUE!</v>
      </c>
      <c r="AB338" s="31" t="str">
        <f t="shared" ca="1" si="99"/>
        <v/>
      </c>
      <c r="AC338" t="str">
        <f t="shared" ca="1" si="89"/>
        <v/>
      </c>
      <c r="AD338" t="str">
        <f t="shared" ca="1" si="90"/>
        <v/>
      </c>
    </row>
    <row r="339" spans="1:30">
      <c r="A339" s="180" t="str">
        <f ca="1">'PRICE_IOF Ñ USAR'!A339</f>
        <v/>
      </c>
      <c r="B339" s="179" t="str">
        <f ca="1">'PRICE_IOF Ñ USAR'!B339</f>
        <v/>
      </c>
      <c r="C339" s="177" t="str">
        <f ca="1">IFERROR(IF(OR(J339="Carencia",K339="Pula"),0,$I$13-D339),"")</f>
        <v/>
      </c>
      <c r="D339" s="24" t="str">
        <f t="shared" ca="1" si="100"/>
        <v/>
      </c>
      <c r="E339" s="177" t="str">
        <f ca="1">IFERROR(IF(OR(J339="Carencia",K339="Pula"),E338+D339+SUM(F339:H339),(E338-C339)),"")</f>
        <v/>
      </c>
      <c r="F339" s="178" t="str">
        <f t="shared" ca="1" si="93"/>
        <v/>
      </c>
      <c r="G339" s="178" t="str">
        <f t="shared" ca="1" si="94"/>
        <v/>
      </c>
      <c r="H339" s="177" t="str">
        <f t="shared" ca="1" si="95"/>
        <v/>
      </c>
      <c r="I339" s="25">
        <f ca="1">IFERROR(IF(OR(J339="Carencia",K339="Pula"),0,SUM(C339:D339,F339:H339)),"")</f>
        <v>0</v>
      </c>
      <c r="J339" s="9" t="str">
        <f ca="1">'PRICE_IOF Ñ USAR'!J339</f>
        <v/>
      </c>
      <c r="K339" s="9" t="str">
        <f ca="1">'PRICE_IOF Ñ USAR'!K339</f>
        <v/>
      </c>
      <c r="L339" s="9" t="str">
        <f ca="1">'PRICE_IOF Ñ USAR'!L339</f>
        <v/>
      </c>
      <c r="N339" s="176" t="str">
        <f t="shared" ca="1" si="97"/>
        <v/>
      </c>
      <c r="O339" s="176" t="str">
        <f t="shared" ca="1" si="101"/>
        <v/>
      </c>
      <c r="P339" s="175" t="str">
        <f t="shared" ca="1" si="84"/>
        <v/>
      </c>
      <c r="Q339" s="11" t="str">
        <f t="shared" ca="1" si="85"/>
        <v/>
      </c>
      <c r="R339" s="12" t="str">
        <f ca="1">IFERROR(Q339*P339,"")</f>
        <v/>
      </c>
      <c r="S339" s="513"/>
      <c r="U339" t="str">
        <f t="shared" ca="1" si="102"/>
        <v/>
      </c>
      <c r="V339" s="31">
        <f t="shared" ca="1" si="103"/>
        <v>0</v>
      </c>
      <c r="X339" s="58" t="str">
        <f t="shared" ca="1" si="87"/>
        <v/>
      </c>
      <c r="Y339" s="61" t="str">
        <f t="shared" ca="1" si="88"/>
        <v/>
      </c>
      <c r="Z339" s="31" t="str">
        <f ca="1">IFERROR(IF(OR(AC339="Carencia",AD339="Pula"),0,$L$7-AA339),"")</f>
        <v/>
      </c>
      <c r="AA339" s="31" t="e">
        <f t="shared" ca="1" si="104"/>
        <v>#VALUE!</v>
      </c>
      <c r="AB339" s="31" t="str">
        <f ca="1">IFERROR(IF(OR(AC339="Carencia",AD339="Pula"),AB338,(AB338-Z339)),"")</f>
        <v/>
      </c>
      <c r="AC339" t="str">
        <f t="shared" ca="1" si="89"/>
        <v/>
      </c>
      <c r="AD339" t="str">
        <f t="shared" ca="1" si="90"/>
        <v/>
      </c>
    </row>
  </sheetData>
  <sheetProtection algorithmName="SHA-512" hashValue="sntTKlEIyRvvGbq3XNWAYqPZntrWpmLADuylrFu7v1eNcrIS7u7CxvrPKkLE6M8otNRp1BO7dYruSxGQyGuOHQ==" saltValue="sUg+HLWcfSQpKHuCKV486A==" spinCount="100000" sheet="1" objects="1" scenarios="1"/>
  <mergeCells count="4">
    <mergeCell ref="K2:L2"/>
    <mergeCell ref="H12:I12"/>
    <mergeCell ref="K10:L10"/>
    <mergeCell ref="K6:L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juste_IOF_PRIC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KITQI_PRICE">
                <anchor moveWithCells="1" siz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14</xdr:col>
                    <xdr:colOff>28575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Ajuste_IOF_PRIC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B1AF-30F2-4187-A37C-8444547766AE}">
  <sheetPr codeName="Planilha7">
    <tabColor theme="2" tint="-0.499984740745262"/>
  </sheetPr>
  <dimension ref="A2:T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3.7109375" bestFit="1" customWidth="1"/>
    <col min="4" max="4" width="15.7109375" bestFit="1" customWidth="1"/>
    <col min="5" max="5" width="16" bestFit="1" customWidth="1"/>
    <col min="6" max="6" width="15.28515625" bestFit="1" customWidth="1"/>
    <col min="7" max="7" width="9.28515625" bestFit="1" customWidth="1"/>
    <col min="8" max="8" width="9.42578125" bestFit="1" customWidth="1"/>
    <col min="9" max="9" width="10.5703125" bestFit="1" customWidth="1"/>
    <col min="11" max="11" width="12.5703125" bestFit="1" customWidth="1"/>
    <col min="12" max="12" width="11.5703125" bestFit="1" customWidth="1"/>
    <col min="15" max="15" width="10.42578125" customWidth="1"/>
    <col min="16" max="16" width="18.5703125" bestFit="1" customWidth="1"/>
    <col min="18" max="18" width="12.5703125" bestFit="1" customWidth="1"/>
  </cols>
  <sheetData>
    <row r="2" spans="2:18">
      <c r="B2" s="1" t="s">
        <v>0</v>
      </c>
      <c r="C2" s="32">
        <f ca="1">SUM(C4:C7)</f>
        <v>185234.90145170517</v>
      </c>
      <c r="E2" s="1" t="s">
        <v>25</v>
      </c>
      <c r="F2" s="42">
        <f>SAC_CORR!F2</f>
        <v>44720</v>
      </c>
      <c r="H2" s="174" t="s">
        <v>37</v>
      </c>
      <c r="I2" s="18" t="s">
        <v>30</v>
      </c>
    </row>
    <row r="3" spans="2:18">
      <c r="B3" s="3" t="s">
        <v>1</v>
      </c>
      <c r="C3" s="33" t="s">
        <v>45</v>
      </c>
      <c r="E3" s="3" t="s">
        <v>31</v>
      </c>
      <c r="F3" s="202">
        <f>SAC_CORR!F3</f>
        <v>30</v>
      </c>
      <c r="H3" s="3" t="s">
        <v>24</v>
      </c>
      <c r="I3" s="16">
        <v>8.2000000000000001E-5</v>
      </c>
      <c r="K3" s="10"/>
      <c r="L3" s="13"/>
    </row>
    <row r="4" spans="2:18">
      <c r="B4" s="5" t="s">
        <v>44</v>
      </c>
      <c r="C4" s="34">
        <f ca="1">SAC_CORR!C4</f>
        <v>6224.2314517051609</v>
      </c>
      <c r="D4" s="10"/>
      <c r="E4" s="5" t="s">
        <v>32</v>
      </c>
      <c r="F4" s="26">
        <f ca="1">C4</f>
        <v>6224.2314517051609</v>
      </c>
      <c r="H4" s="7" t="s">
        <v>36</v>
      </c>
      <c r="I4" s="17">
        <v>4.1E-5</v>
      </c>
    </row>
    <row r="5" spans="2:18">
      <c r="B5" s="3" t="s">
        <v>4</v>
      </c>
      <c r="C5" s="34">
        <f>SAC_CORR!C5</f>
        <v>6768</v>
      </c>
      <c r="E5" s="15" t="s">
        <v>23</v>
      </c>
      <c r="F5" s="203" t="str">
        <f>SAC_CORR!F5</f>
        <v>PF</v>
      </c>
    </row>
    <row r="6" spans="2:18">
      <c r="B6" s="5" t="s">
        <v>5</v>
      </c>
      <c r="C6" s="35">
        <f>SAC_CORR!C6</f>
        <v>3042.67</v>
      </c>
      <c r="H6" s="174" t="s">
        <v>39</v>
      </c>
      <c r="I6" s="18" t="s">
        <v>30</v>
      </c>
    </row>
    <row r="7" spans="2:18">
      <c r="B7" s="3" t="s">
        <v>6</v>
      </c>
      <c r="C7" s="36">
        <f>SAC_CORR!C7</f>
        <v>169200</v>
      </c>
      <c r="H7" s="3" t="s">
        <v>27</v>
      </c>
      <c r="I7" s="16">
        <v>2.1000000000000001E-4</v>
      </c>
    </row>
    <row r="8" spans="2:18">
      <c r="B8" s="5" t="s">
        <v>7</v>
      </c>
      <c r="C8" s="37">
        <f ca="1">SAC_CORR!C8</f>
        <v>228</v>
      </c>
      <c r="H8" s="7" t="s">
        <v>28</v>
      </c>
      <c r="I8" s="17">
        <v>6.9999999999999994E-5</v>
      </c>
    </row>
    <row r="9" spans="2:18">
      <c r="B9" s="3" t="s">
        <v>8</v>
      </c>
      <c r="C9" s="38">
        <f>SAC_CORR!C9</f>
        <v>9.1999999999999998E-3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</row>
    <row r="11" spans="2:18">
      <c r="B11" s="3" t="s">
        <v>10</v>
      </c>
      <c r="C11" s="39">
        <f>SAC_CORR!C11</f>
        <v>376000</v>
      </c>
      <c r="E11" s="13"/>
    </row>
    <row r="12" spans="2:18">
      <c r="B12" s="5" t="s">
        <v>11</v>
      </c>
      <c r="C12" s="40">
        <f>SAC_CORR!C12</f>
        <v>6</v>
      </c>
      <c r="H12" t="s">
        <v>40</v>
      </c>
      <c r="I12">
        <v>-374186682.54828632</v>
      </c>
    </row>
    <row r="13" spans="2:18">
      <c r="B13" s="3" t="s">
        <v>12</v>
      </c>
      <c r="C13" s="202">
        <v>0</v>
      </c>
      <c r="D13" s="19">
        <f ca="1">COUNTIF($L$18:$L$339,C13)</f>
        <v>0</v>
      </c>
      <c r="E13" s="13"/>
      <c r="F13" s="31"/>
      <c r="P13" t="s">
        <v>41</v>
      </c>
      <c r="R13" s="13">
        <f ca="1">SUM(R18:R339)</f>
        <v>5520.3388261886748</v>
      </c>
    </row>
    <row r="14" spans="2:18">
      <c r="B14" s="7" t="s">
        <v>13</v>
      </c>
      <c r="C14" s="41"/>
      <c r="P14" s="22" t="s">
        <v>42</v>
      </c>
      <c r="Q14" s="22"/>
      <c r="R14" s="23">
        <f ca="1">E18*0.38%</f>
        <v>703.8926255164796</v>
      </c>
    </row>
    <row r="15" spans="2:18">
      <c r="P15" t="s">
        <v>43</v>
      </c>
      <c r="R15" s="13">
        <f ca="1">R13+R14</f>
        <v>6224.2314517051545</v>
      </c>
    </row>
    <row r="17" spans="1:20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T17" t="s">
        <v>49</v>
      </c>
    </row>
    <row r="18" spans="1:20">
      <c r="A18" s="129">
        <v>0</v>
      </c>
      <c r="B18" s="201">
        <f>F2</f>
        <v>44720</v>
      </c>
      <c r="C18" s="200"/>
      <c r="D18" s="200"/>
      <c r="E18" s="199">
        <f ca="1">C2</f>
        <v>185234.90145170517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6</v>
      </c>
      <c r="N18" s="9"/>
      <c r="O18" s="9"/>
      <c r="P18" s="175">
        <f t="shared" ref="P18:P81" ca="1" si="3">IF(A18&lt;&gt;"",$E$18/($C$8-$C$12-$D$13),"")</f>
        <v>834.39144798065388</v>
      </c>
      <c r="Q18" s="11" t="str">
        <f t="shared" ref="Q18:Q81" si="4">IF(OR(A18="",J18="Carencia",K18="Pula"),"",IF(AND($F$5="PF",O18&lt;365),$I$3*O18,IF(AND($F$5="PF",O18&gt;365),$I$3*365,IF(AND($F$5="PJ",O18&lt;365),$I$4*O18,IF(AND($F$5="PJ",O18&gt;365),$I$4*365)))))</f>
        <v/>
      </c>
      <c r="R18" s="12" t="str">
        <f t="shared" ref="R18:R81" ca="1" si="5">IFERROR(Q18*P18,"")</f>
        <v/>
      </c>
      <c r="T18">
        <f ca="1">T19/(1+C9)^((B19-B18)/_xlfn.DAYS(EDATE(B18,1),B18))</f>
        <v>185762.69294595925</v>
      </c>
    </row>
    <row r="19" spans="1:20">
      <c r="A19" s="198" t="str">
        <f>'SAC_IOF Ñ USAR'!A19</f>
        <v>I</v>
      </c>
      <c r="B19" s="197">
        <f>IF(DAY(F2)=F3,F2,IF(DAY(F2)&lt;F3,DATE(YEAR(F2),MONTH(F2),F3),DATE(YEAR(F2),MONTH(F2)+1,F3)))</f>
        <v>44742</v>
      </c>
      <c r="C19" s="196">
        <f t="shared" ref="C19:C82" si="6">IFERROR(IF(OR(J19="Carencia",K19="Pula",A19=""),0,_xlfn.XLOOKUP(IF(AND($C$12=0,$A$19="I"),"I",$C$12),$A:$A,$E:$E)/($C$8-$D$13-$C$12)),"")</f>
        <v>0</v>
      </c>
      <c r="D19" s="21">
        <f ca="1">IFERROR(IF(DAY(B19)=DAY(B18),IF(K19="Pula",0,IF(B19=B18,0,($C$9)*E18)),IF(AND($C$12=0,F3&lt;DAY(F2)),($C$9)*E18,((1+$C$9)^(N19/_xlfn.DAYS(EDATE(B18,1),B18))-1)*E18)),"")</f>
        <v>1248.1910714945298</v>
      </c>
      <c r="E19" s="196">
        <f t="shared" ref="E19:E82" ca="1" si="7">IFERROR(IF(OR(J19="Carencia",K19="Pula"),E18+D19+SUM(F19:H19),(E18-C19)),"")</f>
        <v>186483.09252319971</v>
      </c>
      <c r="F19" s="178" t="str">
        <f t="shared" ref="F19:F82" si="8">IFERROR(IF(OR(AND(DAY(B19)=DAY(B18),MONTH(B19)&lt;&gt;MONTH(B18)),MONTH(B19)&lt;&gt;MONTH(B18)),E18*$I$7,""),"")</f>
        <v/>
      </c>
      <c r="G19" s="178">
        <f t="shared" ref="G19:G82" si="9">IFERROR(IF(OR(AND(DAY(B19)=DAY(B18),MONTH(B19)&lt;&gt;MONTH(B18)),MONTH(B19)&lt;&gt;MONTH(B18)),$C$11*$I$8,0),"")</f>
        <v>0</v>
      </c>
      <c r="H19" s="177">
        <f t="shared" ref="H19:H82" si="10">IFERROR(IF(OR(AND(DAY(B19)=DAY(B18),MONTH(B19)&lt;&gt;MONTH(B18)),MONTH(B19)&lt;&gt;MONTH(B18)),$I$10,0),"")</f>
        <v>0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6</v>
      </c>
      <c r="N19" s="176">
        <f t="shared" ref="N19:N82" si="11">IFERROR(B19-B18,"")</f>
        <v>22</v>
      </c>
      <c r="O19" s="176">
        <f>N19</f>
        <v>22</v>
      </c>
      <c r="P19" s="175">
        <f t="shared" ca="1" si="3"/>
        <v>834.39144798065388</v>
      </c>
      <c r="Q19" s="11" t="str">
        <f t="shared" si="4"/>
        <v/>
      </c>
      <c r="R19" s="12" t="str">
        <f t="shared" ca="1" si="5"/>
        <v/>
      </c>
      <c r="T19">
        <f ca="1">NPV(C9,T20:T339)</f>
        <v>187014.44049965867</v>
      </c>
    </row>
    <row r="20" spans="1:20">
      <c r="A20" s="198">
        <f>'SAC_IOF Ñ USAR'!A20</f>
        <v>1</v>
      </c>
      <c r="B20" s="197">
        <f t="shared" ref="B20:B83" si="12">IF(A20&lt;&gt;"",EDATE($B$19,A20-IF($A$19="I",0,1)),"")</f>
        <v>44772</v>
      </c>
      <c r="C20" s="196">
        <f t="shared" si="6"/>
        <v>0</v>
      </c>
      <c r="D20" s="21">
        <f t="shared" ref="D20:D83" ca="1" si="13">IFERROR(IF(DAY(B20)=DAY(B19),IF(K20="Pula",0,($C$9)*E19),IF(AND(K20="Pula",J20=""),0,IF(AND($F$3=30,OR(AND(DAY(B19)=28,MONTH(B19)=2),AND(DAY(B19)=29,MONTH(B19)=2))),$C$9*E19,$C$9*E19))),"")</f>
        <v>1715.6444512134374</v>
      </c>
      <c r="E20" s="196">
        <f t="shared" ca="1" si="7"/>
        <v>188289.21842384303</v>
      </c>
      <c r="F20" s="178">
        <f t="shared" ca="1" si="8"/>
        <v>39.161449429871944</v>
      </c>
      <c r="G20" s="178">
        <f t="shared" si="9"/>
        <v>26.319999999999997</v>
      </c>
      <c r="H20" s="177">
        <f t="shared" si="10"/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7</v>
      </c>
      <c r="N20" s="176">
        <f t="shared" si="11"/>
        <v>30</v>
      </c>
      <c r="O20" s="176">
        <f t="shared" ref="O20:O83" si="14">IFERROR(N20+O19,"")</f>
        <v>52</v>
      </c>
      <c r="P20" s="175">
        <f t="shared" ca="1" si="3"/>
        <v>834.39144798065388</v>
      </c>
      <c r="Q20" s="11" t="str">
        <f t="shared" si="4"/>
        <v/>
      </c>
      <c r="R20" s="12" t="str">
        <f t="shared" ca="1" si="5"/>
        <v/>
      </c>
      <c r="T20">
        <f t="shared" ref="T20:T83" si="15">IFERROR(IF(OR(J20="Carencia",K20="Pula"),0,C20+D20),"")</f>
        <v>0</v>
      </c>
    </row>
    <row r="21" spans="1:20">
      <c r="A21" s="198">
        <f ca="1">'SAC_IOF Ñ USAR'!A21</f>
        <v>2</v>
      </c>
      <c r="B21" s="197">
        <f t="shared" ca="1" si="12"/>
        <v>44803</v>
      </c>
      <c r="C21" s="196">
        <f t="shared" ca="1" si="6"/>
        <v>0</v>
      </c>
      <c r="D21" s="21">
        <f t="shared" ca="1" si="13"/>
        <v>1732.2608094993559</v>
      </c>
      <c r="E21" s="196">
        <f t="shared" ca="1" si="7"/>
        <v>190112.3399692114</v>
      </c>
      <c r="F21" s="178">
        <f t="shared" ca="1" si="8"/>
        <v>39.540735869007037</v>
      </c>
      <c r="G21" s="178">
        <f t="shared" ca="1" si="9"/>
        <v>26.319999999999997</v>
      </c>
      <c r="H21" s="177">
        <f t="shared" ca="1" si="10"/>
        <v>25</v>
      </c>
      <c r="I21" s="196"/>
      <c r="J21" s="9" t="str">
        <f t="shared" ca="1" si="0"/>
        <v>Carencia</v>
      </c>
      <c r="K21" s="9" t="str">
        <f t="shared" ca="1" si="1"/>
        <v/>
      </c>
      <c r="L21" s="9">
        <f t="shared" ca="1" si="2"/>
        <v>8</v>
      </c>
      <c r="N21" s="176">
        <f t="shared" ca="1" si="11"/>
        <v>31</v>
      </c>
      <c r="O21" s="176">
        <f t="shared" ca="1" si="14"/>
        <v>83</v>
      </c>
      <c r="P21" s="175">
        <f t="shared" ca="1" si="3"/>
        <v>834.39144798065388</v>
      </c>
      <c r="Q21" s="11" t="str">
        <f t="shared" ca="1" si="4"/>
        <v/>
      </c>
      <c r="R21" s="12" t="str">
        <f t="shared" ca="1" si="5"/>
        <v/>
      </c>
      <c r="T21">
        <f t="shared" ca="1" si="15"/>
        <v>0</v>
      </c>
    </row>
    <row r="22" spans="1:20">
      <c r="A22" s="198">
        <f ca="1">'SAC_IOF Ñ USAR'!A22</f>
        <v>3</v>
      </c>
      <c r="B22" s="197">
        <f t="shared" ca="1" si="12"/>
        <v>44834</v>
      </c>
      <c r="C22" s="196">
        <f t="shared" ca="1" si="6"/>
        <v>0</v>
      </c>
      <c r="D22" s="21">
        <f t="shared" ca="1" si="13"/>
        <v>1749.0335277167449</v>
      </c>
      <c r="E22" s="196">
        <f t="shared" ca="1" si="7"/>
        <v>191952.61708832168</v>
      </c>
      <c r="F22" s="178">
        <f t="shared" ca="1" si="8"/>
        <v>39.923591393534394</v>
      </c>
      <c r="G22" s="178">
        <f t="shared" ca="1" si="9"/>
        <v>26.319999999999997</v>
      </c>
      <c r="H22" s="177">
        <f t="shared" ca="1" si="10"/>
        <v>25</v>
      </c>
      <c r="I22" s="196"/>
      <c r="J22" s="9" t="str">
        <f t="shared" ca="1" si="0"/>
        <v>Carencia</v>
      </c>
      <c r="K22" s="9" t="str">
        <f t="shared" ca="1" si="1"/>
        <v/>
      </c>
      <c r="L22" s="9">
        <f t="shared" ca="1" si="2"/>
        <v>9</v>
      </c>
      <c r="N22" s="176">
        <f t="shared" ca="1" si="11"/>
        <v>31</v>
      </c>
      <c r="O22" s="176">
        <f t="shared" ca="1" si="14"/>
        <v>114</v>
      </c>
      <c r="P22" s="175">
        <f t="shared" ca="1" si="3"/>
        <v>834.39144798065388</v>
      </c>
      <c r="Q22" s="11" t="str">
        <f t="shared" ca="1" si="4"/>
        <v/>
      </c>
      <c r="R22" s="12" t="str">
        <f t="shared" ca="1" si="5"/>
        <v/>
      </c>
      <c r="T22">
        <f t="shared" ca="1" si="15"/>
        <v>0</v>
      </c>
    </row>
    <row r="23" spans="1:20">
      <c r="A23" s="198">
        <f ca="1">'SAC_IOF Ñ USAR'!A23</f>
        <v>4</v>
      </c>
      <c r="B23" s="197">
        <f t="shared" ca="1" si="12"/>
        <v>44864</v>
      </c>
      <c r="C23" s="196">
        <f t="shared" ca="1" si="6"/>
        <v>0</v>
      </c>
      <c r="D23" s="21">
        <f t="shared" ca="1" si="13"/>
        <v>1765.9640772125595</v>
      </c>
      <c r="E23" s="196">
        <f t="shared" ca="1" si="7"/>
        <v>193810.21121512278</v>
      </c>
      <c r="F23" s="178">
        <f t="shared" ca="1" si="8"/>
        <v>40.310049588547557</v>
      </c>
      <c r="G23" s="178">
        <f t="shared" ca="1" si="9"/>
        <v>26.319999999999997</v>
      </c>
      <c r="H23" s="177">
        <f t="shared" ca="1" si="10"/>
        <v>25</v>
      </c>
      <c r="I23" s="196"/>
      <c r="J23" s="9" t="str">
        <f t="shared" ca="1" si="0"/>
        <v>Carencia</v>
      </c>
      <c r="K23" s="9" t="str">
        <f t="shared" ca="1" si="1"/>
        <v/>
      </c>
      <c r="L23" s="9">
        <f t="shared" ca="1" si="2"/>
        <v>10</v>
      </c>
      <c r="N23" s="176">
        <f t="shared" ca="1" si="11"/>
        <v>30</v>
      </c>
      <c r="O23" s="176">
        <f t="shared" ca="1" si="14"/>
        <v>144</v>
      </c>
      <c r="P23" s="175">
        <f t="shared" ca="1" si="3"/>
        <v>834.39144798065388</v>
      </c>
      <c r="Q23" s="11" t="str">
        <f t="shared" ca="1" si="4"/>
        <v/>
      </c>
      <c r="R23" s="12" t="str">
        <f t="shared" ca="1" si="5"/>
        <v/>
      </c>
      <c r="T23">
        <f t="shared" ca="1" si="15"/>
        <v>0</v>
      </c>
    </row>
    <row r="24" spans="1:20">
      <c r="A24" s="198">
        <f ca="1">'SAC_IOF Ñ USAR'!A24</f>
        <v>5</v>
      </c>
      <c r="B24" s="197">
        <f t="shared" ca="1" si="12"/>
        <v>44895</v>
      </c>
      <c r="C24" s="196">
        <f t="shared" ca="1" si="6"/>
        <v>0</v>
      </c>
      <c r="D24" s="21">
        <f t="shared" ca="1" si="13"/>
        <v>1783.0539431791294</v>
      </c>
      <c r="E24" s="196">
        <f t="shared" ca="1" si="7"/>
        <v>195685.28530265708</v>
      </c>
      <c r="F24" s="178">
        <f t="shared" ca="1" si="8"/>
        <v>40.700144355175787</v>
      </c>
      <c r="G24" s="178">
        <f t="shared" ca="1" si="9"/>
        <v>26.319999999999997</v>
      </c>
      <c r="H24" s="177">
        <f t="shared" ca="1" si="10"/>
        <v>25</v>
      </c>
      <c r="I24" s="196"/>
      <c r="J24" s="9" t="str">
        <f t="shared" ca="1" si="0"/>
        <v>Carencia</v>
      </c>
      <c r="K24" s="9" t="str">
        <f t="shared" ca="1" si="1"/>
        <v/>
      </c>
      <c r="L24" s="9">
        <f t="shared" ca="1" si="2"/>
        <v>11</v>
      </c>
      <c r="N24" s="176">
        <f t="shared" ca="1" si="11"/>
        <v>31</v>
      </c>
      <c r="O24" s="176">
        <f t="shared" ca="1" si="14"/>
        <v>175</v>
      </c>
      <c r="P24" s="175">
        <f t="shared" ca="1" si="3"/>
        <v>834.39144798065388</v>
      </c>
      <c r="Q24" s="11" t="str">
        <f t="shared" ca="1" si="4"/>
        <v/>
      </c>
      <c r="R24" s="12" t="str">
        <f t="shared" ca="1" si="5"/>
        <v/>
      </c>
      <c r="T24">
        <f t="shared" ca="1" si="15"/>
        <v>0</v>
      </c>
    </row>
    <row r="25" spans="1:20">
      <c r="A25" s="198">
        <f ca="1">'SAC_IOF Ñ USAR'!A25</f>
        <v>6</v>
      </c>
      <c r="B25" s="197">
        <f t="shared" ca="1" si="12"/>
        <v>44925</v>
      </c>
      <c r="C25" s="196">
        <f t="shared" ca="1" si="6"/>
        <v>0</v>
      </c>
      <c r="D25" s="21">
        <f t="shared" ca="1" si="13"/>
        <v>1800.3046247844452</v>
      </c>
      <c r="E25" s="196">
        <f t="shared" ca="1" si="7"/>
        <v>197578.00383735509</v>
      </c>
      <c r="F25" s="178">
        <f t="shared" ca="1" si="8"/>
        <v>41.093909913557987</v>
      </c>
      <c r="G25" s="178">
        <f t="shared" ca="1" si="9"/>
        <v>26.319999999999997</v>
      </c>
      <c r="H25" s="177">
        <f t="shared" ca="1" si="10"/>
        <v>25</v>
      </c>
      <c r="I25" s="196"/>
      <c r="J25" s="9" t="str">
        <f t="shared" ca="1" si="0"/>
        <v>Carencia</v>
      </c>
      <c r="K25" s="9" t="str">
        <f t="shared" ca="1" si="1"/>
        <v/>
      </c>
      <c r="L25" s="9">
        <f t="shared" ca="1" si="2"/>
        <v>12</v>
      </c>
      <c r="N25" s="176">
        <f t="shared" ca="1" si="11"/>
        <v>30</v>
      </c>
      <c r="O25" s="176">
        <f t="shared" ca="1" si="14"/>
        <v>205</v>
      </c>
      <c r="P25" s="175">
        <f t="shared" ca="1" si="3"/>
        <v>834.39144798065388</v>
      </c>
      <c r="Q25" s="11" t="str">
        <f t="shared" ca="1" si="4"/>
        <v/>
      </c>
      <c r="R25" s="12" t="str">
        <f t="shared" ca="1" si="5"/>
        <v/>
      </c>
      <c r="T25">
        <f t="shared" ca="1" si="15"/>
        <v>0</v>
      </c>
    </row>
    <row r="26" spans="1:20">
      <c r="A26" s="198">
        <f ca="1">'SAC_IOF Ñ USAR'!A26</f>
        <v>7</v>
      </c>
      <c r="B26" s="197">
        <f t="shared" ca="1" si="12"/>
        <v>44956</v>
      </c>
      <c r="C26" s="196">
        <f t="shared" ca="1" si="6"/>
        <v>889.99100827637426</v>
      </c>
      <c r="D26" s="21">
        <f t="shared" ca="1" si="13"/>
        <v>1817.7176353036668</v>
      </c>
      <c r="E26" s="196">
        <f t="shared" ca="1" si="7"/>
        <v>196688.01282907871</v>
      </c>
      <c r="F26" s="178">
        <f t="shared" ca="1" si="8"/>
        <v>41.491380805844571</v>
      </c>
      <c r="G26" s="178">
        <f t="shared" ca="1" si="9"/>
        <v>26.319999999999997</v>
      </c>
      <c r="H26" s="177">
        <f t="shared" ca="1" si="10"/>
        <v>25</v>
      </c>
      <c r="I26" s="196"/>
      <c r="J26" s="9" t="str">
        <f t="shared" ca="1" si="0"/>
        <v/>
      </c>
      <c r="K26" s="9" t="str">
        <f t="shared" ca="1" si="1"/>
        <v/>
      </c>
      <c r="L26" s="9">
        <f t="shared" ca="1" si="2"/>
        <v>1</v>
      </c>
      <c r="N26" s="176">
        <f t="shared" ca="1" si="11"/>
        <v>31</v>
      </c>
      <c r="O26" s="176">
        <f t="shared" ca="1" si="14"/>
        <v>236</v>
      </c>
      <c r="P26" s="175">
        <f t="shared" ca="1" si="3"/>
        <v>834.39144798065388</v>
      </c>
      <c r="Q26" s="11">
        <f t="shared" ca="1" si="4"/>
        <v>1.9352000000000001E-2</v>
      </c>
      <c r="R26" s="12">
        <f t="shared" ca="1" si="5"/>
        <v>16.147143301321616</v>
      </c>
      <c r="T26">
        <f t="shared" ca="1" si="15"/>
        <v>2707.7086435800411</v>
      </c>
    </row>
    <row r="27" spans="1:20">
      <c r="A27" s="198">
        <f ca="1">'SAC_IOF Ñ USAR'!A27</f>
        <v>8</v>
      </c>
      <c r="B27" s="197">
        <f t="shared" ca="1" si="12"/>
        <v>44985</v>
      </c>
      <c r="C27" s="196">
        <f t="shared" ca="1" si="6"/>
        <v>889.99100827637426</v>
      </c>
      <c r="D27" s="21">
        <f t="shared" ca="1" si="13"/>
        <v>1809.529718027524</v>
      </c>
      <c r="E27" s="196">
        <f t="shared" ca="1" si="7"/>
        <v>195798.02182080233</v>
      </c>
      <c r="F27" s="178">
        <f t="shared" ca="1" si="8"/>
        <v>41.304482694106532</v>
      </c>
      <c r="G27" s="178">
        <f t="shared" ca="1" si="9"/>
        <v>26.319999999999997</v>
      </c>
      <c r="H27" s="177">
        <f t="shared" ca="1" si="10"/>
        <v>25</v>
      </c>
      <c r="I27" s="196"/>
      <c r="J27" s="9" t="str">
        <f t="shared" ca="1" si="0"/>
        <v/>
      </c>
      <c r="K27" s="9" t="str">
        <f t="shared" ca="1" si="1"/>
        <v/>
      </c>
      <c r="L27" s="9">
        <f t="shared" ca="1" si="2"/>
        <v>2</v>
      </c>
      <c r="N27" s="176">
        <f t="shared" ca="1" si="11"/>
        <v>29</v>
      </c>
      <c r="O27" s="176">
        <f t="shared" ca="1" si="14"/>
        <v>265</v>
      </c>
      <c r="P27" s="175">
        <f t="shared" ca="1" si="3"/>
        <v>834.39144798065388</v>
      </c>
      <c r="Q27" s="11">
        <f t="shared" ca="1" si="4"/>
        <v>2.1729999999999999E-2</v>
      </c>
      <c r="R27" s="12">
        <f t="shared" ca="1" si="5"/>
        <v>18.131326164619608</v>
      </c>
      <c r="T27">
        <f t="shared" ca="1" si="15"/>
        <v>2699.5207263038983</v>
      </c>
    </row>
    <row r="28" spans="1:20">
      <c r="A28" s="198">
        <f ca="1">'SAC_IOF Ñ USAR'!A28</f>
        <v>9</v>
      </c>
      <c r="B28" s="197">
        <f t="shared" ca="1" si="12"/>
        <v>45015</v>
      </c>
      <c r="C28" s="196">
        <f t="shared" ca="1" si="6"/>
        <v>889.99100827637426</v>
      </c>
      <c r="D28" s="21">
        <f t="shared" ca="1" si="13"/>
        <v>1801.3418007513815</v>
      </c>
      <c r="E28" s="196">
        <f t="shared" ca="1" si="7"/>
        <v>194908.03081252595</v>
      </c>
      <c r="F28" s="178">
        <f t="shared" ca="1" si="8"/>
        <v>41.117584582368494</v>
      </c>
      <c r="G28" s="178">
        <f t="shared" ca="1" si="9"/>
        <v>26.319999999999997</v>
      </c>
      <c r="H28" s="177">
        <f t="shared" ca="1" si="10"/>
        <v>25</v>
      </c>
      <c r="I28" s="196"/>
      <c r="J28" s="9" t="str">
        <f t="shared" ca="1" si="0"/>
        <v/>
      </c>
      <c r="K28" s="9" t="str">
        <f t="shared" ca="1" si="1"/>
        <v/>
      </c>
      <c r="L28" s="9">
        <f t="shared" ca="1" si="2"/>
        <v>3</v>
      </c>
      <c r="N28" s="176">
        <f t="shared" ca="1" si="11"/>
        <v>30</v>
      </c>
      <c r="O28" s="176">
        <f t="shared" ca="1" si="14"/>
        <v>295</v>
      </c>
      <c r="P28" s="175">
        <f t="shared" ca="1" si="3"/>
        <v>834.39144798065388</v>
      </c>
      <c r="Q28" s="11">
        <f t="shared" ca="1" si="4"/>
        <v>2.419E-2</v>
      </c>
      <c r="R28" s="12">
        <f t="shared" ca="1" si="5"/>
        <v>20.183929126652018</v>
      </c>
      <c r="T28">
        <f t="shared" ca="1" si="15"/>
        <v>2691.3328090277555</v>
      </c>
    </row>
    <row r="29" spans="1:20">
      <c r="A29" s="198">
        <f ca="1">'SAC_IOF Ñ USAR'!A29</f>
        <v>10</v>
      </c>
      <c r="B29" s="197">
        <f t="shared" ca="1" si="12"/>
        <v>45046</v>
      </c>
      <c r="C29" s="196">
        <f t="shared" ca="1" si="6"/>
        <v>889.99100827637426</v>
      </c>
      <c r="D29" s="21">
        <f t="shared" ca="1" si="13"/>
        <v>1793.1538834752387</v>
      </c>
      <c r="E29" s="196">
        <f t="shared" ca="1" si="7"/>
        <v>194018.03980424957</v>
      </c>
      <c r="F29" s="178">
        <f t="shared" ca="1" si="8"/>
        <v>40.930686470630448</v>
      </c>
      <c r="G29" s="178">
        <f t="shared" ca="1" si="9"/>
        <v>26.319999999999997</v>
      </c>
      <c r="H29" s="177">
        <f t="shared" ca="1" si="10"/>
        <v>25</v>
      </c>
      <c r="I29" s="196"/>
      <c r="J29" s="9" t="str">
        <f t="shared" ca="1" si="0"/>
        <v/>
      </c>
      <c r="K29" s="9" t="str">
        <f t="shared" ca="1" si="1"/>
        <v/>
      </c>
      <c r="L29" s="9">
        <f t="shared" ca="1" si="2"/>
        <v>4</v>
      </c>
      <c r="N29" s="176">
        <f t="shared" ca="1" si="11"/>
        <v>31</v>
      </c>
      <c r="O29" s="176">
        <f t="shared" ca="1" si="14"/>
        <v>326</v>
      </c>
      <c r="P29" s="175">
        <f t="shared" ca="1" si="3"/>
        <v>834.39144798065388</v>
      </c>
      <c r="Q29" s="11">
        <f t="shared" ca="1" si="4"/>
        <v>2.6731999999999999E-2</v>
      </c>
      <c r="R29" s="12">
        <f t="shared" ca="1" si="5"/>
        <v>22.304952187418838</v>
      </c>
      <c r="T29">
        <f t="shared" ca="1" si="15"/>
        <v>2683.1448917516127</v>
      </c>
    </row>
    <row r="30" spans="1:20">
      <c r="A30" s="198">
        <f ca="1">'SAC_IOF Ñ USAR'!A30</f>
        <v>11</v>
      </c>
      <c r="B30" s="197">
        <f t="shared" ca="1" si="12"/>
        <v>45076</v>
      </c>
      <c r="C30" s="196">
        <f t="shared" ca="1" si="6"/>
        <v>889.99100827637426</v>
      </c>
      <c r="D30" s="21">
        <f t="shared" ca="1" si="13"/>
        <v>1784.9659661990959</v>
      </c>
      <c r="E30" s="196">
        <f t="shared" ca="1" si="7"/>
        <v>193128.04879597318</v>
      </c>
      <c r="F30" s="178">
        <f t="shared" ca="1" si="8"/>
        <v>40.743788358892409</v>
      </c>
      <c r="G30" s="178">
        <f t="shared" ca="1" si="9"/>
        <v>26.319999999999997</v>
      </c>
      <c r="H30" s="177">
        <f t="shared" ca="1" si="10"/>
        <v>25</v>
      </c>
      <c r="I30" s="196"/>
      <c r="J30" s="9" t="str">
        <f t="shared" ca="1" si="0"/>
        <v/>
      </c>
      <c r="K30" s="9" t="str">
        <f t="shared" ca="1" si="1"/>
        <v/>
      </c>
      <c r="L30" s="9">
        <f t="shared" ca="1" si="2"/>
        <v>5</v>
      </c>
      <c r="N30" s="176">
        <f t="shared" ca="1" si="11"/>
        <v>30</v>
      </c>
      <c r="O30" s="176">
        <f t="shared" ca="1" si="14"/>
        <v>356</v>
      </c>
      <c r="P30" s="175">
        <f t="shared" ca="1" si="3"/>
        <v>834.39144798065388</v>
      </c>
      <c r="Q30" s="11">
        <f t="shared" ca="1" si="4"/>
        <v>2.9191999999999999E-2</v>
      </c>
      <c r="R30" s="12">
        <f t="shared" ca="1" si="5"/>
        <v>24.357555149451247</v>
      </c>
      <c r="T30">
        <f t="shared" ca="1" si="15"/>
        <v>2674.9569744754699</v>
      </c>
    </row>
    <row r="31" spans="1:20">
      <c r="A31" s="198">
        <f ca="1">'SAC_IOF Ñ USAR'!A31</f>
        <v>12</v>
      </c>
      <c r="B31" s="197">
        <f t="shared" ca="1" si="12"/>
        <v>45107</v>
      </c>
      <c r="C31" s="196">
        <f t="shared" ca="1" si="6"/>
        <v>889.99100827637426</v>
      </c>
      <c r="D31" s="21">
        <f t="shared" ca="1" si="13"/>
        <v>1776.7780489229533</v>
      </c>
      <c r="E31" s="196">
        <f t="shared" ca="1" si="7"/>
        <v>192238.0577876968</v>
      </c>
      <c r="F31" s="178">
        <f t="shared" ca="1" si="8"/>
        <v>40.556890247154371</v>
      </c>
      <c r="G31" s="178">
        <f t="shared" ca="1" si="9"/>
        <v>26.319999999999997</v>
      </c>
      <c r="H31" s="177">
        <f t="shared" ca="1" si="10"/>
        <v>25</v>
      </c>
      <c r="I31" s="196"/>
      <c r="J31" s="9" t="str">
        <f t="shared" ca="1" si="0"/>
        <v/>
      </c>
      <c r="K31" s="9" t="str">
        <f t="shared" ca="1" si="1"/>
        <v/>
      </c>
      <c r="L31" s="9">
        <f t="shared" ca="1" si="2"/>
        <v>6</v>
      </c>
      <c r="N31" s="176">
        <f t="shared" ca="1" si="11"/>
        <v>31</v>
      </c>
      <c r="O31" s="176">
        <f t="shared" ca="1" si="14"/>
        <v>387</v>
      </c>
      <c r="P31" s="175">
        <f t="shared" ca="1" si="3"/>
        <v>834.39144798065388</v>
      </c>
      <c r="Q31" s="11">
        <f t="shared" ca="1" si="4"/>
        <v>2.9930000000000002E-2</v>
      </c>
      <c r="R31" s="12">
        <f t="shared" ca="1" si="5"/>
        <v>24.973336038060971</v>
      </c>
      <c r="T31">
        <f t="shared" ca="1" si="15"/>
        <v>2666.7690571993276</v>
      </c>
    </row>
    <row r="32" spans="1:20">
      <c r="A32" s="198">
        <f ca="1">'SAC_IOF Ñ USAR'!A32</f>
        <v>13</v>
      </c>
      <c r="B32" s="197">
        <f t="shared" ca="1" si="12"/>
        <v>45137</v>
      </c>
      <c r="C32" s="196">
        <f t="shared" ca="1" si="6"/>
        <v>889.99100827637426</v>
      </c>
      <c r="D32" s="21">
        <f t="shared" ca="1" si="13"/>
        <v>1768.5901316468105</v>
      </c>
      <c r="E32" s="196">
        <f t="shared" ca="1" si="7"/>
        <v>191348.06677942042</v>
      </c>
      <c r="F32" s="178">
        <f t="shared" ca="1" si="8"/>
        <v>40.369992135416332</v>
      </c>
      <c r="G32" s="178">
        <f t="shared" ca="1" si="9"/>
        <v>26.319999999999997</v>
      </c>
      <c r="H32" s="177">
        <f t="shared" ca="1" si="10"/>
        <v>25</v>
      </c>
      <c r="I32" s="196"/>
      <c r="J32" s="9" t="str">
        <f t="shared" ca="1" si="0"/>
        <v/>
      </c>
      <c r="K32" s="9" t="str">
        <f t="shared" ca="1" si="1"/>
        <v/>
      </c>
      <c r="L32" s="9">
        <f t="shared" ca="1" si="2"/>
        <v>7</v>
      </c>
      <c r="N32" s="176">
        <f t="shared" ca="1" si="11"/>
        <v>30</v>
      </c>
      <c r="O32" s="176">
        <f t="shared" ca="1" si="14"/>
        <v>417</v>
      </c>
      <c r="P32" s="175">
        <f t="shared" ca="1" si="3"/>
        <v>834.39144798065388</v>
      </c>
      <c r="Q32" s="11">
        <f t="shared" ca="1" si="4"/>
        <v>2.9930000000000002E-2</v>
      </c>
      <c r="R32" s="12">
        <f t="shared" ca="1" si="5"/>
        <v>24.973336038060971</v>
      </c>
      <c r="T32">
        <f t="shared" ca="1" si="15"/>
        <v>2658.5811399231848</v>
      </c>
    </row>
    <row r="33" spans="1:20">
      <c r="A33" s="198">
        <f ca="1">'SAC_IOF Ñ USAR'!A33</f>
        <v>14</v>
      </c>
      <c r="B33" s="197">
        <f t="shared" ca="1" si="12"/>
        <v>45168</v>
      </c>
      <c r="C33" s="196">
        <f t="shared" ca="1" si="6"/>
        <v>889.99100827637426</v>
      </c>
      <c r="D33" s="21">
        <f t="shared" ca="1" si="13"/>
        <v>1760.4022143706679</v>
      </c>
      <c r="E33" s="196">
        <f t="shared" ca="1" si="7"/>
        <v>190458.07577114404</v>
      </c>
      <c r="F33" s="178">
        <f t="shared" ca="1" si="8"/>
        <v>40.183094023678287</v>
      </c>
      <c r="G33" s="178">
        <f t="shared" ca="1" si="9"/>
        <v>26.319999999999997</v>
      </c>
      <c r="H33" s="177">
        <f t="shared" ca="1" si="10"/>
        <v>25</v>
      </c>
      <c r="I33" s="196"/>
      <c r="J33" s="9" t="str">
        <f t="shared" ca="1" si="0"/>
        <v/>
      </c>
      <c r="K33" s="9" t="str">
        <f t="shared" ca="1" si="1"/>
        <v/>
      </c>
      <c r="L33" s="9">
        <f t="shared" ca="1" si="2"/>
        <v>8</v>
      </c>
      <c r="N33" s="176">
        <f t="shared" ca="1" si="11"/>
        <v>31</v>
      </c>
      <c r="O33" s="176">
        <f t="shared" ca="1" si="14"/>
        <v>448</v>
      </c>
      <c r="P33" s="175">
        <f t="shared" ca="1" si="3"/>
        <v>834.39144798065388</v>
      </c>
      <c r="Q33" s="11">
        <f t="shared" ca="1" si="4"/>
        <v>2.9930000000000002E-2</v>
      </c>
      <c r="R33" s="12">
        <f t="shared" ca="1" si="5"/>
        <v>24.973336038060971</v>
      </c>
      <c r="T33">
        <f t="shared" ca="1" si="15"/>
        <v>2650.3932226470424</v>
      </c>
    </row>
    <row r="34" spans="1:20">
      <c r="A34" s="198">
        <f ca="1">'SAC_IOF Ñ USAR'!A34</f>
        <v>15</v>
      </c>
      <c r="B34" s="197">
        <f t="shared" ca="1" si="12"/>
        <v>45199</v>
      </c>
      <c r="C34" s="196">
        <f t="shared" ca="1" si="6"/>
        <v>889.99100827637426</v>
      </c>
      <c r="D34" s="21">
        <f t="shared" ca="1" si="13"/>
        <v>1752.2142970945251</v>
      </c>
      <c r="E34" s="196">
        <f t="shared" ca="1" si="7"/>
        <v>189568.08476286766</v>
      </c>
      <c r="F34" s="178">
        <f t="shared" ca="1" si="8"/>
        <v>39.996195911940248</v>
      </c>
      <c r="G34" s="178">
        <f t="shared" ca="1" si="9"/>
        <v>26.319999999999997</v>
      </c>
      <c r="H34" s="177">
        <f t="shared" ca="1" si="10"/>
        <v>25</v>
      </c>
      <c r="I34" s="196"/>
      <c r="J34" s="9" t="str">
        <f t="shared" ca="1" si="0"/>
        <v/>
      </c>
      <c r="K34" s="9" t="str">
        <f t="shared" ca="1" si="1"/>
        <v/>
      </c>
      <c r="L34" s="9">
        <f t="shared" ca="1" si="2"/>
        <v>9</v>
      </c>
      <c r="N34" s="176">
        <f t="shared" ca="1" si="11"/>
        <v>31</v>
      </c>
      <c r="O34" s="176">
        <f t="shared" ca="1" si="14"/>
        <v>479</v>
      </c>
      <c r="P34" s="175">
        <f t="shared" ca="1" si="3"/>
        <v>834.39144798065388</v>
      </c>
      <c r="Q34" s="11">
        <f t="shared" ca="1" si="4"/>
        <v>2.9930000000000002E-2</v>
      </c>
      <c r="R34" s="12">
        <f t="shared" ca="1" si="5"/>
        <v>24.973336038060971</v>
      </c>
      <c r="T34">
        <f t="shared" ca="1" si="15"/>
        <v>2642.2053053708996</v>
      </c>
    </row>
    <row r="35" spans="1:20">
      <c r="A35" s="198">
        <f ca="1">'SAC_IOF Ñ USAR'!A35</f>
        <v>16</v>
      </c>
      <c r="B35" s="197">
        <f t="shared" ca="1" si="12"/>
        <v>45229</v>
      </c>
      <c r="C35" s="196">
        <f t="shared" ca="1" si="6"/>
        <v>889.99100827637426</v>
      </c>
      <c r="D35" s="21">
        <f t="shared" ca="1" si="13"/>
        <v>1744.0263798183823</v>
      </c>
      <c r="E35" s="196">
        <f t="shared" ca="1" si="7"/>
        <v>188678.09375459127</v>
      </c>
      <c r="F35" s="178">
        <f t="shared" ca="1" si="8"/>
        <v>39.809297800202209</v>
      </c>
      <c r="G35" s="178">
        <f t="shared" ca="1" si="9"/>
        <v>26.319999999999997</v>
      </c>
      <c r="H35" s="177">
        <f t="shared" ca="1" si="10"/>
        <v>25</v>
      </c>
      <c r="I35" s="196"/>
      <c r="J35" s="9" t="str">
        <f t="shared" ca="1" si="0"/>
        <v/>
      </c>
      <c r="K35" s="9" t="str">
        <f t="shared" ca="1" si="1"/>
        <v/>
      </c>
      <c r="L35" s="9">
        <f t="shared" ca="1" si="2"/>
        <v>10</v>
      </c>
      <c r="N35" s="176">
        <f t="shared" ca="1" si="11"/>
        <v>30</v>
      </c>
      <c r="O35" s="176">
        <f t="shared" ca="1" si="14"/>
        <v>509</v>
      </c>
      <c r="P35" s="175">
        <f t="shared" ca="1" si="3"/>
        <v>834.39144798065388</v>
      </c>
      <c r="Q35" s="11">
        <f t="shared" ca="1" si="4"/>
        <v>2.9930000000000002E-2</v>
      </c>
      <c r="R35" s="12">
        <f t="shared" ca="1" si="5"/>
        <v>24.973336038060971</v>
      </c>
      <c r="T35">
        <f t="shared" ca="1" si="15"/>
        <v>2634.0173880947568</v>
      </c>
    </row>
    <row r="36" spans="1:20">
      <c r="A36" s="198">
        <f ca="1">'SAC_IOF Ñ USAR'!A36</f>
        <v>17</v>
      </c>
      <c r="B36" s="197">
        <f t="shared" ca="1" si="12"/>
        <v>45260</v>
      </c>
      <c r="C36" s="196">
        <f t="shared" ca="1" si="6"/>
        <v>889.99100827637426</v>
      </c>
      <c r="D36" s="21">
        <f t="shared" ca="1" si="13"/>
        <v>1735.8384625422398</v>
      </c>
      <c r="E36" s="196">
        <f t="shared" ca="1" si="7"/>
        <v>187788.10274631489</v>
      </c>
      <c r="F36" s="178">
        <f t="shared" ca="1" si="8"/>
        <v>39.622399688464171</v>
      </c>
      <c r="G36" s="178">
        <f t="shared" ca="1" si="9"/>
        <v>26.319999999999997</v>
      </c>
      <c r="H36" s="177">
        <f t="shared" ca="1" si="10"/>
        <v>25</v>
      </c>
      <c r="I36" s="196"/>
      <c r="J36" s="9" t="str">
        <f t="shared" ca="1" si="0"/>
        <v/>
      </c>
      <c r="K36" s="9" t="str">
        <f t="shared" ca="1" si="1"/>
        <v/>
      </c>
      <c r="L36" s="9">
        <f t="shared" ca="1" si="2"/>
        <v>11</v>
      </c>
      <c r="N36" s="176">
        <f t="shared" ca="1" si="11"/>
        <v>31</v>
      </c>
      <c r="O36" s="176">
        <f t="shared" ca="1" si="14"/>
        <v>540</v>
      </c>
      <c r="P36" s="175">
        <f t="shared" ca="1" si="3"/>
        <v>834.39144798065388</v>
      </c>
      <c r="Q36" s="11">
        <f t="shared" ca="1" si="4"/>
        <v>2.9930000000000002E-2</v>
      </c>
      <c r="R36" s="12">
        <f t="shared" ca="1" si="5"/>
        <v>24.973336038060971</v>
      </c>
      <c r="T36">
        <f t="shared" ca="1" si="15"/>
        <v>2625.829470818614</v>
      </c>
    </row>
    <row r="37" spans="1:20">
      <c r="A37" s="198">
        <f ca="1">'SAC_IOF Ñ USAR'!A37</f>
        <v>18</v>
      </c>
      <c r="B37" s="197">
        <f t="shared" ca="1" si="12"/>
        <v>45290</v>
      </c>
      <c r="C37" s="196">
        <f t="shared" ca="1" si="6"/>
        <v>889.99100827637426</v>
      </c>
      <c r="D37" s="21">
        <f t="shared" ca="1" si="13"/>
        <v>1727.650545266097</v>
      </c>
      <c r="E37" s="196">
        <f t="shared" ca="1" si="7"/>
        <v>186898.11173803851</v>
      </c>
      <c r="F37" s="178">
        <f t="shared" ca="1" si="8"/>
        <v>39.435501576726132</v>
      </c>
      <c r="G37" s="178">
        <f t="shared" ca="1" si="9"/>
        <v>26.319999999999997</v>
      </c>
      <c r="H37" s="177">
        <f t="shared" ca="1" si="10"/>
        <v>25</v>
      </c>
      <c r="I37" s="196"/>
      <c r="J37" s="9" t="str">
        <f t="shared" ca="1" si="0"/>
        <v/>
      </c>
      <c r="K37" s="9" t="str">
        <f t="shared" ca="1" si="1"/>
        <v/>
      </c>
      <c r="L37" s="9">
        <f t="shared" ca="1" si="2"/>
        <v>12</v>
      </c>
      <c r="N37" s="176">
        <f t="shared" ca="1" si="11"/>
        <v>30</v>
      </c>
      <c r="O37" s="176">
        <f t="shared" ca="1" si="14"/>
        <v>570</v>
      </c>
      <c r="P37" s="175">
        <f t="shared" ca="1" si="3"/>
        <v>834.39144798065388</v>
      </c>
      <c r="Q37" s="11">
        <f t="shared" ca="1" si="4"/>
        <v>2.9930000000000002E-2</v>
      </c>
      <c r="R37" s="12">
        <f t="shared" ca="1" si="5"/>
        <v>24.973336038060971</v>
      </c>
      <c r="T37">
        <f t="shared" ca="1" si="15"/>
        <v>2617.6415535424712</v>
      </c>
    </row>
    <row r="38" spans="1:20">
      <c r="A38" s="198">
        <f ca="1">'SAC_IOF Ñ USAR'!A38</f>
        <v>19</v>
      </c>
      <c r="B38" s="197">
        <f t="shared" ca="1" si="12"/>
        <v>45321</v>
      </c>
      <c r="C38" s="196">
        <f t="shared" ca="1" si="6"/>
        <v>889.99100827637426</v>
      </c>
      <c r="D38" s="21">
        <f t="shared" ca="1" si="13"/>
        <v>1719.4626279899542</v>
      </c>
      <c r="E38" s="196">
        <f t="shared" ca="1" si="7"/>
        <v>186008.12072976213</v>
      </c>
      <c r="F38" s="178">
        <f t="shared" ca="1" si="8"/>
        <v>39.248603464988086</v>
      </c>
      <c r="G38" s="178">
        <f t="shared" ca="1" si="9"/>
        <v>26.319999999999997</v>
      </c>
      <c r="H38" s="177">
        <f t="shared" ca="1" si="10"/>
        <v>25</v>
      </c>
      <c r="I38" s="196"/>
      <c r="J38" s="9" t="str">
        <f t="shared" ca="1" si="0"/>
        <v/>
      </c>
      <c r="K38" s="9" t="str">
        <f t="shared" ca="1" si="1"/>
        <v/>
      </c>
      <c r="L38" s="9">
        <f t="shared" ca="1" si="2"/>
        <v>1</v>
      </c>
      <c r="N38" s="176">
        <f t="shared" ca="1" si="11"/>
        <v>31</v>
      </c>
      <c r="O38" s="176">
        <f t="shared" ca="1" si="14"/>
        <v>601</v>
      </c>
      <c r="P38" s="175">
        <f t="shared" ca="1" si="3"/>
        <v>834.39144798065388</v>
      </c>
      <c r="Q38" s="11">
        <f t="shared" ca="1" si="4"/>
        <v>2.9930000000000002E-2</v>
      </c>
      <c r="R38" s="12">
        <f t="shared" ca="1" si="5"/>
        <v>24.973336038060971</v>
      </c>
      <c r="T38">
        <f t="shared" ca="1" si="15"/>
        <v>2609.4536362663284</v>
      </c>
    </row>
    <row r="39" spans="1:20">
      <c r="A39" s="198">
        <f ca="1">'SAC_IOF Ñ USAR'!A39</f>
        <v>20</v>
      </c>
      <c r="B39" s="197">
        <f t="shared" ca="1" si="12"/>
        <v>45351</v>
      </c>
      <c r="C39" s="196">
        <f t="shared" ca="1" si="6"/>
        <v>889.99100827637426</v>
      </c>
      <c r="D39" s="21">
        <f t="shared" ca="1" si="13"/>
        <v>1711.2747107138116</v>
      </c>
      <c r="E39" s="196">
        <f t="shared" ca="1" si="7"/>
        <v>185118.12972148575</v>
      </c>
      <c r="F39" s="178">
        <f t="shared" ca="1" si="8"/>
        <v>39.061705353250048</v>
      </c>
      <c r="G39" s="178">
        <f t="shared" ca="1" si="9"/>
        <v>26.319999999999997</v>
      </c>
      <c r="H39" s="177">
        <f t="shared" ca="1" si="10"/>
        <v>25</v>
      </c>
      <c r="I39" s="196"/>
      <c r="J39" s="9" t="str">
        <f t="shared" ca="1" si="0"/>
        <v/>
      </c>
      <c r="K39" s="9" t="str">
        <f t="shared" ca="1" si="1"/>
        <v/>
      </c>
      <c r="L39" s="9">
        <f t="shared" ca="1" si="2"/>
        <v>2</v>
      </c>
      <c r="N39" s="176">
        <f t="shared" ca="1" si="11"/>
        <v>30</v>
      </c>
      <c r="O39" s="176">
        <f t="shared" ca="1" si="14"/>
        <v>631</v>
      </c>
      <c r="P39" s="175">
        <f t="shared" ca="1" si="3"/>
        <v>834.39144798065388</v>
      </c>
      <c r="Q39" s="11">
        <f t="shared" ca="1" si="4"/>
        <v>2.9930000000000002E-2</v>
      </c>
      <c r="R39" s="12">
        <f t="shared" ca="1" si="5"/>
        <v>24.973336038060971</v>
      </c>
      <c r="T39">
        <f t="shared" ca="1" si="15"/>
        <v>2601.2657189901856</v>
      </c>
    </row>
    <row r="40" spans="1:20">
      <c r="A40" s="198">
        <f ca="1">'SAC_IOF Ñ USAR'!A40</f>
        <v>21</v>
      </c>
      <c r="B40" s="197">
        <f t="shared" ca="1" si="12"/>
        <v>45381</v>
      </c>
      <c r="C40" s="196">
        <f t="shared" ca="1" si="6"/>
        <v>889.99100827637426</v>
      </c>
      <c r="D40" s="21">
        <f t="shared" ca="1" si="13"/>
        <v>1703.0867934376688</v>
      </c>
      <c r="E40" s="196">
        <f t="shared" ca="1" si="7"/>
        <v>184228.13871320937</v>
      </c>
      <c r="F40" s="178">
        <f t="shared" ca="1" si="8"/>
        <v>38.874807241512009</v>
      </c>
      <c r="G40" s="178">
        <f t="shared" ca="1" si="9"/>
        <v>26.319999999999997</v>
      </c>
      <c r="H40" s="177">
        <f t="shared" ca="1" si="10"/>
        <v>25</v>
      </c>
      <c r="I40" s="196"/>
      <c r="J40" s="9" t="str">
        <f t="shared" ca="1" si="0"/>
        <v/>
      </c>
      <c r="K40" s="9" t="str">
        <f t="shared" ca="1" si="1"/>
        <v/>
      </c>
      <c r="L40" s="9">
        <f t="shared" ca="1" si="2"/>
        <v>3</v>
      </c>
      <c r="N40" s="176">
        <f t="shared" ca="1" si="11"/>
        <v>30</v>
      </c>
      <c r="O40" s="176">
        <f t="shared" ca="1" si="14"/>
        <v>661</v>
      </c>
      <c r="P40" s="175">
        <f t="shared" ca="1" si="3"/>
        <v>834.39144798065388</v>
      </c>
      <c r="Q40" s="11">
        <f t="shared" ca="1" si="4"/>
        <v>2.9930000000000002E-2</v>
      </c>
      <c r="R40" s="12">
        <f t="shared" ca="1" si="5"/>
        <v>24.973336038060971</v>
      </c>
      <c r="T40">
        <f t="shared" ca="1" si="15"/>
        <v>2593.0778017140428</v>
      </c>
    </row>
    <row r="41" spans="1:20">
      <c r="A41" s="198">
        <f ca="1">'SAC_IOF Ñ USAR'!A41</f>
        <v>22</v>
      </c>
      <c r="B41" s="197">
        <f t="shared" ca="1" si="12"/>
        <v>45412</v>
      </c>
      <c r="C41" s="196">
        <f t="shared" ca="1" si="6"/>
        <v>889.99100827637426</v>
      </c>
      <c r="D41" s="21">
        <f t="shared" ca="1" si="13"/>
        <v>1694.8988761615262</v>
      </c>
      <c r="E41" s="196">
        <f t="shared" ca="1" si="7"/>
        <v>183338.14770493298</v>
      </c>
      <c r="F41" s="178">
        <f t="shared" ca="1" si="8"/>
        <v>38.687909129773971</v>
      </c>
      <c r="G41" s="178">
        <f t="shared" ca="1" si="9"/>
        <v>26.319999999999997</v>
      </c>
      <c r="H41" s="177">
        <f t="shared" ca="1" si="10"/>
        <v>25</v>
      </c>
      <c r="I41" s="196"/>
      <c r="J41" s="9" t="str">
        <f t="shared" ca="1" si="0"/>
        <v/>
      </c>
      <c r="K41" s="9" t="str">
        <f t="shared" ca="1" si="1"/>
        <v/>
      </c>
      <c r="L41" s="9">
        <f t="shared" ca="1" si="2"/>
        <v>4</v>
      </c>
      <c r="N41" s="176">
        <f t="shared" ca="1" si="11"/>
        <v>31</v>
      </c>
      <c r="O41" s="176">
        <f t="shared" ca="1" si="14"/>
        <v>692</v>
      </c>
      <c r="P41" s="175">
        <f t="shared" ca="1" si="3"/>
        <v>834.39144798065388</v>
      </c>
      <c r="Q41" s="11">
        <f t="shared" ca="1" si="4"/>
        <v>2.9930000000000002E-2</v>
      </c>
      <c r="R41" s="12">
        <f t="shared" ca="1" si="5"/>
        <v>24.973336038060971</v>
      </c>
      <c r="T41">
        <f t="shared" ca="1" si="15"/>
        <v>2584.8898844379005</v>
      </c>
    </row>
    <row r="42" spans="1:20">
      <c r="A42" s="198">
        <f ca="1">'SAC_IOF Ñ USAR'!A42</f>
        <v>23</v>
      </c>
      <c r="B42" s="197">
        <f t="shared" ca="1" si="12"/>
        <v>45442</v>
      </c>
      <c r="C42" s="196">
        <f t="shared" ca="1" si="6"/>
        <v>889.99100827637426</v>
      </c>
      <c r="D42" s="21">
        <f t="shared" ca="1" si="13"/>
        <v>1686.7109588853834</v>
      </c>
      <c r="E42" s="196">
        <f t="shared" ca="1" si="7"/>
        <v>182448.1566966566</v>
      </c>
      <c r="F42" s="178">
        <f t="shared" ca="1" si="8"/>
        <v>38.501011018035925</v>
      </c>
      <c r="G42" s="178">
        <f t="shared" ca="1" si="9"/>
        <v>26.319999999999997</v>
      </c>
      <c r="H42" s="177">
        <f t="shared" ca="1" si="10"/>
        <v>25</v>
      </c>
      <c r="I42" s="196"/>
      <c r="J42" s="9" t="str">
        <f t="shared" ca="1" si="0"/>
        <v/>
      </c>
      <c r="K42" s="9" t="str">
        <f t="shared" ca="1" si="1"/>
        <v/>
      </c>
      <c r="L42" s="9">
        <f t="shared" ca="1" si="2"/>
        <v>5</v>
      </c>
      <c r="N42" s="176">
        <f t="shared" ca="1" si="11"/>
        <v>30</v>
      </c>
      <c r="O42" s="176">
        <f t="shared" ca="1" si="14"/>
        <v>722</v>
      </c>
      <c r="P42" s="175">
        <f t="shared" ca="1" si="3"/>
        <v>834.39144798065388</v>
      </c>
      <c r="Q42" s="11">
        <f t="shared" ca="1" si="4"/>
        <v>2.9930000000000002E-2</v>
      </c>
      <c r="R42" s="12">
        <f t="shared" ca="1" si="5"/>
        <v>24.973336038060971</v>
      </c>
      <c r="T42">
        <f t="shared" ca="1" si="15"/>
        <v>2576.7019671617577</v>
      </c>
    </row>
    <row r="43" spans="1:20">
      <c r="A43" s="198">
        <f ca="1">'SAC_IOF Ñ USAR'!A43</f>
        <v>24</v>
      </c>
      <c r="B43" s="197">
        <f t="shared" ca="1" si="12"/>
        <v>45473</v>
      </c>
      <c r="C43" s="196">
        <f t="shared" ca="1" si="6"/>
        <v>889.99100827637426</v>
      </c>
      <c r="D43" s="21">
        <f t="shared" ca="1" si="13"/>
        <v>1678.5230416092406</v>
      </c>
      <c r="E43" s="196">
        <f t="shared" ca="1" si="7"/>
        <v>181558.16568838022</v>
      </c>
      <c r="F43" s="178">
        <f t="shared" ca="1" si="8"/>
        <v>38.314112906297886</v>
      </c>
      <c r="G43" s="178">
        <f t="shared" ca="1" si="9"/>
        <v>26.319999999999997</v>
      </c>
      <c r="H43" s="177">
        <f t="shared" ca="1" si="10"/>
        <v>25</v>
      </c>
      <c r="I43" s="196"/>
      <c r="J43" s="9" t="str">
        <f t="shared" ca="1" si="0"/>
        <v/>
      </c>
      <c r="K43" s="9" t="str">
        <f t="shared" ca="1" si="1"/>
        <v/>
      </c>
      <c r="L43" s="9">
        <f t="shared" ca="1" si="2"/>
        <v>6</v>
      </c>
      <c r="N43" s="176">
        <f t="shared" ca="1" si="11"/>
        <v>31</v>
      </c>
      <c r="O43" s="176">
        <f t="shared" ca="1" si="14"/>
        <v>753</v>
      </c>
      <c r="P43" s="175">
        <f t="shared" ca="1" si="3"/>
        <v>834.39144798065388</v>
      </c>
      <c r="Q43" s="11">
        <f t="shared" ca="1" si="4"/>
        <v>2.9930000000000002E-2</v>
      </c>
      <c r="R43" s="12">
        <f t="shared" ca="1" si="5"/>
        <v>24.973336038060971</v>
      </c>
      <c r="T43">
        <f t="shared" ca="1" si="15"/>
        <v>2568.5140498856149</v>
      </c>
    </row>
    <row r="44" spans="1:20">
      <c r="A44" s="198">
        <f ca="1">'SAC_IOF Ñ USAR'!A44</f>
        <v>25</v>
      </c>
      <c r="B44" s="197">
        <f t="shared" ca="1" si="12"/>
        <v>45503</v>
      </c>
      <c r="C44" s="196">
        <f t="shared" ca="1" si="6"/>
        <v>889.99100827637426</v>
      </c>
      <c r="D44" s="21">
        <f t="shared" ca="1" si="13"/>
        <v>1670.3351243330981</v>
      </c>
      <c r="E44" s="196">
        <f t="shared" ca="1" si="7"/>
        <v>180668.17468010384</v>
      </c>
      <c r="F44" s="178">
        <f t="shared" ca="1" si="8"/>
        <v>38.127214794559848</v>
      </c>
      <c r="G44" s="178">
        <f t="shared" ca="1" si="9"/>
        <v>26.319999999999997</v>
      </c>
      <c r="H44" s="177">
        <f t="shared" ca="1" si="10"/>
        <v>25</v>
      </c>
      <c r="I44" s="196"/>
      <c r="J44" s="9" t="str">
        <f t="shared" ca="1" si="0"/>
        <v/>
      </c>
      <c r="K44" s="9" t="str">
        <f t="shared" ca="1" si="1"/>
        <v/>
      </c>
      <c r="L44" s="9">
        <f t="shared" ca="1" si="2"/>
        <v>7</v>
      </c>
      <c r="N44" s="176">
        <f t="shared" ca="1" si="11"/>
        <v>30</v>
      </c>
      <c r="O44" s="176">
        <f t="shared" ca="1" si="14"/>
        <v>783</v>
      </c>
      <c r="P44" s="175">
        <f t="shared" ca="1" si="3"/>
        <v>834.39144798065388</v>
      </c>
      <c r="Q44" s="11">
        <f t="shared" ca="1" si="4"/>
        <v>2.9930000000000002E-2</v>
      </c>
      <c r="R44" s="12">
        <f t="shared" ca="1" si="5"/>
        <v>24.973336038060971</v>
      </c>
      <c r="T44">
        <f t="shared" ca="1" si="15"/>
        <v>2560.3261326094726</v>
      </c>
    </row>
    <row r="45" spans="1:20">
      <c r="A45" s="198">
        <f ca="1">'SAC_IOF Ñ USAR'!A45</f>
        <v>26</v>
      </c>
      <c r="B45" s="197">
        <f t="shared" ca="1" si="12"/>
        <v>45534</v>
      </c>
      <c r="C45" s="196">
        <f t="shared" ca="1" si="6"/>
        <v>889.99100827637426</v>
      </c>
      <c r="D45" s="21">
        <f t="shared" ca="1" si="13"/>
        <v>1662.1472070569553</v>
      </c>
      <c r="E45" s="196">
        <f t="shared" ca="1" si="7"/>
        <v>179778.18367182746</v>
      </c>
      <c r="F45" s="178">
        <f t="shared" ca="1" si="8"/>
        <v>37.940316682821809</v>
      </c>
      <c r="G45" s="178">
        <f t="shared" ca="1" si="9"/>
        <v>26.319999999999997</v>
      </c>
      <c r="H45" s="177">
        <f t="shared" ca="1" si="10"/>
        <v>25</v>
      </c>
      <c r="I45" s="196"/>
      <c r="J45" s="9" t="str">
        <f t="shared" ca="1" si="0"/>
        <v/>
      </c>
      <c r="K45" s="9" t="str">
        <f t="shared" ca="1" si="1"/>
        <v/>
      </c>
      <c r="L45" s="9">
        <f t="shared" ca="1" si="2"/>
        <v>8</v>
      </c>
      <c r="N45" s="176">
        <f t="shared" ca="1" si="11"/>
        <v>31</v>
      </c>
      <c r="O45" s="176">
        <f t="shared" ca="1" si="14"/>
        <v>814</v>
      </c>
      <c r="P45" s="175">
        <f t="shared" ca="1" si="3"/>
        <v>834.39144798065388</v>
      </c>
      <c r="Q45" s="11">
        <f t="shared" ca="1" si="4"/>
        <v>2.9930000000000002E-2</v>
      </c>
      <c r="R45" s="12">
        <f t="shared" ca="1" si="5"/>
        <v>24.973336038060971</v>
      </c>
      <c r="T45">
        <f t="shared" ca="1" si="15"/>
        <v>2552.1382153333298</v>
      </c>
    </row>
    <row r="46" spans="1:20">
      <c r="A46" s="198">
        <f ca="1">'SAC_IOF Ñ USAR'!A46</f>
        <v>27</v>
      </c>
      <c r="B46" s="197">
        <f t="shared" ca="1" si="12"/>
        <v>45565</v>
      </c>
      <c r="C46" s="196">
        <f t="shared" ca="1" si="6"/>
        <v>889.99100827637426</v>
      </c>
      <c r="D46" s="21">
        <f t="shared" ca="1" si="13"/>
        <v>1653.9592897808125</v>
      </c>
      <c r="E46" s="196">
        <f t="shared" ca="1" si="7"/>
        <v>178888.19266355108</v>
      </c>
      <c r="F46" s="178">
        <f t="shared" ca="1" si="8"/>
        <v>37.75341857108377</v>
      </c>
      <c r="G46" s="178">
        <f t="shared" ca="1" si="9"/>
        <v>26.319999999999997</v>
      </c>
      <c r="H46" s="177">
        <f t="shared" ca="1" si="10"/>
        <v>25</v>
      </c>
      <c r="I46" s="196"/>
      <c r="J46" s="9" t="str">
        <f t="shared" ca="1" si="0"/>
        <v/>
      </c>
      <c r="K46" s="9" t="str">
        <f t="shared" ca="1" si="1"/>
        <v/>
      </c>
      <c r="L46" s="9">
        <f t="shared" ca="1" si="2"/>
        <v>9</v>
      </c>
      <c r="N46" s="176">
        <f t="shared" ca="1" si="11"/>
        <v>31</v>
      </c>
      <c r="O46" s="176">
        <f t="shared" ca="1" si="14"/>
        <v>845</v>
      </c>
      <c r="P46" s="175">
        <f t="shared" ca="1" si="3"/>
        <v>834.39144798065388</v>
      </c>
      <c r="Q46" s="11">
        <f t="shared" ca="1" si="4"/>
        <v>2.9930000000000002E-2</v>
      </c>
      <c r="R46" s="12">
        <f t="shared" ca="1" si="5"/>
        <v>24.973336038060971</v>
      </c>
      <c r="T46">
        <f t="shared" ca="1" si="15"/>
        <v>2543.950298057187</v>
      </c>
    </row>
    <row r="47" spans="1:20">
      <c r="A47" s="198">
        <f ca="1">'SAC_IOF Ñ USAR'!A47</f>
        <v>28</v>
      </c>
      <c r="B47" s="197">
        <f t="shared" ca="1" si="12"/>
        <v>45595</v>
      </c>
      <c r="C47" s="196">
        <f t="shared" ca="1" si="6"/>
        <v>889.99100827637426</v>
      </c>
      <c r="D47" s="21">
        <f t="shared" ca="1" si="13"/>
        <v>1645.7713725046699</v>
      </c>
      <c r="E47" s="196">
        <f t="shared" ca="1" si="7"/>
        <v>177998.20165527469</v>
      </c>
      <c r="F47" s="178">
        <f t="shared" ca="1" si="8"/>
        <v>37.566520459345725</v>
      </c>
      <c r="G47" s="178">
        <f t="shared" ca="1" si="9"/>
        <v>26.319999999999997</v>
      </c>
      <c r="H47" s="177">
        <f t="shared" ca="1" si="10"/>
        <v>25</v>
      </c>
      <c r="I47" s="196"/>
      <c r="J47" s="9" t="str">
        <f t="shared" ca="1" si="0"/>
        <v/>
      </c>
      <c r="K47" s="9" t="str">
        <f t="shared" ca="1" si="1"/>
        <v/>
      </c>
      <c r="L47" s="9">
        <f t="shared" ca="1" si="2"/>
        <v>10</v>
      </c>
      <c r="N47" s="176">
        <f t="shared" ca="1" si="11"/>
        <v>30</v>
      </c>
      <c r="O47" s="176">
        <f t="shared" ca="1" si="14"/>
        <v>875</v>
      </c>
      <c r="P47" s="175">
        <f t="shared" ca="1" si="3"/>
        <v>834.39144798065388</v>
      </c>
      <c r="Q47" s="11">
        <f t="shared" ca="1" si="4"/>
        <v>2.9930000000000002E-2</v>
      </c>
      <c r="R47" s="12">
        <f t="shared" ca="1" si="5"/>
        <v>24.973336038060971</v>
      </c>
      <c r="T47">
        <f t="shared" ca="1" si="15"/>
        <v>2535.7623807810442</v>
      </c>
    </row>
    <row r="48" spans="1:20">
      <c r="A48" s="198">
        <f ca="1">'SAC_IOF Ñ USAR'!A48</f>
        <v>29</v>
      </c>
      <c r="B48" s="197">
        <f t="shared" ca="1" si="12"/>
        <v>45626</v>
      </c>
      <c r="C48" s="196">
        <f t="shared" ca="1" si="6"/>
        <v>889.99100827637426</v>
      </c>
      <c r="D48" s="21">
        <f t="shared" ca="1" si="13"/>
        <v>1637.5834552285271</v>
      </c>
      <c r="E48" s="196">
        <f t="shared" ca="1" si="7"/>
        <v>177108.21064699831</v>
      </c>
      <c r="F48" s="178">
        <f t="shared" ca="1" si="8"/>
        <v>37.379622347607686</v>
      </c>
      <c r="G48" s="178">
        <f t="shared" ca="1" si="9"/>
        <v>26.319999999999997</v>
      </c>
      <c r="H48" s="177">
        <f t="shared" ca="1" si="10"/>
        <v>25</v>
      </c>
      <c r="I48" s="196"/>
      <c r="J48" s="9" t="str">
        <f t="shared" ca="1" si="0"/>
        <v/>
      </c>
      <c r="K48" s="9" t="str">
        <f t="shared" ca="1" si="1"/>
        <v/>
      </c>
      <c r="L48" s="9">
        <f t="shared" ca="1" si="2"/>
        <v>11</v>
      </c>
      <c r="N48" s="176">
        <f t="shared" ca="1" si="11"/>
        <v>31</v>
      </c>
      <c r="O48" s="176">
        <f t="shared" ca="1" si="14"/>
        <v>906</v>
      </c>
      <c r="P48" s="175">
        <f t="shared" ca="1" si="3"/>
        <v>834.39144798065388</v>
      </c>
      <c r="Q48" s="11">
        <f t="shared" ca="1" si="4"/>
        <v>2.9930000000000002E-2</v>
      </c>
      <c r="R48" s="12">
        <f t="shared" ca="1" si="5"/>
        <v>24.973336038060971</v>
      </c>
      <c r="T48">
        <f t="shared" ca="1" si="15"/>
        <v>2527.5744635049014</v>
      </c>
    </row>
    <row r="49" spans="1:20">
      <c r="A49" s="198">
        <f ca="1">'SAC_IOF Ñ USAR'!A49</f>
        <v>30</v>
      </c>
      <c r="B49" s="197">
        <f t="shared" ca="1" si="12"/>
        <v>45656</v>
      </c>
      <c r="C49" s="196">
        <f t="shared" ca="1" si="6"/>
        <v>889.99100827637426</v>
      </c>
      <c r="D49" s="21">
        <f t="shared" ca="1" si="13"/>
        <v>1629.3955379523845</v>
      </c>
      <c r="E49" s="196">
        <f t="shared" ca="1" si="7"/>
        <v>176218.21963872193</v>
      </c>
      <c r="F49" s="178">
        <f t="shared" ca="1" si="8"/>
        <v>37.192724235869647</v>
      </c>
      <c r="G49" s="178">
        <f t="shared" ca="1" si="9"/>
        <v>26.319999999999997</v>
      </c>
      <c r="H49" s="177">
        <f t="shared" ca="1" si="10"/>
        <v>25</v>
      </c>
      <c r="I49" s="196"/>
      <c r="J49" s="9" t="str">
        <f t="shared" ca="1" si="0"/>
        <v/>
      </c>
      <c r="K49" s="9" t="str">
        <f t="shared" ca="1" si="1"/>
        <v/>
      </c>
      <c r="L49" s="9">
        <f t="shared" ca="1" si="2"/>
        <v>12</v>
      </c>
      <c r="N49" s="176">
        <f t="shared" ca="1" si="11"/>
        <v>30</v>
      </c>
      <c r="O49" s="176">
        <f t="shared" ca="1" si="14"/>
        <v>936</v>
      </c>
      <c r="P49" s="175">
        <f t="shared" ca="1" si="3"/>
        <v>834.39144798065388</v>
      </c>
      <c r="Q49" s="11">
        <f t="shared" ca="1" si="4"/>
        <v>2.9930000000000002E-2</v>
      </c>
      <c r="R49" s="12">
        <f t="shared" ca="1" si="5"/>
        <v>24.973336038060971</v>
      </c>
      <c r="T49">
        <f t="shared" ca="1" si="15"/>
        <v>2519.3865462287586</v>
      </c>
    </row>
    <row r="50" spans="1:20">
      <c r="A50" s="198">
        <f ca="1">'SAC_IOF Ñ USAR'!A50</f>
        <v>31</v>
      </c>
      <c r="B50" s="197">
        <f t="shared" ca="1" si="12"/>
        <v>45687</v>
      </c>
      <c r="C50" s="196">
        <f t="shared" ca="1" si="6"/>
        <v>889.99100827637426</v>
      </c>
      <c r="D50" s="21">
        <f t="shared" ca="1" si="13"/>
        <v>1621.2076206762417</v>
      </c>
      <c r="E50" s="196">
        <f t="shared" ca="1" si="7"/>
        <v>175328.22863044555</v>
      </c>
      <c r="F50" s="178">
        <f t="shared" ca="1" si="8"/>
        <v>37.005826124131609</v>
      </c>
      <c r="G50" s="178">
        <f t="shared" ca="1" si="9"/>
        <v>26.319999999999997</v>
      </c>
      <c r="H50" s="177">
        <f t="shared" ca="1" si="10"/>
        <v>25</v>
      </c>
      <c r="I50" s="196"/>
      <c r="J50" s="9" t="str">
        <f t="shared" ca="1" si="0"/>
        <v/>
      </c>
      <c r="K50" s="9" t="str">
        <f t="shared" ca="1" si="1"/>
        <v/>
      </c>
      <c r="L50" s="9">
        <f t="shared" ca="1" si="2"/>
        <v>1</v>
      </c>
      <c r="N50" s="176">
        <f t="shared" ca="1" si="11"/>
        <v>31</v>
      </c>
      <c r="O50" s="176">
        <f t="shared" ca="1" si="14"/>
        <v>967</v>
      </c>
      <c r="P50" s="175">
        <f t="shared" ca="1" si="3"/>
        <v>834.39144798065388</v>
      </c>
      <c r="Q50" s="11">
        <f t="shared" ca="1" si="4"/>
        <v>2.9930000000000002E-2</v>
      </c>
      <c r="R50" s="12">
        <f t="shared" ca="1" si="5"/>
        <v>24.973336038060971</v>
      </c>
      <c r="T50">
        <f t="shared" ca="1" si="15"/>
        <v>2511.1986289526158</v>
      </c>
    </row>
    <row r="51" spans="1:20">
      <c r="A51" s="198">
        <f ca="1">'SAC_IOF Ñ USAR'!A51</f>
        <v>32</v>
      </c>
      <c r="B51" s="197">
        <f t="shared" ca="1" si="12"/>
        <v>45716</v>
      </c>
      <c r="C51" s="196">
        <f t="shared" ca="1" si="6"/>
        <v>889.99100827637426</v>
      </c>
      <c r="D51" s="21">
        <f t="shared" ca="1" si="13"/>
        <v>1613.0197034000989</v>
      </c>
      <c r="E51" s="196">
        <f t="shared" ca="1" si="7"/>
        <v>174438.23762216917</v>
      </c>
      <c r="F51" s="178">
        <f t="shared" ca="1" si="8"/>
        <v>36.818928012393563</v>
      </c>
      <c r="G51" s="178">
        <f t="shared" ca="1" si="9"/>
        <v>26.319999999999997</v>
      </c>
      <c r="H51" s="177">
        <f t="shared" ca="1" si="10"/>
        <v>25</v>
      </c>
      <c r="I51" s="196"/>
      <c r="J51" s="9" t="str">
        <f t="shared" ca="1" si="0"/>
        <v/>
      </c>
      <c r="K51" s="9" t="str">
        <f t="shared" ca="1" si="1"/>
        <v/>
      </c>
      <c r="L51" s="9">
        <f t="shared" ca="1" si="2"/>
        <v>2</v>
      </c>
      <c r="N51" s="176">
        <f t="shared" ca="1" si="11"/>
        <v>29</v>
      </c>
      <c r="O51" s="176">
        <f t="shared" ca="1" si="14"/>
        <v>996</v>
      </c>
      <c r="P51" s="175">
        <f t="shared" ca="1" si="3"/>
        <v>834.39144798065388</v>
      </c>
      <c r="Q51" s="11">
        <f t="shared" ca="1" si="4"/>
        <v>2.9930000000000002E-2</v>
      </c>
      <c r="R51" s="12">
        <f t="shared" ca="1" si="5"/>
        <v>24.973336038060971</v>
      </c>
      <c r="T51">
        <f t="shared" ca="1" si="15"/>
        <v>2503.010711676473</v>
      </c>
    </row>
    <row r="52" spans="1:20">
      <c r="A52" s="198">
        <f ca="1">'SAC_IOF Ñ USAR'!A52</f>
        <v>33</v>
      </c>
      <c r="B52" s="197">
        <f t="shared" ca="1" si="12"/>
        <v>45746</v>
      </c>
      <c r="C52" s="196">
        <f t="shared" ca="1" si="6"/>
        <v>889.99100827637426</v>
      </c>
      <c r="D52" s="21">
        <f t="shared" ca="1" si="13"/>
        <v>1604.8317861239564</v>
      </c>
      <c r="E52" s="196">
        <f t="shared" ca="1" si="7"/>
        <v>173548.24661389278</v>
      </c>
      <c r="F52" s="178">
        <f t="shared" ca="1" si="8"/>
        <v>36.632029900655525</v>
      </c>
      <c r="G52" s="178">
        <f t="shared" ca="1" si="9"/>
        <v>26.319999999999997</v>
      </c>
      <c r="H52" s="177">
        <f t="shared" ca="1" si="10"/>
        <v>25</v>
      </c>
      <c r="I52" s="196"/>
      <c r="J52" s="9" t="str">
        <f t="shared" ca="1" si="0"/>
        <v/>
      </c>
      <c r="K52" s="9" t="str">
        <f t="shared" ca="1" si="1"/>
        <v/>
      </c>
      <c r="L52" s="9">
        <f t="shared" ca="1" si="2"/>
        <v>3</v>
      </c>
      <c r="N52" s="176">
        <f t="shared" ca="1" si="11"/>
        <v>30</v>
      </c>
      <c r="O52" s="176">
        <f t="shared" ca="1" si="14"/>
        <v>1026</v>
      </c>
      <c r="P52" s="175">
        <f t="shared" ca="1" si="3"/>
        <v>834.39144798065388</v>
      </c>
      <c r="Q52" s="11">
        <f t="shared" ca="1" si="4"/>
        <v>2.9930000000000002E-2</v>
      </c>
      <c r="R52" s="12">
        <f t="shared" ca="1" si="5"/>
        <v>24.973336038060971</v>
      </c>
      <c r="T52">
        <f t="shared" ca="1" si="15"/>
        <v>2494.8227944003306</v>
      </c>
    </row>
    <row r="53" spans="1:20">
      <c r="A53" s="198">
        <f ca="1">'SAC_IOF Ñ USAR'!A53</f>
        <v>34</v>
      </c>
      <c r="B53" s="197">
        <f t="shared" ca="1" si="12"/>
        <v>45777</v>
      </c>
      <c r="C53" s="196">
        <f t="shared" ca="1" si="6"/>
        <v>889.99100827637426</v>
      </c>
      <c r="D53" s="21">
        <f t="shared" ca="1" si="13"/>
        <v>1596.6438688478136</v>
      </c>
      <c r="E53" s="196">
        <f t="shared" ca="1" si="7"/>
        <v>172658.2556056164</v>
      </c>
      <c r="F53" s="178">
        <f t="shared" ca="1" si="8"/>
        <v>36.445131788917486</v>
      </c>
      <c r="G53" s="178">
        <f t="shared" ca="1" si="9"/>
        <v>26.319999999999997</v>
      </c>
      <c r="H53" s="177">
        <f t="shared" ca="1" si="10"/>
        <v>25</v>
      </c>
      <c r="I53" s="196"/>
      <c r="J53" s="9" t="str">
        <f t="shared" ca="1" si="0"/>
        <v/>
      </c>
      <c r="K53" s="9" t="str">
        <f t="shared" ca="1" si="1"/>
        <v/>
      </c>
      <c r="L53" s="9">
        <f t="shared" ca="1" si="2"/>
        <v>4</v>
      </c>
      <c r="N53" s="176">
        <f t="shared" ca="1" si="11"/>
        <v>31</v>
      </c>
      <c r="O53" s="176">
        <f t="shared" ca="1" si="14"/>
        <v>1057</v>
      </c>
      <c r="P53" s="175">
        <f t="shared" ca="1" si="3"/>
        <v>834.39144798065388</v>
      </c>
      <c r="Q53" s="11">
        <f t="shared" ca="1" si="4"/>
        <v>2.9930000000000002E-2</v>
      </c>
      <c r="R53" s="12">
        <f t="shared" ca="1" si="5"/>
        <v>24.973336038060971</v>
      </c>
      <c r="T53">
        <f t="shared" ca="1" si="15"/>
        <v>2486.6348771241878</v>
      </c>
    </row>
    <row r="54" spans="1:20">
      <c r="A54" s="198">
        <f ca="1">'SAC_IOF Ñ USAR'!A54</f>
        <v>35</v>
      </c>
      <c r="B54" s="197">
        <f t="shared" ca="1" si="12"/>
        <v>45807</v>
      </c>
      <c r="C54" s="196">
        <f t="shared" ca="1" si="6"/>
        <v>889.99100827637426</v>
      </c>
      <c r="D54" s="21">
        <f t="shared" ca="1" si="13"/>
        <v>1588.455951571671</v>
      </c>
      <c r="E54" s="196">
        <f t="shared" ca="1" si="7"/>
        <v>171768.26459734002</v>
      </c>
      <c r="F54" s="178">
        <f t="shared" ca="1" si="8"/>
        <v>36.258233677179447</v>
      </c>
      <c r="G54" s="178">
        <f t="shared" ca="1" si="9"/>
        <v>26.319999999999997</v>
      </c>
      <c r="H54" s="177">
        <f t="shared" ca="1" si="10"/>
        <v>25</v>
      </c>
      <c r="I54" s="196"/>
      <c r="J54" s="9" t="str">
        <f t="shared" ca="1" si="0"/>
        <v/>
      </c>
      <c r="K54" s="9" t="str">
        <f t="shared" ca="1" si="1"/>
        <v/>
      </c>
      <c r="L54" s="9">
        <f t="shared" ca="1" si="2"/>
        <v>5</v>
      </c>
      <c r="N54" s="176">
        <f t="shared" ca="1" si="11"/>
        <v>30</v>
      </c>
      <c r="O54" s="176">
        <f t="shared" ca="1" si="14"/>
        <v>1087</v>
      </c>
      <c r="P54" s="175">
        <f t="shared" ca="1" si="3"/>
        <v>834.39144798065388</v>
      </c>
      <c r="Q54" s="11">
        <f t="shared" ca="1" si="4"/>
        <v>2.9930000000000002E-2</v>
      </c>
      <c r="R54" s="12">
        <f t="shared" ca="1" si="5"/>
        <v>24.973336038060971</v>
      </c>
      <c r="T54">
        <f t="shared" ca="1" si="15"/>
        <v>2478.4469598480455</v>
      </c>
    </row>
    <row r="55" spans="1:20">
      <c r="A55" s="198">
        <f ca="1">'SAC_IOF Ñ USAR'!A55</f>
        <v>36</v>
      </c>
      <c r="B55" s="197">
        <f t="shared" ca="1" si="12"/>
        <v>45838</v>
      </c>
      <c r="C55" s="196">
        <f t="shared" ca="1" si="6"/>
        <v>889.99100827637426</v>
      </c>
      <c r="D55" s="21">
        <f t="shared" ca="1" si="13"/>
        <v>1580.2680342955282</v>
      </c>
      <c r="E55" s="196">
        <f t="shared" ca="1" si="7"/>
        <v>170878.27358906364</v>
      </c>
      <c r="F55" s="178">
        <f t="shared" ca="1" si="8"/>
        <v>36.071335565441409</v>
      </c>
      <c r="G55" s="178">
        <f t="shared" ca="1" si="9"/>
        <v>26.319999999999997</v>
      </c>
      <c r="H55" s="177">
        <f t="shared" ca="1" si="10"/>
        <v>25</v>
      </c>
      <c r="I55" s="196"/>
      <c r="J55" s="9" t="str">
        <f t="shared" ca="1" si="0"/>
        <v/>
      </c>
      <c r="K55" s="9" t="str">
        <f t="shared" ca="1" si="1"/>
        <v/>
      </c>
      <c r="L55" s="9">
        <f t="shared" ca="1" si="2"/>
        <v>6</v>
      </c>
      <c r="N55" s="176">
        <f t="shared" ca="1" si="11"/>
        <v>31</v>
      </c>
      <c r="O55" s="176">
        <f t="shared" ca="1" si="14"/>
        <v>1118</v>
      </c>
      <c r="P55" s="175">
        <f t="shared" ca="1" si="3"/>
        <v>834.39144798065388</v>
      </c>
      <c r="Q55" s="11">
        <f t="shared" ca="1" si="4"/>
        <v>2.9930000000000002E-2</v>
      </c>
      <c r="R55" s="12">
        <f t="shared" ca="1" si="5"/>
        <v>24.973336038060971</v>
      </c>
      <c r="T55">
        <f t="shared" ca="1" si="15"/>
        <v>2470.2590425719027</v>
      </c>
    </row>
    <row r="56" spans="1:20">
      <c r="A56" s="198">
        <f ca="1">'SAC_IOF Ñ USAR'!A56</f>
        <v>37</v>
      </c>
      <c r="B56" s="197">
        <f t="shared" ca="1" si="12"/>
        <v>45868</v>
      </c>
      <c r="C56" s="196">
        <f t="shared" ca="1" si="6"/>
        <v>889.99100827637426</v>
      </c>
      <c r="D56" s="21">
        <f t="shared" ca="1" si="13"/>
        <v>1572.0801170193854</v>
      </c>
      <c r="E56" s="196">
        <f t="shared" ca="1" si="7"/>
        <v>169988.28258078726</v>
      </c>
      <c r="F56" s="178">
        <f t="shared" ca="1" si="8"/>
        <v>35.884437453703363</v>
      </c>
      <c r="G56" s="178">
        <f t="shared" ca="1" si="9"/>
        <v>26.319999999999997</v>
      </c>
      <c r="H56" s="177">
        <f t="shared" ca="1" si="10"/>
        <v>25</v>
      </c>
      <c r="I56" s="196"/>
      <c r="J56" s="9" t="str">
        <f t="shared" ca="1" si="0"/>
        <v/>
      </c>
      <c r="K56" s="9" t="str">
        <f t="shared" ca="1" si="1"/>
        <v/>
      </c>
      <c r="L56" s="9">
        <f t="shared" ca="1" si="2"/>
        <v>7</v>
      </c>
      <c r="N56" s="176">
        <f t="shared" ca="1" si="11"/>
        <v>30</v>
      </c>
      <c r="O56" s="176">
        <f t="shared" ca="1" si="14"/>
        <v>1148</v>
      </c>
      <c r="P56" s="175">
        <f t="shared" ca="1" si="3"/>
        <v>834.39144798065388</v>
      </c>
      <c r="Q56" s="11">
        <f t="shared" ca="1" si="4"/>
        <v>2.9930000000000002E-2</v>
      </c>
      <c r="R56" s="12">
        <f t="shared" ca="1" si="5"/>
        <v>24.973336038060971</v>
      </c>
      <c r="T56">
        <f t="shared" ca="1" si="15"/>
        <v>2462.0711252957599</v>
      </c>
    </row>
    <row r="57" spans="1:20">
      <c r="A57" s="198">
        <f ca="1">'SAC_IOF Ñ USAR'!A57</f>
        <v>38</v>
      </c>
      <c r="B57" s="197">
        <f t="shared" ca="1" si="12"/>
        <v>45899</v>
      </c>
      <c r="C57" s="196">
        <f t="shared" ca="1" si="6"/>
        <v>889.99100827637426</v>
      </c>
      <c r="D57" s="21">
        <f t="shared" ca="1" si="13"/>
        <v>1563.8921997432428</v>
      </c>
      <c r="E57" s="196">
        <f t="shared" ca="1" si="7"/>
        <v>169098.29157251088</v>
      </c>
      <c r="F57" s="178">
        <f t="shared" ca="1" si="8"/>
        <v>35.697539341965324</v>
      </c>
      <c r="G57" s="178">
        <f t="shared" ca="1" si="9"/>
        <v>26.319999999999997</v>
      </c>
      <c r="H57" s="177">
        <f t="shared" ca="1" si="10"/>
        <v>25</v>
      </c>
      <c r="I57" s="196"/>
      <c r="J57" s="9" t="str">
        <f t="shared" ca="1" si="0"/>
        <v/>
      </c>
      <c r="K57" s="9" t="str">
        <f t="shared" ca="1" si="1"/>
        <v/>
      </c>
      <c r="L57" s="9">
        <f t="shared" ca="1" si="2"/>
        <v>8</v>
      </c>
      <c r="N57" s="176">
        <f t="shared" ca="1" si="11"/>
        <v>31</v>
      </c>
      <c r="O57" s="176">
        <f t="shared" ca="1" si="14"/>
        <v>1179</v>
      </c>
      <c r="P57" s="175">
        <f t="shared" ca="1" si="3"/>
        <v>834.39144798065388</v>
      </c>
      <c r="Q57" s="11">
        <f t="shared" ca="1" si="4"/>
        <v>2.9930000000000002E-2</v>
      </c>
      <c r="R57" s="12">
        <f t="shared" ca="1" si="5"/>
        <v>24.973336038060971</v>
      </c>
      <c r="T57">
        <f t="shared" ca="1" si="15"/>
        <v>2453.8832080196171</v>
      </c>
    </row>
    <row r="58" spans="1:20">
      <c r="A58" s="198">
        <f ca="1">'SAC_IOF Ñ USAR'!A58</f>
        <v>39</v>
      </c>
      <c r="B58" s="197">
        <f t="shared" ca="1" si="12"/>
        <v>45930</v>
      </c>
      <c r="C58" s="196">
        <f t="shared" ca="1" si="6"/>
        <v>889.99100827637426</v>
      </c>
      <c r="D58" s="21">
        <f t="shared" ca="1" si="13"/>
        <v>1555.7042824671</v>
      </c>
      <c r="E58" s="196">
        <f t="shared" ca="1" si="7"/>
        <v>168208.30056423449</v>
      </c>
      <c r="F58" s="178">
        <f t="shared" ca="1" si="8"/>
        <v>35.510641230227286</v>
      </c>
      <c r="G58" s="178">
        <f t="shared" ca="1" si="9"/>
        <v>26.319999999999997</v>
      </c>
      <c r="H58" s="177">
        <f t="shared" ca="1" si="10"/>
        <v>25</v>
      </c>
      <c r="I58" s="196"/>
      <c r="J58" s="9" t="str">
        <f t="shared" ca="1" si="0"/>
        <v/>
      </c>
      <c r="K58" s="9" t="str">
        <f t="shared" ca="1" si="1"/>
        <v/>
      </c>
      <c r="L58" s="9">
        <f t="shared" ca="1" si="2"/>
        <v>9</v>
      </c>
      <c r="N58" s="176">
        <f t="shared" ca="1" si="11"/>
        <v>31</v>
      </c>
      <c r="O58" s="176">
        <f t="shared" ca="1" si="14"/>
        <v>1210</v>
      </c>
      <c r="P58" s="175">
        <f t="shared" ca="1" si="3"/>
        <v>834.39144798065388</v>
      </c>
      <c r="Q58" s="11">
        <f t="shared" ca="1" si="4"/>
        <v>2.9930000000000002E-2</v>
      </c>
      <c r="R58" s="12">
        <f t="shared" ca="1" si="5"/>
        <v>24.973336038060971</v>
      </c>
      <c r="T58">
        <f t="shared" ca="1" si="15"/>
        <v>2445.6952907434743</v>
      </c>
    </row>
    <row r="59" spans="1:20">
      <c r="A59" s="198">
        <f ca="1">'SAC_IOF Ñ USAR'!A59</f>
        <v>40</v>
      </c>
      <c r="B59" s="197">
        <f t="shared" ca="1" si="12"/>
        <v>45960</v>
      </c>
      <c r="C59" s="196">
        <f t="shared" ca="1" si="6"/>
        <v>889.99100827637426</v>
      </c>
      <c r="D59" s="21">
        <f t="shared" ca="1" si="13"/>
        <v>1547.5163651909572</v>
      </c>
      <c r="E59" s="196">
        <f t="shared" ca="1" si="7"/>
        <v>167318.30955595811</v>
      </c>
      <c r="F59" s="178">
        <f t="shared" ca="1" si="8"/>
        <v>35.323743118489247</v>
      </c>
      <c r="G59" s="178">
        <f t="shared" ca="1" si="9"/>
        <v>26.319999999999997</v>
      </c>
      <c r="H59" s="177">
        <f t="shared" ca="1" si="10"/>
        <v>25</v>
      </c>
      <c r="I59" s="196"/>
      <c r="J59" s="9" t="str">
        <f t="shared" ca="1" si="0"/>
        <v/>
      </c>
      <c r="K59" s="9" t="str">
        <f t="shared" ca="1" si="1"/>
        <v/>
      </c>
      <c r="L59" s="9">
        <f t="shared" ca="1" si="2"/>
        <v>10</v>
      </c>
      <c r="N59" s="176">
        <f t="shared" ca="1" si="11"/>
        <v>30</v>
      </c>
      <c r="O59" s="176">
        <f t="shared" ca="1" si="14"/>
        <v>1240</v>
      </c>
      <c r="P59" s="175">
        <f t="shared" ca="1" si="3"/>
        <v>834.39144798065388</v>
      </c>
      <c r="Q59" s="11">
        <f t="shared" ca="1" si="4"/>
        <v>2.9930000000000002E-2</v>
      </c>
      <c r="R59" s="12">
        <f t="shared" ca="1" si="5"/>
        <v>24.973336038060971</v>
      </c>
      <c r="T59">
        <f t="shared" ca="1" si="15"/>
        <v>2437.5073734673315</v>
      </c>
    </row>
    <row r="60" spans="1:20">
      <c r="A60" s="198">
        <f ca="1">'SAC_IOF Ñ USAR'!A60</f>
        <v>41</v>
      </c>
      <c r="B60" s="197">
        <f t="shared" ca="1" si="12"/>
        <v>45991</v>
      </c>
      <c r="C60" s="196">
        <f t="shared" ca="1" si="6"/>
        <v>889.99100827637426</v>
      </c>
      <c r="D60" s="21">
        <f t="shared" ca="1" si="13"/>
        <v>1539.3284479148147</v>
      </c>
      <c r="E60" s="196">
        <f t="shared" ca="1" si="7"/>
        <v>166428.31854768173</v>
      </c>
      <c r="F60" s="178">
        <f t="shared" ca="1" si="8"/>
        <v>35.136845006751209</v>
      </c>
      <c r="G60" s="178">
        <f t="shared" ca="1" si="9"/>
        <v>26.319999999999997</v>
      </c>
      <c r="H60" s="177">
        <f t="shared" ca="1" si="10"/>
        <v>25</v>
      </c>
      <c r="I60" s="196"/>
      <c r="J60" s="9" t="str">
        <f t="shared" ca="1" si="0"/>
        <v/>
      </c>
      <c r="K60" s="9" t="str">
        <f t="shared" ca="1" si="1"/>
        <v/>
      </c>
      <c r="L60" s="9">
        <f t="shared" ca="1" si="2"/>
        <v>11</v>
      </c>
      <c r="N60" s="176">
        <f t="shared" ca="1" si="11"/>
        <v>31</v>
      </c>
      <c r="O60" s="176">
        <f t="shared" ca="1" si="14"/>
        <v>1271</v>
      </c>
      <c r="P60" s="175">
        <f t="shared" ca="1" si="3"/>
        <v>834.39144798065388</v>
      </c>
      <c r="Q60" s="11">
        <f t="shared" ca="1" si="4"/>
        <v>2.9930000000000002E-2</v>
      </c>
      <c r="R60" s="12">
        <f t="shared" ca="1" si="5"/>
        <v>24.973336038060971</v>
      </c>
      <c r="T60">
        <f t="shared" ca="1" si="15"/>
        <v>2429.3194561911887</v>
      </c>
    </row>
    <row r="61" spans="1:20">
      <c r="A61" s="198">
        <f ca="1">'SAC_IOF Ñ USAR'!A61</f>
        <v>42</v>
      </c>
      <c r="B61" s="197">
        <f t="shared" ca="1" si="12"/>
        <v>46021</v>
      </c>
      <c r="C61" s="196">
        <f t="shared" ca="1" si="6"/>
        <v>889.99100827637426</v>
      </c>
      <c r="D61" s="21">
        <f t="shared" ca="1" si="13"/>
        <v>1531.1405306386719</v>
      </c>
      <c r="E61" s="196">
        <f t="shared" ca="1" si="7"/>
        <v>165538.32753940535</v>
      </c>
      <c r="F61" s="178">
        <f t="shared" ca="1" si="8"/>
        <v>34.949946895013163</v>
      </c>
      <c r="G61" s="178">
        <f t="shared" ca="1" si="9"/>
        <v>26.319999999999997</v>
      </c>
      <c r="H61" s="177">
        <f t="shared" ca="1" si="10"/>
        <v>25</v>
      </c>
      <c r="I61" s="196"/>
      <c r="J61" s="9" t="str">
        <f t="shared" ca="1" si="0"/>
        <v/>
      </c>
      <c r="K61" s="9" t="str">
        <f t="shared" ca="1" si="1"/>
        <v/>
      </c>
      <c r="L61" s="9">
        <f t="shared" ca="1" si="2"/>
        <v>12</v>
      </c>
      <c r="N61" s="176">
        <f t="shared" ca="1" si="11"/>
        <v>30</v>
      </c>
      <c r="O61" s="176">
        <f t="shared" ca="1" si="14"/>
        <v>1301</v>
      </c>
      <c r="P61" s="175">
        <f t="shared" ca="1" si="3"/>
        <v>834.39144798065388</v>
      </c>
      <c r="Q61" s="11">
        <f t="shared" ca="1" si="4"/>
        <v>2.9930000000000002E-2</v>
      </c>
      <c r="R61" s="12">
        <f t="shared" ca="1" si="5"/>
        <v>24.973336038060971</v>
      </c>
      <c r="T61">
        <f t="shared" ca="1" si="15"/>
        <v>2421.1315389150459</v>
      </c>
    </row>
    <row r="62" spans="1:20">
      <c r="A62" s="198">
        <f ca="1">'SAC_IOF Ñ USAR'!A62</f>
        <v>43</v>
      </c>
      <c r="B62" s="197">
        <f t="shared" ca="1" si="12"/>
        <v>46052</v>
      </c>
      <c r="C62" s="196">
        <f t="shared" ca="1" si="6"/>
        <v>889.99100827637426</v>
      </c>
      <c r="D62" s="21">
        <f t="shared" ca="1" si="13"/>
        <v>1522.9526133625293</v>
      </c>
      <c r="E62" s="196">
        <f t="shared" ca="1" si="7"/>
        <v>164648.33653112897</v>
      </c>
      <c r="F62" s="178">
        <f t="shared" ca="1" si="8"/>
        <v>34.763048783275124</v>
      </c>
      <c r="G62" s="178">
        <f t="shared" ca="1" si="9"/>
        <v>26.319999999999997</v>
      </c>
      <c r="H62" s="177">
        <f t="shared" ca="1" si="10"/>
        <v>25</v>
      </c>
      <c r="I62" s="196"/>
      <c r="J62" s="9" t="str">
        <f t="shared" ca="1" si="0"/>
        <v/>
      </c>
      <c r="K62" s="9" t="str">
        <f t="shared" ca="1" si="1"/>
        <v/>
      </c>
      <c r="L62" s="9">
        <f t="shared" ca="1" si="2"/>
        <v>1</v>
      </c>
      <c r="N62" s="176">
        <f t="shared" ca="1" si="11"/>
        <v>31</v>
      </c>
      <c r="O62" s="176">
        <f t="shared" ca="1" si="14"/>
        <v>1332</v>
      </c>
      <c r="P62" s="175">
        <f t="shared" ca="1" si="3"/>
        <v>834.39144798065388</v>
      </c>
      <c r="Q62" s="11">
        <f t="shared" ca="1" si="4"/>
        <v>2.9930000000000002E-2</v>
      </c>
      <c r="R62" s="12">
        <f t="shared" ca="1" si="5"/>
        <v>24.973336038060971</v>
      </c>
      <c r="T62">
        <f t="shared" ca="1" si="15"/>
        <v>2412.9436216389036</v>
      </c>
    </row>
    <row r="63" spans="1:20">
      <c r="A63" s="198">
        <f ca="1">'SAC_IOF Ñ USAR'!A63</f>
        <v>44</v>
      </c>
      <c r="B63" s="197">
        <f t="shared" ca="1" si="12"/>
        <v>46081</v>
      </c>
      <c r="C63" s="196">
        <f t="shared" ca="1" si="6"/>
        <v>889.99100827637426</v>
      </c>
      <c r="D63" s="21">
        <f t="shared" ca="1" si="13"/>
        <v>1514.7646960863865</v>
      </c>
      <c r="E63" s="196">
        <f t="shared" ca="1" si="7"/>
        <v>163758.34552285259</v>
      </c>
      <c r="F63" s="178">
        <f t="shared" ca="1" si="8"/>
        <v>34.576150671537086</v>
      </c>
      <c r="G63" s="178">
        <f t="shared" ca="1" si="9"/>
        <v>26.319999999999997</v>
      </c>
      <c r="H63" s="177">
        <f t="shared" ca="1" si="10"/>
        <v>25</v>
      </c>
      <c r="I63" s="196"/>
      <c r="J63" s="9" t="str">
        <f t="shared" ca="1" si="0"/>
        <v/>
      </c>
      <c r="K63" s="9" t="str">
        <f t="shared" ca="1" si="1"/>
        <v/>
      </c>
      <c r="L63" s="9">
        <f t="shared" ca="1" si="2"/>
        <v>2</v>
      </c>
      <c r="N63" s="176">
        <f t="shared" ca="1" si="11"/>
        <v>29</v>
      </c>
      <c r="O63" s="176">
        <f t="shared" ca="1" si="14"/>
        <v>1361</v>
      </c>
      <c r="P63" s="175">
        <f t="shared" ca="1" si="3"/>
        <v>834.39144798065388</v>
      </c>
      <c r="Q63" s="11">
        <f t="shared" ca="1" si="4"/>
        <v>2.9930000000000002E-2</v>
      </c>
      <c r="R63" s="12">
        <f t="shared" ca="1" si="5"/>
        <v>24.973336038060971</v>
      </c>
      <c r="T63">
        <f t="shared" ca="1" si="15"/>
        <v>2404.7557043627608</v>
      </c>
    </row>
    <row r="64" spans="1:20">
      <c r="A64" s="198">
        <f ca="1">'SAC_IOF Ñ USAR'!A64</f>
        <v>45</v>
      </c>
      <c r="B64" s="197">
        <f t="shared" ca="1" si="12"/>
        <v>46111</v>
      </c>
      <c r="C64" s="196">
        <f t="shared" ca="1" si="6"/>
        <v>889.99100827637426</v>
      </c>
      <c r="D64" s="21">
        <f t="shared" ca="1" si="13"/>
        <v>1506.5767788102437</v>
      </c>
      <c r="E64" s="196">
        <f t="shared" ca="1" si="7"/>
        <v>162868.3545145762</v>
      </c>
      <c r="F64" s="178">
        <f t="shared" ca="1" si="8"/>
        <v>34.389252559799047</v>
      </c>
      <c r="G64" s="178">
        <f t="shared" ca="1" si="9"/>
        <v>26.319999999999997</v>
      </c>
      <c r="H64" s="177">
        <f t="shared" ca="1" si="10"/>
        <v>25</v>
      </c>
      <c r="I64" s="196"/>
      <c r="J64" s="9" t="str">
        <f t="shared" ca="1" si="0"/>
        <v/>
      </c>
      <c r="K64" s="9" t="str">
        <f t="shared" ca="1" si="1"/>
        <v/>
      </c>
      <c r="L64" s="9">
        <f t="shared" ca="1" si="2"/>
        <v>3</v>
      </c>
      <c r="N64" s="176">
        <f t="shared" ca="1" si="11"/>
        <v>30</v>
      </c>
      <c r="O64" s="176">
        <f t="shared" ca="1" si="14"/>
        <v>1391</v>
      </c>
      <c r="P64" s="175">
        <f t="shared" ca="1" si="3"/>
        <v>834.39144798065388</v>
      </c>
      <c r="Q64" s="11">
        <f t="shared" ca="1" si="4"/>
        <v>2.9930000000000002E-2</v>
      </c>
      <c r="R64" s="12">
        <f t="shared" ca="1" si="5"/>
        <v>24.973336038060971</v>
      </c>
      <c r="T64">
        <f t="shared" ca="1" si="15"/>
        <v>2396.567787086618</v>
      </c>
    </row>
    <row r="65" spans="1:20">
      <c r="A65" s="198">
        <f ca="1">'SAC_IOF Ñ USAR'!A65</f>
        <v>46</v>
      </c>
      <c r="B65" s="197">
        <f t="shared" ca="1" si="12"/>
        <v>46142</v>
      </c>
      <c r="C65" s="196">
        <f t="shared" ca="1" si="6"/>
        <v>889.99100827637426</v>
      </c>
      <c r="D65" s="21">
        <f t="shared" ca="1" si="13"/>
        <v>1498.3888615341011</v>
      </c>
      <c r="E65" s="196">
        <f t="shared" ca="1" si="7"/>
        <v>161978.36350629982</v>
      </c>
      <c r="F65" s="178">
        <f t="shared" ca="1" si="8"/>
        <v>34.202354448061001</v>
      </c>
      <c r="G65" s="178">
        <f t="shared" ca="1" si="9"/>
        <v>26.319999999999997</v>
      </c>
      <c r="H65" s="177">
        <f t="shared" ca="1" si="10"/>
        <v>25</v>
      </c>
      <c r="I65" s="196"/>
      <c r="J65" s="9" t="str">
        <f t="shared" ca="1" si="0"/>
        <v/>
      </c>
      <c r="K65" s="9" t="str">
        <f t="shared" ca="1" si="1"/>
        <v/>
      </c>
      <c r="L65" s="9">
        <f t="shared" ca="1" si="2"/>
        <v>4</v>
      </c>
      <c r="N65" s="176">
        <f t="shared" ca="1" si="11"/>
        <v>31</v>
      </c>
      <c r="O65" s="176">
        <f t="shared" ca="1" si="14"/>
        <v>1422</v>
      </c>
      <c r="P65" s="175">
        <f t="shared" ca="1" si="3"/>
        <v>834.39144798065388</v>
      </c>
      <c r="Q65" s="11">
        <f t="shared" ca="1" si="4"/>
        <v>2.9930000000000002E-2</v>
      </c>
      <c r="R65" s="12">
        <f t="shared" ca="1" si="5"/>
        <v>24.973336038060971</v>
      </c>
      <c r="T65">
        <f t="shared" ca="1" si="15"/>
        <v>2388.3798698104756</v>
      </c>
    </row>
    <row r="66" spans="1:20">
      <c r="A66" s="198">
        <f ca="1">'SAC_IOF Ñ USAR'!A66</f>
        <v>47</v>
      </c>
      <c r="B66" s="197">
        <f t="shared" ca="1" si="12"/>
        <v>46172</v>
      </c>
      <c r="C66" s="196">
        <f t="shared" ca="1" si="6"/>
        <v>889.99100827637426</v>
      </c>
      <c r="D66" s="21">
        <f t="shared" ca="1" si="13"/>
        <v>1490.2009442579583</v>
      </c>
      <c r="E66" s="196">
        <f t="shared" ca="1" si="7"/>
        <v>161088.37249802344</v>
      </c>
      <c r="F66" s="178">
        <f t="shared" ca="1" si="8"/>
        <v>34.015456336322963</v>
      </c>
      <c r="G66" s="178">
        <f t="shared" ca="1" si="9"/>
        <v>26.319999999999997</v>
      </c>
      <c r="H66" s="177">
        <f t="shared" ca="1" si="10"/>
        <v>25</v>
      </c>
      <c r="I66" s="196"/>
      <c r="J66" s="9" t="str">
        <f t="shared" ca="1" si="0"/>
        <v/>
      </c>
      <c r="K66" s="9" t="str">
        <f t="shared" ca="1" si="1"/>
        <v/>
      </c>
      <c r="L66" s="9">
        <f t="shared" ca="1" si="2"/>
        <v>5</v>
      </c>
      <c r="N66" s="176">
        <f t="shared" ca="1" si="11"/>
        <v>30</v>
      </c>
      <c r="O66" s="176">
        <f t="shared" ca="1" si="14"/>
        <v>1452</v>
      </c>
      <c r="P66" s="175">
        <f t="shared" ca="1" si="3"/>
        <v>834.39144798065388</v>
      </c>
      <c r="Q66" s="11">
        <f t="shared" ca="1" si="4"/>
        <v>2.9930000000000002E-2</v>
      </c>
      <c r="R66" s="12">
        <f t="shared" ca="1" si="5"/>
        <v>24.973336038060971</v>
      </c>
      <c r="T66">
        <f t="shared" ca="1" si="15"/>
        <v>2380.1919525343328</v>
      </c>
    </row>
    <row r="67" spans="1:20">
      <c r="A67" s="198">
        <f ca="1">'SAC_IOF Ñ USAR'!A67</f>
        <v>48</v>
      </c>
      <c r="B67" s="197">
        <f t="shared" ca="1" si="12"/>
        <v>46203</v>
      </c>
      <c r="C67" s="196">
        <f t="shared" ca="1" si="6"/>
        <v>889.99100827637426</v>
      </c>
      <c r="D67" s="21">
        <f t="shared" ca="1" si="13"/>
        <v>1482.0130269818155</v>
      </c>
      <c r="E67" s="196">
        <f t="shared" ca="1" si="7"/>
        <v>160198.38148974706</v>
      </c>
      <c r="F67" s="178">
        <f t="shared" ca="1" si="8"/>
        <v>33.828558224584924</v>
      </c>
      <c r="G67" s="178">
        <f t="shared" ca="1" si="9"/>
        <v>26.319999999999997</v>
      </c>
      <c r="H67" s="177">
        <f t="shared" ca="1" si="10"/>
        <v>25</v>
      </c>
      <c r="I67" s="196"/>
      <c r="J67" s="9" t="str">
        <f t="shared" ca="1" si="0"/>
        <v/>
      </c>
      <c r="K67" s="9" t="str">
        <f t="shared" ca="1" si="1"/>
        <v/>
      </c>
      <c r="L67" s="9">
        <f t="shared" ca="1" si="2"/>
        <v>6</v>
      </c>
      <c r="N67" s="176">
        <f t="shared" ca="1" si="11"/>
        <v>31</v>
      </c>
      <c r="O67" s="176">
        <f t="shared" ca="1" si="14"/>
        <v>1483</v>
      </c>
      <c r="P67" s="175">
        <f t="shared" ca="1" si="3"/>
        <v>834.39144798065388</v>
      </c>
      <c r="Q67" s="11">
        <f t="shared" ca="1" si="4"/>
        <v>2.9930000000000002E-2</v>
      </c>
      <c r="R67" s="12">
        <f t="shared" ca="1" si="5"/>
        <v>24.973336038060971</v>
      </c>
      <c r="T67">
        <f t="shared" ca="1" si="15"/>
        <v>2372.00403525819</v>
      </c>
    </row>
    <row r="68" spans="1:20">
      <c r="A68" s="198">
        <f ca="1">'SAC_IOF Ñ USAR'!A68</f>
        <v>49</v>
      </c>
      <c r="B68" s="197">
        <f t="shared" ca="1" si="12"/>
        <v>46233</v>
      </c>
      <c r="C68" s="196">
        <f t="shared" ca="1" si="6"/>
        <v>889.99100827637426</v>
      </c>
      <c r="D68" s="21">
        <f t="shared" ca="1" si="13"/>
        <v>1473.825109705673</v>
      </c>
      <c r="E68" s="196">
        <f t="shared" ca="1" si="7"/>
        <v>159308.39048147068</v>
      </c>
      <c r="F68" s="178">
        <f t="shared" ca="1" si="8"/>
        <v>33.641660112846886</v>
      </c>
      <c r="G68" s="178">
        <f t="shared" ca="1" si="9"/>
        <v>26.319999999999997</v>
      </c>
      <c r="H68" s="177">
        <f t="shared" ca="1" si="10"/>
        <v>25</v>
      </c>
      <c r="I68" s="196"/>
      <c r="J68" s="9" t="str">
        <f t="shared" ca="1" si="0"/>
        <v/>
      </c>
      <c r="K68" s="9" t="str">
        <f t="shared" ca="1" si="1"/>
        <v/>
      </c>
      <c r="L68" s="9">
        <f t="shared" ca="1" si="2"/>
        <v>7</v>
      </c>
      <c r="N68" s="176">
        <f t="shared" ca="1" si="11"/>
        <v>30</v>
      </c>
      <c r="O68" s="176">
        <f t="shared" ca="1" si="14"/>
        <v>1513</v>
      </c>
      <c r="P68" s="175">
        <f t="shared" ca="1" si="3"/>
        <v>834.39144798065388</v>
      </c>
      <c r="Q68" s="11">
        <f t="shared" ca="1" si="4"/>
        <v>2.9930000000000002E-2</v>
      </c>
      <c r="R68" s="12">
        <f t="shared" ca="1" si="5"/>
        <v>24.973336038060971</v>
      </c>
      <c r="T68">
        <f t="shared" ca="1" si="15"/>
        <v>2363.8161179820472</v>
      </c>
    </row>
    <row r="69" spans="1:20">
      <c r="A69" s="198">
        <f ca="1">'SAC_IOF Ñ USAR'!A69</f>
        <v>50</v>
      </c>
      <c r="B69" s="197">
        <f t="shared" ca="1" si="12"/>
        <v>46264</v>
      </c>
      <c r="C69" s="196">
        <f t="shared" ca="1" si="6"/>
        <v>889.99100827637426</v>
      </c>
      <c r="D69" s="21">
        <f t="shared" ca="1" si="13"/>
        <v>1465.6371924295302</v>
      </c>
      <c r="E69" s="196">
        <f t="shared" ca="1" si="7"/>
        <v>158418.39947319429</v>
      </c>
      <c r="F69" s="178">
        <f t="shared" ca="1" si="8"/>
        <v>33.454762001108847</v>
      </c>
      <c r="G69" s="178">
        <f t="shared" ca="1" si="9"/>
        <v>26.319999999999997</v>
      </c>
      <c r="H69" s="177">
        <f t="shared" ca="1" si="10"/>
        <v>25</v>
      </c>
      <c r="I69" s="196"/>
      <c r="J69" s="9" t="str">
        <f t="shared" ca="1" si="0"/>
        <v/>
      </c>
      <c r="K69" s="9" t="str">
        <f t="shared" ca="1" si="1"/>
        <v/>
      </c>
      <c r="L69" s="9">
        <f t="shared" ca="1" si="2"/>
        <v>8</v>
      </c>
      <c r="N69" s="176">
        <f t="shared" ca="1" si="11"/>
        <v>31</v>
      </c>
      <c r="O69" s="176">
        <f t="shared" ca="1" si="14"/>
        <v>1544</v>
      </c>
      <c r="P69" s="175">
        <f t="shared" ca="1" si="3"/>
        <v>834.39144798065388</v>
      </c>
      <c r="Q69" s="11">
        <f t="shared" ca="1" si="4"/>
        <v>2.9930000000000002E-2</v>
      </c>
      <c r="R69" s="12">
        <f t="shared" ca="1" si="5"/>
        <v>24.973336038060971</v>
      </c>
      <c r="T69">
        <f t="shared" ca="1" si="15"/>
        <v>2355.6282007059044</v>
      </c>
    </row>
    <row r="70" spans="1:20">
      <c r="A70" s="198">
        <f ca="1">'SAC_IOF Ñ USAR'!A70</f>
        <v>51</v>
      </c>
      <c r="B70" s="197">
        <f t="shared" ca="1" si="12"/>
        <v>46295</v>
      </c>
      <c r="C70" s="196">
        <f t="shared" ca="1" si="6"/>
        <v>889.99100827637426</v>
      </c>
      <c r="D70" s="21">
        <f t="shared" ca="1" si="13"/>
        <v>1457.4492751533876</v>
      </c>
      <c r="E70" s="196">
        <f t="shared" ca="1" si="7"/>
        <v>157528.40846491791</v>
      </c>
      <c r="F70" s="178">
        <f t="shared" ca="1" si="8"/>
        <v>33.267863889370801</v>
      </c>
      <c r="G70" s="178">
        <f t="shared" ca="1" si="9"/>
        <v>26.319999999999997</v>
      </c>
      <c r="H70" s="177">
        <f t="shared" ca="1" si="10"/>
        <v>25</v>
      </c>
      <c r="I70" s="196"/>
      <c r="J70" s="9" t="str">
        <f t="shared" ca="1" si="0"/>
        <v/>
      </c>
      <c r="K70" s="9" t="str">
        <f t="shared" ca="1" si="1"/>
        <v/>
      </c>
      <c r="L70" s="9">
        <f t="shared" ca="1" si="2"/>
        <v>9</v>
      </c>
      <c r="N70" s="176">
        <f t="shared" ca="1" si="11"/>
        <v>31</v>
      </c>
      <c r="O70" s="176">
        <f t="shared" ca="1" si="14"/>
        <v>1575</v>
      </c>
      <c r="P70" s="175">
        <f t="shared" ca="1" si="3"/>
        <v>834.39144798065388</v>
      </c>
      <c r="Q70" s="11">
        <f t="shared" ca="1" si="4"/>
        <v>2.9930000000000002E-2</v>
      </c>
      <c r="R70" s="12">
        <f t="shared" ca="1" si="5"/>
        <v>24.973336038060971</v>
      </c>
      <c r="T70">
        <f t="shared" ca="1" si="15"/>
        <v>2347.4402834297616</v>
      </c>
    </row>
    <row r="71" spans="1:20">
      <c r="A71" s="198">
        <f ca="1">'SAC_IOF Ñ USAR'!A71</f>
        <v>52</v>
      </c>
      <c r="B71" s="197">
        <f t="shared" ca="1" si="12"/>
        <v>46325</v>
      </c>
      <c r="C71" s="196">
        <f t="shared" ca="1" si="6"/>
        <v>889.99100827637426</v>
      </c>
      <c r="D71" s="21">
        <f t="shared" ca="1" si="13"/>
        <v>1449.2613578772448</v>
      </c>
      <c r="E71" s="196">
        <f t="shared" ca="1" si="7"/>
        <v>156638.41745664153</v>
      </c>
      <c r="F71" s="178">
        <f t="shared" ca="1" si="8"/>
        <v>33.080965777632763</v>
      </c>
      <c r="G71" s="178">
        <f t="shared" ca="1" si="9"/>
        <v>26.319999999999997</v>
      </c>
      <c r="H71" s="177">
        <f t="shared" ca="1" si="10"/>
        <v>25</v>
      </c>
      <c r="I71" s="196"/>
      <c r="J71" s="9" t="str">
        <f t="shared" ca="1" si="0"/>
        <v/>
      </c>
      <c r="K71" s="9" t="str">
        <f t="shared" ca="1" si="1"/>
        <v/>
      </c>
      <c r="L71" s="9">
        <f t="shared" ca="1" si="2"/>
        <v>10</v>
      </c>
      <c r="N71" s="176">
        <f t="shared" ca="1" si="11"/>
        <v>30</v>
      </c>
      <c r="O71" s="176">
        <f t="shared" ca="1" si="14"/>
        <v>1605</v>
      </c>
      <c r="P71" s="175">
        <f t="shared" ca="1" si="3"/>
        <v>834.39144798065388</v>
      </c>
      <c r="Q71" s="11">
        <f t="shared" ca="1" si="4"/>
        <v>2.9930000000000002E-2</v>
      </c>
      <c r="R71" s="12">
        <f t="shared" ca="1" si="5"/>
        <v>24.973336038060971</v>
      </c>
      <c r="T71">
        <f t="shared" ca="1" si="15"/>
        <v>2339.2523661536188</v>
      </c>
    </row>
    <row r="72" spans="1:20">
      <c r="A72" s="198">
        <f ca="1">'SAC_IOF Ñ USAR'!A72</f>
        <v>53</v>
      </c>
      <c r="B72" s="197">
        <f t="shared" ca="1" si="12"/>
        <v>46356</v>
      </c>
      <c r="C72" s="196">
        <f t="shared" ca="1" si="6"/>
        <v>889.99100827637426</v>
      </c>
      <c r="D72" s="21">
        <f t="shared" ca="1" si="13"/>
        <v>1441.073440601102</v>
      </c>
      <c r="E72" s="196">
        <f t="shared" ca="1" si="7"/>
        <v>155748.42644836515</v>
      </c>
      <c r="F72" s="178">
        <f t="shared" ca="1" si="8"/>
        <v>32.894067665894724</v>
      </c>
      <c r="G72" s="178">
        <f t="shared" ca="1" si="9"/>
        <v>26.319999999999997</v>
      </c>
      <c r="H72" s="177">
        <f t="shared" ca="1" si="10"/>
        <v>25</v>
      </c>
      <c r="I72" s="196"/>
      <c r="J72" s="9" t="str">
        <f t="shared" ca="1" si="0"/>
        <v/>
      </c>
      <c r="K72" s="9" t="str">
        <f t="shared" ca="1" si="1"/>
        <v/>
      </c>
      <c r="L72" s="9">
        <f t="shared" ca="1" si="2"/>
        <v>11</v>
      </c>
      <c r="N72" s="176">
        <f t="shared" ca="1" si="11"/>
        <v>31</v>
      </c>
      <c r="O72" s="176">
        <f t="shared" ca="1" si="14"/>
        <v>1636</v>
      </c>
      <c r="P72" s="175">
        <f t="shared" ca="1" si="3"/>
        <v>834.39144798065388</v>
      </c>
      <c r="Q72" s="11">
        <f t="shared" ca="1" si="4"/>
        <v>2.9930000000000002E-2</v>
      </c>
      <c r="R72" s="12">
        <f t="shared" ca="1" si="5"/>
        <v>24.973336038060971</v>
      </c>
      <c r="T72">
        <f t="shared" ca="1" si="15"/>
        <v>2331.064448877476</v>
      </c>
    </row>
    <row r="73" spans="1:20">
      <c r="A73" s="198">
        <f ca="1">'SAC_IOF Ñ USAR'!A73</f>
        <v>54</v>
      </c>
      <c r="B73" s="197">
        <f t="shared" ca="1" si="12"/>
        <v>46386</v>
      </c>
      <c r="C73" s="196">
        <f t="shared" ca="1" si="6"/>
        <v>889.99100827637426</v>
      </c>
      <c r="D73" s="21">
        <f t="shared" ca="1" si="13"/>
        <v>1432.8855233249594</v>
      </c>
      <c r="E73" s="196">
        <f t="shared" ca="1" si="7"/>
        <v>154858.43544008877</v>
      </c>
      <c r="F73" s="178">
        <f t="shared" ca="1" si="8"/>
        <v>32.707169554156685</v>
      </c>
      <c r="G73" s="178">
        <f t="shared" ca="1" si="9"/>
        <v>26.319999999999997</v>
      </c>
      <c r="H73" s="177">
        <f t="shared" ca="1" si="10"/>
        <v>25</v>
      </c>
      <c r="I73" s="196"/>
      <c r="J73" s="9" t="str">
        <f t="shared" ca="1" si="0"/>
        <v/>
      </c>
      <c r="K73" s="9" t="str">
        <f t="shared" ca="1" si="1"/>
        <v/>
      </c>
      <c r="L73" s="9">
        <f t="shared" ca="1" si="2"/>
        <v>12</v>
      </c>
      <c r="N73" s="176">
        <f t="shared" ca="1" si="11"/>
        <v>30</v>
      </c>
      <c r="O73" s="176">
        <f t="shared" ca="1" si="14"/>
        <v>1666</v>
      </c>
      <c r="P73" s="175">
        <f t="shared" ca="1" si="3"/>
        <v>834.39144798065388</v>
      </c>
      <c r="Q73" s="11">
        <f t="shared" ca="1" si="4"/>
        <v>2.9930000000000002E-2</v>
      </c>
      <c r="R73" s="12">
        <f t="shared" ca="1" si="5"/>
        <v>24.973336038060971</v>
      </c>
      <c r="T73">
        <f t="shared" ca="1" si="15"/>
        <v>2322.8765316013337</v>
      </c>
    </row>
    <row r="74" spans="1:20">
      <c r="A74" s="198">
        <f ca="1">'SAC_IOF Ñ USAR'!A74</f>
        <v>55</v>
      </c>
      <c r="B74" s="197">
        <f t="shared" ca="1" si="12"/>
        <v>46417</v>
      </c>
      <c r="C74" s="196">
        <f t="shared" ca="1" si="6"/>
        <v>889.99100827637426</v>
      </c>
      <c r="D74" s="21">
        <f t="shared" ca="1" si="13"/>
        <v>1424.6976060488166</v>
      </c>
      <c r="E74" s="196">
        <f t="shared" ca="1" si="7"/>
        <v>153968.44443181239</v>
      </c>
      <c r="F74" s="178">
        <f t="shared" ca="1" si="8"/>
        <v>32.52027144241864</v>
      </c>
      <c r="G74" s="178">
        <f t="shared" ca="1" si="9"/>
        <v>26.319999999999997</v>
      </c>
      <c r="H74" s="177">
        <f t="shared" ca="1" si="10"/>
        <v>25</v>
      </c>
      <c r="I74" s="196"/>
      <c r="J74" s="9" t="str">
        <f t="shared" ca="1" si="0"/>
        <v/>
      </c>
      <c r="K74" s="9" t="str">
        <f t="shared" ca="1" si="1"/>
        <v/>
      </c>
      <c r="L74" s="9">
        <f t="shared" ca="1" si="2"/>
        <v>1</v>
      </c>
      <c r="N74" s="176">
        <f t="shared" ca="1" si="11"/>
        <v>31</v>
      </c>
      <c r="O74" s="176">
        <f t="shared" ca="1" si="14"/>
        <v>1697</v>
      </c>
      <c r="P74" s="175">
        <f t="shared" ca="1" si="3"/>
        <v>834.39144798065388</v>
      </c>
      <c r="Q74" s="11">
        <f t="shared" ca="1" si="4"/>
        <v>2.9930000000000002E-2</v>
      </c>
      <c r="R74" s="12">
        <f t="shared" ca="1" si="5"/>
        <v>24.973336038060971</v>
      </c>
      <c r="T74">
        <f t="shared" ca="1" si="15"/>
        <v>2314.6886143251909</v>
      </c>
    </row>
    <row r="75" spans="1:20">
      <c r="A75" s="198">
        <f ca="1">'SAC_IOF Ñ USAR'!A75</f>
        <v>56</v>
      </c>
      <c r="B75" s="197">
        <f t="shared" ca="1" si="12"/>
        <v>46446</v>
      </c>
      <c r="C75" s="196">
        <f t="shared" ca="1" si="6"/>
        <v>889.99100827637426</v>
      </c>
      <c r="D75" s="21">
        <f t="shared" ca="1" si="13"/>
        <v>1416.5096887726738</v>
      </c>
      <c r="E75" s="196">
        <f t="shared" ca="1" si="7"/>
        <v>153078.453423536</v>
      </c>
      <c r="F75" s="178">
        <f t="shared" ca="1" si="8"/>
        <v>32.333373330680601</v>
      </c>
      <c r="G75" s="178">
        <f t="shared" ca="1" si="9"/>
        <v>26.319999999999997</v>
      </c>
      <c r="H75" s="177">
        <f t="shared" ca="1" si="10"/>
        <v>25</v>
      </c>
      <c r="I75" s="196"/>
      <c r="J75" s="9" t="str">
        <f t="shared" ca="1" si="0"/>
        <v/>
      </c>
      <c r="K75" s="9" t="str">
        <f t="shared" ca="1" si="1"/>
        <v/>
      </c>
      <c r="L75" s="9">
        <f t="shared" ca="1" si="2"/>
        <v>2</v>
      </c>
      <c r="N75" s="176">
        <f t="shared" ca="1" si="11"/>
        <v>29</v>
      </c>
      <c r="O75" s="176">
        <f t="shared" ca="1" si="14"/>
        <v>1726</v>
      </c>
      <c r="P75" s="175">
        <f t="shared" ca="1" si="3"/>
        <v>834.39144798065388</v>
      </c>
      <c r="Q75" s="11">
        <f t="shared" ca="1" si="4"/>
        <v>2.9930000000000002E-2</v>
      </c>
      <c r="R75" s="12">
        <f t="shared" ca="1" si="5"/>
        <v>24.973336038060971</v>
      </c>
      <c r="T75">
        <f t="shared" ca="1" si="15"/>
        <v>2306.5006970490481</v>
      </c>
    </row>
    <row r="76" spans="1:20">
      <c r="A76" s="198">
        <f ca="1">'SAC_IOF Ñ USAR'!A76</f>
        <v>57</v>
      </c>
      <c r="B76" s="197">
        <f t="shared" ca="1" si="12"/>
        <v>46476</v>
      </c>
      <c r="C76" s="196">
        <f t="shared" ca="1" si="6"/>
        <v>889.99100827637426</v>
      </c>
      <c r="D76" s="21">
        <f t="shared" ca="1" si="13"/>
        <v>1408.3217714965313</v>
      </c>
      <c r="E76" s="196">
        <f t="shared" ca="1" si="7"/>
        <v>152188.46241525962</v>
      </c>
      <c r="F76" s="178">
        <f t="shared" ca="1" si="8"/>
        <v>32.146475218942562</v>
      </c>
      <c r="G76" s="178">
        <f t="shared" ca="1" si="9"/>
        <v>26.319999999999997</v>
      </c>
      <c r="H76" s="177">
        <f t="shared" ca="1" si="10"/>
        <v>25</v>
      </c>
      <c r="I76" s="196"/>
      <c r="J76" s="9" t="str">
        <f t="shared" ca="1" si="0"/>
        <v/>
      </c>
      <c r="K76" s="9" t="str">
        <f t="shared" ca="1" si="1"/>
        <v/>
      </c>
      <c r="L76" s="9">
        <f t="shared" ca="1" si="2"/>
        <v>3</v>
      </c>
      <c r="N76" s="176">
        <f t="shared" ca="1" si="11"/>
        <v>30</v>
      </c>
      <c r="O76" s="176">
        <f t="shared" ca="1" si="14"/>
        <v>1756</v>
      </c>
      <c r="P76" s="175">
        <f t="shared" ca="1" si="3"/>
        <v>834.39144798065388</v>
      </c>
      <c r="Q76" s="11">
        <f t="shared" ca="1" si="4"/>
        <v>2.9930000000000002E-2</v>
      </c>
      <c r="R76" s="12">
        <f t="shared" ca="1" si="5"/>
        <v>24.973336038060971</v>
      </c>
      <c r="T76">
        <f t="shared" ca="1" si="15"/>
        <v>2298.3127797729057</v>
      </c>
    </row>
    <row r="77" spans="1:20">
      <c r="A77" s="198">
        <f ca="1">'SAC_IOF Ñ USAR'!A77</f>
        <v>58</v>
      </c>
      <c r="B77" s="197">
        <f t="shared" ca="1" si="12"/>
        <v>46507</v>
      </c>
      <c r="C77" s="196">
        <f t="shared" ca="1" si="6"/>
        <v>889.99100827637426</v>
      </c>
      <c r="D77" s="21">
        <f t="shared" ca="1" si="13"/>
        <v>1400.1338542203885</v>
      </c>
      <c r="E77" s="196">
        <f t="shared" ca="1" si="7"/>
        <v>151298.47140698324</v>
      </c>
      <c r="F77" s="178">
        <f t="shared" ca="1" si="8"/>
        <v>31.959577107204524</v>
      </c>
      <c r="G77" s="178">
        <f t="shared" ca="1" si="9"/>
        <v>26.319999999999997</v>
      </c>
      <c r="H77" s="177">
        <f t="shared" ca="1" si="10"/>
        <v>25</v>
      </c>
      <c r="I77" s="196"/>
      <c r="J77" s="9" t="str">
        <f t="shared" ca="1" si="0"/>
        <v/>
      </c>
      <c r="K77" s="9" t="str">
        <f t="shared" ca="1" si="1"/>
        <v/>
      </c>
      <c r="L77" s="9">
        <f t="shared" ca="1" si="2"/>
        <v>4</v>
      </c>
      <c r="N77" s="176">
        <f t="shared" ca="1" si="11"/>
        <v>31</v>
      </c>
      <c r="O77" s="176">
        <f t="shared" ca="1" si="14"/>
        <v>1787</v>
      </c>
      <c r="P77" s="175">
        <f t="shared" ca="1" si="3"/>
        <v>834.39144798065388</v>
      </c>
      <c r="Q77" s="11">
        <f t="shared" ca="1" si="4"/>
        <v>2.9930000000000002E-2</v>
      </c>
      <c r="R77" s="12">
        <f t="shared" ca="1" si="5"/>
        <v>24.973336038060971</v>
      </c>
      <c r="T77">
        <f t="shared" ca="1" si="15"/>
        <v>2290.1248624967629</v>
      </c>
    </row>
    <row r="78" spans="1:20">
      <c r="A78" s="198">
        <f ca="1">'SAC_IOF Ñ USAR'!A78</f>
        <v>59</v>
      </c>
      <c r="B78" s="197">
        <f t="shared" ca="1" si="12"/>
        <v>46537</v>
      </c>
      <c r="C78" s="196">
        <f t="shared" ca="1" si="6"/>
        <v>889.99100827637426</v>
      </c>
      <c r="D78" s="21">
        <f t="shared" ca="1" si="13"/>
        <v>1391.9459369442459</v>
      </c>
      <c r="E78" s="196">
        <f t="shared" ca="1" si="7"/>
        <v>150408.48039870686</v>
      </c>
      <c r="F78" s="178">
        <f t="shared" ca="1" si="8"/>
        <v>31.772678995466482</v>
      </c>
      <c r="G78" s="178">
        <f t="shared" ca="1" si="9"/>
        <v>26.319999999999997</v>
      </c>
      <c r="H78" s="177">
        <f t="shared" ca="1" si="10"/>
        <v>25</v>
      </c>
      <c r="I78" s="196"/>
      <c r="J78" s="9" t="str">
        <f t="shared" ca="1" si="0"/>
        <v/>
      </c>
      <c r="K78" s="9" t="str">
        <f t="shared" ca="1" si="1"/>
        <v/>
      </c>
      <c r="L78" s="9">
        <f t="shared" ca="1" si="2"/>
        <v>5</v>
      </c>
      <c r="N78" s="176">
        <f t="shared" ca="1" si="11"/>
        <v>30</v>
      </c>
      <c r="O78" s="176">
        <f t="shared" ca="1" si="14"/>
        <v>1817</v>
      </c>
      <c r="P78" s="175">
        <f t="shared" ca="1" si="3"/>
        <v>834.39144798065388</v>
      </c>
      <c r="Q78" s="11">
        <f t="shared" ca="1" si="4"/>
        <v>2.9930000000000002E-2</v>
      </c>
      <c r="R78" s="12">
        <f t="shared" ca="1" si="5"/>
        <v>24.973336038060971</v>
      </c>
      <c r="T78">
        <f t="shared" ca="1" si="15"/>
        <v>2281.9369452206201</v>
      </c>
    </row>
    <row r="79" spans="1:20">
      <c r="A79" s="198">
        <f ca="1">'SAC_IOF Ñ USAR'!A79</f>
        <v>60</v>
      </c>
      <c r="B79" s="197">
        <f t="shared" ca="1" si="12"/>
        <v>46568</v>
      </c>
      <c r="C79" s="196">
        <f t="shared" ca="1" si="6"/>
        <v>889.99100827637426</v>
      </c>
      <c r="D79" s="21">
        <f t="shared" ca="1" si="13"/>
        <v>1383.7580196681031</v>
      </c>
      <c r="E79" s="196">
        <f t="shared" ca="1" si="7"/>
        <v>149518.48939043048</v>
      </c>
      <c r="F79" s="178">
        <f t="shared" ca="1" si="8"/>
        <v>31.585780883728443</v>
      </c>
      <c r="G79" s="178">
        <f t="shared" ca="1" si="9"/>
        <v>26.319999999999997</v>
      </c>
      <c r="H79" s="177">
        <f t="shared" ca="1" si="10"/>
        <v>25</v>
      </c>
      <c r="I79" s="196"/>
      <c r="J79" s="9" t="str">
        <f t="shared" ca="1" si="0"/>
        <v/>
      </c>
      <c r="K79" s="9" t="str">
        <f t="shared" ca="1" si="1"/>
        <v/>
      </c>
      <c r="L79" s="9">
        <f t="shared" ca="1" si="2"/>
        <v>6</v>
      </c>
      <c r="N79" s="176">
        <f t="shared" ca="1" si="11"/>
        <v>31</v>
      </c>
      <c r="O79" s="176">
        <f t="shared" ca="1" si="14"/>
        <v>1848</v>
      </c>
      <c r="P79" s="175">
        <f t="shared" ca="1" si="3"/>
        <v>834.39144798065388</v>
      </c>
      <c r="Q79" s="11">
        <f t="shared" ca="1" si="4"/>
        <v>2.9930000000000002E-2</v>
      </c>
      <c r="R79" s="12">
        <f t="shared" ca="1" si="5"/>
        <v>24.973336038060971</v>
      </c>
      <c r="T79">
        <f t="shared" ca="1" si="15"/>
        <v>2273.7490279444773</v>
      </c>
    </row>
    <row r="80" spans="1:20">
      <c r="A80" s="198">
        <f ca="1">'SAC_IOF Ñ USAR'!A80</f>
        <v>61</v>
      </c>
      <c r="B80" s="197">
        <f t="shared" ca="1" si="12"/>
        <v>46598</v>
      </c>
      <c r="C80" s="196">
        <f t="shared" ca="1" si="6"/>
        <v>889.99100827637426</v>
      </c>
      <c r="D80" s="21">
        <f t="shared" ca="1" si="13"/>
        <v>1375.5701023919603</v>
      </c>
      <c r="E80" s="196">
        <f t="shared" ca="1" si="7"/>
        <v>148628.4983821541</v>
      </c>
      <c r="F80" s="178">
        <f t="shared" ca="1" si="8"/>
        <v>31.398882771990401</v>
      </c>
      <c r="G80" s="178">
        <f t="shared" ca="1" si="9"/>
        <v>26.319999999999997</v>
      </c>
      <c r="H80" s="177">
        <f t="shared" ca="1" si="10"/>
        <v>25</v>
      </c>
      <c r="I80" s="196"/>
      <c r="J80" s="9" t="str">
        <f t="shared" ca="1" si="0"/>
        <v/>
      </c>
      <c r="K80" s="9" t="str">
        <f t="shared" ca="1" si="1"/>
        <v/>
      </c>
      <c r="L80" s="9">
        <f t="shared" ca="1" si="2"/>
        <v>7</v>
      </c>
      <c r="N80" s="176">
        <f t="shared" ca="1" si="11"/>
        <v>30</v>
      </c>
      <c r="O80" s="176">
        <f t="shared" ca="1" si="14"/>
        <v>1878</v>
      </c>
      <c r="P80" s="175">
        <f t="shared" ca="1" si="3"/>
        <v>834.39144798065388</v>
      </c>
      <c r="Q80" s="11">
        <f t="shared" ca="1" si="4"/>
        <v>2.9930000000000002E-2</v>
      </c>
      <c r="R80" s="12">
        <f t="shared" ca="1" si="5"/>
        <v>24.973336038060971</v>
      </c>
      <c r="T80">
        <f t="shared" ca="1" si="15"/>
        <v>2265.5611106683345</v>
      </c>
    </row>
    <row r="81" spans="1:20">
      <c r="A81" s="198">
        <f ca="1">'SAC_IOF Ñ USAR'!A81</f>
        <v>62</v>
      </c>
      <c r="B81" s="197">
        <f t="shared" ca="1" si="12"/>
        <v>46629</v>
      </c>
      <c r="C81" s="196">
        <f t="shared" ca="1" si="6"/>
        <v>889.99100827637426</v>
      </c>
      <c r="D81" s="21">
        <f t="shared" ca="1" si="13"/>
        <v>1367.3821851158177</v>
      </c>
      <c r="E81" s="196">
        <f t="shared" ca="1" si="7"/>
        <v>147738.50737387771</v>
      </c>
      <c r="F81" s="178">
        <f t="shared" ca="1" si="8"/>
        <v>31.211984660252362</v>
      </c>
      <c r="G81" s="178">
        <f t="shared" ca="1" si="9"/>
        <v>26.319999999999997</v>
      </c>
      <c r="H81" s="177">
        <f t="shared" ca="1" si="10"/>
        <v>25</v>
      </c>
      <c r="I81" s="196"/>
      <c r="J81" s="9" t="str">
        <f t="shared" ca="1" si="0"/>
        <v/>
      </c>
      <c r="K81" s="9" t="str">
        <f t="shared" ca="1" si="1"/>
        <v/>
      </c>
      <c r="L81" s="9">
        <f t="shared" ca="1" si="2"/>
        <v>8</v>
      </c>
      <c r="N81" s="176">
        <f t="shared" ca="1" si="11"/>
        <v>31</v>
      </c>
      <c r="O81" s="176">
        <f t="shared" ca="1" si="14"/>
        <v>1909</v>
      </c>
      <c r="P81" s="175">
        <f t="shared" ca="1" si="3"/>
        <v>834.39144798065388</v>
      </c>
      <c r="Q81" s="11">
        <f t="shared" ca="1" si="4"/>
        <v>2.9930000000000002E-2</v>
      </c>
      <c r="R81" s="12">
        <f t="shared" ca="1" si="5"/>
        <v>24.973336038060971</v>
      </c>
      <c r="T81">
        <f t="shared" ca="1" si="15"/>
        <v>2257.3731933921918</v>
      </c>
    </row>
    <row r="82" spans="1:20">
      <c r="A82" s="198">
        <f ca="1">'SAC_IOF Ñ USAR'!A82</f>
        <v>63</v>
      </c>
      <c r="B82" s="197">
        <f t="shared" ca="1" si="12"/>
        <v>46660</v>
      </c>
      <c r="C82" s="196">
        <f t="shared" ca="1" si="6"/>
        <v>889.99100827637426</v>
      </c>
      <c r="D82" s="21">
        <f t="shared" ca="1" si="13"/>
        <v>1359.1942678396749</v>
      </c>
      <c r="E82" s="196">
        <f t="shared" ca="1" si="7"/>
        <v>146848.51636560133</v>
      </c>
      <c r="F82" s="178">
        <f t="shared" ca="1" si="8"/>
        <v>31.02508654851432</v>
      </c>
      <c r="G82" s="178">
        <f t="shared" ca="1" si="9"/>
        <v>26.319999999999997</v>
      </c>
      <c r="H82" s="177">
        <f t="shared" ca="1" si="10"/>
        <v>25</v>
      </c>
      <c r="I82" s="196"/>
      <c r="J82" s="9" t="str">
        <f t="shared" ref="J82:J145" ca="1" si="16">IF(A82="I","Carencia",IF(A82&lt;=$C$12,"Carencia",""))</f>
        <v/>
      </c>
      <c r="K82" s="9" t="str">
        <f t="shared" ref="K82:K145" ca="1" si="17">IF(L82=$C$13,"Pula","")</f>
        <v/>
      </c>
      <c r="L82" s="9">
        <f t="shared" ref="L82:L145" ca="1" si="18">IFERROR(MONTH(B82),"")</f>
        <v>9</v>
      </c>
      <c r="N82" s="176">
        <f t="shared" ca="1" si="11"/>
        <v>31</v>
      </c>
      <c r="O82" s="176">
        <f t="shared" ca="1" si="14"/>
        <v>1940</v>
      </c>
      <c r="P82" s="175">
        <f t="shared" ref="P82:P145" ca="1" si="19">IF(A82&lt;&gt;"",$E$18/($C$8-$C$12-$D$13),"")</f>
        <v>834.39144798065388</v>
      </c>
      <c r="Q82" s="11">
        <f t="shared" ref="Q82:Q145" ca="1" si="20">IF(OR(A82="",J82="Carencia",K82="Pula"),"",IF(AND($F$5="PF",O82&lt;365),$I$3*O82,IF(AND($F$5="PF",O82&gt;365),$I$3*365,IF(AND($F$5="PJ",O82&lt;365),$I$4*O82,IF(AND($F$5="PJ",O82&gt;365),$I$4*365)))))</f>
        <v>2.9930000000000002E-2</v>
      </c>
      <c r="R82" s="12">
        <f t="shared" ref="R82:R145" ca="1" si="21">IFERROR(Q82*P82,"")</f>
        <v>24.973336038060971</v>
      </c>
      <c r="T82">
        <f t="shared" ca="1" si="15"/>
        <v>2249.185276116049</v>
      </c>
    </row>
    <row r="83" spans="1:20">
      <c r="A83" s="198">
        <f ca="1">'SAC_IOF Ñ USAR'!A83</f>
        <v>64</v>
      </c>
      <c r="B83" s="197">
        <f t="shared" ca="1" si="12"/>
        <v>46690</v>
      </c>
      <c r="C83" s="196">
        <f t="shared" ref="C83:C146" ca="1" si="22">IFERROR(IF(OR(J83="Carencia",K83="Pula",A83=""),0,_xlfn.XLOOKUP(IF(AND($C$12=0,$A$19="I"),"I",$C$12),$A:$A,$E:$E)/($C$8-$D$13-$C$12)),"")</f>
        <v>889.99100827637426</v>
      </c>
      <c r="D83" s="21">
        <f t="shared" ca="1" si="13"/>
        <v>1351.0063505635321</v>
      </c>
      <c r="E83" s="196">
        <f t="shared" ref="E83:E146" ca="1" si="23">IFERROR(IF(OR(J83="Carencia",K83="Pula"),E82+D83+SUM(F83:H83),(E82-C83)),"")</f>
        <v>145958.52535732495</v>
      </c>
      <c r="F83" s="178">
        <f t="shared" ref="F83:F146" ca="1" si="24">IFERROR(IF(OR(AND(DAY(B83)=DAY(B82),MONTH(B83)&lt;&gt;MONTH(B82)),MONTH(B83)&lt;&gt;MONTH(B82)),E82*$I$7,""),"")</f>
        <v>30.838188436776282</v>
      </c>
      <c r="G83" s="178">
        <f t="shared" ref="G83:G146" ca="1" si="25">IFERROR(IF(OR(AND(DAY(B83)=DAY(B82),MONTH(B83)&lt;&gt;MONTH(B82)),MONTH(B83)&lt;&gt;MONTH(B82)),$C$11*$I$8,0),"")</f>
        <v>26.319999999999997</v>
      </c>
      <c r="H83" s="177">
        <f t="shared" ref="H83:H146" ca="1" si="26">IFERROR(IF(OR(AND(DAY(B83)=DAY(B82),MONTH(B83)&lt;&gt;MONTH(B82)),MONTH(B83)&lt;&gt;MONTH(B82)),$I$10,0),"")</f>
        <v>25</v>
      </c>
      <c r="I83" s="196"/>
      <c r="J83" s="9" t="str">
        <f t="shared" ca="1" si="16"/>
        <v/>
      </c>
      <c r="K83" s="9" t="str">
        <f t="shared" ca="1" si="17"/>
        <v/>
      </c>
      <c r="L83" s="9">
        <f t="shared" ca="1" si="18"/>
        <v>10</v>
      </c>
      <c r="N83" s="176">
        <f t="shared" ref="N83:N146" ca="1" si="27">IFERROR(B83-B82,"")</f>
        <v>30</v>
      </c>
      <c r="O83" s="176">
        <f t="shared" ca="1" si="14"/>
        <v>1970</v>
      </c>
      <c r="P83" s="175">
        <f t="shared" ca="1" si="19"/>
        <v>834.39144798065388</v>
      </c>
      <c r="Q83" s="11">
        <f t="shared" ca="1" si="20"/>
        <v>2.9930000000000002E-2</v>
      </c>
      <c r="R83" s="12">
        <f t="shared" ca="1" si="21"/>
        <v>24.973336038060971</v>
      </c>
      <c r="T83">
        <f t="shared" ca="1" si="15"/>
        <v>2240.9973588399062</v>
      </c>
    </row>
    <row r="84" spans="1:20">
      <c r="A84" s="198">
        <f ca="1">'SAC_IOF Ñ USAR'!A84</f>
        <v>65</v>
      </c>
      <c r="B84" s="197">
        <f t="shared" ref="B84:B147" ca="1" si="28">IF(A84&lt;&gt;"",EDATE($B$19,A84-IF($A$19="I",0,1)),"")</f>
        <v>46721</v>
      </c>
      <c r="C84" s="196">
        <f t="shared" ca="1" si="22"/>
        <v>889.99100827637426</v>
      </c>
      <c r="D84" s="21">
        <f t="shared" ref="D84:D147" ca="1" si="29">IFERROR(IF(DAY(B84)=DAY(B83),IF(K84="Pula",0,($C$9)*E83),IF(AND(K84="Pula",J84=""),0,IF(AND($F$3=30,OR(AND(DAY(B83)=28,MONTH(B83)=2),AND(DAY(B83)=29,MONTH(B83)=2))),$C$9*E83,$C$9*E83))),"")</f>
        <v>1342.8184332873896</v>
      </c>
      <c r="E84" s="196">
        <f t="shared" ca="1" si="23"/>
        <v>145068.53434904857</v>
      </c>
      <c r="F84" s="178">
        <f t="shared" ca="1" si="24"/>
        <v>30.651290325038239</v>
      </c>
      <c r="G84" s="178">
        <f t="shared" ca="1" si="25"/>
        <v>26.319999999999997</v>
      </c>
      <c r="H84" s="177">
        <f t="shared" ca="1" si="26"/>
        <v>25</v>
      </c>
      <c r="I84" s="196"/>
      <c r="J84" s="9" t="str">
        <f t="shared" ca="1" si="16"/>
        <v/>
      </c>
      <c r="K84" s="9" t="str">
        <f t="shared" ca="1" si="17"/>
        <v/>
      </c>
      <c r="L84" s="9">
        <f t="shared" ca="1" si="18"/>
        <v>11</v>
      </c>
      <c r="N84" s="176">
        <f t="shared" ca="1" si="27"/>
        <v>31</v>
      </c>
      <c r="O84" s="176">
        <f t="shared" ref="O84:O147" ca="1" si="30">IFERROR(N84+O83,"")</f>
        <v>2001</v>
      </c>
      <c r="P84" s="175">
        <f t="shared" ca="1" si="19"/>
        <v>834.39144798065388</v>
      </c>
      <c r="Q84" s="11">
        <f t="shared" ca="1" si="20"/>
        <v>2.9930000000000002E-2</v>
      </c>
      <c r="R84" s="12">
        <f t="shared" ca="1" si="21"/>
        <v>24.973336038060971</v>
      </c>
      <c r="T84">
        <f t="shared" ref="T84:T147" ca="1" si="31">IFERROR(IF(OR(J84="Carencia",K84="Pula"),0,C84+D84),"")</f>
        <v>2232.8094415637638</v>
      </c>
    </row>
    <row r="85" spans="1:20">
      <c r="A85" s="198">
        <f ca="1">'SAC_IOF Ñ USAR'!A85</f>
        <v>66</v>
      </c>
      <c r="B85" s="197">
        <f t="shared" ca="1" si="28"/>
        <v>46751</v>
      </c>
      <c r="C85" s="196">
        <f t="shared" ca="1" si="22"/>
        <v>889.99100827637426</v>
      </c>
      <c r="D85" s="21">
        <f t="shared" ca="1" si="29"/>
        <v>1334.6305160112468</v>
      </c>
      <c r="E85" s="196">
        <f t="shared" ca="1" si="23"/>
        <v>144178.54334077219</v>
      </c>
      <c r="F85" s="178">
        <f t="shared" ca="1" si="24"/>
        <v>30.464392213300201</v>
      </c>
      <c r="G85" s="178">
        <f t="shared" ca="1" si="25"/>
        <v>26.319999999999997</v>
      </c>
      <c r="H85" s="177">
        <f t="shared" ca="1" si="26"/>
        <v>25</v>
      </c>
      <c r="I85" s="196"/>
      <c r="J85" s="9" t="str">
        <f t="shared" ca="1" si="16"/>
        <v/>
      </c>
      <c r="K85" s="9" t="str">
        <f t="shared" ca="1" si="17"/>
        <v/>
      </c>
      <c r="L85" s="9">
        <f t="shared" ca="1" si="18"/>
        <v>12</v>
      </c>
      <c r="N85" s="176">
        <f t="shared" ca="1" si="27"/>
        <v>30</v>
      </c>
      <c r="O85" s="176">
        <f t="shared" ca="1" si="30"/>
        <v>2031</v>
      </c>
      <c r="P85" s="175">
        <f t="shared" ca="1" si="19"/>
        <v>834.39144798065388</v>
      </c>
      <c r="Q85" s="11">
        <f t="shared" ca="1" si="20"/>
        <v>2.9930000000000002E-2</v>
      </c>
      <c r="R85" s="12">
        <f t="shared" ca="1" si="21"/>
        <v>24.973336038060971</v>
      </c>
      <c r="T85">
        <f t="shared" ca="1" si="31"/>
        <v>2224.621524287621</v>
      </c>
    </row>
    <row r="86" spans="1:20">
      <c r="A86" s="198">
        <f ca="1">'SAC_IOF Ñ USAR'!A86</f>
        <v>67</v>
      </c>
      <c r="B86" s="197">
        <f t="shared" ca="1" si="28"/>
        <v>46782</v>
      </c>
      <c r="C86" s="196">
        <f t="shared" ca="1" si="22"/>
        <v>889.99100827637426</v>
      </c>
      <c r="D86" s="21">
        <f t="shared" ca="1" si="29"/>
        <v>1326.4425987351042</v>
      </c>
      <c r="E86" s="196">
        <f t="shared" ca="1" si="23"/>
        <v>143288.5523324958</v>
      </c>
      <c r="F86" s="178">
        <f t="shared" ca="1" si="24"/>
        <v>30.277494101562162</v>
      </c>
      <c r="G86" s="178">
        <f t="shared" ca="1" si="25"/>
        <v>26.319999999999997</v>
      </c>
      <c r="H86" s="177">
        <f t="shared" ca="1" si="26"/>
        <v>25</v>
      </c>
      <c r="I86" s="196"/>
      <c r="J86" s="9" t="str">
        <f t="shared" ca="1" si="16"/>
        <v/>
      </c>
      <c r="K86" s="9" t="str">
        <f t="shared" ca="1" si="17"/>
        <v/>
      </c>
      <c r="L86" s="9">
        <f t="shared" ca="1" si="18"/>
        <v>1</v>
      </c>
      <c r="N86" s="176">
        <f t="shared" ca="1" si="27"/>
        <v>31</v>
      </c>
      <c r="O86" s="176">
        <f t="shared" ca="1" si="30"/>
        <v>2062</v>
      </c>
      <c r="P86" s="175">
        <f t="shared" ca="1" si="19"/>
        <v>834.39144798065388</v>
      </c>
      <c r="Q86" s="11">
        <f t="shared" ca="1" si="20"/>
        <v>2.9930000000000002E-2</v>
      </c>
      <c r="R86" s="12">
        <f t="shared" ca="1" si="21"/>
        <v>24.973336038060971</v>
      </c>
      <c r="T86">
        <f t="shared" ca="1" si="31"/>
        <v>2216.4336070114787</v>
      </c>
    </row>
    <row r="87" spans="1:20">
      <c r="A87" s="198">
        <f ca="1">'SAC_IOF Ñ USAR'!A87</f>
        <v>68</v>
      </c>
      <c r="B87" s="197">
        <f t="shared" ca="1" si="28"/>
        <v>46812</v>
      </c>
      <c r="C87" s="196">
        <f t="shared" ca="1" si="22"/>
        <v>889.99100827637426</v>
      </c>
      <c r="D87" s="21">
        <f t="shared" ca="1" si="29"/>
        <v>1318.2546814589614</v>
      </c>
      <c r="E87" s="196">
        <f t="shared" ca="1" si="23"/>
        <v>142398.56132421942</v>
      </c>
      <c r="F87" s="178">
        <f t="shared" ca="1" si="24"/>
        <v>30.09059598982412</v>
      </c>
      <c r="G87" s="178">
        <f t="shared" ca="1" si="25"/>
        <v>26.319999999999997</v>
      </c>
      <c r="H87" s="177">
        <f t="shared" ca="1" si="26"/>
        <v>25</v>
      </c>
      <c r="I87" s="196"/>
      <c r="J87" s="9" t="str">
        <f t="shared" ca="1" si="16"/>
        <v/>
      </c>
      <c r="K87" s="9" t="str">
        <f t="shared" ca="1" si="17"/>
        <v/>
      </c>
      <c r="L87" s="9">
        <f t="shared" ca="1" si="18"/>
        <v>2</v>
      </c>
      <c r="N87" s="176">
        <f t="shared" ca="1" si="27"/>
        <v>30</v>
      </c>
      <c r="O87" s="176">
        <f t="shared" ca="1" si="30"/>
        <v>2092</v>
      </c>
      <c r="P87" s="175">
        <f t="shared" ca="1" si="19"/>
        <v>834.39144798065388</v>
      </c>
      <c r="Q87" s="11">
        <f t="shared" ca="1" si="20"/>
        <v>2.9930000000000002E-2</v>
      </c>
      <c r="R87" s="12">
        <f t="shared" ca="1" si="21"/>
        <v>24.973336038060971</v>
      </c>
      <c r="T87">
        <f t="shared" ca="1" si="31"/>
        <v>2208.2456897353359</v>
      </c>
    </row>
    <row r="88" spans="1:20">
      <c r="A88" s="198">
        <f ca="1">'SAC_IOF Ñ USAR'!A88</f>
        <v>69</v>
      </c>
      <c r="B88" s="197">
        <f t="shared" ca="1" si="28"/>
        <v>46842</v>
      </c>
      <c r="C88" s="196">
        <f t="shared" ca="1" si="22"/>
        <v>889.99100827637426</v>
      </c>
      <c r="D88" s="21">
        <f t="shared" ca="1" si="29"/>
        <v>1310.0667641828186</v>
      </c>
      <c r="E88" s="196">
        <f t="shared" ca="1" si="23"/>
        <v>141508.57031594304</v>
      </c>
      <c r="F88" s="178">
        <f t="shared" ca="1" si="24"/>
        <v>29.903697878086081</v>
      </c>
      <c r="G88" s="178">
        <f t="shared" ca="1" si="25"/>
        <v>26.319999999999997</v>
      </c>
      <c r="H88" s="177">
        <f t="shared" ca="1" si="26"/>
        <v>25</v>
      </c>
      <c r="I88" s="196"/>
      <c r="J88" s="9" t="str">
        <f t="shared" ca="1" si="16"/>
        <v/>
      </c>
      <c r="K88" s="9" t="str">
        <f t="shared" ca="1" si="17"/>
        <v/>
      </c>
      <c r="L88" s="9">
        <f t="shared" ca="1" si="18"/>
        <v>3</v>
      </c>
      <c r="N88" s="176">
        <f t="shared" ca="1" si="27"/>
        <v>30</v>
      </c>
      <c r="O88" s="176">
        <f t="shared" ca="1" si="30"/>
        <v>2122</v>
      </c>
      <c r="P88" s="175">
        <f t="shared" ca="1" si="19"/>
        <v>834.39144798065388</v>
      </c>
      <c r="Q88" s="11">
        <f t="shared" ca="1" si="20"/>
        <v>2.9930000000000002E-2</v>
      </c>
      <c r="R88" s="12">
        <f t="shared" ca="1" si="21"/>
        <v>24.973336038060971</v>
      </c>
      <c r="T88">
        <f t="shared" ca="1" si="31"/>
        <v>2200.0577724591931</v>
      </c>
    </row>
    <row r="89" spans="1:20">
      <c r="A89" s="198">
        <f ca="1">'SAC_IOF Ñ USAR'!A89</f>
        <v>70</v>
      </c>
      <c r="B89" s="197">
        <f t="shared" ca="1" si="28"/>
        <v>46873</v>
      </c>
      <c r="C89" s="196">
        <f t="shared" ca="1" si="22"/>
        <v>889.99100827637426</v>
      </c>
      <c r="D89" s="21">
        <f t="shared" ca="1" si="29"/>
        <v>1301.878846906676</v>
      </c>
      <c r="E89" s="196">
        <f t="shared" ca="1" si="23"/>
        <v>140618.57930766666</v>
      </c>
      <c r="F89" s="178">
        <f t="shared" ca="1" si="24"/>
        <v>29.716799766348039</v>
      </c>
      <c r="G89" s="178">
        <f t="shared" ca="1" si="25"/>
        <v>26.319999999999997</v>
      </c>
      <c r="H89" s="177">
        <f t="shared" ca="1" si="26"/>
        <v>25</v>
      </c>
      <c r="I89" s="196"/>
      <c r="J89" s="9" t="str">
        <f t="shared" ca="1" si="16"/>
        <v/>
      </c>
      <c r="K89" s="9" t="str">
        <f t="shared" ca="1" si="17"/>
        <v/>
      </c>
      <c r="L89" s="9">
        <f t="shared" ca="1" si="18"/>
        <v>4</v>
      </c>
      <c r="N89" s="176">
        <f t="shared" ca="1" si="27"/>
        <v>31</v>
      </c>
      <c r="O89" s="176">
        <f t="shared" ca="1" si="30"/>
        <v>2153</v>
      </c>
      <c r="P89" s="175">
        <f t="shared" ca="1" si="19"/>
        <v>834.39144798065388</v>
      </c>
      <c r="Q89" s="11">
        <f t="shared" ca="1" si="20"/>
        <v>2.9930000000000002E-2</v>
      </c>
      <c r="R89" s="12">
        <f t="shared" ca="1" si="21"/>
        <v>24.973336038060971</v>
      </c>
      <c r="T89">
        <f t="shared" ca="1" si="31"/>
        <v>2191.8698551830503</v>
      </c>
    </row>
    <row r="90" spans="1:20">
      <c r="A90" s="198">
        <f ca="1">'SAC_IOF Ñ USAR'!A90</f>
        <v>71</v>
      </c>
      <c r="B90" s="197">
        <f t="shared" ca="1" si="28"/>
        <v>46903</v>
      </c>
      <c r="C90" s="196">
        <f t="shared" ca="1" si="22"/>
        <v>889.99100827637426</v>
      </c>
      <c r="D90" s="21">
        <f t="shared" ca="1" si="29"/>
        <v>1293.6909296305332</v>
      </c>
      <c r="E90" s="196">
        <f t="shared" ca="1" si="23"/>
        <v>139728.58829939028</v>
      </c>
      <c r="F90" s="178">
        <f t="shared" ca="1" si="24"/>
        <v>29.529901654610001</v>
      </c>
      <c r="G90" s="178">
        <f t="shared" ca="1" si="25"/>
        <v>26.319999999999997</v>
      </c>
      <c r="H90" s="177">
        <f t="shared" ca="1" si="26"/>
        <v>25</v>
      </c>
      <c r="I90" s="196"/>
      <c r="J90" s="9" t="str">
        <f t="shared" ca="1" si="16"/>
        <v/>
      </c>
      <c r="K90" s="9" t="str">
        <f t="shared" ca="1" si="17"/>
        <v/>
      </c>
      <c r="L90" s="9">
        <f t="shared" ca="1" si="18"/>
        <v>5</v>
      </c>
      <c r="N90" s="176">
        <f t="shared" ca="1" si="27"/>
        <v>30</v>
      </c>
      <c r="O90" s="176">
        <f t="shared" ca="1" si="30"/>
        <v>2183</v>
      </c>
      <c r="P90" s="175">
        <f t="shared" ca="1" si="19"/>
        <v>834.39144798065388</v>
      </c>
      <c r="Q90" s="11">
        <f t="shared" ca="1" si="20"/>
        <v>2.9930000000000002E-2</v>
      </c>
      <c r="R90" s="12">
        <f t="shared" ca="1" si="21"/>
        <v>24.973336038060971</v>
      </c>
      <c r="T90">
        <f t="shared" ca="1" si="31"/>
        <v>2183.6819379069075</v>
      </c>
    </row>
    <row r="91" spans="1:20">
      <c r="A91" s="198">
        <f ca="1">'SAC_IOF Ñ USAR'!A91</f>
        <v>72</v>
      </c>
      <c r="B91" s="197">
        <f t="shared" ca="1" si="28"/>
        <v>46934</v>
      </c>
      <c r="C91" s="196">
        <f t="shared" ca="1" si="22"/>
        <v>889.99100827637426</v>
      </c>
      <c r="D91" s="21">
        <f t="shared" ca="1" si="29"/>
        <v>1285.5030123543904</v>
      </c>
      <c r="E91" s="196">
        <f t="shared" ca="1" si="23"/>
        <v>138838.5972911139</v>
      </c>
      <c r="F91" s="178">
        <f t="shared" ca="1" si="24"/>
        <v>29.343003542871958</v>
      </c>
      <c r="G91" s="178">
        <f t="shared" ca="1" si="25"/>
        <v>26.319999999999997</v>
      </c>
      <c r="H91" s="177">
        <f t="shared" ca="1" si="26"/>
        <v>25</v>
      </c>
      <c r="I91" s="196"/>
      <c r="J91" s="9" t="str">
        <f t="shared" ca="1" si="16"/>
        <v/>
      </c>
      <c r="K91" s="9" t="str">
        <f t="shared" ca="1" si="17"/>
        <v/>
      </c>
      <c r="L91" s="9">
        <f t="shared" ca="1" si="18"/>
        <v>6</v>
      </c>
      <c r="N91" s="176">
        <f t="shared" ca="1" si="27"/>
        <v>31</v>
      </c>
      <c r="O91" s="176">
        <f t="shared" ca="1" si="30"/>
        <v>2214</v>
      </c>
      <c r="P91" s="175">
        <f t="shared" ca="1" si="19"/>
        <v>834.39144798065388</v>
      </c>
      <c r="Q91" s="11">
        <f t="shared" ca="1" si="20"/>
        <v>2.9930000000000002E-2</v>
      </c>
      <c r="R91" s="12">
        <f t="shared" ca="1" si="21"/>
        <v>24.973336038060971</v>
      </c>
      <c r="T91">
        <f t="shared" ca="1" si="31"/>
        <v>2175.4940206307647</v>
      </c>
    </row>
    <row r="92" spans="1:20">
      <c r="A92" s="198">
        <f ca="1">'SAC_IOF Ñ USAR'!A92</f>
        <v>73</v>
      </c>
      <c r="B92" s="197">
        <f t="shared" ca="1" si="28"/>
        <v>46964</v>
      </c>
      <c r="C92" s="196">
        <f t="shared" ca="1" si="22"/>
        <v>889.99100827637426</v>
      </c>
      <c r="D92" s="21">
        <f t="shared" ca="1" si="29"/>
        <v>1277.3150950782479</v>
      </c>
      <c r="E92" s="196">
        <f t="shared" ca="1" si="23"/>
        <v>137948.60628283751</v>
      </c>
      <c r="F92" s="178">
        <f t="shared" ca="1" si="24"/>
        <v>29.15610543113392</v>
      </c>
      <c r="G92" s="178">
        <f t="shared" ca="1" si="25"/>
        <v>26.319999999999997</v>
      </c>
      <c r="H92" s="177">
        <f t="shared" ca="1" si="26"/>
        <v>25</v>
      </c>
      <c r="I92" s="196"/>
      <c r="J92" s="9" t="str">
        <f t="shared" ca="1" si="16"/>
        <v/>
      </c>
      <c r="K92" s="9" t="str">
        <f t="shared" ca="1" si="17"/>
        <v/>
      </c>
      <c r="L92" s="9">
        <f t="shared" ca="1" si="18"/>
        <v>7</v>
      </c>
      <c r="N92" s="176">
        <f t="shared" ca="1" si="27"/>
        <v>30</v>
      </c>
      <c r="O92" s="176">
        <f t="shared" ca="1" si="30"/>
        <v>2244</v>
      </c>
      <c r="P92" s="175">
        <f t="shared" ca="1" si="19"/>
        <v>834.39144798065388</v>
      </c>
      <c r="Q92" s="11">
        <f t="shared" ca="1" si="20"/>
        <v>2.9930000000000002E-2</v>
      </c>
      <c r="R92" s="12">
        <f t="shared" ca="1" si="21"/>
        <v>24.973336038060971</v>
      </c>
      <c r="T92">
        <f t="shared" ca="1" si="31"/>
        <v>2167.3061033546219</v>
      </c>
    </row>
    <row r="93" spans="1:20">
      <c r="A93" s="198">
        <f ca="1">'SAC_IOF Ñ USAR'!A93</f>
        <v>74</v>
      </c>
      <c r="B93" s="197">
        <f t="shared" ca="1" si="28"/>
        <v>46995</v>
      </c>
      <c r="C93" s="196">
        <f t="shared" ca="1" si="22"/>
        <v>889.99100827637426</v>
      </c>
      <c r="D93" s="21">
        <f t="shared" ca="1" si="29"/>
        <v>1269.1271778021051</v>
      </c>
      <c r="E93" s="196">
        <f t="shared" ca="1" si="23"/>
        <v>137058.61527456113</v>
      </c>
      <c r="F93" s="178">
        <f t="shared" ca="1" si="24"/>
        <v>28.969207319395878</v>
      </c>
      <c r="G93" s="178">
        <f t="shared" ca="1" si="25"/>
        <v>26.319999999999997</v>
      </c>
      <c r="H93" s="177">
        <f t="shared" ca="1" si="26"/>
        <v>25</v>
      </c>
      <c r="I93" s="196"/>
      <c r="J93" s="9" t="str">
        <f t="shared" ca="1" si="16"/>
        <v/>
      </c>
      <c r="K93" s="9" t="str">
        <f t="shared" ca="1" si="17"/>
        <v/>
      </c>
      <c r="L93" s="9">
        <f t="shared" ca="1" si="18"/>
        <v>8</v>
      </c>
      <c r="N93" s="176">
        <f t="shared" ca="1" si="27"/>
        <v>31</v>
      </c>
      <c r="O93" s="176">
        <f t="shared" ca="1" si="30"/>
        <v>2275</v>
      </c>
      <c r="P93" s="175">
        <f t="shared" ca="1" si="19"/>
        <v>834.39144798065388</v>
      </c>
      <c r="Q93" s="11">
        <f t="shared" ca="1" si="20"/>
        <v>2.9930000000000002E-2</v>
      </c>
      <c r="R93" s="12">
        <f t="shared" ca="1" si="21"/>
        <v>24.973336038060971</v>
      </c>
      <c r="T93">
        <f t="shared" ca="1" si="31"/>
        <v>2159.1181860784791</v>
      </c>
    </row>
    <row r="94" spans="1:20">
      <c r="A94" s="198">
        <f ca="1">'SAC_IOF Ñ USAR'!A94</f>
        <v>75</v>
      </c>
      <c r="B94" s="197">
        <f t="shared" ca="1" si="28"/>
        <v>47026</v>
      </c>
      <c r="C94" s="196">
        <f t="shared" ca="1" si="22"/>
        <v>889.99100827637426</v>
      </c>
      <c r="D94" s="21">
        <f t="shared" ca="1" si="29"/>
        <v>1260.9392605259625</v>
      </c>
      <c r="E94" s="196">
        <f t="shared" ca="1" si="23"/>
        <v>136168.62426628475</v>
      </c>
      <c r="F94" s="178">
        <f t="shared" ca="1" si="24"/>
        <v>28.782309207657839</v>
      </c>
      <c r="G94" s="178">
        <f t="shared" ca="1" si="25"/>
        <v>26.319999999999997</v>
      </c>
      <c r="H94" s="177">
        <f t="shared" ca="1" si="26"/>
        <v>25</v>
      </c>
      <c r="I94" s="196"/>
      <c r="J94" s="9" t="str">
        <f t="shared" ca="1" si="16"/>
        <v/>
      </c>
      <c r="K94" s="9" t="str">
        <f t="shared" ca="1" si="17"/>
        <v/>
      </c>
      <c r="L94" s="9">
        <f t="shared" ca="1" si="18"/>
        <v>9</v>
      </c>
      <c r="N94" s="176">
        <f t="shared" ca="1" si="27"/>
        <v>31</v>
      </c>
      <c r="O94" s="176">
        <f t="shared" ca="1" si="30"/>
        <v>2306</v>
      </c>
      <c r="P94" s="175">
        <f t="shared" ca="1" si="19"/>
        <v>834.39144798065388</v>
      </c>
      <c r="Q94" s="11">
        <f t="shared" ca="1" si="20"/>
        <v>2.9930000000000002E-2</v>
      </c>
      <c r="R94" s="12">
        <f t="shared" ca="1" si="21"/>
        <v>24.973336038060971</v>
      </c>
      <c r="T94">
        <f t="shared" ca="1" si="31"/>
        <v>2150.9302688023367</v>
      </c>
    </row>
    <row r="95" spans="1:20">
      <c r="A95" s="198">
        <f ca="1">'SAC_IOF Ñ USAR'!A95</f>
        <v>76</v>
      </c>
      <c r="B95" s="197">
        <f t="shared" ca="1" si="28"/>
        <v>47056</v>
      </c>
      <c r="C95" s="196">
        <f t="shared" ca="1" si="22"/>
        <v>889.99100827637426</v>
      </c>
      <c r="D95" s="21">
        <f t="shared" ca="1" si="29"/>
        <v>1252.7513432498197</v>
      </c>
      <c r="E95" s="196">
        <f t="shared" ca="1" si="23"/>
        <v>135278.63325800837</v>
      </c>
      <c r="F95" s="178">
        <f t="shared" ca="1" si="24"/>
        <v>28.5954110959198</v>
      </c>
      <c r="G95" s="178">
        <f t="shared" ca="1" si="25"/>
        <v>26.319999999999997</v>
      </c>
      <c r="H95" s="177">
        <f t="shared" ca="1" si="26"/>
        <v>25</v>
      </c>
      <c r="I95" s="196"/>
      <c r="J95" s="9" t="str">
        <f t="shared" ca="1" si="16"/>
        <v/>
      </c>
      <c r="K95" s="9" t="str">
        <f t="shared" ca="1" si="17"/>
        <v/>
      </c>
      <c r="L95" s="9">
        <f t="shared" ca="1" si="18"/>
        <v>10</v>
      </c>
      <c r="N95" s="176">
        <f t="shared" ca="1" si="27"/>
        <v>30</v>
      </c>
      <c r="O95" s="176">
        <f t="shared" ca="1" si="30"/>
        <v>2336</v>
      </c>
      <c r="P95" s="175">
        <f t="shared" ca="1" si="19"/>
        <v>834.39144798065388</v>
      </c>
      <c r="Q95" s="11">
        <f t="shared" ca="1" si="20"/>
        <v>2.9930000000000002E-2</v>
      </c>
      <c r="R95" s="12">
        <f t="shared" ca="1" si="21"/>
        <v>24.973336038060971</v>
      </c>
      <c r="T95">
        <f t="shared" ca="1" si="31"/>
        <v>2142.7423515261939</v>
      </c>
    </row>
    <row r="96" spans="1:20">
      <c r="A96" s="198">
        <f ca="1">'SAC_IOF Ñ USAR'!A96</f>
        <v>77</v>
      </c>
      <c r="B96" s="197">
        <f t="shared" ca="1" si="28"/>
        <v>47087</v>
      </c>
      <c r="C96" s="196">
        <f t="shared" ca="1" si="22"/>
        <v>889.99100827637426</v>
      </c>
      <c r="D96" s="21">
        <f t="shared" ca="1" si="29"/>
        <v>1244.5634259736769</v>
      </c>
      <c r="E96" s="196">
        <f t="shared" ca="1" si="23"/>
        <v>134388.64224973199</v>
      </c>
      <c r="F96" s="178">
        <f t="shared" ca="1" si="24"/>
        <v>28.408512984181758</v>
      </c>
      <c r="G96" s="178">
        <f t="shared" ca="1" si="25"/>
        <v>26.319999999999997</v>
      </c>
      <c r="H96" s="177">
        <f t="shared" ca="1" si="26"/>
        <v>25</v>
      </c>
      <c r="I96" s="196"/>
      <c r="J96" s="9" t="str">
        <f t="shared" ca="1" si="16"/>
        <v/>
      </c>
      <c r="K96" s="9" t="str">
        <f t="shared" ca="1" si="17"/>
        <v/>
      </c>
      <c r="L96" s="9">
        <f t="shared" ca="1" si="18"/>
        <v>11</v>
      </c>
      <c r="N96" s="176">
        <f t="shared" ca="1" si="27"/>
        <v>31</v>
      </c>
      <c r="O96" s="176">
        <f t="shared" ca="1" si="30"/>
        <v>2367</v>
      </c>
      <c r="P96" s="175">
        <f t="shared" ca="1" si="19"/>
        <v>834.39144798065388</v>
      </c>
      <c r="Q96" s="11">
        <f t="shared" ca="1" si="20"/>
        <v>2.9930000000000002E-2</v>
      </c>
      <c r="R96" s="12">
        <f t="shared" ca="1" si="21"/>
        <v>24.973336038060971</v>
      </c>
      <c r="T96">
        <f t="shared" ca="1" si="31"/>
        <v>2134.5544342500511</v>
      </c>
    </row>
    <row r="97" spans="1:20">
      <c r="A97" s="198">
        <f ca="1">'SAC_IOF Ñ USAR'!A97</f>
        <v>78</v>
      </c>
      <c r="B97" s="197">
        <f t="shared" ca="1" si="28"/>
        <v>47117</v>
      </c>
      <c r="C97" s="196">
        <f t="shared" ca="1" si="22"/>
        <v>889.99100827637426</v>
      </c>
      <c r="D97" s="21">
        <f t="shared" ca="1" si="29"/>
        <v>1236.3755086975343</v>
      </c>
      <c r="E97" s="196">
        <f t="shared" ca="1" si="23"/>
        <v>133498.65124145561</v>
      </c>
      <c r="F97" s="178">
        <f t="shared" ca="1" si="24"/>
        <v>28.22161487244372</v>
      </c>
      <c r="G97" s="178">
        <f t="shared" ca="1" si="25"/>
        <v>26.319999999999997</v>
      </c>
      <c r="H97" s="177">
        <f t="shared" ca="1" si="26"/>
        <v>25</v>
      </c>
      <c r="I97" s="196"/>
      <c r="J97" s="9" t="str">
        <f t="shared" ca="1" si="16"/>
        <v/>
      </c>
      <c r="K97" s="9" t="str">
        <f t="shared" ca="1" si="17"/>
        <v/>
      </c>
      <c r="L97" s="9">
        <f t="shared" ca="1" si="18"/>
        <v>12</v>
      </c>
      <c r="N97" s="176">
        <f t="shared" ca="1" si="27"/>
        <v>30</v>
      </c>
      <c r="O97" s="176">
        <f t="shared" ca="1" si="30"/>
        <v>2397</v>
      </c>
      <c r="P97" s="175">
        <f t="shared" ca="1" si="19"/>
        <v>834.39144798065388</v>
      </c>
      <c r="Q97" s="11">
        <f t="shared" ca="1" si="20"/>
        <v>2.9930000000000002E-2</v>
      </c>
      <c r="R97" s="12">
        <f t="shared" ca="1" si="21"/>
        <v>24.973336038060971</v>
      </c>
      <c r="T97">
        <f t="shared" ca="1" si="31"/>
        <v>2126.3665169739088</v>
      </c>
    </row>
    <row r="98" spans="1:20">
      <c r="A98" s="198">
        <f ca="1">'SAC_IOF Ñ USAR'!A98</f>
        <v>79</v>
      </c>
      <c r="B98" s="197">
        <f t="shared" ca="1" si="28"/>
        <v>47148</v>
      </c>
      <c r="C98" s="196">
        <f t="shared" ca="1" si="22"/>
        <v>889.99100827637426</v>
      </c>
      <c r="D98" s="21">
        <f t="shared" ca="1" si="29"/>
        <v>1228.1875914213915</v>
      </c>
      <c r="E98" s="196">
        <f t="shared" ca="1" si="23"/>
        <v>132608.66023317922</v>
      </c>
      <c r="F98" s="178">
        <f t="shared" ca="1" si="24"/>
        <v>28.034716760705678</v>
      </c>
      <c r="G98" s="178">
        <f t="shared" ca="1" si="25"/>
        <v>26.319999999999997</v>
      </c>
      <c r="H98" s="177">
        <f t="shared" ca="1" si="26"/>
        <v>25</v>
      </c>
      <c r="I98" s="196"/>
      <c r="J98" s="9" t="str">
        <f t="shared" ca="1" si="16"/>
        <v/>
      </c>
      <c r="K98" s="9" t="str">
        <f t="shared" ca="1" si="17"/>
        <v/>
      </c>
      <c r="L98" s="9">
        <f t="shared" ca="1" si="18"/>
        <v>1</v>
      </c>
      <c r="N98" s="176">
        <f t="shared" ca="1" si="27"/>
        <v>31</v>
      </c>
      <c r="O98" s="176">
        <f t="shared" ca="1" si="30"/>
        <v>2428</v>
      </c>
      <c r="P98" s="175">
        <f t="shared" ca="1" si="19"/>
        <v>834.39144798065388</v>
      </c>
      <c r="Q98" s="11">
        <f t="shared" ca="1" si="20"/>
        <v>2.9930000000000002E-2</v>
      </c>
      <c r="R98" s="12">
        <f t="shared" ca="1" si="21"/>
        <v>24.973336038060971</v>
      </c>
      <c r="T98">
        <f t="shared" ca="1" si="31"/>
        <v>2118.178599697766</v>
      </c>
    </row>
    <row r="99" spans="1:20">
      <c r="A99" s="198">
        <f ca="1">'SAC_IOF Ñ USAR'!A99</f>
        <v>80</v>
      </c>
      <c r="B99" s="197">
        <f t="shared" ca="1" si="28"/>
        <v>47177</v>
      </c>
      <c r="C99" s="196">
        <f t="shared" ca="1" si="22"/>
        <v>889.99100827637426</v>
      </c>
      <c r="D99" s="21">
        <f t="shared" ca="1" si="29"/>
        <v>1219.9996741452489</v>
      </c>
      <c r="E99" s="196">
        <f t="shared" ca="1" si="23"/>
        <v>131718.66922490284</v>
      </c>
      <c r="F99" s="178">
        <f t="shared" ca="1" si="24"/>
        <v>27.847818648967639</v>
      </c>
      <c r="G99" s="178">
        <f t="shared" ca="1" si="25"/>
        <v>26.319999999999997</v>
      </c>
      <c r="H99" s="177">
        <f t="shared" ca="1" si="26"/>
        <v>25</v>
      </c>
      <c r="I99" s="196"/>
      <c r="J99" s="9" t="str">
        <f t="shared" ca="1" si="16"/>
        <v/>
      </c>
      <c r="K99" s="9" t="str">
        <f t="shared" ca="1" si="17"/>
        <v/>
      </c>
      <c r="L99" s="9">
        <f t="shared" ca="1" si="18"/>
        <v>2</v>
      </c>
      <c r="N99" s="176">
        <f t="shared" ca="1" si="27"/>
        <v>29</v>
      </c>
      <c r="O99" s="176">
        <f t="shared" ca="1" si="30"/>
        <v>2457</v>
      </c>
      <c r="P99" s="175">
        <f t="shared" ca="1" si="19"/>
        <v>834.39144798065388</v>
      </c>
      <c r="Q99" s="11">
        <f t="shared" ca="1" si="20"/>
        <v>2.9930000000000002E-2</v>
      </c>
      <c r="R99" s="12">
        <f t="shared" ca="1" si="21"/>
        <v>24.973336038060971</v>
      </c>
      <c r="T99">
        <f t="shared" ca="1" si="31"/>
        <v>2109.9906824216232</v>
      </c>
    </row>
    <row r="100" spans="1:20">
      <c r="A100" s="198">
        <f ca="1">'SAC_IOF Ñ USAR'!A100</f>
        <v>81</v>
      </c>
      <c r="B100" s="197">
        <f t="shared" ca="1" si="28"/>
        <v>47207</v>
      </c>
      <c r="C100" s="196">
        <f t="shared" ca="1" si="22"/>
        <v>889.99100827637426</v>
      </c>
      <c r="D100" s="21">
        <f t="shared" ca="1" si="29"/>
        <v>1211.8117568691061</v>
      </c>
      <c r="E100" s="196">
        <f t="shared" ca="1" si="23"/>
        <v>130828.67821662647</v>
      </c>
      <c r="F100" s="178">
        <f t="shared" ca="1" si="24"/>
        <v>27.660920537229597</v>
      </c>
      <c r="G100" s="178">
        <f t="shared" ca="1" si="25"/>
        <v>26.319999999999997</v>
      </c>
      <c r="H100" s="177">
        <f t="shared" ca="1" si="26"/>
        <v>25</v>
      </c>
      <c r="I100" s="196"/>
      <c r="J100" s="9" t="str">
        <f t="shared" ca="1" si="16"/>
        <v/>
      </c>
      <c r="K100" s="9" t="str">
        <f t="shared" ca="1" si="17"/>
        <v/>
      </c>
      <c r="L100" s="9">
        <f t="shared" ca="1" si="18"/>
        <v>3</v>
      </c>
      <c r="N100" s="176">
        <f t="shared" ca="1" si="27"/>
        <v>30</v>
      </c>
      <c r="O100" s="176">
        <f t="shared" ca="1" si="30"/>
        <v>2487</v>
      </c>
      <c r="P100" s="175">
        <f t="shared" ca="1" si="19"/>
        <v>834.39144798065388</v>
      </c>
      <c r="Q100" s="11">
        <f t="shared" ca="1" si="20"/>
        <v>2.9930000000000002E-2</v>
      </c>
      <c r="R100" s="12">
        <f t="shared" ca="1" si="21"/>
        <v>24.973336038060971</v>
      </c>
      <c r="T100">
        <f t="shared" ca="1" si="31"/>
        <v>2101.8027651454804</v>
      </c>
    </row>
    <row r="101" spans="1:20">
      <c r="A101" s="198">
        <f ca="1">'SAC_IOF Ñ USAR'!A101</f>
        <v>82</v>
      </c>
      <c r="B101" s="197">
        <f t="shared" ca="1" si="28"/>
        <v>47238</v>
      </c>
      <c r="C101" s="196">
        <f t="shared" ca="1" si="22"/>
        <v>889.99100827637426</v>
      </c>
      <c r="D101" s="21">
        <f t="shared" ca="1" si="29"/>
        <v>1203.6238395929636</v>
      </c>
      <c r="E101" s="196">
        <f t="shared" ca="1" si="23"/>
        <v>129938.68720835011</v>
      </c>
      <c r="F101" s="178">
        <f t="shared" ca="1" si="24"/>
        <v>27.474022425491562</v>
      </c>
      <c r="G101" s="178">
        <f t="shared" ca="1" si="25"/>
        <v>26.319999999999997</v>
      </c>
      <c r="H101" s="177">
        <f t="shared" ca="1" si="26"/>
        <v>25</v>
      </c>
      <c r="I101" s="196"/>
      <c r="J101" s="9" t="str">
        <f t="shared" ca="1" si="16"/>
        <v/>
      </c>
      <c r="K101" s="9" t="str">
        <f t="shared" ca="1" si="17"/>
        <v/>
      </c>
      <c r="L101" s="9">
        <f t="shared" ca="1" si="18"/>
        <v>4</v>
      </c>
      <c r="N101" s="176">
        <f t="shared" ca="1" si="27"/>
        <v>31</v>
      </c>
      <c r="O101" s="176">
        <f t="shared" ca="1" si="30"/>
        <v>2518</v>
      </c>
      <c r="P101" s="175">
        <f t="shared" ca="1" si="19"/>
        <v>834.39144798065388</v>
      </c>
      <c r="Q101" s="11">
        <f t="shared" ca="1" si="20"/>
        <v>2.9930000000000002E-2</v>
      </c>
      <c r="R101" s="12">
        <f t="shared" ca="1" si="21"/>
        <v>24.973336038060971</v>
      </c>
      <c r="T101">
        <f t="shared" ca="1" si="31"/>
        <v>2093.6148478693376</v>
      </c>
    </row>
    <row r="102" spans="1:20">
      <c r="A102" s="198">
        <f ca="1">'SAC_IOF Ñ USAR'!A102</f>
        <v>83</v>
      </c>
      <c r="B102" s="197">
        <f t="shared" ca="1" si="28"/>
        <v>47268</v>
      </c>
      <c r="C102" s="196">
        <f t="shared" ca="1" si="22"/>
        <v>889.99100827637426</v>
      </c>
      <c r="D102" s="21">
        <f t="shared" ca="1" si="29"/>
        <v>1195.435922316821</v>
      </c>
      <c r="E102" s="196">
        <f t="shared" ca="1" si="23"/>
        <v>129048.69620007374</v>
      </c>
      <c r="F102" s="178">
        <f t="shared" ca="1" si="24"/>
        <v>27.287124313753523</v>
      </c>
      <c r="G102" s="178">
        <f t="shared" ca="1" si="25"/>
        <v>26.319999999999997</v>
      </c>
      <c r="H102" s="177">
        <f t="shared" ca="1" si="26"/>
        <v>25</v>
      </c>
      <c r="I102" s="196"/>
      <c r="J102" s="9" t="str">
        <f t="shared" ca="1" si="16"/>
        <v/>
      </c>
      <c r="K102" s="9" t="str">
        <f t="shared" ca="1" si="17"/>
        <v/>
      </c>
      <c r="L102" s="9">
        <f t="shared" ca="1" si="18"/>
        <v>5</v>
      </c>
      <c r="N102" s="176">
        <f t="shared" ca="1" si="27"/>
        <v>30</v>
      </c>
      <c r="O102" s="176">
        <f t="shared" ca="1" si="30"/>
        <v>2548</v>
      </c>
      <c r="P102" s="175">
        <f t="shared" ca="1" si="19"/>
        <v>834.39144798065388</v>
      </c>
      <c r="Q102" s="11">
        <f t="shared" ca="1" si="20"/>
        <v>2.9930000000000002E-2</v>
      </c>
      <c r="R102" s="12">
        <f t="shared" ca="1" si="21"/>
        <v>24.973336038060971</v>
      </c>
      <c r="T102">
        <f t="shared" ca="1" si="31"/>
        <v>2085.4269305931953</v>
      </c>
    </row>
    <row r="103" spans="1:20">
      <c r="A103" s="198">
        <f ca="1">'SAC_IOF Ñ USAR'!A103</f>
        <v>84</v>
      </c>
      <c r="B103" s="197">
        <f t="shared" ca="1" si="28"/>
        <v>47299</v>
      </c>
      <c r="C103" s="196">
        <f t="shared" ca="1" si="22"/>
        <v>889.99100827637426</v>
      </c>
      <c r="D103" s="21">
        <f t="shared" ca="1" si="29"/>
        <v>1187.2480050406784</v>
      </c>
      <c r="E103" s="196">
        <f t="shared" ca="1" si="23"/>
        <v>128158.70519179737</v>
      </c>
      <c r="F103" s="178">
        <f t="shared" ca="1" si="24"/>
        <v>27.100226202015488</v>
      </c>
      <c r="G103" s="178">
        <f t="shared" ca="1" si="25"/>
        <v>26.319999999999997</v>
      </c>
      <c r="H103" s="177">
        <f t="shared" ca="1" si="26"/>
        <v>25</v>
      </c>
      <c r="I103" s="196"/>
      <c r="J103" s="9" t="str">
        <f t="shared" ca="1" si="16"/>
        <v/>
      </c>
      <c r="K103" s="9" t="str">
        <f t="shared" ca="1" si="17"/>
        <v/>
      </c>
      <c r="L103" s="9">
        <f t="shared" ca="1" si="18"/>
        <v>6</v>
      </c>
      <c r="N103" s="176">
        <f t="shared" ca="1" si="27"/>
        <v>31</v>
      </c>
      <c r="O103" s="176">
        <f t="shared" ca="1" si="30"/>
        <v>2579</v>
      </c>
      <c r="P103" s="175">
        <f t="shared" ca="1" si="19"/>
        <v>834.39144798065388</v>
      </c>
      <c r="Q103" s="11">
        <f t="shared" ca="1" si="20"/>
        <v>2.9930000000000002E-2</v>
      </c>
      <c r="R103" s="12">
        <f t="shared" ca="1" si="21"/>
        <v>24.973336038060971</v>
      </c>
      <c r="T103">
        <f t="shared" ca="1" si="31"/>
        <v>2077.2390133170529</v>
      </c>
    </row>
    <row r="104" spans="1:20">
      <c r="A104" s="198">
        <f ca="1">'SAC_IOF Ñ USAR'!A104</f>
        <v>85</v>
      </c>
      <c r="B104" s="197">
        <f t="shared" ca="1" si="28"/>
        <v>47329</v>
      </c>
      <c r="C104" s="196">
        <f t="shared" ca="1" si="22"/>
        <v>889.99100827637426</v>
      </c>
      <c r="D104" s="21">
        <f t="shared" ca="1" si="29"/>
        <v>1179.0600877645359</v>
      </c>
      <c r="E104" s="196">
        <f t="shared" ca="1" si="23"/>
        <v>127268.71418352101</v>
      </c>
      <c r="F104" s="178">
        <f t="shared" ca="1" si="24"/>
        <v>26.913328090277449</v>
      </c>
      <c r="G104" s="178">
        <f t="shared" ca="1" si="25"/>
        <v>26.319999999999997</v>
      </c>
      <c r="H104" s="177">
        <f t="shared" ca="1" si="26"/>
        <v>25</v>
      </c>
      <c r="I104" s="196"/>
      <c r="J104" s="9" t="str">
        <f t="shared" ca="1" si="16"/>
        <v/>
      </c>
      <c r="K104" s="9" t="str">
        <f t="shared" ca="1" si="17"/>
        <v/>
      </c>
      <c r="L104" s="9">
        <f t="shared" ca="1" si="18"/>
        <v>7</v>
      </c>
      <c r="N104" s="176">
        <f t="shared" ca="1" si="27"/>
        <v>30</v>
      </c>
      <c r="O104" s="176">
        <f t="shared" ca="1" si="30"/>
        <v>2609</v>
      </c>
      <c r="P104" s="175">
        <f t="shared" ca="1" si="19"/>
        <v>834.39144798065388</v>
      </c>
      <c r="Q104" s="11">
        <f t="shared" ca="1" si="20"/>
        <v>2.9930000000000002E-2</v>
      </c>
      <c r="R104" s="12">
        <f t="shared" ca="1" si="21"/>
        <v>24.973336038060971</v>
      </c>
      <c r="T104">
        <f t="shared" ca="1" si="31"/>
        <v>2069.0510960409101</v>
      </c>
    </row>
    <row r="105" spans="1:20">
      <c r="A105" s="198">
        <f ca="1">'SAC_IOF Ñ USAR'!A105</f>
        <v>86</v>
      </c>
      <c r="B105" s="197">
        <f t="shared" ca="1" si="28"/>
        <v>47360</v>
      </c>
      <c r="C105" s="196">
        <f t="shared" ca="1" si="22"/>
        <v>889.99100827637426</v>
      </c>
      <c r="D105" s="21">
        <f t="shared" ca="1" si="29"/>
        <v>1170.8721704883933</v>
      </c>
      <c r="E105" s="196">
        <f t="shared" ca="1" si="23"/>
        <v>126378.72317524464</v>
      </c>
      <c r="F105" s="178">
        <f t="shared" ca="1" si="24"/>
        <v>26.726429978539411</v>
      </c>
      <c r="G105" s="178">
        <f t="shared" ca="1" si="25"/>
        <v>26.319999999999997</v>
      </c>
      <c r="H105" s="177">
        <f t="shared" ca="1" si="26"/>
        <v>25</v>
      </c>
      <c r="I105" s="196"/>
      <c r="J105" s="9" t="str">
        <f t="shared" ca="1" si="16"/>
        <v/>
      </c>
      <c r="K105" s="9" t="str">
        <f t="shared" ca="1" si="17"/>
        <v/>
      </c>
      <c r="L105" s="9">
        <f t="shared" ca="1" si="18"/>
        <v>8</v>
      </c>
      <c r="N105" s="176">
        <f t="shared" ca="1" si="27"/>
        <v>31</v>
      </c>
      <c r="O105" s="176">
        <f t="shared" ca="1" si="30"/>
        <v>2640</v>
      </c>
      <c r="P105" s="175">
        <f t="shared" ca="1" si="19"/>
        <v>834.39144798065388</v>
      </c>
      <c r="Q105" s="11">
        <f t="shared" ca="1" si="20"/>
        <v>2.9930000000000002E-2</v>
      </c>
      <c r="R105" s="12">
        <f t="shared" ca="1" si="21"/>
        <v>24.973336038060971</v>
      </c>
      <c r="T105">
        <f t="shared" ca="1" si="31"/>
        <v>2060.8631787647673</v>
      </c>
    </row>
    <row r="106" spans="1:20">
      <c r="A106" s="198">
        <f ca="1">'SAC_IOF Ñ USAR'!A106</f>
        <v>87</v>
      </c>
      <c r="B106" s="197">
        <f t="shared" ca="1" si="28"/>
        <v>47391</v>
      </c>
      <c r="C106" s="196">
        <f t="shared" ca="1" si="22"/>
        <v>889.99100827637426</v>
      </c>
      <c r="D106" s="21">
        <f t="shared" ca="1" si="29"/>
        <v>1162.6842532122507</v>
      </c>
      <c r="E106" s="196">
        <f t="shared" ca="1" si="23"/>
        <v>125488.73216696827</v>
      </c>
      <c r="F106" s="178">
        <f t="shared" ca="1" si="24"/>
        <v>26.539531866801376</v>
      </c>
      <c r="G106" s="178">
        <f t="shared" ca="1" si="25"/>
        <v>26.319999999999997</v>
      </c>
      <c r="H106" s="177">
        <f t="shared" ca="1" si="26"/>
        <v>25</v>
      </c>
      <c r="I106" s="196"/>
      <c r="J106" s="9" t="str">
        <f t="shared" ca="1" si="16"/>
        <v/>
      </c>
      <c r="K106" s="9" t="str">
        <f t="shared" ca="1" si="17"/>
        <v/>
      </c>
      <c r="L106" s="9">
        <f t="shared" ca="1" si="18"/>
        <v>9</v>
      </c>
      <c r="N106" s="176">
        <f t="shared" ca="1" si="27"/>
        <v>31</v>
      </c>
      <c r="O106" s="176">
        <f t="shared" ca="1" si="30"/>
        <v>2671</v>
      </c>
      <c r="P106" s="175">
        <f t="shared" ca="1" si="19"/>
        <v>834.39144798065388</v>
      </c>
      <c r="Q106" s="11">
        <f t="shared" ca="1" si="20"/>
        <v>2.9930000000000002E-2</v>
      </c>
      <c r="R106" s="12">
        <f t="shared" ca="1" si="21"/>
        <v>24.973336038060971</v>
      </c>
      <c r="T106">
        <f t="shared" ca="1" si="31"/>
        <v>2052.675261488625</v>
      </c>
    </row>
    <row r="107" spans="1:20">
      <c r="A107" s="198">
        <f ca="1">'SAC_IOF Ñ USAR'!A107</f>
        <v>88</v>
      </c>
      <c r="B107" s="197">
        <f t="shared" ca="1" si="28"/>
        <v>47421</v>
      </c>
      <c r="C107" s="196">
        <f t="shared" ca="1" si="22"/>
        <v>889.99100827637426</v>
      </c>
      <c r="D107" s="21">
        <f t="shared" ca="1" si="29"/>
        <v>1154.4963359361082</v>
      </c>
      <c r="E107" s="196">
        <f t="shared" ca="1" si="23"/>
        <v>124598.7411586919</v>
      </c>
      <c r="F107" s="178">
        <f t="shared" ca="1" si="24"/>
        <v>26.352633755063337</v>
      </c>
      <c r="G107" s="178">
        <f t="shared" ca="1" si="25"/>
        <v>26.319999999999997</v>
      </c>
      <c r="H107" s="177">
        <f t="shared" ca="1" si="26"/>
        <v>25</v>
      </c>
      <c r="I107" s="196"/>
      <c r="J107" s="9" t="str">
        <f t="shared" ca="1" si="16"/>
        <v/>
      </c>
      <c r="K107" s="9" t="str">
        <f t="shared" ca="1" si="17"/>
        <v/>
      </c>
      <c r="L107" s="9">
        <f t="shared" ca="1" si="18"/>
        <v>10</v>
      </c>
      <c r="N107" s="176">
        <f t="shared" ca="1" si="27"/>
        <v>30</v>
      </c>
      <c r="O107" s="176">
        <f t="shared" ca="1" si="30"/>
        <v>2701</v>
      </c>
      <c r="P107" s="175">
        <f t="shared" ca="1" si="19"/>
        <v>834.39144798065388</v>
      </c>
      <c r="Q107" s="11">
        <f t="shared" ca="1" si="20"/>
        <v>2.9930000000000002E-2</v>
      </c>
      <c r="R107" s="12">
        <f t="shared" ca="1" si="21"/>
        <v>24.973336038060971</v>
      </c>
      <c r="T107">
        <f t="shared" ca="1" si="31"/>
        <v>2044.4873442124824</v>
      </c>
    </row>
    <row r="108" spans="1:20">
      <c r="A108" s="198">
        <f ca="1">'SAC_IOF Ñ USAR'!A108</f>
        <v>89</v>
      </c>
      <c r="B108" s="197">
        <f t="shared" ca="1" si="28"/>
        <v>47452</v>
      </c>
      <c r="C108" s="196">
        <f t="shared" ca="1" si="22"/>
        <v>889.99100827637426</v>
      </c>
      <c r="D108" s="21">
        <f t="shared" ca="1" si="29"/>
        <v>1146.3084186599656</v>
      </c>
      <c r="E108" s="196">
        <f t="shared" ca="1" si="23"/>
        <v>123708.75015041554</v>
      </c>
      <c r="F108" s="178">
        <f t="shared" ca="1" si="24"/>
        <v>26.165735643325302</v>
      </c>
      <c r="G108" s="178">
        <f t="shared" ca="1" si="25"/>
        <v>26.319999999999997</v>
      </c>
      <c r="H108" s="177">
        <f t="shared" ca="1" si="26"/>
        <v>25</v>
      </c>
      <c r="I108" s="196"/>
      <c r="J108" s="9" t="str">
        <f t="shared" ca="1" si="16"/>
        <v/>
      </c>
      <c r="K108" s="9" t="str">
        <f t="shared" ca="1" si="17"/>
        <v/>
      </c>
      <c r="L108" s="9">
        <f t="shared" ca="1" si="18"/>
        <v>11</v>
      </c>
      <c r="N108" s="176">
        <f t="shared" ca="1" si="27"/>
        <v>31</v>
      </c>
      <c r="O108" s="176">
        <f t="shared" ca="1" si="30"/>
        <v>2732</v>
      </c>
      <c r="P108" s="175">
        <f t="shared" ca="1" si="19"/>
        <v>834.39144798065388</v>
      </c>
      <c r="Q108" s="11">
        <f t="shared" ca="1" si="20"/>
        <v>2.9930000000000002E-2</v>
      </c>
      <c r="R108" s="12">
        <f t="shared" ca="1" si="21"/>
        <v>24.973336038060971</v>
      </c>
      <c r="T108">
        <f t="shared" ca="1" si="31"/>
        <v>2036.2994269363398</v>
      </c>
    </row>
    <row r="109" spans="1:20">
      <c r="A109" s="198">
        <f ca="1">'SAC_IOF Ñ USAR'!A109</f>
        <v>90</v>
      </c>
      <c r="B109" s="197">
        <f t="shared" ca="1" si="28"/>
        <v>47482</v>
      </c>
      <c r="C109" s="196">
        <f t="shared" ca="1" si="22"/>
        <v>889.99100827637426</v>
      </c>
      <c r="D109" s="21">
        <f t="shared" ca="1" si="29"/>
        <v>1138.120501383823</v>
      </c>
      <c r="E109" s="196">
        <f t="shared" ca="1" si="23"/>
        <v>122818.75914213917</v>
      </c>
      <c r="F109" s="178">
        <f t="shared" ca="1" si="24"/>
        <v>25.978837531587263</v>
      </c>
      <c r="G109" s="178">
        <f t="shared" ca="1" si="25"/>
        <v>26.319999999999997</v>
      </c>
      <c r="H109" s="177">
        <f t="shared" ca="1" si="26"/>
        <v>25</v>
      </c>
      <c r="I109" s="196"/>
      <c r="J109" s="9" t="str">
        <f t="shared" ca="1" si="16"/>
        <v/>
      </c>
      <c r="K109" s="9" t="str">
        <f t="shared" ca="1" si="17"/>
        <v/>
      </c>
      <c r="L109" s="9">
        <f t="shared" ca="1" si="18"/>
        <v>12</v>
      </c>
      <c r="N109" s="176">
        <f t="shared" ca="1" si="27"/>
        <v>30</v>
      </c>
      <c r="O109" s="176">
        <f t="shared" ca="1" si="30"/>
        <v>2762</v>
      </c>
      <c r="P109" s="175">
        <f t="shared" ca="1" si="19"/>
        <v>834.39144798065388</v>
      </c>
      <c r="Q109" s="11">
        <f t="shared" ca="1" si="20"/>
        <v>2.9930000000000002E-2</v>
      </c>
      <c r="R109" s="12">
        <f t="shared" ca="1" si="21"/>
        <v>24.973336038060971</v>
      </c>
      <c r="T109">
        <f t="shared" ca="1" si="31"/>
        <v>2028.1115096601973</v>
      </c>
    </row>
    <row r="110" spans="1:20">
      <c r="A110" s="198">
        <f ca="1">'SAC_IOF Ñ USAR'!A110</f>
        <v>91</v>
      </c>
      <c r="B110" s="197">
        <f t="shared" ca="1" si="28"/>
        <v>47513</v>
      </c>
      <c r="C110" s="196">
        <f t="shared" ca="1" si="22"/>
        <v>889.99100827637426</v>
      </c>
      <c r="D110" s="21">
        <f t="shared" ca="1" si="29"/>
        <v>1129.9325841076804</v>
      </c>
      <c r="E110" s="196">
        <f t="shared" ca="1" si="23"/>
        <v>121928.7681338628</v>
      </c>
      <c r="F110" s="178">
        <f t="shared" ca="1" si="24"/>
        <v>25.791939419849228</v>
      </c>
      <c r="G110" s="178">
        <f t="shared" ca="1" si="25"/>
        <v>26.319999999999997</v>
      </c>
      <c r="H110" s="177">
        <f t="shared" ca="1" si="26"/>
        <v>25</v>
      </c>
      <c r="I110" s="196"/>
      <c r="J110" s="9" t="str">
        <f t="shared" ca="1" si="16"/>
        <v/>
      </c>
      <c r="K110" s="9" t="str">
        <f t="shared" ca="1" si="17"/>
        <v/>
      </c>
      <c r="L110" s="9">
        <f t="shared" ca="1" si="18"/>
        <v>1</v>
      </c>
      <c r="N110" s="176">
        <f t="shared" ca="1" si="27"/>
        <v>31</v>
      </c>
      <c r="O110" s="176">
        <f t="shared" ca="1" si="30"/>
        <v>2793</v>
      </c>
      <c r="P110" s="175">
        <f t="shared" ca="1" si="19"/>
        <v>834.39144798065388</v>
      </c>
      <c r="Q110" s="11">
        <f t="shared" ca="1" si="20"/>
        <v>2.9930000000000002E-2</v>
      </c>
      <c r="R110" s="12">
        <f t="shared" ca="1" si="21"/>
        <v>24.973336038060971</v>
      </c>
      <c r="T110">
        <f t="shared" ca="1" si="31"/>
        <v>2019.9235923840547</v>
      </c>
    </row>
    <row r="111" spans="1:20">
      <c r="A111" s="198">
        <f ca="1">'SAC_IOF Ñ USAR'!A111</f>
        <v>92</v>
      </c>
      <c r="B111" s="197">
        <f t="shared" ca="1" si="28"/>
        <v>47542</v>
      </c>
      <c r="C111" s="196">
        <f t="shared" ca="1" si="22"/>
        <v>889.99100827637426</v>
      </c>
      <c r="D111" s="21">
        <f t="shared" ca="1" si="29"/>
        <v>1121.7446668315379</v>
      </c>
      <c r="E111" s="196">
        <f t="shared" ca="1" si="23"/>
        <v>121038.77712558644</v>
      </c>
      <c r="F111" s="178">
        <f t="shared" ca="1" si="24"/>
        <v>25.60504130811119</v>
      </c>
      <c r="G111" s="178">
        <f t="shared" ca="1" si="25"/>
        <v>26.319999999999997</v>
      </c>
      <c r="H111" s="177">
        <f t="shared" ca="1" si="26"/>
        <v>25</v>
      </c>
      <c r="I111" s="196"/>
      <c r="J111" s="9" t="str">
        <f t="shared" ca="1" si="16"/>
        <v/>
      </c>
      <c r="K111" s="9" t="str">
        <f t="shared" ca="1" si="17"/>
        <v/>
      </c>
      <c r="L111" s="9">
        <f t="shared" ca="1" si="18"/>
        <v>2</v>
      </c>
      <c r="N111" s="176">
        <f t="shared" ca="1" si="27"/>
        <v>29</v>
      </c>
      <c r="O111" s="176">
        <f t="shared" ca="1" si="30"/>
        <v>2822</v>
      </c>
      <c r="P111" s="175">
        <f t="shared" ca="1" si="19"/>
        <v>834.39144798065388</v>
      </c>
      <c r="Q111" s="11">
        <f t="shared" ca="1" si="20"/>
        <v>2.9930000000000002E-2</v>
      </c>
      <c r="R111" s="12">
        <f t="shared" ca="1" si="21"/>
        <v>24.973336038060971</v>
      </c>
      <c r="T111">
        <f t="shared" ca="1" si="31"/>
        <v>2011.7356751079121</v>
      </c>
    </row>
    <row r="112" spans="1:20">
      <c r="A112" s="198">
        <f ca="1">'SAC_IOF Ñ USAR'!A112</f>
        <v>93</v>
      </c>
      <c r="B112" s="197">
        <f t="shared" ca="1" si="28"/>
        <v>47572</v>
      </c>
      <c r="C112" s="196">
        <f t="shared" ca="1" si="22"/>
        <v>889.99100827637426</v>
      </c>
      <c r="D112" s="21">
        <f t="shared" ca="1" si="29"/>
        <v>1113.5567495553953</v>
      </c>
      <c r="E112" s="196">
        <f t="shared" ca="1" si="23"/>
        <v>120148.78611731007</v>
      </c>
      <c r="F112" s="178">
        <f t="shared" ca="1" si="24"/>
        <v>25.418143196373151</v>
      </c>
      <c r="G112" s="178">
        <f t="shared" ca="1" si="25"/>
        <v>26.319999999999997</v>
      </c>
      <c r="H112" s="177">
        <f t="shared" ca="1" si="26"/>
        <v>25</v>
      </c>
      <c r="I112" s="196"/>
      <c r="J112" s="9" t="str">
        <f t="shared" ca="1" si="16"/>
        <v/>
      </c>
      <c r="K112" s="9" t="str">
        <f t="shared" ca="1" si="17"/>
        <v/>
      </c>
      <c r="L112" s="9">
        <f t="shared" ca="1" si="18"/>
        <v>3</v>
      </c>
      <c r="N112" s="176">
        <f t="shared" ca="1" si="27"/>
        <v>30</v>
      </c>
      <c r="O112" s="176">
        <f t="shared" ca="1" si="30"/>
        <v>2852</v>
      </c>
      <c r="P112" s="175">
        <f t="shared" ca="1" si="19"/>
        <v>834.39144798065388</v>
      </c>
      <c r="Q112" s="11">
        <f t="shared" ca="1" si="20"/>
        <v>2.9930000000000002E-2</v>
      </c>
      <c r="R112" s="12">
        <f t="shared" ca="1" si="21"/>
        <v>24.973336038060971</v>
      </c>
      <c r="T112">
        <f t="shared" ca="1" si="31"/>
        <v>2003.5477578317696</v>
      </c>
    </row>
    <row r="113" spans="1:20">
      <c r="A113" s="198">
        <f ca="1">'SAC_IOF Ñ USAR'!A113</f>
        <v>94</v>
      </c>
      <c r="B113" s="197">
        <f t="shared" ca="1" si="28"/>
        <v>47603</v>
      </c>
      <c r="C113" s="196">
        <f t="shared" ca="1" si="22"/>
        <v>889.99100827637426</v>
      </c>
      <c r="D113" s="21">
        <f t="shared" ca="1" si="29"/>
        <v>1105.3688322792525</v>
      </c>
      <c r="E113" s="196">
        <f t="shared" ca="1" si="23"/>
        <v>119258.7951090337</v>
      </c>
      <c r="F113" s="178">
        <f t="shared" ca="1" si="24"/>
        <v>25.231245084635116</v>
      </c>
      <c r="G113" s="178">
        <f t="shared" ca="1" si="25"/>
        <v>26.319999999999997</v>
      </c>
      <c r="H113" s="177">
        <f t="shared" ca="1" si="26"/>
        <v>25</v>
      </c>
      <c r="I113" s="196"/>
      <c r="J113" s="9" t="str">
        <f t="shared" ca="1" si="16"/>
        <v/>
      </c>
      <c r="K113" s="9" t="str">
        <f t="shared" ca="1" si="17"/>
        <v/>
      </c>
      <c r="L113" s="9">
        <f t="shared" ca="1" si="18"/>
        <v>4</v>
      </c>
      <c r="N113" s="176">
        <f t="shared" ca="1" si="27"/>
        <v>31</v>
      </c>
      <c r="O113" s="176">
        <f t="shared" ca="1" si="30"/>
        <v>2883</v>
      </c>
      <c r="P113" s="175">
        <f t="shared" ca="1" si="19"/>
        <v>834.39144798065388</v>
      </c>
      <c r="Q113" s="11">
        <f t="shared" ca="1" si="20"/>
        <v>2.9930000000000002E-2</v>
      </c>
      <c r="R113" s="12">
        <f t="shared" ca="1" si="21"/>
        <v>24.973336038060971</v>
      </c>
      <c r="T113">
        <f t="shared" ca="1" si="31"/>
        <v>1995.3598405556268</v>
      </c>
    </row>
    <row r="114" spans="1:20">
      <c r="A114" s="198">
        <f ca="1">'SAC_IOF Ñ USAR'!A114</f>
        <v>95</v>
      </c>
      <c r="B114" s="197">
        <f t="shared" ca="1" si="28"/>
        <v>47633</v>
      </c>
      <c r="C114" s="196">
        <f t="shared" ca="1" si="22"/>
        <v>889.99100827637426</v>
      </c>
      <c r="D114" s="21">
        <f t="shared" ca="1" si="29"/>
        <v>1097.1809150031099</v>
      </c>
      <c r="E114" s="196">
        <f t="shared" ca="1" si="23"/>
        <v>118368.80410075733</v>
      </c>
      <c r="F114" s="178">
        <f t="shared" ca="1" si="24"/>
        <v>25.044346972897078</v>
      </c>
      <c r="G114" s="178">
        <f t="shared" ca="1" si="25"/>
        <v>26.319999999999997</v>
      </c>
      <c r="H114" s="177">
        <f t="shared" ca="1" si="26"/>
        <v>25</v>
      </c>
      <c r="I114" s="196"/>
      <c r="J114" s="9" t="str">
        <f t="shared" ca="1" si="16"/>
        <v/>
      </c>
      <c r="K114" s="9" t="str">
        <f t="shared" ca="1" si="17"/>
        <v/>
      </c>
      <c r="L114" s="9">
        <f t="shared" ca="1" si="18"/>
        <v>5</v>
      </c>
      <c r="N114" s="176">
        <f t="shared" ca="1" si="27"/>
        <v>30</v>
      </c>
      <c r="O114" s="176">
        <f t="shared" ca="1" si="30"/>
        <v>2913</v>
      </c>
      <c r="P114" s="175">
        <f t="shared" ca="1" si="19"/>
        <v>834.39144798065388</v>
      </c>
      <c r="Q114" s="11">
        <f t="shared" ca="1" si="20"/>
        <v>2.9930000000000002E-2</v>
      </c>
      <c r="R114" s="12">
        <f t="shared" ca="1" si="21"/>
        <v>24.973336038060971</v>
      </c>
      <c r="T114">
        <f t="shared" ca="1" si="31"/>
        <v>1987.1719232794842</v>
      </c>
    </row>
    <row r="115" spans="1:20">
      <c r="A115" s="198">
        <f ca="1">'SAC_IOF Ñ USAR'!A115</f>
        <v>96</v>
      </c>
      <c r="B115" s="197">
        <f t="shared" ca="1" si="28"/>
        <v>47664</v>
      </c>
      <c r="C115" s="196">
        <f t="shared" ca="1" si="22"/>
        <v>889.99100827637426</v>
      </c>
      <c r="D115" s="21">
        <f t="shared" ca="1" si="29"/>
        <v>1088.9929977269674</v>
      </c>
      <c r="E115" s="196">
        <f t="shared" ca="1" si="23"/>
        <v>117478.81309248097</v>
      </c>
      <c r="F115" s="178">
        <f t="shared" ca="1" si="24"/>
        <v>24.857448861159043</v>
      </c>
      <c r="G115" s="178">
        <f t="shared" ca="1" si="25"/>
        <v>26.319999999999997</v>
      </c>
      <c r="H115" s="177">
        <f t="shared" ca="1" si="26"/>
        <v>25</v>
      </c>
      <c r="I115" s="196"/>
      <c r="J115" s="9" t="str">
        <f t="shared" ca="1" si="16"/>
        <v/>
      </c>
      <c r="K115" s="9" t="str">
        <f t="shared" ca="1" si="17"/>
        <v/>
      </c>
      <c r="L115" s="9">
        <f t="shared" ca="1" si="18"/>
        <v>6</v>
      </c>
      <c r="N115" s="176">
        <f t="shared" ca="1" si="27"/>
        <v>31</v>
      </c>
      <c r="O115" s="176">
        <f t="shared" ca="1" si="30"/>
        <v>2944</v>
      </c>
      <c r="P115" s="175">
        <f t="shared" ca="1" si="19"/>
        <v>834.39144798065388</v>
      </c>
      <c r="Q115" s="11">
        <f t="shared" ca="1" si="20"/>
        <v>2.9930000000000002E-2</v>
      </c>
      <c r="R115" s="12">
        <f t="shared" ca="1" si="21"/>
        <v>24.973336038060971</v>
      </c>
      <c r="T115">
        <f t="shared" ca="1" si="31"/>
        <v>1978.9840060033416</v>
      </c>
    </row>
    <row r="116" spans="1:20">
      <c r="A116" s="198">
        <f ca="1">'SAC_IOF Ñ USAR'!A116</f>
        <v>97</v>
      </c>
      <c r="B116" s="197">
        <f t="shared" ca="1" si="28"/>
        <v>47694</v>
      </c>
      <c r="C116" s="196">
        <f t="shared" ca="1" si="22"/>
        <v>889.99100827637426</v>
      </c>
      <c r="D116" s="21">
        <f t="shared" ca="1" si="29"/>
        <v>1080.8050804508248</v>
      </c>
      <c r="E116" s="196">
        <f t="shared" ca="1" si="23"/>
        <v>116588.8220842046</v>
      </c>
      <c r="F116" s="178">
        <f t="shared" ca="1" si="24"/>
        <v>24.670550749421004</v>
      </c>
      <c r="G116" s="178">
        <f t="shared" ca="1" si="25"/>
        <v>26.319999999999997</v>
      </c>
      <c r="H116" s="177">
        <f t="shared" ca="1" si="26"/>
        <v>25</v>
      </c>
      <c r="I116" s="196"/>
      <c r="J116" s="9" t="str">
        <f t="shared" ca="1" si="16"/>
        <v/>
      </c>
      <c r="K116" s="9" t="str">
        <f t="shared" ca="1" si="17"/>
        <v/>
      </c>
      <c r="L116" s="9">
        <f t="shared" ca="1" si="18"/>
        <v>7</v>
      </c>
      <c r="N116" s="176">
        <f t="shared" ca="1" si="27"/>
        <v>30</v>
      </c>
      <c r="O116" s="176">
        <f t="shared" ca="1" si="30"/>
        <v>2974</v>
      </c>
      <c r="P116" s="175">
        <f t="shared" ca="1" si="19"/>
        <v>834.39144798065388</v>
      </c>
      <c r="Q116" s="11">
        <f t="shared" ca="1" si="20"/>
        <v>2.9930000000000002E-2</v>
      </c>
      <c r="R116" s="12">
        <f t="shared" ca="1" si="21"/>
        <v>24.973336038060971</v>
      </c>
      <c r="T116">
        <f t="shared" ca="1" si="31"/>
        <v>1970.796088727199</v>
      </c>
    </row>
    <row r="117" spans="1:20">
      <c r="A117" s="198">
        <f ca="1">'SAC_IOF Ñ USAR'!A117</f>
        <v>98</v>
      </c>
      <c r="B117" s="197">
        <f t="shared" ca="1" si="28"/>
        <v>47725</v>
      </c>
      <c r="C117" s="196">
        <f t="shared" ca="1" si="22"/>
        <v>889.99100827637426</v>
      </c>
      <c r="D117" s="21">
        <f t="shared" ca="1" si="29"/>
        <v>1072.6171631746822</v>
      </c>
      <c r="E117" s="196">
        <f t="shared" ca="1" si="23"/>
        <v>115698.83107592823</v>
      </c>
      <c r="F117" s="178">
        <f t="shared" ca="1" si="24"/>
        <v>24.483652637682965</v>
      </c>
      <c r="G117" s="178">
        <f t="shared" ca="1" si="25"/>
        <v>26.319999999999997</v>
      </c>
      <c r="H117" s="177">
        <f t="shared" ca="1" si="26"/>
        <v>25</v>
      </c>
      <c r="I117" s="196"/>
      <c r="J117" s="9" t="str">
        <f t="shared" ca="1" si="16"/>
        <v/>
      </c>
      <c r="K117" s="9" t="str">
        <f t="shared" ca="1" si="17"/>
        <v/>
      </c>
      <c r="L117" s="9">
        <f t="shared" ca="1" si="18"/>
        <v>8</v>
      </c>
      <c r="N117" s="176">
        <f t="shared" ca="1" si="27"/>
        <v>31</v>
      </c>
      <c r="O117" s="176">
        <f t="shared" ca="1" si="30"/>
        <v>3005</v>
      </c>
      <c r="P117" s="175">
        <f t="shared" ca="1" si="19"/>
        <v>834.39144798065388</v>
      </c>
      <c r="Q117" s="11">
        <f t="shared" ca="1" si="20"/>
        <v>2.9930000000000002E-2</v>
      </c>
      <c r="R117" s="12">
        <f t="shared" ca="1" si="21"/>
        <v>24.973336038060971</v>
      </c>
      <c r="T117">
        <f t="shared" ca="1" si="31"/>
        <v>1962.6081714510565</v>
      </c>
    </row>
    <row r="118" spans="1:20">
      <c r="A118" s="198">
        <f ca="1">'SAC_IOF Ñ USAR'!A118</f>
        <v>99</v>
      </c>
      <c r="B118" s="197">
        <f t="shared" ca="1" si="28"/>
        <v>47756</v>
      </c>
      <c r="C118" s="196">
        <f t="shared" ca="1" si="22"/>
        <v>889.99100827637426</v>
      </c>
      <c r="D118" s="21">
        <f t="shared" ca="1" si="29"/>
        <v>1064.4292458985396</v>
      </c>
      <c r="E118" s="196">
        <f t="shared" ca="1" si="23"/>
        <v>114808.84006765186</v>
      </c>
      <c r="F118" s="178">
        <f t="shared" ca="1" si="24"/>
        <v>24.29675452594493</v>
      </c>
      <c r="G118" s="178">
        <f t="shared" ca="1" si="25"/>
        <v>26.319999999999997</v>
      </c>
      <c r="H118" s="177">
        <f t="shared" ca="1" si="26"/>
        <v>25</v>
      </c>
      <c r="I118" s="196"/>
      <c r="J118" s="9" t="str">
        <f t="shared" ca="1" si="16"/>
        <v/>
      </c>
      <c r="K118" s="9" t="str">
        <f t="shared" ca="1" si="17"/>
        <v/>
      </c>
      <c r="L118" s="9">
        <f t="shared" ca="1" si="18"/>
        <v>9</v>
      </c>
      <c r="N118" s="176">
        <f t="shared" ca="1" si="27"/>
        <v>31</v>
      </c>
      <c r="O118" s="176">
        <f t="shared" ca="1" si="30"/>
        <v>3036</v>
      </c>
      <c r="P118" s="175">
        <f t="shared" ca="1" si="19"/>
        <v>834.39144798065388</v>
      </c>
      <c r="Q118" s="11">
        <f t="shared" ca="1" si="20"/>
        <v>2.9930000000000002E-2</v>
      </c>
      <c r="R118" s="12">
        <f t="shared" ca="1" si="21"/>
        <v>24.973336038060971</v>
      </c>
      <c r="T118">
        <f t="shared" ca="1" si="31"/>
        <v>1954.4202541749139</v>
      </c>
    </row>
    <row r="119" spans="1:20">
      <c r="A119" s="198">
        <f ca="1">'SAC_IOF Ñ USAR'!A119</f>
        <v>100</v>
      </c>
      <c r="B119" s="197">
        <f t="shared" ca="1" si="28"/>
        <v>47786</v>
      </c>
      <c r="C119" s="196">
        <f t="shared" ca="1" si="22"/>
        <v>889.99100827637426</v>
      </c>
      <c r="D119" s="21">
        <f t="shared" ca="1" si="29"/>
        <v>1056.2413286223971</v>
      </c>
      <c r="E119" s="196">
        <f t="shared" ca="1" si="23"/>
        <v>113918.8490593755</v>
      </c>
      <c r="F119" s="178">
        <f t="shared" ca="1" si="24"/>
        <v>24.109856414206892</v>
      </c>
      <c r="G119" s="178">
        <f t="shared" ca="1" si="25"/>
        <v>26.319999999999997</v>
      </c>
      <c r="H119" s="177">
        <f t="shared" ca="1" si="26"/>
        <v>25</v>
      </c>
      <c r="I119" s="196"/>
      <c r="J119" s="9" t="str">
        <f t="shared" ca="1" si="16"/>
        <v/>
      </c>
      <c r="K119" s="9" t="str">
        <f t="shared" ca="1" si="17"/>
        <v/>
      </c>
      <c r="L119" s="9">
        <f t="shared" ca="1" si="18"/>
        <v>10</v>
      </c>
      <c r="N119" s="176">
        <f t="shared" ca="1" si="27"/>
        <v>30</v>
      </c>
      <c r="O119" s="176">
        <f t="shared" ca="1" si="30"/>
        <v>3066</v>
      </c>
      <c r="P119" s="175">
        <f t="shared" ca="1" si="19"/>
        <v>834.39144798065388</v>
      </c>
      <c r="Q119" s="11">
        <f t="shared" ca="1" si="20"/>
        <v>2.9930000000000002E-2</v>
      </c>
      <c r="R119" s="12">
        <f t="shared" ca="1" si="21"/>
        <v>24.973336038060971</v>
      </c>
      <c r="T119">
        <f t="shared" ca="1" si="31"/>
        <v>1946.2323368987713</v>
      </c>
    </row>
    <row r="120" spans="1:20">
      <c r="A120" s="198">
        <f ca="1">'SAC_IOF Ñ USAR'!A120</f>
        <v>101</v>
      </c>
      <c r="B120" s="197">
        <f t="shared" ca="1" si="28"/>
        <v>47817</v>
      </c>
      <c r="C120" s="196">
        <f t="shared" ca="1" si="22"/>
        <v>889.99100827637426</v>
      </c>
      <c r="D120" s="21">
        <f t="shared" ca="1" si="29"/>
        <v>1048.0534113462545</v>
      </c>
      <c r="E120" s="196">
        <f t="shared" ca="1" si="23"/>
        <v>113028.85805109913</v>
      </c>
      <c r="F120" s="178">
        <f t="shared" ca="1" si="24"/>
        <v>23.922958302468857</v>
      </c>
      <c r="G120" s="178">
        <f t="shared" ca="1" si="25"/>
        <v>26.319999999999997</v>
      </c>
      <c r="H120" s="177">
        <f t="shared" ca="1" si="26"/>
        <v>25</v>
      </c>
      <c r="I120" s="196"/>
      <c r="J120" s="9" t="str">
        <f t="shared" ca="1" si="16"/>
        <v/>
      </c>
      <c r="K120" s="9" t="str">
        <f t="shared" ca="1" si="17"/>
        <v/>
      </c>
      <c r="L120" s="9">
        <f t="shared" ca="1" si="18"/>
        <v>11</v>
      </c>
      <c r="N120" s="176">
        <f t="shared" ca="1" si="27"/>
        <v>31</v>
      </c>
      <c r="O120" s="176">
        <f t="shared" ca="1" si="30"/>
        <v>3097</v>
      </c>
      <c r="P120" s="175">
        <f t="shared" ca="1" si="19"/>
        <v>834.39144798065388</v>
      </c>
      <c r="Q120" s="11">
        <f t="shared" ca="1" si="20"/>
        <v>2.9930000000000002E-2</v>
      </c>
      <c r="R120" s="12">
        <f t="shared" ca="1" si="21"/>
        <v>24.973336038060971</v>
      </c>
      <c r="T120">
        <f t="shared" ca="1" si="31"/>
        <v>1938.0444196226288</v>
      </c>
    </row>
    <row r="121" spans="1:20">
      <c r="A121" s="198">
        <f ca="1">'SAC_IOF Ñ USAR'!A121</f>
        <v>102</v>
      </c>
      <c r="B121" s="197">
        <f t="shared" ca="1" si="28"/>
        <v>47847</v>
      </c>
      <c r="C121" s="196">
        <f t="shared" ca="1" si="22"/>
        <v>889.99100827637426</v>
      </c>
      <c r="D121" s="21">
        <f t="shared" ca="1" si="29"/>
        <v>1039.8654940701119</v>
      </c>
      <c r="E121" s="196">
        <f t="shared" ca="1" si="23"/>
        <v>112138.86704282276</v>
      </c>
      <c r="F121" s="178">
        <f t="shared" ca="1" si="24"/>
        <v>23.736060190730818</v>
      </c>
      <c r="G121" s="178">
        <f t="shared" ca="1" si="25"/>
        <v>26.319999999999997</v>
      </c>
      <c r="H121" s="177">
        <f t="shared" ca="1" si="26"/>
        <v>25</v>
      </c>
      <c r="I121" s="196"/>
      <c r="J121" s="9" t="str">
        <f t="shared" ca="1" si="16"/>
        <v/>
      </c>
      <c r="K121" s="9" t="str">
        <f t="shared" ca="1" si="17"/>
        <v/>
      </c>
      <c r="L121" s="9">
        <f t="shared" ca="1" si="18"/>
        <v>12</v>
      </c>
      <c r="N121" s="176">
        <f t="shared" ca="1" si="27"/>
        <v>30</v>
      </c>
      <c r="O121" s="176">
        <f t="shared" ca="1" si="30"/>
        <v>3127</v>
      </c>
      <c r="P121" s="175">
        <f t="shared" ca="1" si="19"/>
        <v>834.39144798065388</v>
      </c>
      <c r="Q121" s="11">
        <f t="shared" ca="1" si="20"/>
        <v>2.9930000000000002E-2</v>
      </c>
      <c r="R121" s="12">
        <f t="shared" ca="1" si="21"/>
        <v>24.973336038060971</v>
      </c>
      <c r="T121">
        <f t="shared" ca="1" si="31"/>
        <v>1929.8565023464862</v>
      </c>
    </row>
    <row r="122" spans="1:20">
      <c r="A122" s="198">
        <f ca="1">'SAC_IOF Ñ USAR'!A122</f>
        <v>103</v>
      </c>
      <c r="B122" s="197">
        <f t="shared" ca="1" si="28"/>
        <v>47878</v>
      </c>
      <c r="C122" s="196">
        <f t="shared" ca="1" si="22"/>
        <v>889.99100827637426</v>
      </c>
      <c r="D122" s="21">
        <f t="shared" ca="1" si="29"/>
        <v>1031.6775767939694</v>
      </c>
      <c r="E122" s="196">
        <f t="shared" ca="1" si="23"/>
        <v>111248.8760345464</v>
      </c>
      <c r="F122" s="178">
        <f t="shared" ca="1" si="24"/>
        <v>23.549162078992783</v>
      </c>
      <c r="G122" s="178">
        <f t="shared" ca="1" si="25"/>
        <v>26.319999999999997</v>
      </c>
      <c r="H122" s="177">
        <f t="shared" ca="1" si="26"/>
        <v>25</v>
      </c>
      <c r="I122" s="196"/>
      <c r="J122" s="9" t="str">
        <f t="shared" ca="1" si="16"/>
        <v/>
      </c>
      <c r="K122" s="9" t="str">
        <f t="shared" ca="1" si="17"/>
        <v/>
      </c>
      <c r="L122" s="9">
        <f t="shared" ca="1" si="18"/>
        <v>1</v>
      </c>
      <c r="N122" s="176">
        <f t="shared" ca="1" si="27"/>
        <v>31</v>
      </c>
      <c r="O122" s="176">
        <f t="shared" ca="1" si="30"/>
        <v>3158</v>
      </c>
      <c r="P122" s="175">
        <f t="shared" ca="1" si="19"/>
        <v>834.39144798065388</v>
      </c>
      <c r="Q122" s="11">
        <f t="shared" ca="1" si="20"/>
        <v>2.9930000000000002E-2</v>
      </c>
      <c r="R122" s="12">
        <f t="shared" ca="1" si="21"/>
        <v>24.973336038060971</v>
      </c>
      <c r="T122">
        <f t="shared" ca="1" si="31"/>
        <v>1921.6685850703436</v>
      </c>
    </row>
    <row r="123" spans="1:20">
      <c r="A123" s="198">
        <f ca="1">'SAC_IOF Ñ USAR'!A123</f>
        <v>104</v>
      </c>
      <c r="B123" s="197">
        <f t="shared" ca="1" si="28"/>
        <v>47907</v>
      </c>
      <c r="C123" s="196">
        <f t="shared" ca="1" si="22"/>
        <v>889.99100827637426</v>
      </c>
      <c r="D123" s="21">
        <f t="shared" ca="1" si="29"/>
        <v>1023.4896595178268</v>
      </c>
      <c r="E123" s="196">
        <f t="shared" ca="1" si="23"/>
        <v>110358.88502627003</v>
      </c>
      <c r="F123" s="178">
        <f t="shared" ca="1" si="24"/>
        <v>23.362263967254744</v>
      </c>
      <c r="G123" s="178">
        <f t="shared" ca="1" si="25"/>
        <v>26.319999999999997</v>
      </c>
      <c r="H123" s="177">
        <f t="shared" ca="1" si="26"/>
        <v>25</v>
      </c>
      <c r="I123" s="196"/>
      <c r="J123" s="9" t="str">
        <f t="shared" ca="1" si="16"/>
        <v/>
      </c>
      <c r="K123" s="9" t="str">
        <f t="shared" ca="1" si="17"/>
        <v/>
      </c>
      <c r="L123" s="9">
        <f t="shared" ca="1" si="18"/>
        <v>2</v>
      </c>
      <c r="N123" s="176">
        <f t="shared" ca="1" si="27"/>
        <v>29</v>
      </c>
      <c r="O123" s="176">
        <f t="shared" ca="1" si="30"/>
        <v>3187</v>
      </c>
      <c r="P123" s="175">
        <f t="shared" ca="1" si="19"/>
        <v>834.39144798065388</v>
      </c>
      <c r="Q123" s="11">
        <f t="shared" ca="1" si="20"/>
        <v>2.9930000000000002E-2</v>
      </c>
      <c r="R123" s="12">
        <f t="shared" ca="1" si="21"/>
        <v>24.973336038060971</v>
      </c>
      <c r="T123">
        <f t="shared" ca="1" si="31"/>
        <v>1913.4806677942011</v>
      </c>
    </row>
    <row r="124" spans="1:20">
      <c r="A124" s="198">
        <f ca="1">'SAC_IOF Ñ USAR'!A124</f>
        <v>105</v>
      </c>
      <c r="B124" s="197">
        <f t="shared" ca="1" si="28"/>
        <v>47937</v>
      </c>
      <c r="C124" s="196">
        <f t="shared" ca="1" si="22"/>
        <v>889.99100827637426</v>
      </c>
      <c r="D124" s="21">
        <f t="shared" ca="1" si="29"/>
        <v>1015.3017422416842</v>
      </c>
      <c r="E124" s="196">
        <f t="shared" ca="1" si="23"/>
        <v>109468.89401799366</v>
      </c>
      <c r="F124" s="178">
        <f t="shared" ca="1" si="24"/>
        <v>23.175365855516706</v>
      </c>
      <c r="G124" s="178">
        <f t="shared" ca="1" si="25"/>
        <v>26.319999999999997</v>
      </c>
      <c r="H124" s="177">
        <f t="shared" ca="1" si="26"/>
        <v>25</v>
      </c>
      <c r="I124" s="196"/>
      <c r="J124" s="9" t="str">
        <f t="shared" ca="1" si="16"/>
        <v/>
      </c>
      <c r="K124" s="9" t="str">
        <f t="shared" ca="1" si="17"/>
        <v/>
      </c>
      <c r="L124" s="9">
        <f t="shared" ca="1" si="18"/>
        <v>3</v>
      </c>
      <c r="N124" s="176">
        <f t="shared" ca="1" si="27"/>
        <v>30</v>
      </c>
      <c r="O124" s="176">
        <f t="shared" ca="1" si="30"/>
        <v>3217</v>
      </c>
      <c r="P124" s="175">
        <f t="shared" ca="1" si="19"/>
        <v>834.39144798065388</v>
      </c>
      <c r="Q124" s="11">
        <f t="shared" ca="1" si="20"/>
        <v>2.9930000000000002E-2</v>
      </c>
      <c r="R124" s="12">
        <f t="shared" ca="1" si="21"/>
        <v>24.973336038060971</v>
      </c>
      <c r="T124">
        <f t="shared" ca="1" si="31"/>
        <v>1905.2927505180585</v>
      </c>
    </row>
    <row r="125" spans="1:20">
      <c r="A125" s="198">
        <f ca="1">'SAC_IOF Ñ USAR'!A125</f>
        <v>106</v>
      </c>
      <c r="B125" s="197">
        <f t="shared" ca="1" si="28"/>
        <v>47968</v>
      </c>
      <c r="C125" s="196">
        <f t="shared" ca="1" si="22"/>
        <v>889.99100827637426</v>
      </c>
      <c r="D125" s="21">
        <f t="shared" ca="1" si="29"/>
        <v>1007.1138249655417</v>
      </c>
      <c r="E125" s="196">
        <f t="shared" ca="1" si="23"/>
        <v>108578.90300971729</v>
      </c>
      <c r="F125" s="178">
        <f t="shared" ca="1" si="24"/>
        <v>22.988467743778671</v>
      </c>
      <c r="G125" s="178">
        <f t="shared" ca="1" si="25"/>
        <v>26.319999999999997</v>
      </c>
      <c r="H125" s="177">
        <f t="shared" ca="1" si="26"/>
        <v>25</v>
      </c>
      <c r="I125" s="196"/>
      <c r="J125" s="9" t="str">
        <f t="shared" ca="1" si="16"/>
        <v/>
      </c>
      <c r="K125" s="9" t="str">
        <f t="shared" ca="1" si="17"/>
        <v/>
      </c>
      <c r="L125" s="9">
        <f t="shared" ca="1" si="18"/>
        <v>4</v>
      </c>
      <c r="N125" s="176">
        <f t="shared" ca="1" si="27"/>
        <v>31</v>
      </c>
      <c r="O125" s="176">
        <f t="shared" ca="1" si="30"/>
        <v>3248</v>
      </c>
      <c r="P125" s="175">
        <f t="shared" ca="1" si="19"/>
        <v>834.39144798065388</v>
      </c>
      <c r="Q125" s="11">
        <f t="shared" ca="1" si="20"/>
        <v>2.9930000000000002E-2</v>
      </c>
      <c r="R125" s="12">
        <f t="shared" ca="1" si="21"/>
        <v>24.973336038060971</v>
      </c>
      <c r="T125">
        <f t="shared" ca="1" si="31"/>
        <v>1897.1048332419159</v>
      </c>
    </row>
    <row r="126" spans="1:20">
      <c r="A126" s="198">
        <f ca="1">'SAC_IOF Ñ USAR'!A126</f>
        <v>107</v>
      </c>
      <c r="B126" s="197">
        <f t="shared" ca="1" si="28"/>
        <v>47998</v>
      </c>
      <c r="C126" s="196">
        <f t="shared" ca="1" si="22"/>
        <v>889.99100827637426</v>
      </c>
      <c r="D126" s="21">
        <f t="shared" ca="1" si="29"/>
        <v>998.92590768939908</v>
      </c>
      <c r="E126" s="196">
        <f t="shared" ca="1" si="23"/>
        <v>107688.91200144093</v>
      </c>
      <c r="F126" s="178">
        <f t="shared" ca="1" si="24"/>
        <v>22.801569632040632</v>
      </c>
      <c r="G126" s="178">
        <f t="shared" ca="1" si="25"/>
        <v>26.319999999999997</v>
      </c>
      <c r="H126" s="177">
        <f t="shared" ca="1" si="26"/>
        <v>25</v>
      </c>
      <c r="I126" s="196"/>
      <c r="J126" s="9" t="str">
        <f t="shared" ca="1" si="16"/>
        <v/>
      </c>
      <c r="K126" s="9" t="str">
        <f t="shared" ca="1" si="17"/>
        <v/>
      </c>
      <c r="L126" s="9">
        <f t="shared" ca="1" si="18"/>
        <v>5</v>
      </c>
      <c r="N126" s="176">
        <f t="shared" ca="1" si="27"/>
        <v>30</v>
      </c>
      <c r="O126" s="176">
        <f t="shared" ca="1" si="30"/>
        <v>3278</v>
      </c>
      <c r="P126" s="175">
        <f t="shared" ca="1" si="19"/>
        <v>834.39144798065388</v>
      </c>
      <c r="Q126" s="11">
        <f t="shared" ca="1" si="20"/>
        <v>2.9930000000000002E-2</v>
      </c>
      <c r="R126" s="12">
        <f t="shared" ca="1" si="21"/>
        <v>24.973336038060971</v>
      </c>
      <c r="T126">
        <f t="shared" ca="1" si="31"/>
        <v>1888.9169159657733</v>
      </c>
    </row>
    <row r="127" spans="1:20">
      <c r="A127" s="198">
        <f ca="1">'SAC_IOF Ñ USAR'!A127</f>
        <v>108</v>
      </c>
      <c r="B127" s="197">
        <f t="shared" ca="1" si="28"/>
        <v>48029</v>
      </c>
      <c r="C127" s="196">
        <f t="shared" ca="1" si="22"/>
        <v>889.99100827637426</v>
      </c>
      <c r="D127" s="21">
        <f t="shared" ca="1" si="29"/>
        <v>990.73799041325651</v>
      </c>
      <c r="E127" s="196">
        <f t="shared" ca="1" si="23"/>
        <v>106798.92099316456</v>
      </c>
      <c r="F127" s="178">
        <f t="shared" ca="1" si="24"/>
        <v>22.614671520302597</v>
      </c>
      <c r="G127" s="178">
        <f t="shared" ca="1" si="25"/>
        <v>26.319999999999997</v>
      </c>
      <c r="H127" s="177">
        <f t="shared" ca="1" si="26"/>
        <v>25</v>
      </c>
      <c r="I127" s="196"/>
      <c r="J127" s="9" t="str">
        <f t="shared" ca="1" si="16"/>
        <v/>
      </c>
      <c r="K127" s="9" t="str">
        <f t="shared" ca="1" si="17"/>
        <v/>
      </c>
      <c r="L127" s="9">
        <f t="shared" ca="1" si="18"/>
        <v>6</v>
      </c>
      <c r="N127" s="176">
        <f t="shared" ca="1" si="27"/>
        <v>31</v>
      </c>
      <c r="O127" s="176">
        <f t="shared" ca="1" si="30"/>
        <v>3309</v>
      </c>
      <c r="P127" s="175">
        <f t="shared" ca="1" si="19"/>
        <v>834.39144798065388</v>
      </c>
      <c r="Q127" s="11">
        <f t="shared" ca="1" si="20"/>
        <v>2.9930000000000002E-2</v>
      </c>
      <c r="R127" s="12">
        <f t="shared" ca="1" si="21"/>
        <v>24.973336038060971</v>
      </c>
      <c r="T127">
        <f t="shared" ca="1" si="31"/>
        <v>1880.7289986896308</v>
      </c>
    </row>
    <row r="128" spans="1:20">
      <c r="A128" s="198">
        <f ca="1">'SAC_IOF Ñ USAR'!A128</f>
        <v>109</v>
      </c>
      <c r="B128" s="197">
        <f t="shared" ca="1" si="28"/>
        <v>48059</v>
      </c>
      <c r="C128" s="196">
        <f t="shared" ca="1" si="22"/>
        <v>889.99100827637426</v>
      </c>
      <c r="D128" s="21">
        <f t="shared" ca="1" si="29"/>
        <v>982.55007313711394</v>
      </c>
      <c r="E128" s="196">
        <f t="shared" ca="1" si="23"/>
        <v>105908.92998488819</v>
      </c>
      <c r="F128" s="178">
        <f t="shared" ca="1" si="24"/>
        <v>22.427773408564558</v>
      </c>
      <c r="G128" s="178">
        <f t="shared" ca="1" si="25"/>
        <v>26.319999999999997</v>
      </c>
      <c r="H128" s="177">
        <f t="shared" ca="1" si="26"/>
        <v>25</v>
      </c>
      <c r="I128" s="196"/>
      <c r="J128" s="9" t="str">
        <f t="shared" ca="1" si="16"/>
        <v/>
      </c>
      <c r="K128" s="9" t="str">
        <f t="shared" ca="1" si="17"/>
        <v/>
      </c>
      <c r="L128" s="9">
        <f t="shared" ca="1" si="18"/>
        <v>7</v>
      </c>
      <c r="N128" s="176">
        <f t="shared" ca="1" si="27"/>
        <v>30</v>
      </c>
      <c r="O128" s="176">
        <f t="shared" ca="1" si="30"/>
        <v>3339</v>
      </c>
      <c r="P128" s="175">
        <f t="shared" ca="1" si="19"/>
        <v>834.39144798065388</v>
      </c>
      <c r="Q128" s="11">
        <f t="shared" ca="1" si="20"/>
        <v>2.9930000000000002E-2</v>
      </c>
      <c r="R128" s="12">
        <f t="shared" ca="1" si="21"/>
        <v>24.973336038060971</v>
      </c>
      <c r="T128">
        <f t="shared" ca="1" si="31"/>
        <v>1872.5410814134882</v>
      </c>
    </row>
    <row r="129" spans="1:20">
      <c r="A129" s="198">
        <f ca="1">'SAC_IOF Ñ USAR'!A129</f>
        <v>110</v>
      </c>
      <c r="B129" s="197">
        <f t="shared" ca="1" si="28"/>
        <v>48090</v>
      </c>
      <c r="C129" s="196">
        <f t="shared" ca="1" si="22"/>
        <v>889.99100827637426</v>
      </c>
      <c r="D129" s="21">
        <f t="shared" ca="1" si="29"/>
        <v>974.36215586097137</v>
      </c>
      <c r="E129" s="196">
        <f t="shared" ca="1" si="23"/>
        <v>105018.93897661183</v>
      </c>
      <c r="F129" s="178">
        <f t="shared" ca="1" si="24"/>
        <v>22.24087529682652</v>
      </c>
      <c r="G129" s="178">
        <f t="shared" ca="1" si="25"/>
        <v>26.319999999999997</v>
      </c>
      <c r="H129" s="177">
        <f t="shared" ca="1" si="26"/>
        <v>25</v>
      </c>
      <c r="I129" s="196"/>
      <c r="J129" s="9" t="str">
        <f t="shared" ca="1" si="16"/>
        <v/>
      </c>
      <c r="K129" s="9" t="str">
        <f t="shared" ca="1" si="17"/>
        <v/>
      </c>
      <c r="L129" s="9">
        <f t="shared" ca="1" si="18"/>
        <v>8</v>
      </c>
      <c r="N129" s="176">
        <f t="shared" ca="1" si="27"/>
        <v>31</v>
      </c>
      <c r="O129" s="176">
        <f t="shared" ca="1" si="30"/>
        <v>3370</v>
      </c>
      <c r="P129" s="175">
        <f t="shared" ca="1" si="19"/>
        <v>834.39144798065388</v>
      </c>
      <c r="Q129" s="11">
        <f t="shared" ca="1" si="20"/>
        <v>2.9930000000000002E-2</v>
      </c>
      <c r="R129" s="12">
        <f t="shared" ca="1" si="21"/>
        <v>24.973336038060971</v>
      </c>
      <c r="T129">
        <f t="shared" ca="1" si="31"/>
        <v>1864.3531641373456</v>
      </c>
    </row>
    <row r="130" spans="1:20">
      <c r="A130" s="198">
        <f ca="1">'SAC_IOF Ñ USAR'!A130</f>
        <v>111</v>
      </c>
      <c r="B130" s="197">
        <f t="shared" ca="1" si="28"/>
        <v>48121</v>
      </c>
      <c r="C130" s="196">
        <f t="shared" ca="1" si="22"/>
        <v>889.99100827637426</v>
      </c>
      <c r="D130" s="21">
        <f t="shared" ca="1" si="29"/>
        <v>966.1742385848288</v>
      </c>
      <c r="E130" s="196">
        <f t="shared" ca="1" si="23"/>
        <v>104128.94796833546</v>
      </c>
      <c r="F130" s="178">
        <f t="shared" ca="1" si="24"/>
        <v>22.053977185088485</v>
      </c>
      <c r="G130" s="178">
        <f t="shared" ca="1" si="25"/>
        <v>26.319999999999997</v>
      </c>
      <c r="H130" s="177">
        <f t="shared" ca="1" si="26"/>
        <v>25</v>
      </c>
      <c r="I130" s="196"/>
      <c r="J130" s="9" t="str">
        <f t="shared" ca="1" si="16"/>
        <v/>
      </c>
      <c r="K130" s="9" t="str">
        <f t="shared" ca="1" si="17"/>
        <v/>
      </c>
      <c r="L130" s="9">
        <f t="shared" ca="1" si="18"/>
        <v>9</v>
      </c>
      <c r="N130" s="176">
        <f t="shared" ca="1" si="27"/>
        <v>31</v>
      </c>
      <c r="O130" s="176">
        <f t="shared" ca="1" si="30"/>
        <v>3401</v>
      </c>
      <c r="P130" s="175">
        <f t="shared" ca="1" si="19"/>
        <v>834.39144798065388</v>
      </c>
      <c r="Q130" s="11">
        <f t="shared" ca="1" si="20"/>
        <v>2.9930000000000002E-2</v>
      </c>
      <c r="R130" s="12">
        <f t="shared" ca="1" si="21"/>
        <v>24.973336038060971</v>
      </c>
      <c r="T130">
        <f t="shared" ca="1" si="31"/>
        <v>1856.1652468612031</v>
      </c>
    </row>
    <row r="131" spans="1:20">
      <c r="A131" s="198">
        <f ca="1">'SAC_IOF Ñ USAR'!A131</f>
        <v>112</v>
      </c>
      <c r="B131" s="197">
        <f t="shared" ca="1" si="28"/>
        <v>48151</v>
      </c>
      <c r="C131" s="196">
        <f t="shared" ca="1" si="22"/>
        <v>889.99100827637426</v>
      </c>
      <c r="D131" s="21">
        <f t="shared" ca="1" si="29"/>
        <v>957.98632130868623</v>
      </c>
      <c r="E131" s="196">
        <f t="shared" ca="1" si="23"/>
        <v>103238.95696005909</v>
      </c>
      <c r="F131" s="178">
        <f t="shared" ca="1" si="24"/>
        <v>21.867079073350446</v>
      </c>
      <c r="G131" s="178">
        <f t="shared" ca="1" si="25"/>
        <v>26.319999999999997</v>
      </c>
      <c r="H131" s="177">
        <f t="shared" ca="1" si="26"/>
        <v>25</v>
      </c>
      <c r="I131" s="196"/>
      <c r="J131" s="9" t="str">
        <f t="shared" ca="1" si="16"/>
        <v/>
      </c>
      <c r="K131" s="9" t="str">
        <f t="shared" ca="1" si="17"/>
        <v/>
      </c>
      <c r="L131" s="9">
        <f t="shared" ca="1" si="18"/>
        <v>10</v>
      </c>
      <c r="N131" s="176">
        <f t="shared" ca="1" si="27"/>
        <v>30</v>
      </c>
      <c r="O131" s="176">
        <f t="shared" ca="1" si="30"/>
        <v>3431</v>
      </c>
      <c r="P131" s="175">
        <f t="shared" ca="1" si="19"/>
        <v>834.39144798065388</v>
      </c>
      <c r="Q131" s="11">
        <f t="shared" ca="1" si="20"/>
        <v>2.9930000000000002E-2</v>
      </c>
      <c r="R131" s="12">
        <f t="shared" ca="1" si="21"/>
        <v>24.973336038060971</v>
      </c>
      <c r="T131">
        <f t="shared" ca="1" si="31"/>
        <v>1847.9773295850605</v>
      </c>
    </row>
    <row r="132" spans="1:20">
      <c r="A132" s="198">
        <f ca="1">'SAC_IOF Ñ USAR'!A132</f>
        <v>113</v>
      </c>
      <c r="B132" s="197">
        <f t="shared" ca="1" si="28"/>
        <v>48182</v>
      </c>
      <c r="C132" s="196">
        <f t="shared" ca="1" si="22"/>
        <v>889.99100827637426</v>
      </c>
      <c r="D132" s="21">
        <f t="shared" ca="1" si="29"/>
        <v>949.79840403254366</v>
      </c>
      <c r="E132" s="196">
        <f t="shared" ca="1" si="23"/>
        <v>102348.96595178272</v>
      </c>
      <c r="F132" s="178">
        <f t="shared" ca="1" si="24"/>
        <v>21.680180961612411</v>
      </c>
      <c r="G132" s="178">
        <f t="shared" ca="1" si="25"/>
        <v>26.319999999999997</v>
      </c>
      <c r="H132" s="177">
        <f t="shared" ca="1" si="26"/>
        <v>25</v>
      </c>
      <c r="I132" s="196"/>
      <c r="J132" s="9" t="str">
        <f t="shared" ca="1" si="16"/>
        <v/>
      </c>
      <c r="K132" s="9" t="str">
        <f t="shared" ca="1" si="17"/>
        <v/>
      </c>
      <c r="L132" s="9">
        <f t="shared" ca="1" si="18"/>
        <v>11</v>
      </c>
      <c r="N132" s="176">
        <f t="shared" ca="1" si="27"/>
        <v>31</v>
      </c>
      <c r="O132" s="176">
        <f t="shared" ca="1" si="30"/>
        <v>3462</v>
      </c>
      <c r="P132" s="175">
        <f t="shared" ca="1" si="19"/>
        <v>834.39144798065388</v>
      </c>
      <c r="Q132" s="11">
        <f t="shared" ca="1" si="20"/>
        <v>2.9930000000000002E-2</v>
      </c>
      <c r="R132" s="12">
        <f t="shared" ca="1" si="21"/>
        <v>24.973336038060971</v>
      </c>
      <c r="T132">
        <f t="shared" ca="1" si="31"/>
        <v>1839.7894123089179</v>
      </c>
    </row>
    <row r="133" spans="1:20">
      <c r="A133" s="198">
        <f ca="1">'SAC_IOF Ñ USAR'!A133</f>
        <v>114</v>
      </c>
      <c r="B133" s="197">
        <f t="shared" ca="1" si="28"/>
        <v>48212</v>
      </c>
      <c r="C133" s="196">
        <f t="shared" ca="1" si="22"/>
        <v>889.99100827637426</v>
      </c>
      <c r="D133" s="21">
        <f t="shared" ca="1" si="29"/>
        <v>941.61048675640109</v>
      </c>
      <c r="E133" s="196">
        <f t="shared" ca="1" si="23"/>
        <v>101458.97494350636</v>
      </c>
      <c r="F133" s="178">
        <f t="shared" ca="1" si="24"/>
        <v>21.493282849874372</v>
      </c>
      <c r="G133" s="178">
        <f t="shared" ca="1" si="25"/>
        <v>26.319999999999997</v>
      </c>
      <c r="H133" s="177">
        <f t="shared" ca="1" si="26"/>
        <v>25</v>
      </c>
      <c r="I133" s="196"/>
      <c r="J133" s="9" t="str">
        <f t="shared" ca="1" si="16"/>
        <v/>
      </c>
      <c r="K133" s="9" t="str">
        <f t="shared" ca="1" si="17"/>
        <v/>
      </c>
      <c r="L133" s="9">
        <f t="shared" ca="1" si="18"/>
        <v>12</v>
      </c>
      <c r="N133" s="176">
        <f t="shared" ca="1" si="27"/>
        <v>30</v>
      </c>
      <c r="O133" s="176">
        <f t="shared" ca="1" si="30"/>
        <v>3492</v>
      </c>
      <c r="P133" s="175">
        <f t="shared" ca="1" si="19"/>
        <v>834.39144798065388</v>
      </c>
      <c r="Q133" s="11">
        <f t="shared" ca="1" si="20"/>
        <v>2.9930000000000002E-2</v>
      </c>
      <c r="R133" s="12">
        <f t="shared" ca="1" si="21"/>
        <v>24.973336038060971</v>
      </c>
      <c r="T133">
        <f t="shared" ca="1" si="31"/>
        <v>1831.6014950327753</v>
      </c>
    </row>
    <row r="134" spans="1:20">
      <c r="A134" s="198">
        <f ca="1">'SAC_IOF Ñ USAR'!A134</f>
        <v>115</v>
      </c>
      <c r="B134" s="197">
        <f t="shared" ca="1" si="28"/>
        <v>48243</v>
      </c>
      <c r="C134" s="196">
        <f t="shared" ca="1" si="22"/>
        <v>889.99100827637426</v>
      </c>
      <c r="D134" s="21">
        <f t="shared" ca="1" si="29"/>
        <v>933.42256948025852</v>
      </c>
      <c r="E134" s="196">
        <f t="shared" ca="1" si="23"/>
        <v>100568.98393522999</v>
      </c>
      <c r="F134" s="178">
        <f t="shared" ca="1" si="24"/>
        <v>21.306384738136337</v>
      </c>
      <c r="G134" s="178">
        <f t="shared" ca="1" si="25"/>
        <v>26.319999999999997</v>
      </c>
      <c r="H134" s="177">
        <f t="shared" ca="1" si="26"/>
        <v>25</v>
      </c>
      <c r="I134" s="196"/>
      <c r="J134" s="9" t="str">
        <f t="shared" ca="1" si="16"/>
        <v/>
      </c>
      <c r="K134" s="9" t="str">
        <f t="shared" ca="1" si="17"/>
        <v/>
      </c>
      <c r="L134" s="9">
        <f t="shared" ca="1" si="18"/>
        <v>1</v>
      </c>
      <c r="N134" s="176">
        <f t="shared" ca="1" si="27"/>
        <v>31</v>
      </c>
      <c r="O134" s="176">
        <f t="shared" ca="1" si="30"/>
        <v>3523</v>
      </c>
      <c r="P134" s="175">
        <f t="shared" ca="1" si="19"/>
        <v>834.39144798065388</v>
      </c>
      <c r="Q134" s="11">
        <f t="shared" ca="1" si="20"/>
        <v>2.9930000000000002E-2</v>
      </c>
      <c r="R134" s="12">
        <f t="shared" ca="1" si="21"/>
        <v>24.973336038060971</v>
      </c>
      <c r="T134">
        <f t="shared" ca="1" si="31"/>
        <v>1823.4135777566328</v>
      </c>
    </row>
    <row r="135" spans="1:20">
      <c r="A135" s="198">
        <f ca="1">'SAC_IOF Ñ USAR'!A135</f>
        <v>116</v>
      </c>
      <c r="B135" s="197">
        <f t="shared" ca="1" si="28"/>
        <v>48273</v>
      </c>
      <c r="C135" s="196">
        <f t="shared" ca="1" si="22"/>
        <v>889.99100827637426</v>
      </c>
      <c r="D135" s="21">
        <f t="shared" ca="1" si="29"/>
        <v>925.23465220411583</v>
      </c>
      <c r="E135" s="196">
        <f t="shared" ca="1" si="23"/>
        <v>99678.992926953622</v>
      </c>
      <c r="F135" s="178">
        <f t="shared" ca="1" si="24"/>
        <v>21.119486626398299</v>
      </c>
      <c r="G135" s="178">
        <f t="shared" ca="1" si="25"/>
        <v>26.319999999999997</v>
      </c>
      <c r="H135" s="177">
        <f t="shared" ca="1" si="26"/>
        <v>25</v>
      </c>
      <c r="I135" s="196"/>
      <c r="J135" s="9" t="str">
        <f t="shared" ca="1" si="16"/>
        <v/>
      </c>
      <c r="K135" s="9" t="str">
        <f t="shared" ca="1" si="17"/>
        <v/>
      </c>
      <c r="L135" s="9">
        <f t="shared" ca="1" si="18"/>
        <v>2</v>
      </c>
      <c r="N135" s="176">
        <f t="shared" ca="1" si="27"/>
        <v>30</v>
      </c>
      <c r="O135" s="176">
        <f t="shared" ca="1" si="30"/>
        <v>3553</v>
      </c>
      <c r="P135" s="175">
        <f t="shared" ca="1" si="19"/>
        <v>834.39144798065388</v>
      </c>
      <c r="Q135" s="11">
        <f t="shared" ca="1" si="20"/>
        <v>2.9930000000000002E-2</v>
      </c>
      <c r="R135" s="12">
        <f t="shared" ca="1" si="21"/>
        <v>24.973336038060971</v>
      </c>
      <c r="T135">
        <f t="shared" ca="1" si="31"/>
        <v>1815.2256604804902</v>
      </c>
    </row>
    <row r="136" spans="1:20">
      <c r="A136" s="198">
        <f ca="1">'SAC_IOF Ñ USAR'!A136</f>
        <v>117</v>
      </c>
      <c r="B136" s="197">
        <f t="shared" ca="1" si="28"/>
        <v>48303</v>
      </c>
      <c r="C136" s="196">
        <f t="shared" ca="1" si="22"/>
        <v>889.99100827637426</v>
      </c>
      <c r="D136" s="21">
        <f t="shared" ca="1" si="29"/>
        <v>917.04673492797326</v>
      </c>
      <c r="E136" s="196">
        <f t="shared" ca="1" si="23"/>
        <v>98789.001918677255</v>
      </c>
      <c r="F136" s="178">
        <f t="shared" ca="1" si="24"/>
        <v>20.93258851466026</v>
      </c>
      <c r="G136" s="178">
        <f t="shared" ca="1" si="25"/>
        <v>26.319999999999997</v>
      </c>
      <c r="H136" s="177">
        <f t="shared" ca="1" si="26"/>
        <v>25</v>
      </c>
      <c r="I136" s="196"/>
      <c r="J136" s="9" t="str">
        <f t="shared" ca="1" si="16"/>
        <v/>
      </c>
      <c r="K136" s="9" t="str">
        <f t="shared" ca="1" si="17"/>
        <v/>
      </c>
      <c r="L136" s="9">
        <f t="shared" ca="1" si="18"/>
        <v>3</v>
      </c>
      <c r="N136" s="176">
        <f t="shared" ca="1" si="27"/>
        <v>30</v>
      </c>
      <c r="O136" s="176">
        <f t="shared" ca="1" si="30"/>
        <v>3583</v>
      </c>
      <c r="P136" s="175">
        <f t="shared" ca="1" si="19"/>
        <v>834.39144798065388</v>
      </c>
      <c r="Q136" s="11">
        <f t="shared" ca="1" si="20"/>
        <v>2.9930000000000002E-2</v>
      </c>
      <c r="R136" s="12">
        <f t="shared" ca="1" si="21"/>
        <v>24.973336038060971</v>
      </c>
      <c r="T136">
        <f t="shared" ca="1" si="31"/>
        <v>1807.0377432043474</v>
      </c>
    </row>
    <row r="137" spans="1:20">
      <c r="A137" s="198">
        <f ca="1">'SAC_IOF Ñ USAR'!A137</f>
        <v>118</v>
      </c>
      <c r="B137" s="197">
        <f t="shared" ca="1" si="28"/>
        <v>48334</v>
      </c>
      <c r="C137" s="196">
        <f t="shared" ca="1" si="22"/>
        <v>889.99100827637426</v>
      </c>
      <c r="D137" s="21">
        <f t="shared" ca="1" si="29"/>
        <v>908.85881765183069</v>
      </c>
      <c r="E137" s="196">
        <f t="shared" ca="1" si="23"/>
        <v>97899.010910400888</v>
      </c>
      <c r="F137" s="178">
        <f t="shared" ca="1" si="24"/>
        <v>20.745690402922225</v>
      </c>
      <c r="G137" s="178">
        <f t="shared" ca="1" si="25"/>
        <v>26.319999999999997</v>
      </c>
      <c r="H137" s="177">
        <f t="shared" ca="1" si="26"/>
        <v>25</v>
      </c>
      <c r="I137" s="196"/>
      <c r="J137" s="9" t="str">
        <f t="shared" ca="1" si="16"/>
        <v/>
      </c>
      <c r="K137" s="9" t="str">
        <f t="shared" ca="1" si="17"/>
        <v/>
      </c>
      <c r="L137" s="9">
        <f t="shared" ca="1" si="18"/>
        <v>4</v>
      </c>
      <c r="N137" s="176">
        <f t="shared" ca="1" si="27"/>
        <v>31</v>
      </c>
      <c r="O137" s="176">
        <f t="shared" ca="1" si="30"/>
        <v>3614</v>
      </c>
      <c r="P137" s="175">
        <f t="shared" ca="1" si="19"/>
        <v>834.39144798065388</v>
      </c>
      <c r="Q137" s="11">
        <f t="shared" ca="1" si="20"/>
        <v>2.9930000000000002E-2</v>
      </c>
      <c r="R137" s="12">
        <f t="shared" ca="1" si="21"/>
        <v>24.973336038060971</v>
      </c>
      <c r="T137">
        <f t="shared" ca="1" si="31"/>
        <v>1798.8498259282051</v>
      </c>
    </row>
    <row r="138" spans="1:20">
      <c r="A138" s="198">
        <f ca="1">'SAC_IOF Ñ USAR'!A138</f>
        <v>119</v>
      </c>
      <c r="B138" s="197">
        <f t="shared" ca="1" si="28"/>
        <v>48364</v>
      </c>
      <c r="C138" s="196">
        <f t="shared" ca="1" si="22"/>
        <v>889.99100827637426</v>
      </c>
      <c r="D138" s="21">
        <f t="shared" ca="1" si="29"/>
        <v>900.67090037568812</v>
      </c>
      <c r="E138" s="196">
        <f t="shared" ca="1" si="23"/>
        <v>97009.019902124521</v>
      </c>
      <c r="F138" s="178">
        <f t="shared" ca="1" si="24"/>
        <v>20.558792291184186</v>
      </c>
      <c r="G138" s="178">
        <f t="shared" ca="1" si="25"/>
        <v>26.319999999999997</v>
      </c>
      <c r="H138" s="177">
        <f t="shared" ca="1" si="26"/>
        <v>25</v>
      </c>
      <c r="I138" s="196"/>
      <c r="J138" s="9" t="str">
        <f t="shared" ca="1" si="16"/>
        <v/>
      </c>
      <c r="K138" s="9" t="str">
        <f t="shared" ca="1" si="17"/>
        <v/>
      </c>
      <c r="L138" s="9">
        <f t="shared" ca="1" si="18"/>
        <v>5</v>
      </c>
      <c r="N138" s="176">
        <f t="shared" ca="1" si="27"/>
        <v>30</v>
      </c>
      <c r="O138" s="176">
        <f t="shared" ca="1" si="30"/>
        <v>3644</v>
      </c>
      <c r="P138" s="175">
        <f t="shared" ca="1" si="19"/>
        <v>834.39144798065388</v>
      </c>
      <c r="Q138" s="11">
        <f t="shared" ca="1" si="20"/>
        <v>2.9930000000000002E-2</v>
      </c>
      <c r="R138" s="12">
        <f t="shared" ca="1" si="21"/>
        <v>24.973336038060971</v>
      </c>
      <c r="T138">
        <f t="shared" ca="1" si="31"/>
        <v>1790.6619086520623</v>
      </c>
    </row>
    <row r="139" spans="1:20">
      <c r="A139" s="198">
        <f ca="1">'SAC_IOF Ñ USAR'!A139</f>
        <v>120</v>
      </c>
      <c r="B139" s="197">
        <f t="shared" ca="1" si="28"/>
        <v>48395</v>
      </c>
      <c r="C139" s="196">
        <f t="shared" ca="1" si="22"/>
        <v>889.99100827637426</v>
      </c>
      <c r="D139" s="21">
        <f t="shared" ca="1" si="29"/>
        <v>892.48298309954555</v>
      </c>
      <c r="E139" s="196">
        <f t="shared" ca="1" si="23"/>
        <v>96119.028893848154</v>
      </c>
      <c r="F139" s="178">
        <f t="shared" ca="1" si="24"/>
        <v>20.371894179446151</v>
      </c>
      <c r="G139" s="178">
        <f t="shared" ca="1" si="25"/>
        <v>26.319999999999997</v>
      </c>
      <c r="H139" s="177">
        <f t="shared" ca="1" si="26"/>
        <v>25</v>
      </c>
      <c r="I139" s="196"/>
      <c r="J139" s="9" t="str">
        <f t="shared" ca="1" si="16"/>
        <v/>
      </c>
      <c r="K139" s="9" t="str">
        <f t="shared" ca="1" si="17"/>
        <v/>
      </c>
      <c r="L139" s="9">
        <f t="shared" ca="1" si="18"/>
        <v>6</v>
      </c>
      <c r="N139" s="176">
        <f t="shared" ca="1" si="27"/>
        <v>31</v>
      </c>
      <c r="O139" s="176">
        <f t="shared" ca="1" si="30"/>
        <v>3675</v>
      </c>
      <c r="P139" s="175">
        <f t="shared" ca="1" si="19"/>
        <v>834.39144798065388</v>
      </c>
      <c r="Q139" s="11">
        <f t="shared" ca="1" si="20"/>
        <v>2.9930000000000002E-2</v>
      </c>
      <c r="R139" s="12">
        <f t="shared" ca="1" si="21"/>
        <v>24.973336038060971</v>
      </c>
      <c r="T139">
        <f t="shared" ca="1" si="31"/>
        <v>1782.4739913759199</v>
      </c>
    </row>
    <row r="140" spans="1:20">
      <c r="A140" s="198">
        <f ca="1">'SAC_IOF Ñ USAR'!A140</f>
        <v>121</v>
      </c>
      <c r="B140" s="197">
        <f t="shared" ca="1" si="28"/>
        <v>48425</v>
      </c>
      <c r="C140" s="196">
        <f t="shared" ca="1" si="22"/>
        <v>889.99100827637426</v>
      </c>
      <c r="D140" s="21">
        <f t="shared" ca="1" si="29"/>
        <v>884.29506582340298</v>
      </c>
      <c r="E140" s="196">
        <f t="shared" ca="1" si="23"/>
        <v>95229.037885571786</v>
      </c>
      <c r="F140" s="178">
        <f t="shared" ca="1" si="24"/>
        <v>20.184996067708113</v>
      </c>
      <c r="G140" s="178">
        <f t="shared" ca="1" si="25"/>
        <v>26.319999999999997</v>
      </c>
      <c r="H140" s="177">
        <f t="shared" ca="1" si="26"/>
        <v>25</v>
      </c>
      <c r="I140" s="196"/>
      <c r="J140" s="9" t="str">
        <f t="shared" ca="1" si="16"/>
        <v/>
      </c>
      <c r="K140" s="9" t="str">
        <f t="shared" ca="1" si="17"/>
        <v/>
      </c>
      <c r="L140" s="9">
        <f t="shared" ca="1" si="18"/>
        <v>7</v>
      </c>
      <c r="N140" s="176">
        <f t="shared" ca="1" si="27"/>
        <v>30</v>
      </c>
      <c r="O140" s="176">
        <f t="shared" ca="1" si="30"/>
        <v>3705</v>
      </c>
      <c r="P140" s="175">
        <f t="shared" ca="1" si="19"/>
        <v>834.39144798065388</v>
      </c>
      <c r="Q140" s="11">
        <f t="shared" ca="1" si="20"/>
        <v>2.9930000000000002E-2</v>
      </c>
      <c r="R140" s="12">
        <f t="shared" ca="1" si="21"/>
        <v>24.973336038060971</v>
      </c>
      <c r="T140">
        <f t="shared" ca="1" si="31"/>
        <v>1774.2860740997771</v>
      </c>
    </row>
    <row r="141" spans="1:20">
      <c r="A141" s="198">
        <f ca="1">'SAC_IOF Ñ USAR'!A141</f>
        <v>122</v>
      </c>
      <c r="B141" s="197">
        <f t="shared" ca="1" si="28"/>
        <v>48456</v>
      </c>
      <c r="C141" s="196">
        <f t="shared" ca="1" si="22"/>
        <v>889.99100827637426</v>
      </c>
      <c r="D141" s="21">
        <f t="shared" ca="1" si="29"/>
        <v>876.10714854726041</v>
      </c>
      <c r="E141" s="196">
        <f t="shared" ca="1" si="23"/>
        <v>94339.046877295419</v>
      </c>
      <c r="F141" s="178">
        <f t="shared" ca="1" si="24"/>
        <v>19.998097955970074</v>
      </c>
      <c r="G141" s="178">
        <f t="shared" ca="1" si="25"/>
        <v>26.319999999999997</v>
      </c>
      <c r="H141" s="177">
        <f t="shared" ca="1" si="26"/>
        <v>25</v>
      </c>
      <c r="I141" s="196"/>
      <c r="J141" s="9" t="str">
        <f t="shared" ca="1" si="16"/>
        <v/>
      </c>
      <c r="K141" s="9" t="str">
        <f t="shared" ca="1" si="17"/>
        <v/>
      </c>
      <c r="L141" s="9">
        <f t="shared" ca="1" si="18"/>
        <v>8</v>
      </c>
      <c r="N141" s="176">
        <f t="shared" ca="1" si="27"/>
        <v>31</v>
      </c>
      <c r="O141" s="176">
        <f t="shared" ca="1" si="30"/>
        <v>3736</v>
      </c>
      <c r="P141" s="175">
        <f t="shared" ca="1" si="19"/>
        <v>834.39144798065388</v>
      </c>
      <c r="Q141" s="11">
        <f t="shared" ca="1" si="20"/>
        <v>2.9930000000000002E-2</v>
      </c>
      <c r="R141" s="12">
        <f t="shared" ca="1" si="21"/>
        <v>24.973336038060971</v>
      </c>
      <c r="T141">
        <f t="shared" ca="1" si="31"/>
        <v>1766.0981568236348</v>
      </c>
    </row>
    <row r="142" spans="1:20">
      <c r="A142" s="198">
        <f ca="1">'SAC_IOF Ñ USAR'!A142</f>
        <v>123</v>
      </c>
      <c r="B142" s="197">
        <f t="shared" ca="1" si="28"/>
        <v>48487</v>
      </c>
      <c r="C142" s="196">
        <f t="shared" ca="1" si="22"/>
        <v>889.99100827637426</v>
      </c>
      <c r="D142" s="21">
        <f t="shared" ca="1" si="29"/>
        <v>867.91923127111784</v>
      </c>
      <c r="E142" s="196">
        <f t="shared" ca="1" si="23"/>
        <v>93449.055869019052</v>
      </c>
      <c r="F142" s="178">
        <f t="shared" ca="1" si="24"/>
        <v>19.811199844232039</v>
      </c>
      <c r="G142" s="178">
        <f t="shared" ca="1" si="25"/>
        <v>26.319999999999997</v>
      </c>
      <c r="H142" s="177">
        <f t="shared" ca="1" si="26"/>
        <v>25</v>
      </c>
      <c r="I142" s="196"/>
      <c r="J142" s="9" t="str">
        <f t="shared" ca="1" si="16"/>
        <v/>
      </c>
      <c r="K142" s="9" t="str">
        <f t="shared" ca="1" si="17"/>
        <v/>
      </c>
      <c r="L142" s="9">
        <f t="shared" ca="1" si="18"/>
        <v>9</v>
      </c>
      <c r="N142" s="176">
        <f t="shared" ca="1" si="27"/>
        <v>31</v>
      </c>
      <c r="O142" s="176">
        <f t="shared" ca="1" si="30"/>
        <v>3767</v>
      </c>
      <c r="P142" s="175">
        <f t="shared" ca="1" si="19"/>
        <v>834.39144798065388</v>
      </c>
      <c r="Q142" s="11">
        <f t="shared" ca="1" si="20"/>
        <v>2.9930000000000002E-2</v>
      </c>
      <c r="R142" s="12">
        <f t="shared" ca="1" si="21"/>
        <v>24.973336038060971</v>
      </c>
      <c r="T142">
        <f t="shared" ca="1" si="31"/>
        <v>1757.910239547492</v>
      </c>
    </row>
    <row r="143" spans="1:20">
      <c r="A143" s="198">
        <f ca="1">'SAC_IOF Ñ USAR'!A143</f>
        <v>124</v>
      </c>
      <c r="B143" s="197">
        <f t="shared" ca="1" si="28"/>
        <v>48517</v>
      </c>
      <c r="C143" s="196">
        <f t="shared" ca="1" si="22"/>
        <v>889.99100827637426</v>
      </c>
      <c r="D143" s="21">
        <f t="shared" ca="1" si="29"/>
        <v>859.73131399497527</v>
      </c>
      <c r="E143" s="196">
        <f t="shared" ca="1" si="23"/>
        <v>92559.064860742685</v>
      </c>
      <c r="F143" s="178">
        <f t="shared" ca="1" si="24"/>
        <v>19.624301732494001</v>
      </c>
      <c r="G143" s="178">
        <f t="shared" ca="1" si="25"/>
        <v>26.319999999999997</v>
      </c>
      <c r="H143" s="177">
        <f t="shared" ca="1" si="26"/>
        <v>25</v>
      </c>
      <c r="I143" s="196"/>
      <c r="J143" s="9" t="str">
        <f t="shared" ca="1" si="16"/>
        <v/>
      </c>
      <c r="K143" s="9" t="str">
        <f t="shared" ca="1" si="17"/>
        <v/>
      </c>
      <c r="L143" s="9">
        <f t="shared" ca="1" si="18"/>
        <v>10</v>
      </c>
      <c r="N143" s="176">
        <f t="shared" ca="1" si="27"/>
        <v>30</v>
      </c>
      <c r="O143" s="176">
        <f t="shared" ca="1" si="30"/>
        <v>3797</v>
      </c>
      <c r="P143" s="175">
        <f t="shared" ca="1" si="19"/>
        <v>834.39144798065388</v>
      </c>
      <c r="Q143" s="11">
        <f t="shared" ca="1" si="20"/>
        <v>2.9930000000000002E-2</v>
      </c>
      <c r="R143" s="12">
        <f t="shared" ca="1" si="21"/>
        <v>24.973336038060971</v>
      </c>
      <c r="T143">
        <f t="shared" ca="1" si="31"/>
        <v>1749.7223222713496</v>
      </c>
    </row>
    <row r="144" spans="1:20">
      <c r="A144" s="198">
        <f ca="1">'SAC_IOF Ñ USAR'!A144</f>
        <v>125</v>
      </c>
      <c r="B144" s="197">
        <f t="shared" ca="1" si="28"/>
        <v>48548</v>
      </c>
      <c r="C144" s="196">
        <f t="shared" ca="1" si="22"/>
        <v>889.99100827637426</v>
      </c>
      <c r="D144" s="21">
        <f t="shared" ca="1" si="29"/>
        <v>851.5433967188327</v>
      </c>
      <c r="E144" s="196">
        <f t="shared" ca="1" si="23"/>
        <v>91669.073852466317</v>
      </c>
      <c r="F144" s="178">
        <f t="shared" ca="1" si="24"/>
        <v>19.437403620755966</v>
      </c>
      <c r="G144" s="178">
        <f t="shared" ca="1" si="25"/>
        <v>26.319999999999997</v>
      </c>
      <c r="H144" s="177">
        <f t="shared" ca="1" si="26"/>
        <v>25</v>
      </c>
      <c r="I144" s="196"/>
      <c r="J144" s="9" t="str">
        <f t="shared" ca="1" si="16"/>
        <v/>
      </c>
      <c r="K144" s="9" t="str">
        <f t="shared" ca="1" si="17"/>
        <v/>
      </c>
      <c r="L144" s="9">
        <f t="shared" ca="1" si="18"/>
        <v>11</v>
      </c>
      <c r="N144" s="176">
        <f t="shared" ca="1" si="27"/>
        <v>31</v>
      </c>
      <c r="O144" s="176">
        <f t="shared" ca="1" si="30"/>
        <v>3828</v>
      </c>
      <c r="P144" s="175">
        <f t="shared" ca="1" si="19"/>
        <v>834.39144798065388</v>
      </c>
      <c r="Q144" s="11">
        <f t="shared" ca="1" si="20"/>
        <v>2.9930000000000002E-2</v>
      </c>
      <c r="R144" s="12">
        <f t="shared" ca="1" si="21"/>
        <v>24.973336038060971</v>
      </c>
      <c r="T144">
        <f t="shared" ca="1" si="31"/>
        <v>1741.5344049952068</v>
      </c>
    </row>
    <row r="145" spans="1:20">
      <c r="A145" s="198">
        <f ca="1">'SAC_IOF Ñ USAR'!A145</f>
        <v>126</v>
      </c>
      <c r="B145" s="197">
        <f t="shared" ca="1" si="28"/>
        <v>48578</v>
      </c>
      <c r="C145" s="196">
        <f t="shared" ca="1" si="22"/>
        <v>889.99100827637426</v>
      </c>
      <c r="D145" s="21">
        <f t="shared" ca="1" si="29"/>
        <v>843.35547944269013</v>
      </c>
      <c r="E145" s="196">
        <f t="shared" ca="1" si="23"/>
        <v>90779.08284418995</v>
      </c>
      <c r="F145" s="178">
        <f t="shared" ca="1" si="24"/>
        <v>19.250505509017927</v>
      </c>
      <c r="G145" s="178">
        <f t="shared" ca="1" si="25"/>
        <v>26.319999999999997</v>
      </c>
      <c r="H145" s="177">
        <f t="shared" ca="1" si="26"/>
        <v>25</v>
      </c>
      <c r="I145" s="196"/>
      <c r="J145" s="9" t="str">
        <f t="shared" ca="1" si="16"/>
        <v/>
      </c>
      <c r="K145" s="9" t="str">
        <f t="shared" ca="1" si="17"/>
        <v/>
      </c>
      <c r="L145" s="9">
        <f t="shared" ca="1" si="18"/>
        <v>12</v>
      </c>
      <c r="N145" s="176">
        <f t="shared" ca="1" si="27"/>
        <v>30</v>
      </c>
      <c r="O145" s="176">
        <f t="shared" ca="1" si="30"/>
        <v>3858</v>
      </c>
      <c r="P145" s="175">
        <f t="shared" ca="1" si="19"/>
        <v>834.39144798065388</v>
      </c>
      <c r="Q145" s="11">
        <f t="shared" ca="1" si="20"/>
        <v>2.9930000000000002E-2</v>
      </c>
      <c r="R145" s="12">
        <f t="shared" ca="1" si="21"/>
        <v>24.973336038060971</v>
      </c>
      <c r="T145">
        <f t="shared" ca="1" si="31"/>
        <v>1733.3464877190645</v>
      </c>
    </row>
    <row r="146" spans="1:20">
      <c r="A146" s="198">
        <f ca="1">'SAC_IOF Ñ USAR'!A146</f>
        <v>127</v>
      </c>
      <c r="B146" s="197">
        <f t="shared" ca="1" si="28"/>
        <v>48609</v>
      </c>
      <c r="C146" s="196">
        <f t="shared" ca="1" si="22"/>
        <v>889.99100827637426</v>
      </c>
      <c r="D146" s="21">
        <f t="shared" ca="1" si="29"/>
        <v>835.16756216654755</v>
      </c>
      <c r="E146" s="196">
        <f t="shared" ca="1" si="23"/>
        <v>89889.091835913583</v>
      </c>
      <c r="F146" s="178">
        <f t="shared" ca="1" si="24"/>
        <v>19.063607397279892</v>
      </c>
      <c r="G146" s="178">
        <f t="shared" ca="1" si="25"/>
        <v>26.319999999999997</v>
      </c>
      <c r="H146" s="177">
        <f t="shared" ca="1" si="26"/>
        <v>25</v>
      </c>
      <c r="I146" s="196"/>
      <c r="J146" s="9" t="str">
        <f t="shared" ref="J146:J209" ca="1" si="32">IF(A146="I","Carencia",IF(A146&lt;=$C$12,"Carencia",""))</f>
        <v/>
      </c>
      <c r="K146" s="9" t="str">
        <f t="shared" ref="K146:K209" ca="1" si="33">IF(L146=$C$13,"Pula","")</f>
        <v/>
      </c>
      <c r="L146" s="9">
        <f t="shared" ref="L146:L209" ca="1" si="34">IFERROR(MONTH(B146),"")</f>
        <v>1</v>
      </c>
      <c r="N146" s="176">
        <f t="shared" ca="1" si="27"/>
        <v>31</v>
      </c>
      <c r="O146" s="176">
        <f t="shared" ca="1" si="30"/>
        <v>3889</v>
      </c>
      <c r="P146" s="175">
        <f t="shared" ref="P146:P209" ca="1" si="35">IF(A146&lt;&gt;"",$E$18/($C$8-$C$12-$D$13),"")</f>
        <v>834.39144798065388</v>
      </c>
      <c r="Q146" s="11">
        <f t="shared" ref="Q146:Q209" ca="1" si="36">IF(OR(A146="",J146="Carencia",K146="Pula"),"",IF(AND($F$5="PF",O146&lt;365),$I$3*O146,IF(AND($F$5="PF",O146&gt;365),$I$3*365,IF(AND($F$5="PJ",O146&lt;365),$I$4*O146,IF(AND($F$5="PJ",O146&gt;365),$I$4*365)))))</f>
        <v>2.9930000000000002E-2</v>
      </c>
      <c r="R146" s="12">
        <f t="shared" ref="R146:R209" ca="1" si="37">IFERROR(Q146*P146,"")</f>
        <v>24.973336038060971</v>
      </c>
      <c r="T146">
        <f t="shared" ca="1" si="31"/>
        <v>1725.1585704429217</v>
      </c>
    </row>
    <row r="147" spans="1:20">
      <c r="A147" s="198">
        <f ca="1">'SAC_IOF Ñ USAR'!A147</f>
        <v>128</v>
      </c>
      <c r="B147" s="197">
        <f t="shared" ca="1" si="28"/>
        <v>48638</v>
      </c>
      <c r="C147" s="196">
        <f t="shared" ref="C147:C210" ca="1" si="38">IFERROR(IF(OR(J147="Carencia",K147="Pula",A147=""),0,_xlfn.XLOOKUP(IF(AND($C$12=0,$A$19="I"),"I",$C$12),$A:$A,$E:$E)/($C$8-$D$13-$C$12)),"")</f>
        <v>889.99100827637426</v>
      </c>
      <c r="D147" s="21">
        <f t="shared" ca="1" si="29"/>
        <v>826.97964489040498</v>
      </c>
      <c r="E147" s="196">
        <f t="shared" ref="E147:E210" ca="1" si="39">IFERROR(IF(OR(J147="Carencia",K147="Pula"),E146+D147+SUM(F147:H147),(E146-C147)),"")</f>
        <v>88999.100827637216</v>
      </c>
      <c r="F147" s="178">
        <f t="shared" ref="F147:F210" ca="1" si="40">IFERROR(IF(OR(AND(DAY(B147)=DAY(B146),MONTH(B147)&lt;&gt;MONTH(B146)),MONTH(B147)&lt;&gt;MONTH(B146)),E146*$I$7,""),"")</f>
        <v>18.876709285541853</v>
      </c>
      <c r="G147" s="178">
        <f t="shared" ref="G147:G210" ca="1" si="41">IFERROR(IF(OR(AND(DAY(B147)=DAY(B146),MONTH(B147)&lt;&gt;MONTH(B146)),MONTH(B147)&lt;&gt;MONTH(B146)),$C$11*$I$8,0),"")</f>
        <v>26.319999999999997</v>
      </c>
      <c r="H147" s="177">
        <f t="shared" ref="H147:H210" ca="1" si="42">IFERROR(IF(OR(AND(DAY(B147)=DAY(B146),MONTH(B147)&lt;&gt;MONTH(B146)),MONTH(B147)&lt;&gt;MONTH(B146)),$I$10,0),"")</f>
        <v>25</v>
      </c>
      <c r="I147" s="196"/>
      <c r="J147" s="9" t="str">
        <f t="shared" ca="1" si="32"/>
        <v/>
      </c>
      <c r="K147" s="9" t="str">
        <f t="shared" ca="1" si="33"/>
        <v/>
      </c>
      <c r="L147" s="9">
        <f t="shared" ca="1" si="34"/>
        <v>2</v>
      </c>
      <c r="N147" s="176">
        <f t="shared" ref="N147:N210" ca="1" si="43">IFERROR(B147-B146,"")</f>
        <v>29</v>
      </c>
      <c r="O147" s="176">
        <f t="shared" ca="1" si="30"/>
        <v>3918</v>
      </c>
      <c r="P147" s="175">
        <f t="shared" ca="1" si="35"/>
        <v>834.39144798065388</v>
      </c>
      <c r="Q147" s="11">
        <f t="shared" ca="1" si="36"/>
        <v>2.9930000000000002E-2</v>
      </c>
      <c r="R147" s="12">
        <f t="shared" ca="1" si="37"/>
        <v>24.973336038060971</v>
      </c>
      <c r="T147">
        <f t="shared" ca="1" si="31"/>
        <v>1716.9706531667794</v>
      </c>
    </row>
    <row r="148" spans="1:20">
      <c r="A148" s="198">
        <f ca="1">'SAC_IOF Ñ USAR'!A148</f>
        <v>129</v>
      </c>
      <c r="B148" s="197">
        <f t="shared" ref="B148:B211" ca="1" si="44">IF(A148&lt;&gt;"",EDATE($B$19,A148-IF($A$19="I",0,1)),"")</f>
        <v>48668</v>
      </c>
      <c r="C148" s="196">
        <f t="shared" ca="1" si="38"/>
        <v>889.99100827637426</v>
      </c>
      <c r="D148" s="21">
        <f t="shared" ref="D148:D211" ca="1" si="45">IFERROR(IF(DAY(B148)=DAY(B147),IF(K148="Pula",0,($C$9)*E147),IF(AND(K148="Pula",J148=""),0,IF(AND($F$3=30,OR(AND(DAY(B147)=28,MONTH(B147)=2),AND(DAY(B147)=29,MONTH(B147)=2))),$C$9*E147,$C$9*E147))),"")</f>
        <v>818.79172761426241</v>
      </c>
      <c r="E148" s="196">
        <f t="shared" ca="1" si="39"/>
        <v>88109.109819360849</v>
      </c>
      <c r="F148" s="178">
        <f t="shared" ca="1" si="40"/>
        <v>18.689811173803815</v>
      </c>
      <c r="G148" s="178">
        <f t="shared" ca="1" si="41"/>
        <v>26.319999999999997</v>
      </c>
      <c r="H148" s="177">
        <f t="shared" ca="1" si="42"/>
        <v>25</v>
      </c>
      <c r="I148" s="196"/>
      <c r="J148" s="9" t="str">
        <f t="shared" ca="1" si="32"/>
        <v/>
      </c>
      <c r="K148" s="9" t="str">
        <f t="shared" ca="1" si="33"/>
        <v/>
      </c>
      <c r="L148" s="9">
        <f t="shared" ca="1" si="34"/>
        <v>3</v>
      </c>
      <c r="N148" s="176">
        <f t="shared" ca="1" si="43"/>
        <v>30</v>
      </c>
      <c r="O148" s="176">
        <f t="shared" ref="O148:O211" ca="1" si="46">IFERROR(N148+O147,"")</f>
        <v>3948</v>
      </c>
      <c r="P148" s="175">
        <f t="shared" ca="1" si="35"/>
        <v>834.39144798065388</v>
      </c>
      <c r="Q148" s="11">
        <f t="shared" ca="1" si="36"/>
        <v>2.9930000000000002E-2</v>
      </c>
      <c r="R148" s="12">
        <f t="shared" ca="1" si="37"/>
        <v>24.973336038060971</v>
      </c>
      <c r="T148">
        <f t="shared" ref="T148:T211" ca="1" si="47">IFERROR(IF(OR(J148="Carencia",K148="Pula"),0,C148+D148),"")</f>
        <v>1708.7827358906366</v>
      </c>
    </row>
    <row r="149" spans="1:20">
      <c r="A149" s="198">
        <f ca="1">'SAC_IOF Ñ USAR'!A149</f>
        <v>130</v>
      </c>
      <c r="B149" s="197">
        <f t="shared" ca="1" si="44"/>
        <v>48699</v>
      </c>
      <c r="C149" s="196">
        <f t="shared" ca="1" si="38"/>
        <v>889.99100827637426</v>
      </c>
      <c r="D149" s="21">
        <f t="shared" ca="1" si="45"/>
        <v>810.60381033811984</v>
      </c>
      <c r="E149" s="196">
        <f t="shared" ca="1" si="39"/>
        <v>87219.118811084481</v>
      </c>
      <c r="F149" s="178">
        <f t="shared" ca="1" si="40"/>
        <v>18.50291306206578</v>
      </c>
      <c r="G149" s="178">
        <f t="shared" ca="1" si="41"/>
        <v>26.319999999999997</v>
      </c>
      <c r="H149" s="177">
        <f t="shared" ca="1" si="42"/>
        <v>25</v>
      </c>
      <c r="I149" s="196"/>
      <c r="J149" s="9" t="str">
        <f t="shared" ca="1" si="32"/>
        <v/>
      </c>
      <c r="K149" s="9" t="str">
        <f t="shared" ca="1" si="33"/>
        <v/>
      </c>
      <c r="L149" s="9">
        <f t="shared" ca="1" si="34"/>
        <v>4</v>
      </c>
      <c r="N149" s="176">
        <f t="shared" ca="1" si="43"/>
        <v>31</v>
      </c>
      <c r="O149" s="176">
        <f t="shared" ca="1" si="46"/>
        <v>3979</v>
      </c>
      <c r="P149" s="175">
        <f t="shared" ca="1" si="35"/>
        <v>834.39144798065388</v>
      </c>
      <c r="Q149" s="11">
        <f t="shared" ca="1" si="36"/>
        <v>2.9930000000000002E-2</v>
      </c>
      <c r="R149" s="12">
        <f t="shared" ca="1" si="37"/>
        <v>24.973336038060971</v>
      </c>
      <c r="T149">
        <f t="shared" ca="1" si="47"/>
        <v>1700.5948186144942</v>
      </c>
    </row>
    <row r="150" spans="1:20">
      <c r="A150" s="198">
        <f ca="1">'SAC_IOF Ñ USAR'!A150</f>
        <v>131</v>
      </c>
      <c r="B150" s="197">
        <f t="shared" ca="1" si="44"/>
        <v>48729</v>
      </c>
      <c r="C150" s="196">
        <f t="shared" ca="1" si="38"/>
        <v>889.99100827637426</v>
      </c>
      <c r="D150" s="21">
        <f t="shared" ca="1" si="45"/>
        <v>802.41589306197727</v>
      </c>
      <c r="E150" s="196">
        <f t="shared" ca="1" si="39"/>
        <v>86329.127802808114</v>
      </c>
      <c r="F150" s="178">
        <f t="shared" ca="1" si="40"/>
        <v>18.316014950327741</v>
      </c>
      <c r="G150" s="178">
        <f t="shared" ca="1" si="41"/>
        <v>26.319999999999997</v>
      </c>
      <c r="H150" s="177">
        <f t="shared" ca="1" si="42"/>
        <v>25</v>
      </c>
      <c r="I150" s="196"/>
      <c r="J150" s="9" t="str">
        <f t="shared" ca="1" si="32"/>
        <v/>
      </c>
      <c r="K150" s="9" t="str">
        <f t="shared" ca="1" si="33"/>
        <v/>
      </c>
      <c r="L150" s="9">
        <f t="shared" ca="1" si="34"/>
        <v>5</v>
      </c>
      <c r="N150" s="176">
        <f t="shared" ca="1" si="43"/>
        <v>30</v>
      </c>
      <c r="O150" s="176">
        <f t="shared" ca="1" si="46"/>
        <v>4009</v>
      </c>
      <c r="P150" s="175">
        <f t="shared" ca="1" si="35"/>
        <v>834.39144798065388</v>
      </c>
      <c r="Q150" s="11">
        <f t="shared" ca="1" si="36"/>
        <v>2.9930000000000002E-2</v>
      </c>
      <c r="R150" s="12">
        <f t="shared" ca="1" si="37"/>
        <v>24.973336038060971</v>
      </c>
      <c r="T150">
        <f t="shared" ca="1" si="47"/>
        <v>1692.4069013383514</v>
      </c>
    </row>
    <row r="151" spans="1:20">
      <c r="A151" s="198">
        <f ca="1">'SAC_IOF Ñ USAR'!A151</f>
        <v>132</v>
      </c>
      <c r="B151" s="197">
        <f t="shared" ca="1" si="44"/>
        <v>48760</v>
      </c>
      <c r="C151" s="196">
        <f t="shared" ca="1" si="38"/>
        <v>889.99100827637426</v>
      </c>
      <c r="D151" s="21">
        <f t="shared" ca="1" si="45"/>
        <v>794.22797578583459</v>
      </c>
      <c r="E151" s="196">
        <f t="shared" ca="1" si="39"/>
        <v>85439.136794531747</v>
      </c>
      <c r="F151" s="178">
        <f t="shared" ca="1" si="40"/>
        <v>18.129116838589706</v>
      </c>
      <c r="G151" s="178">
        <f t="shared" ca="1" si="41"/>
        <v>26.319999999999997</v>
      </c>
      <c r="H151" s="177">
        <f t="shared" ca="1" si="42"/>
        <v>25</v>
      </c>
      <c r="I151" s="196"/>
      <c r="J151" s="9" t="str">
        <f t="shared" ca="1" si="32"/>
        <v/>
      </c>
      <c r="K151" s="9" t="str">
        <f t="shared" ca="1" si="33"/>
        <v/>
      </c>
      <c r="L151" s="9">
        <f t="shared" ca="1" si="34"/>
        <v>6</v>
      </c>
      <c r="N151" s="176">
        <f t="shared" ca="1" si="43"/>
        <v>31</v>
      </c>
      <c r="O151" s="176">
        <f t="shared" ca="1" si="46"/>
        <v>4040</v>
      </c>
      <c r="P151" s="175">
        <f t="shared" ca="1" si="35"/>
        <v>834.39144798065388</v>
      </c>
      <c r="Q151" s="11">
        <f t="shared" ca="1" si="36"/>
        <v>2.9930000000000002E-2</v>
      </c>
      <c r="R151" s="12">
        <f t="shared" ca="1" si="37"/>
        <v>24.973336038060971</v>
      </c>
      <c r="T151">
        <f t="shared" ca="1" si="47"/>
        <v>1684.2189840622088</v>
      </c>
    </row>
    <row r="152" spans="1:20">
      <c r="A152" s="198">
        <f ca="1">'SAC_IOF Ñ USAR'!A152</f>
        <v>133</v>
      </c>
      <c r="B152" s="197">
        <f t="shared" ca="1" si="44"/>
        <v>48790</v>
      </c>
      <c r="C152" s="196">
        <f t="shared" ca="1" si="38"/>
        <v>889.99100827637426</v>
      </c>
      <c r="D152" s="21">
        <f t="shared" ca="1" si="45"/>
        <v>786.04005850969202</v>
      </c>
      <c r="E152" s="196">
        <f t="shared" ca="1" si="39"/>
        <v>84549.14578625538</v>
      </c>
      <c r="F152" s="178">
        <f t="shared" ca="1" si="40"/>
        <v>17.942218726851667</v>
      </c>
      <c r="G152" s="178">
        <f t="shared" ca="1" si="41"/>
        <v>26.319999999999997</v>
      </c>
      <c r="H152" s="177">
        <f t="shared" ca="1" si="42"/>
        <v>25</v>
      </c>
      <c r="I152" s="196"/>
      <c r="J152" s="9" t="str">
        <f t="shared" ca="1" si="32"/>
        <v/>
      </c>
      <c r="K152" s="9" t="str">
        <f t="shared" ca="1" si="33"/>
        <v/>
      </c>
      <c r="L152" s="9">
        <f t="shared" ca="1" si="34"/>
        <v>7</v>
      </c>
      <c r="N152" s="176">
        <f t="shared" ca="1" si="43"/>
        <v>30</v>
      </c>
      <c r="O152" s="176">
        <f t="shared" ca="1" si="46"/>
        <v>4070</v>
      </c>
      <c r="P152" s="175">
        <f t="shared" ca="1" si="35"/>
        <v>834.39144798065388</v>
      </c>
      <c r="Q152" s="11">
        <f t="shared" ca="1" si="36"/>
        <v>2.9930000000000002E-2</v>
      </c>
      <c r="R152" s="12">
        <f t="shared" ca="1" si="37"/>
        <v>24.973336038060971</v>
      </c>
      <c r="T152">
        <f t="shared" ca="1" si="47"/>
        <v>1676.0310667860663</v>
      </c>
    </row>
    <row r="153" spans="1:20">
      <c r="A153" s="198">
        <f ca="1">'SAC_IOF Ñ USAR'!A153</f>
        <v>134</v>
      </c>
      <c r="B153" s="197">
        <f t="shared" ca="1" si="44"/>
        <v>48821</v>
      </c>
      <c r="C153" s="196">
        <f t="shared" ca="1" si="38"/>
        <v>889.99100827637426</v>
      </c>
      <c r="D153" s="21">
        <f t="shared" ca="1" si="45"/>
        <v>777.85214123354945</v>
      </c>
      <c r="E153" s="196">
        <f t="shared" ca="1" si="39"/>
        <v>83659.154777979013</v>
      </c>
      <c r="F153" s="178">
        <f t="shared" ca="1" si="40"/>
        <v>17.755320615113632</v>
      </c>
      <c r="G153" s="178">
        <f t="shared" ca="1" si="41"/>
        <v>26.319999999999997</v>
      </c>
      <c r="H153" s="177">
        <f t="shared" ca="1" si="42"/>
        <v>25</v>
      </c>
      <c r="I153" s="196"/>
      <c r="J153" s="9" t="str">
        <f t="shared" ca="1" si="32"/>
        <v/>
      </c>
      <c r="K153" s="9" t="str">
        <f t="shared" ca="1" si="33"/>
        <v/>
      </c>
      <c r="L153" s="9">
        <f t="shared" ca="1" si="34"/>
        <v>8</v>
      </c>
      <c r="N153" s="176">
        <f t="shared" ca="1" si="43"/>
        <v>31</v>
      </c>
      <c r="O153" s="176">
        <f t="shared" ca="1" si="46"/>
        <v>4101</v>
      </c>
      <c r="P153" s="175">
        <f t="shared" ca="1" si="35"/>
        <v>834.39144798065388</v>
      </c>
      <c r="Q153" s="11">
        <f t="shared" ca="1" si="36"/>
        <v>2.9930000000000002E-2</v>
      </c>
      <c r="R153" s="12">
        <f t="shared" ca="1" si="37"/>
        <v>24.973336038060971</v>
      </c>
      <c r="T153">
        <f t="shared" ca="1" si="47"/>
        <v>1667.8431495099237</v>
      </c>
    </row>
    <row r="154" spans="1:20">
      <c r="A154" s="198">
        <f ca="1">'SAC_IOF Ñ USAR'!A154</f>
        <v>135</v>
      </c>
      <c r="B154" s="197">
        <f t="shared" ca="1" si="44"/>
        <v>48852</v>
      </c>
      <c r="C154" s="196">
        <f t="shared" ca="1" si="38"/>
        <v>889.99100827637426</v>
      </c>
      <c r="D154" s="21">
        <f t="shared" ca="1" si="45"/>
        <v>769.66422395740688</v>
      </c>
      <c r="E154" s="196">
        <f t="shared" ca="1" si="39"/>
        <v>82769.163769702645</v>
      </c>
      <c r="F154" s="178">
        <f t="shared" ca="1" si="40"/>
        <v>17.568422503375594</v>
      </c>
      <c r="G154" s="178">
        <f t="shared" ca="1" si="41"/>
        <v>26.319999999999997</v>
      </c>
      <c r="H154" s="177">
        <f t="shared" ca="1" si="42"/>
        <v>25</v>
      </c>
      <c r="I154" s="196"/>
      <c r="J154" s="9" t="str">
        <f t="shared" ca="1" si="32"/>
        <v/>
      </c>
      <c r="K154" s="9" t="str">
        <f t="shared" ca="1" si="33"/>
        <v/>
      </c>
      <c r="L154" s="9">
        <f t="shared" ca="1" si="34"/>
        <v>9</v>
      </c>
      <c r="N154" s="176">
        <f t="shared" ca="1" si="43"/>
        <v>31</v>
      </c>
      <c r="O154" s="176">
        <f t="shared" ca="1" si="46"/>
        <v>4132</v>
      </c>
      <c r="P154" s="175">
        <f t="shared" ca="1" si="35"/>
        <v>834.39144798065388</v>
      </c>
      <c r="Q154" s="11">
        <f t="shared" ca="1" si="36"/>
        <v>2.9930000000000002E-2</v>
      </c>
      <c r="R154" s="12">
        <f t="shared" ca="1" si="37"/>
        <v>24.973336038060971</v>
      </c>
      <c r="T154">
        <f t="shared" ca="1" si="47"/>
        <v>1659.6552322337811</v>
      </c>
    </row>
    <row r="155" spans="1:20">
      <c r="A155" s="198">
        <f ca="1">'SAC_IOF Ñ USAR'!A155</f>
        <v>136</v>
      </c>
      <c r="B155" s="197">
        <f t="shared" ca="1" si="44"/>
        <v>48882</v>
      </c>
      <c r="C155" s="196">
        <f t="shared" ca="1" si="38"/>
        <v>889.99100827637426</v>
      </c>
      <c r="D155" s="21">
        <f t="shared" ca="1" si="45"/>
        <v>761.4763066812643</v>
      </c>
      <c r="E155" s="196">
        <f t="shared" ca="1" si="39"/>
        <v>81879.172761426278</v>
      </c>
      <c r="F155" s="178">
        <f t="shared" ca="1" si="40"/>
        <v>17.381524391637555</v>
      </c>
      <c r="G155" s="178">
        <f t="shared" ca="1" si="41"/>
        <v>26.319999999999997</v>
      </c>
      <c r="H155" s="177">
        <f t="shared" ca="1" si="42"/>
        <v>25</v>
      </c>
      <c r="I155" s="196"/>
      <c r="J155" s="9" t="str">
        <f t="shared" ca="1" si="32"/>
        <v/>
      </c>
      <c r="K155" s="9" t="str">
        <f t="shared" ca="1" si="33"/>
        <v/>
      </c>
      <c r="L155" s="9">
        <f t="shared" ca="1" si="34"/>
        <v>10</v>
      </c>
      <c r="N155" s="176">
        <f t="shared" ca="1" si="43"/>
        <v>30</v>
      </c>
      <c r="O155" s="176">
        <f t="shared" ca="1" si="46"/>
        <v>4162</v>
      </c>
      <c r="P155" s="175">
        <f t="shared" ca="1" si="35"/>
        <v>834.39144798065388</v>
      </c>
      <c r="Q155" s="11">
        <f t="shared" ca="1" si="36"/>
        <v>2.9930000000000002E-2</v>
      </c>
      <c r="R155" s="12">
        <f t="shared" ca="1" si="37"/>
        <v>24.973336038060971</v>
      </c>
      <c r="T155">
        <f t="shared" ca="1" si="47"/>
        <v>1651.4673149576386</v>
      </c>
    </row>
    <row r="156" spans="1:20">
      <c r="A156" s="198">
        <f ca="1">'SAC_IOF Ñ USAR'!A156</f>
        <v>137</v>
      </c>
      <c r="B156" s="197">
        <f t="shared" ca="1" si="44"/>
        <v>48913</v>
      </c>
      <c r="C156" s="196">
        <f t="shared" ca="1" si="38"/>
        <v>889.99100827637426</v>
      </c>
      <c r="D156" s="21">
        <f t="shared" ca="1" si="45"/>
        <v>753.28838940512173</v>
      </c>
      <c r="E156" s="196">
        <f t="shared" ca="1" si="39"/>
        <v>80989.181753149911</v>
      </c>
      <c r="F156" s="178">
        <f t="shared" ca="1" si="40"/>
        <v>17.19462627989952</v>
      </c>
      <c r="G156" s="178">
        <f t="shared" ca="1" si="41"/>
        <v>26.319999999999997</v>
      </c>
      <c r="H156" s="177">
        <f t="shared" ca="1" si="42"/>
        <v>25</v>
      </c>
      <c r="I156" s="196"/>
      <c r="J156" s="9" t="str">
        <f t="shared" ca="1" si="32"/>
        <v/>
      </c>
      <c r="K156" s="9" t="str">
        <f t="shared" ca="1" si="33"/>
        <v/>
      </c>
      <c r="L156" s="9">
        <f t="shared" ca="1" si="34"/>
        <v>11</v>
      </c>
      <c r="N156" s="176">
        <f t="shared" ca="1" si="43"/>
        <v>31</v>
      </c>
      <c r="O156" s="176">
        <f t="shared" ca="1" si="46"/>
        <v>4193</v>
      </c>
      <c r="P156" s="175">
        <f t="shared" ca="1" si="35"/>
        <v>834.39144798065388</v>
      </c>
      <c r="Q156" s="11">
        <f t="shared" ca="1" si="36"/>
        <v>2.9930000000000002E-2</v>
      </c>
      <c r="R156" s="12">
        <f t="shared" ca="1" si="37"/>
        <v>24.973336038060971</v>
      </c>
      <c r="T156">
        <f t="shared" ca="1" si="47"/>
        <v>1643.279397681496</v>
      </c>
    </row>
    <row r="157" spans="1:20">
      <c r="A157" s="198">
        <f ca="1">'SAC_IOF Ñ USAR'!A157</f>
        <v>138</v>
      </c>
      <c r="B157" s="197">
        <f t="shared" ca="1" si="44"/>
        <v>48943</v>
      </c>
      <c r="C157" s="196">
        <f t="shared" ca="1" si="38"/>
        <v>889.99100827637426</v>
      </c>
      <c r="D157" s="21">
        <f t="shared" ca="1" si="45"/>
        <v>745.10047212897916</v>
      </c>
      <c r="E157" s="196">
        <f t="shared" ca="1" si="39"/>
        <v>80099.190744873544</v>
      </c>
      <c r="F157" s="178">
        <f t="shared" ca="1" si="40"/>
        <v>17.007728168161481</v>
      </c>
      <c r="G157" s="178">
        <f t="shared" ca="1" si="41"/>
        <v>26.319999999999997</v>
      </c>
      <c r="H157" s="177">
        <f t="shared" ca="1" si="42"/>
        <v>25</v>
      </c>
      <c r="I157" s="196"/>
      <c r="J157" s="9" t="str">
        <f t="shared" ca="1" si="32"/>
        <v/>
      </c>
      <c r="K157" s="9" t="str">
        <f t="shared" ca="1" si="33"/>
        <v/>
      </c>
      <c r="L157" s="9">
        <f t="shared" ca="1" si="34"/>
        <v>12</v>
      </c>
      <c r="N157" s="176">
        <f t="shared" ca="1" si="43"/>
        <v>30</v>
      </c>
      <c r="O157" s="176">
        <f t="shared" ca="1" si="46"/>
        <v>4223</v>
      </c>
      <c r="P157" s="175">
        <f t="shared" ca="1" si="35"/>
        <v>834.39144798065388</v>
      </c>
      <c r="Q157" s="11">
        <f t="shared" ca="1" si="36"/>
        <v>2.9930000000000002E-2</v>
      </c>
      <c r="R157" s="12">
        <f t="shared" ca="1" si="37"/>
        <v>24.973336038060971</v>
      </c>
      <c r="T157">
        <f t="shared" ca="1" si="47"/>
        <v>1635.0914804053534</v>
      </c>
    </row>
    <row r="158" spans="1:20">
      <c r="A158" s="198">
        <f ca="1">'SAC_IOF Ñ USAR'!A158</f>
        <v>139</v>
      </c>
      <c r="B158" s="197">
        <f t="shared" ca="1" si="44"/>
        <v>48974</v>
      </c>
      <c r="C158" s="196">
        <f t="shared" ca="1" si="38"/>
        <v>889.99100827637426</v>
      </c>
      <c r="D158" s="21">
        <f t="shared" ca="1" si="45"/>
        <v>736.91255485283659</v>
      </c>
      <c r="E158" s="196">
        <f t="shared" ca="1" si="39"/>
        <v>79209.199736597177</v>
      </c>
      <c r="F158" s="178">
        <f t="shared" ca="1" si="40"/>
        <v>16.820830056423446</v>
      </c>
      <c r="G158" s="178">
        <f t="shared" ca="1" si="41"/>
        <v>26.319999999999997</v>
      </c>
      <c r="H158" s="177">
        <f t="shared" ca="1" si="42"/>
        <v>25</v>
      </c>
      <c r="I158" s="196"/>
      <c r="J158" s="9" t="str">
        <f t="shared" ca="1" si="32"/>
        <v/>
      </c>
      <c r="K158" s="9" t="str">
        <f t="shared" ca="1" si="33"/>
        <v/>
      </c>
      <c r="L158" s="9">
        <f t="shared" ca="1" si="34"/>
        <v>1</v>
      </c>
      <c r="N158" s="176">
        <f t="shared" ca="1" si="43"/>
        <v>31</v>
      </c>
      <c r="O158" s="176">
        <f t="shared" ca="1" si="46"/>
        <v>4254</v>
      </c>
      <c r="P158" s="175">
        <f t="shared" ca="1" si="35"/>
        <v>834.39144798065388</v>
      </c>
      <c r="Q158" s="11">
        <f t="shared" ca="1" si="36"/>
        <v>2.9930000000000002E-2</v>
      </c>
      <c r="R158" s="12">
        <f t="shared" ca="1" si="37"/>
        <v>24.973336038060971</v>
      </c>
      <c r="T158">
        <f t="shared" ca="1" si="47"/>
        <v>1626.9035631292109</v>
      </c>
    </row>
    <row r="159" spans="1:20">
      <c r="A159" s="198">
        <f ca="1">'SAC_IOF Ñ USAR'!A159</f>
        <v>140</v>
      </c>
      <c r="B159" s="197">
        <f t="shared" ca="1" si="44"/>
        <v>49003</v>
      </c>
      <c r="C159" s="196">
        <f t="shared" ca="1" si="38"/>
        <v>889.99100827637426</v>
      </c>
      <c r="D159" s="21">
        <f t="shared" ca="1" si="45"/>
        <v>728.72463757669402</v>
      </c>
      <c r="E159" s="196">
        <f t="shared" ca="1" si="39"/>
        <v>78319.208728320809</v>
      </c>
      <c r="F159" s="178">
        <f t="shared" ca="1" si="40"/>
        <v>16.633931944685408</v>
      </c>
      <c r="G159" s="178">
        <f t="shared" ca="1" si="41"/>
        <v>26.319999999999997</v>
      </c>
      <c r="H159" s="177">
        <f t="shared" ca="1" si="42"/>
        <v>25</v>
      </c>
      <c r="I159" s="196"/>
      <c r="J159" s="9" t="str">
        <f t="shared" ca="1" si="32"/>
        <v/>
      </c>
      <c r="K159" s="9" t="str">
        <f t="shared" ca="1" si="33"/>
        <v/>
      </c>
      <c r="L159" s="9">
        <f t="shared" ca="1" si="34"/>
        <v>2</v>
      </c>
      <c r="N159" s="176">
        <f t="shared" ca="1" si="43"/>
        <v>29</v>
      </c>
      <c r="O159" s="176">
        <f t="shared" ca="1" si="46"/>
        <v>4283</v>
      </c>
      <c r="P159" s="175">
        <f t="shared" ca="1" si="35"/>
        <v>834.39144798065388</v>
      </c>
      <c r="Q159" s="11">
        <f t="shared" ca="1" si="36"/>
        <v>2.9930000000000002E-2</v>
      </c>
      <c r="R159" s="12">
        <f t="shared" ca="1" si="37"/>
        <v>24.973336038060971</v>
      </c>
      <c r="T159">
        <f t="shared" ca="1" si="47"/>
        <v>1618.7156458530683</v>
      </c>
    </row>
    <row r="160" spans="1:20">
      <c r="A160" s="198">
        <f ca="1">'SAC_IOF Ñ USAR'!A160</f>
        <v>141</v>
      </c>
      <c r="B160" s="197">
        <f t="shared" ca="1" si="44"/>
        <v>49033</v>
      </c>
      <c r="C160" s="196">
        <f t="shared" ca="1" si="38"/>
        <v>889.99100827637426</v>
      </c>
      <c r="D160" s="21">
        <f t="shared" ca="1" si="45"/>
        <v>720.53672030055145</v>
      </c>
      <c r="E160" s="196">
        <f t="shared" ca="1" si="39"/>
        <v>77429.217720044442</v>
      </c>
      <c r="F160" s="178">
        <f t="shared" ca="1" si="40"/>
        <v>16.447033832947369</v>
      </c>
      <c r="G160" s="178">
        <f t="shared" ca="1" si="41"/>
        <v>26.319999999999997</v>
      </c>
      <c r="H160" s="177">
        <f t="shared" ca="1" si="42"/>
        <v>25</v>
      </c>
      <c r="I160" s="196"/>
      <c r="J160" s="9" t="str">
        <f t="shared" ca="1" si="32"/>
        <v/>
      </c>
      <c r="K160" s="9" t="str">
        <f t="shared" ca="1" si="33"/>
        <v/>
      </c>
      <c r="L160" s="9">
        <f t="shared" ca="1" si="34"/>
        <v>3</v>
      </c>
      <c r="N160" s="176">
        <f t="shared" ca="1" si="43"/>
        <v>30</v>
      </c>
      <c r="O160" s="176">
        <f t="shared" ca="1" si="46"/>
        <v>4313</v>
      </c>
      <c r="P160" s="175">
        <f t="shared" ca="1" si="35"/>
        <v>834.39144798065388</v>
      </c>
      <c r="Q160" s="11">
        <f t="shared" ca="1" si="36"/>
        <v>2.9930000000000002E-2</v>
      </c>
      <c r="R160" s="12">
        <f t="shared" ca="1" si="37"/>
        <v>24.973336038060971</v>
      </c>
      <c r="T160">
        <f t="shared" ca="1" si="47"/>
        <v>1610.5277285769257</v>
      </c>
    </row>
    <row r="161" spans="1:20">
      <c r="A161" s="198">
        <f ca="1">'SAC_IOF Ñ USAR'!A161</f>
        <v>142</v>
      </c>
      <c r="B161" s="197">
        <f t="shared" ca="1" si="44"/>
        <v>49064</v>
      </c>
      <c r="C161" s="196">
        <f t="shared" ca="1" si="38"/>
        <v>889.99100827637426</v>
      </c>
      <c r="D161" s="21">
        <f t="shared" ca="1" si="45"/>
        <v>712.34880302440888</v>
      </c>
      <c r="E161" s="196">
        <f t="shared" ca="1" si="39"/>
        <v>76539.226711768075</v>
      </c>
      <c r="F161" s="178">
        <f t="shared" ca="1" si="40"/>
        <v>16.260135721209334</v>
      </c>
      <c r="G161" s="178">
        <f t="shared" ca="1" si="41"/>
        <v>26.319999999999997</v>
      </c>
      <c r="H161" s="177">
        <f t="shared" ca="1" si="42"/>
        <v>25</v>
      </c>
      <c r="I161" s="196"/>
      <c r="J161" s="9" t="str">
        <f t="shared" ca="1" si="32"/>
        <v/>
      </c>
      <c r="K161" s="9" t="str">
        <f t="shared" ca="1" si="33"/>
        <v/>
      </c>
      <c r="L161" s="9">
        <f t="shared" ca="1" si="34"/>
        <v>4</v>
      </c>
      <c r="N161" s="176">
        <f t="shared" ca="1" si="43"/>
        <v>31</v>
      </c>
      <c r="O161" s="176">
        <f t="shared" ca="1" si="46"/>
        <v>4344</v>
      </c>
      <c r="P161" s="175">
        <f t="shared" ca="1" si="35"/>
        <v>834.39144798065388</v>
      </c>
      <c r="Q161" s="11">
        <f t="shared" ca="1" si="36"/>
        <v>2.9930000000000002E-2</v>
      </c>
      <c r="R161" s="12">
        <f t="shared" ca="1" si="37"/>
        <v>24.973336038060971</v>
      </c>
      <c r="T161">
        <f t="shared" ca="1" si="47"/>
        <v>1602.3398113007831</v>
      </c>
    </row>
    <row r="162" spans="1:20">
      <c r="A162" s="198">
        <f ca="1">'SAC_IOF Ñ USAR'!A162</f>
        <v>143</v>
      </c>
      <c r="B162" s="197">
        <f t="shared" ca="1" si="44"/>
        <v>49094</v>
      </c>
      <c r="C162" s="196">
        <f t="shared" ca="1" si="38"/>
        <v>889.99100827637426</v>
      </c>
      <c r="D162" s="21">
        <f t="shared" ca="1" si="45"/>
        <v>704.16088574826631</v>
      </c>
      <c r="E162" s="196">
        <f t="shared" ca="1" si="39"/>
        <v>75649.235703491708</v>
      </c>
      <c r="F162" s="178">
        <f t="shared" ca="1" si="40"/>
        <v>16.073237609471295</v>
      </c>
      <c r="G162" s="178">
        <f t="shared" ca="1" si="41"/>
        <v>26.319999999999997</v>
      </c>
      <c r="H162" s="177">
        <f t="shared" ca="1" si="42"/>
        <v>25</v>
      </c>
      <c r="I162" s="196"/>
      <c r="J162" s="9" t="str">
        <f t="shared" ca="1" si="32"/>
        <v/>
      </c>
      <c r="K162" s="9" t="str">
        <f t="shared" ca="1" si="33"/>
        <v/>
      </c>
      <c r="L162" s="9">
        <f t="shared" ca="1" si="34"/>
        <v>5</v>
      </c>
      <c r="N162" s="176">
        <f t="shared" ca="1" si="43"/>
        <v>30</v>
      </c>
      <c r="O162" s="176">
        <f t="shared" ca="1" si="46"/>
        <v>4374</v>
      </c>
      <c r="P162" s="175">
        <f t="shared" ca="1" si="35"/>
        <v>834.39144798065388</v>
      </c>
      <c r="Q162" s="11">
        <f t="shared" ca="1" si="36"/>
        <v>2.9930000000000002E-2</v>
      </c>
      <c r="R162" s="12">
        <f t="shared" ca="1" si="37"/>
        <v>24.973336038060971</v>
      </c>
      <c r="T162">
        <f t="shared" ca="1" si="47"/>
        <v>1594.1518940246406</v>
      </c>
    </row>
    <row r="163" spans="1:20">
      <c r="A163" s="198">
        <f ca="1">'SAC_IOF Ñ USAR'!A163</f>
        <v>144</v>
      </c>
      <c r="B163" s="197">
        <f t="shared" ca="1" si="44"/>
        <v>49125</v>
      </c>
      <c r="C163" s="196">
        <f t="shared" ca="1" si="38"/>
        <v>889.99100827637426</v>
      </c>
      <c r="D163" s="21">
        <f t="shared" ca="1" si="45"/>
        <v>695.97296847212374</v>
      </c>
      <c r="E163" s="196">
        <f t="shared" ca="1" si="39"/>
        <v>74759.24469521534</v>
      </c>
      <c r="F163" s="178">
        <f t="shared" ca="1" si="40"/>
        <v>15.886339497733259</v>
      </c>
      <c r="G163" s="178">
        <f t="shared" ca="1" si="41"/>
        <v>26.319999999999997</v>
      </c>
      <c r="H163" s="177">
        <f t="shared" ca="1" si="42"/>
        <v>25</v>
      </c>
      <c r="I163" s="196"/>
      <c r="J163" s="9" t="str">
        <f t="shared" ca="1" si="32"/>
        <v/>
      </c>
      <c r="K163" s="9" t="str">
        <f t="shared" ca="1" si="33"/>
        <v/>
      </c>
      <c r="L163" s="9">
        <f t="shared" ca="1" si="34"/>
        <v>6</v>
      </c>
      <c r="N163" s="176">
        <f t="shared" ca="1" si="43"/>
        <v>31</v>
      </c>
      <c r="O163" s="176">
        <f t="shared" ca="1" si="46"/>
        <v>4405</v>
      </c>
      <c r="P163" s="175">
        <f t="shared" ca="1" si="35"/>
        <v>834.39144798065388</v>
      </c>
      <c r="Q163" s="11">
        <f t="shared" ca="1" si="36"/>
        <v>2.9930000000000002E-2</v>
      </c>
      <c r="R163" s="12">
        <f t="shared" ca="1" si="37"/>
        <v>24.973336038060971</v>
      </c>
      <c r="T163">
        <f t="shared" ca="1" si="47"/>
        <v>1585.963976748498</v>
      </c>
    </row>
    <row r="164" spans="1:20">
      <c r="A164" s="198">
        <f ca="1">'SAC_IOF Ñ USAR'!A164</f>
        <v>145</v>
      </c>
      <c r="B164" s="197">
        <f t="shared" ca="1" si="44"/>
        <v>49155</v>
      </c>
      <c r="C164" s="196">
        <f t="shared" ca="1" si="38"/>
        <v>889.99100827637426</v>
      </c>
      <c r="D164" s="21">
        <f t="shared" ca="1" si="45"/>
        <v>687.78505119598117</v>
      </c>
      <c r="E164" s="196">
        <f t="shared" ca="1" si="39"/>
        <v>73869.253686938973</v>
      </c>
      <c r="F164" s="178">
        <f t="shared" ca="1" si="40"/>
        <v>15.699441385995222</v>
      </c>
      <c r="G164" s="178">
        <f t="shared" ca="1" si="41"/>
        <v>26.319999999999997</v>
      </c>
      <c r="H164" s="177">
        <f t="shared" ca="1" si="42"/>
        <v>25</v>
      </c>
      <c r="I164" s="196"/>
      <c r="J164" s="9" t="str">
        <f t="shared" ca="1" si="32"/>
        <v/>
      </c>
      <c r="K164" s="9" t="str">
        <f t="shared" ca="1" si="33"/>
        <v/>
      </c>
      <c r="L164" s="9">
        <f t="shared" ca="1" si="34"/>
        <v>7</v>
      </c>
      <c r="N164" s="176">
        <f t="shared" ca="1" si="43"/>
        <v>30</v>
      </c>
      <c r="O164" s="176">
        <f t="shared" ca="1" si="46"/>
        <v>4435</v>
      </c>
      <c r="P164" s="175">
        <f t="shared" ca="1" si="35"/>
        <v>834.39144798065388</v>
      </c>
      <c r="Q164" s="11">
        <f t="shared" ca="1" si="36"/>
        <v>2.9930000000000002E-2</v>
      </c>
      <c r="R164" s="12">
        <f t="shared" ca="1" si="37"/>
        <v>24.973336038060971</v>
      </c>
      <c r="T164">
        <f t="shared" ca="1" si="47"/>
        <v>1577.7760594723554</v>
      </c>
    </row>
    <row r="165" spans="1:20">
      <c r="A165" s="198">
        <f ca="1">'SAC_IOF Ñ USAR'!A165</f>
        <v>146</v>
      </c>
      <c r="B165" s="197">
        <f t="shared" ca="1" si="44"/>
        <v>49186</v>
      </c>
      <c r="C165" s="196">
        <f t="shared" ca="1" si="38"/>
        <v>889.99100827637426</v>
      </c>
      <c r="D165" s="21">
        <f t="shared" ca="1" si="45"/>
        <v>679.5971339198386</v>
      </c>
      <c r="E165" s="196">
        <f t="shared" ca="1" si="39"/>
        <v>72979.262678662606</v>
      </c>
      <c r="F165" s="178">
        <f t="shared" ca="1" si="40"/>
        <v>15.512543274257185</v>
      </c>
      <c r="G165" s="178">
        <f t="shared" ca="1" si="41"/>
        <v>26.319999999999997</v>
      </c>
      <c r="H165" s="177">
        <f t="shared" ca="1" si="42"/>
        <v>25</v>
      </c>
      <c r="I165" s="196"/>
      <c r="J165" s="9" t="str">
        <f t="shared" ca="1" si="32"/>
        <v/>
      </c>
      <c r="K165" s="9" t="str">
        <f t="shared" ca="1" si="33"/>
        <v/>
      </c>
      <c r="L165" s="9">
        <f t="shared" ca="1" si="34"/>
        <v>8</v>
      </c>
      <c r="N165" s="176">
        <f t="shared" ca="1" si="43"/>
        <v>31</v>
      </c>
      <c r="O165" s="176">
        <f t="shared" ca="1" si="46"/>
        <v>4466</v>
      </c>
      <c r="P165" s="175">
        <f t="shared" ca="1" si="35"/>
        <v>834.39144798065388</v>
      </c>
      <c r="Q165" s="11">
        <f t="shared" ca="1" si="36"/>
        <v>2.9930000000000002E-2</v>
      </c>
      <c r="R165" s="12">
        <f t="shared" ca="1" si="37"/>
        <v>24.973336038060971</v>
      </c>
      <c r="T165">
        <f t="shared" ca="1" si="47"/>
        <v>1569.5881421962129</v>
      </c>
    </row>
    <row r="166" spans="1:20">
      <c r="A166" s="198">
        <f ca="1">'SAC_IOF Ñ USAR'!A166</f>
        <v>147</v>
      </c>
      <c r="B166" s="197">
        <f t="shared" ca="1" si="44"/>
        <v>49217</v>
      </c>
      <c r="C166" s="196">
        <f t="shared" ca="1" si="38"/>
        <v>889.99100827637426</v>
      </c>
      <c r="D166" s="21">
        <f t="shared" ca="1" si="45"/>
        <v>671.40921664369591</v>
      </c>
      <c r="E166" s="196">
        <f t="shared" ca="1" si="39"/>
        <v>72089.271670386239</v>
      </c>
      <c r="F166" s="178">
        <f t="shared" ca="1" si="40"/>
        <v>15.325645162519148</v>
      </c>
      <c r="G166" s="178">
        <f t="shared" ca="1" si="41"/>
        <v>26.319999999999997</v>
      </c>
      <c r="H166" s="177">
        <f t="shared" ca="1" si="42"/>
        <v>25</v>
      </c>
      <c r="I166" s="196"/>
      <c r="J166" s="9" t="str">
        <f t="shared" ca="1" si="32"/>
        <v/>
      </c>
      <c r="K166" s="9" t="str">
        <f t="shared" ca="1" si="33"/>
        <v/>
      </c>
      <c r="L166" s="9">
        <f t="shared" ca="1" si="34"/>
        <v>9</v>
      </c>
      <c r="N166" s="176">
        <f t="shared" ca="1" si="43"/>
        <v>31</v>
      </c>
      <c r="O166" s="176">
        <f t="shared" ca="1" si="46"/>
        <v>4497</v>
      </c>
      <c r="P166" s="175">
        <f t="shared" ca="1" si="35"/>
        <v>834.39144798065388</v>
      </c>
      <c r="Q166" s="11">
        <f t="shared" ca="1" si="36"/>
        <v>2.9930000000000002E-2</v>
      </c>
      <c r="R166" s="12">
        <f t="shared" ca="1" si="37"/>
        <v>24.973336038060971</v>
      </c>
      <c r="T166">
        <f t="shared" ca="1" si="47"/>
        <v>1561.4002249200703</v>
      </c>
    </row>
    <row r="167" spans="1:20">
      <c r="A167" s="198">
        <f ca="1">'SAC_IOF Ñ USAR'!A167</f>
        <v>148</v>
      </c>
      <c r="B167" s="197">
        <f t="shared" ca="1" si="44"/>
        <v>49247</v>
      </c>
      <c r="C167" s="196">
        <f t="shared" ca="1" si="38"/>
        <v>889.99100827637426</v>
      </c>
      <c r="D167" s="21">
        <f t="shared" ca="1" si="45"/>
        <v>663.22129936755334</v>
      </c>
      <c r="E167" s="196">
        <f t="shared" ca="1" si="39"/>
        <v>71199.280662109872</v>
      </c>
      <c r="F167" s="178">
        <f t="shared" ca="1" si="40"/>
        <v>15.138747050781111</v>
      </c>
      <c r="G167" s="178">
        <f t="shared" ca="1" si="41"/>
        <v>26.319999999999997</v>
      </c>
      <c r="H167" s="177">
        <f t="shared" ca="1" si="42"/>
        <v>25</v>
      </c>
      <c r="I167" s="196"/>
      <c r="J167" s="9" t="str">
        <f t="shared" ca="1" si="32"/>
        <v/>
      </c>
      <c r="K167" s="9" t="str">
        <f t="shared" ca="1" si="33"/>
        <v/>
      </c>
      <c r="L167" s="9">
        <f t="shared" ca="1" si="34"/>
        <v>10</v>
      </c>
      <c r="N167" s="176">
        <f t="shared" ca="1" si="43"/>
        <v>30</v>
      </c>
      <c r="O167" s="176">
        <f t="shared" ca="1" si="46"/>
        <v>4527</v>
      </c>
      <c r="P167" s="175">
        <f t="shared" ca="1" si="35"/>
        <v>834.39144798065388</v>
      </c>
      <c r="Q167" s="11">
        <f t="shared" ca="1" si="36"/>
        <v>2.9930000000000002E-2</v>
      </c>
      <c r="R167" s="12">
        <f t="shared" ca="1" si="37"/>
        <v>24.973336038060971</v>
      </c>
      <c r="T167">
        <f t="shared" ca="1" si="47"/>
        <v>1553.2123076439275</v>
      </c>
    </row>
    <row r="168" spans="1:20">
      <c r="A168" s="198">
        <f ca="1">'SAC_IOF Ñ USAR'!A168</f>
        <v>149</v>
      </c>
      <c r="B168" s="197">
        <f t="shared" ca="1" si="44"/>
        <v>49278</v>
      </c>
      <c r="C168" s="196">
        <f t="shared" ca="1" si="38"/>
        <v>889.99100827637426</v>
      </c>
      <c r="D168" s="21">
        <f t="shared" ca="1" si="45"/>
        <v>655.03338209141077</v>
      </c>
      <c r="E168" s="196">
        <f t="shared" ca="1" si="39"/>
        <v>70309.289653833504</v>
      </c>
      <c r="F168" s="178">
        <f t="shared" ca="1" si="40"/>
        <v>14.951848939043074</v>
      </c>
      <c r="G168" s="178">
        <f t="shared" ca="1" si="41"/>
        <v>26.319999999999997</v>
      </c>
      <c r="H168" s="177">
        <f t="shared" ca="1" si="42"/>
        <v>25</v>
      </c>
      <c r="I168" s="196"/>
      <c r="J168" s="9" t="str">
        <f t="shared" ca="1" si="32"/>
        <v/>
      </c>
      <c r="K168" s="9" t="str">
        <f t="shared" ca="1" si="33"/>
        <v/>
      </c>
      <c r="L168" s="9">
        <f t="shared" ca="1" si="34"/>
        <v>11</v>
      </c>
      <c r="N168" s="176">
        <f t="shared" ca="1" si="43"/>
        <v>31</v>
      </c>
      <c r="O168" s="176">
        <f t="shared" ca="1" si="46"/>
        <v>4558</v>
      </c>
      <c r="P168" s="175">
        <f t="shared" ca="1" si="35"/>
        <v>834.39144798065388</v>
      </c>
      <c r="Q168" s="11">
        <f t="shared" ca="1" si="36"/>
        <v>2.9930000000000002E-2</v>
      </c>
      <c r="R168" s="12">
        <f t="shared" ca="1" si="37"/>
        <v>24.973336038060971</v>
      </c>
      <c r="T168">
        <f t="shared" ca="1" si="47"/>
        <v>1545.0243903677851</v>
      </c>
    </row>
    <row r="169" spans="1:20">
      <c r="A169" s="198">
        <f ca="1">'SAC_IOF Ñ USAR'!A169</f>
        <v>150</v>
      </c>
      <c r="B169" s="197">
        <f t="shared" ca="1" si="44"/>
        <v>49308</v>
      </c>
      <c r="C169" s="196">
        <f t="shared" ca="1" si="38"/>
        <v>889.99100827637426</v>
      </c>
      <c r="D169" s="21">
        <f t="shared" ca="1" si="45"/>
        <v>646.8454648152682</v>
      </c>
      <c r="E169" s="196">
        <f t="shared" ca="1" si="39"/>
        <v>69419.298645557137</v>
      </c>
      <c r="F169" s="178">
        <f t="shared" ca="1" si="40"/>
        <v>14.764950827305036</v>
      </c>
      <c r="G169" s="178">
        <f t="shared" ca="1" si="41"/>
        <v>26.319999999999997</v>
      </c>
      <c r="H169" s="177">
        <f t="shared" ca="1" si="42"/>
        <v>25</v>
      </c>
      <c r="I169" s="196"/>
      <c r="J169" s="9" t="str">
        <f t="shared" ca="1" si="32"/>
        <v/>
      </c>
      <c r="K169" s="9" t="str">
        <f t="shared" ca="1" si="33"/>
        <v/>
      </c>
      <c r="L169" s="9">
        <f t="shared" ca="1" si="34"/>
        <v>12</v>
      </c>
      <c r="N169" s="176">
        <f t="shared" ca="1" si="43"/>
        <v>30</v>
      </c>
      <c r="O169" s="176">
        <f t="shared" ca="1" si="46"/>
        <v>4588</v>
      </c>
      <c r="P169" s="175">
        <f t="shared" ca="1" si="35"/>
        <v>834.39144798065388</v>
      </c>
      <c r="Q169" s="11">
        <f t="shared" ca="1" si="36"/>
        <v>2.9930000000000002E-2</v>
      </c>
      <c r="R169" s="12">
        <f t="shared" ca="1" si="37"/>
        <v>24.973336038060971</v>
      </c>
      <c r="T169">
        <f t="shared" ca="1" si="47"/>
        <v>1536.8364730916423</v>
      </c>
    </row>
    <row r="170" spans="1:20">
      <c r="A170" s="198">
        <f ca="1">'SAC_IOF Ñ USAR'!A170</f>
        <v>151</v>
      </c>
      <c r="B170" s="197">
        <f t="shared" ca="1" si="44"/>
        <v>49339</v>
      </c>
      <c r="C170" s="196">
        <f t="shared" ca="1" si="38"/>
        <v>889.99100827637426</v>
      </c>
      <c r="D170" s="21">
        <f t="shared" ca="1" si="45"/>
        <v>638.65754753912563</v>
      </c>
      <c r="E170" s="196">
        <f t="shared" ca="1" si="39"/>
        <v>68529.30763728077</v>
      </c>
      <c r="F170" s="178">
        <f t="shared" ca="1" si="40"/>
        <v>14.578052715566999</v>
      </c>
      <c r="G170" s="178">
        <f t="shared" ca="1" si="41"/>
        <v>26.319999999999997</v>
      </c>
      <c r="H170" s="177">
        <f t="shared" ca="1" si="42"/>
        <v>25</v>
      </c>
      <c r="I170" s="196"/>
      <c r="J170" s="9" t="str">
        <f t="shared" ca="1" si="32"/>
        <v/>
      </c>
      <c r="K170" s="9" t="str">
        <f t="shared" ca="1" si="33"/>
        <v/>
      </c>
      <c r="L170" s="9">
        <f t="shared" ca="1" si="34"/>
        <v>1</v>
      </c>
      <c r="N170" s="176">
        <f t="shared" ca="1" si="43"/>
        <v>31</v>
      </c>
      <c r="O170" s="176">
        <f t="shared" ca="1" si="46"/>
        <v>4619</v>
      </c>
      <c r="P170" s="175">
        <f t="shared" ca="1" si="35"/>
        <v>834.39144798065388</v>
      </c>
      <c r="Q170" s="11">
        <f t="shared" ca="1" si="36"/>
        <v>2.9930000000000002E-2</v>
      </c>
      <c r="R170" s="12">
        <f t="shared" ca="1" si="37"/>
        <v>24.973336038060971</v>
      </c>
      <c r="T170">
        <f t="shared" ca="1" si="47"/>
        <v>1528.6485558155</v>
      </c>
    </row>
    <row r="171" spans="1:20">
      <c r="A171" s="198">
        <f ca="1">'SAC_IOF Ñ USAR'!A171</f>
        <v>152</v>
      </c>
      <c r="B171" s="197">
        <f t="shared" ca="1" si="44"/>
        <v>49368</v>
      </c>
      <c r="C171" s="196">
        <f t="shared" ca="1" si="38"/>
        <v>889.99100827637426</v>
      </c>
      <c r="D171" s="21">
        <f t="shared" ca="1" si="45"/>
        <v>630.46963026298306</v>
      </c>
      <c r="E171" s="196">
        <f t="shared" ca="1" si="39"/>
        <v>67639.316629004403</v>
      </c>
      <c r="F171" s="178">
        <f t="shared" ca="1" si="40"/>
        <v>14.391154603828962</v>
      </c>
      <c r="G171" s="178">
        <f t="shared" ca="1" si="41"/>
        <v>26.319999999999997</v>
      </c>
      <c r="H171" s="177">
        <f t="shared" ca="1" si="42"/>
        <v>25</v>
      </c>
      <c r="I171" s="196"/>
      <c r="J171" s="9" t="str">
        <f t="shared" ca="1" si="32"/>
        <v/>
      </c>
      <c r="K171" s="9" t="str">
        <f t="shared" ca="1" si="33"/>
        <v/>
      </c>
      <c r="L171" s="9">
        <f t="shared" ca="1" si="34"/>
        <v>2</v>
      </c>
      <c r="N171" s="176">
        <f t="shared" ca="1" si="43"/>
        <v>29</v>
      </c>
      <c r="O171" s="176">
        <f t="shared" ca="1" si="46"/>
        <v>4648</v>
      </c>
      <c r="P171" s="175">
        <f t="shared" ca="1" si="35"/>
        <v>834.39144798065388</v>
      </c>
      <c r="Q171" s="11">
        <f t="shared" ca="1" si="36"/>
        <v>2.9930000000000002E-2</v>
      </c>
      <c r="R171" s="12">
        <f t="shared" ca="1" si="37"/>
        <v>24.973336038060971</v>
      </c>
      <c r="T171">
        <f t="shared" ca="1" si="47"/>
        <v>1520.4606385393572</v>
      </c>
    </row>
    <row r="172" spans="1:20">
      <c r="A172" s="198">
        <f ca="1">'SAC_IOF Ñ USAR'!A172</f>
        <v>153</v>
      </c>
      <c r="B172" s="197">
        <f t="shared" ca="1" si="44"/>
        <v>49398</v>
      </c>
      <c r="C172" s="196">
        <f t="shared" ca="1" si="38"/>
        <v>889.99100827637426</v>
      </c>
      <c r="D172" s="21">
        <f t="shared" ca="1" si="45"/>
        <v>622.28171298684049</v>
      </c>
      <c r="E172" s="196">
        <f t="shared" ca="1" si="39"/>
        <v>66749.325620728036</v>
      </c>
      <c r="F172" s="178">
        <f t="shared" ca="1" si="40"/>
        <v>14.204256492090925</v>
      </c>
      <c r="G172" s="178">
        <f t="shared" ca="1" si="41"/>
        <v>26.319999999999997</v>
      </c>
      <c r="H172" s="177">
        <f t="shared" ca="1" si="42"/>
        <v>25</v>
      </c>
      <c r="I172" s="196"/>
      <c r="J172" s="9" t="str">
        <f t="shared" ca="1" si="32"/>
        <v/>
      </c>
      <c r="K172" s="9" t="str">
        <f t="shared" ca="1" si="33"/>
        <v/>
      </c>
      <c r="L172" s="9">
        <f t="shared" ca="1" si="34"/>
        <v>3</v>
      </c>
      <c r="N172" s="176">
        <f t="shared" ca="1" si="43"/>
        <v>30</v>
      </c>
      <c r="O172" s="176">
        <f t="shared" ca="1" si="46"/>
        <v>4678</v>
      </c>
      <c r="P172" s="175">
        <f t="shared" ca="1" si="35"/>
        <v>834.39144798065388</v>
      </c>
      <c r="Q172" s="11">
        <f t="shared" ca="1" si="36"/>
        <v>2.9930000000000002E-2</v>
      </c>
      <c r="R172" s="12">
        <f t="shared" ca="1" si="37"/>
        <v>24.973336038060971</v>
      </c>
      <c r="T172">
        <f t="shared" ca="1" si="47"/>
        <v>1512.2727212632149</v>
      </c>
    </row>
    <row r="173" spans="1:20">
      <c r="A173" s="198">
        <f ca="1">'SAC_IOF Ñ USAR'!A173</f>
        <v>154</v>
      </c>
      <c r="B173" s="197">
        <f t="shared" ca="1" si="44"/>
        <v>49429</v>
      </c>
      <c r="C173" s="196">
        <f t="shared" ca="1" si="38"/>
        <v>889.99100827637426</v>
      </c>
      <c r="D173" s="21">
        <f t="shared" ca="1" si="45"/>
        <v>614.09379571069792</v>
      </c>
      <c r="E173" s="196">
        <f t="shared" ca="1" si="39"/>
        <v>65859.334612451668</v>
      </c>
      <c r="F173" s="178">
        <f t="shared" ca="1" si="40"/>
        <v>14.017358380352889</v>
      </c>
      <c r="G173" s="178">
        <f t="shared" ca="1" si="41"/>
        <v>26.319999999999997</v>
      </c>
      <c r="H173" s="177">
        <f t="shared" ca="1" si="42"/>
        <v>25</v>
      </c>
      <c r="I173" s="196"/>
      <c r="J173" s="9" t="str">
        <f t="shared" ca="1" si="32"/>
        <v/>
      </c>
      <c r="K173" s="9" t="str">
        <f t="shared" ca="1" si="33"/>
        <v/>
      </c>
      <c r="L173" s="9">
        <f t="shared" ca="1" si="34"/>
        <v>4</v>
      </c>
      <c r="N173" s="176">
        <f t="shared" ca="1" si="43"/>
        <v>31</v>
      </c>
      <c r="O173" s="176">
        <f t="shared" ca="1" si="46"/>
        <v>4709</v>
      </c>
      <c r="P173" s="175">
        <f t="shared" ca="1" si="35"/>
        <v>834.39144798065388</v>
      </c>
      <c r="Q173" s="11">
        <f t="shared" ca="1" si="36"/>
        <v>2.9930000000000002E-2</v>
      </c>
      <c r="R173" s="12">
        <f t="shared" ca="1" si="37"/>
        <v>24.973336038060971</v>
      </c>
      <c r="T173">
        <f t="shared" ca="1" si="47"/>
        <v>1504.0848039870721</v>
      </c>
    </row>
    <row r="174" spans="1:20">
      <c r="A174" s="198">
        <f ca="1">'SAC_IOF Ñ USAR'!A174</f>
        <v>155</v>
      </c>
      <c r="B174" s="197">
        <f t="shared" ca="1" si="44"/>
        <v>49459</v>
      </c>
      <c r="C174" s="196">
        <f t="shared" ca="1" si="38"/>
        <v>889.99100827637426</v>
      </c>
      <c r="D174" s="21">
        <f t="shared" ca="1" si="45"/>
        <v>605.90587843455535</v>
      </c>
      <c r="E174" s="196">
        <f t="shared" ca="1" si="39"/>
        <v>64969.343604175294</v>
      </c>
      <c r="F174" s="178">
        <f t="shared" ca="1" si="40"/>
        <v>13.830460268614852</v>
      </c>
      <c r="G174" s="178">
        <f t="shared" ca="1" si="41"/>
        <v>26.319999999999997</v>
      </c>
      <c r="H174" s="177">
        <f t="shared" ca="1" si="42"/>
        <v>25</v>
      </c>
      <c r="I174" s="196"/>
      <c r="J174" s="9" t="str">
        <f t="shared" ca="1" si="32"/>
        <v/>
      </c>
      <c r="K174" s="9" t="str">
        <f t="shared" ca="1" si="33"/>
        <v/>
      </c>
      <c r="L174" s="9">
        <f t="shared" ca="1" si="34"/>
        <v>5</v>
      </c>
      <c r="N174" s="176">
        <f t="shared" ca="1" si="43"/>
        <v>30</v>
      </c>
      <c r="O174" s="176">
        <f t="shared" ca="1" si="46"/>
        <v>4739</v>
      </c>
      <c r="P174" s="175">
        <f t="shared" ca="1" si="35"/>
        <v>834.39144798065388</v>
      </c>
      <c r="Q174" s="11">
        <f t="shared" ca="1" si="36"/>
        <v>2.9930000000000002E-2</v>
      </c>
      <c r="R174" s="12">
        <f t="shared" ca="1" si="37"/>
        <v>24.973336038060971</v>
      </c>
      <c r="T174">
        <f t="shared" ca="1" si="47"/>
        <v>1495.8968867109297</v>
      </c>
    </row>
    <row r="175" spans="1:20">
      <c r="A175" s="198">
        <f ca="1">'SAC_IOF Ñ USAR'!A175</f>
        <v>156</v>
      </c>
      <c r="B175" s="197">
        <f t="shared" ca="1" si="44"/>
        <v>49490</v>
      </c>
      <c r="C175" s="196">
        <f t="shared" ca="1" si="38"/>
        <v>889.99100827637426</v>
      </c>
      <c r="D175" s="21">
        <f t="shared" ca="1" si="45"/>
        <v>597.71796115841266</v>
      </c>
      <c r="E175" s="196">
        <f t="shared" ca="1" si="39"/>
        <v>64079.352595898919</v>
      </c>
      <c r="F175" s="178">
        <f t="shared" ca="1" si="40"/>
        <v>13.643562156876813</v>
      </c>
      <c r="G175" s="178">
        <f t="shared" ca="1" si="41"/>
        <v>26.319999999999997</v>
      </c>
      <c r="H175" s="177">
        <f t="shared" ca="1" si="42"/>
        <v>25</v>
      </c>
      <c r="I175" s="196"/>
      <c r="J175" s="9" t="str">
        <f t="shared" ca="1" si="32"/>
        <v/>
      </c>
      <c r="K175" s="9" t="str">
        <f t="shared" ca="1" si="33"/>
        <v/>
      </c>
      <c r="L175" s="9">
        <f t="shared" ca="1" si="34"/>
        <v>6</v>
      </c>
      <c r="N175" s="176">
        <f t="shared" ca="1" si="43"/>
        <v>31</v>
      </c>
      <c r="O175" s="176">
        <f t="shared" ca="1" si="46"/>
        <v>4770</v>
      </c>
      <c r="P175" s="175">
        <f t="shared" ca="1" si="35"/>
        <v>834.39144798065388</v>
      </c>
      <c r="Q175" s="11">
        <f t="shared" ca="1" si="36"/>
        <v>2.9930000000000002E-2</v>
      </c>
      <c r="R175" s="12">
        <f t="shared" ca="1" si="37"/>
        <v>24.973336038060971</v>
      </c>
      <c r="T175">
        <f t="shared" ca="1" si="47"/>
        <v>1487.7089694347869</v>
      </c>
    </row>
    <row r="176" spans="1:20">
      <c r="A176" s="198">
        <f ca="1">'SAC_IOF Ñ USAR'!A176</f>
        <v>157</v>
      </c>
      <c r="B176" s="197">
        <f t="shared" ca="1" si="44"/>
        <v>49520</v>
      </c>
      <c r="C176" s="196">
        <f t="shared" ca="1" si="38"/>
        <v>889.99100827637426</v>
      </c>
      <c r="D176" s="21">
        <f t="shared" ca="1" si="45"/>
        <v>589.53004388227009</v>
      </c>
      <c r="E176" s="196">
        <f t="shared" ca="1" si="39"/>
        <v>63189.361587622545</v>
      </c>
      <c r="F176" s="178">
        <f t="shared" ca="1" si="40"/>
        <v>13.456664045138774</v>
      </c>
      <c r="G176" s="178">
        <f t="shared" ca="1" si="41"/>
        <v>26.319999999999997</v>
      </c>
      <c r="H176" s="177">
        <f t="shared" ca="1" si="42"/>
        <v>25</v>
      </c>
      <c r="I176" s="196"/>
      <c r="J176" s="9" t="str">
        <f t="shared" ca="1" si="32"/>
        <v/>
      </c>
      <c r="K176" s="9" t="str">
        <f t="shared" ca="1" si="33"/>
        <v/>
      </c>
      <c r="L176" s="9">
        <f t="shared" ca="1" si="34"/>
        <v>7</v>
      </c>
      <c r="N176" s="176">
        <f t="shared" ca="1" si="43"/>
        <v>30</v>
      </c>
      <c r="O176" s="176">
        <f t="shared" ca="1" si="46"/>
        <v>4800</v>
      </c>
      <c r="P176" s="175">
        <f t="shared" ca="1" si="35"/>
        <v>834.39144798065388</v>
      </c>
      <c r="Q176" s="11">
        <f t="shared" ca="1" si="36"/>
        <v>2.9930000000000002E-2</v>
      </c>
      <c r="R176" s="12">
        <f t="shared" ca="1" si="37"/>
        <v>24.973336038060971</v>
      </c>
      <c r="T176">
        <f t="shared" ca="1" si="47"/>
        <v>1479.5210521586444</v>
      </c>
    </row>
    <row r="177" spans="1:20">
      <c r="A177" s="198">
        <f ca="1">'SAC_IOF Ñ USAR'!A177</f>
        <v>158</v>
      </c>
      <c r="B177" s="197">
        <f t="shared" ca="1" si="44"/>
        <v>49551</v>
      </c>
      <c r="C177" s="196">
        <f t="shared" ca="1" si="38"/>
        <v>889.99100827637426</v>
      </c>
      <c r="D177" s="21">
        <f t="shared" ca="1" si="45"/>
        <v>581.34212660612741</v>
      </c>
      <c r="E177" s="196">
        <f t="shared" ca="1" si="39"/>
        <v>62299.37057934617</v>
      </c>
      <c r="F177" s="178">
        <f t="shared" ca="1" si="40"/>
        <v>13.269765933400736</v>
      </c>
      <c r="G177" s="178">
        <f t="shared" ca="1" si="41"/>
        <v>26.319999999999997</v>
      </c>
      <c r="H177" s="177">
        <f t="shared" ca="1" si="42"/>
        <v>25</v>
      </c>
      <c r="I177" s="196"/>
      <c r="J177" s="9" t="str">
        <f t="shared" ca="1" si="32"/>
        <v/>
      </c>
      <c r="K177" s="9" t="str">
        <f t="shared" ca="1" si="33"/>
        <v/>
      </c>
      <c r="L177" s="9">
        <f t="shared" ca="1" si="34"/>
        <v>8</v>
      </c>
      <c r="N177" s="176">
        <f t="shared" ca="1" si="43"/>
        <v>31</v>
      </c>
      <c r="O177" s="176">
        <f t="shared" ca="1" si="46"/>
        <v>4831</v>
      </c>
      <c r="P177" s="175">
        <f t="shared" ca="1" si="35"/>
        <v>834.39144798065388</v>
      </c>
      <c r="Q177" s="11">
        <f t="shared" ca="1" si="36"/>
        <v>2.9930000000000002E-2</v>
      </c>
      <c r="R177" s="12">
        <f t="shared" ca="1" si="37"/>
        <v>24.973336038060971</v>
      </c>
      <c r="T177">
        <f t="shared" ca="1" si="47"/>
        <v>1471.3331348825018</v>
      </c>
    </row>
    <row r="178" spans="1:20">
      <c r="A178" s="198">
        <f ca="1">'SAC_IOF Ñ USAR'!A178</f>
        <v>159</v>
      </c>
      <c r="B178" s="197">
        <f t="shared" ca="1" si="44"/>
        <v>49582</v>
      </c>
      <c r="C178" s="196">
        <f t="shared" ca="1" si="38"/>
        <v>889.99100827637426</v>
      </c>
      <c r="D178" s="21">
        <f t="shared" ca="1" si="45"/>
        <v>573.15420932998472</v>
      </c>
      <c r="E178" s="196">
        <f t="shared" ca="1" si="39"/>
        <v>61409.379571069796</v>
      </c>
      <c r="F178" s="178">
        <f t="shared" ca="1" si="40"/>
        <v>13.082867821662695</v>
      </c>
      <c r="G178" s="178">
        <f t="shared" ca="1" si="41"/>
        <v>26.319999999999997</v>
      </c>
      <c r="H178" s="177">
        <f t="shared" ca="1" si="42"/>
        <v>25</v>
      </c>
      <c r="I178" s="196"/>
      <c r="J178" s="9" t="str">
        <f t="shared" ca="1" si="32"/>
        <v/>
      </c>
      <c r="K178" s="9" t="str">
        <f t="shared" ca="1" si="33"/>
        <v/>
      </c>
      <c r="L178" s="9">
        <f t="shared" ca="1" si="34"/>
        <v>9</v>
      </c>
      <c r="N178" s="176">
        <f t="shared" ca="1" si="43"/>
        <v>31</v>
      </c>
      <c r="O178" s="176">
        <f t="shared" ca="1" si="46"/>
        <v>4862</v>
      </c>
      <c r="P178" s="175">
        <f t="shared" ca="1" si="35"/>
        <v>834.39144798065388</v>
      </c>
      <c r="Q178" s="11">
        <f t="shared" ca="1" si="36"/>
        <v>2.9930000000000002E-2</v>
      </c>
      <c r="R178" s="12">
        <f t="shared" ca="1" si="37"/>
        <v>24.973336038060971</v>
      </c>
      <c r="T178">
        <f t="shared" ca="1" si="47"/>
        <v>1463.145217606359</v>
      </c>
    </row>
    <row r="179" spans="1:20">
      <c r="A179" s="198">
        <f ca="1">'SAC_IOF Ñ USAR'!A179</f>
        <v>160</v>
      </c>
      <c r="B179" s="197">
        <f t="shared" ca="1" si="44"/>
        <v>49612</v>
      </c>
      <c r="C179" s="196">
        <f t="shared" ca="1" si="38"/>
        <v>889.99100827637426</v>
      </c>
      <c r="D179" s="21">
        <f t="shared" ca="1" si="45"/>
        <v>564.96629205384215</v>
      </c>
      <c r="E179" s="196">
        <f t="shared" ca="1" si="39"/>
        <v>60519.388562793421</v>
      </c>
      <c r="F179" s="178">
        <f t="shared" ca="1" si="40"/>
        <v>12.895969709924657</v>
      </c>
      <c r="G179" s="178">
        <f t="shared" ca="1" si="41"/>
        <v>26.319999999999997</v>
      </c>
      <c r="H179" s="177">
        <f t="shared" ca="1" si="42"/>
        <v>25</v>
      </c>
      <c r="I179" s="196"/>
      <c r="J179" s="9" t="str">
        <f t="shared" ca="1" si="32"/>
        <v/>
      </c>
      <c r="K179" s="9" t="str">
        <f t="shared" ca="1" si="33"/>
        <v/>
      </c>
      <c r="L179" s="9">
        <f t="shared" ca="1" si="34"/>
        <v>10</v>
      </c>
      <c r="N179" s="176">
        <f t="shared" ca="1" si="43"/>
        <v>30</v>
      </c>
      <c r="O179" s="176">
        <f t="shared" ca="1" si="46"/>
        <v>4892</v>
      </c>
      <c r="P179" s="175">
        <f t="shared" ca="1" si="35"/>
        <v>834.39144798065388</v>
      </c>
      <c r="Q179" s="11">
        <f t="shared" ca="1" si="36"/>
        <v>2.9930000000000002E-2</v>
      </c>
      <c r="R179" s="12">
        <f t="shared" ca="1" si="37"/>
        <v>24.973336038060971</v>
      </c>
      <c r="T179">
        <f t="shared" ca="1" si="47"/>
        <v>1454.9573003302164</v>
      </c>
    </row>
    <row r="180" spans="1:20">
      <c r="A180" s="198">
        <f ca="1">'SAC_IOF Ñ USAR'!A180</f>
        <v>161</v>
      </c>
      <c r="B180" s="197">
        <f t="shared" ca="1" si="44"/>
        <v>49643</v>
      </c>
      <c r="C180" s="196">
        <f t="shared" ca="1" si="38"/>
        <v>889.99100827637426</v>
      </c>
      <c r="D180" s="21">
        <f t="shared" ca="1" si="45"/>
        <v>556.77837477769947</v>
      </c>
      <c r="E180" s="196">
        <f t="shared" ca="1" si="39"/>
        <v>59629.397554517047</v>
      </c>
      <c r="F180" s="178">
        <f t="shared" ca="1" si="40"/>
        <v>12.709071598186618</v>
      </c>
      <c r="G180" s="178">
        <f t="shared" ca="1" si="41"/>
        <v>26.319999999999997</v>
      </c>
      <c r="H180" s="177">
        <f t="shared" ca="1" si="42"/>
        <v>25</v>
      </c>
      <c r="I180" s="196"/>
      <c r="J180" s="9" t="str">
        <f t="shared" ca="1" si="32"/>
        <v/>
      </c>
      <c r="K180" s="9" t="str">
        <f t="shared" ca="1" si="33"/>
        <v/>
      </c>
      <c r="L180" s="9">
        <f t="shared" ca="1" si="34"/>
        <v>11</v>
      </c>
      <c r="N180" s="176">
        <f t="shared" ca="1" si="43"/>
        <v>31</v>
      </c>
      <c r="O180" s="176">
        <f t="shared" ca="1" si="46"/>
        <v>4923</v>
      </c>
      <c r="P180" s="175">
        <f t="shared" ca="1" si="35"/>
        <v>834.39144798065388</v>
      </c>
      <c r="Q180" s="11">
        <f t="shared" ca="1" si="36"/>
        <v>2.9930000000000002E-2</v>
      </c>
      <c r="R180" s="12">
        <f t="shared" ca="1" si="37"/>
        <v>24.973336038060971</v>
      </c>
      <c r="T180">
        <f t="shared" ca="1" si="47"/>
        <v>1446.7693830540738</v>
      </c>
    </row>
    <row r="181" spans="1:20">
      <c r="A181" s="198">
        <f ca="1">'SAC_IOF Ñ USAR'!A181</f>
        <v>162</v>
      </c>
      <c r="B181" s="197">
        <f t="shared" ca="1" si="44"/>
        <v>49673</v>
      </c>
      <c r="C181" s="196">
        <f t="shared" ca="1" si="38"/>
        <v>889.99100827637426</v>
      </c>
      <c r="D181" s="21">
        <f t="shared" ca="1" si="45"/>
        <v>548.59045750155678</v>
      </c>
      <c r="E181" s="196">
        <f t="shared" ca="1" si="39"/>
        <v>58739.406546240672</v>
      </c>
      <c r="F181" s="178">
        <f t="shared" ca="1" si="40"/>
        <v>12.52217348644858</v>
      </c>
      <c r="G181" s="178">
        <f t="shared" ca="1" si="41"/>
        <v>26.319999999999997</v>
      </c>
      <c r="H181" s="177">
        <f t="shared" ca="1" si="42"/>
        <v>25</v>
      </c>
      <c r="I181" s="196"/>
      <c r="J181" s="9" t="str">
        <f t="shared" ca="1" si="32"/>
        <v/>
      </c>
      <c r="K181" s="9" t="str">
        <f t="shared" ca="1" si="33"/>
        <v/>
      </c>
      <c r="L181" s="9">
        <f t="shared" ca="1" si="34"/>
        <v>12</v>
      </c>
      <c r="N181" s="176">
        <f t="shared" ca="1" si="43"/>
        <v>30</v>
      </c>
      <c r="O181" s="176">
        <f t="shared" ca="1" si="46"/>
        <v>4953</v>
      </c>
      <c r="P181" s="175">
        <f t="shared" ca="1" si="35"/>
        <v>834.39144798065388</v>
      </c>
      <c r="Q181" s="11">
        <f t="shared" ca="1" si="36"/>
        <v>2.9930000000000002E-2</v>
      </c>
      <c r="R181" s="12">
        <f t="shared" ca="1" si="37"/>
        <v>24.973336038060971</v>
      </c>
      <c r="T181">
        <f t="shared" ca="1" si="47"/>
        <v>1438.581465777931</v>
      </c>
    </row>
    <row r="182" spans="1:20">
      <c r="A182" s="198">
        <f ca="1">'SAC_IOF Ñ USAR'!A182</f>
        <v>163</v>
      </c>
      <c r="B182" s="197">
        <f t="shared" ca="1" si="44"/>
        <v>49704</v>
      </c>
      <c r="C182" s="196">
        <f t="shared" ca="1" si="38"/>
        <v>889.99100827637426</v>
      </c>
      <c r="D182" s="21">
        <f t="shared" ca="1" si="45"/>
        <v>540.40254022541421</v>
      </c>
      <c r="E182" s="196">
        <f t="shared" ca="1" si="39"/>
        <v>57849.415537964298</v>
      </c>
      <c r="F182" s="178">
        <f t="shared" ca="1" si="40"/>
        <v>12.335275374710541</v>
      </c>
      <c r="G182" s="178">
        <f t="shared" ca="1" si="41"/>
        <v>26.319999999999997</v>
      </c>
      <c r="H182" s="177">
        <f t="shared" ca="1" si="42"/>
        <v>25</v>
      </c>
      <c r="I182" s="196"/>
      <c r="J182" s="9" t="str">
        <f t="shared" ca="1" si="32"/>
        <v/>
      </c>
      <c r="K182" s="9" t="str">
        <f t="shared" ca="1" si="33"/>
        <v/>
      </c>
      <c r="L182" s="9">
        <f t="shared" ca="1" si="34"/>
        <v>1</v>
      </c>
      <c r="N182" s="176">
        <f t="shared" ca="1" si="43"/>
        <v>31</v>
      </c>
      <c r="O182" s="176">
        <f t="shared" ca="1" si="46"/>
        <v>4984</v>
      </c>
      <c r="P182" s="175">
        <f t="shared" ca="1" si="35"/>
        <v>834.39144798065388</v>
      </c>
      <c r="Q182" s="11">
        <f t="shared" ca="1" si="36"/>
        <v>2.9930000000000002E-2</v>
      </c>
      <c r="R182" s="12">
        <f t="shared" ca="1" si="37"/>
        <v>24.973336038060971</v>
      </c>
      <c r="T182">
        <f t="shared" ca="1" si="47"/>
        <v>1430.3935485017885</v>
      </c>
    </row>
    <row r="183" spans="1:20">
      <c r="A183" s="198">
        <f ca="1">'SAC_IOF Ñ USAR'!A183</f>
        <v>164</v>
      </c>
      <c r="B183" s="197">
        <f t="shared" ca="1" si="44"/>
        <v>49734</v>
      </c>
      <c r="C183" s="196">
        <f t="shared" ca="1" si="38"/>
        <v>889.99100827637426</v>
      </c>
      <c r="D183" s="21">
        <f t="shared" ca="1" si="45"/>
        <v>532.21462294927153</v>
      </c>
      <c r="E183" s="196">
        <f t="shared" ca="1" si="39"/>
        <v>56959.424529687923</v>
      </c>
      <c r="F183" s="178">
        <f t="shared" ca="1" si="40"/>
        <v>12.148377262972502</v>
      </c>
      <c r="G183" s="178">
        <f t="shared" ca="1" si="41"/>
        <v>26.319999999999997</v>
      </c>
      <c r="H183" s="177">
        <f t="shared" ca="1" si="42"/>
        <v>25</v>
      </c>
      <c r="I183" s="196"/>
      <c r="J183" s="9" t="str">
        <f t="shared" ca="1" si="32"/>
        <v/>
      </c>
      <c r="K183" s="9" t="str">
        <f t="shared" ca="1" si="33"/>
        <v/>
      </c>
      <c r="L183" s="9">
        <f t="shared" ca="1" si="34"/>
        <v>2</v>
      </c>
      <c r="N183" s="176">
        <f t="shared" ca="1" si="43"/>
        <v>30</v>
      </c>
      <c r="O183" s="176">
        <f t="shared" ca="1" si="46"/>
        <v>5014</v>
      </c>
      <c r="P183" s="175">
        <f t="shared" ca="1" si="35"/>
        <v>834.39144798065388</v>
      </c>
      <c r="Q183" s="11">
        <f t="shared" ca="1" si="36"/>
        <v>2.9930000000000002E-2</v>
      </c>
      <c r="R183" s="12">
        <f t="shared" ca="1" si="37"/>
        <v>24.973336038060971</v>
      </c>
      <c r="T183">
        <f t="shared" ca="1" si="47"/>
        <v>1422.2056312256459</v>
      </c>
    </row>
    <row r="184" spans="1:20">
      <c r="A184" s="198">
        <f ca="1">'SAC_IOF Ñ USAR'!A184</f>
        <v>165</v>
      </c>
      <c r="B184" s="197">
        <f t="shared" ca="1" si="44"/>
        <v>49764</v>
      </c>
      <c r="C184" s="196">
        <f t="shared" ca="1" si="38"/>
        <v>889.99100827637426</v>
      </c>
      <c r="D184" s="21">
        <f t="shared" ca="1" si="45"/>
        <v>524.02670567312884</v>
      </c>
      <c r="E184" s="196">
        <f t="shared" ca="1" si="39"/>
        <v>56069.433521411549</v>
      </c>
      <c r="F184" s="178">
        <f t="shared" ca="1" si="40"/>
        <v>11.961479151234464</v>
      </c>
      <c r="G184" s="178">
        <f t="shared" ca="1" si="41"/>
        <v>26.319999999999997</v>
      </c>
      <c r="H184" s="177">
        <f t="shared" ca="1" si="42"/>
        <v>25</v>
      </c>
      <c r="I184" s="196"/>
      <c r="J184" s="9" t="str">
        <f t="shared" ca="1" si="32"/>
        <v/>
      </c>
      <c r="K184" s="9" t="str">
        <f t="shared" ca="1" si="33"/>
        <v/>
      </c>
      <c r="L184" s="9">
        <f t="shared" ca="1" si="34"/>
        <v>3</v>
      </c>
      <c r="N184" s="176">
        <f t="shared" ca="1" si="43"/>
        <v>30</v>
      </c>
      <c r="O184" s="176">
        <f t="shared" ca="1" si="46"/>
        <v>5044</v>
      </c>
      <c r="P184" s="175">
        <f t="shared" ca="1" si="35"/>
        <v>834.39144798065388</v>
      </c>
      <c r="Q184" s="11">
        <f t="shared" ca="1" si="36"/>
        <v>2.9930000000000002E-2</v>
      </c>
      <c r="R184" s="12">
        <f t="shared" ca="1" si="37"/>
        <v>24.973336038060971</v>
      </c>
      <c r="T184">
        <f t="shared" ca="1" si="47"/>
        <v>1414.0177139495031</v>
      </c>
    </row>
    <row r="185" spans="1:20">
      <c r="A185" s="198">
        <f ca="1">'SAC_IOF Ñ USAR'!A185</f>
        <v>166</v>
      </c>
      <c r="B185" s="197">
        <f t="shared" ca="1" si="44"/>
        <v>49795</v>
      </c>
      <c r="C185" s="196">
        <f t="shared" ca="1" si="38"/>
        <v>889.99100827637426</v>
      </c>
      <c r="D185" s="21">
        <f t="shared" ca="1" si="45"/>
        <v>515.83878839698627</v>
      </c>
      <c r="E185" s="196">
        <f t="shared" ca="1" si="39"/>
        <v>55179.442513135175</v>
      </c>
      <c r="F185" s="178">
        <f t="shared" ca="1" si="40"/>
        <v>11.774581039496425</v>
      </c>
      <c r="G185" s="178">
        <f t="shared" ca="1" si="41"/>
        <v>26.319999999999997</v>
      </c>
      <c r="H185" s="177">
        <f t="shared" ca="1" si="42"/>
        <v>25</v>
      </c>
      <c r="I185" s="196"/>
      <c r="J185" s="9" t="str">
        <f t="shared" ca="1" si="32"/>
        <v/>
      </c>
      <c r="K185" s="9" t="str">
        <f t="shared" ca="1" si="33"/>
        <v/>
      </c>
      <c r="L185" s="9">
        <f t="shared" ca="1" si="34"/>
        <v>4</v>
      </c>
      <c r="N185" s="176">
        <f t="shared" ca="1" si="43"/>
        <v>31</v>
      </c>
      <c r="O185" s="176">
        <f t="shared" ca="1" si="46"/>
        <v>5075</v>
      </c>
      <c r="P185" s="175">
        <f t="shared" ca="1" si="35"/>
        <v>834.39144798065388</v>
      </c>
      <c r="Q185" s="11">
        <f t="shared" ca="1" si="36"/>
        <v>2.9930000000000002E-2</v>
      </c>
      <c r="R185" s="12">
        <f t="shared" ca="1" si="37"/>
        <v>24.973336038060971</v>
      </c>
      <c r="T185">
        <f t="shared" ca="1" si="47"/>
        <v>1405.8297966733605</v>
      </c>
    </row>
    <row r="186" spans="1:20">
      <c r="A186" s="198">
        <f ca="1">'SAC_IOF Ñ USAR'!A186</f>
        <v>167</v>
      </c>
      <c r="B186" s="197">
        <f t="shared" ca="1" si="44"/>
        <v>49825</v>
      </c>
      <c r="C186" s="196">
        <f t="shared" ca="1" si="38"/>
        <v>889.99100827637426</v>
      </c>
      <c r="D186" s="21">
        <f t="shared" ca="1" si="45"/>
        <v>507.65087112084359</v>
      </c>
      <c r="E186" s="196">
        <f t="shared" ca="1" si="39"/>
        <v>54289.4515048588</v>
      </c>
      <c r="F186" s="178">
        <f t="shared" ca="1" si="40"/>
        <v>11.587682927758387</v>
      </c>
      <c r="G186" s="178">
        <f t="shared" ca="1" si="41"/>
        <v>26.319999999999997</v>
      </c>
      <c r="H186" s="177">
        <f t="shared" ca="1" si="42"/>
        <v>25</v>
      </c>
      <c r="I186" s="196"/>
      <c r="J186" s="9" t="str">
        <f t="shared" ca="1" si="32"/>
        <v/>
      </c>
      <c r="K186" s="9" t="str">
        <f t="shared" ca="1" si="33"/>
        <v/>
      </c>
      <c r="L186" s="9">
        <f t="shared" ca="1" si="34"/>
        <v>5</v>
      </c>
      <c r="N186" s="176">
        <f t="shared" ca="1" si="43"/>
        <v>30</v>
      </c>
      <c r="O186" s="176">
        <f t="shared" ca="1" si="46"/>
        <v>5105</v>
      </c>
      <c r="P186" s="175">
        <f t="shared" ca="1" si="35"/>
        <v>834.39144798065388</v>
      </c>
      <c r="Q186" s="11">
        <f t="shared" ca="1" si="36"/>
        <v>2.9930000000000002E-2</v>
      </c>
      <c r="R186" s="12">
        <f t="shared" ca="1" si="37"/>
        <v>24.973336038060971</v>
      </c>
      <c r="T186">
        <f t="shared" ca="1" si="47"/>
        <v>1397.641879397218</v>
      </c>
    </row>
    <row r="187" spans="1:20">
      <c r="A187" s="198">
        <f ca="1">'SAC_IOF Ñ USAR'!A187</f>
        <v>168</v>
      </c>
      <c r="B187" s="197">
        <f t="shared" ca="1" si="44"/>
        <v>49856</v>
      </c>
      <c r="C187" s="196">
        <f t="shared" ca="1" si="38"/>
        <v>889.99100827637426</v>
      </c>
      <c r="D187" s="21">
        <f t="shared" ca="1" si="45"/>
        <v>499.46295384470096</v>
      </c>
      <c r="E187" s="196">
        <f t="shared" ca="1" si="39"/>
        <v>53399.460496582426</v>
      </c>
      <c r="F187" s="178">
        <f t="shared" ca="1" si="40"/>
        <v>11.400784816020348</v>
      </c>
      <c r="G187" s="178">
        <f t="shared" ca="1" si="41"/>
        <v>26.319999999999997</v>
      </c>
      <c r="H187" s="177">
        <f t="shared" ca="1" si="42"/>
        <v>25</v>
      </c>
      <c r="I187" s="196"/>
      <c r="J187" s="9" t="str">
        <f t="shared" ca="1" si="32"/>
        <v/>
      </c>
      <c r="K187" s="9" t="str">
        <f t="shared" ca="1" si="33"/>
        <v/>
      </c>
      <c r="L187" s="9">
        <f t="shared" ca="1" si="34"/>
        <v>6</v>
      </c>
      <c r="N187" s="176">
        <f t="shared" ca="1" si="43"/>
        <v>31</v>
      </c>
      <c r="O187" s="176">
        <f t="shared" ca="1" si="46"/>
        <v>5136</v>
      </c>
      <c r="P187" s="175">
        <f t="shared" ca="1" si="35"/>
        <v>834.39144798065388</v>
      </c>
      <c r="Q187" s="11">
        <f t="shared" ca="1" si="36"/>
        <v>2.9930000000000002E-2</v>
      </c>
      <c r="R187" s="12">
        <f t="shared" ca="1" si="37"/>
        <v>24.973336038060971</v>
      </c>
      <c r="T187">
        <f t="shared" ca="1" si="47"/>
        <v>1389.4539621210752</v>
      </c>
    </row>
    <row r="188" spans="1:20">
      <c r="A188" s="198">
        <f ca="1">'SAC_IOF Ñ USAR'!A188</f>
        <v>169</v>
      </c>
      <c r="B188" s="197">
        <f t="shared" ca="1" si="44"/>
        <v>49886</v>
      </c>
      <c r="C188" s="196">
        <f t="shared" ca="1" si="38"/>
        <v>889.99100827637426</v>
      </c>
      <c r="D188" s="21">
        <f t="shared" ca="1" si="45"/>
        <v>491.27503656855833</v>
      </c>
      <c r="E188" s="196">
        <f t="shared" ca="1" si="39"/>
        <v>52509.469488306051</v>
      </c>
      <c r="F188" s="178">
        <f t="shared" ca="1" si="40"/>
        <v>11.213886704282309</v>
      </c>
      <c r="G188" s="178">
        <f t="shared" ca="1" si="41"/>
        <v>26.319999999999997</v>
      </c>
      <c r="H188" s="177">
        <f t="shared" ca="1" si="42"/>
        <v>25</v>
      </c>
      <c r="I188" s="196"/>
      <c r="J188" s="9" t="str">
        <f t="shared" ca="1" si="32"/>
        <v/>
      </c>
      <c r="K188" s="9" t="str">
        <f t="shared" ca="1" si="33"/>
        <v/>
      </c>
      <c r="L188" s="9">
        <f t="shared" ca="1" si="34"/>
        <v>7</v>
      </c>
      <c r="N188" s="176">
        <f t="shared" ca="1" si="43"/>
        <v>30</v>
      </c>
      <c r="O188" s="176">
        <f t="shared" ca="1" si="46"/>
        <v>5166</v>
      </c>
      <c r="P188" s="175">
        <f t="shared" ca="1" si="35"/>
        <v>834.39144798065388</v>
      </c>
      <c r="Q188" s="11">
        <f t="shared" ca="1" si="36"/>
        <v>2.9930000000000002E-2</v>
      </c>
      <c r="R188" s="12">
        <f t="shared" ca="1" si="37"/>
        <v>24.973336038060971</v>
      </c>
      <c r="T188">
        <f t="shared" ca="1" si="47"/>
        <v>1381.2660448449326</v>
      </c>
    </row>
    <row r="189" spans="1:20">
      <c r="A189" s="198">
        <f ca="1">'SAC_IOF Ñ USAR'!A189</f>
        <v>170</v>
      </c>
      <c r="B189" s="197">
        <f t="shared" ca="1" si="44"/>
        <v>49917</v>
      </c>
      <c r="C189" s="196">
        <f t="shared" ca="1" si="38"/>
        <v>889.99100827637426</v>
      </c>
      <c r="D189" s="21">
        <f t="shared" ca="1" si="45"/>
        <v>483.08711929241565</v>
      </c>
      <c r="E189" s="196">
        <f t="shared" ca="1" si="39"/>
        <v>51619.478480029677</v>
      </c>
      <c r="F189" s="178">
        <f t="shared" ca="1" si="40"/>
        <v>11.026988592544271</v>
      </c>
      <c r="G189" s="178">
        <f t="shared" ca="1" si="41"/>
        <v>26.319999999999997</v>
      </c>
      <c r="H189" s="177">
        <f t="shared" ca="1" si="42"/>
        <v>25</v>
      </c>
      <c r="I189" s="196"/>
      <c r="J189" s="9" t="str">
        <f t="shared" ca="1" si="32"/>
        <v/>
      </c>
      <c r="K189" s="9" t="str">
        <f t="shared" ca="1" si="33"/>
        <v/>
      </c>
      <c r="L189" s="9">
        <f t="shared" ca="1" si="34"/>
        <v>8</v>
      </c>
      <c r="N189" s="176">
        <f t="shared" ca="1" si="43"/>
        <v>31</v>
      </c>
      <c r="O189" s="176">
        <f t="shared" ca="1" si="46"/>
        <v>5197</v>
      </c>
      <c r="P189" s="175">
        <f t="shared" ca="1" si="35"/>
        <v>834.39144798065388</v>
      </c>
      <c r="Q189" s="11">
        <f t="shared" ca="1" si="36"/>
        <v>2.9930000000000002E-2</v>
      </c>
      <c r="R189" s="12">
        <f t="shared" ca="1" si="37"/>
        <v>24.973336038060971</v>
      </c>
      <c r="T189">
        <f t="shared" ca="1" si="47"/>
        <v>1373.07812756879</v>
      </c>
    </row>
    <row r="190" spans="1:20">
      <c r="A190" s="198">
        <f ca="1">'SAC_IOF Ñ USAR'!A190</f>
        <v>171</v>
      </c>
      <c r="B190" s="197">
        <f t="shared" ca="1" si="44"/>
        <v>49948</v>
      </c>
      <c r="C190" s="196">
        <f t="shared" ca="1" si="38"/>
        <v>889.99100827637426</v>
      </c>
      <c r="D190" s="21">
        <f t="shared" ca="1" si="45"/>
        <v>474.89920201627302</v>
      </c>
      <c r="E190" s="196">
        <f t="shared" ca="1" si="39"/>
        <v>50729.487471753302</v>
      </c>
      <c r="F190" s="178">
        <f t="shared" ca="1" si="40"/>
        <v>10.840090480806232</v>
      </c>
      <c r="G190" s="178">
        <f t="shared" ca="1" si="41"/>
        <v>26.319999999999997</v>
      </c>
      <c r="H190" s="177">
        <f t="shared" ca="1" si="42"/>
        <v>25</v>
      </c>
      <c r="I190" s="196"/>
      <c r="J190" s="9" t="str">
        <f t="shared" ca="1" si="32"/>
        <v/>
      </c>
      <c r="K190" s="9" t="str">
        <f t="shared" ca="1" si="33"/>
        <v/>
      </c>
      <c r="L190" s="9">
        <f t="shared" ca="1" si="34"/>
        <v>9</v>
      </c>
      <c r="N190" s="176">
        <f t="shared" ca="1" si="43"/>
        <v>31</v>
      </c>
      <c r="O190" s="176">
        <f t="shared" ca="1" si="46"/>
        <v>5228</v>
      </c>
      <c r="P190" s="175">
        <f t="shared" ca="1" si="35"/>
        <v>834.39144798065388</v>
      </c>
      <c r="Q190" s="11">
        <f t="shared" ca="1" si="36"/>
        <v>2.9930000000000002E-2</v>
      </c>
      <c r="R190" s="12">
        <f t="shared" ca="1" si="37"/>
        <v>24.973336038060971</v>
      </c>
      <c r="T190">
        <f t="shared" ca="1" si="47"/>
        <v>1364.8902102926472</v>
      </c>
    </row>
    <row r="191" spans="1:20">
      <c r="A191" s="198">
        <f ca="1">'SAC_IOF Ñ USAR'!A191</f>
        <v>172</v>
      </c>
      <c r="B191" s="197">
        <f t="shared" ca="1" si="44"/>
        <v>49978</v>
      </c>
      <c r="C191" s="196">
        <f t="shared" ca="1" si="38"/>
        <v>889.99100827637426</v>
      </c>
      <c r="D191" s="21">
        <f t="shared" ca="1" si="45"/>
        <v>466.7112847401304</v>
      </c>
      <c r="E191" s="196">
        <f t="shared" ca="1" si="39"/>
        <v>49839.496463476928</v>
      </c>
      <c r="F191" s="178">
        <f t="shared" ca="1" si="40"/>
        <v>10.653192369068194</v>
      </c>
      <c r="G191" s="178">
        <f t="shared" ca="1" si="41"/>
        <v>26.319999999999997</v>
      </c>
      <c r="H191" s="177">
        <f t="shared" ca="1" si="42"/>
        <v>25</v>
      </c>
      <c r="I191" s="196"/>
      <c r="J191" s="9" t="str">
        <f t="shared" ca="1" si="32"/>
        <v/>
      </c>
      <c r="K191" s="9" t="str">
        <f t="shared" ca="1" si="33"/>
        <v/>
      </c>
      <c r="L191" s="9">
        <f t="shared" ca="1" si="34"/>
        <v>10</v>
      </c>
      <c r="N191" s="176">
        <f t="shared" ca="1" si="43"/>
        <v>30</v>
      </c>
      <c r="O191" s="176">
        <f t="shared" ca="1" si="46"/>
        <v>5258</v>
      </c>
      <c r="P191" s="175">
        <f t="shared" ca="1" si="35"/>
        <v>834.39144798065388</v>
      </c>
      <c r="Q191" s="11">
        <f t="shared" ca="1" si="36"/>
        <v>2.9930000000000002E-2</v>
      </c>
      <c r="R191" s="12">
        <f t="shared" ca="1" si="37"/>
        <v>24.973336038060971</v>
      </c>
      <c r="T191">
        <f t="shared" ca="1" si="47"/>
        <v>1356.7022930165047</v>
      </c>
    </row>
    <row r="192" spans="1:20">
      <c r="A192" s="198">
        <f ca="1">'SAC_IOF Ñ USAR'!A192</f>
        <v>173</v>
      </c>
      <c r="B192" s="197">
        <f t="shared" ca="1" si="44"/>
        <v>50009</v>
      </c>
      <c r="C192" s="196">
        <f t="shared" ca="1" si="38"/>
        <v>889.99100827637426</v>
      </c>
      <c r="D192" s="21">
        <f t="shared" ca="1" si="45"/>
        <v>458.52336746398771</v>
      </c>
      <c r="E192" s="196">
        <f t="shared" ca="1" si="39"/>
        <v>48949.505455200553</v>
      </c>
      <c r="F192" s="178">
        <f t="shared" ca="1" si="40"/>
        <v>10.466294257330155</v>
      </c>
      <c r="G192" s="178">
        <f t="shared" ca="1" si="41"/>
        <v>26.319999999999997</v>
      </c>
      <c r="H192" s="177">
        <f t="shared" ca="1" si="42"/>
        <v>25</v>
      </c>
      <c r="I192" s="196"/>
      <c r="J192" s="9" t="str">
        <f t="shared" ca="1" si="32"/>
        <v/>
      </c>
      <c r="K192" s="9" t="str">
        <f t="shared" ca="1" si="33"/>
        <v/>
      </c>
      <c r="L192" s="9">
        <f t="shared" ca="1" si="34"/>
        <v>11</v>
      </c>
      <c r="N192" s="176">
        <f t="shared" ca="1" si="43"/>
        <v>31</v>
      </c>
      <c r="O192" s="176">
        <f t="shared" ca="1" si="46"/>
        <v>5289</v>
      </c>
      <c r="P192" s="175">
        <f t="shared" ca="1" si="35"/>
        <v>834.39144798065388</v>
      </c>
      <c r="Q192" s="11">
        <f t="shared" ca="1" si="36"/>
        <v>2.9930000000000002E-2</v>
      </c>
      <c r="R192" s="12">
        <f t="shared" ca="1" si="37"/>
        <v>24.973336038060971</v>
      </c>
      <c r="T192">
        <f t="shared" ca="1" si="47"/>
        <v>1348.5143757403621</v>
      </c>
    </row>
    <row r="193" spans="1:20">
      <c r="A193" s="198">
        <f ca="1">'SAC_IOF Ñ USAR'!A193</f>
        <v>174</v>
      </c>
      <c r="B193" s="197">
        <f t="shared" ca="1" si="44"/>
        <v>50039</v>
      </c>
      <c r="C193" s="196">
        <f t="shared" ca="1" si="38"/>
        <v>889.99100827637426</v>
      </c>
      <c r="D193" s="21">
        <f t="shared" ca="1" si="45"/>
        <v>450.33545018784508</v>
      </c>
      <c r="E193" s="196">
        <f t="shared" ca="1" si="39"/>
        <v>48059.514446924179</v>
      </c>
      <c r="F193" s="178">
        <f t="shared" ca="1" si="40"/>
        <v>10.279396145592116</v>
      </c>
      <c r="G193" s="178">
        <f t="shared" ca="1" si="41"/>
        <v>26.319999999999997</v>
      </c>
      <c r="H193" s="177">
        <f t="shared" ca="1" si="42"/>
        <v>25</v>
      </c>
      <c r="I193" s="196"/>
      <c r="J193" s="9" t="str">
        <f t="shared" ca="1" si="32"/>
        <v/>
      </c>
      <c r="K193" s="9" t="str">
        <f t="shared" ca="1" si="33"/>
        <v/>
      </c>
      <c r="L193" s="9">
        <f t="shared" ca="1" si="34"/>
        <v>12</v>
      </c>
      <c r="N193" s="176">
        <f t="shared" ca="1" si="43"/>
        <v>30</v>
      </c>
      <c r="O193" s="176">
        <f t="shared" ca="1" si="46"/>
        <v>5319</v>
      </c>
      <c r="P193" s="175">
        <f t="shared" ca="1" si="35"/>
        <v>834.39144798065388</v>
      </c>
      <c r="Q193" s="11">
        <f t="shared" ca="1" si="36"/>
        <v>2.9930000000000002E-2</v>
      </c>
      <c r="R193" s="12">
        <f t="shared" ca="1" si="37"/>
        <v>24.973336038060971</v>
      </c>
      <c r="T193">
        <f t="shared" ca="1" si="47"/>
        <v>1340.3264584642193</v>
      </c>
    </row>
    <row r="194" spans="1:20">
      <c r="A194" s="198">
        <f ca="1">'SAC_IOF Ñ USAR'!A194</f>
        <v>175</v>
      </c>
      <c r="B194" s="197">
        <f t="shared" ca="1" si="44"/>
        <v>50070</v>
      </c>
      <c r="C194" s="196">
        <f t="shared" ca="1" si="38"/>
        <v>889.99100827637426</v>
      </c>
      <c r="D194" s="21">
        <f t="shared" ca="1" si="45"/>
        <v>442.14753291170246</v>
      </c>
      <c r="E194" s="196">
        <f t="shared" ca="1" si="39"/>
        <v>47169.523438647804</v>
      </c>
      <c r="F194" s="178">
        <f t="shared" ca="1" si="40"/>
        <v>10.092498033854078</v>
      </c>
      <c r="G194" s="178">
        <f t="shared" ca="1" si="41"/>
        <v>26.319999999999997</v>
      </c>
      <c r="H194" s="177">
        <f t="shared" ca="1" si="42"/>
        <v>25</v>
      </c>
      <c r="I194" s="196"/>
      <c r="J194" s="9" t="str">
        <f t="shared" ca="1" si="32"/>
        <v/>
      </c>
      <c r="K194" s="9" t="str">
        <f t="shared" ca="1" si="33"/>
        <v/>
      </c>
      <c r="L194" s="9">
        <f t="shared" ca="1" si="34"/>
        <v>1</v>
      </c>
      <c r="N194" s="176">
        <f t="shared" ca="1" si="43"/>
        <v>31</v>
      </c>
      <c r="O194" s="176">
        <f t="shared" ca="1" si="46"/>
        <v>5350</v>
      </c>
      <c r="P194" s="175">
        <f t="shared" ca="1" si="35"/>
        <v>834.39144798065388</v>
      </c>
      <c r="Q194" s="11">
        <f t="shared" ca="1" si="36"/>
        <v>2.9930000000000002E-2</v>
      </c>
      <c r="R194" s="12">
        <f t="shared" ca="1" si="37"/>
        <v>24.973336038060971</v>
      </c>
      <c r="T194">
        <f t="shared" ca="1" si="47"/>
        <v>1332.1385411880767</v>
      </c>
    </row>
    <row r="195" spans="1:20">
      <c r="A195" s="198">
        <f ca="1">'SAC_IOF Ñ USAR'!A195</f>
        <v>176</v>
      </c>
      <c r="B195" s="197">
        <f t="shared" ca="1" si="44"/>
        <v>50099</v>
      </c>
      <c r="C195" s="196">
        <f t="shared" ca="1" si="38"/>
        <v>889.99100827637426</v>
      </c>
      <c r="D195" s="21">
        <f t="shared" ca="1" si="45"/>
        <v>433.95961563555977</v>
      </c>
      <c r="E195" s="196">
        <f t="shared" ca="1" si="39"/>
        <v>46279.53243037143</v>
      </c>
      <c r="F195" s="178">
        <f t="shared" ca="1" si="40"/>
        <v>9.9055999221160391</v>
      </c>
      <c r="G195" s="178">
        <f t="shared" ca="1" si="41"/>
        <v>26.319999999999997</v>
      </c>
      <c r="H195" s="177">
        <f t="shared" ca="1" si="42"/>
        <v>25</v>
      </c>
      <c r="I195" s="196"/>
      <c r="J195" s="9" t="str">
        <f t="shared" ca="1" si="32"/>
        <v/>
      </c>
      <c r="K195" s="9" t="str">
        <f t="shared" ca="1" si="33"/>
        <v/>
      </c>
      <c r="L195" s="9">
        <f t="shared" ca="1" si="34"/>
        <v>2</v>
      </c>
      <c r="N195" s="176">
        <f t="shared" ca="1" si="43"/>
        <v>29</v>
      </c>
      <c r="O195" s="176">
        <f t="shared" ca="1" si="46"/>
        <v>5379</v>
      </c>
      <c r="P195" s="175">
        <f t="shared" ca="1" si="35"/>
        <v>834.39144798065388</v>
      </c>
      <c r="Q195" s="11">
        <f t="shared" ca="1" si="36"/>
        <v>2.9930000000000002E-2</v>
      </c>
      <c r="R195" s="12">
        <f t="shared" ca="1" si="37"/>
        <v>24.973336038060971</v>
      </c>
      <c r="T195">
        <f t="shared" ca="1" si="47"/>
        <v>1323.9506239119341</v>
      </c>
    </row>
    <row r="196" spans="1:20">
      <c r="A196" s="198">
        <f ca="1">'SAC_IOF Ñ USAR'!A196</f>
        <v>177</v>
      </c>
      <c r="B196" s="197">
        <f t="shared" ca="1" si="44"/>
        <v>50129</v>
      </c>
      <c r="C196" s="196">
        <f t="shared" ca="1" si="38"/>
        <v>889.99100827637426</v>
      </c>
      <c r="D196" s="21">
        <f t="shared" ca="1" si="45"/>
        <v>425.77169835941714</v>
      </c>
      <c r="E196" s="196">
        <f t="shared" ca="1" si="39"/>
        <v>45389.541422095055</v>
      </c>
      <c r="F196" s="178">
        <f t="shared" ca="1" si="40"/>
        <v>9.7187018103780005</v>
      </c>
      <c r="G196" s="178">
        <f t="shared" ca="1" si="41"/>
        <v>26.319999999999997</v>
      </c>
      <c r="H196" s="177">
        <f t="shared" ca="1" si="42"/>
        <v>25</v>
      </c>
      <c r="I196" s="196"/>
      <c r="J196" s="9" t="str">
        <f t="shared" ca="1" si="32"/>
        <v/>
      </c>
      <c r="K196" s="9" t="str">
        <f t="shared" ca="1" si="33"/>
        <v/>
      </c>
      <c r="L196" s="9">
        <f t="shared" ca="1" si="34"/>
        <v>3</v>
      </c>
      <c r="N196" s="176">
        <f t="shared" ca="1" si="43"/>
        <v>30</v>
      </c>
      <c r="O196" s="176">
        <f t="shared" ca="1" si="46"/>
        <v>5409</v>
      </c>
      <c r="P196" s="175">
        <f t="shared" ca="1" si="35"/>
        <v>834.39144798065388</v>
      </c>
      <c r="Q196" s="11">
        <f t="shared" ca="1" si="36"/>
        <v>2.9930000000000002E-2</v>
      </c>
      <c r="R196" s="12">
        <f t="shared" ca="1" si="37"/>
        <v>24.973336038060971</v>
      </c>
      <c r="T196">
        <f t="shared" ca="1" si="47"/>
        <v>1315.7627066357913</v>
      </c>
    </row>
    <row r="197" spans="1:20">
      <c r="A197" s="198">
        <f ca="1">'SAC_IOF Ñ USAR'!A197</f>
        <v>178</v>
      </c>
      <c r="B197" s="197">
        <f t="shared" ca="1" si="44"/>
        <v>50160</v>
      </c>
      <c r="C197" s="196">
        <f t="shared" ca="1" si="38"/>
        <v>889.99100827637426</v>
      </c>
      <c r="D197" s="21">
        <f t="shared" ca="1" si="45"/>
        <v>417.58378108327452</v>
      </c>
      <c r="E197" s="196">
        <f t="shared" ca="1" si="39"/>
        <v>44499.550413818681</v>
      </c>
      <c r="F197" s="178">
        <f t="shared" ca="1" si="40"/>
        <v>9.5318036986399619</v>
      </c>
      <c r="G197" s="178">
        <f t="shared" ca="1" si="41"/>
        <v>26.319999999999997</v>
      </c>
      <c r="H197" s="177">
        <f t="shared" ca="1" si="42"/>
        <v>25</v>
      </c>
      <c r="I197" s="196"/>
      <c r="J197" s="9" t="str">
        <f t="shared" ca="1" si="32"/>
        <v/>
      </c>
      <c r="K197" s="9" t="str">
        <f t="shared" ca="1" si="33"/>
        <v/>
      </c>
      <c r="L197" s="9">
        <f t="shared" ca="1" si="34"/>
        <v>4</v>
      </c>
      <c r="N197" s="176">
        <f t="shared" ca="1" si="43"/>
        <v>31</v>
      </c>
      <c r="O197" s="176">
        <f t="shared" ca="1" si="46"/>
        <v>5440</v>
      </c>
      <c r="P197" s="175">
        <f t="shared" ca="1" si="35"/>
        <v>834.39144798065388</v>
      </c>
      <c r="Q197" s="11">
        <f t="shared" ca="1" si="36"/>
        <v>2.9930000000000002E-2</v>
      </c>
      <c r="R197" s="12">
        <f t="shared" ca="1" si="37"/>
        <v>24.973336038060971</v>
      </c>
      <c r="T197">
        <f t="shared" ca="1" si="47"/>
        <v>1307.5747893596488</v>
      </c>
    </row>
    <row r="198" spans="1:20">
      <c r="A198" s="198">
        <f ca="1">'SAC_IOF Ñ USAR'!A198</f>
        <v>179</v>
      </c>
      <c r="B198" s="197">
        <f t="shared" ca="1" si="44"/>
        <v>50190</v>
      </c>
      <c r="C198" s="196">
        <f t="shared" ca="1" si="38"/>
        <v>889.99100827637426</v>
      </c>
      <c r="D198" s="21">
        <f t="shared" ca="1" si="45"/>
        <v>409.39586380713183</v>
      </c>
      <c r="E198" s="196">
        <f t="shared" ca="1" si="39"/>
        <v>43609.559405542306</v>
      </c>
      <c r="F198" s="178">
        <f t="shared" ca="1" si="40"/>
        <v>9.3449055869019233</v>
      </c>
      <c r="G198" s="178">
        <f t="shared" ca="1" si="41"/>
        <v>26.319999999999997</v>
      </c>
      <c r="H198" s="177">
        <f t="shared" ca="1" si="42"/>
        <v>25</v>
      </c>
      <c r="I198" s="196"/>
      <c r="J198" s="9" t="str">
        <f t="shared" ca="1" si="32"/>
        <v/>
      </c>
      <c r="K198" s="9" t="str">
        <f t="shared" ca="1" si="33"/>
        <v/>
      </c>
      <c r="L198" s="9">
        <f t="shared" ca="1" si="34"/>
        <v>5</v>
      </c>
      <c r="N198" s="176">
        <f t="shared" ca="1" si="43"/>
        <v>30</v>
      </c>
      <c r="O198" s="176">
        <f t="shared" ca="1" si="46"/>
        <v>5470</v>
      </c>
      <c r="P198" s="175">
        <f t="shared" ca="1" si="35"/>
        <v>834.39144798065388</v>
      </c>
      <c r="Q198" s="11">
        <f t="shared" ca="1" si="36"/>
        <v>2.9930000000000002E-2</v>
      </c>
      <c r="R198" s="12">
        <f t="shared" ca="1" si="37"/>
        <v>24.973336038060971</v>
      </c>
      <c r="T198">
        <f t="shared" ca="1" si="47"/>
        <v>1299.3868720835062</v>
      </c>
    </row>
    <row r="199" spans="1:20">
      <c r="A199" s="198">
        <f ca="1">'SAC_IOF Ñ USAR'!A199</f>
        <v>180</v>
      </c>
      <c r="B199" s="197">
        <f t="shared" ca="1" si="44"/>
        <v>50221</v>
      </c>
      <c r="C199" s="196">
        <f t="shared" ca="1" si="38"/>
        <v>889.99100827637426</v>
      </c>
      <c r="D199" s="21">
        <f t="shared" ca="1" si="45"/>
        <v>401.2079465309892</v>
      </c>
      <c r="E199" s="196">
        <f t="shared" ca="1" si="39"/>
        <v>42719.568397265932</v>
      </c>
      <c r="F199" s="178">
        <f t="shared" ca="1" si="40"/>
        <v>9.1580074751638847</v>
      </c>
      <c r="G199" s="178">
        <f t="shared" ca="1" si="41"/>
        <v>26.319999999999997</v>
      </c>
      <c r="H199" s="177">
        <f t="shared" ca="1" si="42"/>
        <v>25</v>
      </c>
      <c r="I199" s="196"/>
      <c r="J199" s="9" t="str">
        <f t="shared" ca="1" si="32"/>
        <v/>
      </c>
      <c r="K199" s="9" t="str">
        <f t="shared" ca="1" si="33"/>
        <v/>
      </c>
      <c r="L199" s="9">
        <f t="shared" ca="1" si="34"/>
        <v>6</v>
      </c>
      <c r="N199" s="176">
        <f t="shared" ca="1" si="43"/>
        <v>31</v>
      </c>
      <c r="O199" s="176">
        <f t="shared" ca="1" si="46"/>
        <v>5501</v>
      </c>
      <c r="P199" s="175">
        <f t="shared" ca="1" si="35"/>
        <v>834.39144798065388</v>
      </c>
      <c r="Q199" s="11">
        <f t="shared" ca="1" si="36"/>
        <v>2.9930000000000002E-2</v>
      </c>
      <c r="R199" s="12">
        <f t="shared" ca="1" si="37"/>
        <v>24.973336038060971</v>
      </c>
      <c r="T199">
        <f t="shared" ca="1" si="47"/>
        <v>1291.1989548073634</v>
      </c>
    </row>
    <row r="200" spans="1:20">
      <c r="A200" s="198">
        <f ca="1">'SAC_IOF Ñ USAR'!A200</f>
        <v>181</v>
      </c>
      <c r="B200" s="197">
        <f t="shared" ca="1" si="44"/>
        <v>50251</v>
      </c>
      <c r="C200" s="196">
        <f t="shared" ca="1" si="38"/>
        <v>889.99100827637426</v>
      </c>
      <c r="D200" s="21">
        <f t="shared" ca="1" si="45"/>
        <v>393.02002925484658</v>
      </c>
      <c r="E200" s="196">
        <f t="shared" ca="1" si="39"/>
        <v>41829.577388989557</v>
      </c>
      <c r="F200" s="178">
        <f t="shared" ca="1" si="40"/>
        <v>8.9711093634258461</v>
      </c>
      <c r="G200" s="178">
        <f t="shared" ca="1" si="41"/>
        <v>26.319999999999997</v>
      </c>
      <c r="H200" s="177">
        <f t="shared" ca="1" si="42"/>
        <v>25</v>
      </c>
      <c r="I200" s="196"/>
      <c r="J200" s="9" t="str">
        <f t="shared" ca="1" si="32"/>
        <v/>
      </c>
      <c r="K200" s="9" t="str">
        <f t="shared" ca="1" si="33"/>
        <v/>
      </c>
      <c r="L200" s="9">
        <f t="shared" ca="1" si="34"/>
        <v>7</v>
      </c>
      <c r="N200" s="176">
        <f t="shared" ca="1" si="43"/>
        <v>30</v>
      </c>
      <c r="O200" s="176">
        <f t="shared" ca="1" si="46"/>
        <v>5531</v>
      </c>
      <c r="P200" s="175">
        <f t="shared" ca="1" si="35"/>
        <v>834.39144798065388</v>
      </c>
      <c r="Q200" s="11">
        <f t="shared" ca="1" si="36"/>
        <v>2.9930000000000002E-2</v>
      </c>
      <c r="R200" s="12">
        <f t="shared" ca="1" si="37"/>
        <v>24.973336038060971</v>
      </c>
      <c r="T200">
        <f t="shared" ca="1" si="47"/>
        <v>1283.0110375312208</v>
      </c>
    </row>
    <row r="201" spans="1:20">
      <c r="A201" s="198">
        <f ca="1">'SAC_IOF Ñ USAR'!A201</f>
        <v>182</v>
      </c>
      <c r="B201" s="197">
        <f t="shared" ca="1" si="44"/>
        <v>50282</v>
      </c>
      <c r="C201" s="196">
        <f t="shared" ca="1" si="38"/>
        <v>889.99100827637426</v>
      </c>
      <c r="D201" s="21">
        <f t="shared" ca="1" si="45"/>
        <v>384.83211197870389</v>
      </c>
      <c r="E201" s="196">
        <f t="shared" ca="1" si="39"/>
        <v>40939.586380713183</v>
      </c>
      <c r="F201" s="178">
        <f t="shared" ca="1" si="40"/>
        <v>8.7842112516878075</v>
      </c>
      <c r="G201" s="178">
        <f t="shared" ca="1" si="41"/>
        <v>26.319999999999997</v>
      </c>
      <c r="H201" s="177">
        <f t="shared" ca="1" si="42"/>
        <v>25</v>
      </c>
      <c r="I201" s="196"/>
      <c r="J201" s="9" t="str">
        <f t="shared" ca="1" si="32"/>
        <v/>
      </c>
      <c r="K201" s="9" t="str">
        <f t="shared" ca="1" si="33"/>
        <v/>
      </c>
      <c r="L201" s="9">
        <f t="shared" ca="1" si="34"/>
        <v>8</v>
      </c>
      <c r="N201" s="176">
        <f t="shared" ca="1" si="43"/>
        <v>31</v>
      </c>
      <c r="O201" s="176">
        <f t="shared" ca="1" si="46"/>
        <v>5562</v>
      </c>
      <c r="P201" s="175">
        <f t="shared" ca="1" si="35"/>
        <v>834.39144798065388</v>
      </c>
      <c r="Q201" s="11">
        <f t="shared" ca="1" si="36"/>
        <v>2.9930000000000002E-2</v>
      </c>
      <c r="R201" s="12">
        <f t="shared" ca="1" si="37"/>
        <v>24.973336038060971</v>
      </c>
      <c r="T201">
        <f t="shared" ca="1" si="47"/>
        <v>1274.8231202550783</v>
      </c>
    </row>
    <row r="202" spans="1:20">
      <c r="A202" s="198">
        <f ca="1">'SAC_IOF Ñ USAR'!A202</f>
        <v>183</v>
      </c>
      <c r="B202" s="197">
        <f t="shared" ca="1" si="44"/>
        <v>50313</v>
      </c>
      <c r="C202" s="196">
        <f t="shared" ca="1" si="38"/>
        <v>889.99100827637426</v>
      </c>
      <c r="D202" s="21">
        <f t="shared" ca="1" si="45"/>
        <v>376.64419470256126</v>
      </c>
      <c r="E202" s="196">
        <f t="shared" ca="1" si="39"/>
        <v>40049.595372436808</v>
      </c>
      <c r="F202" s="178">
        <f t="shared" ca="1" si="40"/>
        <v>8.5973131399497689</v>
      </c>
      <c r="G202" s="178">
        <f t="shared" ca="1" si="41"/>
        <v>26.319999999999997</v>
      </c>
      <c r="H202" s="177">
        <f t="shared" ca="1" si="42"/>
        <v>25</v>
      </c>
      <c r="I202" s="196"/>
      <c r="J202" s="9" t="str">
        <f t="shared" ca="1" si="32"/>
        <v/>
      </c>
      <c r="K202" s="9" t="str">
        <f t="shared" ca="1" si="33"/>
        <v/>
      </c>
      <c r="L202" s="9">
        <f t="shared" ca="1" si="34"/>
        <v>9</v>
      </c>
      <c r="N202" s="176">
        <f t="shared" ca="1" si="43"/>
        <v>31</v>
      </c>
      <c r="O202" s="176">
        <f t="shared" ca="1" si="46"/>
        <v>5593</v>
      </c>
      <c r="P202" s="175">
        <f t="shared" ca="1" si="35"/>
        <v>834.39144798065388</v>
      </c>
      <c r="Q202" s="11">
        <f t="shared" ca="1" si="36"/>
        <v>2.9930000000000002E-2</v>
      </c>
      <c r="R202" s="12">
        <f t="shared" ca="1" si="37"/>
        <v>24.973336038060971</v>
      </c>
      <c r="T202">
        <f t="shared" ca="1" si="47"/>
        <v>1266.6352029789355</v>
      </c>
    </row>
    <row r="203" spans="1:20">
      <c r="A203" s="198">
        <f ca="1">'SAC_IOF Ñ USAR'!A203</f>
        <v>184</v>
      </c>
      <c r="B203" s="197">
        <f t="shared" ca="1" si="44"/>
        <v>50343</v>
      </c>
      <c r="C203" s="196">
        <f t="shared" ca="1" si="38"/>
        <v>889.99100827637426</v>
      </c>
      <c r="D203" s="21">
        <f t="shared" ca="1" si="45"/>
        <v>368.45627742641864</v>
      </c>
      <c r="E203" s="196">
        <f t="shared" ca="1" si="39"/>
        <v>39159.604364160434</v>
      </c>
      <c r="F203" s="178">
        <f t="shared" ca="1" si="40"/>
        <v>8.4104150282117303</v>
      </c>
      <c r="G203" s="178">
        <f t="shared" ca="1" si="41"/>
        <v>26.319999999999997</v>
      </c>
      <c r="H203" s="177">
        <f t="shared" ca="1" si="42"/>
        <v>25</v>
      </c>
      <c r="I203" s="196"/>
      <c r="J203" s="9" t="str">
        <f t="shared" ca="1" si="32"/>
        <v/>
      </c>
      <c r="K203" s="9" t="str">
        <f t="shared" ca="1" si="33"/>
        <v/>
      </c>
      <c r="L203" s="9">
        <f t="shared" ca="1" si="34"/>
        <v>10</v>
      </c>
      <c r="N203" s="176">
        <f t="shared" ca="1" si="43"/>
        <v>30</v>
      </c>
      <c r="O203" s="176">
        <f t="shared" ca="1" si="46"/>
        <v>5623</v>
      </c>
      <c r="P203" s="175">
        <f t="shared" ca="1" si="35"/>
        <v>834.39144798065388</v>
      </c>
      <c r="Q203" s="11">
        <f t="shared" ca="1" si="36"/>
        <v>2.9930000000000002E-2</v>
      </c>
      <c r="R203" s="12">
        <f t="shared" ca="1" si="37"/>
        <v>24.973336038060971</v>
      </c>
      <c r="T203">
        <f t="shared" ca="1" si="47"/>
        <v>1258.4472857027929</v>
      </c>
    </row>
    <row r="204" spans="1:20">
      <c r="A204" s="198">
        <f ca="1">'SAC_IOF Ñ USAR'!A204</f>
        <v>185</v>
      </c>
      <c r="B204" s="197">
        <f t="shared" ca="1" si="44"/>
        <v>50374</v>
      </c>
      <c r="C204" s="196">
        <f t="shared" ca="1" si="38"/>
        <v>889.99100827637426</v>
      </c>
      <c r="D204" s="21">
        <f t="shared" ca="1" si="45"/>
        <v>360.26836015027601</v>
      </c>
      <c r="E204" s="196">
        <f t="shared" ca="1" si="39"/>
        <v>38269.613355884059</v>
      </c>
      <c r="F204" s="178">
        <f t="shared" ca="1" si="40"/>
        <v>8.2235169164736917</v>
      </c>
      <c r="G204" s="178">
        <f t="shared" ca="1" si="41"/>
        <v>26.319999999999997</v>
      </c>
      <c r="H204" s="177">
        <f t="shared" ca="1" si="42"/>
        <v>25</v>
      </c>
      <c r="I204" s="196"/>
      <c r="J204" s="9" t="str">
        <f t="shared" ca="1" si="32"/>
        <v/>
      </c>
      <c r="K204" s="9" t="str">
        <f t="shared" ca="1" si="33"/>
        <v/>
      </c>
      <c r="L204" s="9">
        <f t="shared" ca="1" si="34"/>
        <v>11</v>
      </c>
      <c r="N204" s="176">
        <f t="shared" ca="1" si="43"/>
        <v>31</v>
      </c>
      <c r="O204" s="176">
        <f t="shared" ca="1" si="46"/>
        <v>5654</v>
      </c>
      <c r="P204" s="175">
        <f t="shared" ca="1" si="35"/>
        <v>834.39144798065388</v>
      </c>
      <c r="Q204" s="11">
        <f t="shared" ca="1" si="36"/>
        <v>2.9930000000000002E-2</v>
      </c>
      <c r="R204" s="12">
        <f t="shared" ca="1" si="37"/>
        <v>24.973336038060971</v>
      </c>
      <c r="T204">
        <f t="shared" ca="1" si="47"/>
        <v>1250.2593684266503</v>
      </c>
    </row>
    <row r="205" spans="1:20">
      <c r="A205" s="198">
        <f ca="1">'SAC_IOF Ñ USAR'!A205</f>
        <v>186</v>
      </c>
      <c r="B205" s="197">
        <f t="shared" ca="1" si="44"/>
        <v>50404</v>
      </c>
      <c r="C205" s="196">
        <f t="shared" ca="1" si="38"/>
        <v>889.99100827637426</v>
      </c>
      <c r="D205" s="21">
        <f t="shared" ca="1" si="45"/>
        <v>352.08044287413333</v>
      </c>
      <c r="E205" s="196">
        <f t="shared" ca="1" si="39"/>
        <v>37379.622347607685</v>
      </c>
      <c r="F205" s="178">
        <f t="shared" ca="1" si="40"/>
        <v>8.036618804735653</v>
      </c>
      <c r="G205" s="178">
        <f t="shared" ca="1" si="41"/>
        <v>26.319999999999997</v>
      </c>
      <c r="H205" s="177">
        <f t="shared" ca="1" si="42"/>
        <v>25</v>
      </c>
      <c r="I205" s="196"/>
      <c r="J205" s="9" t="str">
        <f t="shared" ca="1" si="32"/>
        <v/>
      </c>
      <c r="K205" s="9" t="str">
        <f t="shared" ca="1" si="33"/>
        <v/>
      </c>
      <c r="L205" s="9">
        <f t="shared" ca="1" si="34"/>
        <v>12</v>
      </c>
      <c r="N205" s="176">
        <f t="shared" ca="1" si="43"/>
        <v>30</v>
      </c>
      <c r="O205" s="176">
        <f t="shared" ca="1" si="46"/>
        <v>5684</v>
      </c>
      <c r="P205" s="175">
        <f t="shared" ca="1" si="35"/>
        <v>834.39144798065388</v>
      </c>
      <c r="Q205" s="11">
        <f t="shared" ca="1" si="36"/>
        <v>2.9930000000000002E-2</v>
      </c>
      <c r="R205" s="12">
        <f t="shared" ca="1" si="37"/>
        <v>24.973336038060971</v>
      </c>
      <c r="T205">
        <f t="shared" ca="1" si="47"/>
        <v>1242.0714511505075</v>
      </c>
    </row>
    <row r="206" spans="1:20">
      <c r="A206" s="198">
        <f ca="1">'SAC_IOF Ñ USAR'!A206</f>
        <v>187</v>
      </c>
      <c r="B206" s="197">
        <f t="shared" ca="1" si="44"/>
        <v>50435</v>
      </c>
      <c r="C206" s="196">
        <f t="shared" ca="1" si="38"/>
        <v>889.99100827637426</v>
      </c>
      <c r="D206" s="21">
        <f t="shared" ca="1" si="45"/>
        <v>343.8925255979907</v>
      </c>
      <c r="E206" s="196">
        <f t="shared" ca="1" si="39"/>
        <v>36489.63133933131</v>
      </c>
      <c r="F206" s="178">
        <f t="shared" ca="1" si="40"/>
        <v>7.8497206929976144</v>
      </c>
      <c r="G206" s="178">
        <f t="shared" ca="1" si="41"/>
        <v>26.319999999999997</v>
      </c>
      <c r="H206" s="177">
        <f t="shared" ca="1" si="42"/>
        <v>25</v>
      </c>
      <c r="I206" s="196"/>
      <c r="J206" s="9" t="str">
        <f t="shared" ca="1" si="32"/>
        <v/>
      </c>
      <c r="K206" s="9" t="str">
        <f t="shared" ca="1" si="33"/>
        <v/>
      </c>
      <c r="L206" s="9">
        <f t="shared" ca="1" si="34"/>
        <v>1</v>
      </c>
      <c r="N206" s="176">
        <f t="shared" ca="1" si="43"/>
        <v>31</v>
      </c>
      <c r="O206" s="176">
        <f t="shared" ca="1" si="46"/>
        <v>5715</v>
      </c>
      <c r="P206" s="175">
        <f t="shared" ca="1" si="35"/>
        <v>834.39144798065388</v>
      </c>
      <c r="Q206" s="11">
        <f t="shared" ca="1" si="36"/>
        <v>2.9930000000000002E-2</v>
      </c>
      <c r="R206" s="12">
        <f t="shared" ca="1" si="37"/>
        <v>24.973336038060971</v>
      </c>
      <c r="T206">
        <f t="shared" ca="1" si="47"/>
        <v>1233.883533874365</v>
      </c>
    </row>
    <row r="207" spans="1:20">
      <c r="A207" s="198">
        <f ca="1">'SAC_IOF Ñ USAR'!A207</f>
        <v>188</v>
      </c>
      <c r="B207" s="197">
        <f t="shared" ca="1" si="44"/>
        <v>50464</v>
      </c>
      <c r="C207" s="196">
        <f t="shared" ca="1" si="38"/>
        <v>889.99100827637426</v>
      </c>
      <c r="D207" s="21">
        <f t="shared" ca="1" si="45"/>
        <v>335.70460832184807</v>
      </c>
      <c r="E207" s="196">
        <f t="shared" ca="1" si="39"/>
        <v>35599.640331054936</v>
      </c>
      <c r="F207" s="178">
        <f t="shared" ca="1" si="40"/>
        <v>7.6628225812595758</v>
      </c>
      <c r="G207" s="178">
        <f t="shared" ca="1" si="41"/>
        <v>26.319999999999997</v>
      </c>
      <c r="H207" s="177">
        <f t="shared" ca="1" si="42"/>
        <v>25</v>
      </c>
      <c r="I207" s="196"/>
      <c r="J207" s="9" t="str">
        <f t="shared" ca="1" si="32"/>
        <v/>
      </c>
      <c r="K207" s="9" t="str">
        <f t="shared" ca="1" si="33"/>
        <v/>
      </c>
      <c r="L207" s="9">
        <f t="shared" ca="1" si="34"/>
        <v>2</v>
      </c>
      <c r="N207" s="176">
        <f t="shared" ca="1" si="43"/>
        <v>29</v>
      </c>
      <c r="O207" s="176">
        <f t="shared" ca="1" si="46"/>
        <v>5744</v>
      </c>
      <c r="P207" s="175">
        <f t="shared" ca="1" si="35"/>
        <v>834.39144798065388</v>
      </c>
      <c r="Q207" s="11">
        <f t="shared" ca="1" si="36"/>
        <v>2.9930000000000002E-2</v>
      </c>
      <c r="R207" s="12">
        <f t="shared" ca="1" si="37"/>
        <v>24.973336038060971</v>
      </c>
      <c r="T207">
        <f t="shared" ca="1" si="47"/>
        <v>1225.6956165982224</v>
      </c>
    </row>
    <row r="208" spans="1:20">
      <c r="A208" s="198">
        <f ca="1">'SAC_IOF Ñ USAR'!A208</f>
        <v>189</v>
      </c>
      <c r="B208" s="197">
        <f t="shared" ca="1" si="44"/>
        <v>50494</v>
      </c>
      <c r="C208" s="196">
        <f t="shared" ca="1" si="38"/>
        <v>889.99100827637426</v>
      </c>
      <c r="D208" s="21">
        <f t="shared" ca="1" si="45"/>
        <v>327.51669104570539</v>
      </c>
      <c r="E208" s="196">
        <f t="shared" ca="1" si="39"/>
        <v>34709.649322778561</v>
      </c>
      <c r="F208" s="178">
        <f t="shared" ca="1" si="40"/>
        <v>7.4759244695215372</v>
      </c>
      <c r="G208" s="178">
        <f t="shared" ca="1" si="41"/>
        <v>26.319999999999997</v>
      </c>
      <c r="H208" s="177">
        <f t="shared" ca="1" si="42"/>
        <v>25</v>
      </c>
      <c r="I208" s="196"/>
      <c r="J208" s="9" t="str">
        <f t="shared" ca="1" si="32"/>
        <v/>
      </c>
      <c r="K208" s="9" t="str">
        <f t="shared" ca="1" si="33"/>
        <v/>
      </c>
      <c r="L208" s="9">
        <f t="shared" ca="1" si="34"/>
        <v>3</v>
      </c>
      <c r="N208" s="176">
        <f t="shared" ca="1" si="43"/>
        <v>30</v>
      </c>
      <c r="O208" s="176">
        <f t="shared" ca="1" si="46"/>
        <v>5774</v>
      </c>
      <c r="P208" s="175">
        <f t="shared" ca="1" si="35"/>
        <v>834.39144798065388</v>
      </c>
      <c r="Q208" s="11">
        <f t="shared" ca="1" si="36"/>
        <v>2.9930000000000002E-2</v>
      </c>
      <c r="R208" s="12">
        <f t="shared" ca="1" si="37"/>
        <v>24.973336038060971</v>
      </c>
      <c r="T208">
        <f t="shared" ca="1" si="47"/>
        <v>1217.5076993220796</v>
      </c>
    </row>
    <row r="209" spans="1:20">
      <c r="A209" s="198">
        <f ca="1">'SAC_IOF Ñ USAR'!A209</f>
        <v>190</v>
      </c>
      <c r="B209" s="197">
        <f t="shared" ca="1" si="44"/>
        <v>50525</v>
      </c>
      <c r="C209" s="196">
        <f t="shared" ca="1" si="38"/>
        <v>889.99100827637426</v>
      </c>
      <c r="D209" s="21">
        <f t="shared" ca="1" si="45"/>
        <v>319.32877376956276</v>
      </c>
      <c r="E209" s="196">
        <f t="shared" ca="1" si="39"/>
        <v>33819.658314502187</v>
      </c>
      <c r="F209" s="178">
        <f t="shared" ca="1" si="40"/>
        <v>7.2890263577834986</v>
      </c>
      <c r="G209" s="178">
        <f t="shared" ca="1" si="41"/>
        <v>26.319999999999997</v>
      </c>
      <c r="H209" s="177">
        <f t="shared" ca="1" si="42"/>
        <v>25</v>
      </c>
      <c r="I209" s="196"/>
      <c r="J209" s="9" t="str">
        <f t="shared" ca="1" si="32"/>
        <v/>
      </c>
      <c r="K209" s="9" t="str">
        <f t="shared" ca="1" si="33"/>
        <v/>
      </c>
      <c r="L209" s="9">
        <f t="shared" ca="1" si="34"/>
        <v>4</v>
      </c>
      <c r="N209" s="176">
        <f t="shared" ca="1" si="43"/>
        <v>31</v>
      </c>
      <c r="O209" s="176">
        <f t="shared" ca="1" si="46"/>
        <v>5805</v>
      </c>
      <c r="P209" s="175">
        <f t="shared" ca="1" si="35"/>
        <v>834.39144798065388</v>
      </c>
      <c r="Q209" s="11">
        <f t="shared" ca="1" si="36"/>
        <v>2.9930000000000002E-2</v>
      </c>
      <c r="R209" s="12">
        <f t="shared" ca="1" si="37"/>
        <v>24.973336038060971</v>
      </c>
      <c r="T209">
        <f t="shared" ca="1" si="47"/>
        <v>1209.319782045937</v>
      </c>
    </row>
    <row r="210" spans="1:20">
      <c r="A210" s="198">
        <f ca="1">'SAC_IOF Ñ USAR'!A210</f>
        <v>191</v>
      </c>
      <c r="B210" s="197">
        <f t="shared" ca="1" si="44"/>
        <v>50555</v>
      </c>
      <c r="C210" s="196">
        <f t="shared" ca="1" si="38"/>
        <v>889.99100827637426</v>
      </c>
      <c r="D210" s="21">
        <f t="shared" ca="1" si="45"/>
        <v>311.14085649342013</v>
      </c>
      <c r="E210" s="196">
        <f t="shared" ca="1" si="39"/>
        <v>32929.667306225812</v>
      </c>
      <c r="F210" s="178">
        <f t="shared" ca="1" si="40"/>
        <v>7.1021282460454591</v>
      </c>
      <c r="G210" s="178">
        <f t="shared" ca="1" si="41"/>
        <v>26.319999999999997</v>
      </c>
      <c r="H210" s="177">
        <f t="shared" ca="1" si="42"/>
        <v>25</v>
      </c>
      <c r="I210" s="196"/>
      <c r="J210" s="9" t="str">
        <f t="shared" ref="J210:J273" ca="1" si="48">IF(A210="I","Carencia",IF(A210&lt;=$C$12,"Carencia",""))</f>
        <v/>
      </c>
      <c r="K210" s="9" t="str">
        <f t="shared" ref="K210:K273" ca="1" si="49">IF(L210=$C$13,"Pula","")</f>
        <v/>
      </c>
      <c r="L210" s="9">
        <f t="shared" ref="L210:L273" ca="1" si="50">IFERROR(MONTH(B210),"")</f>
        <v>5</v>
      </c>
      <c r="N210" s="176">
        <f t="shared" ca="1" si="43"/>
        <v>30</v>
      </c>
      <c r="O210" s="176">
        <f t="shared" ca="1" si="46"/>
        <v>5835</v>
      </c>
      <c r="P210" s="175">
        <f t="shared" ref="P210:P273" ca="1" si="51">IF(A210&lt;&gt;"",$E$18/($C$8-$C$12-$D$13),"")</f>
        <v>834.39144798065388</v>
      </c>
      <c r="Q210" s="11">
        <f t="shared" ref="Q210:Q273" ca="1" si="52">IF(OR(A210="",J210="Carencia",K210="Pula"),"",IF(AND($F$5="PF",O210&lt;365),$I$3*O210,IF(AND($F$5="PF",O210&gt;365),$I$3*365,IF(AND($F$5="PJ",O210&lt;365),$I$4*O210,IF(AND($F$5="PJ",O210&gt;365),$I$4*365)))))</f>
        <v>2.9930000000000002E-2</v>
      </c>
      <c r="R210" s="12">
        <f t="shared" ref="R210:R273" ca="1" si="53">IFERROR(Q210*P210,"")</f>
        <v>24.973336038060971</v>
      </c>
      <c r="T210">
        <f t="shared" ca="1" si="47"/>
        <v>1201.1318647697944</v>
      </c>
    </row>
    <row r="211" spans="1:20">
      <c r="A211" s="198">
        <f ca="1">'SAC_IOF Ñ USAR'!A211</f>
        <v>192</v>
      </c>
      <c r="B211" s="197">
        <f t="shared" ca="1" si="44"/>
        <v>50586</v>
      </c>
      <c r="C211" s="196">
        <f t="shared" ref="C211:C274" ca="1" si="54">IFERROR(IF(OR(J211="Carencia",K211="Pula",A211=""),0,_xlfn.XLOOKUP(IF(AND($C$12=0,$A$19="I"),"I",$C$12),$A:$A,$E:$E)/($C$8-$D$13-$C$12)),"")</f>
        <v>889.99100827637426</v>
      </c>
      <c r="D211" s="21">
        <f t="shared" ca="1" si="45"/>
        <v>302.95293921727745</v>
      </c>
      <c r="E211" s="196">
        <f t="shared" ref="E211:E274" ca="1" si="55">IFERROR(IF(OR(J211="Carencia",K211="Pula"),E210+D211+SUM(F211:H211),(E210-C211)),"")</f>
        <v>32039.676297949438</v>
      </c>
      <c r="F211" s="178">
        <f t="shared" ref="F211:F274" ca="1" si="56">IFERROR(IF(OR(AND(DAY(B211)=DAY(B210),MONTH(B211)&lt;&gt;MONTH(B210)),MONTH(B211)&lt;&gt;MONTH(B210)),E210*$I$7,""),"")</f>
        <v>6.9152301343074205</v>
      </c>
      <c r="G211" s="178">
        <f t="shared" ref="G211:G274" ca="1" si="57">IFERROR(IF(OR(AND(DAY(B211)=DAY(B210),MONTH(B211)&lt;&gt;MONTH(B210)),MONTH(B211)&lt;&gt;MONTH(B210)),$C$11*$I$8,0),"")</f>
        <v>26.319999999999997</v>
      </c>
      <c r="H211" s="177">
        <f t="shared" ref="H211:H274" ca="1" si="58">IFERROR(IF(OR(AND(DAY(B211)=DAY(B210),MONTH(B211)&lt;&gt;MONTH(B210)),MONTH(B211)&lt;&gt;MONTH(B210)),$I$10,0),"")</f>
        <v>25</v>
      </c>
      <c r="I211" s="196"/>
      <c r="J211" s="9" t="str">
        <f t="shared" ca="1" si="48"/>
        <v/>
      </c>
      <c r="K211" s="9" t="str">
        <f t="shared" ca="1" si="49"/>
        <v/>
      </c>
      <c r="L211" s="9">
        <f t="shared" ca="1" si="50"/>
        <v>6</v>
      </c>
      <c r="N211" s="176">
        <f t="shared" ref="N211:N274" ca="1" si="59">IFERROR(B211-B210,"")</f>
        <v>31</v>
      </c>
      <c r="O211" s="176">
        <f t="shared" ca="1" si="46"/>
        <v>5866</v>
      </c>
      <c r="P211" s="175">
        <f t="shared" ca="1" si="51"/>
        <v>834.39144798065388</v>
      </c>
      <c r="Q211" s="11">
        <f t="shared" ca="1" si="52"/>
        <v>2.9930000000000002E-2</v>
      </c>
      <c r="R211" s="12">
        <f t="shared" ca="1" si="53"/>
        <v>24.973336038060971</v>
      </c>
      <c r="T211">
        <f t="shared" ca="1" si="47"/>
        <v>1192.9439474936516</v>
      </c>
    </row>
    <row r="212" spans="1:20">
      <c r="A212" s="198">
        <f ca="1">'SAC_IOF Ñ USAR'!A212</f>
        <v>193</v>
      </c>
      <c r="B212" s="197">
        <f t="shared" ref="B212:B275" ca="1" si="60">IF(A212&lt;&gt;"",EDATE($B$19,A212-IF($A$19="I",0,1)),"")</f>
        <v>50616</v>
      </c>
      <c r="C212" s="196">
        <f t="shared" ca="1" si="54"/>
        <v>889.99100827637426</v>
      </c>
      <c r="D212" s="21">
        <f t="shared" ref="D212:D275" ca="1" si="61">IFERROR(IF(DAY(B212)=DAY(B211),IF(K212="Pula",0,($C$9)*E211),IF(AND(K212="Pula",J212=""),0,IF(AND($F$3=30,OR(AND(DAY(B211)=28,MONTH(B211)=2),AND(DAY(B211)=29,MONTH(B211)=2))),$C$9*E211,$C$9*E211))),"")</f>
        <v>294.76502194113482</v>
      </c>
      <c r="E212" s="196">
        <f t="shared" ca="1" si="55"/>
        <v>31149.685289673063</v>
      </c>
      <c r="F212" s="178">
        <f t="shared" ca="1" si="56"/>
        <v>6.7283320225693819</v>
      </c>
      <c r="G212" s="178">
        <f t="shared" ca="1" si="57"/>
        <v>26.319999999999997</v>
      </c>
      <c r="H212" s="177">
        <f t="shared" ca="1" si="58"/>
        <v>25</v>
      </c>
      <c r="I212" s="196"/>
      <c r="J212" s="9" t="str">
        <f t="shared" ca="1" si="48"/>
        <v/>
      </c>
      <c r="K212" s="9" t="str">
        <f t="shared" ca="1" si="49"/>
        <v/>
      </c>
      <c r="L212" s="9">
        <f t="shared" ca="1" si="50"/>
        <v>7</v>
      </c>
      <c r="N212" s="176">
        <f t="shared" ca="1" si="59"/>
        <v>30</v>
      </c>
      <c r="O212" s="176">
        <f t="shared" ref="O212:O275" ca="1" si="62">IFERROR(N212+O211,"")</f>
        <v>5896</v>
      </c>
      <c r="P212" s="175">
        <f t="shared" ca="1" si="51"/>
        <v>834.39144798065388</v>
      </c>
      <c r="Q212" s="11">
        <f t="shared" ca="1" si="52"/>
        <v>2.9930000000000002E-2</v>
      </c>
      <c r="R212" s="12">
        <f t="shared" ca="1" si="53"/>
        <v>24.973336038060971</v>
      </c>
      <c r="T212">
        <f t="shared" ref="T212:T275" ca="1" si="63">IFERROR(IF(OR(J212="Carencia",K212="Pula"),0,C212+D212),"")</f>
        <v>1184.7560302175091</v>
      </c>
    </row>
    <row r="213" spans="1:20">
      <c r="A213" s="198">
        <f ca="1">'SAC_IOF Ñ USAR'!A213</f>
        <v>194</v>
      </c>
      <c r="B213" s="197">
        <f t="shared" ca="1" si="60"/>
        <v>50647</v>
      </c>
      <c r="C213" s="196">
        <f t="shared" ca="1" si="54"/>
        <v>889.99100827637426</v>
      </c>
      <c r="D213" s="21">
        <f t="shared" ca="1" si="61"/>
        <v>286.57710466499219</v>
      </c>
      <c r="E213" s="196">
        <f t="shared" ca="1" si="55"/>
        <v>30259.694281396689</v>
      </c>
      <c r="F213" s="178">
        <f t="shared" ca="1" si="56"/>
        <v>6.5414339108313433</v>
      </c>
      <c r="G213" s="178">
        <f t="shared" ca="1" si="57"/>
        <v>26.319999999999997</v>
      </c>
      <c r="H213" s="177">
        <f t="shared" ca="1" si="58"/>
        <v>25</v>
      </c>
      <c r="I213" s="196"/>
      <c r="J213" s="9" t="str">
        <f t="shared" ca="1" si="48"/>
        <v/>
      </c>
      <c r="K213" s="9" t="str">
        <f t="shared" ca="1" si="49"/>
        <v/>
      </c>
      <c r="L213" s="9">
        <f t="shared" ca="1" si="50"/>
        <v>8</v>
      </c>
      <c r="N213" s="176">
        <f t="shared" ca="1" si="59"/>
        <v>31</v>
      </c>
      <c r="O213" s="176">
        <f t="shared" ca="1" si="62"/>
        <v>5927</v>
      </c>
      <c r="P213" s="175">
        <f t="shared" ca="1" si="51"/>
        <v>834.39144798065388</v>
      </c>
      <c r="Q213" s="11">
        <f t="shared" ca="1" si="52"/>
        <v>2.9930000000000002E-2</v>
      </c>
      <c r="R213" s="12">
        <f t="shared" ca="1" si="53"/>
        <v>24.973336038060971</v>
      </c>
      <c r="T213">
        <f t="shared" ca="1" si="63"/>
        <v>1176.5681129413665</v>
      </c>
    </row>
    <row r="214" spans="1:20">
      <c r="A214" s="198">
        <f ca="1">'SAC_IOF Ñ USAR'!A214</f>
        <v>195</v>
      </c>
      <c r="B214" s="197">
        <f t="shared" ca="1" si="60"/>
        <v>50678</v>
      </c>
      <c r="C214" s="196">
        <f t="shared" ca="1" si="54"/>
        <v>889.99100827637426</v>
      </c>
      <c r="D214" s="21">
        <f t="shared" ca="1" si="61"/>
        <v>278.38918738884951</v>
      </c>
      <c r="E214" s="196">
        <f t="shared" ca="1" si="55"/>
        <v>29369.703273120314</v>
      </c>
      <c r="F214" s="178">
        <f t="shared" ca="1" si="56"/>
        <v>6.3545357990933047</v>
      </c>
      <c r="G214" s="178">
        <f t="shared" ca="1" si="57"/>
        <v>26.319999999999997</v>
      </c>
      <c r="H214" s="177">
        <f t="shared" ca="1" si="58"/>
        <v>25</v>
      </c>
      <c r="I214" s="196"/>
      <c r="J214" s="9" t="str">
        <f t="shared" ca="1" si="48"/>
        <v/>
      </c>
      <c r="K214" s="9" t="str">
        <f t="shared" ca="1" si="49"/>
        <v/>
      </c>
      <c r="L214" s="9">
        <f t="shared" ca="1" si="50"/>
        <v>9</v>
      </c>
      <c r="N214" s="176">
        <f t="shared" ca="1" si="59"/>
        <v>31</v>
      </c>
      <c r="O214" s="176">
        <f t="shared" ca="1" si="62"/>
        <v>5958</v>
      </c>
      <c r="P214" s="175">
        <f t="shared" ca="1" si="51"/>
        <v>834.39144798065388</v>
      </c>
      <c r="Q214" s="11">
        <f t="shared" ca="1" si="52"/>
        <v>2.9930000000000002E-2</v>
      </c>
      <c r="R214" s="12">
        <f t="shared" ca="1" si="53"/>
        <v>24.973336038060971</v>
      </c>
      <c r="T214">
        <f t="shared" ca="1" si="63"/>
        <v>1168.3801956652237</v>
      </c>
    </row>
    <row r="215" spans="1:20">
      <c r="A215" s="198">
        <f ca="1">'SAC_IOF Ñ USAR'!A215</f>
        <v>196</v>
      </c>
      <c r="B215" s="197">
        <f t="shared" ca="1" si="60"/>
        <v>50708</v>
      </c>
      <c r="C215" s="196">
        <f t="shared" ca="1" si="54"/>
        <v>889.99100827637426</v>
      </c>
      <c r="D215" s="21">
        <f t="shared" ca="1" si="61"/>
        <v>270.20127011270688</v>
      </c>
      <c r="E215" s="196">
        <f t="shared" ca="1" si="55"/>
        <v>28479.71226484394</v>
      </c>
      <c r="F215" s="178">
        <f t="shared" ca="1" si="56"/>
        <v>6.1676376873552661</v>
      </c>
      <c r="G215" s="178">
        <f t="shared" ca="1" si="57"/>
        <v>26.319999999999997</v>
      </c>
      <c r="H215" s="177">
        <f t="shared" ca="1" si="58"/>
        <v>25</v>
      </c>
      <c r="I215" s="196"/>
      <c r="J215" s="9" t="str">
        <f t="shared" ca="1" si="48"/>
        <v/>
      </c>
      <c r="K215" s="9" t="str">
        <f t="shared" ca="1" si="49"/>
        <v/>
      </c>
      <c r="L215" s="9">
        <f t="shared" ca="1" si="50"/>
        <v>10</v>
      </c>
      <c r="N215" s="176">
        <f t="shared" ca="1" si="59"/>
        <v>30</v>
      </c>
      <c r="O215" s="176">
        <f t="shared" ca="1" si="62"/>
        <v>5988</v>
      </c>
      <c r="P215" s="175">
        <f t="shared" ca="1" si="51"/>
        <v>834.39144798065388</v>
      </c>
      <c r="Q215" s="11">
        <f t="shared" ca="1" si="52"/>
        <v>2.9930000000000002E-2</v>
      </c>
      <c r="R215" s="12">
        <f t="shared" ca="1" si="53"/>
        <v>24.973336038060971</v>
      </c>
      <c r="T215">
        <f t="shared" ca="1" si="63"/>
        <v>1160.1922783890811</v>
      </c>
    </row>
    <row r="216" spans="1:20">
      <c r="A216" s="198">
        <f ca="1">'SAC_IOF Ñ USAR'!A216</f>
        <v>197</v>
      </c>
      <c r="B216" s="197">
        <f t="shared" ca="1" si="60"/>
        <v>50739</v>
      </c>
      <c r="C216" s="196">
        <f t="shared" ca="1" si="54"/>
        <v>889.99100827637426</v>
      </c>
      <c r="D216" s="21">
        <f t="shared" ca="1" si="61"/>
        <v>262.01335283656425</v>
      </c>
      <c r="E216" s="196">
        <f t="shared" ca="1" si="55"/>
        <v>27589.721256567565</v>
      </c>
      <c r="F216" s="178">
        <f t="shared" ca="1" si="56"/>
        <v>5.9807395756172275</v>
      </c>
      <c r="G216" s="178">
        <f t="shared" ca="1" si="57"/>
        <v>26.319999999999997</v>
      </c>
      <c r="H216" s="177">
        <f t="shared" ca="1" si="58"/>
        <v>25</v>
      </c>
      <c r="I216" s="196"/>
      <c r="J216" s="9" t="str">
        <f t="shared" ca="1" si="48"/>
        <v/>
      </c>
      <c r="K216" s="9" t="str">
        <f t="shared" ca="1" si="49"/>
        <v/>
      </c>
      <c r="L216" s="9">
        <f t="shared" ca="1" si="50"/>
        <v>11</v>
      </c>
      <c r="N216" s="176">
        <f t="shared" ca="1" si="59"/>
        <v>31</v>
      </c>
      <c r="O216" s="176">
        <f t="shared" ca="1" si="62"/>
        <v>6019</v>
      </c>
      <c r="P216" s="175">
        <f t="shared" ca="1" si="51"/>
        <v>834.39144798065388</v>
      </c>
      <c r="Q216" s="11">
        <f t="shared" ca="1" si="52"/>
        <v>2.9930000000000002E-2</v>
      </c>
      <c r="R216" s="12">
        <f t="shared" ca="1" si="53"/>
        <v>24.973336038060971</v>
      </c>
      <c r="T216">
        <f t="shared" ca="1" si="63"/>
        <v>1152.0043611129386</v>
      </c>
    </row>
    <row r="217" spans="1:20">
      <c r="A217" s="198">
        <f ca="1">'SAC_IOF Ñ USAR'!A217</f>
        <v>198</v>
      </c>
      <c r="B217" s="197">
        <f t="shared" ca="1" si="60"/>
        <v>50769</v>
      </c>
      <c r="C217" s="196">
        <f t="shared" ca="1" si="54"/>
        <v>889.99100827637426</v>
      </c>
      <c r="D217" s="21">
        <f t="shared" ca="1" si="61"/>
        <v>253.8254355604216</v>
      </c>
      <c r="E217" s="196">
        <f t="shared" ca="1" si="55"/>
        <v>26699.730248291191</v>
      </c>
      <c r="F217" s="178">
        <f t="shared" ca="1" si="56"/>
        <v>5.7938414638791889</v>
      </c>
      <c r="G217" s="178">
        <f t="shared" ca="1" si="57"/>
        <v>26.319999999999997</v>
      </c>
      <c r="H217" s="177">
        <f t="shared" ca="1" si="58"/>
        <v>25</v>
      </c>
      <c r="I217" s="196"/>
      <c r="J217" s="9" t="str">
        <f t="shared" ca="1" si="48"/>
        <v/>
      </c>
      <c r="K217" s="9" t="str">
        <f t="shared" ca="1" si="49"/>
        <v/>
      </c>
      <c r="L217" s="9">
        <f t="shared" ca="1" si="50"/>
        <v>12</v>
      </c>
      <c r="N217" s="176">
        <f t="shared" ca="1" si="59"/>
        <v>30</v>
      </c>
      <c r="O217" s="176">
        <f t="shared" ca="1" si="62"/>
        <v>6049</v>
      </c>
      <c r="P217" s="175">
        <f t="shared" ca="1" si="51"/>
        <v>834.39144798065388</v>
      </c>
      <c r="Q217" s="11">
        <f t="shared" ca="1" si="52"/>
        <v>2.9930000000000002E-2</v>
      </c>
      <c r="R217" s="12">
        <f t="shared" ca="1" si="53"/>
        <v>24.973336038060971</v>
      </c>
      <c r="T217">
        <f t="shared" ca="1" si="63"/>
        <v>1143.8164438367958</v>
      </c>
    </row>
    <row r="218" spans="1:20">
      <c r="A218" s="198">
        <f ca="1">'SAC_IOF Ñ USAR'!A218</f>
        <v>199</v>
      </c>
      <c r="B218" s="197">
        <f t="shared" ca="1" si="60"/>
        <v>50800</v>
      </c>
      <c r="C218" s="196">
        <f t="shared" ca="1" si="54"/>
        <v>889.99100827637426</v>
      </c>
      <c r="D218" s="21">
        <f t="shared" ca="1" si="61"/>
        <v>245.63751828427894</v>
      </c>
      <c r="E218" s="196">
        <f t="shared" ca="1" si="55"/>
        <v>25809.739240014816</v>
      </c>
      <c r="F218" s="178">
        <f t="shared" ca="1" si="56"/>
        <v>5.6069433521411502</v>
      </c>
      <c r="G218" s="178">
        <f t="shared" ca="1" si="57"/>
        <v>26.319999999999997</v>
      </c>
      <c r="H218" s="177">
        <f t="shared" ca="1" si="58"/>
        <v>25</v>
      </c>
      <c r="I218" s="196"/>
      <c r="J218" s="9" t="str">
        <f t="shared" ca="1" si="48"/>
        <v/>
      </c>
      <c r="K218" s="9" t="str">
        <f t="shared" ca="1" si="49"/>
        <v/>
      </c>
      <c r="L218" s="9">
        <f t="shared" ca="1" si="50"/>
        <v>1</v>
      </c>
      <c r="N218" s="176">
        <f t="shared" ca="1" si="59"/>
        <v>31</v>
      </c>
      <c r="O218" s="176">
        <f t="shared" ca="1" si="62"/>
        <v>6080</v>
      </c>
      <c r="P218" s="175">
        <f t="shared" ca="1" si="51"/>
        <v>834.39144798065388</v>
      </c>
      <c r="Q218" s="11">
        <f t="shared" ca="1" si="52"/>
        <v>2.9930000000000002E-2</v>
      </c>
      <c r="R218" s="12">
        <f t="shared" ca="1" si="53"/>
        <v>24.973336038060971</v>
      </c>
      <c r="T218">
        <f t="shared" ca="1" si="63"/>
        <v>1135.6285265606532</v>
      </c>
    </row>
    <row r="219" spans="1:20">
      <c r="A219" s="198">
        <f ca="1">'SAC_IOF Ñ USAR'!A219</f>
        <v>200</v>
      </c>
      <c r="B219" s="197">
        <f t="shared" ca="1" si="60"/>
        <v>50829</v>
      </c>
      <c r="C219" s="196">
        <f t="shared" ca="1" si="54"/>
        <v>889.99100827637426</v>
      </c>
      <c r="D219" s="21">
        <f t="shared" ca="1" si="61"/>
        <v>237.44960100813631</v>
      </c>
      <c r="E219" s="196">
        <f t="shared" ca="1" si="55"/>
        <v>24919.748231738442</v>
      </c>
      <c r="F219" s="178">
        <f t="shared" ca="1" si="56"/>
        <v>5.4200452404031116</v>
      </c>
      <c r="G219" s="178">
        <f t="shared" ca="1" si="57"/>
        <v>26.319999999999997</v>
      </c>
      <c r="H219" s="177">
        <f t="shared" ca="1" si="58"/>
        <v>25</v>
      </c>
      <c r="I219" s="196"/>
      <c r="J219" s="9" t="str">
        <f t="shared" ca="1" si="48"/>
        <v/>
      </c>
      <c r="K219" s="9" t="str">
        <f t="shared" ca="1" si="49"/>
        <v/>
      </c>
      <c r="L219" s="9">
        <f t="shared" ca="1" si="50"/>
        <v>2</v>
      </c>
      <c r="N219" s="176">
        <f t="shared" ca="1" si="59"/>
        <v>29</v>
      </c>
      <c r="O219" s="176">
        <f t="shared" ca="1" si="62"/>
        <v>6109</v>
      </c>
      <c r="P219" s="175">
        <f t="shared" ca="1" si="51"/>
        <v>834.39144798065388</v>
      </c>
      <c r="Q219" s="11">
        <f t="shared" ca="1" si="52"/>
        <v>2.9930000000000002E-2</v>
      </c>
      <c r="R219" s="12">
        <f t="shared" ca="1" si="53"/>
        <v>24.973336038060971</v>
      </c>
      <c r="T219">
        <f t="shared" ca="1" si="63"/>
        <v>1127.4406092845106</v>
      </c>
    </row>
    <row r="220" spans="1:20">
      <c r="A220" s="198">
        <f ca="1">'SAC_IOF Ñ USAR'!A220</f>
        <v>201</v>
      </c>
      <c r="B220" s="197">
        <f t="shared" ca="1" si="60"/>
        <v>50859</v>
      </c>
      <c r="C220" s="196">
        <f t="shared" ca="1" si="54"/>
        <v>889.99100827637426</v>
      </c>
      <c r="D220" s="21">
        <f t="shared" ca="1" si="61"/>
        <v>229.26168373199366</v>
      </c>
      <c r="E220" s="196">
        <f t="shared" ca="1" si="55"/>
        <v>24029.757223462067</v>
      </c>
      <c r="F220" s="178">
        <f t="shared" ca="1" si="56"/>
        <v>5.233147128665073</v>
      </c>
      <c r="G220" s="178">
        <f t="shared" ca="1" si="57"/>
        <v>26.319999999999997</v>
      </c>
      <c r="H220" s="177">
        <f t="shared" ca="1" si="58"/>
        <v>25</v>
      </c>
      <c r="I220" s="196"/>
      <c r="J220" s="9" t="str">
        <f t="shared" ca="1" si="48"/>
        <v/>
      </c>
      <c r="K220" s="9" t="str">
        <f t="shared" ca="1" si="49"/>
        <v/>
      </c>
      <c r="L220" s="9">
        <f t="shared" ca="1" si="50"/>
        <v>3</v>
      </c>
      <c r="N220" s="176">
        <f t="shared" ca="1" si="59"/>
        <v>30</v>
      </c>
      <c r="O220" s="176">
        <f t="shared" ca="1" si="62"/>
        <v>6139</v>
      </c>
      <c r="P220" s="175">
        <f t="shared" ca="1" si="51"/>
        <v>834.39144798065388</v>
      </c>
      <c r="Q220" s="11">
        <f t="shared" ca="1" si="52"/>
        <v>2.9930000000000002E-2</v>
      </c>
      <c r="R220" s="12">
        <f t="shared" ca="1" si="53"/>
        <v>24.973336038060971</v>
      </c>
      <c r="T220">
        <f t="shared" ca="1" si="63"/>
        <v>1119.2526920083678</v>
      </c>
    </row>
    <row r="221" spans="1:20">
      <c r="A221" s="198">
        <f ca="1">'SAC_IOF Ñ USAR'!A221</f>
        <v>202</v>
      </c>
      <c r="B221" s="197">
        <f t="shared" ca="1" si="60"/>
        <v>50890</v>
      </c>
      <c r="C221" s="196">
        <f t="shared" ca="1" si="54"/>
        <v>889.99100827637426</v>
      </c>
      <c r="D221" s="21">
        <f t="shared" ca="1" si="61"/>
        <v>221.07376645585103</v>
      </c>
      <c r="E221" s="196">
        <f t="shared" ca="1" si="55"/>
        <v>23139.766215185693</v>
      </c>
      <c r="F221" s="178">
        <f t="shared" ca="1" si="56"/>
        <v>5.0462490169270344</v>
      </c>
      <c r="G221" s="178">
        <f t="shared" ca="1" si="57"/>
        <v>26.319999999999997</v>
      </c>
      <c r="H221" s="177">
        <f t="shared" ca="1" si="58"/>
        <v>25</v>
      </c>
      <c r="I221" s="196"/>
      <c r="J221" s="9" t="str">
        <f t="shared" ca="1" si="48"/>
        <v/>
      </c>
      <c r="K221" s="9" t="str">
        <f t="shared" ca="1" si="49"/>
        <v/>
      </c>
      <c r="L221" s="9">
        <f t="shared" ca="1" si="50"/>
        <v>4</v>
      </c>
      <c r="N221" s="176">
        <f t="shared" ca="1" si="59"/>
        <v>31</v>
      </c>
      <c r="O221" s="176">
        <f t="shared" ca="1" si="62"/>
        <v>6170</v>
      </c>
      <c r="P221" s="175">
        <f t="shared" ca="1" si="51"/>
        <v>834.39144798065388</v>
      </c>
      <c r="Q221" s="11">
        <f t="shared" ca="1" si="52"/>
        <v>2.9930000000000002E-2</v>
      </c>
      <c r="R221" s="12">
        <f t="shared" ca="1" si="53"/>
        <v>24.973336038060971</v>
      </c>
      <c r="T221">
        <f t="shared" ca="1" si="63"/>
        <v>1111.0647747322253</v>
      </c>
    </row>
    <row r="222" spans="1:20">
      <c r="A222" s="198">
        <f ca="1">'SAC_IOF Ñ USAR'!A222</f>
        <v>203</v>
      </c>
      <c r="B222" s="197">
        <f t="shared" ca="1" si="60"/>
        <v>50920</v>
      </c>
      <c r="C222" s="196">
        <f t="shared" ca="1" si="54"/>
        <v>889.99100827637426</v>
      </c>
      <c r="D222" s="21">
        <f t="shared" ca="1" si="61"/>
        <v>212.88584917970837</v>
      </c>
      <c r="E222" s="196">
        <f t="shared" ca="1" si="55"/>
        <v>22249.775206909319</v>
      </c>
      <c r="F222" s="178">
        <f t="shared" ca="1" si="56"/>
        <v>4.8593509051889958</v>
      </c>
      <c r="G222" s="178">
        <f t="shared" ca="1" si="57"/>
        <v>26.319999999999997</v>
      </c>
      <c r="H222" s="177">
        <f t="shared" ca="1" si="58"/>
        <v>25</v>
      </c>
      <c r="I222" s="196"/>
      <c r="J222" s="9" t="str">
        <f t="shared" ca="1" si="48"/>
        <v/>
      </c>
      <c r="K222" s="9" t="str">
        <f t="shared" ca="1" si="49"/>
        <v/>
      </c>
      <c r="L222" s="9">
        <f t="shared" ca="1" si="50"/>
        <v>5</v>
      </c>
      <c r="N222" s="176">
        <f t="shared" ca="1" si="59"/>
        <v>30</v>
      </c>
      <c r="O222" s="176">
        <f t="shared" ca="1" si="62"/>
        <v>6200</v>
      </c>
      <c r="P222" s="175">
        <f t="shared" ca="1" si="51"/>
        <v>834.39144798065388</v>
      </c>
      <c r="Q222" s="11">
        <f t="shared" ca="1" si="52"/>
        <v>2.9930000000000002E-2</v>
      </c>
      <c r="R222" s="12">
        <f t="shared" ca="1" si="53"/>
        <v>24.973336038060971</v>
      </c>
      <c r="T222">
        <f t="shared" ca="1" si="63"/>
        <v>1102.8768574560827</v>
      </c>
    </row>
    <row r="223" spans="1:20">
      <c r="A223" s="198">
        <f ca="1">'SAC_IOF Ñ USAR'!A223</f>
        <v>204</v>
      </c>
      <c r="B223" s="197">
        <f t="shared" ca="1" si="60"/>
        <v>50951</v>
      </c>
      <c r="C223" s="196">
        <f t="shared" ca="1" si="54"/>
        <v>889.99100827637426</v>
      </c>
      <c r="D223" s="21">
        <f t="shared" ca="1" si="61"/>
        <v>204.69793190356572</v>
      </c>
      <c r="E223" s="196">
        <f t="shared" ca="1" si="55"/>
        <v>21359.784198632944</v>
      </c>
      <c r="F223" s="178">
        <f t="shared" ca="1" si="56"/>
        <v>4.6724527934509572</v>
      </c>
      <c r="G223" s="178">
        <f t="shared" ca="1" si="57"/>
        <v>26.319999999999997</v>
      </c>
      <c r="H223" s="177">
        <f t="shared" ca="1" si="58"/>
        <v>25</v>
      </c>
      <c r="I223" s="196"/>
      <c r="J223" s="9" t="str">
        <f t="shared" ca="1" si="48"/>
        <v/>
      </c>
      <c r="K223" s="9" t="str">
        <f t="shared" ca="1" si="49"/>
        <v/>
      </c>
      <c r="L223" s="9">
        <f t="shared" ca="1" si="50"/>
        <v>6</v>
      </c>
      <c r="N223" s="176">
        <f t="shared" ca="1" si="59"/>
        <v>31</v>
      </c>
      <c r="O223" s="176">
        <f t="shared" ca="1" si="62"/>
        <v>6231</v>
      </c>
      <c r="P223" s="175">
        <f t="shared" ca="1" si="51"/>
        <v>834.39144798065388</v>
      </c>
      <c r="Q223" s="11">
        <f t="shared" ca="1" si="52"/>
        <v>2.9930000000000002E-2</v>
      </c>
      <c r="R223" s="12">
        <f t="shared" ca="1" si="53"/>
        <v>24.973336038060971</v>
      </c>
      <c r="T223">
        <f t="shared" ca="1" si="63"/>
        <v>1094.6889401799399</v>
      </c>
    </row>
    <row r="224" spans="1:20">
      <c r="A224" s="198">
        <f ca="1">'SAC_IOF Ñ USAR'!A224</f>
        <v>205</v>
      </c>
      <c r="B224" s="197">
        <f t="shared" ca="1" si="60"/>
        <v>50981</v>
      </c>
      <c r="C224" s="196">
        <f t="shared" ca="1" si="54"/>
        <v>889.99100827637426</v>
      </c>
      <c r="D224" s="21">
        <f t="shared" ca="1" si="61"/>
        <v>196.51001462742309</v>
      </c>
      <c r="E224" s="196">
        <f t="shared" ca="1" si="55"/>
        <v>20469.79319035657</v>
      </c>
      <c r="F224" s="178">
        <f t="shared" ca="1" si="56"/>
        <v>4.4855546817129186</v>
      </c>
      <c r="G224" s="178">
        <f t="shared" ca="1" si="57"/>
        <v>26.319999999999997</v>
      </c>
      <c r="H224" s="177">
        <f t="shared" ca="1" si="58"/>
        <v>25</v>
      </c>
      <c r="I224" s="196"/>
      <c r="J224" s="9" t="str">
        <f t="shared" ca="1" si="48"/>
        <v/>
      </c>
      <c r="K224" s="9" t="str">
        <f t="shared" ca="1" si="49"/>
        <v/>
      </c>
      <c r="L224" s="9">
        <f t="shared" ca="1" si="50"/>
        <v>7</v>
      </c>
      <c r="N224" s="176">
        <f t="shared" ca="1" si="59"/>
        <v>30</v>
      </c>
      <c r="O224" s="176">
        <f t="shared" ca="1" si="62"/>
        <v>6261</v>
      </c>
      <c r="P224" s="175">
        <f t="shared" ca="1" si="51"/>
        <v>834.39144798065388</v>
      </c>
      <c r="Q224" s="11">
        <f t="shared" ca="1" si="52"/>
        <v>2.9930000000000002E-2</v>
      </c>
      <c r="R224" s="12">
        <f t="shared" ca="1" si="53"/>
        <v>24.973336038060971</v>
      </c>
      <c r="T224">
        <f t="shared" ca="1" si="63"/>
        <v>1086.5010229037973</v>
      </c>
    </row>
    <row r="225" spans="1:20">
      <c r="A225" s="198">
        <f ca="1">'SAC_IOF Ñ USAR'!A225</f>
        <v>206</v>
      </c>
      <c r="B225" s="197">
        <f t="shared" ca="1" si="60"/>
        <v>51012</v>
      </c>
      <c r="C225" s="196">
        <f t="shared" ca="1" si="54"/>
        <v>889.99100827637426</v>
      </c>
      <c r="D225" s="21">
        <f t="shared" ca="1" si="61"/>
        <v>188.32209735128043</v>
      </c>
      <c r="E225" s="196">
        <f t="shared" ca="1" si="55"/>
        <v>19579.802182080195</v>
      </c>
      <c r="F225" s="178">
        <f t="shared" ca="1" si="56"/>
        <v>4.29865656997488</v>
      </c>
      <c r="G225" s="178">
        <f t="shared" ca="1" si="57"/>
        <v>26.319999999999997</v>
      </c>
      <c r="H225" s="177">
        <f t="shared" ca="1" si="58"/>
        <v>25</v>
      </c>
      <c r="I225" s="196"/>
      <c r="J225" s="9" t="str">
        <f t="shared" ca="1" si="48"/>
        <v/>
      </c>
      <c r="K225" s="9" t="str">
        <f t="shared" ca="1" si="49"/>
        <v/>
      </c>
      <c r="L225" s="9">
        <f t="shared" ca="1" si="50"/>
        <v>8</v>
      </c>
      <c r="N225" s="176">
        <f t="shared" ca="1" si="59"/>
        <v>31</v>
      </c>
      <c r="O225" s="176">
        <f t="shared" ca="1" si="62"/>
        <v>6292</v>
      </c>
      <c r="P225" s="175">
        <f t="shared" ca="1" si="51"/>
        <v>834.39144798065388</v>
      </c>
      <c r="Q225" s="11">
        <f t="shared" ca="1" si="52"/>
        <v>2.9930000000000002E-2</v>
      </c>
      <c r="R225" s="12">
        <f t="shared" ca="1" si="53"/>
        <v>24.973336038060971</v>
      </c>
      <c r="T225">
        <f t="shared" ca="1" si="63"/>
        <v>1078.3131056276547</v>
      </c>
    </row>
    <row r="226" spans="1:20">
      <c r="A226" s="198">
        <f ca="1">'SAC_IOF Ñ USAR'!A226</f>
        <v>207</v>
      </c>
      <c r="B226" s="197">
        <f t="shared" ca="1" si="60"/>
        <v>51043</v>
      </c>
      <c r="C226" s="196">
        <f t="shared" ca="1" si="54"/>
        <v>889.99100827637426</v>
      </c>
      <c r="D226" s="21">
        <f t="shared" ca="1" si="61"/>
        <v>180.13418007513778</v>
      </c>
      <c r="E226" s="196">
        <f t="shared" ca="1" si="55"/>
        <v>18689.811173803821</v>
      </c>
      <c r="F226" s="178">
        <f t="shared" ca="1" si="56"/>
        <v>4.1117584582368414</v>
      </c>
      <c r="G226" s="178">
        <f t="shared" ca="1" si="57"/>
        <v>26.319999999999997</v>
      </c>
      <c r="H226" s="177">
        <f t="shared" ca="1" si="58"/>
        <v>25</v>
      </c>
      <c r="I226" s="196"/>
      <c r="J226" s="9" t="str">
        <f t="shared" ca="1" si="48"/>
        <v/>
      </c>
      <c r="K226" s="9" t="str">
        <f t="shared" ca="1" si="49"/>
        <v/>
      </c>
      <c r="L226" s="9">
        <f t="shared" ca="1" si="50"/>
        <v>9</v>
      </c>
      <c r="N226" s="176">
        <f t="shared" ca="1" si="59"/>
        <v>31</v>
      </c>
      <c r="O226" s="176">
        <f t="shared" ca="1" si="62"/>
        <v>6323</v>
      </c>
      <c r="P226" s="175">
        <f t="shared" ca="1" si="51"/>
        <v>834.39144798065388</v>
      </c>
      <c r="Q226" s="11">
        <f t="shared" ca="1" si="52"/>
        <v>2.9930000000000002E-2</v>
      </c>
      <c r="R226" s="12">
        <f t="shared" ca="1" si="53"/>
        <v>24.973336038060971</v>
      </c>
      <c r="T226">
        <f t="shared" ca="1" si="63"/>
        <v>1070.125188351512</v>
      </c>
    </row>
    <row r="227" spans="1:20">
      <c r="A227" s="198">
        <f ca="1">'SAC_IOF Ñ USAR'!A227</f>
        <v>208</v>
      </c>
      <c r="B227" s="197">
        <f t="shared" ca="1" si="60"/>
        <v>51073</v>
      </c>
      <c r="C227" s="196">
        <f t="shared" ca="1" si="54"/>
        <v>889.99100827637426</v>
      </c>
      <c r="D227" s="21">
        <f t="shared" ca="1" si="61"/>
        <v>171.94626279899515</v>
      </c>
      <c r="E227" s="196">
        <f t="shared" ca="1" si="55"/>
        <v>17799.820165527446</v>
      </c>
      <c r="F227" s="178">
        <f t="shared" ca="1" si="56"/>
        <v>3.9248603464988023</v>
      </c>
      <c r="G227" s="178">
        <f t="shared" ca="1" si="57"/>
        <v>26.319999999999997</v>
      </c>
      <c r="H227" s="177">
        <f t="shared" ca="1" si="58"/>
        <v>25</v>
      </c>
      <c r="I227" s="196"/>
      <c r="J227" s="9" t="str">
        <f t="shared" ca="1" si="48"/>
        <v/>
      </c>
      <c r="K227" s="9" t="str">
        <f t="shared" ca="1" si="49"/>
        <v/>
      </c>
      <c r="L227" s="9">
        <f t="shared" ca="1" si="50"/>
        <v>10</v>
      </c>
      <c r="N227" s="176">
        <f t="shared" ca="1" si="59"/>
        <v>30</v>
      </c>
      <c r="O227" s="176">
        <f t="shared" ca="1" si="62"/>
        <v>6353</v>
      </c>
      <c r="P227" s="175">
        <f t="shared" ca="1" si="51"/>
        <v>834.39144798065388</v>
      </c>
      <c r="Q227" s="11">
        <f t="shared" ca="1" si="52"/>
        <v>2.9930000000000002E-2</v>
      </c>
      <c r="R227" s="12">
        <f t="shared" ca="1" si="53"/>
        <v>24.973336038060971</v>
      </c>
      <c r="T227">
        <f t="shared" ca="1" si="63"/>
        <v>1061.9372710753694</v>
      </c>
    </row>
    <row r="228" spans="1:20">
      <c r="A228" s="198">
        <f ca="1">'SAC_IOF Ñ USAR'!A228</f>
        <v>209</v>
      </c>
      <c r="B228" s="197">
        <f t="shared" ca="1" si="60"/>
        <v>51104</v>
      </c>
      <c r="C228" s="196">
        <f t="shared" ca="1" si="54"/>
        <v>889.99100827637426</v>
      </c>
      <c r="D228" s="21">
        <f t="shared" ca="1" si="61"/>
        <v>163.75834552285249</v>
      </c>
      <c r="E228" s="196">
        <f t="shared" ca="1" si="55"/>
        <v>16909.829157251072</v>
      </c>
      <c r="F228" s="178">
        <f t="shared" ca="1" si="56"/>
        <v>3.7379622347607637</v>
      </c>
      <c r="G228" s="178">
        <f t="shared" ca="1" si="57"/>
        <v>26.319999999999997</v>
      </c>
      <c r="H228" s="177">
        <f t="shared" ca="1" si="58"/>
        <v>25</v>
      </c>
      <c r="I228" s="196"/>
      <c r="J228" s="9" t="str">
        <f t="shared" ca="1" si="48"/>
        <v/>
      </c>
      <c r="K228" s="9" t="str">
        <f t="shared" ca="1" si="49"/>
        <v/>
      </c>
      <c r="L228" s="9">
        <f t="shared" ca="1" si="50"/>
        <v>11</v>
      </c>
      <c r="N228" s="176">
        <f t="shared" ca="1" si="59"/>
        <v>31</v>
      </c>
      <c r="O228" s="176">
        <f t="shared" ca="1" si="62"/>
        <v>6384</v>
      </c>
      <c r="P228" s="175">
        <f t="shared" ca="1" si="51"/>
        <v>834.39144798065388</v>
      </c>
      <c r="Q228" s="11">
        <f t="shared" ca="1" si="52"/>
        <v>2.9930000000000002E-2</v>
      </c>
      <c r="R228" s="12">
        <f t="shared" ca="1" si="53"/>
        <v>24.973336038060971</v>
      </c>
      <c r="T228">
        <f t="shared" ca="1" si="63"/>
        <v>1053.7493537992268</v>
      </c>
    </row>
    <row r="229" spans="1:20">
      <c r="A229" s="198">
        <f ca="1">'SAC_IOF Ñ USAR'!A229</f>
        <v>210</v>
      </c>
      <c r="B229" s="197">
        <f t="shared" ca="1" si="60"/>
        <v>51134</v>
      </c>
      <c r="C229" s="196">
        <f t="shared" ca="1" si="54"/>
        <v>889.99100827637426</v>
      </c>
      <c r="D229" s="21">
        <f t="shared" ca="1" si="61"/>
        <v>155.57042824670987</v>
      </c>
      <c r="E229" s="196">
        <f t="shared" ca="1" si="55"/>
        <v>16019.838148974697</v>
      </c>
      <c r="F229" s="178">
        <f t="shared" ca="1" si="56"/>
        <v>3.5510641230227251</v>
      </c>
      <c r="G229" s="178">
        <f t="shared" ca="1" si="57"/>
        <v>26.319999999999997</v>
      </c>
      <c r="H229" s="177">
        <f t="shared" ca="1" si="58"/>
        <v>25</v>
      </c>
      <c r="I229" s="196"/>
      <c r="J229" s="9" t="str">
        <f t="shared" ca="1" si="48"/>
        <v/>
      </c>
      <c r="K229" s="9" t="str">
        <f t="shared" ca="1" si="49"/>
        <v/>
      </c>
      <c r="L229" s="9">
        <f t="shared" ca="1" si="50"/>
        <v>12</v>
      </c>
      <c r="N229" s="176">
        <f t="shared" ca="1" si="59"/>
        <v>30</v>
      </c>
      <c r="O229" s="176">
        <f t="shared" ca="1" si="62"/>
        <v>6414</v>
      </c>
      <c r="P229" s="175">
        <f t="shared" ca="1" si="51"/>
        <v>834.39144798065388</v>
      </c>
      <c r="Q229" s="11">
        <f t="shared" ca="1" si="52"/>
        <v>2.9930000000000002E-2</v>
      </c>
      <c r="R229" s="12">
        <f t="shared" ca="1" si="53"/>
        <v>24.973336038060971</v>
      </c>
      <c r="T229">
        <f t="shared" ca="1" si="63"/>
        <v>1045.561436523084</v>
      </c>
    </row>
    <row r="230" spans="1:20">
      <c r="A230" s="198">
        <f ca="1">'SAC_IOF Ñ USAR'!A230</f>
        <v>211</v>
      </c>
      <c r="B230" s="197">
        <f t="shared" ca="1" si="60"/>
        <v>51165</v>
      </c>
      <c r="C230" s="196">
        <f t="shared" ca="1" si="54"/>
        <v>889.99100827637426</v>
      </c>
      <c r="D230" s="21">
        <f t="shared" ca="1" si="61"/>
        <v>147.38251097056721</v>
      </c>
      <c r="E230" s="196">
        <f t="shared" ca="1" si="55"/>
        <v>15129.847140698323</v>
      </c>
      <c r="F230" s="178">
        <f t="shared" ca="1" si="56"/>
        <v>3.3641660112846865</v>
      </c>
      <c r="G230" s="178">
        <f t="shared" ca="1" si="57"/>
        <v>26.319999999999997</v>
      </c>
      <c r="H230" s="177">
        <f t="shared" ca="1" si="58"/>
        <v>25</v>
      </c>
      <c r="I230" s="196"/>
      <c r="J230" s="9" t="str">
        <f t="shared" ca="1" si="48"/>
        <v/>
      </c>
      <c r="K230" s="9" t="str">
        <f t="shared" ca="1" si="49"/>
        <v/>
      </c>
      <c r="L230" s="9">
        <f t="shared" ca="1" si="50"/>
        <v>1</v>
      </c>
      <c r="N230" s="176">
        <f t="shared" ca="1" si="59"/>
        <v>31</v>
      </c>
      <c r="O230" s="176">
        <f t="shared" ca="1" si="62"/>
        <v>6445</v>
      </c>
      <c r="P230" s="175">
        <f t="shared" ca="1" si="51"/>
        <v>834.39144798065388</v>
      </c>
      <c r="Q230" s="11">
        <f t="shared" ca="1" si="52"/>
        <v>2.9930000000000002E-2</v>
      </c>
      <c r="R230" s="12">
        <f t="shared" ca="1" si="53"/>
        <v>24.973336038060971</v>
      </c>
      <c r="T230">
        <f t="shared" ca="1" si="63"/>
        <v>1037.3735192469414</v>
      </c>
    </row>
    <row r="231" spans="1:20">
      <c r="A231" s="198">
        <f ca="1">'SAC_IOF Ñ USAR'!A231</f>
        <v>212</v>
      </c>
      <c r="B231" s="197">
        <f t="shared" ca="1" si="60"/>
        <v>51195</v>
      </c>
      <c r="C231" s="196">
        <f t="shared" ca="1" si="54"/>
        <v>889.99100827637426</v>
      </c>
      <c r="D231" s="21">
        <f t="shared" ca="1" si="61"/>
        <v>139.19459369442455</v>
      </c>
      <c r="E231" s="196">
        <f t="shared" ca="1" si="55"/>
        <v>14239.856132421948</v>
      </c>
      <c r="F231" s="178">
        <f t="shared" ca="1" si="56"/>
        <v>3.1772678995466479</v>
      </c>
      <c r="G231" s="178">
        <f t="shared" ca="1" si="57"/>
        <v>26.319999999999997</v>
      </c>
      <c r="H231" s="177">
        <f t="shared" ca="1" si="58"/>
        <v>25</v>
      </c>
      <c r="I231" s="196"/>
      <c r="J231" s="9" t="str">
        <f t="shared" ca="1" si="48"/>
        <v/>
      </c>
      <c r="K231" s="9" t="str">
        <f t="shared" ca="1" si="49"/>
        <v/>
      </c>
      <c r="L231" s="9">
        <f t="shared" ca="1" si="50"/>
        <v>2</v>
      </c>
      <c r="N231" s="176">
        <f t="shared" ca="1" si="59"/>
        <v>30</v>
      </c>
      <c r="O231" s="176">
        <f t="shared" ca="1" si="62"/>
        <v>6475</v>
      </c>
      <c r="P231" s="175">
        <f t="shared" ca="1" si="51"/>
        <v>834.39144798065388</v>
      </c>
      <c r="Q231" s="11">
        <f t="shared" ca="1" si="52"/>
        <v>2.9930000000000002E-2</v>
      </c>
      <c r="R231" s="12">
        <f t="shared" ca="1" si="53"/>
        <v>24.973336038060971</v>
      </c>
      <c r="T231">
        <f t="shared" ca="1" si="63"/>
        <v>1029.1856019707989</v>
      </c>
    </row>
    <row r="232" spans="1:20">
      <c r="A232" s="198">
        <f ca="1">'SAC_IOF Ñ USAR'!A232</f>
        <v>213</v>
      </c>
      <c r="B232" s="197">
        <f t="shared" ca="1" si="60"/>
        <v>51225</v>
      </c>
      <c r="C232" s="196">
        <f t="shared" ca="1" si="54"/>
        <v>889.99100827637426</v>
      </c>
      <c r="D232" s="21">
        <f t="shared" ca="1" si="61"/>
        <v>131.00667641828193</v>
      </c>
      <c r="E232" s="196">
        <f t="shared" ca="1" si="55"/>
        <v>13349.865124145574</v>
      </c>
      <c r="F232" s="178">
        <f t="shared" ca="1" si="56"/>
        <v>2.9903697878086093</v>
      </c>
      <c r="G232" s="178">
        <f t="shared" ca="1" si="57"/>
        <v>26.319999999999997</v>
      </c>
      <c r="H232" s="177">
        <f t="shared" ca="1" si="58"/>
        <v>25</v>
      </c>
      <c r="I232" s="196"/>
      <c r="J232" s="9" t="str">
        <f t="shared" ca="1" si="48"/>
        <v/>
      </c>
      <c r="K232" s="9" t="str">
        <f t="shared" ca="1" si="49"/>
        <v/>
      </c>
      <c r="L232" s="9">
        <f t="shared" ca="1" si="50"/>
        <v>3</v>
      </c>
      <c r="N232" s="176">
        <f t="shared" ca="1" si="59"/>
        <v>30</v>
      </c>
      <c r="O232" s="176">
        <f t="shared" ca="1" si="62"/>
        <v>6505</v>
      </c>
      <c r="P232" s="175">
        <f t="shared" ca="1" si="51"/>
        <v>834.39144798065388</v>
      </c>
      <c r="Q232" s="11">
        <f t="shared" ca="1" si="52"/>
        <v>2.9930000000000002E-2</v>
      </c>
      <c r="R232" s="12">
        <f t="shared" ca="1" si="53"/>
        <v>24.973336038060971</v>
      </c>
      <c r="T232">
        <f t="shared" ca="1" si="63"/>
        <v>1020.9976846946562</v>
      </c>
    </row>
    <row r="233" spans="1:20">
      <c r="A233" s="198">
        <f ca="1">'SAC_IOF Ñ USAR'!A233</f>
        <v>214</v>
      </c>
      <c r="B233" s="197">
        <f t="shared" ca="1" si="60"/>
        <v>51256</v>
      </c>
      <c r="C233" s="196">
        <f t="shared" ca="1" si="54"/>
        <v>889.99100827637426</v>
      </c>
      <c r="D233" s="21">
        <f t="shared" ca="1" si="61"/>
        <v>122.81875914213927</v>
      </c>
      <c r="E233" s="196">
        <f t="shared" ca="1" si="55"/>
        <v>12459.874115869199</v>
      </c>
      <c r="F233" s="178">
        <f t="shared" ca="1" si="56"/>
        <v>2.8034716760705707</v>
      </c>
      <c r="G233" s="178">
        <f t="shared" ca="1" si="57"/>
        <v>26.319999999999997</v>
      </c>
      <c r="H233" s="177">
        <f t="shared" ca="1" si="58"/>
        <v>25</v>
      </c>
      <c r="I233" s="196"/>
      <c r="J233" s="9" t="str">
        <f t="shared" ca="1" si="48"/>
        <v/>
      </c>
      <c r="K233" s="9" t="str">
        <f t="shared" ca="1" si="49"/>
        <v/>
      </c>
      <c r="L233" s="9">
        <f t="shared" ca="1" si="50"/>
        <v>4</v>
      </c>
      <c r="N233" s="176">
        <f t="shared" ca="1" si="59"/>
        <v>31</v>
      </c>
      <c r="O233" s="176">
        <f t="shared" ca="1" si="62"/>
        <v>6536</v>
      </c>
      <c r="P233" s="175">
        <f t="shared" ca="1" si="51"/>
        <v>834.39144798065388</v>
      </c>
      <c r="Q233" s="11">
        <f t="shared" ca="1" si="52"/>
        <v>2.9930000000000002E-2</v>
      </c>
      <c r="R233" s="12">
        <f t="shared" ca="1" si="53"/>
        <v>24.973336038060971</v>
      </c>
      <c r="T233">
        <f t="shared" ca="1" si="63"/>
        <v>1012.8097674185135</v>
      </c>
    </row>
    <row r="234" spans="1:20">
      <c r="A234" s="198">
        <f ca="1">'SAC_IOF Ñ USAR'!A234</f>
        <v>215</v>
      </c>
      <c r="B234" s="197">
        <f t="shared" ca="1" si="60"/>
        <v>51286</v>
      </c>
      <c r="C234" s="196">
        <f t="shared" ca="1" si="54"/>
        <v>889.99100827637426</v>
      </c>
      <c r="D234" s="21">
        <f t="shared" ca="1" si="61"/>
        <v>114.63084186599663</v>
      </c>
      <c r="E234" s="196">
        <f t="shared" ca="1" si="55"/>
        <v>11569.883107592825</v>
      </c>
      <c r="F234" s="178">
        <f t="shared" ca="1" si="56"/>
        <v>2.6165735643325321</v>
      </c>
      <c r="G234" s="178">
        <f t="shared" ca="1" si="57"/>
        <v>26.319999999999997</v>
      </c>
      <c r="H234" s="177">
        <f t="shared" ca="1" si="58"/>
        <v>25</v>
      </c>
      <c r="I234" s="196"/>
      <c r="J234" s="9" t="str">
        <f t="shared" ca="1" si="48"/>
        <v/>
      </c>
      <c r="K234" s="9" t="str">
        <f t="shared" ca="1" si="49"/>
        <v/>
      </c>
      <c r="L234" s="9">
        <f t="shared" ca="1" si="50"/>
        <v>5</v>
      </c>
      <c r="N234" s="176">
        <f t="shared" ca="1" si="59"/>
        <v>30</v>
      </c>
      <c r="O234" s="176">
        <f t="shared" ca="1" si="62"/>
        <v>6566</v>
      </c>
      <c r="P234" s="175">
        <f t="shared" ca="1" si="51"/>
        <v>834.39144798065388</v>
      </c>
      <c r="Q234" s="11">
        <f t="shared" ca="1" si="52"/>
        <v>2.9930000000000002E-2</v>
      </c>
      <c r="R234" s="12">
        <f t="shared" ca="1" si="53"/>
        <v>24.973336038060971</v>
      </c>
      <c r="T234">
        <f t="shared" ca="1" si="63"/>
        <v>1004.6218501423709</v>
      </c>
    </row>
    <row r="235" spans="1:20">
      <c r="A235" s="198">
        <f ca="1">'SAC_IOF Ñ USAR'!A235</f>
        <v>216</v>
      </c>
      <c r="B235" s="197">
        <f t="shared" ca="1" si="60"/>
        <v>51317</v>
      </c>
      <c r="C235" s="196">
        <f t="shared" ca="1" si="54"/>
        <v>889.99100827637426</v>
      </c>
      <c r="D235" s="21">
        <f t="shared" ca="1" si="61"/>
        <v>106.44292458985399</v>
      </c>
      <c r="E235" s="196">
        <f t="shared" ca="1" si="55"/>
        <v>10679.89209931645</v>
      </c>
      <c r="F235" s="178">
        <f t="shared" ca="1" si="56"/>
        <v>2.4296754525944935</v>
      </c>
      <c r="G235" s="178">
        <f t="shared" ca="1" si="57"/>
        <v>26.319999999999997</v>
      </c>
      <c r="H235" s="177">
        <f t="shared" ca="1" si="58"/>
        <v>25</v>
      </c>
      <c r="I235" s="196"/>
      <c r="J235" s="9" t="str">
        <f t="shared" ca="1" si="48"/>
        <v/>
      </c>
      <c r="K235" s="9" t="str">
        <f t="shared" ca="1" si="49"/>
        <v/>
      </c>
      <c r="L235" s="9">
        <f t="shared" ca="1" si="50"/>
        <v>6</v>
      </c>
      <c r="N235" s="176">
        <f t="shared" ca="1" si="59"/>
        <v>31</v>
      </c>
      <c r="O235" s="176">
        <f t="shared" ca="1" si="62"/>
        <v>6597</v>
      </c>
      <c r="P235" s="175">
        <f t="shared" ca="1" si="51"/>
        <v>834.39144798065388</v>
      </c>
      <c r="Q235" s="11">
        <f t="shared" ca="1" si="52"/>
        <v>2.9930000000000002E-2</v>
      </c>
      <c r="R235" s="12">
        <f t="shared" ca="1" si="53"/>
        <v>24.973336038060971</v>
      </c>
      <c r="T235">
        <f t="shared" ca="1" si="63"/>
        <v>996.43393286622825</v>
      </c>
    </row>
    <row r="236" spans="1:20">
      <c r="A236" s="198">
        <f ca="1">'SAC_IOF Ñ USAR'!A236</f>
        <v>217</v>
      </c>
      <c r="B236" s="197">
        <f t="shared" ca="1" si="60"/>
        <v>51347</v>
      </c>
      <c r="C236" s="196">
        <f t="shared" ca="1" si="54"/>
        <v>889.99100827637426</v>
      </c>
      <c r="D236" s="21">
        <f t="shared" ca="1" si="61"/>
        <v>98.255007313711346</v>
      </c>
      <c r="E236" s="196">
        <f t="shared" ca="1" si="55"/>
        <v>9789.9010910400757</v>
      </c>
      <c r="F236" s="178">
        <f t="shared" ca="1" si="56"/>
        <v>2.2427773408564544</v>
      </c>
      <c r="G236" s="178">
        <f t="shared" ca="1" si="57"/>
        <v>26.319999999999997</v>
      </c>
      <c r="H236" s="177">
        <f t="shared" ca="1" si="58"/>
        <v>25</v>
      </c>
      <c r="I236" s="196"/>
      <c r="J236" s="9" t="str">
        <f t="shared" ca="1" si="48"/>
        <v/>
      </c>
      <c r="K236" s="9" t="str">
        <f t="shared" ca="1" si="49"/>
        <v/>
      </c>
      <c r="L236" s="9">
        <f t="shared" ca="1" si="50"/>
        <v>7</v>
      </c>
      <c r="N236" s="176">
        <f t="shared" ca="1" si="59"/>
        <v>30</v>
      </c>
      <c r="O236" s="176">
        <f t="shared" ca="1" si="62"/>
        <v>6627</v>
      </c>
      <c r="P236" s="175">
        <f t="shared" ca="1" si="51"/>
        <v>834.39144798065388</v>
      </c>
      <c r="Q236" s="11">
        <f t="shared" ca="1" si="52"/>
        <v>2.9930000000000002E-2</v>
      </c>
      <c r="R236" s="12">
        <f t="shared" ca="1" si="53"/>
        <v>24.973336038060971</v>
      </c>
      <c r="T236">
        <f t="shared" ca="1" si="63"/>
        <v>988.24601559008556</v>
      </c>
    </row>
    <row r="237" spans="1:20">
      <c r="A237" s="198">
        <f ca="1">'SAC_IOF Ñ USAR'!A237</f>
        <v>218</v>
      </c>
      <c r="B237" s="197">
        <f t="shared" ca="1" si="60"/>
        <v>51378</v>
      </c>
      <c r="C237" s="196">
        <f t="shared" ca="1" si="54"/>
        <v>889.99100827637426</v>
      </c>
      <c r="D237" s="21">
        <f t="shared" ca="1" si="61"/>
        <v>90.06709003756869</v>
      </c>
      <c r="E237" s="196">
        <f t="shared" ca="1" si="55"/>
        <v>8899.9100827637012</v>
      </c>
      <c r="F237" s="178">
        <f t="shared" ca="1" si="56"/>
        <v>2.0558792291184158</v>
      </c>
      <c r="G237" s="178">
        <f t="shared" ca="1" si="57"/>
        <v>26.319999999999997</v>
      </c>
      <c r="H237" s="177">
        <f t="shared" ca="1" si="58"/>
        <v>25</v>
      </c>
      <c r="I237" s="196"/>
      <c r="J237" s="9" t="str">
        <f t="shared" ca="1" si="48"/>
        <v/>
      </c>
      <c r="K237" s="9" t="str">
        <f t="shared" ca="1" si="49"/>
        <v/>
      </c>
      <c r="L237" s="9">
        <f t="shared" ca="1" si="50"/>
        <v>8</v>
      </c>
      <c r="N237" s="176">
        <f t="shared" ca="1" si="59"/>
        <v>31</v>
      </c>
      <c r="O237" s="176">
        <f t="shared" ca="1" si="62"/>
        <v>6658</v>
      </c>
      <c r="P237" s="175">
        <f t="shared" ca="1" si="51"/>
        <v>834.39144798065388</v>
      </c>
      <c r="Q237" s="11">
        <f t="shared" ca="1" si="52"/>
        <v>2.9930000000000002E-2</v>
      </c>
      <c r="R237" s="12">
        <f t="shared" ca="1" si="53"/>
        <v>24.973336038060971</v>
      </c>
      <c r="T237">
        <f t="shared" ca="1" si="63"/>
        <v>980.05809831394299</v>
      </c>
    </row>
    <row r="238" spans="1:20">
      <c r="A238" s="198">
        <f ca="1">'SAC_IOF Ñ USAR'!A238</f>
        <v>219</v>
      </c>
      <c r="B238" s="197">
        <f t="shared" ca="1" si="60"/>
        <v>51409</v>
      </c>
      <c r="C238" s="196">
        <f t="shared" ca="1" si="54"/>
        <v>889.99100827637426</v>
      </c>
      <c r="D238" s="21">
        <f t="shared" ca="1" si="61"/>
        <v>81.879172761426048</v>
      </c>
      <c r="E238" s="196">
        <f t="shared" ca="1" si="55"/>
        <v>8009.9190744873267</v>
      </c>
      <c r="F238" s="178">
        <f t="shared" ca="1" si="56"/>
        <v>1.8689811173803774</v>
      </c>
      <c r="G238" s="178">
        <f t="shared" ca="1" si="57"/>
        <v>26.319999999999997</v>
      </c>
      <c r="H238" s="177">
        <f t="shared" ca="1" si="58"/>
        <v>25</v>
      </c>
      <c r="I238" s="196"/>
      <c r="J238" s="9" t="str">
        <f t="shared" ca="1" si="48"/>
        <v/>
      </c>
      <c r="K238" s="9" t="str">
        <f t="shared" ca="1" si="49"/>
        <v/>
      </c>
      <c r="L238" s="9">
        <f t="shared" ca="1" si="50"/>
        <v>9</v>
      </c>
      <c r="N238" s="176">
        <f t="shared" ca="1" si="59"/>
        <v>31</v>
      </c>
      <c r="O238" s="176">
        <f t="shared" ca="1" si="62"/>
        <v>6689</v>
      </c>
      <c r="P238" s="175">
        <f t="shared" ca="1" si="51"/>
        <v>834.39144798065388</v>
      </c>
      <c r="Q238" s="11">
        <f t="shared" ca="1" si="52"/>
        <v>2.9930000000000002E-2</v>
      </c>
      <c r="R238" s="12">
        <f t="shared" ca="1" si="53"/>
        <v>24.973336038060971</v>
      </c>
      <c r="T238">
        <f t="shared" ca="1" si="63"/>
        <v>971.87018103780031</v>
      </c>
    </row>
    <row r="239" spans="1:20">
      <c r="A239" s="198">
        <f ca="1">'SAC_IOF Ñ USAR'!A239</f>
        <v>220</v>
      </c>
      <c r="B239" s="197">
        <f t="shared" ca="1" si="60"/>
        <v>51439</v>
      </c>
      <c r="C239" s="196">
        <f t="shared" ca="1" si="54"/>
        <v>889.99100827637426</v>
      </c>
      <c r="D239" s="21">
        <f t="shared" ca="1" si="61"/>
        <v>73.691255485283406</v>
      </c>
      <c r="E239" s="196">
        <f t="shared" ca="1" si="55"/>
        <v>7119.9280662109522</v>
      </c>
      <c r="F239" s="178">
        <f t="shared" ca="1" si="56"/>
        <v>1.6820830056423386</v>
      </c>
      <c r="G239" s="178">
        <f t="shared" ca="1" si="57"/>
        <v>26.319999999999997</v>
      </c>
      <c r="H239" s="177">
        <f t="shared" ca="1" si="58"/>
        <v>25</v>
      </c>
      <c r="I239" s="196"/>
      <c r="J239" s="9" t="str">
        <f t="shared" ca="1" si="48"/>
        <v/>
      </c>
      <c r="K239" s="9" t="str">
        <f t="shared" ca="1" si="49"/>
        <v/>
      </c>
      <c r="L239" s="9">
        <f t="shared" ca="1" si="50"/>
        <v>10</v>
      </c>
      <c r="N239" s="176">
        <f t="shared" ca="1" si="59"/>
        <v>30</v>
      </c>
      <c r="O239" s="176">
        <f t="shared" ca="1" si="62"/>
        <v>6719</v>
      </c>
      <c r="P239" s="175">
        <f t="shared" ca="1" si="51"/>
        <v>834.39144798065388</v>
      </c>
      <c r="Q239" s="11">
        <f t="shared" ca="1" si="52"/>
        <v>2.9930000000000002E-2</v>
      </c>
      <c r="R239" s="12">
        <f t="shared" ca="1" si="53"/>
        <v>24.973336038060971</v>
      </c>
      <c r="T239">
        <f t="shared" ca="1" si="63"/>
        <v>963.68226376165762</v>
      </c>
    </row>
    <row r="240" spans="1:20">
      <c r="A240" s="198">
        <f ca="1">'SAC_IOF Ñ USAR'!A240</f>
        <v>221</v>
      </c>
      <c r="B240" s="197">
        <f t="shared" ca="1" si="60"/>
        <v>51470</v>
      </c>
      <c r="C240" s="196">
        <f t="shared" ca="1" si="54"/>
        <v>889.99100827637426</v>
      </c>
      <c r="D240" s="21">
        <f t="shared" ca="1" si="61"/>
        <v>65.503338209140765</v>
      </c>
      <c r="E240" s="196">
        <f t="shared" ca="1" si="55"/>
        <v>6229.9370579345778</v>
      </c>
      <c r="F240" s="178">
        <f t="shared" ca="1" si="56"/>
        <v>1.4951848939043</v>
      </c>
      <c r="G240" s="178">
        <f t="shared" ca="1" si="57"/>
        <v>26.319999999999997</v>
      </c>
      <c r="H240" s="177">
        <f t="shared" ca="1" si="58"/>
        <v>25</v>
      </c>
      <c r="I240" s="196"/>
      <c r="J240" s="9" t="str">
        <f t="shared" ca="1" si="48"/>
        <v/>
      </c>
      <c r="K240" s="9" t="str">
        <f t="shared" ca="1" si="49"/>
        <v/>
      </c>
      <c r="L240" s="9">
        <f t="shared" ca="1" si="50"/>
        <v>11</v>
      </c>
      <c r="N240" s="176">
        <f t="shared" ca="1" si="59"/>
        <v>31</v>
      </c>
      <c r="O240" s="176">
        <f t="shared" ca="1" si="62"/>
        <v>6750</v>
      </c>
      <c r="P240" s="175">
        <f t="shared" ca="1" si="51"/>
        <v>834.39144798065388</v>
      </c>
      <c r="Q240" s="11">
        <f t="shared" ca="1" si="52"/>
        <v>2.9930000000000002E-2</v>
      </c>
      <c r="R240" s="12">
        <f t="shared" ca="1" si="53"/>
        <v>24.973336038060971</v>
      </c>
      <c r="T240">
        <f t="shared" ca="1" si="63"/>
        <v>955.49434648551505</v>
      </c>
    </row>
    <row r="241" spans="1:20">
      <c r="A241" s="198">
        <f ca="1">'SAC_IOF Ñ USAR'!A241</f>
        <v>222</v>
      </c>
      <c r="B241" s="197">
        <f t="shared" ca="1" si="60"/>
        <v>51500</v>
      </c>
      <c r="C241" s="196">
        <f t="shared" ca="1" si="54"/>
        <v>889.99100827637426</v>
      </c>
      <c r="D241" s="21">
        <f t="shared" ca="1" si="61"/>
        <v>57.315420932998116</v>
      </c>
      <c r="E241" s="196">
        <f t="shared" ca="1" si="55"/>
        <v>5339.9460496582033</v>
      </c>
      <c r="F241" s="178">
        <f t="shared" ca="1" si="56"/>
        <v>1.3082867821662614</v>
      </c>
      <c r="G241" s="178">
        <f t="shared" ca="1" si="57"/>
        <v>26.319999999999997</v>
      </c>
      <c r="H241" s="177">
        <f t="shared" ca="1" si="58"/>
        <v>25</v>
      </c>
      <c r="I241" s="196"/>
      <c r="J241" s="9" t="str">
        <f t="shared" ca="1" si="48"/>
        <v/>
      </c>
      <c r="K241" s="9" t="str">
        <f t="shared" ca="1" si="49"/>
        <v/>
      </c>
      <c r="L241" s="9">
        <f t="shared" ca="1" si="50"/>
        <v>12</v>
      </c>
      <c r="N241" s="176">
        <f t="shared" ca="1" si="59"/>
        <v>30</v>
      </c>
      <c r="O241" s="176">
        <f t="shared" ca="1" si="62"/>
        <v>6780</v>
      </c>
      <c r="P241" s="175">
        <f t="shared" ca="1" si="51"/>
        <v>834.39144798065388</v>
      </c>
      <c r="Q241" s="11">
        <f t="shared" ca="1" si="52"/>
        <v>2.9930000000000002E-2</v>
      </c>
      <c r="R241" s="12">
        <f t="shared" ca="1" si="53"/>
        <v>24.973336038060971</v>
      </c>
      <c r="T241">
        <f t="shared" ca="1" si="63"/>
        <v>947.30642920937237</v>
      </c>
    </row>
    <row r="242" spans="1:20">
      <c r="A242" s="198">
        <f ca="1">'SAC_IOF Ñ USAR'!A242</f>
        <v>223</v>
      </c>
      <c r="B242" s="197">
        <f t="shared" ca="1" si="60"/>
        <v>51531</v>
      </c>
      <c r="C242" s="196">
        <f t="shared" ca="1" si="54"/>
        <v>889.99100827637426</v>
      </c>
      <c r="D242" s="21">
        <f t="shared" ca="1" si="61"/>
        <v>49.127503656855467</v>
      </c>
      <c r="E242" s="196">
        <f t="shared" ca="1" si="55"/>
        <v>4449.9550413818288</v>
      </c>
      <c r="F242" s="178">
        <f t="shared" ca="1" si="56"/>
        <v>1.1213886704282228</v>
      </c>
      <c r="G242" s="178">
        <f t="shared" ca="1" si="57"/>
        <v>26.319999999999997</v>
      </c>
      <c r="H242" s="177">
        <f t="shared" ca="1" si="58"/>
        <v>25</v>
      </c>
      <c r="I242" s="196"/>
      <c r="J242" s="9" t="str">
        <f t="shared" ca="1" si="48"/>
        <v/>
      </c>
      <c r="K242" s="9" t="str">
        <f t="shared" ca="1" si="49"/>
        <v/>
      </c>
      <c r="L242" s="9">
        <f t="shared" ca="1" si="50"/>
        <v>1</v>
      </c>
      <c r="N242" s="176">
        <f t="shared" ca="1" si="59"/>
        <v>31</v>
      </c>
      <c r="O242" s="176">
        <f t="shared" ca="1" si="62"/>
        <v>6811</v>
      </c>
      <c r="P242" s="175">
        <f t="shared" ca="1" si="51"/>
        <v>834.39144798065388</v>
      </c>
      <c r="Q242" s="11">
        <f t="shared" ca="1" si="52"/>
        <v>2.9930000000000002E-2</v>
      </c>
      <c r="R242" s="12">
        <f t="shared" ca="1" si="53"/>
        <v>24.973336038060971</v>
      </c>
      <c r="T242">
        <f t="shared" ca="1" si="63"/>
        <v>939.11851193322968</v>
      </c>
    </row>
    <row r="243" spans="1:20">
      <c r="A243" s="198">
        <f ca="1">'SAC_IOF Ñ USAR'!A243</f>
        <v>224</v>
      </c>
      <c r="B243" s="197">
        <f t="shared" ca="1" si="60"/>
        <v>51560</v>
      </c>
      <c r="C243" s="196">
        <f t="shared" ca="1" si="54"/>
        <v>889.99100827637426</v>
      </c>
      <c r="D243" s="21">
        <f t="shared" ca="1" si="61"/>
        <v>40.939586380712825</v>
      </c>
      <c r="E243" s="196">
        <f t="shared" ca="1" si="55"/>
        <v>3559.9640331054543</v>
      </c>
      <c r="F243" s="178">
        <f t="shared" ca="1" si="56"/>
        <v>0.93449055869018405</v>
      </c>
      <c r="G243" s="178">
        <f t="shared" ca="1" si="57"/>
        <v>26.319999999999997</v>
      </c>
      <c r="H243" s="177">
        <f t="shared" ca="1" si="58"/>
        <v>25</v>
      </c>
      <c r="I243" s="196"/>
      <c r="J243" s="9" t="str">
        <f t="shared" ca="1" si="48"/>
        <v/>
      </c>
      <c r="K243" s="9" t="str">
        <f t="shared" ca="1" si="49"/>
        <v/>
      </c>
      <c r="L243" s="9">
        <f t="shared" ca="1" si="50"/>
        <v>2</v>
      </c>
      <c r="N243" s="176">
        <f t="shared" ca="1" si="59"/>
        <v>29</v>
      </c>
      <c r="O243" s="176">
        <f t="shared" ca="1" si="62"/>
        <v>6840</v>
      </c>
      <c r="P243" s="175">
        <f t="shared" ca="1" si="51"/>
        <v>834.39144798065388</v>
      </c>
      <c r="Q243" s="11">
        <f t="shared" ca="1" si="52"/>
        <v>2.9930000000000002E-2</v>
      </c>
      <c r="R243" s="12">
        <f t="shared" ca="1" si="53"/>
        <v>24.973336038060971</v>
      </c>
      <c r="T243">
        <f t="shared" ca="1" si="63"/>
        <v>930.93059465708711</v>
      </c>
    </row>
    <row r="244" spans="1:20">
      <c r="A244" s="198">
        <f ca="1">'SAC_IOF Ñ USAR'!A244</f>
        <v>225</v>
      </c>
      <c r="B244" s="197">
        <f t="shared" ca="1" si="60"/>
        <v>51590</v>
      </c>
      <c r="C244" s="196">
        <f t="shared" ca="1" si="54"/>
        <v>889.99100827637426</v>
      </c>
      <c r="D244" s="21">
        <f t="shared" ca="1" si="61"/>
        <v>32.751669104570176</v>
      </c>
      <c r="E244" s="196">
        <f t="shared" ca="1" si="55"/>
        <v>2669.9730248290798</v>
      </c>
      <c r="F244" s="178">
        <f t="shared" ca="1" si="56"/>
        <v>0.74759244695214544</v>
      </c>
      <c r="G244" s="178">
        <f t="shared" ca="1" si="57"/>
        <v>26.319999999999997</v>
      </c>
      <c r="H244" s="177">
        <f t="shared" ca="1" si="58"/>
        <v>25</v>
      </c>
      <c r="I244" s="196"/>
      <c r="J244" s="9" t="str">
        <f t="shared" ca="1" si="48"/>
        <v/>
      </c>
      <c r="K244" s="9" t="str">
        <f t="shared" ca="1" si="49"/>
        <v/>
      </c>
      <c r="L244" s="9">
        <f t="shared" ca="1" si="50"/>
        <v>3</v>
      </c>
      <c r="N244" s="176">
        <f t="shared" ca="1" si="59"/>
        <v>30</v>
      </c>
      <c r="O244" s="176">
        <f t="shared" ca="1" si="62"/>
        <v>6870</v>
      </c>
      <c r="P244" s="175">
        <f t="shared" ca="1" si="51"/>
        <v>834.39144798065388</v>
      </c>
      <c r="Q244" s="11">
        <f t="shared" ca="1" si="52"/>
        <v>2.9930000000000002E-2</v>
      </c>
      <c r="R244" s="12">
        <f t="shared" ca="1" si="53"/>
        <v>24.973336038060971</v>
      </c>
      <c r="T244">
        <f t="shared" ca="1" si="63"/>
        <v>922.74267738094443</v>
      </c>
    </row>
    <row r="245" spans="1:20">
      <c r="A245" s="198">
        <f ca="1">'SAC_IOF Ñ USAR'!A245</f>
        <v>226</v>
      </c>
      <c r="B245" s="197">
        <f t="shared" ca="1" si="60"/>
        <v>51621</v>
      </c>
      <c r="C245" s="196">
        <f t="shared" ca="1" si="54"/>
        <v>889.99100827637426</v>
      </c>
      <c r="D245" s="21">
        <f t="shared" ca="1" si="61"/>
        <v>24.563751828427534</v>
      </c>
      <c r="E245" s="196">
        <f t="shared" ca="1" si="55"/>
        <v>1779.9820165527055</v>
      </c>
      <c r="F245" s="178">
        <f t="shared" ca="1" si="56"/>
        <v>0.56069433521410683</v>
      </c>
      <c r="G245" s="178">
        <f t="shared" ca="1" si="57"/>
        <v>26.319999999999997</v>
      </c>
      <c r="H245" s="177">
        <f t="shared" ca="1" si="58"/>
        <v>25</v>
      </c>
      <c r="I245" s="196"/>
      <c r="J245" s="9" t="str">
        <f t="shared" ca="1" si="48"/>
        <v/>
      </c>
      <c r="K245" s="9" t="str">
        <f t="shared" ca="1" si="49"/>
        <v/>
      </c>
      <c r="L245" s="9">
        <f t="shared" ca="1" si="50"/>
        <v>4</v>
      </c>
      <c r="N245" s="176">
        <f t="shared" ca="1" si="59"/>
        <v>31</v>
      </c>
      <c r="O245" s="176">
        <f t="shared" ca="1" si="62"/>
        <v>6901</v>
      </c>
      <c r="P245" s="175">
        <f t="shared" ca="1" si="51"/>
        <v>834.39144798065388</v>
      </c>
      <c r="Q245" s="11">
        <f t="shared" ca="1" si="52"/>
        <v>2.9930000000000002E-2</v>
      </c>
      <c r="R245" s="12">
        <f t="shared" ca="1" si="53"/>
        <v>24.973336038060971</v>
      </c>
      <c r="T245">
        <f t="shared" ca="1" si="63"/>
        <v>914.55476010480174</v>
      </c>
    </row>
    <row r="246" spans="1:20">
      <c r="A246" s="198">
        <f ca="1">'SAC_IOF Ñ USAR'!A246</f>
        <v>227</v>
      </c>
      <c r="B246" s="197">
        <f t="shared" ca="1" si="60"/>
        <v>51651</v>
      </c>
      <c r="C246" s="196">
        <f t="shared" ca="1" si="54"/>
        <v>889.99100827637426</v>
      </c>
      <c r="D246" s="21">
        <f t="shared" ca="1" si="61"/>
        <v>16.375834552284889</v>
      </c>
      <c r="E246" s="196">
        <f t="shared" ca="1" si="55"/>
        <v>889.99100827633129</v>
      </c>
      <c r="F246" s="178">
        <f t="shared" ca="1" si="56"/>
        <v>0.37379622347606817</v>
      </c>
      <c r="G246" s="178">
        <f t="shared" ca="1" si="57"/>
        <v>26.319999999999997</v>
      </c>
      <c r="H246" s="177">
        <f t="shared" ca="1" si="58"/>
        <v>25</v>
      </c>
      <c r="I246" s="196"/>
      <c r="J246" s="9" t="str">
        <f t="shared" ca="1" si="48"/>
        <v/>
      </c>
      <c r="K246" s="9" t="str">
        <f t="shared" ca="1" si="49"/>
        <v/>
      </c>
      <c r="L246" s="9">
        <f t="shared" ca="1" si="50"/>
        <v>5</v>
      </c>
      <c r="N246" s="176">
        <f t="shared" ca="1" si="59"/>
        <v>30</v>
      </c>
      <c r="O246" s="176">
        <f t="shared" ca="1" si="62"/>
        <v>6931</v>
      </c>
      <c r="P246" s="175">
        <f t="shared" ca="1" si="51"/>
        <v>834.39144798065388</v>
      </c>
      <c r="Q246" s="11">
        <f t="shared" ca="1" si="52"/>
        <v>2.9930000000000002E-2</v>
      </c>
      <c r="R246" s="12">
        <f t="shared" ca="1" si="53"/>
        <v>24.973336038060971</v>
      </c>
      <c r="T246">
        <f t="shared" ca="1" si="63"/>
        <v>906.36684282865917</v>
      </c>
    </row>
    <row r="247" spans="1:20">
      <c r="A247" s="198">
        <f ca="1">'SAC_IOF Ñ USAR'!A247</f>
        <v>228</v>
      </c>
      <c r="B247" s="197">
        <f t="shared" ca="1" si="60"/>
        <v>51682</v>
      </c>
      <c r="C247" s="196">
        <f t="shared" ca="1" si="54"/>
        <v>889.99100827637426</v>
      </c>
      <c r="D247" s="21">
        <f t="shared" ca="1" si="61"/>
        <v>8.1879172761422474</v>
      </c>
      <c r="E247" s="196">
        <f t="shared" ca="1" si="55"/>
        <v>-4.2973624658770859E-11</v>
      </c>
      <c r="F247" s="178">
        <f t="shared" ca="1" si="56"/>
        <v>0.18689811173802959</v>
      </c>
      <c r="G247" s="178">
        <f t="shared" ca="1" si="57"/>
        <v>26.319999999999997</v>
      </c>
      <c r="H247" s="177">
        <f t="shared" ca="1" si="58"/>
        <v>25</v>
      </c>
      <c r="I247" s="196"/>
      <c r="J247" s="9" t="str">
        <f t="shared" ca="1" si="48"/>
        <v/>
      </c>
      <c r="K247" s="9" t="str">
        <f t="shared" ca="1" si="49"/>
        <v/>
      </c>
      <c r="L247" s="9">
        <f t="shared" ca="1" si="50"/>
        <v>6</v>
      </c>
      <c r="N247" s="176">
        <f t="shared" ca="1" si="59"/>
        <v>31</v>
      </c>
      <c r="O247" s="176">
        <f t="shared" ca="1" si="62"/>
        <v>6962</v>
      </c>
      <c r="P247" s="175">
        <f t="shared" ca="1" si="51"/>
        <v>834.39144798065388</v>
      </c>
      <c r="Q247" s="11">
        <f t="shared" ca="1" si="52"/>
        <v>2.9930000000000002E-2</v>
      </c>
      <c r="R247" s="12">
        <f t="shared" ca="1" si="53"/>
        <v>24.973336038060971</v>
      </c>
      <c r="T247">
        <f t="shared" ca="1" si="63"/>
        <v>898.17892555251649</v>
      </c>
    </row>
    <row r="248" spans="1:20">
      <c r="A248" s="198" t="str">
        <f ca="1">'SAC_IOF Ñ USAR'!A248</f>
        <v/>
      </c>
      <c r="B248" s="197" t="str">
        <f t="shared" ca="1" si="60"/>
        <v/>
      </c>
      <c r="C248" s="196">
        <f t="shared" ca="1" si="54"/>
        <v>0</v>
      </c>
      <c r="D248" s="21" t="str">
        <f t="shared" ca="1" si="61"/>
        <v/>
      </c>
      <c r="E248" s="196">
        <f t="shared" ca="1" si="55"/>
        <v>-4.2973624658770859E-11</v>
      </c>
      <c r="F248" s="178" t="str">
        <f t="shared" ca="1" si="56"/>
        <v/>
      </c>
      <c r="G248" s="178" t="str">
        <f t="shared" ca="1" si="57"/>
        <v/>
      </c>
      <c r="H248" s="177" t="str">
        <f t="shared" ca="1" si="58"/>
        <v/>
      </c>
      <c r="I248" s="196"/>
      <c r="J248" s="9" t="str">
        <f t="shared" ca="1" si="48"/>
        <v/>
      </c>
      <c r="K248" s="9" t="str">
        <f t="shared" ca="1" si="49"/>
        <v/>
      </c>
      <c r="L248" s="9" t="str">
        <f t="shared" ca="1" si="50"/>
        <v/>
      </c>
      <c r="N248" s="176" t="str">
        <f t="shared" ca="1" si="59"/>
        <v/>
      </c>
      <c r="O248" s="176" t="str">
        <f t="shared" ca="1" si="62"/>
        <v/>
      </c>
      <c r="P248" s="175" t="str">
        <f t="shared" ca="1" si="51"/>
        <v/>
      </c>
      <c r="Q248" s="11" t="str">
        <f t="shared" ca="1" si="52"/>
        <v/>
      </c>
      <c r="R248" s="12" t="str">
        <f t="shared" ca="1" si="53"/>
        <v/>
      </c>
      <c r="T248" t="str">
        <f t="shared" ca="1" si="63"/>
        <v/>
      </c>
    </row>
    <row r="249" spans="1:20">
      <c r="A249" s="198" t="str">
        <f ca="1">'SAC_IOF Ñ USAR'!A249</f>
        <v/>
      </c>
      <c r="B249" s="197" t="str">
        <f t="shared" ca="1" si="60"/>
        <v/>
      </c>
      <c r="C249" s="196">
        <f t="shared" ca="1" si="54"/>
        <v>0</v>
      </c>
      <c r="D249" s="21" t="str">
        <f t="shared" ca="1" si="61"/>
        <v/>
      </c>
      <c r="E249" s="196">
        <f t="shared" ca="1" si="55"/>
        <v>-4.2973624658770859E-11</v>
      </c>
      <c r="F249" s="178" t="str">
        <f t="shared" ca="1" si="56"/>
        <v/>
      </c>
      <c r="G249" s="178" t="str">
        <f t="shared" ca="1" si="57"/>
        <v/>
      </c>
      <c r="H249" s="177" t="str">
        <f t="shared" ca="1" si="58"/>
        <v/>
      </c>
      <c r="I249" s="196"/>
      <c r="J249" s="9" t="str">
        <f t="shared" ca="1" si="48"/>
        <v/>
      </c>
      <c r="K249" s="9" t="str">
        <f t="shared" ca="1" si="49"/>
        <v/>
      </c>
      <c r="L249" s="9" t="str">
        <f t="shared" ca="1" si="50"/>
        <v/>
      </c>
      <c r="N249" s="176" t="str">
        <f t="shared" ca="1" si="59"/>
        <v/>
      </c>
      <c r="O249" s="176" t="str">
        <f t="shared" ca="1" si="62"/>
        <v/>
      </c>
      <c r="P249" s="175" t="str">
        <f t="shared" ca="1" si="51"/>
        <v/>
      </c>
      <c r="Q249" s="11" t="str">
        <f t="shared" ca="1" si="52"/>
        <v/>
      </c>
      <c r="R249" s="12" t="str">
        <f t="shared" ca="1" si="53"/>
        <v/>
      </c>
      <c r="T249" t="str">
        <f t="shared" ca="1" si="63"/>
        <v/>
      </c>
    </row>
    <row r="250" spans="1:20">
      <c r="A250" s="198" t="str">
        <f ca="1">'SAC_IOF Ñ USAR'!A250</f>
        <v/>
      </c>
      <c r="B250" s="197" t="str">
        <f t="shared" ca="1" si="60"/>
        <v/>
      </c>
      <c r="C250" s="196">
        <f t="shared" ca="1" si="54"/>
        <v>0</v>
      </c>
      <c r="D250" s="21" t="str">
        <f t="shared" ca="1" si="61"/>
        <v/>
      </c>
      <c r="E250" s="196">
        <f t="shared" ca="1" si="55"/>
        <v>-4.2973624658770859E-11</v>
      </c>
      <c r="F250" s="178" t="str">
        <f t="shared" ca="1" si="56"/>
        <v/>
      </c>
      <c r="G250" s="178" t="str">
        <f t="shared" ca="1" si="57"/>
        <v/>
      </c>
      <c r="H250" s="177" t="str">
        <f t="shared" ca="1" si="58"/>
        <v/>
      </c>
      <c r="I250" s="196"/>
      <c r="J250" s="9" t="str">
        <f t="shared" ca="1" si="48"/>
        <v/>
      </c>
      <c r="K250" s="9" t="str">
        <f t="shared" ca="1" si="49"/>
        <v/>
      </c>
      <c r="L250" s="9" t="str">
        <f t="shared" ca="1" si="50"/>
        <v/>
      </c>
      <c r="N250" s="176" t="str">
        <f t="shared" ca="1" si="59"/>
        <v/>
      </c>
      <c r="O250" s="176" t="str">
        <f t="shared" ca="1" si="62"/>
        <v/>
      </c>
      <c r="P250" s="175" t="str">
        <f t="shared" ca="1" si="51"/>
        <v/>
      </c>
      <c r="Q250" s="11" t="str">
        <f t="shared" ca="1" si="52"/>
        <v/>
      </c>
      <c r="R250" s="12" t="str">
        <f t="shared" ca="1" si="53"/>
        <v/>
      </c>
      <c r="T250" t="str">
        <f t="shared" ca="1" si="63"/>
        <v/>
      </c>
    </row>
    <row r="251" spans="1:20">
      <c r="A251" s="198" t="str">
        <f ca="1">'SAC_IOF Ñ USAR'!A251</f>
        <v/>
      </c>
      <c r="B251" s="197" t="str">
        <f t="shared" ca="1" si="60"/>
        <v/>
      </c>
      <c r="C251" s="196">
        <f t="shared" ca="1" si="54"/>
        <v>0</v>
      </c>
      <c r="D251" s="21" t="str">
        <f t="shared" ca="1" si="61"/>
        <v/>
      </c>
      <c r="E251" s="196">
        <f t="shared" ca="1" si="55"/>
        <v>-4.2973624658770859E-11</v>
      </c>
      <c r="F251" s="178" t="str">
        <f t="shared" ca="1" si="56"/>
        <v/>
      </c>
      <c r="G251" s="178" t="str">
        <f t="shared" ca="1" si="57"/>
        <v/>
      </c>
      <c r="H251" s="177" t="str">
        <f t="shared" ca="1" si="58"/>
        <v/>
      </c>
      <c r="I251" s="196"/>
      <c r="J251" s="9" t="str">
        <f t="shared" ca="1" si="48"/>
        <v/>
      </c>
      <c r="K251" s="9" t="str">
        <f t="shared" ca="1" si="49"/>
        <v/>
      </c>
      <c r="L251" s="9" t="str">
        <f t="shared" ca="1" si="50"/>
        <v/>
      </c>
      <c r="N251" s="176" t="str">
        <f t="shared" ca="1" si="59"/>
        <v/>
      </c>
      <c r="O251" s="176" t="str">
        <f t="shared" ca="1" si="62"/>
        <v/>
      </c>
      <c r="P251" s="175" t="str">
        <f t="shared" ca="1" si="51"/>
        <v/>
      </c>
      <c r="Q251" s="11" t="str">
        <f t="shared" ca="1" si="52"/>
        <v/>
      </c>
      <c r="R251" s="12" t="str">
        <f t="shared" ca="1" si="53"/>
        <v/>
      </c>
      <c r="T251" t="str">
        <f t="shared" ca="1" si="63"/>
        <v/>
      </c>
    </row>
    <row r="252" spans="1:20">
      <c r="A252" s="198" t="str">
        <f ca="1">'SAC_IOF Ñ USAR'!A252</f>
        <v/>
      </c>
      <c r="B252" s="197" t="str">
        <f t="shared" ca="1" si="60"/>
        <v/>
      </c>
      <c r="C252" s="196">
        <f t="shared" ca="1" si="54"/>
        <v>0</v>
      </c>
      <c r="D252" s="21" t="str">
        <f t="shared" ca="1" si="61"/>
        <v/>
      </c>
      <c r="E252" s="196">
        <f t="shared" ca="1" si="55"/>
        <v>-4.2973624658770859E-11</v>
      </c>
      <c r="F252" s="178" t="str">
        <f t="shared" ca="1" si="56"/>
        <v/>
      </c>
      <c r="G252" s="178" t="str">
        <f t="shared" ca="1" si="57"/>
        <v/>
      </c>
      <c r="H252" s="177" t="str">
        <f t="shared" ca="1" si="58"/>
        <v/>
      </c>
      <c r="I252" s="196"/>
      <c r="J252" s="9" t="str">
        <f t="shared" ca="1" si="48"/>
        <v/>
      </c>
      <c r="K252" s="9" t="str">
        <f t="shared" ca="1" si="49"/>
        <v/>
      </c>
      <c r="L252" s="9" t="str">
        <f t="shared" ca="1" si="50"/>
        <v/>
      </c>
      <c r="N252" s="176" t="str">
        <f t="shared" ca="1" si="59"/>
        <v/>
      </c>
      <c r="O252" s="176" t="str">
        <f t="shared" ca="1" si="62"/>
        <v/>
      </c>
      <c r="P252" s="175" t="str">
        <f t="shared" ca="1" si="51"/>
        <v/>
      </c>
      <c r="Q252" s="11" t="str">
        <f t="shared" ca="1" si="52"/>
        <v/>
      </c>
      <c r="R252" s="12" t="str">
        <f t="shared" ca="1" si="53"/>
        <v/>
      </c>
      <c r="T252" t="str">
        <f t="shared" ca="1" si="63"/>
        <v/>
      </c>
    </row>
    <row r="253" spans="1:20">
      <c r="A253" s="198" t="str">
        <f ca="1">'SAC_IOF Ñ USAR'!A253</f>
        <v/>
      </c>
      <c r="B253" s="197" t="str">
        <f t="shared" ca="1" si="60"/>
        <v/>
      </c>
      <c r="C253" s="196">
        <f t="shared" ca="1" si="54"/>
        <v>0</v>
      </c>
      <c r="D253" s="21" t="str">
        <f t="shared" ca="1" si="61"/>
        <v/>
      </c>
      <c r="E253" s="196">
        <f t="shared" ca="1" si="55"/>
        <v>-4.2973624658770859E-11</v>
      </c>
      <c r="F253" s="178" t="str">
        <f t="shared" ca="1" si="56"/>
        <v/>
      </c>
      <c r="G253" s="178" t="str">
        <f t="shared" ca="1" si="57"/>
        <v/>
      </c>
      <c r="H253" s="177" t="str">
        <f t="shared" ca="1" si="58"/>
        <v/>
      </c>
      <c r="I253" s="196"/>
      <c r="J253" s="9" t="str">
        <f t="shared" ca="1" si="48"/>
        <v/>
      </c>
      <c r="K253" s="9" t="str">
        <f t="shared" ca="1" si="49"/>
        <v/>
      </c>
      <c r="L253" s="9" t="str">
        <f t="shared" ca="1" si="50"/>
        <v/>
      </c>
      <c r="N253" s="176" t="str">
        <f t="shared" ca="1" si="59"/>
        <v/>
      </c>
      <c r="O253" s="176" t="str">
        <f t="shared" ca="1" si="62"/>
        <v/>
      </c>
      <c r="P253" s="175" t="str">
        <f t="shared" ca="1" si="51"/>
        <v/>
      </c>
      <c r="Q253" s="11" t="str">
        <f t="shared" ca="1" si="52"/>
        <v/>
      </c>
      <c r="R253" s="12" t="str">
        <f t="shared" ca="1" si="53"/>
        <v/>
      </c>
      <c r="T253" t="str">
        <f t="shared" ca="1" si="63"/>
        <v/>
      </c>
    </row>
    <row r="254" spans="1:20">
      <c r="A254" s="198" t="str">
        <f ca="1">'SAC_IOF Ñ USAR'!A254</f>
        <v/>
      </c>
      <c r="B254" s="197" t="str">
        <f t="shared" ca="1" si="60"/>
        <v/>
      </c>
      <c r="C254" s="196">
        <f t="shared" ca="1" si="54"/>
        <v>0</v>
      </c>
      <c r="D254" s="21" t="str">
        <f t="shared" ca="1" si="61"/>
        <v/>
      </c>
      <c r="E254" s="196">
        <f t="shared" ca="1" si="55"/>
        <v>-4.2973624658770859E-11</v>
      </c>
      <c r="F254" s="178" t="str">
        <f t="shared" ca="1" si="56"/>
        <v/>
      </c>
      <c r="G254" s="178" t="str">
        <f t="shared" ca="1" si="57"/>
        <v/>
      </c>
      <c r="H254" s="177" t="str">
        <f t="shared" ca="1" si="58"/>
        <v/>
      </c>
      <c r="I254" s="196"/>
      <c r="J254" s="9" t="str">
        <f t="shared" ca="1" si="48"/>
        <v/>
      </c>
      <c r="K254" s="9" t="str">
        <f t="shared" ca="1" si="49"/>
        <v/>
      </c>
      <c r="L254" s="9" t="str">
        <f t="shared" ca="1" si="50"/>
        <v/>
      </c>
      <c r="N254" s="176" t="str">
        <f t="shared" ca="1" si="59"/>
        <v/>
      </c>
      <c r="O254" s="176" t="str">
        <f t="shared" ca="1" si="62"/>
        <v/>
      </c>
      <c r="P254" s="175" t="str">
        <f t="shared" ca="1" si="51"/>
        <v/>
      </c>
      <c r="Q254" s="11" t="str">
        <f t="shared" ca="1" si="52"/>
        <v/>
      </c>
      <c r="R254" s="12" t="str">
        <f t="shared" ca="1" si="53"/>
        <v/>
      </c>
      <c r="T254" t="str">
        <f t="shared" ca="1" si="63"/>
        <v/>
      </c>
    </row>
    <row r="255" spans="1:20">
      <c r="A255" s="198" t="str">
        <f ca="1">'SAC_IOF Ñ USAR'!A255</f>
        <v/>
      </c>
      <c r="B255" s="197" t="str">
        <f t="shared" ca="1" si="60"/>
        <v/>
      </c>
      <c r="C255" s="196">
        <f t="shared" ca="1" si="54"/>
        <v>0</v>
      </c>
      <c r="D255" s="21" t="str">
        <f t="shared" ca="1" si="61"/>
        <v/>
      </c>
      <c r="E255" s="196">
        <f t="shared" ca="1" si="55"/>
        <v>-4.2973624658770859E-11</v>
      </c>
      <c r="F255" s="178" t="str">
        <f t="shared" ca="1" si="56"/>
        <v/>
      </c>
      <c r="G255" s="178" t="str">
        <f t="shared" ca="1" si="57"/>
        <v/>
      </c>
      <c r="H255" s="177" t="str">
        <f t="shared" ca="1" si="58"/>
        <v/>
      </c>
      <c r="I255" s="196"/>
      <c r="J255" s="9" t="str">
        <f t="shared" ca="1" si="48"/>
        <v/>
      </c>
      <c r="K255" s="9" t="str">
        <f t="shared" ca="1" si="49"/>
        <v/>
      </c>
      <c r="L255" s="9" t="str">
        <f t="shared" ca="1" si="50"/>
        <v/>
      </c>
      <c r="N255" s="176" t="str">
        <f t="shared" ca="1" si="59"/>
        <v/>
      </c>
      <c r="O255" s="176" t="str">
        <f t="shared" ca="1" si="62"/>
        <v/>
      </c>
      <c r="P255" s="175" t="str">
        <f t="shared" ca="1" si="51"/>
        <v/>
      </c>
      <c r="Q255" s="11" t="str">
        <f t="shared" ca="1" si="52"/>
        <v/>
      </c>
      <c r="R255" s="12" t="str">
        <f t="shared" ca="1" si="53"/>
        <v/>
      </c>
      <c r="T255" t="str">
        <f t="shared" ca="1" si="63"/>
        <v/>
      </c>
    </row>
    <row r="256" spans="1:20">
      <c r="A256" s="198" t="str">
        <f ca="1">'SAC_IOF Ñ USAR'!A256</f>
        <v/>
      </c>
      <c r="B256" s="197" t="str">
        <f t="shared" ca="1" si="60"/>
        <v/>
      </c>
      <c r="C256" s="196">
        <f t="shared" ca="1" si="54"/>
        <v>0</v>
      </c>
      <c r="D256" s="21" t="str">
        <f t="shared" ca="1" si="61"/>
        <v/>
      </c>
      <c r="E256" s="196">
        <f t="shared" ca="1" si="55"/>
        <v>-4.2973624658770859E-11</v>
      </c>
      <c r="F256" s="178" t="str">
        <f t="shared" ca="1" si="56"/>
        <v/>
      </c>
      <c r="G256" s="178" t="str">
        <f t="shared" ca="1" si="57"/>
        <v/>
      </c>
      <c r="H256" s="177" t="str">
        <f t="shared" ca="1" si="58"/>
        <v/>
      </c>
      <c r="I256" s="196"/>
      <c r="J256" s="9" t="str">
        <f t="shared" ca="1" si="48"/>
        <v/>
      </c>
      <c r="K256" s="9" t="str">
        <f t="shared" ca="1" si="49"/>
        <v/>
      </c>
      <c r="L256" s="9" t="str">
        <f t="shared" ca="1" si="50"/>
        <v/>
      </c>
      <c r="N256" s="176" t="str">
        <f t="shared" ca="1" si="59"/>
        <v/>
      </c>
      <c r="O256" s="176" t="str">
        <f t="shared" ca="1" si="62"/>
        <v/>
      </c>
      <c r="P256" s="175" t="str">
        <f t="shared" ca="1" si="51"/>
        <v/>
      </c>
      <c r="Q256" s="11" t="str">
        <f t="shared" ca="1" si="52"/>
        <v/>
      </c>
      <c r="R256" s="12" t="str">
        <f t="shared" ca="1" si="53"/>
        <v/>
      </c>
      <c r="T256" t="str">
        <f t="shared" ca="1" si="63"/>
        <v/>
      </c>
    </row>
    <row r="257" spans="1:20">
      <c r="A257" s="198" t="str">
        <f ca="1">'SAC_IOF Ñ USAR'!A257</f>
        <v/>
      </c>
      <c r="B257" s="197" t="str">
        <f t="shared" ca="1" si="60"/>
        <v/>
      </c>
      <c r="C257" s="196">
        <f t="shared" ca="1" si="54"/>
        <v>0</v>
      </c>
      <c r="D257" s="21" t="str">
        <f t="shared" ca="1" si="61"/>
        <v/>
      </c>
      <c r="E257" s="196">
        <f t="shared" ca="1" si="55"/>
        <v>-4.2973624658770859E-11</v>
      </c>
      <c r="F257" s="178" t="str">
        <f t="shared" ca="1" si="56"/>
        <v/>
      </c>
      <c r="G257" s="178" t="str">
        <f t="shared" ca="1" si="57"/>
        <v/>
      </c>
      <c r="H257" s="177" t="str">
        <f t="shared" ca="1" si="58"/>
        <v/>
      </c>
      <c r="I257" s="196"/>
      <c r="J257" s="9" t="str">
        <f t="shared" ca="1" si="48"/>
        <v/>
      </c>
      <c r="K257" s="9" t="str">
        <f t="shared" ca="1" si="49"/>
        <v/>
      </c>
      <c r="L257" s="9" t="str">
        <f t="shared" ca="1" si="50"/>
        <v/>
      </c>
      <c r="N257" s="176" t="str">
        <f t="shared" ca="1" si="59"/>
        <v/>
      </c>
      <c r="O257" s="176" t="str">
        <f t="shared" ca="1" si="62"/>
        <v/>
      </c>
      <c r="P257" s="175" t="str">
        <f t="shared" ca="1" si="51"/>
        <v/>
      </c>
      <c r="Q257" s="11" t="str">
        <f t="shared" ca="1" si="52"/>
        <v/>
      </c>
      <c r="R257" s="12" t="str">
        <f t="shared" ca="1" si="53"/>
        <v/>
      </c>
      <c r="T257" t="str">
        <f t="shared" ca="1" si="63"/>
        <v/>
      </c>
    </row>
    <row r="258" spans="1:20">
      <c r="A258" s="198" t="str">
        <f ca="1">'SAC_IOF Ñ USAR'!A258</f>
        <v/>
      </c>
      <c r="B258" s="197" t="str">
        <f t="shared" ca="1" si="60"/>
        <v/>
      </c>
      <c r="C258" s="196">
        <f t="shared" ca="1" si="54"/>
        <v>0</v>
      </c>
      <c r="D258" s="21" t="str">
        <f t="shared" ca="1" si="61"/>
        <v/>
      </c>
      <c r="E258" s="196">
        <f t="shared" ca="1" si="55"/>
        <v>-4.2973624658770859E-11</v>
      </c>
      <c r="F258" s="178" t="str">
        <f t="shared" ca="1" si="56"/>
        <v/>
      </c>
      <c r="G258" s="178" t="str">
        <f t="shared" ca="1" si="57"/>
        <v/>
      </c>
      <c r="H258" s="177" t="str">
        <f t="shared" ca="1" si="58"/>
        <v/>
      </c>
      <c r="I258" s="196"/>
      <c r="J258" s="9" t="str">
        <f t="shared" ca="1" si="48"/>
        <v/>
      </c>
      <c r="K258" s="9" t="str">
        <f t="shared" ca="1" si="49"/>
        <v/>
      </c>
      <c r="L258" s="9" t="str">
        <f t="shared" ca="1" si="50"/>
        <v/>
      </c>
      <c r="N258" s="176" t="str">
        <f t="shared" ca="1" si="59"/>
        <v/>
      </c>
      <c r="O258" s="176" t="str">
        <f t="shared" ca="1" si="62"/>
        <v/>
      </c>
      <c r="P258" s="175" t="str">
        <f t="shared" ca="1" si="51"/>
        <v/>
      </c>
      <c r="Q258" s="11" t="str">
        <f t="shared" ca="1" si="52"/>
        <v/>
      </c>
      <c r="R258" s="12" t="str">
        <f t="shared" ca="1" si="53"/>
        <v/>
      </c>
      <c r="T258" t="str">
        <f t="shared" ca="1" si="63"/>
        <v/>
      </c>
    </row>
    <row r="259" spans="1:20">
      <c r="A259" s="198" t="str">
        <f ca="1">'SAC_IOF Ñ USAR'!A259</f>
        <v/>
      </c>
      <c r="B259" s="197" t="str">
        <f t="shared" ca="1" si="60"/>
        <v/>
      </c>
      <c r="C259" s="196">
        <f t="shared" ca="1" si="54"/>
        <v>0</v>
      </c>
      <c r="D259" s="21" t="str">
        <f t="shared" ca="1" si="61"/>
        <v/>
      </c>
      <c r="E259" s="196">
        <f t="shared" ca="1" si="55"/>
        <v>-4.2973624658770859E-11</v>
      </c>
      <c r="F259" s="178" t="str">
        <f t="shared" ca="1" si="56"/>
        <v/>
      </c>
      <c r="G259" s="178" t="str">
        <f t="shared" ca="1" si="57"/>
        <v/>
      </c>
      <c r="H259" s="177" t="str">
        <f t="shared" ca="1" si="58"/>
        <v/>
      </c>
      <c r="I259" s="196"/>
      <c r="J259" s="9" t="str">
        <f t="shared" ca="1" si="48"/>
        <v/>
      </c>
      <c r="K259" s="9" t="str">
        <f t="shared" ca="1" si="49"/>
        <v/>
      </c>
      <c r="L259" s="9" t="str">
        <f t="shared" ca="1" si="50"/>
        <v/>
      </c>
      <c r="N259" s="176" t="str">
        <f t="shared" ca="1" si="59"/>
        <v/>
      </c>
      <c r="O259" s="176" t="str">
        <f t="shared" ca="1" si="62"/>
        <v/>
      </c>
      <c r="P259" s="175" t="str">
        <f t="shared" ca="1" si="51"/>
        <v/>
      </c>
      <c r="Q259" s="11" t="str">
        <f t="shared" ca="1" si="52"/>
        <v/>
      </c>
      <c r="R259" s="12" t="str">
        <f t="shared" ca="1" si="53"/>
        <v/>
      </c>
      <c r="T259" t="str">
        <f t="shared" ca="1" si="63"/>
        <v/>
      </c>
    </row>
    <row r="260" spans="1:20">
      <c r="A260" s="198" t="str">
        <f ca="1">'SAC_IOF Ñ USAR'!A260</f>
        <v/>
      </c>
      <c r="B260" s="197" t="str">
        <f t="shared" ca="1" si="60"/>
        <v/>
      </c>
      <c r="C260" s="196">
        <f t="shared" ca="1" si="54"/>
        <v>0</v>
      </c>
      <c r="D260" s="21" t="str">
        <f t="shared" ca="1" si="61"/>
        <v/>
      </c>
      <c r="E260" s="196">
        <f t="shared" ca="1" si="55"/>
        <v>-4.2973624658770859E-11</v>
      </c>
      <c r="F260" s="178" t="str">
        <f t="shared" ca="1" si="56"/>
        <v/>
      </c>
      <c r="G260" s="178" t="str">
        <f t="shared" ca="1" si="57"/>
        <v/>
      </c>
      <c r="H260" s="177" t="str">
        <f t="shared" ca="1" si="58"/>
        <v/>
      </c>
      <c r="I260" s="196"/>
      <c r="J260" s="9" t="str">
        <f t="shared" ca="1" si="48"/>
        <v/>
      </c>
      <c r="K260" s="9" t="str">
        <f t="shared" ca="1" si="49"/>
        <v/>
      </c>
      <c r="L260" s="9" t="str">
        <f t="shared" ca="1" si="50"/>
        <v/>
      </c>
      <c r="N260" s="176" t="str">
        <f t="shared" ca="1" si="59"/>
        <v/>
      </c>
      <c r="O260" s="176" t="str">
        <f t="shared" ca="1" si="62"/>
        <v/>
      </c>
      <c r="P260" s="175" t="str">
        <f t="shared" ca="1" si="51"/>
        <v/>
      </c>
      <c r="Q260" s="11" t="str">
        <f t="shared" ca="1" si="52"/>
        <v/>
      </c>
      <c r="R260" s="12" t="str">
        <f t="shared" ca="1" si="53"/>
        <v/>
      </c>
      <c r="T260" t="str">
        <f t="shared" ca="1" si="63"/>
        <v/>
      </c>
    </row>
    <row r="261" spans="1:20">
      <c r="A261" s="198" t="str">
        <f ca="1">'SAC_IOF Ñ USAR'!A261</f>
        <v/>
      </c>
      <c r="B261" s="197" t="str">
        <f t="shared" ca="1" si="60"/>
        <v/>
      </c>
      <c r="C261" s="196">
        <f t="shared" ca="1" si="54"/>
        <v>0</v>
      </c>
      <c r="D261" s="21" t="str">
        <f t="shared" ca="1" si="61"/>
        <v/>
      </c>
      <c r="E261" s="196">
        <f t="shared" ca="1" si="55"/>
        <v>-4.2973624658770859E-11</v>
      </c>
      <c r="F261" s="178" t="str">
        <f t="shared" ca="1" si="56"/>
        <v/>
      </c>
      <c r="G261" s="178" t="str">
        <f t="shared" ca="1" si="57"/>
        <v/>
      </c>
      <c r="H261" s="177" t="str">
        <f t="shared" ca="1" si="58"/>
        <v/>
      </c>
      <c r="I261" s="196"/>
      <c r="J261" s="9" t="str">
        <f t="shared" ca="1" si="48"/>
        <v/>
      </c>
      <c r="K261" s="9" t="str">
        <f t="shared" ca="1" si="49"/>
        <v/>
      </c>
      <c r="L261" s="9" t="str">
        <f t="shared" ca="1" si="50"/>
        <v/>
      </c>
      <c r="N261" s="176" t="str">
        <f t="shared" ca="1" si="59"/>
        <v/>
      </c>
      <c r="O261" s="176" t="str">
        <f t="shared" ca="1" si="62"/>
        <v/>
      </c>
      <c r="P261" s="175" t="str">
        <f t="shared" ca="1" si="51"/>
        <v/>
      </c>
      <c r="Q261" s="11" t="str">
        <f t="shared" ca="1" si="52"/>
        <v/>
      </c>
      <c r="R261" s="12" t="str">
        <f t="shared" ca="1" si="53"/>
        <v/>
      </c>
      <c r="T261" t="str">
        <f t="shared" ca="1" si="63"/>
        <v/>
      </c>
    </row>
    <row r="262" spans="1:20">
      <c r="A262" s="198" t="str">
        <f ca="1">'SAC_IOF Ñ USAR'!A262</f>
        <v/>
      </c>
      <c r="B262" s="197" t="str">
        <f t="shared" ca="1" si="60"/>
        <v/>
      </c>
      <c r="C262" s="196">
        <f t="shared" ca="1" si="54"/>
        <v>0</v>
      </c>
      <c r="D262" s="21" t="str">
        <f t="shared" ca="1" si="61"/>
        <v/>
      </c>
      <c r="E262" s="196">
        <f t="shared" ca="1" si="55"/>
        <v>-4.2973624658770859E-11</v>
      </c>
      <c r="F262" s="178" t="str">
        <f t="shared" ca="1" si="56"/>
        <v/>
      </c>
      <c r="G262" s="178" t="str">
        <f t="shared" ca="1" si="57"/>
        <v/>
      </c>
      <c r="H262" s="177" t="str">
        <f t="shared" ca="1" si="58"/>
        <v/>
      </c>
      <c r="I262" s="196"/>
      <c r="J262" s="9" t="str">
        <f t="shared" ca="1" si="48"/>
        <v/>
      </c>
      <c r="K262" s="9" t="str">
        <f t="shared" ca="1" si="49"/>
        <v/>
      </c>
      <c r="L262" s="9" t="str">
        <f t="shared" ca="1" si="50"/>
        <v/>
      </c>
      <c r="N262" s="176" t="str">
        <f t="shared" ca="1" si="59"/>
        <v/>
      </c>
      <c r="O262" s="176" t="str">
        <f t="shared" ca="1" si="62"/>
        <v/>
      </c>
      <c r="P262" s="175" t="str">
        <f t="shared" ca="1" si="51"/>
        <v/>
      </c>
      <c r="Q262" s="11" t="str">
        <f t="shared" ca="1" si="52"/>
        <v/>
      </c>
      <c r="R262" s="12" t="str">
        <f t="shared" ca="1" si="53"/>
        <v/>
      </c>
      <c r="T262" t="str">
        <f t="shared" ca="1" si="63"/>
        <v/>
      </c>
    </row>
    <row r="263" spans="1:20">
      <c r="A263" s="198" t="str">
        <f ca="1">'SAC_IOF Ñ USAR'!A263</f>
        <v/>
      </c>
      <c r="B263" s="197" t="str">
        <f t="shared" ca="1" si="60"/>
        <v/>
      </c>
      <c r="C263" s="196">
        <f t="shared" ca="1" si="54"/>
        <v>0</v>
      </c>
      <c r="D263" s="21" t="str">
        <f t="shared" ca="1" si="61"/>
        <v/>
      </c>
      <c r="E263" s="196">
        <f t="shared" ca="1" si="55"/>
        <v>-4.2973624658770859E-11</v>
      </c>
      <c r="F263" s="178" t="str">
        <f t="shared" ca="1" si="56"/>
        <v/>
      </c>
      <c r="G263" s="178" t="str">
        <f t="shared" ca="1" si="57"/>
        <v/>
      </c>
      <c r="H263" s="177" t="str">
        <f t="shared" ca="1" si="58"/>
        <v/>
      </c>
      <c r="I263" s="196"/>
      <c r="J263" s="9" t="str">
        <f t="shared" ca="1" si="48"/>
        <v/>
      </c>
      <c r="K263" s="9" t="str">
        <f t="shared" ca="1" si="49"/>
        <v/>
      </c>
      <c r="L263" s="9" t="str">
        <f t="shared" ca="1" si="50"/>
        <v/>
      </c>
      <c r="N263" s="176" t="str">
        <f t="shared" ca="1" si="59"/>
        <v/>
      </c>
      <c r="O263" s="176" t="str">
        <f t="shared" ca="1" si="62"/>
        <v/>
      </c>
      <c r="P263" s="175" t="str">
        <f t="shared" ca="1" si="51"/>
        <v/>
      </c>
      <c r="Q263" s="11" t="str">
        <f t="shared" ca="1" si="52"/>
        <v/>
      </c>
      <c r="R263" s="12" t="str">
        <f t="shared" ca="1" si="53"/>
        <v/>
      </c>
      <c r="T263" t="str">
        <f t="shared" ca="1" si="63"/>
        <v/>
      </c>
    </row>
    <row r="264" spans="1:20">
      <c r="A264" s="198" t="str">
        <f ca="1">'SAC_IOF Ñ USAR'!A264</f>
        <v/>
      </c>
      <c r="B264" s="197" t="str">
        <f t="shared" ca="1" si="60"/>
        <v/>
      </c>
      <c r="C264" s="196">
        <f t="shared" ca="1" si="54"/>
        <v>0</v>
      </c>
      <c r="D264" s="21" t="str">
        <f t="shared" ca="1" si="61"/>
        <v/>
      </c>
      <c r="E264" s="196">
        <f t="shared" ca="1" si="55"/>
        <v>-4.2973624658770859E-11</v>
      </c>
      <c r="F264" s="178" t="str">
        <f t="shared" ca="1" si="56"/>
        <v/>
      </c>
      <c r="G264" s="178" t="str">
        <f t="shared" ca="1" si="57"/>
        <v/>
      </c>
      <c r="H264" s="177" t="str">
        <f t="shared" ca="1" si="58"/>
        <v/>
      </c>
      <c r="I264" s="196"/>
      <c r="J264" s="9" t="str">
        <f t="shared" ca="1" si="48"/>
        <v/>
      </c>
      <c r="K264" s="9" t="str">
        <f t="shared" ca="1" si="49"/>
        <v/>
      </c>
      <c r="L264" s="9" t="str">
        <f t="shared" ca="1" si="50"/>
        <v/>
      </c>
      <c r="N264" s="176" t="str">
        <f t="shared" ca="1" si="59"/>
        <v/>
      </c>
      <c r="O264" s="176" t="str">
        <f t="shared" ca="1" si="62"/>
        <v/>
      </c>
      <c r="P264" s="175" t="str">
        <f t="shared" ca="1" si="51"/>
        <v/>
      </c>
      <c r="Q264" s="11" t="str">
        <f t="shared" ca="1" si="52"/>
        <v/>
      </c>
      <c r="R264" s="12" t="str">
        <f t="shared" ca="1" si="53"/>
        <v/>
      </c>
      <c r="T264" t="str">
        <f t="shared" ca="1" si="63"/>
        <v/>
      </c>
    </row>
    <row r="265" spans="1:20">
      <c r="A265" s="198" t="str">
        <f ca="1">'SAC_IOF Ñ USAR'!A265</f>
        <v/>
      </c>
      <c r="B265" s="197" t="str">
        <f t="shared" ca="1" si="60"/>
        <v/>
      </c>
      <c r="C265" s="196">
        <f t="shared" ca="1" si="54"/>
        <v>0</v>
      </c>
      <c r="D265" s="21" t="str">
        <f t="shared" ca="1" si="61"/>
        <v/>
      </c>
      <c r="E265" s="196">
        <f t="shared" ca="1" si="55"/>
        <v>-4.2973624658770859E-11</v>
      </c>
      <c r="F265" s="178" t="str">
        <f t="shared" ca="1" si="56"/>
        <v/>
      </c>
      <c r="G265" s="178" t="str">
        <f t="shared" ca="1" si="57"/>
        <v/>
      </c>
      <c r="H265" s="177" t="str">
        <f t="shared" ca="1" si="58"/>
        <v/>
      </c>
      <c r="I265" s="196"/>
      <c r="J265" s="9" t="str">
        <f t="shared" ca="1" si="48"/>
        <v/>
      </c>
      <c r="K265" s="9" t="str">
        <f t="shared" ca="1" si="49"/>
        <v/>
      </c>
      <c r="L265" s="9" t="str">
        <f t="shared" ca="1" si="50"/>
        <v/>
      </c>
      <c r="N265" s="176" t="str">
        <f t="shared" ca="1" si="59"/>
        <v/>
      </c>
      <c r="O265" s="176" t="str">
        <f t="shared" ca="1" si="62"/>
        <v/>
      </c>
      <c r="P265" s="175" t="str">
        <f t="shared" ca="1" si="51"/>
        <v/>
      </c>
      <c r="Q265" s="11" t="str">
        <f t="shared" ca="1" si="52"/>
        <v/>
      </c>
      <c r="R265" s="12" t="str">
        <f t="shared" ca="1" si="53"/>
        <v/>
      </c>
      <c r="T265" t="str">
        <f t="shared" ca="1" si="63"/>
        <v/>
      </c>
    </row>
    <row r="266" spans="1:20">
      <c r="A266" s="198" t="str">
        <f ca="1">'SAC_IOF Ñ USAR'!A266</f>
        <v/>
      </c>
      <c r="B266" s="197" t="str">
        <f t="shared" ca="1" si="60"/>
        <v/>
      </c>
      <c r="C266" s="196">
        <f t="shared" ca="1" si="54"/>
        <v>0</v>
      </c>
      <c r="D266" s="21" t="str">
        <f t="shared" ca="1" si="61"/>
        <v/>
      </c>
      <c r="E266" s="196">
        <f t="shared" ca="1" si="55"/>
        <v>-4.2973624658770859E-11</v>
      </c>
      <c r="F266" s="178" t="str">
        <f t="shared" ca="1" si="56"/>
        <v/>
      </c>
      <c r="G266" s="178" t="str">
        <f t="shared" ca="1" si="57"/>
        <v/>
      </c>
      <c r="H266" s="177" t="str">
        <f t="shared" ca="1" si="58"/>
        <v/>
      </c>
      <c r="I266" s="196"/>
      <c r="J266" s="9" t="str">
        <f t="shared" ca="1" si="48"/>
        <v/>
      </c>
      <c r="K266" s="9" t="str">
        <f t="shared" ca="1" si="49"/>
        <v/>
      </c>
      <c r="L266" s="9" t="str">
        <f t="shared" ca="1" si="50"/>
        <v/>
      </c>
      <c r="N266" s="176" t="str">
        <f t="shared" ca="1" si="59"/>
        <v/>
      </c>
      <c r="O266" s="176" t="str">
        <f t="shared" ca="1" si="62"/>
        <v/>
      </c>
      <c r="P266" s="175" t="str">
        <f t="shared" ca="1" si="51"/>
        <v/>
      </c>
      <c r="Q266" s="11" t="str">
        <f t="shared" ca="1" si="52"/>
        <v/>
      </c>
      <c r="R266" s="12" t="str">
        <f t="shared" ca="1" si="53"/>
        <v/>
      </c>
      <c r="T266" t="str">
        <f t="shared" ca="1" si="63"/>
        <v/>
      </c>
    </row>
    <row r="267" spans="1:20">
      <c r="A267" s="198" t="str">
        <f ca="1">'SAC_IOF Ñ USAR'!A267</f>
        <v/>
      </c>
      <c r="B267" s="197" t="str">
        <f t="shared" ca="1" si="60"/>
        <v/>
      </c>
      <c r="C267" s="196">
        <f t="shared" ca="1" si="54"/>
        <v>0</v>
      </c>
      <c r="D267" s="21" t="str">
        <f t="shared" ca="1" si="61"/>
        <v/>
      </c>
      <c r="E267" s="196">
        <f t="shared" ca="1" si="55"/>
        <v>-4.2973624658770859E-11</v>
      </c>
      <c r="F267" s="178" t="str">
        <f t="shared" ca="1" si="56"/>
        <v/>
      </c>
      <c r="G267" s="178" t="str">
        <f t="shared" ca="1" si="57"/>
        <v/>
      </c>
      <c r="H267" s="177" t="str">
        <f t="shared" ca="1" si="58"/>
        <v/>
      </c>
      <c r="I267" s="196"/>
      <c r="J267" s="9" t="str">
        <f t="shared" ca="1" si="48"/>
        <v/>
      </c>
      <c r="K267" s="9" t="str">
        <f t="shared" ca="1" si="49"/>
        <v/>
      </c>
      <c r="L267" s="9" t="str">
        <f t="shared" ca="1" si="50"/>
        <v/>
      </c>
      <c r="N267" s="176" t="str">
        <f t="shared" ca="1" si="59"/>
        <v/>
      </c>
      <c r="O267" s="176" t="str">
        <f t="shared" ca="1" si="62"/>
        <v/>
      </c>
      <c r="P267" s="175" t="str">
        <f t="shared" ca="1" si="51"/>
        <v/>
      </c>
      <c r="Q267" s="11" t="str">
        <f t="shared" ca="1" si="52"/>
        <v/>
      </c>
      <c r="R267" s="12" t="str">
        <f t="shared" ca="1" si="53"/>
        <v/>
      </c>
      <c r="T267" t="str">
        <f t="shared" ca="1" si="63"/>
        <v/>
      </c>
    </row>
    <row r="268" spans="1:20">
      <c r="A268" s="198" t="str">
        <f ca="1">'SAC_IOF Ñ USAR'!A268</f>
        <v/>
      </c>
      <c r="B268" s="197" t="str">
        <f t="shared" ca="1" si="60"/>
        <v/>
      </c>
      <c r="C268" s="196">
        <f t="shared" ca="1" si="54"/>
        <v>0</v>
      </c>
      <c r="D268" s="21" t="str">
        <f t="shared" ca="1" si="61"/>
        <v/>
      </c>
      <c r="E268" s="196">
        <f t="shared" ca="1" si="55"/>
        <v>-4.2973624658770859E-11</v>
      </c>
      <c r="F268" s="178" t="str">
        <f t="shared" ca="1" si="56"/>
        <v/>
      </c>
      <c r="G268" s="178" t="str">
        <f t="shared" ca="1" si="57"/>
        <v/>
      </c>
      <c r="H268" s="177" t="str">
        <f t="shared" ca="1" si="58"/>
        <v/>
      </c>
      <c r="I268" s="196"/>
      <c r="J268" s="9" t="str">
        <f t="shared" ca="1" si="48"/>
        <v/>
      </c>
      <c r="K268" s="9" t="str">
        <f t="shared" ca="1" si="49"/>
        <v/>
      </c>
      <c r="L268" s="9" t="str">
        <f t="shared" ca="1" si="50"/>
        <v/>
      </c>
      <c r="N268" s="176" t="str">
        <f t="shared" ca="1" si="59"/>
        <v/>
      </c>
      <c r="O268" s="176" t="str">
        <f t="shared" ca="1" si="62"/>
        <v/>
      </c>
      <c r="P268" s="175" t="str">
        <f t="shared" ca="1" si="51"/>
        <v/>
      </c>
      <c r="Q268" s="11" t="str">
        <f t="shared" ca="1" si="52"/>
        <v/>
      </c>
      <c r="R268" s="12" t="str">
        <f t="shared" ca="1" si="53"/>
        <v/>
      </c>
      <c r="T268" t="str">
        <f t="shared" ca="1" si="63"/>
        <v/>
      </c>
    </row>
    <row r="269" spans="1:20">
      <c r="A269" s="198" t="str">
        <f ca="1">'SAC_IOF Ñ USAR'!A269</f>
        <v/>
      </c>
      <c r="B269" s="197" t="str">
        <f t="shared" ca="1" si="60"/>
        <v/>
      </c>
      <c r="C269" s="196">
        <f t="shared" ca="1" si="54"/>
        <v>0</v>
      </c>
      <c r="D269" s="21" t="str">
        <f t="shared" ca="1" si="61"/>
        <v/>
      </c>
      <c r="E269" s="196">
        <f t="shared" ca="1" si="55"/>
        <v>-4.2973624658770859E-11</v>
      </c>
      <c r="F269" s="178" t="str">
        <f t="shared" ca="1" si="56"/>
        <v/>
      </c>
      <c r="G269" s="178" t="str">
        <f t="shared" ca="1" si="57"/>
        <v/>
      </c>
      <c r="H269" s="177" t="str">
        <f t="shared" ca="1" si="58"/>
        <v/>
      </c>
      <c r="I269" s="196"/>
      <c r="J269" s="9" t="str">
        <f t="shared" ca="1" si="48"/>
        <v/>
      </c>
      <c r="K269" s="9" t="str">
        <f t="shared" ca="1" si="49"/>
        <v/>
      </c>
      <c r="L269" s="9" t="str">
        <f t="shared" ca="1" si="50"/>
        <v/>
      </c>
      <c r="N269" s="176" t="str">
        <f t="shared" ca="1" si="59"/>
        <v/>
      </c>
      <c r="O269" s="176" t="str">
        <f t="shared" ca="1" si="62"/>
        <v/>
      </c>
      <c r="P269" s="175" t="str">
        <f t="shared" ca="1" si="51"/>
        <v/>
      </c>
      <c r="Q269" s="11" t="str">
        <f t="shared" ca="1" si="52"/>
        <v/>
      </c>
      <c r="R269" s="12" t="str">
        <f t="shared" ca="1" si="53"/>
        <v/>
      </c>
      <c r="T269" t="str">
        <f t="shared" ca="1" si="63"/>
        <v/>
      </c>
    </row>
    <row r="270" spans="1:20">
      <c r="A270" s="198" t="str">
        <f ca="1">'SAC_IOF Ñ USAR'!A270</f>
        <v/>
      </c>
      <c r="B270" s="197" t="str">
        <f t="shared" ca="1" si="60"/>
        <v/>
      </c>
      <c r="C270" s="196">
        <f t="shared" ca="1" si="54"/>
        <v>0</v>
      </c>
      <c r="D270" s="21" t="str">
        <f t="shared" ca="1" si="61"/>
        <v/>
      </c>
      <c r="E270" s="196">
        <f t="shared" ca="1" si="55"/>
        <v>-4.2973624658770859E-11</v>
      </c>
      <c r="F270" s="178" t="str">
        <f t="shared" ca="1" si="56"/>
        <v/>
      </c>
      <c r="G270" s="178" t="str">
        <f t="shared" ca="1" si="57"/>
        <v/>
      </c>
      <c r="H270" s="177" t="str">
        <f t="shared" ca="1" si="58"/>
        <v/>
      </c>
      <c r="I270" s="196"/>
      <c r="J270" s="9" t="str">
        <f t="shared" ca="1" si="48"/>
        <v/>
      </c>
      <c r="K270" s="9" t="str">
        <f t="shared" ca="1" si="49"/>
        <v/>
      </c>
      <c r="L270" s="9" t="str">
        <f t="shared" ca="1" si="50"/>
        <v/>
      </c>
      <c r="N270" s="176" t="str">
        <f t="shared" ca="1" si="59"/>
        <v/>
      </c>
      <c r="O270" s="176" t="str">
        <f t="shared" ca="1" si="62"/>
        <v/>
      </c>
      <c r="P270" s="175" t="str">
        <f t="shared" ca="1" si="51"/>
        <v/>
      </c>
      <c r="Q270" s="11" t="str">
        <f t="shared" ca="1" si="52"/>
        <v/>
      </c>
      <c r="R270" s="12" t="str">
        <f t="shared" ca="1" si="53"/>
        <v/>
      </c>
      <c r="T270" t="str">
        <f t="shared" ca="1" si="63"/>
        <v/>
      </c>
    </row>
    <row r="271" spans="1:20">
      <c r="A271" s="198" t="str">
        <f ca="1">'SAC_IOF Ñ USAR'!A271</f>
        <v/>
      </c>
      <c r="B271" s="197" t="str">
        <f t="shared" ca="1" si="60"/>
        <v/>
      </c>
      <c r="C271" s="196">
        <f t="shared" ca="1" si="54"/>
        <v>0</v>
      </c>
      <c r="D271" s="21" t="str">
        <f t="shared" ca="1" si="61"/>
        <v/>
      </c>
      <c r="E271" s="196">
        <f t="shared" ca="1" si="55"/>
        <v>-4.2973624658770859E-11</v>
      </c>
      <c r="F271" s="178" t="str">
        <f t="shared" ca="1" si="56"/>
        <v/>
      </c>
      <c r="G271" s="178" t="str">
        <f t="shared" ca="1" si="57"/>
        <v/>
      </c>
      <c r="H271" s="177" t="str">
        <f t="shared" ca="1" si="58"/>
        <v/>
      </c>
      <c r="I271" s="196"/>
      <c r="J271" s="9" t="str">
        <f t="shared" ca="1" si="48"/>
        <v/>
      </c>
      <c r="K271" s="9" t="str">
        <f t="shared" ca="1" si="49"/>
        <v/>
      </c>
      <c r="L271" s="9" t="str">
        <f t="shared" ca="1" si="50"/>
        <v/>
      </c>
      <c r="N271" s="176" t="str">
        <f t="shared" ca="1" si="59"/>
        <v/>
      </c>
      <c r="O271" s="176" t="str">
        <f t="shared" ca="1" si="62"/>
        <v/>
      </c>
      <c r="P271" s="175" t="str">
        <f t="shared" ca="1" si="51"/>
        <v/>
      </c>
      <c r="Q271" s="11" t="str">
        <f t="shared" ca="1" si="52"/>
        <v/>
      </c>
      <c r="R271" s="12" t="str">
        <f t="shared" ca="1" si="53"/>
        <v/>
      </c>
      <c r="T271" t="str">
        <f t="shared" ca="1" si="63"/>
        <v/>
      </c>
    </row>
    <row r="272" spans="1:20">
      <c r="A272" s="198" t="str">
        <f ca="1">'SAC_IOF Ñ USAR'!A272</f>
        <v/>
      </c>
      <c r="B272" s="197" t="str">
        <f t="shared" ca="1" si="60"/>
        <v/>
      </c>
      <c r="C272" s="196">
        <f t="shared" ca="1" si="54"/>
        <v>0</v>
      </c>
      <c r="D272" s="21" t="str">
        <f t="shared" ca="1" si="61"/>
        <v/>
      </c>
      <c r="E272" s="196">
        <f t="shared" ca="1" si="55"/>
        <v>-4.2973624658770859E-11</v>
      </c>
      <c r="F272" s="178" t="str">
        <f t="shared" ca="1" si="56"/>
        <v/>
      </c>
      <c r="G272" s="178" t="str">
        <f t="shared" ca="1" si="57"/>
        <v/>
      </c>
      <c r="H272" s="177" t="str">
        <f t="shared" ca="1" si="58"/>
        <v/>
      </c>
      <c r="I272" s="196"/>
      <c r="J272" s="9" t="str">
        <f t="shared" ca="1" si="48"/>
        <v/>
      </c>
      <c r="K272" s="9" t="str">
        <f t="shared" ca="1" si="49"/>
        <v/>
      </c>
      <c r="L272" s="9" t="str">
        <f t="shared" ca="1" si="50"/>
        <v/>
      </c>
      <c r="N272" s="176" t="str">
        <f t="shared" ca="1" si="59"/>
        <v/>
      </c>
      <c r="O272" s="176" t="str">
        <f t="shared" ca="1" si="62"/>
        <v/>
      </c>
      <c r="P272" s="175" t="str">
        <f t="shared" ca="1" si="51"/>
        <v/>
      </c>
      <c r="Q272" s="11" t="str">
        <f t="shared" ca="1" si="52"/>
        <v/>
      </c>
      <c r="R272" s="12" t="str">
        <f t="shared" ca="1" si="53"/>
        <v/>
      </c>
      <c r="T272" t="str">
        <f t="shared" ca="1" si="63"/>
        <v/>
      </c>
    </row>
    <row r="273" spans="1:20">
      <c r="A273" s="198" t="str">
        <f ca="1">'SAC_IOF Ñ USAR'!A273</f>
        <v/>
      </c>
      <c r="B273" s="197" t="str">
        <f t="shared" ca="1" si="60"/>
        <v/>
      </c>
      <c r="C273" s="196">
        <f t="shared" ca="1" si="54"/>
        <v>0</v>
      </c>
      <c r="D273" s="21" t="str">
        <f t="shared" ca="1" si="61"/>
        <v/>
      </c>
      <c r="E273" s="196">
        <f t="shared" ca="1" si="55"/>
        <v>-4.2973624658770859E-11</v>
      </c>
      <c r="F273" s="178" t="str">
        <f t="shared" ca="1" si="56"/>
        <v/>
      </c>
      <c r="G273" s="178" t="str">
        <f t="shared" ca="1" si="57"/>
        <v/>
      </c>
      <c r="H273" s="177" t="str">
        <f t="shared" ca="1" si="58"/>
        <v/>
      </c>
      <c r="I273" s="196"/>
      <c r="J273" s="9" t="str">
        <f t="shared" ca="1" si="48"/>
        <v/>
      </c>
      <c r="K273" s="9" t="str">
        <f t="shared" ca="1" si="49"/>
        <v/>
      </c>
      <c r="L273" s="9" t="str">
        <f t="shared" ca="1" si="50"/>
        <v/>
      </c>
      <c r="N273" s="176" t="str">
        <f t="shared" ca="1" si="59"/>
        <v/>
      </c>
      <c r="O273" s="176" t="str">
        <f t="shared" ca="1" si="62"/>
        <v/>
      </c>
      <c r="P273" s="175" t="str">
        <f t="shared" ca="1" si="51"/>
        <v/>
      </c>
      <c r="Q273" s="11" t="str">
        <f t="shared" ca="1" si="52"/>
        <v/>
      </c>
      <c r="R273" s="12" t="str">
        <f t="shared" ca="1" si="53"/>
        <v/>
      </c>
      <c r="T273" t="str">
        <f t="shared" ca="1" si="63"/>
        <v/>
      </c>
    </row>
    <row r="274" spans="1:20">
      <c r="A274" s="198" t="str">
        <f ca="1">'SAC_IOF Ñ USAR'!A274</f>
        <v/>
      </c>
      <c r="B274" s="197" t="str">
        <f t="shared" ca="1" si="60"/>
        <v/>
      </c>
      <c r="C274" s="196">
        <f t="shared" ca="1" si="54"/>
        <v>0</v>
      </c>
      <c r="D274" s="21" t="str">
        <f t="shared" ca="1" si="61"/>
        <v/>
      </c>
      <c r="E274" s="196">
        <f t="shared" ca="1" si="55"/>
        <v>-4.2973624658770859E-11</v>
      </c>
      <c r="F274" s="178" t="str">
        <f t="shared" ca="1" si="56"/>
        <v/>
      </c>
      <c r="G274" s="178" t="str">
        <f t="shared" ca="1" si="57"/>
        <v/>
      </c>
      <c r="H274" s="177" t="str">
        <f t="shared" ca="1" si="58"/>
        <v/>
      </c>
      <c r="I274" s="196"/>
      <c r="J274" s="9" t="str">
        <f t="shared" ref="J274:J339" ca="1" si="64">IF(A274="I","Carencia",IF(A274&lt;=$C$12,"Carencia",""))</f>
        <v/>
      </c>
      <c r="K274" s="9" t="str">
        <f t="shared" ref="K274:K337" ca="1" si="65">IF(L274=$C$13,"Pula","")</f>
        <v/>
      </c>
      <c r="L274" s="9" t="str">
        <f t="shared" ref="L274:L339" ca="1" si="66">IFERROR(MONTH(B274),"")</f>
        <v/>
      </c>
      <c r="N274" s="176" t="str">
        <f t="shared" ca="1" si="59"/>
        <v/>
      </c>
      <c r="O274" s="176" t="str">
        <f t="shared" ca="1" si="62"/>
        <v/>
      </c>
      <c r="P274" s="175" t="str">
        <f t="shared" ref="P274:P339" ca="1" si="67">IF(A274&lt;&gt;"",$E$18/($C$8-$C$12-$D$13),"")</f>
        <v/>
      </c>
      <c r="Q274" s="11" t="str">
        <f t="shared" ref="Q274:Q339" ca="1" si="68">IF(OR(A274="",J274="Carencia",K274="Pula"),"",IF(AND($F$5="PF",O274&lt;365),$I$3*O274,IF(AND($F$5="PF",O274&gt;365),$I$3*365,IF(AND($F$5="PJ",O274&lt;365),$I$4*O274,IF(AND($F$5="PJ",O274&gt;365),$I$4*365)))))</f>
        <v/>
      </c>
      <c r="R274" s="12" t="str">
        <f t="shared" ref="R274:R337" ca="1" si="69">IFERROR(Q274*P274,"")</f>
        <v/>
      </c>
      <c r="T274" t="str">
        <f t="shared" ca="1" si="63"/>
        <v/>
      </c>
    </row>
    <row r="275" spans="1:20">
      <c r="A275" s="198" t="str">
        <f ca="1">'SAC_IOF Ñ USAR'!A275</f>
        <v/>
      </c>
      <c r="B275" s="197" t="str">
        <f t="shared" ca="1" si="60"/>
        <v/>
      </c>
      <c r="C275" s="196">
        <f t="shared" ref="C275:C339" ca="1" si="70">IFERROR(IF(OR(J275="Carencia",K275="Pula",A275=""),0,_xlfn.XLOOKUP(IF(AND($C$12=0,$A$19="I"),"I",$C$12),$A:$A,$E:$E)/($C$8-$D$13-$C$12)),"")</f>
        <v>0</v>
      </c>
      <c r="D275" s="21" t="str">
        <f t="shared" ca="1" si="61"/>
        <v/>
      </c>
      <c r="E275" s="196">
        <f t="shared" ref="E275:E338" ca="1" si="71">IFERROR(IF(OR(J275="Carencia",K275="Pula"),E274+D275+SUM(F275:H275),(E274-C275)),"")</f>
        <v>-4.2973624658770859E-11</v>
      </c>
      <c r="F275" s="178" t="str">
        <f t="shared" ref="F275:F339" ca="1" si="72">IFERROR(IF(OR(AND(DAY(B275)=DAY(B274),MONTH(B275)&lt;&gt;MONTH(B274)),MONTH(B275)&lt;&gt;MONTH(B274)),E274*$I$7,""),"")</f>
        <v/>
      </c>
      <c r="G275" s="178" t="str">
        <f t="shared" ref="G275:G339" ca="1" si="73">IFERROR(IF(OR(AND(DAY(B275)=DAY(B274),MONTH(B275)&lt;&gt;MONTH(B274)),MONTH(B275)&lt;&gt;MONTH(B274)),$C$11*$I$8,0),"")</f>
        <v/>
      </c>
      <c r="H275" s="177" t="str">
        <f t="shared" ref="H275:H339" ca="1" si="74">IFERROR(IF(OR(AND(DAY(B275)=DAY(B274),MONTH(B275)&lt;&gt;MONTH(B274)),MONTH(B275)&lt;&gt;MONTH(B274)),$I$10,0),"")</f>
        <v/>
      </c>
      <c r="I275" s="196"/>
      <c r="J275" s="9" t="str">
        <f t="shared" ca="1" si="64"/>
        <v/>
      </c>
      <c r="K275" s="9" t="str">
        <f t="shared" ca="1" si="65"/>
        <v/>
      </c>
      <c r="L275" s="9" t="str">
        <f t="shared" ca="1" si="66"/>
        <v/>
      </c>
      <c r="N275" s="176" t="str">
        <f t="shared" ref="N275:N339" ca="1" si="75">IFERROR(B275-B274,"")</f>
        <v/>
      </c>
      <c r="O275" s="176" t="str">
        <f t="shared" ca="1" si="62"/>
        <v/>
      </c>
      <c r="P275" s="175" t="str">
        <f t="shared" ca="1" si="67"/>
        <v/>
      </c>
      <c r="Q275" s="11" t="str">
        <f t="shared" ca="1" si="68"/>
        <v/>
      </c>
      <c r="R275" s="12" t="str">
        <f t="shared" ca="1" si="69"/>
        <v/>
      </c>
      <c r="T275" t="str">
        <f t="shared" ca="1" si="63"/>
        <v/>
      </c>
    </row>
    <row r="276" spans="1:20">
      <c r="A276" s="198" t="str">
        <f ca="1">'SAC_IOF Ñ USAR'!A276</f>
        <v/>
      </c>
      <c r="B276" s="197" t="str">
        <f t="shared" ref="B276:B339" ca="1" si="76">IF(A276&lt;&gt;"",EDATE($B$19,A276-IF($A$19="I",0,1)),"")</f>
        <v/>
      </c>
      <c r="C276" s="196">
        <f t="shared" ca="1" si="70"/>
        <v>0</v>
      </c>
      <c r="D276" s="21" t="str">
        <f t="shared" ref="D276:D339" ca="1" si="77">IFERROR(IF(DAY(B276)=DAY(B275),IF(K276="Pula",0,($C$9)*E275),IF(AND(K276="Pula",J276=""),0,IF(AND($F$3=30,OR(AND(DAY(B275)=28,MONTH(B275)=2),AND(DAY(B275)=29,MONTH(B275)=2))),$C$9*E275,$C$9*E275))),"")</f>
        <v/>
      </c>
      <c r="E276" s="196">
        <f t="shared" ca="1" si="71"/>
        <v>-4.2973624658770859E-11</v>
      </c>
      <c r="F276" s="178" t="str">
        <f t="shared" ca="1" si="72"/>
        <v/>
      </c>
      <c r="G276" s="178" t="str">
        <f t="shared" ca="1" si="73"/>
        <v/>
      </c>
      <c r="H276" s="177" t="str">
        <f t="shared" ca="1" si="74"/>
        <v/>
      </c>
      <c r="I276" s="196"/>
      <c r="J276" s="9" t="str">
        <f t="shared" ca="1" si="64"/>
        <v/>
      </c>
      <c r="K276" s="9" t="str">
        <f t="shared" ca="1" si="65"/>
        <v/>
      </c>
      <c r="L276" s="9" t="str">
        <f t="shared" ca="1" si="66"/>
        <v/>
      </c>
      <c r="N276" s="176" t="str">
        <f t="shared" ca="1" si="75"/>
        <v/>
      </c>
      <c r="O276" s="176" t="str">
        <f t="shared" ref="O276:O339" ca="1" si="78">IFERROR(N276+O275,"")</f>
        <v/>
      </c>
      <c r="P276" s="175" t="str">
        <f t="shared" ca="1" si="67"/>
        <v/>
      </c>
      <c r="Q276" s="11" t="str">
        <f t="shared" ca="1" si="68"/>
        <v/>
      </c>
      <c r="R276" s="12" t="str">
        <f t="shared" ca="1" si="69"/>
        <v/>
      </c>
      <c r="T276" t="str">
        <f t="shared" ref="T276:T339" ca="1" si="79">IFERROR(IF(OR(J276="Carencia",K276="Pula"),0,C276+D276),"")</f>
        <v/>
      </c>
    </row>
    <row r="277" spans="1:20">
      <c r="A277" s="198" t="str">
        <f ca="1">'SAC_IOF Ñ USAR'!A277</f>
        <v/>
      </c>
      <c r="B277" s="197" t="str">
        <f t="shared" ca="1" si="76"/>
        <v/>
      </c>
      <c r="C277" s="196">
        <f t="shared" ca="1" si="70"/>
        <v>0</v>
      </c>
      <c r="D277" s="21" t="str">
        <f t="shared" ca="1" si="77"/>
        <v/>
      </c>
      <c r="E277" s="196">
        <f t="shared" ca="1" si="71"/>
        <v>-4.2973624658770859E-11</v>
      </c>
      <c r="F277" s="178" t="str">
        <f t="shared" ca="1" si="72"/>
        <v/>
      </c>
      <c r="G277" s="178" t="str">
        <f t="shared" ca="1" si="73"/>
        <v/>
      </c>
      <c r="H277" s="177" t="str">
        <f t="shared" ca="1" si="74"/>
        <v/>
      </c>
      <c r="I277" s="196"/>
      <c r="J277" s="9" t="str">
        <f t="shared" ca="1" si="64"/>
        <v/>
      </c>
      <c r="K277" s="9" t="str">
        <f t="shared" ca="1" si="65"/>
        <v/>
      </c>
      <c r="L277" s="9" t="str">
        <f t="shared" ca="1" si="66"/>
        <v/>
      </c>
      <c r="N277" s="176" t="str">
        <f t="shared" ca="1" si="75"/>
        <v/>
      </c>
      <c r="O277" s="176" t="str">
        <f t="shared" ca="1" si="78"/>
        <v/>
      </c>
      <c r="P277" s="175" t="str">
        <f t="shared" ca="1" si="67"/>
        <v/>
      </c>
      <c r="Q277" s="11" t="str">
        <f t="shared" ca="1" si="68"/>
        <v/>
      </c>
      <c r="R277" s="12" t="str">
        <f t="shared" ca="1" si="69"/>
        <v/>
      </c>
      <c r="T277" t="str">
        <f t="shared" ca="1" si="79"/>
        <v/>
      </c>
    </row>
    <row r="278" spans="1:20">
      <c r="A278" s="198" t="str">
        <f ca="1">'SAC_IOF Ñ USAR'!A278</f>
        <v/>
      </c>
      <c r="B278" s="197" t="str">
        <f t="shared" ca="1" si="76"/>
        <v/>
      </c>
      <c r="C278" s="196">
        <f t="shared" ca="1" si="70"/>
        <v>0</v>
      </c>
      <c r="D278" s="21" t="str">
        <f t="shared" ca="1" si="77"/>
        <v/>
      </c>
      <c r="E278" s="196">
        <f t="shared" ca="1" si="71"/>
        <v>-4.2973624658770859E-11</v>
      </c>
      <c r="F278" s="178" t="str">
        <f t="shared" ca="1" si="72"/>
        <v/>
      </c>
      <c r="G278" s="178" t="str">
        <f t="shared" ca="1" si="73"/>
        <v/>
      </c>
      <c r="H278" s="177" t="str">
        <f t="shared" ca="1" si="74"/>
        <v/>
      </c>
      <c r="I278" s="196"/>
      <c r="J278" s="9" t="str">
        <f t="shared" ca="1" si="64"/>
        <v/>
      </c>
      <c r="K278" s="9" t="str">
        <f t="shared" ca="1" si="65"/>
        <v/>
      </c>
      <c r="L278" s="9" t="str">
        <f t="shared" ca="1" si="66"/>
        <v/>
      </c>
      <c r="N278" s="176" t="str">
        <f t="shared" ca="1" si="75"/>
        <v/>
      </c>
      <c r="O278" s="176" t="str">
        <f t="shared" ca="1" si="78"/>
        <v/>
      </c>
      <c r="P278" s="175" t="str">
        <f t="shared" ca="1" si="67"/>
        <v/>
      </c>
      <c r="Q278" s="11" t="str">
        <f t="shared" ca="1" si="68"/>
        <v/>
      </c>
      <c r="R278" s="12" t="str">
        <f t="shared" ca="1" si="69"/>
        <v/>
      </c>
      <c r="T278" t="str">
        <f t="shared" ca="1" si="79"/>
        <v/>
      </c>
    </row>
    <row r="279" spans="1:20">
      <c r="A279" s="198" t="str">
        <f ca="1">'SAC_IOF Ñ USAR'!A279</f>
        <v/>
      </c>
      <c r="B279" s="197" t="str">
        <f t="shared" ca="1" si="76"/>
        <v/>
      </c>
      <c r="C279" s="196">
        <f t="shared" ca="1" si="70"/>
        <v>0</v>
      </c>
      <c r="D279" s="21" t="str">
        <f t="shared" ca="1" si="77"/>
        <v/>
      </c>
      <c r="E279" s="196">
        <f t="shared" ca="1" si="71"/>
        <v>-4.2973624658770859E-11</v>
      </c>
      <c r="F279" s="178" t="str">
        <f t="shared" ca="1" si="72"/>
        <v/>
      </c>
      <c r="G279" s="178" t="str">
        <f t="shared" ca="1" si="73"/>
        <v/>
      </c>
      <c r="H279" s="177" t="str">
        <f t="shared" ca="1" si="74"/>
        <v/>
      </c>
      <c r="I279" s="196"/>
      <c r="J279" s="9" t="str">
        <f t="shared" ca="1" si="64"/>
        <v/>
      </c>
      <c r="K279" s="9" t="str">
        <f t="shared" ca="1" si="65"/>
        <v/>
      </c>
      <c r="L279" s="9" t="str">
        <f t="shared" ca="1" si="66"/>
        <v/>
      </c>
      <c r="N279" s="176" t="str">
        <f t="shared" ca="1" si="75"/>
        <v/>
      </c>
      <c r="O279" s="176" t="str">
        <f t="shared" ca="1" si="78"/>
        <v/>
      </c>
      <c r="P279" s="175" t="str">
        <f t="shared" ca="1" si="67"/>
        <v/>
      </c>
      <c r="Q279" s="11" t="str">
        <f t="shared" ca="1" si="68"/>
        <v/>
      </c>
      <c r="R279" s="12" t="str">
        <f t="shared" ca="1" si="69"/>
        <v/>
      </c>
      <c r="T279" t="str">
        <f t="shared" ca="1" si="79"/>
        <v/>
      </c>
    </row>
    <row r="280" spans="1:20">
      <c r="A280" s="198" t="str">
        <f ca="1">'SAC_IOF Ñ USAR'!A280</f>
        <v/>
      </c>
      <c r="B280" s="197" t="str">
        <f t="shared" ca="1" si="76"/>
        <v/>
      </c>
      <c r="C280" s="196">
        <f t="shared" ca="1" si="70"/>
        <v>0</v>
      </c>
      <c r="D280" s="21" t="str">
        <f t="shared" ca="1" si="77"/>
        <v/>
      </c>
      <c r="E280" s="196">
        <f t="shared" ca="1" si="71"/>
        <v>-4.2973624658770859E-11</v>
      </c>
      <c r="F280" s="178" t="str">
        <f t="shared" ca="1" si="72"/>
        <v/>
      </c>
      <c r="G280" s="178" t="str">
        <f t="shared" ca="1" si="73"/>
        <v/>
      </c>
      <c r="H280" s="177" t="str">
        <f t="shared" ca="1" si="74"/>
        <v/>
      </c>
      <c r="I280" s="196"/>
      <c r="J280" s="9" t="str">
        <f t="shared" ca="1" si="64"/>
        <v/>
      </c>
      <c r="K280" s="9" t="str">
        <f t="shared" ca="1" si="65"/>
        <v/>
      </c>
      <c r="L280" s="9" t="str">
        <f t="shared" ca="1" si="66"/>
        <v/>
      </c>
      <c r="N280" s="176" t="str">
        <f t="shared" ca="1" si="75"/>
        <v/>
      </c>
      <c r="O280" s="176" t="str">
        <f t="shared" ca="1" si="78"/>
        <v/>
      </c>
      <c r="P280" s="175" t="str">
        <f t="shared" ca="1" si="67"/>
        <v/>
      </c>
      <c r="Q280" s="11" t="str">
        <f t="shared" ca="1" si="68"/>
        <v/>
      </c>
      <c r="R280" s="12" t="str">
        <f t="shared" ca="1" si="69"/>
        <v/>
      </c>
      <c r="T280" t="str">
        <f t="shared" ca="1" si="79"/>
        <v/>
      </c>
    </row>
    <row r="281" spans="1:20">
      <c r="A281" s="198" t="str">
        <f ca="1">'SAC_IOF Ñ USAR'!A281</f>
        <v/>
      </c>
      <c r="B281" s="197" t="str">
        <f t="shared" ca="1" si="76"/>
        <v/>
      </c>
      <c r="C281" s="196">
        <f t="shared" ca="1" si="70"/>
        <v>0</v>
      </c>
      <c r="D281" s="21" t="str">
        <f t="shared" ca="1" si="77"/>
        <v/>
      </c>
      <c r="E281" s="196">
        <f t="shared" ca="1" si="71"/>
        <v>-4.2973624658770859E-11</v>
      </c>
      <c r="F281" s="178" t="str">
        <f t="shared" ca="1" si="72"/>
        <v/>
      </c>
      <c r="G281" s="178" t="str">
        <f t="shared" ca="1" si="73"/>
        <v/>
      </c>
      <c r="H281" s="177" t="str">
        <f t="shared" ca="1" si="74"/>
        <v/>
      </c>
      <c r="I281" s="196"/>
      <c r="J281" s="9" t="str">
        <f t="shared" ca="1" si="64"/>
        <v/>
      </c>
      <c r="K281" s="9" t="str">
        <f t="shared" ca="1" si="65"/>
        <v/>
      </c>
      <c r="L281" s="9" t="str">
        <f t="shared" ca="1" si="66"/>
        <v/>
      </c>
      <c r="N281" s="176" t="str">
        <f t="shared" ca="1" si="75"/>
        <v/>
      </c>
      <c r="O281" s="176" t="str">
        <f t="shared" ca="1" si="78"/>
        <v/>
      </c>
      <c r="P281" s="175" t="str">
        <f t="shared" ca="1" si="67"/>
        <v/>
      </c>
      <c r="Q281" s="11" t="str">
        <f t="shared" ca="1" si="68"/>
        <v/>
      </c>
      <c r="R281" s="12" t="str">
        <f t="shared" ca="1" si="69"/>
        <v/>
      </c>
      <c r="T281" t="str">
        <f t="shared" ca="1" si="79"/>
        <v/>
      </c>
    </row>
    <row r="282" spans="1:20">
      <c r="A282" s="198" t="str">
        <f ca="1">'SAC_IOF Ñ USAR'!A282</f>
        <v/>
      </c>
      <c r="B282" s="197" t="str">
        <f t="shared" ca="1" si="76"/>
        <v/>
      </c>
      <c r="C282" s="196">
        <f t="shared" ca="1" si="70"/>
        <v>0</v>
      </c>
      <c r="D282" s="21" t="str">
        <f t="shared" ca="1" si="77"/>
        <v/>
      </c>
      <c r="E282" s="196">
        <f t="shared" ca="1" si="71"/>
        <v>-4.2973624658770859E-11</v>
      </c>
      <c r="F282" s="178" t="str">
        <f t="shared" ca="1" si="72"/>
        <v/>
      </c>
      <c r="G282" s="178" t="str">
        <f t="shared" ca="1" si="73"/>
        <v/>
      </c>
      <c r="H282" s="177" t="str">
        <f t="shared" ca="1" si="74"/>
        <v/>
      </c>
      <c r="I282" s="196"/>
      <c r="J282" s="9" t="str">
        <f t="shared" ca="1" si="64"/>
        <v/>
      </c>
      <c r="K282" s="9" t="str">
        <f t="shared" ca="1" si="65"/>
        <v/>
      </c>
      <c r="L282" s="9" t="str">
        <f t="shared" ca="1" si="66"/>
        <v/>
      </c>
      <c r="N282" s="176" t="str">
        <f t="shared" ca="1" si="75"/>
        <v/>
      </c>
      <c r="O282" s="176" t="str">
        <f t="shared" ca="1" si="78"/>
        <v/>
      </c>
      <c r="P282" s="175" t="str">
        <f t="shared" ca="1" si="67"/>
        <v/>
      </c>
      <c r="Q282" s="11" t="str">
        <f t="shared" ca="1" si="68"/>
        <v/>
      </c>
      <c r="R282" s="12" t="str">
        <f t="shared" ca="1" si="69"/>
        <v/>
      </c>
      <c r="T282" t="str">
        <f t="shared" ca="1" si="79"/>
        <v/>
      </c>
    </row>
    <row r="283" spans="1:20">
      <c r="A283" s="198" t="str">
        <f ca="1">'SAC_IOF Ñ USAR'!A283</f>
        <v/>
      </c>
      <c r="B283" s="197" t="str">
        <f t="shared" ca="1" si="76"/>
        <v/>
      </c>
      <c r="C283" s="196">
        <f t="shared" ca="1" si="70"/>
        <v>0</v>
      </c>
      <c r="D283" s="21" t="str">
        <f t="shared" ca="1" si="77"/>
        <v/>
      </c>
      <c r="E283" s="196">
        <f t="shared" ca="1" si="71"/>
        <v>-4.2973624658770859E-11</v>
      </c>
      <c r="F283" s="178" t="str">
        <f t="shared" ca="1" si="72"/>
        <v/>
      </c>
      <c r="G283" s="178" t="str">
        <f t="shared" ca="1" si="73"/>
        <v/>
      </c>
      <c r="H283" s="177" t="str">
        <f t="shared" ca="1" si="74"/>
        <v/>
      </c>
      <c r="I283" s="196"/>
      <c r="J283" s="9" t="str">
        <f t="shared" ca="1" si="64"/>
        <v/>
      </c>
      <c r="K283" s="9" t="str">
        <f t="shared" ca="1" si="65"/>
        <v/>
      </c>
      <c r="L283" s="9" t="str">
        <f t="shared" ca="1" si="66"/>
        <v/>
      </c>
      <c r="N283" s="176" t="str">
        <f t="shared" ca="1" si="75"/>
        <v/>
      </c>
      <c r="O283" s="176" t="str">
        <f t="shared" ca="1" si="78"/>
        <v/>
      </c>
      <c r="P283" s="175" t="str">
        <f t="shared" ca="1" si="67"/>
        <v/>
      </c>
      <c r="Q283" s="11" t="str">
        <f t="shared" ca="1" si="68"/>
        <v/>
      </c>
      <c r="R283" s="12" t="str">
        <f t="shared" ca="1" si="69"/>
        <v/>
      </c>
      <c r="T283" t="str">
        <f t="shared" ca="1" si="79"/>
        <v/>
      </c>
    </row>
    <row r="284" spans="1:20">
      <c r="A284" s="198" t="str">
        <f ca="1">'SAC_IOF Ñ USAR'!A284</f>
        <v/>
      </c>
      <c r="B284" s="197" t="str">
        <f t="shared" ca="1" si="76"/>
        <v/>
      </c>
      <c r="C284" s="196">
        <f t="shared" ca="1" si="70"/>
        <v>0</v>
      </c>
      <c r="D284" s="21" t="str">
        <f t="shared" ca="1" si="77"/>
        <v/>
      </c>
      <c r="E284" s="196">
        <f t="shared" ca="1" si="71"/>
        <v>-4.2973624658770859E-11</v>
      </c>
      <c r="F284" s="178" t="str">
        <f t="shared" ca="1" si="72"/>
        <v/>
      </c>
      <c r="G284" s="178" t="str">
        <f t="shared" ca="1" si="73"/>
        <v/>
      </c>
      <c r="H284" s="177" t="str">
        <f t="shared" ca="1" si="74"/>
        <v/>
      </c>
      <c r="I284" s="196"/>
      <c r="J284" s="9" t="str">
        <f t="shared" ca="1" si="64"/>
        <v/>
      </c>
      <c r="K284" s="9" t="str">
        <f t="shared" ca="1" si="65"/>
        <v/>
      </c>
      <c r="L284" s="9" t="str">
        <f t="shared" ca="1" si="66"/>
        <v/>
      </c>
      <c r="N284" s="176" t="str">
        <f t="shared" ca="1" si="75"/>
        <v/>
      </c>
      <c r="O284" s="176" t="str">
        <f t="shared" ca="1" si="78"/>
        <v/>
      </c>
      <c r="P284" s="175" t="str">
        <f t="shared" ca="1" si="67"/>
        <v/>
      </c>
      <c r="Q284" s="11" t="str">
        <f t="shared" ca="1" si="68"/>
        <v/>
      </c>
      <c r="R284" s="12" t="str">
        <f t="shared" ca="1" si="69"/>
        <v/>
      </c>
      <c r="T284" t="str">
        <f t="shared" ca="1" si="79"/>
        <v/>
      </c>
    </row>
    <row r="285" spans="1:20">
      <c r="A285" s="198" t="str">
        <f ca="1">'SAC_IOF Ñ USAR'!A285</f>
        <v/>
      </c>
      <c r="B285" s="197" t="str">
        <f t="shared" ca="1" si="76"/>
        <v/>
      </c>
      <c r="C285" s="196">
        <f t="shared" ca="1" si="70"/>
        <v>0</v>
      </c>
      <c r="D285" s="21" t="str">
        <f t="shared" ca="1" si="77"/>
        <v/>
      </c>
      <c r="E285" s="196">
        <f t="shared" ca="1" si="71"/>
        <v>-4.2973624658770859E-11</v>
      </c>
      <c r="F285" s="178" t="str">
        <f t="shared" ca="1" si="72"/>
        <v/>
      </c>
      <c r="G285" s="178" t="str">
        <f t="shared" ca="1" si="73"/>
        <v/>
      </c>
      <c r="H285" s="177" t="str">
        <f t="shared" ca="1" si="74"/>
        <v/>
      </c>
      <c r="I285" s="196"/>
      <c r="J285" s="9" t="str">
        <f t="shared" ca="1" si="64"/>
        <v/>
      </c>
      <c r="K285" s="9" t="str">
        <f t="shared" ca="1" si="65"/>
        <v/>
      </c>
      <c r="L285" s="9" t="str">
        <f t="shared" ca="1" si="66"/>
        <v/>
      </c>
      <c r="N285" s="176" t="str">
        <f t="shared" ca="1" si="75"/>
        <v/>
      </c>
      <c r="O285" s="176" t="str">
        <f t="shared" ca="1" si="78"/>
        <v/>
      </c>
      <c r="P285" s="175" t="str">
        <f t="shared" ca="1" si="67"/>
        <v/>
      </c>
      <c r="Q285" s="11" t="str">
        <f t="shared" ca="1" si="68"/>
        <v/>
      </c>
      <c r="R285" s="12" t="str">
        <f t="shared" ca="1" si="69"/>
        <v/>
      </c>
      <c r="T285" t="str">
        <f t="shared" ca="1" si="79"/>
        <v/>
      </c>
    </row>
    <row r="286" spans="1:20">
      <c r="A286" s="198" t="str">
        <f ca="1">'SAC_IOF Ñ USAR'!A286</f>
        <v/>
      </c>
      <c r="B286" s="197" t="str">
        <f t="shared" ca="1" si="76"/>
        <v/>
      </c>
      <c r="C286" s="196">
        <f t="shared" ca="1" si="70"/>
        <v>0</v>
      </c>
      <c r="D286" s="21" t="str">
        <f t="shared" ca="1" si="77"/>
        <v/>
      </c>
      <c r="E286" s="196">
        <f t="shared" ca="1" si="71"/>
        <v>-4.2973624658770859E-11</v>
      </c>
      <c r="F286" s="178" t="str">
        <f t="shared" ca="1" si="72"/>
        <v/>
      </c>
      <c r="G286" s="178" t="str">
        <f t="shared" ca="1" si="73"/>
        <v/>
      </c>
      <c r="H286" s="177" t="str">
        <f t="shared" ca="1" si="74"/>
        <v/>
      </c>
      <c r="I286" s="196"/>
      <c r="J286" s="9" t="str">
        <f t="shared" ca="1" si="64"/>
        <v/>
      </c>
      <c r="K286" s="9" t="str">
        <f t="shared" ca="1" si="65"/>
        <v/>
      </c>
      <c r="L286" s="9" t="str">
        <f t="shared" ca="1" si="66"/>
        <v/>
      </c>
      <c r="N286" s="176" t="str">
        <f t="shared" ca="1" si="75"/>
        <v/>
      </c>
      <c r="O286" s="176" t="str">
        <f t="shared" ca="1" si="78"/>
        <v/>
      </c>
      <c r="P286" s="175" t="str">
        <f t="shared" ca="1" si="67"/>
        <v/>
      </c>
      <c r="Q286" s="11" t="str">
        <f t="shared" ca="1" si="68"/>
        <v/>
      </c>
      <c r="R286" s="12" t="str">
        <f t="shared" ca="1" si="69"/>
        <v/>
      </c>
      <c r="T286" t="str">
        <f t="shared" ca="1" si="79"/>
        <v/>
      </c>
    </row>
    <row r="287" spans="1:20">
      <c r="A287" s="198" t="str">
        <f ca="1">'SAC_IOF Ñ USAR'!A287</f>
        <v/>
      </c>
      <c r="B287" s="197" t="str">
        <f t="shared" ca="1" si="76"/>
        <v/>
      </c>
      <c r="C287" s="196">
        <f t="shared" ca="1" si="70"/>
        <v>0</v>
      </c>
      <c r="D287" s="21" t="str">
        <f t="shared" ca="1" si="77"/>
        <v/>
      </c>
      <c r="E287" s="196">
        <f t="shared" ca="1" si="71"/>
        <v>-4.2973624658770859E-11</v>
      </c>
      <c r="F287" s="178" t="str">
        <f t="shared" ca="1" si="72"/>
        <v/>
      </c>
      <c r="G287" s="178" t="str">
        <f t="shared" ca="1" si="73"/>
        <v/>
      </c>
      <c r="H287" s="177" t="str">
        <f t="shared" ca="1" si="74"/>
        <v/>
      </c>
      <c r="I287" s="196"/>
      <c r="J287" s="9" t="str">
        <f t="shared" ca="1" si="64"/>
        <v/>
      </c>
      <c r="K287" s="9" t="str">
        <f t="shared" ca="1" si="65"/>
        <v/>
      </c>
      <c r="L287" s="9" t="str">
        <f t="shared" ca="1" si="66"/>
        <v/>
      </c>
      <c r="N287" s="176" t="str">
        <f t="shared" ca="1" si="75"/>
        <v/>
      </c>
      <c r="O287" s="176" t="str">
        <f t="shared" ca="1" si="78"/>
        <v/>
      </c>
      <c r="P287" s="175" t="str">
        <f t="shared" ca="1" si="67"/>
        <v/>
      </c>
      <c r="Q287" s="11" t="str">
        <f t="shared" ca="1" si="68"/>
        <v/>
      </c>
      <c r="R287" s="12" t="str">
        <f t="shared" ca="1" si="69"/>
        <v/>
      </c>
      <c r="T287" t="str">
        <f t="shared" ca="1" si="79"/>
        <v/>
      </c>
    </row>
    <row r="288" spans="1:20">
      <c r="A288" s="198" t="str">
        <f ca="1">'SAC_IOF Ñ USAR'!A288</f>
        <v/>
      </c>
      <c r="B288" s="197" t="str">
        <f t="shared" ca="1" si="76"/>
        <v/>
      </c>
      <c r="C288" s="196">
        <f t="shared" ca="1" si="70"/>
        <v>0</v>
      </c>
      <c r="D288" s="21" t="str">
        <f t="shared" ca="1" si="77"/>
        <v/>
      </c>
      <c r="E288" s="196">
        <f t="shared" ca="1" si="71"/>
        <v>-4.2973624658770859E-11</v>
      </c>
      <c r="F288" s="178" t="str">
        <f t="shared" ca="1" si="72"/>
        <v/>
      </c>
      <c r="G288" s="178" t="str">
        <f t="shared" ca="1" si="73"/>
        <v/>
      </c>
      <c r="H288" s="177" t="str">
        <f t="shared" ca="1" si="74"/>
        <v/>
      </c>
      <c r="I288" s="196"/>
      <c r="J288" s="9" t="str">
        <f t="shared" ca="1" si="64"/>
        <v/>
      </c>
      <c r="K288" s="9" t="str">
        <f t="shared" ca="1" si="65"/>
        <v/>
      </c>
      <c r="L288" s="9" t="str">
        <f t="shared" ca="1" si="66"/>
        <v/>
      </c>
      <c r="N288" s="176" t="str">
        <f t="shared" ca="1" si="75"/>
        <v/>
      </c>
      <c r="O288" s="176" t="str">
        <f t="shared" ca="1" si="78"/>
        <v/>
      </c>
      <c r="P288" s="175" t="str">
        <f t="shared" ca="1" si="67"/>
        <v/>
      </c>
      <c r="Q288" s="11" t="str">
        <f t="shared" ca="1" si="68"/>
        <v/>
      </c>
      <c r="R288" s="12" t="str">
        <f t="shared" ca="1" si="69"/>
        <v/>
      </c>
      <c r="T288" t="str">
        <f t="shared" ca="1" si="79"/>
        <v/>
      </c>
    </row>
    <row r="289" spans="1:20">
      <c r="A289" s="198" t="str">
        <f ca="1">'SAC_IOF Ñ USAR'!A289</f>
        <v/>
      </c>
      <c r="B289" s="197" t="str">
        <f t="shared" ca="1" si="76"/>
        <v/>
      </c>
      <c r="C289" s="196">
        <f t="shared" ca="1" si="70"/>
        <v>0</v>
      </c>
      <c r="D289" s="21" t="str">
        <f t="shared" ca="1" si="77"/>
        <v/>
      </c>
      <c r="E289" s="196">
        <f t="shared" ca="1" si="71"/>
        <v>-4.2973624658770859E-11</v>
      </c>
      <c r="F289" s="178" t="str">
        <f t="shared" ca="1" si="72"/>
        <v/>
      </c>
      <c r="G289" s="178" t="str">
        <f t="shared" ca="1" si="73"/>
        <v/>
      </c>
      <c r="H289" s="177" t="str">
        <f t="shared" ca="1" si="74"/>
        <v/>
      </c>
      <c r="I289" s="196"/>
      <c r="J289" s="9" t="str">
        <f t="shared" ca="1" si="64"/>
        <v/>
      </c>
      <c r="K289" s="9" t="str">
        <f t="shared" ca="1" si="65"/>
        <v/>
      </c>
      <c r="L289" s="9" t="str">
        <f t="shared" ca="1" si="66"/>
        <v/>
      </c>
      <c r="N289" s="176" t="str">
        <f t="shared" ca="1" si="75"/>
        <v/>
      </c>
      <c r="O289" s="176" t="str">
        <f t="shared" ca="1" si="78"/>
        <v/>
      </c>
      <c r="P289" s="175" t="str">
        <f t="shared" ca="1" si="67"/>
        <v/>
      </c>
      <c r="Q289" s="11" t="str">
        <f t="shared" ca="1" si="68"/>
        <v/>
      </c>
      <c r="R289" s="12" t="str">
        <f t="shared" ca="1" si="69"/>
        <v/>
      </c>
      <c r="T289" t="str">
        <f t="shared" ca="1" si="79"/>
        <v/>
      </c>
    </row>
    <row r="290" spans="1:20">
      <c r="A290" s="198" t="str">
        <f ca="1">'SAC_IOF Ñ USAR'!A290</f>
        <v/>
      </c>
      <c r="B290" s="197" t="str">
        <f t="shared" ca="1" si="76"/>
        <v/>
      </c>
      <c r="C290" s="196">
        <f t="shared" ca="1" si="70"/>
        <v>0</v>
      </c>
      <c r="D290" s="21" t="str">
        <f t="shared" ca="1" si="77"/>
        <v/>
      </c>
      <c r="E290" s="196">
        <f t="shared" ca="1" si="71"/>
        <v>-4.2973624658770859E-11</v>
      </c>
      <c r="F290" s="178" t="str">
        <f t="shared" ca="1" si="72"/>
        <v/>
      </c>
      <c r="G290" s="178" t="str">
        <f t="shared" ca="1" si="73"/>
        <v/>
      </c>
      <c r="H290" s="177" t="str">
        <f t="shared" ca="1" si="74"/>
        <v/>
      </c>
      <c r="I290" s="196"/>
      <c r="J290" s="9" t="str">
        <f t="shared" ca="1" si="64"/>
        <v/>
      </c>
      <c r="K290" s="9" t="str">
        <f t="shared" ca="1" si="65"/>
        <v/>
      </c>
      <c r="L290" s="9" t="str">
        <f t="shared" ca="1" si="66"/>
        <v/>
      </c>
      <c r="N290" s="176" t="str">
        <f t="shared" ca="1" si="75"/>
        <v/>
      </c>
      <c r="O290" s="176" t="str">
        <f t="shared" ca="1" si="78"/>
        <v/>
      </c>
      <c r="P290" s="175" t="str">
        <f t="shared" ca="1" si="67"/>
        <v/>
      </c>
      <c r="Q290" s="11" t="str">
        <f t="shared" ca="1" si="68"/>
        <v/>
      </c>
      <c r="R290" s="12" t="str">
        <f t="shared" ca="1" si="69"/>
        <v/>
      </c>
      <c r="T290" t="str">
        <f t="shared" ca="1" si="79"/>
        <v/>
      </c>
    </row>
    <row r="291" spans="1:20">
      <c r="A291" s="198" t="str">
        <f ca="1">'SAC_IOF Ñ USAR'!A291</f>
        <v/>
      </c>
      <c r="B291" s="197" t="str">
        <f t="shared" ca="1" si="76"/>
        <v/>
      </c>
      <c r="C291" s="196">
        <f t="shared" ca="1" si="70"/>
        <v>0</v>
      </c>
      <c r="D291" s="21" t="str">
        <f t="shared" ca="1" si="77"/>
        <v/>
      </c>
      <c r="E291" s="196">
        <f t="shared" ca="1" si="71"/>
        <v>-4.2973624658770859E-11</v>
      </c>
      <c r="F291" s="178" t="str">
        <f t="shared" ca="1" si="72"/>
        <v/>
      </c>
      <c r="G291" s="178" t="str">
        <f t="shared" ca="1" si="73"/>
        <v/>
      </c>
      <c r="H291" s="177" t="str">
        <f t="shared" ca="1" si="74"/>
        <v/>
      </c>
      <c r="I291" s="196"/>
      <c r="J291" s="9" t="str">
        <f t="shared" ca="1" si="64"/>
        <v/>
      </c>
      <c r="K291" s="9" t="str">
        <f t="shared" ca="1" si="65"/>
        <v/>
      </c>
      <c r="L291" s="9" t="str">
        <f t="shared" ca="1" si="66"/>
        <v/>
      </c>
      <c r="N291" s="176" t="str">
        <f t="shared" ca="1" si="75"/>
        <v/>
      </c>
      <c r="O291" s="176" t="str">
        <f t="shared" ca="1" si="78"/>
        <v/>
      </c>
      <c r="P291" s="175" t="str">
        <f t="shared" ca="1" si="67"/>
        <v/>
      </c>
      <c r="Q291" s="11" t="str">
        <f t="shared" ca="1" si="68"/>
        <v/>
      </c>
      <c r="R291" s="12" t="str">
        <f t="shared" ca="1" si="69"/>
        <v/>
      </c>
      <c r="T291" t="str">
        <f t="shared" ca="1" si="79"/>
        <v/>
      </c>
    </row>
    <row r="292" spans="1:20">
      <c r="A292" s="198" t="str">
        <f ca="1">'SAC_IOF Ñ USAR'!A292</f>
        <v/>
      </c>
      <c r="B292" s="197" t="str">
        <f t="shared" ca="1" si="76"/>
        <v/>
      </c>
      <c r="C292" s="196">
        <f t="shared" ca="1" si="70"/>
        <v>0</v>
      </c>
      <c r="D292" s="21" t="str">
        <f t="shared" ca="1" si="77"/>
        <v/>
      </c>
      <c r="E292" s="196">
        <f t="shared" ca="1" si="71"/>
        <v>-4.2973624658770859E-11</v>
      </c>
      <c r="F292" s="178" t="str">
        <f t="shared" ca="1" si="72"/>
        <v/>
      </c>
      <c r="G292" s="178" t="str">
        <f t="shared" ca="1" si="73"/>
        <v/>
      </c>
      <c r="H292" s="177" t="str">
        <f t="shared" ca="1" si="74"/>
        <v/>
      </c>
      <c r="I292" s="196"/>
      <c r="J292" s="9" t="str">
        <f t="shared" ca="1" si="64"/>
        <v/>
      </c>
      <c r="K292" s="9" t="str">
        <f t="shared" ca="1" si="65"/>
        <v/>
      </c>
      <c r="L292" s="9" t="str">
        <f t="shared" ca="1" si="66"/>
        <v/>
      </c>
      <c r="N292" s="176" t="str">
        <f t="shared" ca="1" si="75"/>
        <v/>
      </c>
      <c r="O292" s="176" t="str">
        <f t="shared" ca="1" si="78"/>
        <v/>
      </c>
      <c r="P292" s="175" t="str">
        <f t="shared" ca="1" si="67"/>
        <v/>
      </c>
      <c r="Q292" s="11" t="str">
        <f t="shared" ca="1" si="68"/>
        <v/>
      </c>
      <c r="R292" s="12" t="str">
        <f t="shared" ca="1" si="69"/>
        <v/>
      </c>
      <c r="T292" t="str">
        <f t="shared" ca="1" si="79"/>
        <v/>
      </c>
    </row>
    <row r="293" spans="1:20">
      <c r="A293" s="198" t="str">
        <f ca="1">'SAC_IOF Ñ USAR'!A293</f>
        <v/>
      </c>
      <c r="B293" s="197" t="str">
        <f t="shared" ca="1" si="76"/>
        <v/>
      </c>
      <c r="C293" s="196">
        <f t="shared" ca="1" si="70"/>
        <v>0</v>
      </c>
      <c r="D293" s="21" t="str">
        <f t="shared" ca="1" si="77"/>
        <v/>
      </c>
      <c r="E293" s="196">
        <f t="shared" ca="1" si="71"/>
        <v>-4.2973624658770859E-11</v>
      </c>
      <c r="F293" s="178" t="str">
        <f t="shared" ca="1" si="72"/>
        <v/>
      </c>
      <c r="G293" s="178" t="str">
        <f t="shared" ca="1" si="73"/>
        <v/>
      </c>
      <c r="H293" s="177" t="str">
        <f t="shared" ca="1" si="74"/>
        <v/>
      </c>
      <c r="I293" s="196"/>
      <c r="J293" s="9" t="str">
        <f t="shared" ca="1" si="64"/>
        <v/>
      </c>
      <c r="K293" s="9" t="str">
        <f t="shared" ca="1" si="65"/>
        <v/>
      </c>
      <c r="L293" s="9" t="str">
        <f t="shared" ca="1" si="66"/>
        <v/>
      </c>
      <c r="N293" s="176" t="str">
        <f t="shared" ca="1" si="75"/>
        <v/>
      </c>
      <c r="O293" s="176" t="str">
        <f t="shared" ca="1" si="78"/>
        <v/>
      </c>
      <c r="P293" s="175" t="str">
        <f t="shared" ca="1" si="67"/>
        <v/>
      </c>
      <c r="Q293" s="11" t="str">
        <f t="shared" ca="1" si="68"/>
        <v/>
      </c>
      <c r="R293" s="12" t="str">
        <f t="shared" ca="1" si="69"/>
        <v/>
      </c>
      <c r="T293" t="str">
        <f t="shared" ca="1" si="79"/>
        <v/>
      </c>
    </row>
    <row r="294" spans="1:20">
      <c r="A294" s="198" t="str">
        <f ca="1">'SAC_IOF Ñ USAR'!A294</f>
        <v/>
      </c>
      <c r="B294" s="197" t="str">
        <f t="shared" ca="1" si="76"/>
        <v/>
      </c>
      <c r="C294" s="196">
        <f t="shared" ca="1" si="70"/>
        <v>0</v>
      </c>
      <c r="D294" s="21" t="str">
        <f t="shared" ca="1" si="77"/>
        <v/>
      </c>
      <c r="E294" s="196">
        <f t="shared" ca="1" si="71"/>
        <v>-4.2973624658770859E-11</v>
      </c>
      <c r="F294" s="178" t="str">
        <f t="shared" ca="1" si="72"/>
        <v/>
      </c>
      <c r="G294" s="178" t="str">
        <f t="shared" ca="1" si="73"/>
        <v/>
      </c>
      <c r="H294" s="177" t="str">
        <f t="shared" ca="1" si="74"/>
        <v/>
      </c>
      <c r="I294" s="196"/>
      <c r="J294" s="9" t="str">
        <f t="shared" ca="1" si="64"/>
        <v/>
      </c>
      <c r="K294" s="9" t="str">
        <f t="shared" ca="1" si="65"/>
        <v/>
      </c>
      <c r="L294" s="9" t="str">
        <f t="shared" ca="1" si="66"/>
        <v/>
      </c>
      <c r="N294" s="176" t="str">
        <f t="shared" ca="1" si="75"/>
        <v/>
      </c>
      <c r="O294" s="176" t="str">
        <f t="shared" ca="1" si="78"/>
        <v/>
      </c>
      <c r="P294" s="175" t="str">
        <f t="shared" ca="1" si="67"/>
        <v/>
      </c>
      <c r="Q294" s="11" t="str">
        <f t="shared" ca="1" si="68"/>
        <v/>
      </c>
      <c r="R294" s="12" t="str">
        <f t="shared" ca="1" si="69"/>
        <v/>
      </c>
      <c r="T294" t="str">
        <f t="shared" ca="1" si="79"/>
        <v/>
      </c>
    </row>
    <row r="295" spans="1:20">
      <c r="A295" s="198" t="str">
        <f ca="1">'SAC_IOF Ñ USAR'!A295</f>
        <v/>
      </c>
      <c r="B295" s="197" t="str">
        <f t="shared" ca="1" si="76"/>
        <v/>
      </c>
      <c r="C295" s="196">
        <f t="shared" ca="1" si="70"/>
        <v>0</v>
      </c>
      <c r="D295" s="21" t="str">
        <f t="shared" ca="1" si="77"/>
        <v/>
      </c>
      <c r="E295" s="196">
        <f t="shared" ca="1" si="71"/>
        <v>-4.2973624658770859E-11</v>
      </c>
      <c r="F295" s="178" t="str">
        <f t="shared" ca="1" si="72"/>
        <v/>
      </c>
      <c r="G295" s="178" t="str">
        <f t="shared" ca="1" si="73"/>
        <v/>
      </c>
      <c r="H295" s="177" t="str">
        <f t="shared" ca="1" si="74"/>
        <v/>
      </c>
      <c r="I295" s="196"/>
      <c r="J295" s="9" t="str">
        <f t="shared" ca="1" si="64"/>
        <v/>
      </c>
      <c r="K295" s="9" t="str">
        <f t="shared" ca="1" si="65"/>
        <v/>
      </c>
      <c r="L295" s="9" t="str">
        <f t="shared" ca="1" si="66"/>
        <v/>
      </c>
      <c r="N295" s="176" t="str">
        <f t="shared" ca="1" si="75"/>
        <v/>
      </c>
      <c r="O295" s="176" t="str">
        <f t="shared" ca="1" si="78"/>
        <v/>
      </c>
      <c r="P295" s="175" t="str">
        <f t="shared" ca="1" si="67"/>
        <v/>
      </c>
      <c r="Q295" s="11" t="str">
        <f t="shared" ca="1" si="68"/>
        <v/>
      </c>
      <c r="R295" s="12" t="str">
        <f t="shared" ca="1" si="69"/>
        <v/>
      </c>
      <c r="T295" t="str">
        <f t="shared" ca="1" si="79"/>
        <v/>
      </c>
    </row>
    <row r="296" spans="1:20">
      <c r="A296" s="198" t="str">
        <f ca="1">'SAC_IOF Ñ USAR'!A296</f>
        <v/>
      </c>
      <c r="B296" s="197" t="str">
        <f t="shared" ca="1" si="76"/>
        <v/>
      </c>
      <c r="C296" s="196">
        <f t="shared" ca="1" si="70"/>
        <v>0</v>
      </c>
      <c r="D296" s="21" t="str">
        <f t="shared" ca="1" si="77"/>
        <v/>
      </c>
      <c r="E296" s="196">
        <f t="shared" ca="1" si="71"/>
        <v>-4.2973624658770859E-11</v>
      </c>
      <c r="F296" s="178" t="str">
        <f t="shared" ca="1" si="72"/>
        <v/>
      </c>
      <c r="G296" s="178" t="str">
        <f t="shared" ca="1" si="73"/>
        <v/>
      </c>
      <c r="H296" s="177" t="str">
        <f t="shared" ca="1" si="74"/>
        <v/>
      </c>
      <c r="I296" s="196"/>
      <c r="J296" s="9" t="str">
        <f t="shared" ca="1" si="64"/>
        <v/>
      </c>
      <c r="K296" s="9" t="str">
        <f t="shared" ca="1" si="65"/>
        <v/>
      </c>
      <c r="L296" s="9" t="str">
        <f t="shared" ca="1" si="66"/>
        <v/>
      </c>
      <c r="N296" s="176" t="str">
        <f t="shared" ca="1" si="75"/>
        <v/>
      </c>
      <c r="O296" s="176" t="str">
        <f t="shared" ca="1" si="78"/>
        <v/>
      </c>
      <c r="P296" s="175" t="str">
        <f t="shared" ca="1" si="67"/>
        <v/>
      </c>
      <c r="Q296" s="11" t="str">
        <f t="shared" ca="1" si="68"/>
        <v/>
      </c>
      <c r="R296" s="12" t="str">
        <f t="shared" ca="1" si="69"/>
        <v/>
      </c>
      <c r="T296" t="str">
        <f t="shared" ca="1" si="79"/>
        <v/>
      </c>
    </row>
    <row r="297" spans="1:20">
      <c r="A297" s="198" t="str">
        <f ca="1">'SAC_IOF Ñ USAR'!A297</f>
        <v/>
      </c>
      <c r="B297" s="197" t="str">
        <f t="shared" ca="1" si="76"/>
        <v/>
      </c>
      <c r="C297" s="196">
        <f t="shared" ca="1" si="70"/>
        <v>0</v>
      </c>
      <c r="D297" s="21" t="str">
        <f t="shared" ca="1" si="77"/>
        <v/>
      </c>
      <c r="E297" s="196">
        <f t="shared" ca="1" si="71"/>
        <v>-4.2973624658770859E-11</v>
      </c>
      <c r="F297" s="178" t="str">
        <f t="shared" ca="1" si="72"/>
        <v/>
      </c>
      <c r="G297" s="178" t="str">
        <f t="shared" ca="1" si="73"/>
        <v/>
      </c>
      <c r="H297" s="177" t="str">
        <f t="shared" ca="1" si="74"/>
        <v/>
      </c>
      <c r="I297" s="196"/>
      <c r="J297" s="9" t="str">
        <f t="shared" ca="1" si="64"/>
        <v/>
      </c>
      <c r="K297" s="9" t="str">
        <f t="shared" ca="1" si="65"/>
        <v/>
      </c>
      <c r="L297" s="9" t="str">
        <f t="shared" ca="1" si="66"/>
        <v/>
      </c>
      <c r="N297" s="176" t="str">
        <f t="shared" ca="1" si="75"/>
        <v/>
      </c>
      <c r="O297" s="176" t="str">
        <f t="shared" ca="1" si="78"/>
        <v/>
      </c>
      <c r="P297" s="175" t="str">
        <f t="shared" ca="1" si="67"/>
        <v/>
      </c>
      <c r="Q297" s="11" t="str">
        <f t="shared" ca="1" si="68"/>
        <v/>
      </c>
      <c r="R297" s="12" t="str">
        <f t="shared" ca="1" si="69"/>
        <v/>
      </c>
      <c r="T297" t="str">
        <f t="shared" ca="1" si="79"/>
        <v/>
      </c>
    </row>
    <row r="298" spans="1:20">
      <c r="A298" s="198" t="str">
        <f ca="1">'SAC_IOF Ñ USAR'!A298</f>
        <v/>
      </c>
      <c r="B298" s="197" t="str">
        <f t="shared" ca="1" si="76"/>
        <v/>
      </c>
      <c r="C298" s="196">
        <f t="shared" ca="1" si="70"/>
        <v>0</v>
      </c>
      <c r="D298" s="21" t="str">
        <f t="shared" ca="1" si="77"/>
        <v/>
      </c>
      <c r="E298" s="196">
        <f t="shared" ca="1" si="71"/>
        <v>-4.2973624658770859E-11</v>
      </c>
      <c r="F298" s="178" t="str">
        <f t="shared" ca="1" si="72"/>
        <v/>
      </c>
      <c r="G298" s="178" t="str">
        <f t="shared" ca="1" si="73"/>
        <v/>
      </c>
      <c r="H298" s="177" t="str">
        <f t="shared" ca="1" si="74"/>
        <v/>
      </c>
      <c r="I298" s="196"/>
      <c r="J298" s="9" t="str">
        <f t="shared" ca="1" si="64"/>
        <v/>
      </c>
      <c r="K298" s="9" t="str">
        <f t="shared" ca="1" si="65"/>
        <v/>
      </c>
      <c r="L298" s="9" t="str">
        <f t="shared" ca="1" si="66"/>
        <v/>
      </c>
      <c r="N298" s="176" t="str">
        <f t="shared" ca="1" si="75"/>
        <v/>
      </c>
      <c r="O298" s="176" t="str">
        <f t="shared" ca="1" si="78"/>
        <v/>
      </c>
      <c r="P298" s="175" t="str">
        <f t="shared" ca="1" si="67"/>
        <v/>
      </c>
      <c r="Q298" s="11" t="str">
        <f t="shared" ca="1" si="68"/>
        <v/>
      </c>
      <c r="R298" s="12" t="str">
        <f t="shared" ca="1" si="69"/>
        <v/>
      </c>
      <c r="T298" t="str">
        <f t="shared" ca="1" si="79"/>
        <v/>
      </c>
    </row>
    <row r="299" spans="1:20">
      <c r="A299" s="198" t="str">
        <f ca="1">'SAC_IOF Ñ USAR'!A299</f>
        <v/>
      </c>
      <c r="B299" s="197" t="str">
        <f t="shared" ca="1" si="76"/>
        <v/>
      </c>
      <c r="C299" s="196">
        <f t="shared" ca="1" si="70"/>
        <v>0</v>
      </c>
      <c r="D299" s="21" t="str">
        <f t="shared" ca="1" si="77"/>
        <v/>
      </c>
      <c r="E299" s="196">
        <f t="shared" ca="1" si="71"/>
        <v>-4.2973624658770859E-11</v>
      </c>
      <c r="F299" s="178" t="str">
        <f t="shared" ca="1" si="72"/>
        <v/>
      </c>
      <c r="G299" s="178" t="str">
        <f t="shared" ca="1" si="73"/>
        <v/>
      </c>
      <c r="H299" s="177" t="str">
        <f t="shared" ca="1" si="74"/>
        <v/>
      </c>
      <c r="I299" s="196"/>
      <c r="J299" s="9" t="str">
        <f t="shared" ca="1" si="64"/>
        <v/>
      </c>
      <c r="K299" s="9" t="str">
        <f t="shared" ca="1" si="65"/>
        <v/>
      </c>
      <c r="L299" s="9" t="str">
        <f t="shared" ca="1" si="66"/>
        <v/>
      </c>
      <c r="N299" s="176" t="str">
        <f t="shared" ca="1" si="75"/>
        <v/>
      </c>
      <c r="O299" s="176" t="str">
        <f t="shared" ca="1" si="78"/>
        <v/>
      </c>
      <c r="P299" s="175" t="str">
        <f t="shared" ca="1" si="67"/>
        <v/>
      </c>
      <c r="Q299" s="11" t="str">
        <f t="shared" ca="1" si="68"/>
        <v/>
      </c>
      <c r="R299" s="12" t="str">
        <f t="shared" ca="1" si="69"/>
        <v/>
      </c>
      <c r="T299" t="str">
        <f t="shared" ca="1" si="79"/>
        <v/>
      </c>
    </row>
    <row r="300" spans="1:20">
      <c r="A300" s="198" t="str">
        <f ca="1">'SAC_IOF Ñ USAR'!A300</f>
        <v/>
      </c>
      <c r="B300" s="197" t="str">
        <f t="shared" ca="1" si="76"/>
        <v/>
      </c>
      <c r="C300" s="196">
        <f t="shared" ca="1" si="70"/>
        <v>0</v>
      </c>
      <c r="D300" s="21" t="str">
        <f t="shared" ca="1" si="77"/>
        <v/>
      </c>
      <c r="E300" s="196">
        <f t="shared" ca="1" si="71"/>
        <v>-4.2973624658770859E-11</v>
      </c>
      <c r="F300" s="178" t="str">
        <f t="shared" ca="1" si="72"/>
        <v/>
      </c>
      <c r="G300" s="178" t="str">
        <f t="shared" ca="1" si="73"/>
        <v/>
      </c>
      <c r="H300" s="177" t="str">
        <f t="shared" ca="1" si="74"/>
        <v/>
      </c>
      <c r="I300" s="196"/>
      <c r="J300" s="9" t="str">
        <f t="shared" ca="1" si="64"/>
        <v/>
      </c>
      <c r="K300" s="9" t="str">
        <f t="shared" ca="1" si="65"/>
        <v/>
      </c>
      <c r="L300" s="9" t="str">
        <f t="shared" ca="1" si="66"/>
        <v/>
      </c>
      <c r="N300" s="176" t="str">
        <f t="shared" ca="1" si="75"/>
        <v/>
      </c>
      <c r="O300" s="176" t="str">
        <f t="shared" ca="1" si="78"/>
        <v/>
      </c>
      <c r="P300" s="175" t="str">
        <f t="shared" ca="1" si="67"/>
        <v/>
      </c>
      <c r="Q300" s="11" t="str">
        <f t="shared" ca="1" si="68"/>
        <v/>
      </c>
      <c r="R300" s="12" t="str">
        <f t="shared" ca="1" si="69"/>
        <v/>
      </c>
      <c r="T300" t="str">
        <f t="shared" ca="1" si="79"/>
        <v/>
      </c>
    </row>
    <row r="301" spans="1:20">
      <c r="A301" s="198" t="str">
        <f ca="1">'SAC_IOF Ñ USAR'!A301</f>
        <v/>
      </c>
      <c r="B301" s="197" t="str">
        <f t="shared" ca="1" si="76"/>
        <v/>
      </c>
      <c r="C301" s="196">
        <f t="shared" ca="1" si="70"/>
        <v>0</v>
      </c>
      <c r="D301" s="21" t="str">
        <f t="shared" ca="1" si="77"/>
        <v/>
      </c>
      <c r="E301" s="196">
        <f t="shared" ca="1" si="71"/>
        <v>-4.2973624658770859E-11</v>
      </c>
      <c r="F301" s="178" t="str">
        <f t="shared" ca="1" si="72"/>
        <v/>
      </c>
      <c r="G301" s="178" t="str">
        <f t="shared" ca="1" si="73"/>
        <v/>
      </c>
      <c r="H301" s="177" t="str">
        <f t="shared" ca="1" si="74"/>
        <v/>
      </c>
      <c r="I301" s="196"/>
      <c r="J301" s="9" t="str">
        <f t="shared" ca="1" si="64"/>
        <v/>
      </c>
      <c r="K301" s="9" t="str">
        <f t="shared" ca="1" si="65"/>
        <v/>
      </c>
      <c r="L301" s="9" t="str">
        <f t="shared" ca="1" si="66"/>
        <v/>
      </c>
      <c r="N301" s="176" t="str">
        <f t="shared" ca="1" si="75"/>
        <v/>
      </c>
      <c r="O301" s="176" t="str">
        <f t="shared" ca="1" si="78"/>
        <v/>
      </c>
      <c r="P301" s="175" t="str">
        <f t="shared" ca="1" si="67"/>
        <v/>
      </c>
      <c r="Q301" s="11" t="str">
        <f t="shared" ca="1" si="68"/>
        <v/>
      </c>
      <c r="R301" s="12" t="str">
        <f t="shared" ca="1" si="69"/>
        <v/>
      </c>
      <c r="T301" t="str">
        <f t="shared" ca="1" si="79"/>
        <v/>
      </c>
    </row>
    <row r="302" spans="1:20">
      <c r="A302" s="198" t="str">
        <f ca="1">'SAC_IOF Ñ USAR'!A302</f>
        <v/>
      </c>
      <c r="B302" s="197" t="str">
        <f t="shared" ca="1" si="76"/>
        <v/>
      </c>
      <c r="C302" s="196">
        <f t="shared" ca="1" si="70"/>
        <v>0</v>
      </c>
      <c r="D302" s="21" t="str">
        <f t="shared" ca="1" si="77"/>
        <v/>
      </c>
      <c r="E302" s="196">
        <f t="shared" ca="1" si="71"/>
        <v>-4.2973624658770859E-11</v>
      </c>
      <c r="F302" s="178" t="str">
        <f t="shared" ca="1" si="72"/>
        <v/>
      </c>
      <c r="G302" s="178" t="str">
        <f t="shared" ca="1" si="73"/>
        <v/>
      </c>
      <c r="H302" s="177" t="str">
        <f t="shared" ca="1" si="74"/>
        <v/>
      </c>
      <c r="I302" s="196"/>
      <c r="J302" s="9" t="str">
        <f t="shared" ca="1" si="64"/>
        <v/>
      </c>
      <c r="K302" s="9" t="str">
        <f t="shared" ca="1" si="65"/>
        <v/>
      </c>
      <c r="L302" s="9" t="str">
        <f t="shared" ca="1" si="66"/>
        <v/>
      </c>
      <c r="N302" s="176" t="str">
        <f t="shared" ca="1" si="75"/>
        <v/>
      </c>
      <c r="O302" s="176" t="str">
        <f t="shared" ca="1" si="78"/>
        <v/>
      </c>
      <c r="P302" s="175" t="str">
        <f t="shared" ca="1" si="67"/>
        <v/>
      </c>
      <c r="Q302" s="11" t="str">
        <f t="shared" ca="1" si="68"/>
        <v/>
      </c>
      <c r="R302" s="12" t="str">
        <f t="shared" ca="1" si="69"/>
        <v/>
      </c>
      <c r="T302" t="str">
        <f t="shared" ca="1" si="79"/>
        <v/>
      </c>
    </row>
    <row r="303" spans="1:20">
      <c r="A303" s="198" t="str">
        <f ca="1">'SAC_IOF Ñ USAR'!A303</f>
        <v/>
      </c>
      <c r="B303" s="197" t="str">
        <f t="shared" ca="1" si="76"/>
        <v/>
      </c>
      <c r="C303" s="196">
        <f t="shared" ca="1" si="70"/>
        <v>0</v>
      </c>
      <c r="D303" s="21" t="str">
        <f t="shared" ca="1" si="77"/>
        <v/>
      </c>
      <c r="E303" s="196">
        <f t="shared" ca="1" si="71"/>
        <v>-4.2973624658770859E-11</v>
      </c>
      <c r="F303" s="178" t="str">
        <f t="shared" ca="1" si="72"/>
        <v/>
      </c>
      <c r="G303" s="178" t="str">
        <f t="shared" ca="1" si="73"/>
        <v/>
      </c>
      <c r="H303" s="177" t="str">
        <f t="shared" ca="1" si="74"/>
        <v/>
      </c>
      <c r="I303" s="196"/>
      <c r="J303" s="9" t="str">
        <f t="shared" ca="1" si="64"/>
        <v/>
      </c>
      <c r="K303" s="9" t="str">
        <f t="shared" ca="1" si="65"/>
        <v/>
      </c>
      <c r="L303" s="9" t="str">
        <f t="shared" ca="1" si="66"/>
        <v/>
      </c>
      <c r="N303" s="176" t="str">
        <f t="shared" ca="1" si="75"/>
        <v/>
      </c>
      <c r="O303" s="176" t="str">
        <f t="shared" ca="1" si="78"/>
        <v/>
      </c>
      <c r="P303" s="175" t="str">
        <f t="shared" ca="1" si="67"/>
        <v/>
      </c>
      <c r="Q303" s="11" t="str">
        <f t="shared" ca="1" si="68"/>
        <v/>
      </c>
      <c r="R303" s="12" t="str">
        <f t="shared" ca="1" si="69"/>
        <v/>
      </c>
      <c r="T303" t="str">
        <f t="shared" ca="1" si="79"/>
        <v/>
      </c>
    </row>
    <row r="304" spans="1:20">
      <c r="A304" s="198" t="str">
        <f ca="1">'SAC_IOF Ñ USAR'!A304</f>
        <v/>
      </c>
      <c r="B304" s="197" t="str">
        <f t="shared" ca="1" si="76"/>
        <v/>
      </c>
      <c r="C304" s="196">
        <f t="shared" ca="1" si="70"/>
        <v>0</v>
      </c>
      <c r="D304" s="21" t="str">
        <f t="shared" ca="1" si="77"/>
        <v/>
      </c>
      <c r="E304" s="196">
        <f t="shared" ca="1" si="71"/>
        <v>-4.2973624658770859E-11</v>
      </c>
      <c r="F304" s="178" t="str">
        <f t="shared" ca="1" si="72"/>
        <v/>
      </c>
      <c r="G304" s="178" t="str">
        <f t="shared" ca="1" si="73"/>
        <v/>
      </c>
      <c r="H304" s="177" t="str">
        <f t="shared" ca="1" si="74"/>
        <v/>
      </c>
      <c r="I304" s="196"/>
      <c r="J304" s="9" t="str">
        <f t="shared" ca="1" si="64"/>
        <v/>
      </c>
      <c r="K304" s="9" t="str">
        <f t="shared" ca="1" si="65"/>
        <v/>
      </c>
      <c r="L304" s="9" t="str">
        <f t="shared" ca="1" si="66"/>
        <v/>
      </c>
      <c r="N304" s="176" t="str">
        <f t="shared" ca="1" si="75"/>
        <v/>
      </c>
      <c r="O304" s="176" t="str">
        <f t="shared" ca="1" si="78"/>
        <v/>
      </c>
      <c r="P304" s="175" t="str">
        <f t="shared" ca="1" si="67"/>
        <v/>
      </c>
      <c r="Q304" s="11" t="str">
        <f t="shared" ca="1" si="68"/>
        <v/>
      </c>
      <c r="R304" s="12" t="str">
        <f t="shared" ca="1" si="69"/>
        <v/>
      </c>
      <c r="T304" t="str">
        <f t="shared" ca="1" si="79"/>
        <v/>
      </c>
    </row>
    <row r="305" spans="1:20">
      <c r="A305" s="198" t="str">
        <f ca="1">'SAC_IOF Ñ USAR'!A305</f>
        <v/>
      </c>
      <c r="B305" s="197" t="str">
        <f t="shared" ca="1" si="76"/>
        <v/>
      </c>
      <c r="C305" s="196">
        <f t="shared" ca="1" si="70"/>
        <v>0</v>
      </c>
      <c r="D305" s="21" t="str">
        <f t="shared" ca="1" si="77"/>
        <v/>
      </c>
      <c r="E305" s="196">
        <f t="shared" ca="1" si="71"/>
        <v>-4.2973624658770859E-11</v>
      </c>
      <c r="F305" s="178" t="str">
        <f t="shared" ca="1" si="72"/>
        <v/>
      </c>
      <c r="G305" s="178" t="str">
        <f t="shared" ca="1" si="73"/>
        <v/>
      </c>
      <c r="H305" s="177" t="str">
        <f t="shared" ca="1" si="74"/>
        <v/>
      </c>
      <c r="I305" s="196"/>
      <c r="J305" s="9" t="str">
        <f t="shared" ca="1" si="64"/>
        <v/>
      </c>
      <c r="K305" s="9" t="str">
        <f t="shared" ca="1" si="65"/>
        <v/>
      </c>
      <c r="L305" s="9" t="str">
        <f t="shared" ca="1" si="66"/>
        <v/>
      </c>
      <c r="N305" s="176" t="str">
        <f t="shared" ca="1" si="75"/>
        <v/>
      </c>
      <c r="O305" s="176" t="str">
        <f t="shared" ca="1" si="78"/>
        <v/>
      </c>
      <c r="P305" s="175" t="str">
        <f t="shared" ca="1" si="67"/>
        <v/>
      </c>
      <c r="Q305" s="11" t="str">
        <f t="shared" ca="1" si="68"/>
        <v/>
      </c>
      <c r="R305" s="12" t="str">
        <f t="shared" ca="1" si="69"/>
        <v/>
      </c>
      <c r="T305" t="str">
        <f t="shared" ca="1" si="79"/>
        <v/>
      </c>
    </row>
    <row r="306" spans="1:20">
      <c r="A306" s="198" t="str">
        <f ca="1">'SAC_IOF Ñ USAR'!A306</f>
        <v/>
      </c>
      <c r="B306" s="197" t="str">
        <f t="shared" ca="1" si="76"/>
        <v/>
      </c>
      <c r="C306" s="196">
        <f t="shared" ca="1" si="70"/>
        <v>0</v>
      </c>
      <c r="D306" s="21" t="str">
        <f t="shared" ca="1" si="77"/>
        <v/>
      </c>
      <c r="E306" s="196">
        <f t="shared" ca="1" si="71"/>
        <v>-4.2973624658770859E-11</v>
      </c>
      <c r="F306" s="178" t="str">
        <f t="shared" ca="1" si="72"/>
        <v/>
      </c>
      <c r="G306" s="178" t="str">
        <f t="shared" ca="1" si="73"/>
        <v/>
      </c>
      <c r="H306" s="177" t="str">
        <f t="shared" ca="1" si="74"/>
        <v/>
      </c>
      <c r="I306" s="196"/>
      <c r="J306" s="9" t="str">
        <f t="shared" ca="1" si="64"/>
        <v/>
      </c>
      <c r="K306" s="9" t="str">
        <f t="shared" ca="1" si="65"/>
        <v/>
      </c>
      <c r="L306" s="9" t="str">
        <f t="shared" ca="1" si="66"/>
        <v/>
      </c>
      <c r="N306" s="176" t="str">
        <f t="shared" ca="1" si="75"/>
        <v/>
      </c>
      <c r="O306" s="176" t="str">
        <f t="shared" ca="1" si="78"/>
        <v/>
      </c>
      <c r="P306" s="175" t="str">
        <f t="shared" ca="1" si="67"/>
        <v/>
      </c>
      <c r="Q306" s="11" t="str">
        <f t="shared" ca="1" si="68"/>
        <v/>
      </c>
      <c r="R306" s="12" t="str">
        <f t="shared" ca="1" si="69"/>
        <v/>
      </c>
      <c r="T306" t="str">
        <f t="shared" ca="1" si="79"/>
        <v/>
      </c>
    </row>
    <row r="307" spans="1:20">
      <c r="A307" s="198" t="str">
        <f ca="1">'SAC_IOF Ñ USAR'!A307</f>
        <v/>
      </c>
      <c r="B307" s="197" t="str">
        <f t="shared" ca="1" si="76"/>
        <v/>
      </c>
      <c r="C307" s="196">
        <f t="shared" ca="1" si="70"/>
        <v>0</v>
      </c>
      <c r="D307" s="21" t="str">
        <f t="shared" ca="1" si="77"/>
        <v/>
      </c>
      <c r="E307" s="196">
        <f t="shared" ca="1" si="71"/>
        <v>-4.2973624658770859E-11</v>
      </c>
      <c r="F307" s="178" t="str">
        <f t="shared" ca="1" si="72"/>
        <v/>
      </c>
      <c r="G307" s="178" t="str">
        <f t="shared" ca="1" si="73"/>
        <v/>
      </c>
      <c r="H307" s="177" t="str">
        <f t="shared" ca="1" si="74"/>
        <v/>
      </c>
      <c r="I307" s="196"/>
      <c r="J307" s="9" t="str">
        <f t="shared" ca="1" si="64"/>
        <v/>
      </c>
      <c r="K307" s="9" t="str">
        <f t="shared" ca="1" si="65"/>
        <v/>
      </c>
      <c r="L307" s="9" t="str">
        <f t="shared" ca="1" si="66"/>
        <v/>
      </c>
      <c r="N307" s="176" t="str">
        <f t="shared" ca="1" si="75"/>
        <v/>
      </c>
      <c r="O307" s="176" t="str">
        <f t="shared" ca="1" si="78"/>
        <v/>
      </c>
      <c r="P307" s="175" t="str">
        <f t="shared" ca="1" si="67"/>
        <v/>
      </c>
      <c r="Q307" s="11" t="str">
        <f t="shared" ca="1" si="68"/>
        <v/>
      </c>
      <c r="R307" s="12" t="str">
        <f t="shared" ca="1" si="69"/>
        <v/>
      </c>
      <c r="T307" t="str">
        <f t="shared" ca="1" si="79"/>
        <v/>
      </c>
    </row>
    <row r="308" spans="1:20">
      <c r="A308" s="198" t="str">
        <f ca="1">'SAC_IOF Ñ USAR'!A308</f>
        <v/>
      </c>
      <c r="B308" s="197" t="str">
        <f t="shared" ca="1" si="76"/>
        <v/>
      </c>
      <c r="C308" s="196">
        <f t="shared" ca="1" si="70"/>
        <v>0</v>
      </c>
      <c r="D308" s="21" t="str">
        <f t="shared" ca="1" si="77"/>
        <v/>
      </c>
      <c r="E308" s="196">
        <f t="shared" ca="1" si="71"/>
        <v>-4.2973624658770859E-11</v>
      </c>
      <c r="F308" s="178" t="str">
        <f t="shared" ca="1" si="72"/>
        <v/>
      </c>
      <c r="G308" s="178" t="str">
        <f t="shared" ca="1" si="73"/>
        <v/>
      </c>
      <c r="H308" s="177" t="str">
        <f t="shared" ca="1" si="74"/>
        <v/>
      </c>
      <c r="I308" s="196"/>
      <c r="J308" s="9" t="str">
        <f t="shared" ca="1" si="64"/>
        <v/>
      </c>
      <c r="K308" s="9" t="str">
        <f t="shared" ca="1" si="65"/>
        <v/>
      </c>
      <c r="L308" s="9" t="str">
        <f t="shared" ca="1" si="66"/>
        <v/>
      </c>
      <c r="N308" s="176" t="str">
        <f t="shared" ca="1" si="75"/>
        <v/>
      </c>
      <c r="O308" s="176" t="str">
        <f t="shared" ca="1" si="78"/>
        <v/>
      </c>
      <c r="P308" s="175" t="str">
        <f t="shared" ca="1" si="67"/>
        <v/>
      </c>
      <c r="Q308" s="11" t="str">
        <f t="shared" ca="1" si="68"/>
        <v/>
      </c>
      <c r="R308" s="12" t="str">
        <f t="shared" ca="1" si="69"/>
        <v/>
      </c>
      <c r="T308" t="str">
        <f t="shared" ca="1" si="79"/>
        <v/>
      </c>
    </row>
    <row r="309" spans="1:20">
      <c r="A309" s="198" t="str">
        <f ca="1">'SAC_IOF Ñ USAR'!A309</f>
        <v/>
      </c>
      <c r="B309" s="197" t="str">
        <f t="shared" ca="1" si="76"/>
        <v/>
      </c>
      <c r="C309" s="196">
        <f t="shared" ca="1" si="70"/>
        <v>0</v>
      </c>
      <c r="D309" s="21" t="str">
        <f t="shared" ca="1" si="77"/>
        <v/>
      </c>
      <c r="E309" s="196">
        <f t="shared" ca="1" si="71"/>
        <v>-4.2973624658770859E-11</v>
      </c>
      <c r="F309" s="178" t="str">
        <f t="shared" ca="1" si="72"/>
        <v/>
      </c>
      <c r="G309" s="178" t="str">
        <f t="shared" ca="1" si="73"/>
        <v/>
      </c>
      <c r="H309" s="177" t="str">
        <f t="shared" ca="1" si="74"/>
        <v/>
      </c>
      <c r="I309" s="196"/>
      <c r="J309" s="9" t="str">
        <f t="shared" ca="1" si="64"/>
        <v/>
      </c>
      <c r="K309" s="9" t="str">
        <f t="shared" ca="1" si="65"/>
        <v/>
      </c>
      <c r="L309" s="9" t="str">
        <f t="shared" ca="1" si="66"/>
        <v/>
      </c>
      <c r="N309" s="176" t="str">
        <f t="shared" ca="1" si="75"/>
        <v/>
      </c>
      <c r="O309" s="176" t="str">
        <f t="shared" ca="1" si="78"/>
        <v/>
      </c>
      <c r="P309" s="175" t="str">
        <f t="shared" ca="1" si="67"/>
        <v/>
      </c>
      <c r="Q309" s="11" t="str">
        <f t="shared" ca="1" si="68"/>
        <v/>
      </c>
      <c r="R309" s="12" t="str">
        <f t="shared" ca="1" si="69"/>
        <v/>
      </c>
      <c r="T309" t="str">
        <f t="shared" ca="1" si="79"/>
        <v/>
      </c>
    </row>
    <row r="310" spans="1:20">
      <c r="A310" s="198" t="str">
        <f ca="1">'SAC_IOF Ñ USAR'!A310</f>
        <v/>
      </c>
      <c r="B310" s="197" t="str">
        <f t="shared" ca="1" si="76"/>
        <v/>
      </c>
      <c r="C310" s="196">
        <f t="shared" ca="1" si="70"/>
        <v>0</v>
      </c>
      <c r="D310" s="21" t="str">
        <f t="shared" ca="1" si="77"/>
        <v/>
      </c>
      <c r="E310" s="196">
        <f t="shared" ca="1" si="71"/>
        <v>-4.2973624658770859E-11</v>
      </c>
      <c r="F310" s="178" t="str">
        <f t="shared" ca="1" si="72"/>
        <v/>
      </c>
      <c r="G310" s="178" t="str">
        <f t="shared" ca="1" si="73"/>
        <v/>
      </c>
      <c r="H310" s="177" t="str">
        <f t="shared" ca="1" si="74"/>
        <v/>
      </c>
      <c r="I310" s="196"/>
      <c r="J310" s="9" t="str">
        <f t="shared" ca="1" si="64"/>
        <v/>
      </c>
      <c r="K310" s="9" t="str">
        <f t="shared" ca="1" si="65"/>
        <v/>
      </c>
      <c r="L310" s="9" t="str">
        <f t="shared" ca="1" si="66"/>
        <v/>
      </c>
      <c r="N310" s="176" t="str">
        <f t="shared" ca="1" si="75"/>
        <v/>
      </c>
      <c r="O310" s="176" t="str">
        <f t="shared" ca="1" si="78"/>
        <v/>
      </c>
      <c r="P310" s="175" t="str">
        <f t="shared" ca="1" si="67"/>
        <v/>
      </c>
      <c r="Q310" s="11" t="str">
        <f t="shared" ca="1" si="68"/>
        <v/>
      </c>
      <c r="R310" s="12" t="str">
        <f t="shared" ca="1" si="69"/>
        <v/>
      </c>
      <c r="T310" t="str">
        <f t="shared" ca="1" si="79"/>
        <v/>
      </c>
    </row>
    <row r="311" spans="1:20">
      <c r="A311" s="198" t="str">
        <f ca="1">'SAC_IOF Ñ USAR'!A311</f>
        <v/>
      </c>
      <c r="B311" s="197" t="str">
        <f t="shared" ca="1" si="76"/>
        <v/>
      </c>
      <c r="C311" s="196">
        <f t="shared" ca="1" si="70"/>
        <v>0</v>
      </c>
      <c r="D311" s="21" t="str">
        <f t="shared" ca="1" si="77"/>
        <v/>
      </c>
      <c r="E311" s="196">
        <f t="shared" ca="1" si="71"/>
        <v>-4.2973624658770859E-11</v>
      </c>
      <c r="F311" s="178" t="str">
        <f t="shared" ca="1" si="72"/>
        <v/>
      </c>
      <c r="G311" s="178" t="str">
        <f t="shared" ca="1" si="73"/>
        <v/>
      </c>
      <c r="H311" s="177" t="str">
        <f t="shared" ca="1" si="74"/>
        <v/>
      </c>
      <c r="I311" s="196"/>
      <c r="J311" s="9" t="str">
        <f t="shared" ca="1" si="64"/>
        <v/>
      </c>
      <c r="K311" s="9" t="str">
        <f t="shared" ca="1" si="65"/>
        <v/>
      </c>
      <c r="L311" s="9" t="str">
        <f t="shared" ca="1" si="66"/>
        <v/>
      </c>
      <c r="N311" s="176" t="str">
        <f t="shared" ca="1" si="75"/>
        <v/>
      </c>
      <c r="O311" s="176" t="str">
        <f t="shared" ca="1" si="78"/>
        <v/>
      </c>
      <c r="P311" s="175" t="str">
        <f t="shared" ca="1" si="67"/>
        <v/>
      </c>
      <c r="Q311" s="11" t="str">
        <f t="shared" ca="1" si="68"/>
        <v/>
      </c>
      <c r="R311" s="12" t="str">
        <f t="shared" ca="1" si="69"/>
        <v/>
      </c>
      <c r="T311" t="str">
        <f t="shared" ca="1" si="79"/>
        <v/>
      </c>
    </row>
    <row r="312" spans="1:20">
      <c r="A312" s="198" t="str">
        <f ca="1">'SAC_IOF Ñ USAR'!A312</f>
        <v/>
      </c>
      <c r="B312" s="197" t="str">
        <f t="shared" ca="1" si="76"/>
        <v/>
      </c>
      <c r="C312" s="196">
        <f t="shared" ca="1" si="70"/>
        <v>0</v>
      </c>
      <c r="D312" s="21" t="str">
        <f t="shared" ca="1" si="77"/>
        <v/>
      </c>
      <c r="E312" s="196">
        <f t="shared" ca="1" si="71"/>
        <v>-4.2973624658770859E-11</v>
      </c>
      <c r="F312" s="178" t="str">
        <f t="shared" ca="1" si="72"/>
        <v/>
      </c>
      <c r="G312" s="178" t="str">
        <f t="shared" ca="1" si="73"/>
        <v/>
      </c>
      <c r="H312" s="177" t="str">
        <f t="shared" ca="1" si="74"/>
        <v/>
      </c>
      <c r="I312" s="196"/>
      <c r="J312" s="9" t="str">
        <f t="shared" ca="1" si="64"/>
        <v/>
      </c>
      <c r="K312" s="9" t="str">
        <f t="shared" ca="1" si="65"/>
        <v/>
      </c>
      <c r="L312" s="9" t="str">
        <f t="shared" ca="1" si="66"/>
        <v/>
      </c>
      <c r="N312" s="176" t="str">
        <f t="shared" ca="1" si="75"/>
        <v/>
      </c>
      <c r="O312" s="176" t="str">
        <f t="shared" ca="1" si="78"/>
        <v/>
      </c>
      <c r="P312" s="175" t="str">
        <f t="shared" ca="1" si="67"/>
        <v/>
      </c>
      <c r="Q312" s="11" t="str">
        <f t="shared" ca="1" si="68"/>
        <v/>
      </c>
      <c r="R312" s="12" t="str">
        <f t="shared" ca="1" si="69"/>
        <v/>
      </c>
      <c r="T312" t="str">
        <f t="shared" ca="1" si="79"/>
        <v/>
      </c>
    </row>
    <row r="313" spans="1:20">
      <c r="A313" s="198" t="str">
        <f ca="1">'SAC_IOF Ñ USAR'!A313</f>
        <v/>
      </c>
      <c r="B313" s="197" t="str">
        <f t="shared" ca="1" si="76"/>
        <v/>
      </c>
      <c r="C313" s="196">
        <f t="shared" ca="1" si="70"/>
        <v>0</v>
      </c>
      <c r="D313" s="21" t="str">
        <f t="shared" ca="1" si="77"/>
        <v/>
      </c>
      <c r="E313" s="196">
        <f t="shared" ca="1" si="71"/>
        <v>-4.2973624658770859E-11</v>
      </c>
      <c r="F313" s="178" t="str">
        <f t="shared" ca="1" si="72"/>
        <v/>
      </c>
      <c r="G313" s="178" t="str">
        <f t="shared" ca="1" si="73"/>
        <v/>
      </c>
      <c r="H313" s="177" t="str">
        <f t="shared" ca="1" si="74"/>
        <v/>
      </c>
      <c r="I313" s="196"/>
      <c r="J313" s="9" t="str">
        <f t="shared" ca="1" si="64"/>
        <v/>
      </c>
      <c r="K313" s="9" t="str">
        <f t="shared" ca="1" si="65"/>
        <v/>
      </c>
      <c r="L313" s="9" t="str">
        <f t="shared" ca="1" si="66"/>
        <v/>
      </c>
      <c r="N313" s="176" t="str">
        <f t="shared" ca="1" si="75"/>
        <v/>
      </c>
      <c r="O313" s="176" t="str">
        <f t="shared" ca="1" si="78"/>
        <v/>
      </c>
      <c r="P313" s="175" t="str">
        <f t="shared" ca="1" si="67"/>
        <v/>
      </c>
      <c r="Q313" s="11" t="str">
        <f t="shared" ca="1" si="68"/>
        <v/>
      </c>
      <c r="R313" s="12" t="str">
        <f t="shared" ca="1" si="69"/>
        <v/>
      </c>
      <c r="T313" t="str">
        <f t="shared" ca="1" si="79"/>
        <v/>
      </c>
    </row>
    <row r="314" spans="1:20">
      <c r="A314" s="198" t="str">
        <f ca="1">'SAC_IOF Ñ USAR'!A314</f>
        <v/>
      </c>
      <c r="B314" s="197" t="str">
        <f t="shared" ca="1" si="76"/>
        <v/>
      </c>
      <c r="C314" s="196">
        <f t="shared" ca="1" si="70"/>
        <v>0</v>
      </c>
      <c r="D314" s="21" t="str">
        <f t="shared" ca="1" si="77"/>
        <v/>
      </c>
      <c r="E314" s="196">
        <f t="shared" ca="1" si="71"/>
        <v>-4.2973624658770859E-11</v>
      </c>
      <c r="F314" s="178" t="str">
        <f t="shared" ca="1" si="72"/>
        <v/>
      </c>
      <c r="G314" s="178" t="str">
        <f t="shared" ca="1" si="73"/>
        <v/>
      </c>
      <c r="H314" s="177" t="str">
        <f t="shared" ca="1" si="74"/>
        <v/>
      </c>
      <c r="I314" s="196"/>
      <c r="J314" s="9" t="str">
        <f t="shared" ca="1" si="64"/>
        <v/>
      </c>
      <c r="K314" s="9" t="str">
        <f t="shared" ca="1" si="65"/>
        <v/>
      </c>
      <c r="L314" s="9" t="str">
        <f t="shared" ca="1" si="66"/>
        <v/>
      </c>
      <c r="N314" s="176" t="str">
        <f t="shared" ca="1" si="75"/>
        <v/>
      </c>
      <c r="O314" s="176" t="str">
        <f t="shared" ca="1" si="78"/>
        <v/>
      </c>
      <c r="P314" s="175" t="str">
        <f t="shared" ca="1" si="67"/>
        <v/>
      </c>
      <c r="Q314" s="11" t="str">
        <f t="shared" ca="1" si="68"/>
        <v/>
      </c>
      <c r="R314" s="12" t="str">
        <f t="shared" ca="1" si="69"/>
        <v/>
      </c>
      <c r="T314" t="str">
        <f t="shared" ca="1" si="79"/>
        <v/>
      </c>
    </row>
    <row r="315" spans="1:20">
      <c r="A315" s="198" t="str">
        <f ca="1">'SAC_IOF Ñ USAR'!A315</f>
        <v/>
      </c>
      <c r="B315" s="197" t="str">
        <f t="shared" ca="1" si="76"/>
        <v/>
      </c>
      <c r="C315" s="196">
        <f t="shared" ca="1" si="70"/>
        <v>0</v>
      </c>
      <c r="D315" s="21" t="str">
        <f t="shared" ca="1" si="77"/>
        <v/>
      </c>
      <c r="E315" s="196">
        <f t="shared" ca="1" si="71"/>
        <v>-4.2973624658770859E-11</v>
      </c>
      <c r="F315" s="178" t="str">
        <f t="shared" ca="1" si="72"/>
        <v/>
      </c>
      <c r="G315" s="178" t="str">
        <f t="shared" ca="1" si="73"/>
        <v/>
      </c>
      <c r="H315" s="177" t="str">
        <f t="shared" ca="1" si="74"/>
        <v/>
      </c>
      <c r="I315" s="196"/>
      <c r="J315" s="9" t="str">
        <f t="shared" ca="1" si="64"/>
        <v/>
      </c>
      <c r="K315" s="9" t="str">
        <f t="shared" ca="1" si="65"/>
        <v/>
      </c>
      <c r="L315" s="9" t="str">
        <f t="shared" ca="1" si="66"/>
        <v/>
      </c>
      <c r="N315" s="176" t="str">
        <f t="shared" ca="1" si="75"/>
        <v/>
      </c>
      <c r="O315" s="176" t="str">
        <f t="shared" ca="1" si="78"/>
        <v/>
      </c>
      <c r="P315" s="175" t="str">
        <f t="shared" ca="1" si="67"/>
        <v/>
      </c>
      <c r="Q315" s="11" t="str">
        <f t="shared" ca="1" si="68"/>
        <v/>
      </c>
      <c r="R315" s="12" t="str">
        <f t="shared" ca="1" si="69"/>
        <v/>
      </c>
      <c r="T315" t="str">
        <f t="shared" ca="1" si="79"/>
        <v/>
      </c>
    </row>
    <row r="316" spans="1:20">
      <c r="A316" s="198" t="str">
        <f ca="1">'SAC_IOF Ñ USAR'!A316</f>
        <v/>
      </c>
      <c r="B316" s="197" t="str">
        <f t="shared" ca="1" si="76"/>
        <v/>
      </c>
      <c r="C316" s="196">
        <f t="shared" ca="1" si="70"/>
        <v>0</v>
      </c>
      <c r="D316" s="21" t="str">
        <f t="shared" ca="1" si="77"/>
        <v/>
      </c>
      <c r="E316" s="196">
        <f t="shared" ca="1" si="71"/>
        <v>-4.2973624658770859E-11</v>
      </c>
      <c r="F316" s="178" t="str">
        <f t="shared" ca="1" si="72"/>
        <v/>
      </c>
      <c r="G316" s="178" t="str">
        <f t="shared" ca="1" si="73"/>
        <v/>
      </c>
      <c r="H316" s="177" t="str">
        <f t="shared" ca="1" si="74"/>
        <v/>
      </c>
      <c r="I316" s="196"/>
      <c r="J316" s="9" t="str">
        <f t="shared" ca="1" si="64"/>
        <v/>
      </c>
      <c r="K316" s="9" t="str">
        <f t="shared" ca="1" si="65"/>
        <v/>
      </c>
      <c r="L316" s="9" t="str">
        <f t="shared" ca="1" si="66"/>
        <v/>
      </c>
      <c r="N316" s="176" t="str">
        <f t="shared" ca="1" si="75"/>
        <v/>
      </c>
      <c r="O316" s="176" t="str">
        <f t="shared" ca="1" si="78"/>
        <v/>
      </c>
      <c r="P316" s="175" t="str">
        <f t="shared" ca="1" si="67"/>
        <v/>
      </c>
      <c r="Q316" s="11" t="str">
        <f t="shared" ca="1" si="68"/>
        <v/>
      </c>
      <c r="R316" s="12" t="str">
        <f t="shared" ca="1" si="69"/>
        <v/>
      </c>
      <c r="T316" t="str">
        <f t="shared" ca="1" si="79"/>
        <v/>
      </c>
    </row>
    <row r="317" spans="1:20">
      <c r="A317" s="198" t="str">
        <f ca="1">'SAC_IOF Ñ USAR'!A317</f>
        <v/>
      </c>
      <c r="B317" s="197" t="str">
        <f t="shared" ca="1" si="76"/>
        <v/>
      </c>
      <c r="C317" s="196">
        <f t="shared" ca="1" si="70"/>
        <v>0</v>
      </c>
      <c r="D317" s="21" t="str">
        <f t="shared" ca="1" si="77"/>
        <v/>
      </c>
      <c r="E317" s="196">
        <f t="shared" ca="1" si="71"/>
        <v>-4.2973624658770859E-11</v>
      </c>
      <c r="F317" s="178" t="str">
        <f t="shared" ca="1" si="72"/>
        <v/>
      </c>
      <c r="G317" s="178" t="str">
        <f t="shared" ca="1" si="73"/>
        <v/>
      </c>
      <c r="H317" s="177" t="str">
        <f t="shared" ca="1" si="74"/>
        <v/>
      </c>
      <c r="I317" s="196"/>
      <c r="J317" s="9" t="str">
        <f t="shared" ca="1" si="64"/>
        <v/>
      </c>
      <c r="K317" s="9" t="str">
        <f t="shared" ca="1" si="65"/>
        <v/>
      </c>
      <c r="L317" s="9" t="str">
        <f t="shared" ca="1" si="66"/>
        <v/>
      </c>
      <c r="N317" s="176" t="str">
        <f t="shared" ca="1" si="75"/>
        <v/>
      </c>
      <c r="O317" s="176" t="str">
        <f t="shared" ca="1" si="78"/>
        <v/>
      </c>
      <c r="P317" s="175" t="str">
        <f t="shared" ca="1" si="67"/>
        <v/>
      </c>
      <c r="Q317" s="11" t="str">
        <f t="shared" ca="1" si="68"/>
        <v/>
      </c>
      <c r="R317" s="12" t="str">
        <f t="shared" ca="1" si="69"/>
        <v/>
      </c>
      <c r="T317" t="str">
        <f t="shared" ca="1" si="79"/>
        <v/>
      </c>
    </row>
    <row r="318" spans="1:20">
      <c r="A318" s="198" t="str">
        <f ca="1">'SAC_IOF Ñ USAR'!A318</f>
        <v/>
      </c>
      <c r="B318" s="197" t="str">
        <f t="shared" ca="1" si="76"/>
        <v/>
      </c>
      <c r="C318" s="196">
        <f t="shared" ca="1" si="70"/>
        <v>0</v>
      </c>
      <c r="D318" s="21" t="str">
        <f t="shared" ca="1" si="77"/>
        <v/>
      </c>
      <c r="E318" s="196">
        <f t="shared" ca="1" si="71"/>
        <v>-4.2973624658770859E-11</v>
      </c>
      <c r="F318" s="178" t="str">
        <f t="shared" ca="1" si="72"/>
        <v/>
      </c>
      <c r="G318" s="178" t="str">
        <f t="shared" ca="1" si="73"/>
        <v/>
      </c>
      <c r="H318" s="177" t="str">
        <f t="shared" ca="1" si="74"/>
        <v/>
      </c>
      <c r="I318" s="196"/>
      <c r="J318" s="9" t="str">
        <f t="shared" ca="1" si="64"/>
        <v/>
      </c>
      <c r="K318" s="9" t="str">
        <f t="shared" ca="1" si="65"/>
        <v/>
      </c>
      <c r="L318" s="9" t="str">
        <f t="shared" ca="1" si="66"/>
        <v/>
      </c>
      <c r="N318" s="176" t="str">
        <f t="shared" ca="1" si="75"/>
        <v/>
      </c>
      <c r="O318" s="176" t="str">
        <f t="shared" ca="1" si="78"/>
        <v/>
      </c>
      <c r="P318" s="175" t="str">
        <f t="shared" ca="1" si="67"/>
        <v/>
      </c>
      <c r="Q318" s="11" t="str">
        <f t="shared" ca="1" si="68"/>
        <v/>
      </c>
      <c r="R318" s="12" t="str">
        <f t="shared" ca="1" si="69"/>
        <v/>
      </c>
      <c r="T318" t="str">
        <f t="shared" ca="1" si="79"/>
        <v/>
      </c>
    </row>
    <row r="319" spans="1:20">
      <c r="A319" s="198" t="str">
        <f ca="1">'SAC_IOF Ñ USAR'!A319</f>
        <v/>
      </c>
      <c r="B319" s="197" t="str">
        <f t="shared" ca="1" si="76"/>
        <v/>
      </c>
      <c r="C319" s="196">
        <f t="shared" ca="1" si="70"/>
        <v>0</v>
      </c>
      <c r="D319" s="21" t="str">
        <f t="shared" ca="1" si="77"/>
        <v/>
      </c>
      <c r="E319" s="196">
        <f t="shared" ca="1" si="71"/>
        <v>-4.2973624658770859E-11</v>
      </c>
      <c r="F319" s="178" t="str">
        <f t="shared" ca="1" si="72"/>
        <v/>
      </c>
      <c r="G319" s="178" t="str">
        <f t="shared" ca="1" si="73"/>
        <v/>
      </c>
      <c r="H319" s="177" t="str">
        <f t="shared" ca="1" si="74"/>
        <v/>
      </c>
      <c r="I319" s="196"/>
      <c r="J319" s="9" t="str">
        <f t="shared" ca="1" si="64"/>
        <v/>
      </c>
      <c r="K319" s="9" t="str">
        <f t="shared" ca="1" si="65"/>
        <v/>
      </c>
      <c r="L319" s="9" t="str">
        <f t="shared" ca="1" si="66"/>
        <v/>
      </c>
      <c r="N319" s="176" t="str">
        <f t="shared" ca="1" si="75"/>
        <v/>
      </c>
      <c r="O319" s="176" t="str">
        <f t="shared" ca="1" si="78"/>
        <v/>
      </c>
      <c r="P319" s="175" t="str">
        <f t="shared" ca="1" si="67"/>
        <v/>
      </c>
      <c r="Q319" s="11" t="str">
        <f t="shared" ca="1" si="68"/>
        <v/>
      </c>
      <c r="R319" s="12" t="str">
        <f t="shared" ca="1" si="69"/>
        <v/>
      </c>
      <c r="T319" t="str">
        <f t="shared" ca="1" si="79"/>
        <v/>
      </c>
    </row>
    <row r="320" spans="1:20">
      <c r="A320" s="198" t="str">
        <f ca="1">'SAC_IOF Ñ USAR'!A320</f>
        <v/>
      </c>
      <c r="B320" s="197" t="str">
        <f t="shared" ca="1" si="76"/>
        <v/>
      </c>
      <c r="C320" s="196">
        <f t="shared" ca="1" si="70"/>
        <v>0</v>
      </c>
      <c r="D320" s="21" t="str">
        <f t="shared" ca="1" si="77"/>
        <v/>
      </c>
      <c r="E320" s="196">
        <f t="shared" ca="1" si="71"/>
        <v>-4.2973624658770859E-11</v>
      </c>
      <c r="F320" s="178" t="str">
        <f t="shared" ca="1" si="72"/>
        <v/>
      </c>
      <c r="G320" s="178" t="str">
        <f t="shared" ca="1" si="73"/>
        <v/>
      </c>
      <c r="H320" s="177" t="str">
        <f t="shared" ca="1" si="74"/>
        <v/>
      </c>
      <c r="I320" s="196"/>
      <c r="J320" s="9" t="str">
        <f t="shared" ca="1" si="64"/>
        <v/>
      </c>
      <c r="K320" s="9" t="str">
        <f t="shared" ca="1" si="65"/>
        <v/>
      </c>
      <c r="L320" s="9" t="str">
        <f t="shared" ca="1" si="66"/>
        <v/>
      </c>
      <c r="N320" s="176" t="str">
        <f t="shared" ca="1" si="75"/>
        <v/>
      </c>
      <c r="O320" s="176" t="str">
        <f t="shared" ca="1" si="78"/>
        <v/>
      </c>
      <c r="P320" s="175" t="str">
        <f t="shared" ca="1" si="67"/>
        <v/>
      </c>
      <c r="Q320" s="11" t="str">
        <f t="shared" ca="1" si="68"/>
        <v/>
      </c>
      <c r="R320" s="12" t="str">
        <f t="shared" ca="1" si="69"/>
        <v/>
      </c>
      <c r="T320" t="str">
        <f t="shared" ca="1" si="79"/>
        <v/>
      </c>
    </row>
    <row r="321" spans="1:20">
      <c r="A321" s="198" t="str">
        <f ca="1">'SAC_IOF Ñ USAR'!A321</f>
        <v/>
      </c>
      <c r="B321" s="197" t="str">
        <f t="shared" ca="1" si="76"/>
        <v/>
      </c>
      <c r="C321" s="196">
        <f t="shared" ca="1" si="70"/>
        <v>0</v>
      </c>
      <c r="D321" s="21" t="str">
        <f t="shared" ca="1" si="77"/>
        <v/>
      </c>
      <c r="E321" s="196">
        <f t="shared" ca="1" si="71"/>
        <v>-4.2973624658770859E-11</v>
      </c>
      <c r="F321" s="178" t="str">
        <f t="shared" ca="1" si="72"/>
        <v/>
      </c>
      <c r="G321" s="178" t="str">
        <f t="shared" ca="1" si="73"/>
        <v/>
      </c>
      <c r="H321" s="177" t="str">
        <f t="shared" ca="1" si="74"/>
        <v/>
      </c>
      <c r="I321" s="196"/>
      <c r="J321" s="9" t="str">
        <f t="shared" ca="1" si="64"/>
        <v/>
      </c>
      <c r="K321" s="9" t="str">
        <f t="shared" ca="1" si="65"/>
        <v/>
      </c>
      <c r="L321" s="9" t="str">
        <f t="shared" ca="1" si="66"/>
        <v/>
      </c>
      <c r="N321" s="176" t="str">
        <f t="shared" ca="1" si="75"/>
        <v/>
      </c>
      <c r="O321" s="176" t="str">
        <f t="shared" ca="1" si="78"/>
        <v/>
      </c>
      <c r="P321" s="175" t="str">
        <f t="shared" ca="1" si="67"/>
        <v/>
      </c>
      <c r="Q321" s="11" t="str">
        <f t="shared" ca="1" si="68"/>
        <v/>
      </c>
      <c r="R321" s="12" t="str">
        <f t="shared" ca="1" si="69"/>
        <v/>
      </c>
      <c r="T321" t="str">
        <f t="shared" ca="1" si="79"/>
        <v/>
      </c>
    </row>
    <row r="322" spans="1:20">
      <c r="A322" s="198" t="str">
        <f ca="1">'SAC_IOF Ñ USAR'!A322</f>
        <v/>
      </c>
      <c r="B322" s="197" t="str">
        <f t="shared" ca="1" si="76"/>
        <v/>
      </c>
      <c r="C322" s="196">
        <f t="shared" ca="1" si="70"/>
        <v>0</v>
      </c>
      <c r="D322" s="21" t="str">
        <f t="shared" ca="1" si="77"/>
        <v/>
      </c>
      <c r="E322" s="196">
        <f t="shared" ca="1" si="71"/>
        <v>-4.2973624658770859E-11</v>
      </c>
      <c r="F322" s="178" t="str">
        <f t="shared" ca="1" si="72"/>
        <v/>
      </c>
      <c r="G322" s="178" t="str">
        <f t="shared" ca="1" si="73"/>
        <v/>
      </c>
      <c r="H322" s="177" t="str">
        <f t="shared" ca="1" si="74"/>
        <v/>
      </c>
      <c r="I322" s="196"/>
      <c r="J322" s="9" t="str">
        <f t="shared" ca="1" si="64"/>
        <v/>
      </c>
      <c r="K322" s="9" t="str">
        <f t="shared" ca="1" si="65"/>
        <v/>
      </c>
      <c r="L322" s="9" t="str">
        <f t="shared" ca="1" si="66"/>
        <v/>
      </c>
      <c r="N322" s="176" t="str">
        <f t="shared" ca="1" si="75"/>
        <v/>
      </c>
      <c r="O322" s="176" t="str">
        <f t="shared" ca="1" si="78"/>
        <v/>
      </c>
      <c r="P322" s="175" t="str">
        <f t="shared" ca="1" si="67"/>
        <v/>
      </c>
      <c r="Q322" s="11" t="str">
        <f t="shared" ca="1" si="68"/>
        <v/>
      </c>
      <c r="R322" s="12" t="str">
        <f t="shared" ca="1" si="69"/>
        <v/>
      </c>
      <c r="T322" t="str">
        <f t="shared" ca="1" si="79"/>
        <v/>
      </c>
    </row>
    <row r="323" spans="1:20">
      <c r="A323" s="198" t="str">
        <f ca="1">'SAC_IOF Ñ USAR'!A323</f>
        <v/>
      </c>
      <c r="B323" s="197" t="str">
        <f t="shared" ca="1" si="76"/>
        <v/>
      </c>
      <c r="C323" s="196">
        <f t="shared" ca="1" si="70"/>
        <v>0</v>
      </c>
      <c r="D323" s="21" t="str">
        <f t="shared" ca="1" si="77"/>
        <v/>
      </c>
      <c r="E323" s="196">
        <f t="shared" ca="1" si="71"/>
        <v>-4.2973624658770859E-11</v>
      </c>
      <c r="F323" s="178" t="str">
        <f t="shared" ca="1" si="72"/>
        <v/>
      </c>
      <c r="G323" s="178" t="str">
        <f t="shared" ca="1" si="73"/>
        <v/>
      </c>
      <c r="H323" s="177" t="str">
        <f t="shared" ca="1" si="74"/>
        <v/>
      </c>
      <c r="I323" s="196"/>
      <c r="J323" s="9" t="str">
        <f t="shared" ca="1" si="64"/>
        <v/>
      </c>
      <c r="K323" s="9" t="str">
        <f t="shared" ca="1" si="65"/>
        <v/>
      </c>
      <c r="L323" s="9" t="str">
        <f t="shared" ca="1" si="66"/>
        <v/>
      </c>
      <c r="N323" s="176" t="str">
        <f t="shared" ca="1" si="75"/>
        <v/>
      </c>
      <c r="O323" s="176" t="str">
        <f t="shared" ca="1" si="78"/>
        <v/>
      </c>
      <c r="P323" s="175" t="str">
        <f t="shared" ca="1" si="67"/>
        <v/>
      </c>
      <c r="Q323" s="11" t="str">
        <f t="shared" ca="1" si="68"/>
        <v/>
      </c>
      <c r="R323" s="12" t="str">
        <f t="shared" ca="1" si="69"/>
        <v/>
      </c>
      <c r="T323" t="str">
        <f t="shared" ca="1" si="79"/>
        <v/>
      </c>
    </row>
    <row r="324" spans="1:20">
      <c r="A324" s="198" t="str">
        <f ca="1">'SAC_IOF Ñ USAR'!A324</f>
        <v/>
      </c>
      <c r="B324" s="197" t="str">
        <f t="shared" ca="1" si="76"/>
        <v/>
      </c>
      <c r="C324" s="196">
        <f t="shared" ca="1" si="70"/>
        <v>0</v>
      </c>
      <c r="D324" s="21" t="str">
        <f t="shared" ca="1" si="77"/>
        <v/>
      </c>
      <c r="E324" s="196">
        <f t="shared" ca="1" si="71"/>
        <v>-4.2973624658770859E-11</v>
      </c>
      <c r="F324" s="178" t="str">
        <f t="shared" ca="1" si="72"/>
        <v/>
      </c>
      <c r="G324" s="178" t="str">
        <f t="shared" ca="1" si="73"/>
        <v/>
      </c>
      <c r="H324" s="177" t="str">
        <f t="shared" ca="1" si="74"/>
        <v/>
      </c>
      <c r="I324" s="196"/>
      <c r="J324" s="9" t="str">
        <f t="shared" ca="1" si="64"/>
        <v/>
      </c>
      <c r="K324" s="9" t="str">
        <f t="shared" ca="1" si="65"/>
        <v/>
      </c>
      <c r="L324" s="9" t="str">
        <f t="shared" ca="1" si="66"/>
        <v/>
      </c>
      <c r="N324" s="176" t="str">
        <f t="shared" ca="1" si="75"/>
        <v/>
      </c>
      <c r="O324" s="176" t="str">
        <f t="shared" ca="1" si="78"/>
        <v/>
      </c>
      <c r="P324" s="175" t="str">
        <f t="shared" ca="1" si="67"/>
        <v/>
      </c>
      <c r="Q324" s="11" t="str">
        <f t="shared" ca="1" si="68"/>
        <v/>
      </c>
      <c r="R324" s="12" t="str">
        <f t="shared" ca="1" si="69"/>
        <v/>
      </c>
      <c r="T324" t="str">
        <f t="shared" ca="1" si="79"/>
        <v/>
      </c>
    </row>
    <row r="325" spans="1:20">
      <c r="A325" s="198" t="str">
        <f ca="1">'SAC_IOF Ñ USAR'!A325</f>
        <v/>
      </c>
      <c r="B325" s="197" t="str">
        <f t="shared" ca="1" si="76"/>
        <v/>
      </c>
      <c r="C325" s="196">
        <f t="shared" ca="1" si="70"/>
        <v>0</v>
      </c>
      <c r="D325" s="21" t="str">
        <f t="shared" ca="1" si="77"/>
        <v/>
      </c>
      <c r="E325" s="196">
        <f t="shared" ca="1" si="71"/>
        <v>-4.2973624658770859E-11</v>
      </c>
      <c r="F325" s="178" t="str">
        <f t="shared" ca="1" si="72"/>
        <v/>
      </c>
      <c r="G325" s="178" t="str">
        <f t="shared" ca="1" si="73"/>
        <v/>
      </c>
      <c r="H325" s="177" t="str">
        <f t="shared" ca="1" si="74"/>
        <v/>
      </c>
      <c r="I325" s="196"/>
      <c r="J325" s="9" t="str">
        <f t="shared" ca="1" si="64"/>
        <v/>
      </c>
      <c r="K325" s="9" t="str">
        <f t="shared" ca="1" si="65"/>
        <v/>
      </c>
      <c r="L325" s="9" t="str">
        <f t="shared" ca="1" si="66"/>
        <v/>
      </c>
      <c r="N325" s="176" t="str">
        <f t="shared" ca="1" si="75"/>
        <v/>
      </c>
      <c r="O325" s="176" t="str">
        <f t="shared" ca="1" si="78"/>
        <v/>
      </c>
      <c r="P325" s="175" t="str">
        <f t="shared" ca="1" si="67"/>
        <v/>
      </c>
      <c r="Q325" s="11" t="str">
        <f t="shared" ca="1" si="68"/>
        <v/>
      </c>
      <c r="R325" s="12" t="str">
        <f t="shared" ca="1" si="69"/>
        <v/>
      </c>
      <c r="T325" t="str">
        <f t="shared" ca="1" si="79"/>
        <v/>
      </c>
    </row>
    <row r="326" spans="1:20">
      <c r="A326" s="198" t="str">
        <f ca="1">'SAC_IOF Ñ USAR'!A326</f>
        <v/>
      </c>
      <c r="B326" s="197" t="str">
        <f t="shared" ca="1" si="76"/>
        <v/>
      </c>
      <c r="C326" s="196">
        <f t="shared" ca="1" si="70"/>
        <v>0</v>
      </c>
      <c r="D326" s="21" t="str">
        <f t="shared" ca="1" si="77"/>
        <v/>
      </c>
      <c r="E326" s="196">
        <f t="shared" ca="1" si="71"/>
        <v>-4.2973624658770859E-11</v>
      </c>
      <c r="F326" s="178" t="str">
        <f t="shared" ca="1" si="72"/>
        <v/>
      </c>
      <c r="G326" s="178" t="str">
        <f t="shared" ca="1" si="73"/>
        <v/>
      </c>
      <c r="H326" s="177" t="str">
        <f t="shared" ca="1" si="74"/>
        <v/>
      </c>
      <c r="I326" s="196"/>
      <c r="J326" s="9" t="str">
        <f t="shared" ca="1" si="64"/>
        <v/>
      </c>
      <c r="K326" s="9" t="str">
        <f t="shared" ca="1" si="65"/>
        <v/>
      </c>
      <c r="L326" s="9" t="str">
        <f t="shared" ca="1" si="66"/>
        <v/>
      </c>
      <c r="N326" s="176" t="str">
        <f t="shared" ca="1" si="75"/>
        <v/>
      </c>
      <c r="O326" s="176" t="str">
        <f t="shared" ca="1" si="78"/>
        <v/>
      </c>
      <c r="P326" s="175" t="str">
        <f t="shared" ca="1" si="67"/>
        <v/>
      </c>
      <c r="Q326" s="11" t="str">
        <f t="shared" ca="1" si="68"/>
        <v/>
      </c>
      <c r="R326" s="12" t="str">
        <f t="shared" ca="1" si="69"/>
        <v/>
      </c>
      <c r="T326" t="str">
        <f t="shared" ca="1" si="79"/>
        <v/>
      </c>
    </row>
    <row r="327" spans="1:20">
      <c r="A327" s="198" t="str">
        <f ca="1">'SAC_IOF Ñ USAR'!A327</f>
        <v/>
      </c>
      <c r="B327" s="197" t="str">
        <f t="shared" ca="1" si="76"/>
        <v/>
      </c>
      <c r="C327" s="196">
        <f t="shared" ca="1" si="70"/>
        <v>0</v>
      </c>
      <c r="D327" s="21" t="str">
        <f t="shared" ca="1" si="77"/>
        <v/>
      </c>
      <c r="E327" s="196">
        <f t="shared" ca="1" si="71"/>
        <v>-4.2973624658770859E-11</v>
      </c>
      <c r="F327" s="178" t="str">
        <f t="shared" ca="1" si="72"/>
        <v/>
      </c>
      <c r="G327" s="178" t="str">
        <f t="shared" ca="1" si="73"/>
        <v/>
      </c>
      <c r="H327" s="177" t="str">
        <f t="shared" ca="1" si="74"/>
        <v/>
      </c>
      <c r="I327" s="196"/>
      <c r="J327" s="9" t="str">
        <f t="shared" ca="1" si="64"/>
        <v/>
      </c>
      <c r="K327" s="9" t="str">
        <f t="shared" ca="1" si="65"/>
        <v/>
      </c>
      <c r="L327" s="9" t="str">
        <f t="shared" ca="1" si="66"/>
        <v/>
      </c>
      <c r="N327" s="176" t="str">
        <f t="shared" ca="1" si="75"/>
        <v/>
      </c>
      <c r="O327" s="176" t="str">
        <f t="shared" ca="1" si="78"/>
        <v/>
      </c>
      <c r="P327" s="175" t="str">
        <f t="shared" ca="1" si="67"/>
        <v/>
      </c>
      <c r="Q327" s="11" t="str">
        <f t="shared" ca="1" si="68"/>
        <v/>
      </c>
      <c r="R327" s="12" t="str">
        <f t="shared" ca="1" si="69"/>
        <v/>
      </c>
      <c r="T327" t="str">
        <f t="shared" ca="1" si="79"/>
        <v/>
      </c>
    </row>
    <row r="328" spans="1:20">
      <c r="A328" s="198" t="str">
        <f ca="1">'SAC_IOF Ñ USAR'!A328</f>
        <v/>
      </c>
      <c r="B328" s="197" t="str">
        <f t="shared" ca="1" si="76"/>
        <v/>
      </c>
      <c r="C328" s="196">
        <f t="shared" ca="1" si="70"/>
        <v>0</v>
      </c>
      <c r="D328" s="21" t="str">
        <f t="shared" ca="1" si="77"/>
        <v/>
      </c>
      <c r="E328" s="196">
        <f t="shared" ca="1" si="71"/>
        <v>-4.2973624658770859E-11</v>
      </c>
      <c r="F328" s="178" t="str">
        <f t="shared" ca="1" si="72"/>
        <v/>
      </c>
      <c r="G328" s="178" t="str">
        <f t="shared" ca="1" si="73"/>
        <v/>
      </c>
      <c r="H328" s="177" t="str">
        <f t="shared" ca="1" si="74"/>
        <v/>
      </c>
      <c r="I328" s="196"/>
      <c r="J328" s="9" t="str">
        <f t="shared" ca="1" si="64"/>
        <v/>
      </c>
      <c r="K328" s="9" t="str">
        <f t="shared" ca="1" si="65"/>
        <v/>
      </c>
      <c r="L328" s="9" t="str">
        <f t="shared" ca="1" si="66"/>
        <v/>
      </c>
      <c r="N328" s="176" t="str">
        <f t="shared" ca="1" si="75"/>
        <v/>
      </c>
      <c r="O328" s="176" t="str">
        <f t="shared" ca="1" si="78"/>
        <v/>
      </c>
      <c r="P328" s="175" t="str">
        <f t="shared" ca="1" si="67"/>
        <v/>
      </c>
      <c r="Q328" s="11" t="str">
        <f t="shared" ca="1" si="68"/>
        <v/>
      </c>
      <c r="R328" s="12" t="str">
        <f t="shared" ca="1" si="69"/>
        <v/>
      </c>
      <c r="T328" t="str">
        <f t="shared" ca="1" si="79"/>
        <v/>
      </c>
    </row>
    <row r="329" spans="1:20">
      <c r="A329" s="198" t="str">
        <f ca="1">'SAC_IOF Ñ USAR'!A329</f>
        <v/>
      </c>
      <c r="B329" s="197" t="str">
        <f t="shared" ca="1" si="76"/>
        <v/>
      </c>
      <c r="C329" s="196">
        <f t="shared" ca="1" si="70"/>
        <v>0</v>
      </c>
      <c r="D329" s="21" t="str">
        <f t="shared" ca="1" si="77"/>
        <v/>
      </c>
      <c r="E329" s="196">
        <f t="shared" ca="1" si="71"/>
        <v>-4.2973624658770859E-11</v>
      </c>
      <c r="F329" s="178" t="str">
        <f t="shared" ca="1" si="72"/>
        <v/>
      </c>
      <c r="G329" s="178" t="str">
        <f t="shared" ca="1" si="73"/>
        <v/>
      </c>
      <c r="H329" s="177" t="str">
        <f t="shared" ca="1" si="74"/>
        <v/>
      </c>
      <c r="I329" s="196"/>
      <c r="J329" s="9" t="str">
        <f t="shared" ca="1" si="64"/>
        <v/>
      </c>
      <c r="K329" s="9" t="str">
        <f t="shared" ca="1" si="65"/>
        <v/>
      </c>
      <c r="L329" s="9" t="str">
        <f t="shared" ca="1" si="66"/>
        <v/>
      </c>
      <c r="N329" s="176" t="str">
        <f t="shared" ca="1" si="75"/>
        <v/>
      </c>
      <c r="O329" s="176" t="str">
        <f t="shared" ca="1" si="78"/>
        <v/>
      </c>
      <c r="P329" s="175" t="str">
        <f t="shared" ca="1" si="67"/>
        <v/>
      </c>
      <c r="Q329" s="11" t="str">
        <f t="shared" ca="1" si="68"/>
        <v/>
      </c>
      <c r="R329" s="12" t="str">
        <f t="shared" ca="1" si="69"/>
        <v/>
      </c>
      <c r="T329" t="str">
        <f t="shared" ca="1" si="79"/>
        <v/>
      </c>
    </row>
    <row r="330" spans="1:20">
      <c r="A330" s="198" t="str">
        <f ca="1">'SAC_IOF Ñ USAR'!A330</f>
        <v/>
      </c>
      <c r="B330" s="197" t="str">
        <f t="shared" ca="1" si="76"/>
        <v/>
      </c>
      <c r="C330" s="196">
        <f t="shared" ca="1" si="70"/>
        <v>0</v>
      </c>
      <c r="D330" s="21" t="str">
        <f t="shared" ca="1" si="77"/>
        <v/>
      </c>
      <c r="E330" s="196">
        <f t="shared" ca="1" si="71"/>
        <v>-4.2973624658770859E-11</v>
      </c>
      <c r="F330" s="178" t="str">
        <f t="shared" ca="1" si="72"/>
        <v/>
      </c>
      <c r="G330" s="178" t="str">
        <f t="shared" ca="1" si="73"/>
        <v/>
      </c>
      <c r="H330" s="177" t="str">
        <f t="shared" ca="1" si="74"/>
        <v/>
      </c>
      <c r="I330" s="196"/>
      <c r="J330" s="9" t="str">
        <f t="shared" ca="1" si="64"/>
        <v/>
      </c>
      <c r="K330" s="9" t="str">
        <f t="shared" ca="1" si="65"/>
        <v/>
      </c>
      <c r="L330" s="9" t="str">
        <f t="shared" ca="1" si="66"/>
        <v/>
      </c>
      <c r="N330" s="176" t="str">
        <f t="shared" ca="1" si="75"/>
        <v/>
      </c>
      <c r="O330" s="176" t="str">
        <f t="shared" ca="1" si="78"/>
        <v/>
      </c>
      <c r="P330" s="175" t="str">
        <f t="shared" ca="1" si="67"/>
        <v/>
      </c>
      <c r="Q330" s="11" t="str">
        <f t="shared" ca="1" si="68"/>
        <v/>
      </c>
      <c r="R330" s="12" t="str">
        <f t="shared" ca="1" si="69"/>
        <v/>
      </c>
      <c r="T330" t="str">
        <f t="shared" ca="1" si="79"/>
        <v/>
      </c>
    </row>
    <row r="331" spans="1:20">
      <c r="A331" s="198" t="str">
        <f ca="1">'SAC_IOF Ñ USAR'!A331</f>
        <v/>
      </c>
      <c r="B331" s="197" t="str">
        <f t="shared" ca="1" si="76"/>
        <v/>
      </c>
      <c r="C331" s="196">
        <f t="shared" ca="1" si="70"/>
        <v>0</v>
      </c>
      <c r="D331" s="21" t="str">
        <f t="shared" ca="1" si="77"/>
        <v/>
      </c>
      <c r="E331" s="196">
        <f t="shared" ca="1" si="71"/>
        <v>-4.2973624658770859E-11</v>
      </c>
      <c r="F331" s="178" t="str">
        <f t="shared" ca="1" si="72"/>
        <v/>
      </c>
      <c r="G331" s="178" t="str">
        <f t="shared" ca="1" si="73"/>
        <v/>
      </c>
      <c r="H331" s="177" t="str">
        <f t="shared" ca="1" si="74"/>
        <v/>
      </c>
      <c r="I331" s="196"/>
      <c r="J331" s="9" t="str">
        <f t="shared" ca="1" si="64"/>
        <v/>
      </c>
      <c r="K331" s="9" t="str">
        <f t="shared" ca="1" si="65"/>
        <v/>
      </c>
      <c r="L331" s="9" t="str">
        <f t="shared" ca="1" si="66"/>
        <v/>
      </c>
      <c r="N331" s="176" t="str">
        <f t="shared" ca="1" si="75"/>
        <v/>
      </c>
      <c r="O331" s="176" t="str">
        <f t="shared" ca="1" si="78"/>
        <v/>
      </c>
      <c r="P331" s="175" t="str">
        <f t="shared" ca="1" si="67"/>
        <v/>
      </c>
      <c r="Q331" s="11" t="str">
        <f t="shared" ca="1" si="68"/>
        <v/>
      </c>
      <c r="R331" s="12" t="str">
        <f t="shared" ca="1" si="69"/>
        <v/>
      </c>
      <c r="T331" t="str">
        <f t="shared" ca="1" si="79"/>
        <v/>
      </c>
    </row>
    <row r="332" spans="1:20">
      <c r="A332" s="198" t="str">
        <f ca="1">'SAC_IOF Ñ USAR'!A332</f>
        <v/>
      </c>
      <c r="B332" s="197" t="str">
        <f t="shared" ca="1" si="76"/>
        <v/>
      </c>
      <c r="C332" s="196">
        <f t="shared" ca="1" si="70"/>
        <v>0</v>
      </c>
      <c r="D332" s="21" t="str">
        <f t="shared" ca="1" si="77"/>
        <v/>
      </c>
      <c r="E332" s="196">
        <f t="shared" ca="1" si="71"/>
        <v>-4.2973624658770859E-11</v>
      </c>
      <c r="F332" s="178" t="str">
        <f t="shared" ca="1" si="72"/>
        <v/>
      </c>
      <c r="G332" s="178" t="str">
        <f t="shared" ca="1" si="73"/>
        <v/>
      </c>
      <c r="H332" s="177" t="str">
        <f t="shared" ca="1" si="74"/>
        <v/>
      </c>
      <c r="I332" s="196"/>
      <c r="J332" s="9" t="str">
        <f t="shared" ca="1" si="64"/>
        <v/>
      </c>
      <c r="K332" s="9" t="str">
        <f t="shared" ca="1" si="65"/>
        <v/>
      </c>
      <c r="L332" s="9" t="str">
        <f t="shared" ca="1" si="66"/>
        <v/>
      </c>
      <c r="N332" s="176" t="str">
        <f t="shared" ca="1" si="75"/>
        <v/>
      </c>
      <c r="O332" s="176" t="str">
        <f t="shared" ca="1" si="78"/>
        <v/>
      </c>
      <c r="P332" s="175" t="str">
        <f t="shared" ca="1" si="67"/>
        <v/>
      </c>
      <c r="Q332" s="11" t="str">
        <f t="shared" ca="1" si="68"/>
        <v/>
      </c>
      <c r="R332" s="12" t="str">
        <f t="shared" ca="1" si="69"/>
        <v/>
      </c>
      <c r="T332" t="str">
        <f t="shared" ca="1" si="79"/>
        <v/>
      </c>
    </row>
    <row r="333" spans="1:20">
      <c r="A333" s="198" t="str">
        <f ca="1">'SAC_IOF Ñ USAR'!A333</f>
        <v/>
      </c>
      <c r="B333" s="197" t="str">
        <f t="shared" ca="1" si="76"/>
        <v/>
      </c>
      <c r="C333" s="196">
        <f t="shared" ca="1" si="70"/>
        <v>0</v>
      </c>
      <c r="D333" s="21" t="str">
        <f t="shared" ca="1" si="77"/>
        <v/>
      </c>
      <c r="E333" s="196">
        <f t="shared" ca="1" si="71"/>
        <v>-4.2973624658770859E-11</v>
      </c>
      <c r="F333" s="178" t="str">
        <f t="shared" ca="1" si="72"/>
        <v/>
      </c>
      <c r="G333" s="178" t="str">
        <f t="shared" ca="1" si="73"/>
        <v/>
      </c>
      <c r="H333" s="177" t="str">
        <f t="shared" ca="1" si="74"/>
        <v/>
      </c>
      <c r="I333" s="196"/>
      <c r="J333" s="9" t="str">
        <f t="shared" ca="1" si="64"/>
        <v/>
      </c>
      <c r="K333" s="9" t="str">
        <f t="shared" ca="1" si="65"/>
        <v/>
      </c>
      <c r="L333" s="9" t="str">
        <f t="shared" ca="1" si="66"/>
        <v/>
      </c>
      <c r="N333" s="176" t="str">
        <f t="shared" ca="1" si="75"/>
        <v/>
      </c>
      <c r="O333" s="176" t="str">
        <f t="shared" ca="1" si="78"/>
        <v/>
      </c>
      <c r="P333" s="175" t="str">
        <f t="shared" ca="1" si="67"/>
        <v/>
      </c>
      <c r="Q333" s="11" t="str">
        <f t="shared" ca="1" si="68"/>
        <v/>
      </c>
      <c r="R333" s="12" t="str">
        <f t="shared" ca="1" si="69"/>
        <v/>
      </c>
      <c r="T333" t="str">
        <f t="shared" ca="1" si="79"/>
        <v/>
      </c>
    </row>
    <row r="334" spans="1:20">
      <c r="A334" s="198" t="str">
        <f ca="1">'SAC_IOF Ñ USAR'!A334</f>
        <v/>
      </c>
      <c r="B334" s="197" t="str">
        <f t="shared" ca="1" si="76"/>
        <v/>
      </c>
      <c r="C334" s="196">
        <f t="shared" ca="1" si="70"/>
        <v>0</v>
      </c>
      <c r="D334" s="21" t="str">
        <f t="shared" ca="1" si="77"/>
        <v/>
      </c>
      <c r="E334" s="196">
        <f t="shared" ca="1" si="71"/>
        <v>-4.2973624658770859E-11</v>
      </c>
      <c r="F334" s="178" t="str">
        <f t="shared" ca="1" si="72"/>
        <v/>
      </c>
      <c r="G334" s="178" t="str">
        <f t="shared" ca="1" si="73"/>
        <v/>
      </c>
      <c r="H334" s="177" t="str">
        <f t="shared" ca="1" si="74"/>
        <v/>
      </c>
      <c r="I334" s="196"/>
      <c r="J334" s="9" t="str">
        <f t="shared" ca="1" si="64"/>
        <v/>
      </c>
      <c r="K334" s="9" t="str">
        <f t="shared" ca="1" si="65"/>
        <v/>
      </c>
      <c r="L334" s="9" t="str">
        <f t="shared" ca="1" si="66"/>
        <v/>
      </c>
      <c r="N334" s="176" t="str">
        <f t="shared" ca="1" si="75"/>
        <v/>
      </c>
      <c r="O334" s="176" t="str">
        <f t="shared" ca="1" si="78"/>
        <v/>
      </c>
      <c r="P334" s="175" t="str">
        <f t="shared" ca="1" si="67"/>
        <v/>
      </c>
      <c r="Q334" s="11" t="str">
        <f t="shared" ca="1" si="68"/>
        <v/>
      </c>
      <c r="R334" s="12" t="str">
        <f t="shared" ca="1" si="69"/>
        <v/>
      </c>
      <c r="T334" t="str">
        <f t="shared" ca="1" si="79"/>
        <v/>
      </c>
    </row>
    <row r="335" spans="1:20">
      <c r="A335" s="198" t="str">
        <f ca="1">'SAC_IOF Ñ USAR'!A335</f>
        <v/>
      </c>
      <c r="B335" s="197" t="str">
        <f t="shared" ca="1" si="76"/>
        <v/>
      </c>
      <c r="C335" s="196">
        <f t="shared" ca="1" si="70"/>
        <v>0</v>
      </c>
      <c r="D335" s="21" t="str">
        <f t="shared" ca="1" si="77"/>
        <v/>
      </c>
      <c r="E335" s="196">
        <f t="shared" ca="1" si="71"/>
        <v>-4.2973624658770859E-11</v>
      </c>
      <c r="F335" s="178" t="str">
        <f t="shared" ca="1" si="72"/>
        <v/>
      </c>
      <c r="G335" s="178" t="str">
        <f t="shared" ca="1" si="73"/>
        <v/>
      </c>
      <c r="H335" s="177" t="str">
        <f t="shared" ca="1" si="74"/>
        <v/>
      </c>
      <c r="I335" s="196"/>
      <c r="J335" s="9" t="str">
        <f t="shared" ca="1" si="64"/>
        <v/>
      </c>
      <c r="K335" s="9" t="str">
        <f t="shared" ca="1" si="65"/>
        <v/>
      </c>
      <c r="L335" s="9" t="str">
        <f t="shared" ca="1" si="66"/>
        <v/>
      </c>
      <c r="N335" s="176" t="str">
        <f t="shared" ca="1" si="75"/>
        <v/>
      </c>
      <c r="O335" s="176" t="str">
        <f t="shared" ca="1" si="78"/>
        <v/>
      </c>
      <c r="P335" s="175" t="str">
        <f t="shared" ca="1" si="67"/>
        <v/>
      </c>
      <c r="Q335" s="11" t="str">
        <f t="shared" ca="1" si="68"/>
        <v/>
      </c>
      <c r="R335" s="12" t="str">
        <f t="shared" ca="1" si="69"/>
        <v/>
      </c>
      <c r="T335" t="str">
        <f t="shared" ca="1" si="79"/>
        <v/>
      </c>
    </row>
    <row r="336" spans="1:20">
      <c r="A336" s="198" t="str">
        <f ca="1">'SAC_IOF Ñ USAR'!A336</f>
        <v/>
      </c>
      <c r="B336" s="197" t="str">
        <f t="shared" ca="1" si="76"/>
        <v/>
      </c>
      <c r="C336" s="196">
        <f t="shared" ca="1" si="70"/>
        <v>0</v>
      </c>
      <c r="D336" s="21" t="str">
        <f t="shared" ca="1" si="77"/>
        <v/>
      </c>
      <c r="E336" s="196">
        <f t="shared" ca="1" si="71"/>
        <v>-4.2973624658770859E-11</v>
      </c>
      <c r="F336" s="178" t="str">
        <f t="shared" ca="1" si="72"/>
        <v/>
      </c>
      <c r="G336" s="178" t="str">
        <f t="shared" ca="1" si="73"/>
        <v/>
      </c>
      <c r="H336" s="177" t="str">
        <f t="shared" ca="1" si="74"/>
        <v/>
      </c>
      <c r="I336" s="196"/>
      <c r="J336" s="9" t="str">
        <f t="shared" ca="1" si="64"/>
        <v/>
      </c>
      <c r="K336" s="9" t="str">
        <f t="shared" ca="1" si="65"/>
        <v/>
      </c>
      <c r="L336" s="9" t="str">
        <f t="shared" ca="1" si="66"/>
        <v/>
      </c>
      <c r="N336" s="176" t="str">
        <f t="shared" ca="1" si="75"/>
        <v/>
      </c>
      <c r="O336" s="176" t="str">
        <f t="shared" ca="1" si="78"/>
        <v/>
      </c>
      <c r="P336" s="175" t="str">
        <f t="shared" ca="1" si="67"/>
        <v/>
      </c>
      <c r="Q336" s="11" t="str">
        <f t="shared" ca="1" si="68"/>
        <v/>
      </c>
      <c r="R336" s="12" t="str">
        <f t="shared" ca="1" si="69"/>
        <v/>
      </c>
      <c r="T336" t="str">
        <f t="shared" ca="1" si="79"/>
        <v/>
      </c>
    </row>
    <row r="337" spans="1:20">
      <c r="A337" s="198" t="str">
        <f ca="1">'SAC_IOF Ñ USAR'!A337</f>
        <v/>
      </c>
      <c r="B337" s="197" t="str">
        <f t="shared" ca="1" si="76"/>
        <v/>
      </c>
      <c r="C337" s="196">
        <f t="shared" ca="1" si="70"/>
        <v>0</v>
      </c>
      <c r="D337" s="21" t="str">
        <f t="shared" ca="1" si="77"/>
        <v/>
      </c>
      <c r="E337" s="196">
        <f t="shared" ca="1" si="71"/>
        <v>-4.2973624658770859E-11</v>
      </c>
      <c r="F337" s="178" t="str">
        <f t="shared" ca="1" si="72"/>
        <v/>
      </c>
      <c r="G337" s="178" t="str">
        <f t="shared" ca="1" si="73"/>
        <v/>
      </c>
      <c r="H337" s="177" t="str">
        <f t="shared" ca="1" si="74"/>
        <v/>
      </c>
      <c r="I337" s="196"/>
      <c r="J337" s="9" t="str">
        <f t="shared" ca="1" si="64"/>
        <v/>
      </c>
      <c r="K337" s="9" t="str">
        <f t="shared" ca="1" si="65"/>
        <v/>
      </c>
      <c r="L337" s="9" t="str">
        <f t="shared" ca="1" si="66"/>
        <v/>
      </c>
      <c r="N337" s="176" t="str">
        <f t="shared" ca="1" si="75"/>
        <v/>
      </c>
      <c r="O337" s="176" t="str">
        <f t="shared" ca="1" si="78"/>
        <v/>
      </c>
      <c r="P337" s="175" t="str">
        <f t="shared" ca="1" si="67"/>
        <v/>
      </c>
      <c r="Q337" s="11" t="str">
        <f t="shared" ca="1" si="68"/>
        <v/>
      </c>
      <c r="R337" s="12" t="str">
        <f t="shared" ca="1" si="69"/>
        <v/>
      </c>
      <c r="T337" t="str">
        <f t="shared" ca="1" si="79"/>
        <v/>
      </c>
    </row>
    <row r="338" spans="1:20">
      <c r="A338" s="198" t="str">
        <f ca="1">'SAC_IOF Ñ USAR'!A338</f>
        <v/>
      </c>
      <c r="B338" s="197" t="str">
        <f t="shared" ca="1" si="76"/>
        <v/>
      </c>
      <c r="C338" s="196">
        <f t="shared" ca="1" si="70"/>
        <v>0</v>
      </c>
      <c r="D338" s="21" t="str">
        <f t="shared" ca="1" si="77"/>
        <v/>
      </c>
      <c r="E338" s="196">
        <f t="shared" ca="1" si="71"/>
        <v>-4.2973624658770859E-11</v>
      </c>
      <c r="F338" s="178" t="str">
        <f t="shared" ca="1" si="72"/>
        <v/>
      </c>
      <c r="G338" s="178" t="str">
        <f t="shared" ca="1" si="73"/>
        <v/>
      </c>
      <c r="H338" s="177" t="str">
        <f t="shared" ca="1" si="74"/>
        <v/>
      </c>
      <c r="I338" s="196"/>
      <c r="J338" s="9" t="str">
        <f t="shared" ca="1" si="64"/>
        <v/>
      </c>
      <c r="K338" s="9" t="str">
        <f ca="1">IF(L338=$C$13,"Pula","")</f>
        <v/>
      </c>
      <c r="L338" s="9" t="str">
        <f t="shared" ca="1" si="66"/>
        <v/>
      </c>
      <c r="N338" s="176" t="str">
        <f t="shared" ca="1" si="75"/>
        <v/>
      </c>
      <c r="O338" s="176" t="str">
        <f t="shared" ca="1" si="78"/>
        <v/>
      </c>
      <c r="P338" s="175" t="str">
        <f t="shared" ca="1" si="67"/>
        <v/>
      </c>
      <c r="Q338" s="11" t="str">
        <f t="shared" ca="1" si="68"/>
        <v/>
      </c>
      <c r="R338" s="12" t="str">
        <f ca="1">IFERROR(Q338*P338,"")</f>
        <v/>
      </c>
      <c r="T338" t="str">
        <f t="shared" ca="1" si="79"/>
        <v/>
      </c>
    </row>
    <row r="339" spans="1:20">
      <c r="A339" s="198" t="str">
        <f ca="1">'SAC_IOF Ñ USAR'!A339</f>
        <v/>
      </c>
      <c r="B339" s="197" t="str">
        <f t="shared" ca="1" si="76"/>
        <v/>
      </c>
      <c r="C339" s="196">
        <f t="shared" ca="1" si="70"/>
        <v>0</v>
      </c>
      <c r="D339" s="21" t="str">
        <f t="shared" ca="1" si="77"/>
        <v/>
      </c>
      <c r="E339" s="196">
        <f ca="1">IFERROR(IF(OR(J339="Carencia",K339="Pula"),E338+D339+SUM(F339:H339),(E338-C339)),"")</f>
        <v>-4.2973624658770859E-11</v>
      </c>
      <c r="F339" s="178" t="str">
        <f t="shared" ca="1" si="72"/>
        <v/>
      </c>
      <c r="G339" s="178" t="str">
        <f t="shared" ca="1" si="73"/>
        <v/>
      </c>
      <c r="H339" s="177" t="str">
        <f t="shared" ca="1" si="74"/>
        <v/>
      </c>
      <c r="I339" s="196"/>
      <c r="J339" s="9" t="str">
        <f t="shared" ca="1" si="64"/>
        <v/>
      </c>
      <c r="K339" s="9" t="str">
        <f ca="1">IF(L339=$C$13,"Pula","")</f>
        <v/>
      </c>
      <c r="L339" s="9" t="str">
        <f t="shared" ca="1" si="66"/>
        <v/>
      </c>
      <c r="N339" s="176" t="str">
        <f t="shared" ca="1" si="75"/>
        <v/>
      </c>
      <c r="O339" s="176" t="str">
        <f t="shared" ca="1" si="78"/>
        <v/>
      </c>
      <c r="P339" s="175" t="str">
        <f t="shared" ca="1" si="67"/>
        <v/>
      </c>
      <c r="Q339" s="11" t="str">
        <f t="shared" ca="1" si="68"/>
        <v/>
      </c>
      <c r="R339" s="12" t="str">
        <f ca="1">IFERROR(Q339*P339,"")</f>
        <v/>
      </c>
      <c r="T339" t="str">
        <f t="shared" ca="1" si="79"/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B1A9D-9B30-4FC7-9017-9CEF23206B56}">
  <sheetPr codeName="Planilha1">
    <tabColor theme="2" tint="-0.499984740745262"/>
  </sheetPr>
  <dimension ref="A2:R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3.7109375" bestFit="1" customWidth="1"/>
    <col min="4" max="4" width="15.7109375" bestFit="1" customWidth="1"/>
    <col min="5" max="5" width="16" bestFit="1" customWidth="1"/>
    <col min="6" max="6" width="15.28515625" bestFit="1" customWidth="1"/>
    <col min="7" max="7" width="9.28515625" bestFit="1" customWidth="1"/>
    <col min="8" max="8" width="9.42578125" bestFit="1" customWidth="1"/>
    <col min="9" max="9" width="10.5703125" bestFit="1" customWidth="1"/>
    <col min="11" max="11" width="12.5703125" bestFit="1" customWidth="1"/>
    <col min="12" max="12" width="11.5703125" bestFit="1" customWidth="1"/>
    <col min="15" max="15" width="10.42578125" customWidth="1"/>
    <col min="16" max="16" width="18.5703125" bestFit="1" customWidth="1"/>
    <col min="18" max="18" width="11.85546875" bestFit="1" customWidth="1"/>
  </cols>
  <sheetData>
    <row r="2" spans="2:18">
      <c r="B2" s="1" t="s">
        <v>0</v>
      </c>
      <c r="C2" s="32">
        <f>SUM(C5:C7)</f>
        <v>179010.67</v>
      </c>
      <c r="E2" s="1" t="s">
        <v>25</v>
      </c>
      <c r="F2" s="42">
        <f>SAC_CORR!F2</f>
        <v>44720</v>
      </c>
      <c r="H2" s="174" t="s">
        <v>37</v>
      </c>
      <c r="I2" s="18" t="s">
        <v>30</v>
      </c>
    </row>
    <row r="3" spans="2:18">
      <c r="B3" s="3" t="s">
        <v>1</v>
      </c>
      <c r="C3" s="33" t="s">
        <v>45</v>
      </c>
      <c r="E3" s="3" t="s">
        <v>31</v>
      </c>
      <c r="F3" s="202">
        <f>SAC_CORR!F3</f>
        <v>30</v>
      </c>
      <c r="H3" s="3" t="s">
        <v>24</v>
      </c>
      <c r="I3" s="16">
        <v>8.2000000000000001E-5</v>
      </c>
      <c r="K3" s="10"/>
      <c r="L3" s="13"/>
    </row>
    <row r="4" spans="2:18">
      <c r="B4" s="5" t="s">
        <v>44</v>
      </c>
      <c r="C4" s="26">
        <f ca="1">C2*R15/(C2-R15)</f>
        <v>6224.2314517051609</v>
      </c>
      <c r="D4" s="10"/>
      <c r="E4" s="5" t="s">
        <v>32</v>
      </c>
      <c r="F4" s="26">
        <f ca="1">C4</f>
        <v>6224.2314517051609</v>
      </c>
      <c r="H4" s="7" t="s">
        <v>36</v>
      </c>
      <c r="I4" s="17">
        <v>4.1E-5</v>
      </c>
    </row>
    <row r="5" spans="2:18">
      <c r="B5" s="3" t="s">
        <v>4</v>
      </c>
      <c r="C5" s="34">
        <f>SAC_CORR!C5</f>
        <v>6768</v>
      </c>
      <c r="E5" s="15" t="s">
        <v>23</v>
      </c>
      <c r="F5" s="203" t="str">
        <f>SAC_CORR!F5</f>
        <v>PF</v>
      </c>
    </row>
    <row r="6" spans="2:18">
      <c r="B6" s="5" t="s">
        <v>5</v>
      </c>
      <c r="C6" s="35">
        <f>SAC_CORR!C6</f>
        <v>3042.67</v>
      </c>
      <c r="H6" s="174" t="s">
        <v>39</v>
      </c>
      <c r="I6" s="18" t="s">
        <v>30</v>
      </c>
    </row>
    <row r="7" spans="2:18">
      <c r="B7" s="3" t="s">
        <v>6</v>
      </c>
      <c r="C7" s="36">
        <f>SAC_CORR!C7</f>
        <v>169200</v>
      </c>
      <c r="H7" s="3" t="s">
        <v>27</v>
      </c>
      <c r="I7" s="16">
        <v>2.1000000000000001E-4</v>
      </c>
    </row>
    <row r="8" spans="2:18">
      <c r="B8" s="5" t="s">
        <v>7</v>
      </c>
      <c r="C8" s="37">
        <f ca="1">SAC_CORR!C8</f>
        <v>228</v>
      </c>
      <c r="H8" s="7" t="s">
        <v>28</v>
      </c>
      <c r="I8" s="17">
        <v>6.9999999999999994E-5</v>
      </c>
    </row>
    <row r="9" spans="2:18">
      <c r="B9" s="3" t="s">
        <v>8</v>
      </c>
      <c r="C9" s="38">
        <f>SAC_CORR!D9</f>
        <v>9.2000000001526382E-3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  <c r="P10" s="10"/>
    </row>
    <row r="11" spans="2:18">
      <c r="B11" s="3" t="s">
        <v>10</v>
      </c>
      <c r="C11" s="39">
        <f>SAC_CORR!C11</f>
        <v>376000</v>
      </c>
      <c r="E11" s="13"/>
    </row>
    <row r="12" spans="2:18">
      <c r="B12" s="5" t="s">
        <v>11</v>
      </c>
      <c r="C12" s="40">
        <f>SAC_CORR!C12</f>
        <v>6</v>
      </c>
      <c r="H12" t="s">
        <v>40</v>
      </c>
      <c r="I12">
        <v>-374186682.54828632</v>
      </c>
    </row>
    <row r="13" spans="2:18">
      <c r="B13" s="3" t="s">
        <v>12</v>
      </c>
      <c r="C13" s="202">
        <f>SAC_CORR!C13</f>
        <v>0</v>
      </c>
      <c r="D13" s="19">
        <f ca="1">COUNTIF($L$18:$L$339,C13)</f>
        <v>0</v>
      </c>
      <c r="E13" s="13"/>
      <c r="F13" s="31"/>
      <c r="P13" t="s">
        <v>41</v>
      </c>
      <c r="R13" s="13">
        <f ca="1">SUM(R18:R339)</f>
        <v>5334.8453458739514</v>
      </c>
    </row>
    <row r="14" spans="2:18">
      <c r="B14" s="7" t="s">
        <v>13</v>
      </c>
      <c r="C14" s="41"/>
      <c r="P14" s="22" t="s">
        <v>42</v>
      </c>
      <c r="Q14" s="22"/>
      <c r="R14" s="23">
        <f>E18*0.38%</f>
        <v>680.24054599999999</v>
      </c>
    </row>
    <row r="15" spans="2:18">
      <c r="D15" s="10"/>
      <c r="P15" t="s">
        <v>43</v>
      </c>
      <c r="R15" s="13">
        <f ca="1">R13+R14</f>
        <v>6015.0858918739514</v>
      </c>
    </row>
    <row r="17" spans="1:18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</row>
    <row r="18" spans="1:18">
      <c r="A18" s="129">
        <v>0</v>
      </c>
      <c r="B18" s="201">
        <f>F2</f>
        <v>44720</v>
      </c>
      <c r="C18" s="200"/>
      <c r="D18" s="200"/>
      <c r="E18" s="199">
        <f>C2</f>
        <v>179010.67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6</v>
      </c>
      <c r="N18" s="9"/>
      <c r="O18" s="9"/>
      <c r="P18" s="175">
        <f t="shared" ref="P18:P81" ca="1" si="3">IF(A18&lt;&gt;"",$E$18/($C$8-$C$12-$D$13),"")</f>
        <v>806.35436936936946</v>
      </c>
      <c r="Q18" s="11" t="str">
        <f t="shared" ref="Q18:Q81" si="4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ca="1" si="5">IFERROR(Q18*P18,"")</f>
        <v/>
      </c>
    </row>
    <row r="19" spans="1:18">
      <c r="A19" s="198" t="str">
        <f>IF(AND(DAY(F2)&gt;F3,C12&gt;0),1,"I")</f>
        <v>I</v>
      </c>
      <c r="B19" s="197">
        <f>IF(DAY(F2)=F3,F2,IF(DAY(F2)&lt;F3,IF(DAY(EOMONTH(F2,0))&lt;F3,EOMONTH(F2,0),DATE(YEAR(F2),MONTH(F2),F3)),DATE(YEAR(F2),MONTH(F2)+1,F3)))</f>
        <v>44742</v>
      </c>
      <c r="C19" s="196">
        <f t="shared" ref="C19:C82" si="6">IFERROR(IF(OR(J19="Carencia",K19="Pula",A19=""),0,_xlfn.XLOOKUP(IF(AND($F$3&lt;DAY($F$2),$C$12=0),0,"I"),$A:$A,$E:$E)/($C$8-$D$13-$C$12)),"")</f>
        <v>0</v>
      </c>
      <c r="D19" s="21">
        <f>IFERROR(IF(DAY(B19)=DAY(B18),IF(K19="Pula",0,IF(B19=B18,0,($C$9)*E18)),IF(AND($C$12=0,F3&lt;DAY(F2)),($C$9)*E18,((1+$C$9)^(N19/_xlfn.DAYS(EDATE(B18,1),B18))-1)*E18)),"")</f>
        <v>1206.2495687844519</v>
      </c>
      <c r="E19" s="196">
        <f t="shared" ref="E19:E82" si="7">IFERROR(IF(OR(J19="Carencia",K19="Pula"),E18+D19+SUM(F19:H19),(E18-C19)),"")</f>
        <v>180216.91956878448</v>
      </c>
      <c r="F19" s="178" t="str">
        <f t="shared" ref="F19:F82" si="8">IFERROR(IF(OR(AND(DAY(B19)=DAY(B18),MONTH(B19)&lt;&gt;MONTH(B18)),MONTH(B19)&lt;&gt;MONTH(B18)),E18*$I$7,""),"")</f>
        <v/>
      </c>
      <c r="G19" s="178">
        <f t="shared" ref="G19:G82" si="9">IFERROR(IF(OR(AND(DAY(B19)=DAY(B18),MONTH(B19)&lt;&gt;MONTH(B18)),MONTH(B19)&lt;&gt;MONTH(B18)),$C$11*$I$8,0),"")</f>
        <v>0</v>
      </c>
      <c r="H19" s="177">
        <f t="shared" ref="H19:H82" si="10">IFERROR(IF(OR(AND(DAY(B19)=DAY(B18),MONTH(B19)&lt;&gt;MONTH(B18)),MONTH(B19)&lt;&gt;MONTH(B18)),$I$10,0),"")</f>
        <v>0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6</v>
      </c>
      <c r="N19" s="176">
        <f t="shared" ref="N19:N82" si="11">IFERROR(B19-B18,"")</f>
        <v>22</v>
      </c>
      <c r="O19" s="176">
        <f>N19</f>
        <v>22</v>
      </c>
      <c r="P19" s="175">
        <f t="shared" ca="1" si="3"/>
        <v>806.35436936936946</v>
      </c>
      <c r="Q19" s="11" t="str">
        <f t="shared" si="4"/>
        <v/>
      </c>
      <c r="R19" s="12" t="str">
        <f t="shared" ca="1" si="5"/>
        <v/>
      </c>
    </row>
    <row r="20" spans="1:18">
      <c r="A20" s="198">
        <f>IFERROR(A19+1,1)</f>
        <v>1</v>
      </c>
      <c r="B20" s="197">
        <f t="shared" ref="B20:B83" si="12">IF(A20&lt;&gt;"",IF(DAY(EOMONTH($F$2,0))&lt;$F$3,IF(MONTH($F$2)=2,DATE(YEAR(B19),3,F3),EOMONTH(B19,1)),EDATE($B$19,A20-IF($A$19="I",0,1))),"")</f>
        <v>44772</v>
      </c>
      <c r="C20" s="196">
        <f t="shared" si="6"/>
        <v>0</v>
      </c>
      <c r="D20" s="21">
        <f t="shared" ref="D20:D83" si="13">IFERROR(IF(DAY(B20)=DAY(B19),IF(K20="Pula",0,($C$9)*E19),IF(AND(K20="Pula",J20=""),0,IF(AND($F$3=30,OR(AND(DAY(B19)=28,MONTH(B19)=2),AND(DAY(B19)=29,MONTH(B19)=2))),$C$9*E19,$C$9*E19))),"")</f>
        <v>1657.9956600603252</v>
      </c>
      <c r="E20" s="196">
        <f t="shared" si="7"/>
        <v>181964.08078195425</v>
      </c>
      <c r="F20" s="178">
        <f t="shared" si="8"/>
        <v>37.845553109444744</v>
      </c>
      <c r="G20" s="178">
        <f t="shared" si="9"/>
        <v>26.319999999999997</v>
      </c>
      <c r="H20" s="177">
        <f t="shared" si="10"/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7</v>
      </c>
      <c r="N20" s="176">
        <f t="shared" si="11"/>
        <v>30</v>
      </c>
      <c r="O20" s="176">
        <f t="shared" ref="O20:O83" si="14">IFERROR(N20+O19,"")</f>
        <v>52</v>
      </c>
      <c r="P20" s="175">
        <f t="shared" ca="1" si="3"/>
        <v>806.35436936936946</v>
      </c>
      <c r="Q20" s="11" t="str">
        <f t="shared" si="4"/>
        <v/>
      </c>
      <c r="R20" s="12" t="str">
        <f t="shared" ca="1" si="5"/>
        <v/>
      </c>
    </row>
    <row r="21" spans="1:18">
      <c r="A21" s="198">
        <f t="shared" ref="A21:A84" ca="1" si="15">IF(A20&gt;=$C$8,"",A20+1)</f>
        <v>2</v>
      </c>
      <c r="B21" s="197">
        <f t="shared" ca="1" si="12"/>
        <v>44803</v>
      </c>
      <c r="C21" s="196">
        <f t="shared" ca="1" si="6"/>
        <v>0</v>
      </c>
      <c r="D21" s="21">
        <f t="shared" ca="1" si="13"/>
        <v>1674.0695432217537</v>
      </c>
      <c r="E21" s="196">
        <f t="shared" ca="1" si="7"/>
        <v>183727.68278214021</v>
      </c>
      <c r="F21" s="178">
        <f t="shared" ca="1" si="8"/>
        <v>38.212456964210396</v>
      </c>
      <c r="G21" s="178">
        <f t="shared" ca="1" si="9"/>
        <v>26.319999999999997</v>
      </c>
      <c r="H21" s="177">
        <f t="shared" ca="1" si="10"/>
        <v>25</v>
      </c>
      <c r="I21" s="196"/>
      <c r="J21" s="9" t="str">
        <f t="shared" ca="1" si="0"/>
        <v>Carencia</v>
      </c>
      <c r="K21" s="9" t="str">
        <f t="shared" ca="1" si="1"/>
        <v/>
      </c>
      <c r="L21" s="9">
        <f t="shared" ca="1" si="2"/>
        <v>8</v>
      </c>
      <c r="N21" s="176">
        <f t="shared" ca="1" si="11"/>
        <v>31</v>
      </c>
      <c r="O21" s="176">
        <f t="shared" ca="1" si="14"/>
        <v>83</v>
      </c>
      <c r="P21" s="175">
        <f t="shared" ca="1" si="3"/>
        <v>806.35436936936946</v>
      </c>
      <c r="Q21" s="11" t="str">
        <f t="shared" ca="1" si="4"/>
        <v/>
      </c>
      <c r="R21" s="12" t="str">
        <f t="shared" ca="1" si="5"/>
        <v/>
      </c>
    </row>
    <row r="22" spans="1:18">
      <c r="A22" s="198">
        <f t="shared" ca="1" si="15"/>
        <v>3</v>
      </c>
      <c r="B22" s="197">
        <f t="shared" ca="1" si="12"/>
        <v>44834</v>
      </c>
      <c r="C22" s="196">
        <f t="shared" ca="1" si="6"/>
        <v>0</v>
      </c>
      <c r="D22" s="21">
        <f t="shared" ca="1" si="13"/>
        <v>1690.2946816237338</v>
      </c>
      <c r="E22" s="196">
        <f t="shared" ca="1" si="7"/>
        <v>185507.88027714819</v>
      </c>
      <c r="F22" s="178">
        <f t="shared" ca="1" si="8"/>
        <v>38.582813384249448</v>
      </c>
      <c r="G22" s="178">
        <f t="shared" ca="1" si="9"/>
        <v>26.319999999999997</v>
      </c>
      <c r="H22" s="177">
        <f t="shared" ca="1" si="10"/>
        <v>25</v>
      </c>
      <c r="I22" s="196"/>
      <c r="J22" s="9" t="str">
        <f t="shared" ca="1" si="0"/>
        <v>Carencia</v>
      </c>
      <c r="K22" s="9" t="str">
        <f t="shared" ca="1" si="1"/>
        <v/>
      </c>
      <c r="L22" s="9">
        <f t="shared" ca="1" si="2"/>
        <v>9</v>
      </c>
      <c r="N22" s="176">
        <f t="shared" ca="1" si="11"/>
        <v>31</v>
      </c>
      <c r="O22" s="176">
        <f t="shared" ca="1" si="14"/>
        <v>114</v>
      </c>
      <c r="P22" s="175">
        <f t="shared" ca="1" si="3"/>
        <v>806.35436936936946</v>
      </c>
      <c r="Q22" s="11" t="str">
        <f t="shared" ca="1" si="4"/>
        <v/>
      </c>
      <c r="R22" s="12" t="str">
        <f t="shared" ca="1" si="5"/>
        <v/>
      </c>
    </row>
    <row r="23" spans="1:18">
      <c r="A23" s="198">
        <f t="shared" ca="1" si="15"/>
        <v>4</v>
      </c>
      <c r="B23" s="197">
        <f t="shared" ca="1" si="12"/>
        <v>44864</v>
      </c>
      <c r="C23" s="196">
        <f t="shared" ca="1" si="6"/>
        <v>0</v>
      </c>
      <c r="D23" s="21">
        <f t="shared" ca="1" si="13"/>
        <v>1706.6724985780788</v>
      </c>
      <c r="E23" s="196">
        <f t="shared" ca="1" si="7"/>
        <v>187304.82943058448</v>
      </c>
      <c r="F23" s="178">
        <f t="shared" ca="1" si="8"/>
        <v>38.956654858201119</v>
      </c>
      <c r="G23" s="178">
        <f t="shared" ca="1" si="9"/>
        <v>26.319999999999997</v>
      </c>
      <c r="H23" s="177">
        <f t="shared" ca="1" si="10"/>
        <v>25</v>
      </c>
      <c r="I23" s="196"/>
      <c r="J23" s="9" t="str">
        <f t="shared" ca="1" si="0"/>
        <v>Carencia</v>
      </c>
      <c r="K23" s="9" t="str">
        <f t="shared" ca="1" si="1"/>
        <v/>
      </c>
      <c r="L23" s="9">
        <f t="shared" ca="1" si="2"/>
        <v>10</v>
      </c>
      <c r="N23" s="176">
        <f t="shared" ca="1" si="11"/>
        <v>30</v>
      </c>
      <c r="O23" s="176">
        <f t="shared" ca="1" si="14"/>
        <v>144</v>
      </c>
      <c r="P23" s="175">
        <f t="shared" ca="1" si="3"/>
        <v>806.35436936936946</v>
      </c>
      <c r="Q23" s="11" t="str">
        <f t="shared" ca="1" si="4"/>
        <v/>
      </c>
      <c r="R23" s="12" t="str">
        <f t="shared" ca="1" si="5"/>
        <v/>
      </c>
    </row>
    <row r="24" spans="1:18">
      <c r="A24" s="198">
        <f t="shared" ca="1" si="15"/>
        <v>5</v>
      </c>
      <c r="B24" s="197">
        <f t="shared" ca="1" si="12"/>
        <v>44895</v>
      </c>
      <c r="C24" s="196">
        <f t="shared" ca="1" si="6"/>
        <v>0</v>
      </c>
      <c r="D24" s="21">
        <f t="shared" ca="1" si="13"/>
        <v>1723.2044307899671</v>
      </c>
      <c r="E24" s="196">
        <f t="shared" ca="1" si="7"/>
        <v>189118.68787555487</v>
      </c>
      <c r="F24" s="178">
        <f t="shared" ca="1" si="8"/>
        <v>39.334014180422741</v>
      </c>
      <c r="G24" s="178">
        <f t="shared" ca="1" si="9"/>
        <v>26.319999999999997</v>
      </c>
      <c r="H24" s="177">
        <f t="shared" ca="1" si="10"/>
        <v>25</v>
      </c>
      <c r="I24" s="196"/>
      <c r="J24" s="9" t="str">
        <f t="shared" ca="1" si="0"/>
        <v>Carencia</v>
      </c>
      <c r="K24" s="9" t="str">
        <f t="shared" ca="1" si="1"/>
        <v/>
      </c>
      <c r="L24" s="9">
        <f t="shared" ca="1" si="2"/>
        <v>11</v>
      </c>
      <c r="N24" s="176">
        <f t="shared" ca="1" si="11"/>
        <v>31</v>
      </c>
      <c r="O24" s="176">
        <f t="shared" ca="1" si="14"/>
        <v>175</v>
      </c>
      <c r="P24" s="175">
        <f t="shared" ca="1" si="3"/>
        <v>806.35436936936946</v>
      </c>
      <c r="Q24" s="11" t="str">
        <f t="shared" ca="1" si="4"/>
        <v/>
      </c>
      <c r="R24" s="12" t="str">
        <f t="shared" ca="1" si="5"/>
        <v/>
      </c>
    </row>
    <row r="25" spans="1:18">
      <c r="A25" s="198">
        <f t="shared" ca="1" si="15"/>
        <v>6</v>
      </c>
      <c r="B25" s="197">
        <f t="shared" ca="1" si="12"/>
        <v>44925</v>
      </c>
      <c r="C25" s="196">
        <f t="shared" ca="1" si="6"/>
        <v>0</v>
      </c>
      <c r="D25" s="21">
        <f t="shared" ca="1" si="13"/>
        <v>1739.8919284839715</v>
      </c>
      <c r="E25" s="196">
        <f t="shared" ca="1" si="7"/>
        <v>190949.61472849268</v>
      </c>
      <c r="F25" s="178">
        <f t="shared" ca="1" si="8"/>
        <v>39.714924453866523</v>
      </c>
      <c r="G25" s="178">
        <f t="shared" ca="1" si="9"/>
        <v>26.319999999999997</v>
      </c>
      <c r="H25" s="177">
        <f t="shared" ca="1" si="10"/>
        <v>25</v>
      </c>
      <c r="I25" s="196"/>
      <c r="J25" s="9" t="str">
        <f t="shared" ca="1" si="0"/>
        <v>Carencia</v>
      </c>
      <c r="K25" s="9" t="str">
        <f t="shared" ca="1" si="1"/>
        <v/>
      </c>
      <c r="L25" s="9">
        <f t="shared" ca="1" si="2"/>
        <v>12</v>
      </c>
      <c r="N25" s="176">
        <f t="shared" ca="1" si="11"/>
        <v>30</v>
      </c>
      <c r="O25" s="176">
        <f t="shared" ca="1" si="14"/>
        <v>205</v>
      </c>
      <c r="P25" s="175">
        <f t="shared" ca="1" si="3"/>
        <v>806.35436936936946</v>
      </c>
      <c r="Q25" s="11" t="str">
        <f t="shared" ca="1" si="4"/>
        <v/>
      </c>
      <c r="R25" s="12" t="str">
        <f t="shared" ca="1" si="5"/>
        <v/>
      </c>
    </row>
    <row r="26" spans="1:18">
      <c r="A26" s="198">
        <f t="shared" ca="1" si="15"/>
        <v>7</v>
      </c>
      <c r="B26" s="197">
        <f t="shared" ca="1" si="12"/>
        <v>44956</v>
      </c>
      <c r="C26" s="196">
        <f t="shared" ca="1" si="6"/>
        <v>811.7879259855157</v>
      </c>
      <c r="D26" s="21">
        <f t="shared" ca="1" si="13"/>
        <v>1756.7364555312788</v>
      </c>
      <c r="E26" s="196">
        <f t="shared" ca="1" si="7"/>
        <v>190137.82680250716</v>
      </c>
      <c r="F26" s="178">
        <f t="shared" ca="1" si="8"/>
        <v>40.099419092983467</v>
      </c>
      <c r="G26" s="178">
        <f t="shared" ca="1" si="9"/>
        <v>26.319999999999997</v>
      </c>
      <c r="H26" s="177">
        <f t="shared" ca="1" si="10"/>
        <v>25</v>
      </c>
      <c r="I26" s="196"/>
      <c r="J26" s="9" t="str">
        <f t="shared" ca="1" si="0"/>
        <v/>
      </c>
      <c r="K26" s="9" t="str">
        <f t="shared" ca="1" si="1"/>
        <v/>
      </c>
      <c r="L26" s="9">
        <f t="shared" ca="1" si="2"/>
        <v>1</v>
      </c>
      <c r="N26" s="176">
        <f t="shared" ca="1" si="11"/>
        <v>31</v>
      </c>
      <c r="O26" s="176">
        <f t="shared" ca="1" si="14"/>
        <v>236</v>
      </c>
      <c r="P26" s="175">
        <f t="shared" ca="1" si="3"/>
        <v>806.35436936936946</v>
      </c>
      <c r="Q26" s="11">
        <f t="shared" ca="1" si="4"/>
        <v>1.9352000000000001E-2</v>
      </c>
      <c r="R26" s="12">
        <f t="shared" ca="1" si="5"/>
        <v>15.604569756036039</v>
      </c>
    </row>
    <row r="27" spans="1:18">
      <c r="A27" s="198">
        <f t="shared" ca="1" si="15"/>
        <v>8</v>
      </c>
      <c r="B27" s="197">
        <f t="shared" ca="1" si="12"/>
        <v>44985</v>
      </c>
      <c r="C27" s="196">
        <f t="shared" ca="1" si="6"/>
        <v>811.7879259855157</v>
      </c>
      <c r="D27" s="21">
        <f t="shared" ca="1" si="13"/>
        <v>1749.2680066120881</v>
      </c>
      <c r="E27" s="196">
        <f t="shared" ca="1" si="7"/>
        <v>189326.03887652163</v>
      </c>
      <c r="F27" s="178">
        <f t="shared" ca="1" si="8"/>
        <v>39.928943628526504</v>
      </c>
      <c r="G27" s="178">
        <f t="shared" ca="1" si="9"/>
        <v>26.319999999999997</v>
      </c>
      <c r="H27" s="177">
        <f t="shared" ca="1" si="10"/>
        <v>25</v>
      </c>
      <c r="I27" s="196"/>
      <c r="J27" s="9" t="str">
        <f t="shared" ca="1" si="0"/>
        <v/>
      </c>
      <c r="K27" s="9" t="str">
        <f t="shared" ca="1" si="1"/>
        <v/>
      </c>
      <c r="L27" s="9">
        <f t="shared" ca="1" si="2"/>
        <v>2</v>
      </c>
      <c r="N27" s="176">
        <f t="shared" ca="1" si="11"/>
        <v>29</v>
      </c>
      <c r="O27" s="176">
        <f t="shared" ca="1" si="14"/>
        <v>265</v>
      </c>
      <c r="P27" s="175">
        <f t="shared" ca="1" si="3"/>
        <v>806.35436936936946</v>
      </c>
      <c r="Q27" s="11">
        <f t="shared" ca="1" si="4"/>
        <v>2.1729999999999999E-2</v>
      </c>
      <c r="R27" s="12">
        <f t="shared" ca="1" si="5"/>
        <v>17.522080446396398</v>
      </c>
    </row>
    <row r="28" spans="1:18">
      <c r="A28" s="198">
        <f t="shared" ca="1" si="15"/>
        <v>9</v>
      </c>
      <c r="B28" s="197">
        <f t="shared" ca="1" si="12"/>
        <v>45015</v>
      </c>
      <c r="C28" s="196">
        <f t="shared" ca="1" si="6"/>
        <v>811.7879259855157</v>
      </c>
      <c r="D28" s="21">
        <f t="shared" ca="1" si="13"/>
        <v>1741.7995576928975</v>
      </c>
      <c r="E28" s="196">
        <f t="shared" ca="1" si="7"/>
        <v>188514.25095053611</v>
      </c>
      <c r="F28" s="178">
        <f t="shared" ca="1" si="8"/>
        <v>39.758468164069548</v>
      </c>
      <c r="G28" s="178">
        <f t="shared" ca="1" si="9"/>
        <v>26.319999999999997</v>
      </c>
      <c r="H28" s="177">
        <f t="shared" ca="1" si="10"/>
        <v>25</v>
      </c>
      <c r="I28" s="196"/>
      <c r="J28" s="9" t="str">
        <f t="shared" ca="1" si="0"/>
        <v/>
      </c>
      <c r="K28" s="9" t="str">
        <f t="shared" ca="1" si="1"/>
        <v/>
      </c>
      <c r="L28" s="9">
        <f t="shared" ca="1" si="2"/>
        <v>3</v>
      </c>
      <c r="N28" s="176">
        <f t="shared" ca="1" si="11"/>
        <v>30</v>
      </c>
      <c r="O28" s="176">
        <f t="shared" ca="1" si="14"/>
        <v>295</v>
      </c>
      <c r="P28" s="175">
        <f t="shared" ca="1" si="3"/>
        <v>806.35436936936946</v>
      </c>
      <c r="Q28" s="11">
        <f t="shared" ca="1" si="4"/>
        <v>2.419E-2</v>
      </c>
      <c r="R28" s="12">
        <f t="shared" ca="1" si="5"/>
        <v>19.505712195045046</v>
      </c>
    </row>
    <row r="29" spans="1:18">
      <c r="A29" s="198">
        <f t="shared" ca="1" si="15"/>
        <v>10</v>
      </c>
      <c r="B29" s="197">
        <f t="shared" ca="1" si="12"/>
        <v>45046</v>
      </c>
      <c r="C29" s="196">
        <f t="shared" ca="1" si="6"/>
        <v>811.7879259855157</v>
      </c>
      <c r="D29" s="21">
        <f t="shared" ca="1" si="13"/>
        <v>1734.3311087737068</v>
      </c>
      <c r="E29" s="196">
        <f t="shared" ca="1" si="7"/>
        <v>187702.46302455058</v>
      </c>
      <c r="F29" s="178">
        <f t="shared" ca="1" si="8"/>
        <v>39.587992699612585</v>
      </c>
      <c r="G29" s="178">
        <f t="shared" ca="1" si="9"/>
        <v>26.319999999999997</v>
      </c>
      <c r="H29" s="177">
        <f t="shared" ca="1" si="10"/>
        <v>25</v>
      </c>
      <c r="I29" s="196"/>
      <c r="J29" s="9" t="str">
        <f t="shared" ca="1" si="0"/>
        <v/>
      </c>
      <c r="K29" s="9" t="str">
        <f t="shared" ca="1" si="1"/>
        <v/>
      </c>
      <c r="L29" s="9">
        <f t="shared" ca="1" si="2"/>
        <v>4</v>
      </c>
      <c r="N29" s="176">
        <f t="shared" ca="1" si="11"/>
        <v>31</v>
      </c>
      <c r="O29" s="176">
        <f t="shared" ca="1" si="14"/>
        <v>326</v>
      </c>
      <c r="P29" s="175">
        <f t="shared" ca="1" si="3"/>
        <v>806.35436936936946</v>
      </c>
      <c r="Q29" s="11">
        <f t="shared" ca="1" si="4"/>
        <v>2.6731999999999999E-2</v>
      </c>
      <c r="R29" s="12">
        <f t="shared" ca="1" si="5"/>
        <v>21.555465001981982</v>
      </c>
    </row>
    <row r="30" spans="1:18">
      <c r="A30" s="198">
        <f t="shared" ca="1" si="15"/>
        <v>11</v>
      </c>
      <c r="B30" s="197">
        <f t="shared" ca="1" si="12"/>
        <v>45076</v>
      </c>
      <c r="C30" s="196">
        <f t="shared" ca="1" si="6"/>
        <v>811.7879259855157</v>
      </c>
      <c r="D30" s="21">
        <f t="shared" ca="1" si="13"/>
        <v>1726.8626598545159</v>
      </c>
      <c r="E30" s="196">
        <f t="shared" ca="1" si="7"/>
        <v>186890.67509856506</v>
      </c>
      <c r="F30" s="178">
        <f t="shared" ca="1" si="8"/>
        <v>39.417517235155621</v>
      </c>
      <c r="G30" s="178">
        <f t="shared" ca="1" si="9"/>
        <v>26.319999999999997</v>
      </c>
      <c r="H30" s="177">
        <f t="shared" ca="1" si="10"/>
        <v>25</v>
      </c>
      <c r="I30" s="196"/>
      <c r="J30" s="9" t="str">
        <f t="shared" ca="1" si="0"/>
        <v/>
      </c>
      <c r="K30" s="9" t="str">
        <f t="shared" ca="1" si="1"/>
        <v/>
      </c>
      <c r="L30" s="9">
        <f t="shared" ca="1" si="2"/>
        <v>5</v>
      </c>
      <c r="N30" s="176">
        <f t="shared" ca="1" si="11"/>
        <v>30</v>
      </c>
      <c r="O30" s="176">
        <f t="shared" ca="1" si="14"/>
        <v>356</v>
      </c>
      <c r="P30" s="175">
        <f t="shared" ca="1" si="3"/>
        <v>806.35436936936946</v>
      </c>
      <c r="Q30" s="11">
        <f t="shared" ca="1" si="4"/>
        <v>2.9191999999999999E-2</v>
      </c>
      <c r="R30" s="12">
        <f t="shared" ca="1" si="5"/>
        <v>23.539096750630634</v>
      </c>
    </row>
    <row r="31" spans="1:18">
      <c r="A31" s="198">
        <f t="shared" ca="1" si="15"/>
        <v>12</v>
      </c>
      <c r="B31" s="197">
        <f t="shared" ca="1" si="12"/>
        <v>45107</v>
      </c>
      <c r="C31" s="196">
        <f t="shared" ca="1" si="6"/>
        <v>811.7879259855157</v>
      </c>
      <c r="D31" s="21">
        <f t="shared" ca="1" si="13"/>
        <v>1719.3942109353252</v>
      </c>
      <c r="E31" s="196">
        <f t="shared" ca="1" si="7"/>
        <v>186078.88717257953</v>
      </c>
      <c r="F31" s="178">
        <f t="shared" ca="1" si="8"/>
        <v>39.247041770698665</v>
      </c>
      <c r="G31" s="178">
        <f t="shared" ca="1" si="9"/>
        <v>26.319999999999997</v>
      </c>
      <c r="H31" s="177">
        <f t="shared" ca="1" si="10"/>
        <v>25</v>
      </c>
      <c r="I31" s="196"/>
      <c r="J31" s="9" t="str">
        <f t="shared" ca="1" si="0"/>
        <v/>
      </c>
      <c r="K31" s="9" t="str">
        <f t="shared" ca="1" si="1"/>
        <v/>
      </c>
      <c r="L31" s="9">
        <f t="shared" ca="1" si="2"/>
        <v>6</v>
      </c>
      <c r="N31" s="176">
        <f t="shared" ca="1" si="11"/>
        <v>31</v>
      </c>
      <c r="O31" s="176">
        <f t="shared" ca="1" si="14"/>
        <v>387</v>
      </c>
      <c r="P31" s="175">
        <f t="shared" ca="1" si="3"/>
        <v>806.35436936936946</v>
      </c>
      <c r="Q31" s="11">
        <f t="shared" ca="1" si="4"/>
        <v>2.9930000000000002E-2</v>
      </c>
      <c r="R31" s="12">
        <f t="shared" ca="1" si="5"/>
        <v>24.134186275225229</v>
      </c>
    </row>
    <row r="32" spans="1:18">
      <c r="A32" s="198">
        <f t="shared" ca="1" si="15"/>
        <v>13</v>
      </c>
      <c r="B32" s="197">
        <f t="shared" ca="1" si="12"/>
        <v>45137</v>
      </c>
      <c r="C32" s="196">
        <f t="shared" ca="1" si="6"/>
        <v>811.7879259855157</v>
      </c>
      <c r="D32" s="21">
        <f t="shared" ca="1" si="13"/>
        <v>1711.9257620161345</v>
      </c>
      <c r="E32" s="196">
        <f t="shared" ca="1" si="7"/>
        <v>185267.09924659401</v>
      </c>
      <c r="F32" s="178">
        <f t="shared" ca="1" si="8"/>
        <v>39.076566306241702</v>
      </c>
      <c r="G32" s="178">
        <f t="shared" ca="1" si="9"/>
        <v>26.319999999999997</v>
      </c>
      <c r="H32" s="177">
        <f t="shared" ca="1" si="10"/>
        <v>25</v>
      </c>
      <c r="I32" s="196"/>
      <c r="J32" s="9" t="str">
        <f t="shared" ca="1" si="0"/>
        <v/>
      </c>
      <c r="K32" s="9" t="str">
        <f t="shared" ca="1" si="1"/>
        <v/>
      </c>
      <c r="L32" s="9">
        <f t="shared" ca="1" si="2"/>
        <v>7</v>
      </c>
      <c r="N32" s="176">
        <f t="shared" ca="1" si="11"/>
        <v>30</v>
      </c>
      <c r="O32" s="176">
        <f t="shared" ca="1" si="14"/>
        <v>417</v>
      </c>
      <c r="P32" s="175">
        <f t="shared" ca="1" si="3"/>
        <v>806.35436936936946</v>
      </c>
      <c r="Q32" s="11">
        <f t="shared" ca="1" si="4"/>
        <v>2.9930000000000002E-2</v>
      </c>
      <c r="R32" s="12">
        <f t="shared" ca="1" si="5"/>
        <v>24.134186275225229</v>
      </c>
    </row>
    <row r="33" spans="1:18">
      <c r="A33" s="198">
        <f t="shared" ca="1" si="15"/>
        <v>14</v>
      </c>
      <c r="B33" s="197">
        <f t="shared" ca="1" si="12"/>
        <v>45168</v>
      </c>
      <c r="C33" s="196">
        <f t="shared" ca="1" si="6"/>
        <v>811.7879259855157</v>
      </c>
      <c r="D33" s="21">
        <f t="shared" ca="1" si="13"/>
        <v>1704.4573130969436</v>
      </c>
      <c r="E33" s="196">
        <f t="shared" ca="1" si="7"/>
        <v>184455.31132060848</v>
      </c>
      <c r="F33" s="178">
        <f t="shared" ca="1" si="8"/>
        <v>38.906090841784746</v>
      </c>
      <c r="G33" s="178">
        <f t="shared" ca="1" si="9"/>
        <v>26.319999999999997</v>
      </c>
      <c r="H33" s="177">
        <f t="shared" ca="1" si="10"/>
        <v>25</v>
      </c>
      <c r="I33" s="196"/>
      <c r="J33" s="9" t="str">
        <f t="shared" ca="1" si="0"/>
        <v/>
      </c>
      <c r="K33" s="9" t="str">
        <f t="shared" ca="1" si="1"/>
        <v/>
      </c>
      <c r="L33" s="9">
        <f t="shared" ca="1" si="2"/>
        <v>8</v>
      </c>
      <c r="N33" s="176">
        <f t="shared" ca="1" si="11"/>
        <v>31</v>
      </c>
      <c r="O33" s="176">
        <f t="shared" ca="1" si="14"/>
        <v>448</v>
      </c>
      <c r="P33" s="175">
        <f t="shared" ca="1" si="3"/>
        <v>806.35436936936946</v>
      </c>
      <c r="Q33" s="11">
        <f t="shared" ca="1" si="4"/>
        <v>2.9930000000000002E-2</v>
      </c>
      <c r="R33" s="12">
        <f t="shared" ca="1" si="5"/>
        <v>24.134186275225229</v>
      </c>
    </row>
    <row r="34" spans="1:18">
      <c r="A34" s="198">
        <f t="shared" ca="1" si="15"/>
        <v>15</v>
      </c>
      <c r="B34" s="197">
        <f t="shared" ca="1" si="12"/>
        <v>45199</v>
      </c>
      <c r="C34" s="196">
        <f t="shared" ca="1" si="6"/>
        <v>811.7879259855157</v>
      </c>
      <c r="D34" s="21">
        <f t="shared" ca="1" si="13"/>
        <v>1696.9888641777529</v>
      </c>
      <c r="E34" s="196">
        <f t="shared" ca="1" si="7"/>
        <v>183643.52339462296</v>
      </c>
      <c r="F34" s="178">
        <f t="shared" ca="1" si="8"/>
        <v>38.735615377327782</v>
      </c>
      <c r="G34" s="178">
        <f t="shared" ca="1" si="9"/>
        <v>26.319999999999997</v>
      </c>
      <c r="H34" s="177">
        <f t="shared" ca="1" si="10"/>
        <v>25</v>
      </c>
      <c r="I34" s="196"/>
      <c r="J34" s="9" t="str">
        <f t="shared" ca="1" si="0"/>
        <v/>
      </c>
      <c r="K34" s="9" t="str">
        <f t="shared" ca="1" si="1"/>
        <v/>
      </c>
      <c r="L34" s="9">
        <f t="shared" ca="1" si="2"/>
        <v>9</v>
      </c>
      <c r="N34" s="176">
        <f t="shared" ca="1" si="11"/>
        <v>31</v>
      </c>
      <c r="O34" s="176">
        <f t="shared" ca="1" si="14"/>
        <v>479</v>
      </c>
      <c r="P34" s="175">
        <f t="shared" ca="1" si="3"/>
        <v>806.35436936936946</v>
      </c>
      <c r="Q34" s="11">
        <f t="shared" ca="1" si="4"/>
        <v>2.9930000000000002E-2</v>
      </c>
      <c r="R34" s="12">
        <f t="shared" ca="1" si="5"/>
        <v>24.134186275225229</v>
      </c>
    </row>
    <row r="35" spans="1:18">
      <c r="A35" s="198">
        <f t="shared" ca="1" si="15"/>
        <v>16</v>
      </c>
      <c r="B35" s="197">
        <f t="shared" ca="1" si="12"/>
        <v>45229</v>
      </c>
      <c r="C35" s="196">
        <f t="shared" ca="1" si="6"/>
        <v>811.7879259855157</v>
      </c>
      <c r="D35" s="21">
        <f t="shared" ca="1" si="13"/>
        <v>1689.5204152585623</v>
      </c>
      <c r="E35" s="196">
        <f t="shared" ca="1" si="7"/>
        <v>182831.73546863743</v>
      </c>
      <c r="F35" s="178">
        <f t="shared" ca="1" si="8"/>
        <v>38.565139912870819</v>
      </c>
      <c r="G35" s="178">
        <f t="shared" ca="1" si="9"/>
        <v>26.319999999999997</v>
      </c>
      <c r="H35" s="177">
        <f t="shared" ca="1" si="10"/>
        <v>25</v>
      </c>
      <c r="I35" s="196"/>
      <c r="J35" s="9" t="str">
        <f t="shared" ca="1" si="0"/>
        <v/>
      </c>
      <c r="K35" s="9" t="str">
        <f t="shared" ca="1" si="1"/>
        <v/>
      </c>
      <c r="L35" s="9">
        <f t="shared" ca="1" si="2"/>
        <v>10</v>
      </c>
      <c r="N35" s="176">
        <f t="shared" ca="1" si="11"/>
        <v>30</v>
      </c>
      <c r="O35" s="176">
        <f t="shared" ca="1" si="14"/>
        <v>509</v>
      </c>
      <c r="P35" s="175">
        <f t="shared" ca="1" si="3"/>
        <v>806.35436936936946</v>
      </c>
      <c r="Q35" s="11">
        <f t="shared" ca="1" si="4"/>
        <v>2.9930000000000002E-2</v>
      </c>
      <c r="R35" s="12">
        <f t="shared" ca="1" si="5"/>
        <v>24.134186275225229</v>
      </c>
    </row>
    <row r="36" spans="1:18">
      <c r="A36" s="198">
        <f t="shared" ca="1" si="15"/>
        <v>17</v>
      </c>
      <c r="B36" s="197">
        <f t="shared" ca="1" si="12"/>
        <v>45260</v>
      </c>
      <c r="C36" s="196">
        <f t="shared" ca="1" si="6"/>
        <v>811.7879259855157</v>
      </c>
      <c r="D36" s="21">
        <f t="shared" ca="1" si="13"/>
        <v>1682.0519663393716</v>
      </c>
      <c r="E36" s="196">
        <f t="shared" ca="1" si="7"/>
        <v>182019.94754265191</v>
      </c>
      <c r="F36" s="178">
        <f t="shared" ca="1" si="8"/>
        <v>38.394664448413863</v>
      </c>
      <c r="G36" s="178">
        <f t="shared" ca="1" si="9"/>
        <v>26.319999999999997</v>
      </c>
      <c r="H36" s="177">
        <f t="shared" ca="1" si="10"/>
        <v>25</v>
      </c>
      <c r="I36" s="196"/>
      <c r="J36" s="9" t="str">
        <f t="shared" ca="1" si="0"/>
        <v/>
      </c>
      <c r="K36" s="9" t="str">
        <f t="shared" ca="1" si="1"/>
        <v/>
      </c>
      <c r="L36" s="9">
        <f t="shared" ca="1" si="2"/>
        <v>11</v>
      </c>
      <c r="N36" s="176">
        <f t="shared" ca="1" si="11"/>
        <v>31</v>
      </c>
      <c r="O36" s="176">
        <f t="shared" ca="1" si="14"/>
        <v>540</v>
      </c>
      <c r="P36" s="175">
        <f t="shared" ca="1" si="3"/>
        <v>806.35436936936946</v>
      </c>
      <c r="Q36" s="11">
        <f t="shared" ca="1" si="4"/>
        <v>2.9930000000000002E-2</v>
      </c>
      <c r="R36" s="12">
        <f t="shared" ca="1" si="5"/>
        <v>24.134186275225229</v>
      </c>
    </row>
    <row r="37" spans="1:18">
      <c r="A37" s="198">
        <f t="shared" ca="1" si="15"/>
        <v>18</v>
      </c>
      <c r="B37" s="197">
        <f t="shared" ca="1" si="12"/>
        <v>45290</v>
      </c>
      <c r="C37" s="196">
        <f t="shared" ca="1" si="6"/>
        <v>811.7879259855157</v>
      </c>
      <c r="D37" s="21">
        <f t="shared" ca="1" si="13"/>
        <v>1674.5835174201807</v>
      </c>
      <c r="E37" s="196">
        <f t="shared" ca="1" si="7"/>
        <v>181208.15961666638</v>
      </c>
      <c r="F37" s="178">
        <f t="shared" ca="1" si="8"/>
        <v>38.2241889839569</v>
      </c>
      <c r="G37" s="178">
        <f t="shared" ca="1" si="9"/>
        <v>26.319999999999997</v>
      </c>
      <c r="H37" s="177">
        <f t="shared" ca="1" si="10"/>
        <v>25</v>
      </c>
      <c r="I37" s="196"/>
      <c r="J37" s="9" t="str">
        <f t="shared" ca="1" si="0"/>
        <v/>
      </c>
      <c r="K37" s="9" t="str">
        <f t="shared" ca="1" si="1"/>
        <v/>
      </c>
      <c r="L37" s="9">
        <f t="shared" ca="1" si="2"/>
        <v>12</v>
      </c>
      <c r="N37" s="176">
        <f t="shared" ca="1" si="11"/>
        <v>30</v>
      </c>
      <c r="O37" s="176">
        <f t="shared" ca="1" si="14"/>
        <v>570</v>
      </c>
      <c r="P37" s="175">
        <f t="shared" ca="1" si="3"/>
        <v>806.35436936936946</v>
      </c>
      <c r="Q37" s="11">
        <f t="shared" ca="1" si="4"/>
        <v>2.9930000000000002E-2</v>
      </c>
      <c r="R37" s="12">
        <f t="shared" ca="1" si="5"/>
        <v>24.134186275225229</v>
      </c>
    </row>
    <row r="38" spans="1:18">
      <c r="A38" s="198">
        <f t="shared" ca="1" si="15"/>
        <v>19</v>
      </c>
      <c r="B38" s="197">
        <f t="shared" ca="1" si="12"/>
        <v>45321</v>
      </c>
      <c r="C38" s="196">
        <f t="shared" ca="1" si="6"/>
        <v>811.7879259855157</v>
      </c>
      <c r="D38" s="21">
        <f t="shared" ca="1" si="13"/>
        <v>1667.11506850099</v>
      </c>
      <c r="E38" s="196">
        <f t="shared" ca="1" si="7"/>
        <v>180396.37169068085</v>
      </c>
      <c r="F38" s="178">
        <f t="shared" ca="1" si="8"/>
        <v>38.053713519499944</v>
      </c>
      <c r="G38" s="178">
        <f t="shared" ca="1" si="9"/>
        <v>26.319999999999997</v>
      </c>
      <c r="H38" s="177">
        <f t="shared" ca="1" si="10"/>
        <v>25</v>
      </c>
      <c r="I38" s="196"/>
      <c r="J38" s="9" t="str">
        <f t="shared" ca="1" si="0"/>
        <v/>
      </c>
      <c r="K38" s="9" t="str">
        <f t="shared" ca="1" si="1"/>
        <v/>
      </c>
      <c r="L38" s="9">
        <f t="shared" ca="1" si="2"/>
        <v>1</v>
      </c>
      <c r="N38" s="176">
        <f t="shared" ca="1" si="11"/>
        <v>31</v>
      </c>
      <c r="O38" s="176">
        <f t="shared" ca="1" si="14"/>
        <v>601</v>
      </c>
      <c r="P38" s="175">
        <f t="shared" ca="1" si="3"/>
        <v>806.35436936936946</v>
      </c>
      <c r="Q38" s="11">
        <f t="shared" ca="1" si="4"/>
        <v>2.9930000000000002E-2</v>
      </c>
      <c r="R38" s="12">
        <f t="shared" ca="1" si="5"/>
        <v>24.134186275225229</v>
      </c>
    </row>
    <row r="39" spans="1:18">
      <c r="A39" s="198">
        <f t="shared" ca="1" si="15"/>
        <v>20</v>
      </c>
      <c r="B39" s="197">
        <f t="shared" ca="1" si="12"/>
        <v>45351</v>
      </c>
      <c r="C39" s="196">
        <f t="shared" ca="1" si="6"/>
        <v>811.7879259855157</v>
      </c>
      <c r="D39" s="21">
        <f t="shared" ca="1" si="13"/>
        <v>1659.6466195817993</v>
      </c>
      <c r="E39" s="196">
        <f t="shared" ca="1" si="7"/>
        <v>179584.58376469533</v>
      </c>
      <c r="F39" s="178">
        <f t="shared" ca="1" si="8"/>
        <v>37.88323805504298</v>
      </c>
      <c r="G39" s="178">
        <f t="shared" ca="1" si="9"/>
        <v>26.319999999999997</v>
      </c>
      <c r="H39" s="177">
        <f t="shared" ca="1" si="10"/>
        <v>25</v>
      </c>
      <c r="I39" s="196"/>
      <c r="J39" s="9" t="str">
        <f t="shared" ca="1" si="0"/>
        <v/>
      </c>
      <c r="K39" s="9" t="str">
        <f t="shared" ca="1" si="1"/>
        <v/>
      </c>
      <c r="L39" s="9">
        <f t="shared" ca="1" si="2"/>
        <v>2</v>
      </c>
      <c r="N39" s="176">
        <f t="shared" ca="1" si="11"/>
        <v>30</v>
      </c>
      <c r="O39" s="176">
        <f t="shared" ca="1" si="14"/>
        <v>631</v>
      </c>
      <c r="P39" s="175">
        <f t="shared" ca="1" si="3"/>
        <v>806.35436936936946</v>
      </c>
      <c r="Q39" s="11">
        <f t="shared" ca="1" si="4"/>
        <v>2.9930000000000002E-2</v>
      </c>
      <c r="R39" s="12">
        <f t="shared" ca="1" si="5"/>
        <v>24.134186275225229</v>
      </c>
    </row>
    <row r="40" spans="1:18">
      <c r="A40" s="198">
        <f t="shared" ca="1" si="15"/>
        <v>21</v>
      </c>
      <c r="B40" s="197">
        <f t="shared" ca="1" si="12"/>
        <v>45381</v>
      </c>
      <c r="C40" s="196">
        <f t="shared" ca="1" si="6"/>
        <v>811.7879259855157</v>
      </c>
      <c r="D40" s="21">
        <f t="shared" ca="1" si="13"/>
        <v>1652.1781706626084</v>
      </c>
      <c r="E40" s="196">
        <f t="shared" ca="1" si="7"/>
        <v>178772.7958387098</v>
      </c>
      <c r="F40" s="178">
        <f t="shared" ca="1" si="8"/>
        <v>37.712762590586024</v>
      </c>
      <c r="G40" s="178">
        <f t="shared" ca="1" si="9"/>
        <v>26.319999999999997</v>
      </c>
      <c r="H40" s="177">
        <f t="shared" ca="1" si="10"/>
        <v>25</v>
      </c>
      <c r="I40" s="196"/>
      <c r="J40" s="9" t="str">
        <f t="shared" ca="1" si="0"/>
        <v/>
      </c>
      <c r="K40" s="9" t="str">
        <f t="shared" ca="1" si="1"/>
        <v/>
      </c>
      <c r="L40" s="9">
        <f t="shared" ca="1" si="2"/>
        <v>3</v>
      </c>
      <c r="N40" s="176">
        <f t="shared" ca="1" si="11"/>
        <v>30</v>
      </c>
      <c r="O40" s="176">
        <f t="shared" ca="1" si="14"/>
        <v>661</v>
      </c>
      <c r="P40" s="175">
        <f t="shared" ca="1" si="3"/>
        <v>806.35436936936946</v>
      </c>
      <c r="Q40" s="11">
        <f t="shared" ca="1" si="4"/>
        <v>2.9930000000000002E-2</v>
      </c>
      <c r="R40" s="12">
        <f t="shared" ca="1" si="5"/>
        <v>24.134186275225229</v>
      </c>
    </row>
    <row r="41" spans="1:18">
      <c r="A41" s="198">
        <f t="shared" ca="1" si="15"/>
        <v>22</v>
      </c>
      <c r="B41" s="197">
        <f t="shared" ca="1" si="12"/>
        <v>45412</v>
      </c>
      <c r="C41" s="196">
        <f t="shared" ca="1" si="6"/>
        <v>811.7879259855157</v>
      </c>
      <c r="D41" s="21">
        <f t="shared" ca="1" si="13"/>
        <v>1644.7097217434177</v>
      </c>
      <c r="E41" s="196">
        <f t="shared" ca="1" si="7"/>
        <v>177961.00791272428</v>
      </c>
      <c r="F41" s="178">
        <f t="shared" ca="1" si="8"/>
        <v>37.542287126129061</v>
      </c>
      <c r="G41" s="178">
        <f t="shared" ca="1" si="9"/>
        <v>26.319999999999997</v>
      </c>
      <c r="H41" s="177">
        <f t="shared" ca="1" si="10"/>
        <v>25</v>
      </c>
      <c r="I41" s="196"/>
      <c r="J41" s="9" t="str">
        <f t="shared" ca="1" si="0"/>
        <v/>
      </c>
      <c r="K41" s="9" t="str">
        <f t="shared" ca="1" si="1"/>
        <v/>
      </c>
      <c r="L41" s="9">
        <f t="shared" ca="1" si="2"/>
        <v>4</v>
      </c>
      <c r="N41" s="176">
        <f t="shared" ca="1" si="11"/>
        <v>31</v>
      </c>
      <c r="O41" s="176">
        <f t="shared" ca="1" si="14"/>
        <v>692</v>
      </c>
      <c r="P41" s="175">
        <f t="shared" ca="1" si="3"/>
        <v>806.35436936936946</v>
      </c>
      <c r="Q41" s="11">
        <f t="shared" ca="1" si="4"/>
        <v>2.9930000000000002E-2</v>
      </c>
      <c r="R41" s="12">
        <f t="shared" ca="1" si="5"/>
        <v>24.134186275225229</v>
      </c>
    </row>
    <row r="42" spans="1:18">
      <c r="A42" s="198">
        <f t="shared" ca="1" si="15"/>
        <v>23</v>
      </c>
      <c r="B42" s="197">
        <f t="shared" ca="1" si="12"/>
        <v>45442</v>
      </c>
      <c r="C42" s="196">
        <f t="shared" ca="1" si="6"/>
        <v>811.7879259855157</v>
      </c>
      <c r="D42" s="21">
        <f t="shared" ca="1" si="13"/>
        <v>1637.2412728242271</v>
      </c>
      <c r="E42" s="196">
        <f t="shared" ca="1" si="7"/>
        <v>177149.21998673875</v>
      </c>
      <c r="F42" s="178">
        <f t="shared" ca="1" si="8"/>
        <v>37.371811661672098</v>
      </c>
      <c r="G42" s="178">
        <f t="shared" ca="1" si="9"/>
        <v>26.319999999999997</v>
      </c>
      <c r="H42" s="177">
        <f t="shared" ca="1" si="10"/>
        <v>25</v>
      </c>
      <c r="I42" s="196"/>
      <c r="J42" s="9" t="str">
        <f t="shared" ca="1" si="0"/>
        <v/>
      </c>
      <c r="K42" s="9" t="str">
        <f t="shared" ca="1" si="1"/>
        <v/>
      </c>
      <c r="L42" s="9">
        <f t="shared" ca="1" si="2"/>
        <v>5</v>
      </c>
      <c r="N42" s="176">
        <f t="shared" ca="1" si="11"/>
        <v>30</v>
      </c>
      <c r="O42" s="176">
        <f t="shared" ca="1" si="14"/>
        <v>722</v>
      </c>
      <c r="P42" s="175">
        <f t="shared" ca="1" si="3"/>
        <v>806.35436936936946</v>
      </c>
      <c r="Q42" s="11">
        <f t="shared" ca="1" si="4"/>
        <v>2.9930000000000002E-2</v>
      </c>
      <c r="R42" s="12">
        <f t="shared" ca="1" si="5"/>
        <v>24.134186275225229</v>
      </c>
    </row>
    <row r="43" spans="1:18">
      <c r="A43" s="198">
        <f t="shared" ca="1" si="15"/>
        <v>24</v>
      </c>
      <c r="B43" s="197">
        <f t="shared" ca="1" si="12"/>
        <v>45473</v>
      </c>
      <c r="C43" s="196">
        <f t="shared" ca="1" si="6"/>
        <v>811.7879259855157</v>
      </c>
      <c r="D43" s="21">
        <f t="shared" ca="1" si="13"/>
        <v>1629.7728239050364</v>
      </c>
      <c r="E43" s="196">
        <f t="shared" ca="1" si="7"/>
        <v>176337.43206075323</v>
      </c>
      <c r="F43" s="178">
        <f t="shared" ca="1" si="8"/>
        <v>37.201336197215142</v>
      </c>
      <c r="G43" s="178">
        <f t="shared" ca="1" si="9"/>
        <v>26.319999999999997</v>
      </c>
      <c r="H43" s="177">
        <f t="shared" ca="1" si="10"/>
        <v>25</v>
      </c>
      <c r="I43" s="196"/>
      <c r="J43" s="9" t="str">
        <f t="shared" ca="1" si="0"/>
        <v/>
      </c>
      <c r="K43" s="9" t="str">
        <f t="shared" ca="1" si="1"/>
        <v/>
      </c>
      <c r="L43" s="9">
        <f t="shared" ca="1" si="2"/>
        <v>6</v>
      </c>
      <c r="N43" s="176">
        <f t="shared" ca="1" si="11"/>
        <v>31</v>
      </c>
      <c r="O43" s="176">
        <f t="shared" ca="1" si="14"/>
        <v>753</v>
      </c>
      <c r="P43" s="175">
        <f t="shared" ca="1" si="3"/>
        <v>806.35436936936946</v>
      </c>
      <c r="Q43" s="11">
        <f t="shared" ca="1" si="4"/>
        <v>2.9930000000000002E-2</v>
      </c>
      <c r="R43" s="12">
        <f t="shared" ca="1" si="5"/>
        <v>24.134186275225229</v>
      </c>
    </row>
    <row r="44" spans="1:18">
      <c r="A44" s="198">
        <f t="shared" ca="1" si="15"/>
        <v>25</v>
      </c>
      <c r="B44" s="197">
        <f t="shared" ca="1" si="12"/>
        <v>45503</v>
      </c>
      <c r="C44" s="196">
        <f t="shared" ca="1" si="6"/>
        <v>811.7879259855157</v>
      </c>
      <c r="D44" s="21">
        <f t="shared" ca="1" si="13"/>
        <v>1622.3043749858455</v>
      </c>
      <c r="E44" s="196">
        <f t="shared" ca="1" si="7"/>
        <v>175525.6441347677</v>
      </c>
      <c r="F44" s="178">
        <f t="shared" ca="1" si="8"/>
        <v>37.030860732758178</v>
      </c>
      <c r="G44" s="178">
        <f t="shared" ca="1" si="9"/>
        <v>26.319999999999997</v>
      </c>
      <c r="H44" s="177">
        <f t="shared" ca="1" si="10"/>
        <v>25</v>
      </c>
      <c r="I44" s="196"/>
      <c r="J44" s="9" t="str">
        <f t="shared" ca="1" si="0"/>
        <v/>
      </c>
      <c r="K44" s="9" t="str">
        <f t="shared" ca="1" si="1"/>
        <v/>
      </c>
      <c r="L44" s="9">
        <f t="shared" ca="1" si="2"/>
        <v>7</v>
      </c>
      <c r="N44" s="176">
        <f t="shared" ca="1" si="11"/>
        <v>30</v>
      </c>
      <c r="O44" s="176">
        <f t="shared" ca="1" si="14"/>
        <v>783</v>
      </c>
      <c r="P44" s="175">
        <f t="shared" ca="1" si="3"/>
        <v>806.35436936936946</v>
      </c>
      <c r="Q44" s="11">
        <f t="shared" ca="1" si="4"/>
        <v>2.9930000000000002E-2</v>
      </c>
      <c r="R44" s="12">
        <f t="shared" ca="1" si="5"/>
        <v>24.134186275225229</v>
      </c>
    </row>
    <row r="45" spans="1:18">
      <c r="A45" s="198">
        <f t="shared" ca="1" si="15"/>
        <v>26</v>
      </c>
      <c r="B45" s="197">
        <f t="shared" ca="1" si="12"/>
        <v>45534</v>
      </c>
      <c r="C45" s="196">
        <f t="shared" ca="1" si="6"/>
        <v>811.7879259855157</v>
      </c>
      <c r="D45" s="21">
        <f t="shared" ca="1" si="13"/>
        <v>1614.8359260666548</v>
      </c>
      <c r="E45" s="196">
        <f t="shared" ca="1" si="7"/>
        <v>174713.85620878218</v>
      </c>
      <c r="F45" s="178">
        <f t="shared" ca="1" si="8"/>
        <v>36.860385268301222</v>
      </c>
      <c r="G45" s="178">
        <f t="shared" ca="1" si="9"/>
        <v>26.319999999999997</v>
      </c>
      <c r="H45" s="177">
        <f t="shared" ca="1" si="10"/>
        <v>25</v>
      </c>
      <c r="I45" s="196"/>
      <c r="J45" s="9" t="str">
        <f t="shared" ca="1" si="0"/>
        <v/>
      </c>
      <c r="K45" s="9" t="str">
        <f t="shared" ca="1" si="1"/>
        <v/>
      </c>
      <c r="L45" s="9">
        <f t="shared" ca="1" si="2"/>
        <v>8</v>
      </c>
      <c r="N45" s="176">
        <f t="shared" ca="1" si="11"/>
        <v>31</v>
      </c>
      <c r="O45" s="176">
        <f t="shared" ca="1" si="14"/>
        <v>814</v>
      </c>
      <c r="P45" s="175">
        <f t="shared" ca="1" si="3"/>
        <v>806.35436936936946</v>
      </c>
      <c r="Q45" s="11">
        <f t="shared" ca="1" si="4"/>
        <v>2.9930000000000002E-2</v>
      </c>
      <c r="R45" s="12">
        <f t="shared" ca="1" si="5"/>
        <v>24.134186275225229</v>
      </c>
    </row>
    <row r="46" spans="1:18">
      <c r="A46" s="198">
        <f t="shared" ca="1" si="15"/>
        <v>27</v>
      </c>
      <c r="B46" s="197">
        <f t="shared" ca="1" si="12"/>
        <v>45565</v>
      </c>
      <c r="C46" s="196">
        <f t="shared" ca="1" si="6"/>
        <v>811.7879259855157</v>
      </c>
      <c r="D46" s="21">
        <f t="shared" ca="1" si="13"/>
        <v>1607.3674771474641</v>
      </c>
      <c r="E46" s="196">
        <f t="shared" ca="1" si="7"/>
        <v>173902.06828279665</v>
      </c>
      <c r="F46" s="178">
        <f t="shared" ca="1" si="8"/>
        <v>36.689909803844259</v>
      </c>
      <c r="G46" s="178">
        <f t="shared" ca="1" si="9"/>
        <v>26.319999999999997</v>
      </c>
      <c r="H46" s="177">
        <f t="shared" ca="1" si="10"/>
        <v>25</v>
      </c>
      <c r="I46" s="196"/>
      <c r="J46" s="9" t="str">
        <f t="shared" ca="1" si="0"/>
        <v/>
      </c>
      <c r="K46" s="9" t="str">
        <f t="shared" ca="1" si="1"/>
        <v/>
      </c>
      <c r="L46" s="9">
        <f t="shared" ca="1" si="2"/>
        <v>9</v>
      </c>
      <c r="N46" s="176">
        <f t="shared" ca="1" si="11"/>
        <v>31</v>
      </c>
      <c r="O46" s="176">
        <f t="shared" ca="1" si="14"/>
        <v>845</v>
      </c>
      <c r="P46" s="175">
        <f t="shared" ca="1" si="3"/>
        <v>806.35436936936946</v>
      </c>
      <c r="Q46" s="11">
        <f t="shared" ca="1" si="4"/>
        <v>2.9930000000000002E-2</v>
      </c>
      <c r="R46" s="12">
        <f t="shared" ca="1" si="5"/>
        <v>24.134186275225229</v>
      </c>
    </row>
    <row r="47" spans="1:18">
      <c r="A47" s="198">
        <f t="shared" ca="1" si="15"/>
        <v>28</v>
      </c>
      <c r="B47" s="197">
        <f t="shared" ca="1" si="12"/>
        <v>45595</v>
      </c>
      <c r="C47" s="196">
        <f t="shared" ca="1" si="6"/>
        <v>811.7879259855157</v>
      </c>
      <c r="D47" s="21">
        <f t="shared" ca="1" si="13"/>
        <v>1599.8990282282732</v>
      </c>
      <c r="E47" s="196">
        <f t="shared" ca="1" si="7"/>
        <v>173090.28035681113</v>
      </c>
      <c r="F47" s="178">
        <f t="shared" ca="1" si="8"/>
        <v>36.519434339387296</v>
      </c>
      <c r="G47" s="178">
        <f t="shared" ca="1" si="9"/>
        <v>26.319999999999997</v>
      </c>
      <c r="H47" s="177">
        <f t="shared" ca="1" si="10"/>
        <v>25</v>
      </c>
      <c r="I47" s="196"/>
      <c r="J47" s="9" t="str">
        <f t="shared" ca="1" si="0"/>
        <v/>
      </c>
      <c r="K47" s="9" t="str">
        <f t="shared" ca="1" si="1"/>
        <v/>
      </c>
      <c r="L47" s="9">
        <f t="shared" ca="1" si="2"/>
        <v>10</v>
      </c>
      <c r="N47" s="176">
        <f t="shared" ca="1" si="11"/>
        <v>30</v>
      </c>
      <c r="O47" s="176">
        <f t="shared" ca="1" si="14"/>
        <v>875</v>
      </c>
      <c r="P47" s="175">
        <f t="shared" ca="1" si="3"/>
        <v>806.35436936936946</v>
      </c>
      <c r="Q47" s="11">
        <f t="shared" ca="1" si="4"/>
        <v>2.9930000000000002E-2</v>
      </c>
      <c r="R47" s="12">
        <f t="shared" ca="1" si="5"/>
        <v>24.134186275225229</v>
      </c>
    </row>
    <row r="48" spans="1:18">
      <c r="A48" s="198">
        <f t="shared" ca="1" si="15"/>
        <v>29</v>
      </c>
      <c r="B48" s="197">
        <f t="shared" ca="1" si="12"/>
        <v>45626</v>
      </c>
      <c r="C48" s="196">
        <f t="shared" ca="1" si="6"/>
        <v>811.7879259855157</v>
      </c>
      <c r="D48" s="21">
        <f t="shared" ca="1" si="13"/>
        <v>1592.4305793090825</v>
      </c>
      <c r="E48" s="196">
        <f t="shared" ca="1" si="7"/>
        <v>172278.4924308256</v>
      </c>
      <c r="F48" s="178">
        <f t="shared" ca="1" si="8"/>
        <v>36.348958874930339</v>
      </c>
      <c r="G48" s="178">
        <f t="shared" ca="1" si="9"/>
        <v>26.319999999999997</v>
      </c>
      <c r="H48" s="177">
        <f t="shared" ca="1" si="10"/>
        <v>25</v>
      </c>
      <c r="I48" s="196"/>
      <c r="J48" s="9" t="str">
        <f t="shared" ca="1" si="0"/>
        <v/>
      </c>
      <c r="K48" s="9" t="str">
        <f t="shared" ca="1" si="1"/>
        <v/>
      </c>
      <c r="L48" s="9">
        <f t="shared" ca="1" si="2"/>
        <v>11</v>
      </c>
      <c r="N48" s="176">
        <f t="shared" ca="1" si="11"/>
        <v>31</v>
      </c>
      <c r="O48" s="176">
        <f t="shared" ca="1" si="14"/>
        <v>906</v>
      </c>
      <c r="P48" s="175">
        <f t="shared" ca="1" si="3"/>
        <v>806.35436936936946</v>
      </c>
      <c r="Q48" s="11">
        <f t="shared" ca="1" si="4"/>
        <v>2.9930000000000002E-2</v>
      </c>
      <c r="R48" s="12">
        <f t="shared" ca="1" si="5"/>
        <v>24.134186275225229</v>
      </c>
    </row>
    <row r="49" spans="1:18">
      <c r="A49" s="198">
        <f t="shared" ca="1" si="15"/>
        <v>30</v>
      </c>
      <c r="B49" s="197">
        <f t="shared" ca="1" si="12"/>
        <v>45656</v>
      </c>
      <c r="C49" s="196">
        <f t="shared" ca="1" si="6"/>
        <v>811.7879259855157</v>
      </c>
      <c r="D49" s="21">
        <f t="shared" ca="1" si="13"/>
        <v>1584.9621303898919</v>
      </c>
      <c r="E49" s="196">
        <f t="shared" ca="1" si="7"/>
        <v>171466.70450484008</v>
      </c>
      <c r="F49" s="178">
        <f t="shared" ca="1" si="8"/>
        <v>36.178483410473376</v>
      </c>
      <c r="G49" s="178">
        <f t="shared" ca="1" si="9"/>
        <v>26.319999999999997</v>
      </c>
      <c r="H49" s="177">
        <f t="shared" ca="1" si="10"/>
        <v>25</v>
      </c>
      <c r="I49" s="196"/>
      <c r="J49" s="9" t="str">
        <f t="shared" ca="1" si="0"/>
        <v/>
      </c>
      <c r="K49" s="9" t="str">
        <f t="shared" ca="1" si="1"/>
        <v/>
      </c>
      <c r="L49" s="9">
        <f t="shared" ca="1" si="2"/>
        <v>12</v>
      </c>
      <c r="N49" s="176">
        <f t="shared" ca="1" si="11"/>
        <v>30</v>
      </c>
      <c r="O49" s="176">
        <f t="shared" ca="1" si="14"/>
        <v>936</v>
      </c>
      <c r="P49" s="175">
        <f t="shared" ca="1" si="3"/>
        <v>806.35436936936946</v>
      </c>
      <c r="Q49" s="11">
        <f t="shared" ca="1" si="4"/>
        <v>2.9930000000000002E-2</v>
      </c>
      <c r="R49" s="12">
        <f t="shared" ca="1" si="5"/>
        <v>24.134186275225229</v>
      </c>
    </row>
    <row r="50" spans="1:18">
      <c r="A50" s="198">
        <f t="shared" ca="1" si="15"/>
        <v>31</v>
      </c>
      <c r="B50" s="197">
        <f t="shared" ca="1" si="12"/>
        <v>45687</v>
      </c>
      <c r="C50" s="196">
        <f t="shared" ca="1" si="6"/>
        <v>811.7879259855157</v>
      </c>
      <c r="D50" s="21">
        <f t="shared" ca="1" si="13"/>
        <v>1577.4936814707009</v>
      </c>
      <c r="E50" s="196">
        <f t="shared" ca="1" si="7"/>
        <v>170654.91657885455</v>
      </c>
      <c r="F50" s="178">
        <f t="shared" ca="1" si="8"/>
        <v>36.00800794601642</v>
      </c>
      <c r="G50" s="178">
        <f t="shared" ca="1" si="9"/>
        <v>26.319999999999997</v>
      </c>
      <c r="H50" s="177">
        <f t="shared" ca="1" si="10"/>
        <v>25</v>
      </c>
      <c r="I50" s="196"/>
      <c r="J50" s="9" t="str">
        <f t="shared" ca="1" si="0"/>
        <v/>
      </c>
      <c r="K50" s="9" t="str">
        <f t="shared" ca="1" si="1"/>
        <v/>
      </c>
      <c r="L50" s="9">
        <f t="shared" ca="1" si="2"/>
        <v>1</v>
      </c>
      <c r="N50" s="176">
        <f t="shared" ca="1" si="11"/>
        <v>31</v>
      </c>
      <c r="O50" s="176">
        <f t="shared" ca="1" si="14"/>
        <v>967</v>
      </c>
      <c r="P50" s="175">
        <f t="shared" ca="1" si="3"/>
        <v>806.35436936936946</v>
      </c>
      <c r="Q50" s="11">
        <f t="shared" ca="1" si="4"/>
        <v>2.9930000000000002E-2</v>
      </c>
      <c r="R50" s="12">
        <f t="shared" ca="1" si="5"/>
        <v>24.134186275225229</v>
      </c>
    </row>
    <row r="51" spans="1:18">
      <c r="A51" s="198">
        <f t="shared" ca="1" si="15"/>
        <v>32</v>
      </c>
      <c r="B51" s="197">
        <f t="shared" ca="1" si="12"/>
        <v>45716</v>
      </c>
      <c r="C51" s="196">
        <f t="shared" ca="1" si="6"/>
        <v>811.7879259855157</v>
      </c>
      <c r="D51" s="21">
        <f t="shared" ca="1" si="13"/>
        <v>1570.0252325515103</v>
      </c>
      <c r="E51" s="196">
        <f t="shared" ca="1" si="7"/>
        <v>169843.12865286903</v>
      </c>
      <c r="F51" s="178">
        <f t="shared" ca="1" si="8"/>
        <v>35.837532481559457</v>
      </c>
      <c r="G51" s="178">
        <f t="shared" ca="1" si="9"/>
        <v>26.319999999999997</v>
      </c>
      <c r="H51" s="177">
        <f t="shared" ca="1" si="10"/>
        <v>25</v>
      </c>
      <c r="I51" s="196"/>
      <c r="J51" s="9" t="str">
        <f t="shared" ca="1" si="0"/>
        <v/>
      </c>
      <c r="K51" s="9" t="str">
        <f t="shared" ca="1" si="1"/>
        <v/>
      </c>
      <c r="L51" s="9">
        <f t="shared" ca="1" si="2"/>
        <v>2</v>
      </c>
      <c r="N51" s="176">
        <f t="shared" ca="1" si="11"/>
        <v>29</v>
      </c>
      <c r="O51" s="176">
        <f t="shared" ca="1" si="14"/>
        <v>996</v>
      </c>
      <c r="P51" s="175">
        <f t="shared" ca="1" si="3"/>
        <v>806.35436936936946</v>
      </c>
      <c r="Q51" s="11">
        <f t="shared" ca="1" si="4"/>
        <v>2.9930000000000002E-2</v>
      </c>
      <c r="R51" s="12">
        <f t="shared" ca="1" si="5"/>
        <v>24.134186275225229</v>
      </c>
    </row>
    <row r="52" spans="1:18">
      <c r="A52" s="198">
        <f t="shared" ca="1" si="15"/>
        <v>33</v>
      </c>
      <c r="B52" s="197">
        <f t="shared" ca="1" si="12"/>
        <v>45746</v>
      </c>
      <c r="C52" s="196">
        <f t="shared" ca="1" si="6"/>
        <v>811.7879259855157</v>
      </c>
      <c r="D52" s="21">
        <f t="shared" ca="1" si="13"/>
        <v>1562.5567836323196</v>
      </c>
      <c r="E52" s="196">
        <f t="shared" ca="1" si="7"/>
        <v>169031.3407268835</v>
      </c>
      <c r="F52" s="178">
        <f t="shared" ca="1" si="8"/>
        <v>35.667057017102493</v>
      </c>
      <c r="G52" s="178">
        <f t="shared" ca="1" si="9"/>
        <v>26.319999999999997</v>
      </c>
      <c r="H52" s="177">
        <f t="shared" ca="1" si="10"/>
        <v>25</v>
      </c>
      <c r="I52" s="196"/>
      <c r="J52" s="9" t="str">
        <f t="shared" ca="1" si="0"/>
        <v/>
      </c>
      <c r="K52" s="9" t="str">
        <f t="shared" ca="1" si="1"/>
        <v/>
      </c>
      <c r="L52" s="9">
        <f t="shared" ca="1" si="2"/>
        <v>3</v>
      </c>
      <c r="N52" s="176">
        <f t="shared" ca="1" si="11"/>
        <v>30</v>
      </c>
      <c r="O52" s="176">
        <f t="shared" ca="1" si="14"/>
        <v>1026</v>
      </c>
      <c r="P52" s="175">
        <f t="shared" ca="1" si="3"/>
        <v>806.35436936936946</v>
      </c>
      <c r="Q52" s="11">
        <f t="shared" ca="1" si="4"/>
        <v>2.9930000000000002E-2</v>
      </c>
      <c r="R52" s="12">
        <f t="shared" ca="1" si="5"/>
        <v>24.134186275225229</v>
      </c>
    </row>
    <row r="53" spans="1:18">
      <c r="A53" s="198">
        <f t="shared" ca="1" si="15"/>
        <v>34</v>
      </c>
      <c r="B53" s="197">
        <f t="shared" ca="1" si="12"/>
        <v>45777</v>
      </c>
      <c r="C53" s="196">
        <f t="shared" ca="1" si="6"/>
        <v>811.7879259855157</v>
      </c>
      <c r="D53" s="21">
        <f t="shared" ca="1" si="13"/>
        <v>1555.0883347131289</v>
      </c>
      <c r="E53" s="196">
        <f t="shared" ca="1" si="7"/>
        <v>168219.55280089797</v>
      </c>
      <c r="F53" s="178">
        <f t="shared" ca="1" si="8"/>
        <v>35.496581552645537</v>
      </c>
      <c r="G53" s="178">
        <f t="shared" ca="1" si="9"/>
        <v>26.319999999999997</v>
      </c>
      <c r="H53" s="177">
        <f t="shared" ca="1" si="10"/>
        <v>25</v>
      </c>
      <c r="I53" s="196"/>
      <c r="J53" s="9" t="str">
        <f t="shared" ca="1" si="0"/>
        <v/>
      </c>
      <c r="K53" s="9" t="str">
        <f t="shared" ca="1" si="1"/>
        <v/>
      </c>
      <c r="L53" s="9">
        <f t="shared" ca="1" si="2"/>
        <v>4</v>
      </c>
      <c r="N53" s="176">
        <f t="shared" ca="1" si="11"/>
        <v>31</v>
      </c>
      <c r="O53" s="176">
        <f t="shared" ca="1" si="14"/>
        <v>1057</v>
      </c>
      <c r="P53" s="175">
        <f t="shared" ca="1" si="3"/>
        <v>806.35436936936946</v>
      </c>
      <c r="Q53" s="11">
        <f t="shared" ca="1" si="4"/>
        <v>2.9930000000000002E-2</v>
      </c>
      <c r="R53" s="12">
        <f t="shared" ca="1" si="5"/>
        <v>24.134186275225229</v>
      </c>
    </row>
    <row r="54" spans="1:18">
      <c r="A54" s="198">
        <f t="shared" ca="1" si="15"/>
        <v>35</v>
      </c>
      <c r="B54" s="197">
        <f t="shared" ca="1" si="12"/>
        <v>45807</v>
      </c>
      <c r="C54" s="196">
        <f t="shared" ca="1" si="6"/>
        <v>811.7879259855157</v>
      </c>
      <c r="D54" s="21">
        <f t="shared" ca="1" si="13"/>
        <v>1547.619885793938</v>
      </c>
      <c r="E54" s="196">
        <f t="shared" ca="1" si="7"/>
        <v>167407.76487491245</v>
      </c>
      <c r="F54" s="178">
        <f t="shared" ca="1" si="8"/>
        <v>35.326106088188574</v>
      </c>
      <c r="G54" s="178">
        <f t="shared" ca="1" si="9"/>
        <v>26.319999999999997</v>
      </c>
      <c r="H54" s="177">
        <f t="shared" ca="1" si="10"/>
        <v>25</v>
      </c>
      <c r="I54" s="196"/>
      <c r="J54" s="9" t="str">
        <f t="shared" ca="1" si="0"/>
        <v/>
      </c>
      <c r="K54" s="9" t="str">
        <f t="shared" ca="1" si="1"/>
        <v/>
      </c>
      <c r="L54" s="9">
        <f t="shared" ca="1" si="2"/>
        <v>5</v>
      </c>
      <c r="N54" s="176">
        <f t="shared" ca="1" si="11"/>
        <v>30</v>
      </c>
      <c r="O54" s="176">
        <f t="shared" ca="1" si="14"/>
        <v>1087</v>
      </c>
      <c r="P54" s="175">
        <f t="shared" ca="1" si="3"/>
        <v>806.35436936936946</v>
      </c>
      <c r="Q54" s="11">
        <f t="shared" ca="1" si="4"/>
        <v>2.9930000000000002E-2</v>
      </c>
      <c r="R54" s="12">
        <f t="shared" ca="1" si="5"/>
        <v>24.134186275225229</v>
      </c>
    </row>
    <row r="55" spans="1:18">
      <c r="A55" s="198">
        <f t="shared" ca="1" si="15"/>
        <v>36</v>
      </c>
      <c r="B55" s="197">
        <f t="shared" ca="1" si="12"/>
        <v>45838</v>
      </c>
      <c r="C55" s="196">
        <f t="shared" ca="1" si="6"/>
        <v>811.7879259855157</v>
      </c>
      <c r="D55" s="21">
        <f t="shared" ca="1" si="13"/>
        <v>1540.1514368747473</v>
      </c>
      <c r="E55" s="196">
        <f t="shared" ca="1" si="7"/>
        <v>166595.97694892692</v>
      </c>
      <c r="F55" s="178">
        <f t="shared" ca="1" si="8"/>
        <v>35.155630623731618</v>
      </c>
      <c r="G55" s="178">
        <f t="shared" ca="1" si="9"/>
        <v>26.319999999999997</v>
      </c>
      <c r="H55" s="177">
        <f t="shared" ca="1" si="10"/>
        <v>25</v>
      </c>
      <c r="I55" s="196"/>
      <c r="J55" s="9" t="str">
        <f t="shared" ca="1" si="0"/>
        <v/>
      </c>
      <c r="K55" s="9" t="str">
        <f t="shared" ca="1" si="1"/>
        <v/>
      </c>
      <c r="L55" s="9">
        <f t="shared" ca="1" si="2"/>
        <v>6</v>
      </c>
      <c r="N55" s="176">
        <f t="shared" ca="1" si="11"/>
        <v>31</v>
      </c>
      <c r="O55" s="176">
        <f t="shared" ca="1" si="14"/>
        <v>1118</v>
      </c>
      <c r="P55" s="175">
        <f t="shared" ca="1" si="3"/>
        <v>806.35436936936946</v>
      </c>
      <c r="Q55" s="11">
        <f t="shared" ca="1" si="4"/>
        <v>2.9930000000000002E-2</v>
      </c>
      <c r="R55" s="12">
        <f t="shared" ca="1" si="5"/>
        <v>24.134186275225229</v>
      </c>
    </row>
    <row r="56" spans="1:18">
      <c r="A56" s="198">
        <f t="shared" ca="1" si="15"/>
        <v>37</v>
      </c>
      <c r="B56" s="197">
        <f t="shared" ca="1" si="12"/>
        <v>45868</v>
      </c>
      <c r="C56" s="196">
        <f t="shared" ca="1" si="6"/>
        <v>811.7879259855157</v>
      </c>
      <c r="D56" s="21">
        <f t="shared" ca="1" si="13"/>
        <v>1532.6829879555567</v>
      </c>
      <c r="E56" s="196">
        <f t="shared" ca="1" si="7"/>
        <v>165784.1890229414</v>
      </c>
      <c r="F56" s="178">
        <f t="shared" ca="1" si="8"/>
        <v>34.985155159274655</v>
      </c>
      <c r="G56" s="178">
        <f t="shared" ca="1" si="9"/>
        <v>26.319999999999997</v>
      </c>
      <c r="H56" s="177">
        <f t="shared" ca="1" si="10"/>
        <v>25</v>
      </c>
      <c r="I56" s="196"/>
      <c r="J56" s="9" t="str">
        <f t="shared" ca="1" si="0"/>
        <v/>
      </c>
      <c r="K56" s="9" t="str">
        <f t="shared" ca="1" si="1"/>
        <v/>
      </c>
      <c r="L56" s="9">
        <f t="shared" ca="1" si="2"/>
        <v>7</v>
      </c>
      <c r="N56" s="176">
        <f t="shared" ca="1" si="11"/>
        <v>30</v>
      </c>
      <c r="O56" s="176">
        <f t="shared" ca="1" si="14"/>
        <v>1148</v>
      </c>
      <c r="P56" s="175">
        <f t="shared" ca="1" si="3"/>
        <v>806.35436936936946</v>
      </c>
      <c r="Q56" s="11">
        <f t="shared" ca="1" si="4"/>
        <v>2.9930000000000002E-2</v>
      </c>
      <c r="R56" s="12">
        <f t="shared" ca="1" si="5"/>
        <v>24.134186275225229</v>
      </c>
    </row>
    <row r="57" spans="1:18">
      <c r="A57" s="198">
        <f t="shared" ca="1" si="15"/>
        <v>38</v>
      </c>
      <c r="B57" s="197">
        <f t="shared" ca="1" si="12"/>
        <v>45899</v>
      </c>
      <c r="C57" s="196">
        <f t="shared" ca="1" si="6"/>
        <v>811.7879259855157</v>
      </c>
      <c r="D57" s="21">
        <f t="shared" ca="1" si="13"/>
        <v>1525.2145390363657</v>
      </c>
      <c r="E57" s="196">
        <f t="shared" ca="1" si="7"/>
        <v>164972.40109695587</v>
      </c>
      <c r="F57" s="178">
        <f t="shared" ca="1" si="8"/>
        <v>34.814679694817698</v>
      </c>
      <c r="G57" s="178">
        <f t="shared" ca="1" si="9"/>
        <v>26.319999999999997</v>
      </c>
      <c r="H57" s="177">
        <f t="shared" ca="1" si="10"/>
        <v>25</v>
      </c>
      <c r="I57" s="196"/>
      <c r="J57" s="9" t="str">
        <f t="shared" ca="1" si="0"/>
        <v/>
      </c>
      <c r="K57" s="9" t="str">
        <f t="shared" ca="1" si="1"/>
        <v/>
      </c>
      <c r="L57" s="9">
        <f t="shared" ca="1" si="2"/>
        <v>8</v>
      </c>
      <c r="N57" s="176">
        <f t="shared" ca="1" si="11"/>
        <v>31</v>
      </c>
      <c r="O57" s="176">
        <f t="shared" ca="1" si="14"/>
        <v>1179</v>
      </c>
      <c r="P57" s="175">
        <f t="shared" ca="1" si="3"/>
        <v>806.35436936936946</v>
      </c>
      <c r="Q57" s="11">
        <f t="shared" ca="1" si="4"/>
        <v>2.9930000000000002E-2</v>
      </c>
      <c r="R57" s="12">
        <f t="shared" ca="1" si="5"/>
        <v>24.134186275225229</v>
      </c>
    </row>
    <row r="58" spans="1:18">
      <c r="A58" s="198">
        <f t="shared" ca="1" si="15"/>
        <v>39</v>
      </c>
      <c r="B58" s="197">
        <f t="shared" ca="1" si="12"/>
        <v>45930</v>
      </c>
      <c r="C58" s="196">
        <f t="shared" ca="1" si="6"/>
        <v>811.7879259855157</v>
      </c>
      <c r="D58" s="21">
        <f t="shared" ca="1" si="13"/>
        <v>1517.7460901171751</v>
      </c>
      <c r="E58" s="196">
        <f t="shared" ca="1" si="7"/>
        <v>164160.61317097035</v>
      </c>
      <c r="F58" s="178">
        <f t="shared" ca="1" si="8"/>
        <v>34.644204230360735</v>
      </c>
      <c r="G58" s="178">
        <f t="shared" ca="1" si="9"/>
        <v>26.319999999999997</v>
      </c>
      <c r="H58" s="177">
        <f t="shared" ca="1" si="10"/>
        <v>25</v>
      </c>
      <c r="I58" s="196"/>
      <c r="J58" s="9" t="str">
        <f t="shared" ca="1" si="0"/>
        <v/>
      </c>
      <c r="K58" s="9" t="str">
        <f t="shared" ca="1" si="1"/>
        <v/>
      </c>
      <c r="L58" s="9">
        <f t="shared" ca="1" si="2"/>
        <v>9</v>
      </c>
      <c r="N58" s="176">
        <f t="shared" ca="1" si="11"/>
        <v>31</v>
      </c>
      <c r="O58" s="176">
        <f t="shared" ca="1" si="14"/>
        <v>1210</v>
      </c>
      <c r="P58" s="175">
        <f t="shared" ca="1" si="3"/>
        <v>806.35436936936946</v>
      </c>
      <c r="Q58" s="11">
        <f t="shared" ca="1" si="4"/>
        <v>2.9930000000000002E-2</v>
      </c>
      <c r="R58" s="12">
        <f t="shared" ca="1" si="5"/>
        <v>24.134186275225229</v>
      </c>
    </row>
    <row r="59" spans="1:18">
      <c r="A59" s="198">
        <f t="shared" ca="1" si="15"/>
        <v>40</v>
      </c>
      <c r="B59" s="197">
        <f t="shared" ca="1" si="12"/>
        <v>45960</v>
      </c>
      <c r="C59" s="196">
        <f t="shared" ca="1" si="6"/>
        <v>811.7879259855157</v>
      </c>
      <c r="D59" s="21">
        <f t="shared" ca="1" si="13"/>
        <v>1510.2776411979844</v>
      </c>
      <c r="E59" s="196">
        <f t="shared" ca="1" si="7"/>
        <v>163348.82524498482</v>
      </c>
      <c r="F59" s="178">
        <f t="shared" ca="1" si="8"/>
        <v>34.473728765903772</v>
      </c>
      <c r="G59" s="178">
        <f t="shared" ca="1" si="9"/>
        <v>26.319999999999997</v>
      </c>
      <c r="H59" s="177">
        <f t="shared" ca="1" si="10"/>
        <v>25</v>
      </c>
      <c r="I59" s="196"/>
      <c r="J59" s="9" t="str">
        <f t="shared" ca="1" si="0"/>
        <v/>
      </c>
      <c r="K59" s="9" t="str">
        <f t="shared" ca="1" si="1"/>
        <v/>
      </c>
      <c r="L59" s="9">
        <f t="shared" ca="1" si="2"/>
        <v>10</v>
      </c>
      <c r="N59" s="176">
        <f t="shared" ca="1" si="11"/>
        <v>30</v>
      </c>
      <c r="O59" s="176">
        <f t="shared" ca="1" si="14"/>
        <v>1240</v>
      </c>
      <c r="P59" s="175">
        <f t="shared" ca="1" si="3"/>
        <v>806.35436936936946</v>
      </c>
      <c r="Q59" s="11">
        <f t="shared" ca="1" si="4"/>
        <v>2.9930000000000002E-2</v>
      </c>
      <c r="R59" s="12">
        <f t="shared" ca="1" si="5"/>
        <v>24.134186275225229</v>
      </c>
    </row>
    <row r="60" spans="1:18">
      <c r="A60" s="198">
        <f t="shared" ca="1" si="15"/>
        <v>41</v>
      </c>
      <c r="B60" s="197">
        <f t="shared" ca="1" si="12"/>
        <v>45991</v>
      </c>
      <c r="C60" s="196">
        <f t="shared" ca="1" si="6"/>
        <v>811.7879259855157</v>
      </c>
      <c r="D60" s="21">
        <f t="shared" ca="1" si="13"/>
        <v>1502.8091922787937</v>
      </c>
      <c r="E60" s="196">
        <f t="shared" ca="1" si="7"/>
        <v>162537.0373189993</v>
      </c>
      <c r="F60" s="178">
        <f t="shared" ca="1" si="8"/>
        <v>34.303253301446816</v>
      </c>
      <c r="G60" s="178">
        <f t="shared" ca="1" si="9"/>
        <v>26.319999999999997</v>
      </c>
      <c r="H60" s="177">
        <f t="shared" ca="1" si="10"/>
        <v>25</v>
      </c>
      <c r="I60" s="196"/>
      <c r="J60" s="9" t="str">
        <f t="shared" ca="1" si="0"/>
        <v/>
      </c>
      <c r="K60" s="9" t="str">
        <f t="shared" ca="1" si="1"/>
        <v/>
      </c>
      <c r="L60" s="9">
        <f t="shared" ca="1" si="2"/>
        <v>11</v>
      </c>
      <c r="N60" s="176">
        <f t="shared" ca="1" si="11"/>
        <v>31</v>
      </c>
      <c r="O60" s="176">
        <f t="shared" ca="1" si="14"/>
        <v>1271</v>
      </c>
      <c r="P60" s="175">
        <f t="shared" ca="1" si="3"/>
        <v>806.35436936936946</v>
      </c>
      <c r="Q60" s="11">
        <f t="shared" ca="1" si="4"/>
        <v>2.9930000000000002E-2</v>
      </c>
      <c r="R60" s="12">
        <f t="shared" ca="1" si="5"/>
        <v>24.134186275225229</v>
      </c>
    </row>
    <row r="61" spans="1:18">
      <c r="A61" s="198">
        <f t="shared" ca="1" si="15"/>
        <v>42</v>
      </c>
      <c r="B61" s="197">
        <f t="shared" ca="1" si="12"/>
        <v>46021</v>
      </c>
      <c r="C61" s="196">
        <f t="shared" ca="1" si="6"/>
        <v>811.7879259855157</v>
      </c>
      <c r="D61" s="21">
        <f t="shared" ca="1" si="13"/>
        <v>1495.3407433596028</v>
      </c>
      <c r="E61" s="196">
        <f t="shared" ca="1" si="7"/>
        <v>161725.24939301377</v>
      </c>
      <c r="F61" s="178">
        <f t="shared" ca="1" si="8"/>
        <v>34.132777836989852</v>
      </c>
      <c r="G61" s="178">
        <f t="shared" ca="1" si="9"/>
        <v>26.319999999999997</v>
      </c>
      <c r="H61" s="177">
        <f t="shared" ca="1" si="10"/>
        <v>25</v>
      </c>
      <c r="I61" s="196"/>
      <c r="J61" s="9" t="str">
        <f t="shared" ca="1" si="0"/>
        <v/>
      </c>
      <c r="K61" s="9" t="str">
        <f t="shared" ca="1" si="1"/>
        <v/>
      </c>
      <c r="L61" s="9">
        <f t="shared" ca="1" si="2"/>
        <v>12</v>
      </c>
      <c r="N61" s="176">
        <f t="shared" ca="1" si="11"/>
        <v>30</v>
      </c>
      <c r="O61" s="176">
        <f t="shared" ca="1" si="14"/>
        <v>1301</v>
      </c>
      <c r="P61" s="175">
        <f t="shared" ca="1" si="3"/>
        <v>806.35436936936946</v>
      </c>
      <c r="Q61" s="11">
        <f t="shared" ca="1" si="4"/>
        <v>2.9930000000000002E-2</v>
      </c>
      <c r="R61" s="12">
        <f t="shared" ca="1" si="5"/>
        <v>24.134186275225229</v>
      </c>
    </row>
    <row r="62" spans="1:18">
      <c r="A62" s="198">
        <f t="shared" ca="1" si="15"/>
        <v>43</v>
      </c>
      <c r="B62" s="197">
        <f t="shared" ca="1" si="12"/>
        <v>46052</v>
      </c>
      <c r="C62" s="196">
        <f t="shared" ca="1" si="6"/>
        <v>811.7879259855157</v>
      </c>
      <c r="D62" s="21">
        <f t="shared" ca="1" si="13"/>
        <v>1487.8722944404121</v>
      </c>
      <c r="E62" s="196">
        <f t="shared" ca="1" si="7"/>
        <v>160913.46146702825</v>
      </c>
      <c r="F62" s="178">
        <f t="shared" ca="1" si="8"/>
        <v>33.962302372532896</v>
      </c>
      <c r="G62" s="178">
        <f t="shared" ca="1" si="9"/>
        <v>26.319999999999997</v>
      </c>
      <c r="H62" s="177">
        <f t="shared" ca="1" si="10"/>
        <v>25</v>
      </c>
      <c r="I62" s="196"/>
      <c r="J62" s="9" t="str">
        <f t="shared" ca="1" si="0"/>
        <v/>
      </c>
      <c r="K62" s="9" t="str">
        <f t="shared" ca="1" si="1"/>
        <v/>
      </c>
      <c r="L62" s="9">
        <f t="shared" ca="1" si="2"/>
        <v>1</v>
      </c>
      <c r="N62" s="176">
        <f t="shared" ca="1" si="11"/>
        <v>31</v>
      </c>
      <c r="O62" s="176">
        <f t="shared" ca="1" si="14"/>
        <v>1332</v>
      </c>
      <c r="P62" s="175">
        <f t="shared" ca="1" si="3"/>
        <v>806.35436936936946</v>
      </c>
      <c r="Q62" s="11">
        <f t="shared" ca="1" si="4"/>
        <v>2.9930000000000002E-2</v>
      </c>
      <c r="R62" s="12">
        <f t="shared" ca="1" si="5"/>
        <v>24.134186275225229</v>
      </c>
    </row>
    <row r="63" spans="1:18">
      <c r="A63" s="198">
        <f t="shared" ca="1" si="15"/>
        <v>44</v>
      </c>
      <c r="B63" s="197">
        <f t="shared" ca="1" si="12"/>
        <v>46081</v>
      </c>
      <c r="C63" s="196">
        <f t="shared" ca="1" si="6"/>
        <v>811.7879259855157</v>
      </c>
      <c r="D63" s="21">
        <f t="shared" ca="1" si="13"/>
        <v>1480.4038455212215</v>
      </c>
      <c r="E63" s="196">
        <f t="shared" ca="1" si="7"/>
        <v>160101.67354104272</v>
      </c>
      <c r="F63" s="178">
        <f t="shared" ca="1" si="8"/>
        <v>33.791826908075933</v>
      </c>
      <c r="G63" s="178">
        <f t="shared" ca="1" si="9"/>
        <v>26.319999999999997</v>
      </c>
      <c r="H63" s="177">
        <f t="shared" ca="1" si="10"/>
        <v>25</v>
      </c>
      <c r="I63" s="196"/>
      <c r="J63" s="9" t="str">
        <f t="shared" ca="1" si="0"/>
        <v/>
      </c>
      <c r="K63" s="9" t="str">
        <f t="shared" ca="1" si="1"/>
        <v/>
      </c>
      <c r="L63" s="9">
        <f t="shared" ca="1" si="2"/>
        <v>2</v>
      </c>
      <c r="N63" s="176">
        <f t="shared" ca="1" si="11"/>
        <v>29</v>
      </c>
      <c r="O63" s="176">
        <f t="shared" ca="1" si="14"/>
        <v>1361</v>
      </c>
      <c r="P63" s="175">
        <f t="shared" ca="1" si="3"/>
        <v>806.35436936936946</v>
      </c>
      <c r="Q63" s="11">
        <f t="shared" ca="1" si="4"/>
        <v>2.9930000000000002E-2</v>
      </c>
      <c r="R63" s="12">
        <f t="shared" ca="1" si="5"/>
        <v>24.134186275225229</v>
      </c>
    </row>
    <row r="64" spans="1:18">
      <c r="A64" s="198">
        <f t="shared" ca="1" si="15"/>
        <v>45</v>
      </c>
      <c r="B64" s="197">
        <f t="shared" ca="1" si="12"/>
        <v>46111</v>
      </c>
      <c r="C64" s="196">
        <f t="shared" ca="1" si="6"/>
        <v>811.7879259855157</v>
      </c>
      <c r="D64" s="21">
        <f t="shared" ca="1" si="13"/>
        <v>1472.9353966020306</v>
      </c>
      <c r="E64" s="196">
        <f t="shared" ca="1" si="7"/>
        <v>159289.8856150572</v>
      </c>
      <c r="F64" s="178">
        <f t="shared" ca="1" si="8"/>
        <v>33.62135144361897</v>
      </c>
      <c r="G64" s="178">
        <f t="shared" ca="1" si="9"/>
        <v>26.319999999999997</v>
      </c>
      <c r="H64" s="177">
        <f t="shared" ca="1" si="10"/>
        <v>25</v>
      </c>
      <c r="I64" s="196"/>
      <c r="J64" s="9" t="str">
        <f t="shared" ca="1" si="0"/>
        <v/>
      </c>
      <c r="K64" s="9" t="str">
        <f t="shared" ca="1" si="1"/>
        <v/>
      </c>
      <c r="L64" s="9">
        <f t="shared" ca="1" si="2"/>
        <v>3</v>
      </c>
      <c r="N64" s="176">
        <f t="shared" ca="1" si="11"/>
        <v>30</v>
      </c>
      <c r="O64" s="176">
        <f t="shared" ca="1" si="14"/>
        <v>1391</v>
      </c>
      <c r="P64" s="175">
        <f t="shared" ca="1" si="3"/>
        <v>806.35436936936946</v>
      </c>
      <c r="Q64" s="11">
        <f t="shared" ca="1" si="4"/>
        <v>2.9930000000000002E-2</v>
      </c>
      <c r="R64" s="12">
        <f t="shared" ca="1" si="5"/>
        <v>24.134186275225229</v>
      </c>
    </row>
    <row r="65" spans="1:18">
      <c r="A65" s="198">
        <f t="shared" ca="1" si="15"/>
        <v>46</v>
      </c>
      <c r="B65" s="197">
        <f t="shared" ca="1" si="12"/>
        <v>46142</v>
      </c>
      <c r="C65" s="196">
        <f t="shared" ca="1" si="6"/>
        <v>811.7879259855157</v>
      </c>
      <c r="D65" s="21">
        <f t="shared" ca="1" si="13"/>
        <v>1465.4669476828399</v>
      </c>
      <c r="E65" s="196">
        <f t="shared" ca="1" si="7"/>
        <v>158478.09768907167</v>
      </c>
      <c r="F65" s="178">
        <f t="shared" ca="1" si="8"/>
        <v>33.450875979162014</v>
      </c>
      <c r="G65" s="178">
        <f t="shared" ca="1" si="9"/>
        <v>26.319999999999997</v>
      </c>
      <c r="H65" s="177">
        <f t="shared" ca="1" si="10"/>
        <v>25</v>
      </c>
      <c r="I65" s="196"/>
      <c r="J65" s="9" t="str">
        <f t="shared" ca="1" si="0"/>
        <v/>
      </c>
      <c r="K65" s="9" t="str">
        <f t="shared" ca="1" si="1"/>
        <v/>
      </c>
      <c r="L65" s="9">
        <f t="shared" ca="1" si="2"/>
        <v>4</v>
      </c>
      <c r="N65" s="176">
        <f t="shared" ca="1" si="11"/>
        <v>31</v>
      </c>
      <c r="O65" s="176">
        <f t="shared" ca="1" si="14"/>
        <v>1422</v>
      </c>
      <c r="P65" s="175">
        <f t="shared" ca="1" si="3"/>
        <v>806.35436936936946</v>
      </c>
      <c r="Q65" s="11">
        <f t="shared" ca="1" si="4"/>
        <v>2.9930000000000002E-2</v>
      </c>
      <c r="R65" s="12">
        <f t="shared" ca="1" si="5"/>
        <v>24.134186275225229</v>
      </c>
    </row>
    <row r="66" spans="1:18">
      <c r="A66" s="198">
        <f t="shared" ca="1" si="15"/>
        <v>47</v>
      </c>
      <c r="B66" s="197">
        <f t="shared" ca="1" si="12"/>
        <v>46172</v>
      </c>
      <c r="C66" s="196">
        <f t="shared" ca="1" si="6"/>
        <v>811.7879259855157</v>
      </c>
      <c r="D66" s="21">
        <f t="shared" ca="1" si="13"/>
        <v>1457.9984987636492</v>
      </c>
      <c r="E66" s="196">
        <f t="shared" ca="1" si="7"/>
        <v>157666.30976308614</v>
      </c>
      <c r="F66" s="178">
        <f t="shared" ca="1" si="8"/>
        <v>33.28040051470505</v>
      </c>
      <c r="G66" s="178">
        <f t="shared" ca="1" si="9"/>
        <v>26.319999999999997</v>
      </c>
      <c r="H66" s="177">
        <f t="shared" ca="1" si="10"/>
        <v>25</v>
      </c>
      <c r="I66" s="196"/>
      <c r="J66" s="9" t="str">
        <f t="shared" ca="1" si="0"/>
        <v/>
      </c>
      <c r="K66" s="9" t="str">
        <f t="shared" ca="1" si="1"/>
        <v/>
      </c>
      <c r="L66" s="9">
        <f t="shared" ca="1" si="2"/>
        <v>5</v>
      </c>
      <c r="N66" s="176">
        <f t="shared" ca="1" si="11"/>
        <v>30</v>
      </c>
      <c r="O66" s="176">
        <f t="shared" ca="1" si="14"/>
        <v>1452</v>
      </c>
      <c r="P66" s="175">
        <f t="shared" ca="1" si="3"/>
        <v>806.35436936936946</v>
      </c>
      <c r="Q66" s="11">
        <f t="shared" ca="1" si="4"/>
        <v>2.9930000000000002E-2</v>
      </c>
      <c r="R66" s="12">
        <f t="shared" ca="1" si="5"/>
        <v>24.134186275225229</v>
      </c>
    </row>
    <row r="67" spans="1:18">
      <c r="A67" s="198">
        <f t="shared" ca="1" si="15"/>
        <v>48</v>
      </c>
      <c r="B67" s="197">
        <f t="shared" ca="1" si="12"/>
        <v>46203</v>
      </c>
      <c r="C67" s="196">
        <f t="shared" ca="1" si="6"/>
        <v>811.7879259855157</v>
      </c>
      <c r="D67" s="21">
        <f t="shared" ca="1" si="13"/>
        <v>1450.5300498444585</v>
      </c>
      <c r="E67" s="196">
        <f t="shared" ca="1" si="7"/>
        <v>156854.52183710062</v>
      </c>
      <c r="F67" s="178">
        <f t="shared" ca="1" si="8"/>
        <v>33.109925050248094</v>
      </c>
      <c r="G67" s="178">
        <f t="shared" ca="1" si="9"/>
        <v>26.319999999999997</v>
      </c>
      <c r="H67" s="177">
        <f t="shared" ca="1" si="10"/>
        <v>25</v>
      </c>
      <c r="I67" s="196"/>
      <c r="J67" s="9" t="str">
        <f t="shared" ca="1" si="0"/>
        <v/>
      </c>
      <c r="K67" s="9" t="str">
        <f t="shared" ca="1" si="1"/>
        <v/>
      </c>
      <c r="L67" s="9">
        <f t="shared" ca="1" si="2"/>
        <v>6</v>
      </c>
      <c r="N67" s="176">
        <f t="shared" ca="1" si="11"/>
        <v>31</v>
      </c>
      <c r="O67" s="176">
        <f t="shared" ca="1" si="14"/>
        <v>1483</v>
      </c>
      <c r="P67" s="175">
        <f t="shared" ca="1" si="3"/>
        <v>806.35436936936946</v>
      </c>
      <c r="Q67" s="11">
        <f t="shared" ca="1" si="4"/>
        <v>2.9930000000000002E-2</v>
      </c>
      <c r="R67" s="12">
        <f t="shared" ca="1" si="5"/>
        <v>24.134186275225229</v>
      </c>
    </row>
    <row r="68" spans="1:18">
      <c r="A68" s="198">
        <f t="shared" ca="1" si="15"/>
        <v>49</v>
      </c>
      <c r="B68" s="197">
        <f t="shared" ca="1" si="12"/>
        <v>46233</v>
      </c>
      <c r="C68" s="196">
        <f t="shared" ca="1" si="6"/>
        <v>811.7879259855157</v>
      </c>
      <c r="D68" s="21">
        <f t="shared" ca="1" si="13"/>
        <v>1443.0616009252676</v>
      </c>
      <c r="E68" s="196">
        <f t="shared" ca="1" si="7"/>
        <v>156042.73391111509</v>
      </c>
      <c r="F68" s="178">
        <f t="shared" ca="1" si="8"/>
        <v>32.939449585791131</v>
      </c>
      <c r="G68" s="178">
        <f t="shared" ca="1" si="9"/>
        <v>26.319999999999997</v>
      </c>
      <c r="H68" s="177">
        <f t="shared" ca="1" si="10"/>
        <v>25</v>
      </c>
      <c r="I68" s="196"/>
      <c r="J68" s="9" t="str">
        <f t="shared" ca="1" si="0"/>
        <v/>
      </c>
      <c r="K68" s="9" t="str">
        <f t="shared" ca="1" si="1"/>
        <v/>
      </c>
      <c r="L68" s="9">
        <f t="shared" ca="1" si="2"/>
        <v>7</v>
      </c>
      <c r="N68" s="176">
        <f t="shared" ca="1" si="11"/>
        <v>30</v>
      </c>
      <c r="O68" s="176">
        <f t="shared" ca="1" si="14"/>
        <v>1513</v>
      </c>
      <c r="P68" s="175">
        <f t="shared" ca="1" si="3"/>
        <v>806.35436936936946</v>
      </c>
      <c r="Q68" s="11">
        <f t="shared" ca="1" si="4"/>
        <v>2.9930000000000002E-2</v>
      </c>
      <c r="R68" s="12">
        <f t="shared" ca="1" si="5"/>
        <v>24.134186275225229</v>
      </c>
    </row>
    <row r="69" spans="1:18">
      <c r="A69" s="198">
        <f t="shared" ca="1" si="15"/>
        <v>50</v>
      </c>
      <c r="B69" s="197">
        <f t="shared" ca="1" si="12"/>
        <v>46264</v>
      </c>
      <c r="C69" s="196">
        <f t="shared" ca="1" si="6"/>
        <v>811.7879259855157</v>
      </c>
      <c r="D69" s="21">
        <f t="shared" ca="1" si="13"/>
        <v>1435.5931520060769</v>
      </c>
      <c r="E69" s="196">
        <f t="shared" ca="1" si="7"/>
        <v>155230.94598512957</v>
      </c>
      <c r="F69" s="178">
        <f t="shared" ca="1" si="8"/>
        <v>32.768974121334168</v>
      </c>
      <c r="G69" s="178">
        <f t="shared" ca="1" si="9"/>
        <v>26.319999999999997</v>
      </c>
      <c r="H69" s="177">
        <f t="shared" ca="1" si="10"/>
        <v>25</v>
      </c>
      <c r="I69" s="196"/>
      <c r="J69" s="9" t="str">
        <f t="shared" ca="1" si="0"/>
        <v/>
      </c>
      <c r="K69" s="9" t="str">
        <f t="shared" ca="1" si="1"/>
        <v/>
      </c>
      <c r="L69" s="9">
        <f t="shared" ca="1" si="2"/>
        <v>8</v>
      </c>
      <c r="N69" s="176">
        <f t="shared" ca="1" si="11"/>
        <v>31</v>
      </c>
      <c r="O69" s="176">
        <f t="shared" ca="1" si="14"/>
        <v>1544</v>
      </c>
      <c r="P69" s="175">
        <f t="shared" ca="1" si="3"/>
        <v>806.35436936936946</v>
      </c>
      <c r="Q69" s="11">
        <f t="shared" ca="1" si="4"/>
        <v>2.9930000000000002E-2</v>
      </c>
      <c r="R69" s="12">
        <f t="shared" ca="1" si="5"/>
        <v>24.134186275225229</v>
      </c>
    </row>
    <row r="70" spans="1:18">
      <c r="A70" s="198">
        <f t="shared" ca="1" si="15"/>
        <v>51</v>
      </c>
      <c r="B70" s="197">
        <f t="shared" ca="1" si="12"/>
        <v>46295</v>
      </c>
      <c r="C70" s="196">
        <f t="shared" ca="1" si="6"/>
        <v>811.7879259855157</v>
      </c>
      <c r="D70" s="21">
        <f t="shared" ca="1" si="13"/>
        <v>1428.1247030868863</v>
      </c>
      <c r="E70" s="196">
        <f t="shared" ca="1" si="7"/>
        <v>154419.15805914404</v>
      </c>
      <c r="F70" s="178">
        <f t="shared" ca="1" si="8"/>
        <v>32.598498656877211</v>
      </c>
      <c r="G70" s="178">
        <f t="shared" ca="1" si="9"/>
        <v>26.319999999999997</v>
      </c>
      <c r="H70" s="177">
        <f t="shared" ca="1" si="10"/>
        <v>25</v>
      </c>
      <c r="I70" s="196"/>
      <c r="J70" s="9" t="str">
        <f t="shared" ca="1" si="0"/>
        <v/>
      </c>
      <c r="K70" s="9" t="str">
        <f t="shared" ca="1" si="1"/>
        <v/>
      </c>
      <c r="L70" s="9">
        <f t="shared" ca="1" si="2"/>
        <v>9</v>
      </c>
      <c r="N70" s="176">
        <f t="shared" ca="1" si="11"/>
        <v>31</v>
      </c>
      <c r="O70" s="176">
        <f t="shared" ca="1" si="14"/>
        <v>1575</v>
      </c>
      <c r="P70" s="175">
        <f t="shared" ca="1" si="3"/>
        <v>806.35436936936946</v>
      </c>
      <c r="Q70" s="11">
        <f t="shared" ca="1" si="4"/>
        <v>2.9930000000000002E-2</v>
      </c>
      <c r="R70" s="12">
        <f t="shared" ca="1" si="5"/>
        <v>24.134186275225229</v>
      </c>
    </row>
    <row r="71" spans="1:18">
      <c r="A71" s="198">
        <f t="shared" ca="1" si="15"/>
        <v>52</v>
      </c>
      <c r="B71" s="197">
        <f t="shared" ca="1" si="12"/>
        <v>46325</v>
      </c>
      <c r="C71" s="196">
        <f t="shared" ca="1" si="6"/>
        <v>811.7879259855157</v>
      </c>
      <c r="D71" s="21">
        <f t="shared" ca="1" si="13"/>
        <v>1420.6562541676954</v>
      </c>
      <c r="E71" s="196">
        <f t="shared" ca="1" si="7"/>
        <v>153607.37013315852</v>
      </c>
      <c r="F71" s="178">
        <f t="shared" ca="1" si="8"/>
        <v>32.428023192420248</v>
      </c>
      <c r="G71" s="178">
        <f t="shared" ca="1" si="9"/>
        <v>26.319999999999997</v>
      </c>
      <c r="H71" s="177">
        <f t="shared" ca="1" si="10"/>
        <v>25</v>
      </c>
      <c r="I71" s="196"/>
      <c r="J71" s="9" t="str">
        <f t="shared" ca="1" si="0"/>
        <v/>
      </c>
      <c r="K71" s="9" t="str">
        <f t="shared" ca="1" si="1"/>
        <v/>
      </c>
      <c r="L71" s="9">
        <f t="shared" ca="1" si="2"/>
        <v>10</v>
      </c>
      <c r="N71" s="176">
        <f t="shared" ca="1" si="11"/>
        <v>30</v>
      </c>
      <c r="O71" s="176">
        <f t="shared" ca="1" si="14"/>
        <v>1605</v>
      </c>
      <c r="P71" s="175">
        <f t="shared" ca="1" si="3"/>
        <v>806.35436936936946</v>
      </c>
      <c r="Q71" s="11">
        <f t="shared" ca="1" si="4"/>
        <v>2.9930000000000002E-2</v>
      </c>
      <c r="R71" s="12">
        <f t="shared" ca="1" si="5"/>
        <v>24.134186275225229</v>
      </c>
    </row>
    <row r="72" spans="1:18">
      <c r="A72" s="198">
        <f t="shared" ca="1" si="15"/>
        <v>53</v>
      </c>
      <c r="B72" s="197">
        <f t="shared" ca="1" si="12"/>
        <v>46356</v>
      </c>
      <c r="C72" s="196">
        <f t="shared" ca="1" si="6"/>
        <v>811.7879259855157</v>
      </c>
      <c r="D72" s="21">
        <f t="shared" ca="1" si="13"/>
        <v>1413.1878052485047</v>
      </c>
      <c r="E72" s="196">
        <f t="shared" ca="1" si="7"/>
        <v>152795.58220717299</v>
      </c>
      <c r="F72" s="178">
        <f t="shared" ca="1" si="8"/>
        <v>32.257547727963292</v>
      </c>
      <c r="G72" s="178">
        <f t="shared" ca="1" si="9"/>
        <v>26.319999999999997</v>
      </c>
      <c r="H72" s="177">
        <f t="shared" ca="1" si="10"/>
        <v>25</v>
      </c>
      <c r="I72" s="196"/>
      <c r="J72" s="9" t="str">
        <f t="shared" ca="1" si="0"/>
        <v/>
      </c>
      <c r="K72" s="9" t="str">
        <f t="shared" ca="1" si="1"/>
        <v/>
      </c>
      <c r="L72" s="9">
        <f t="shared" ca="1" si="2"/>
        <v>11</v>
      </c>
      <c r="N72" s="176">
        <f t="shared" ca="1" si="11"/>
        <v>31</v>
      </c>
      <c r="O72" s="176">
        <f t="shared" ca="1" si="14"/>
        <v>1636</v>
      </c>
      <c r="P72" s="175">
        <f t="shared" ca="1" si="3"/>
        <v>806.35436936936946</v>
      </c>
      <c r="Q72" s="11">
        <f t="shared" ca="1" si="4"/>
        <v>2.9930000000000002E-2</v>
      </c>
      <c r="R72" s="12">
        <f t="shared" ca="1" si="5"/>
        <v>24.134186275225229</v>
      </c>
    </row>
    <row r="73" spans="1:18">
      <c r="A73" s="198">
        <f t="shared" ca="1" si="15"/>
        <v>54</v>
      </c>
      <c r="B73" s="197">
        <f t="shared" ca="1" si="12"/>
        <v>46386</v>
      </c>
      <c r="C73" s="196">
        <f t="shared" ca="1" si="6"/>
        <v>811.7879259855157</v>
      </c>
      <c r="D73" s="21">
        <f t="shared" ca="1" si="13"/>
        <v>1405.719356329314</v>
      </c>
      <c r="E73" s="196">
        <f t="shared" ca="1" si="7"/>
        <v>151983.79428118747</v>
      </c>
      <c r="F73" s="178">
        <f t="shared" ca="1" si="8"/>
        <v>32.087072263506329</v>
      </c>
      <c r="G73" s="178">
        <f t="shared" ca="1" si="9"/>
        <v>26.319999999999997</v>
      </c>
      <c r="H73" s="177">
        <f t="shared" ca="1" si="10"/>
        <v>25</v>
      </c>
      <c r="I73" s="196"/>
      <c r="J73" s="9" t="str">
        <f t="shared" ca="1" si="0"/>
        <v/>
      </c>
      <c r="K73" s="9" t="str">
        <f t="shared" ca="1" si="1"/>
        <v/>
      </c>
      <c r="L73" s="9">
        <f t="shared" ca="1" si="2"/>
        <v>12</v>
      </c>
      <c r="N73" s="176">
        <f t="shared" ca="1" si="11"/>
        <v>30</v>
      </c>
      <c r="O73" s="176">
        <f t="shared" ca="1" si="14"/>
        <v>1666</v>
      </c>
      <c r="P73" s="175">
        <f t="shared" ca="1" si="3"/>
        <v>806.35436936936946</v>
      </c>
      <c r="Q73" s="11">
        <f t="shared" ca="1" si="4"/>
        <v>2.9930000000000002E-2</v>
      </c>
      <c r="R73" s="12">
        <f t="shared" ca="1" si="5"/>
        <v>24.134186275225229</v>
      </c>
    </row>
    <row r="74" spans="1:18">
      <c r="A74" s="198">
        <f t="shared" ca="1" si="15"/>
        <v>55</v>
      </c>
      <c r="B74" s="197">
        <f t="shared" ca="1" si="12"/>
        <v>46417</v>
      </c>
      <c r="C74" s="196">
        <f t="shared" ca="1" si="6"/>
        <v>811.7879259855157</v>
      </c>
      <c r="D74" s="21">
        <f t="shared" ca="1" si="13"/>
        <v>1398.2509074101233</v>
      </c>
      <c r="E74" s="196">
        <f t="shared" ca="1" si="7"/>
        <v>151172.00635520194</v>
      </c>
      <c r="F74" s="178">
        <f t="shared" ca="1" si="8"/>
        <v>31.916596799049369</v>
      </c>
      <c r="G74" s="178">
        <f t="shared" ca="1" si="9"/>
        <v>26.319999999999997</v>
      </c>
      <c r="H74" s="177">
        <f t="shared" ca="1" si="10"/>
        <v>25</v>
      </c>
      <c r="I74" s="196"/>
      <c r="J74" s="9" t="str">
        <f t="shared" ca="1" si="0"/>
        <v/>
      </c>
      <c r="K74" s="9" t="str">
        <f t="shared" ca="1" si="1"/>
        <v/>
      </c>
      <c r="L74" s="9">
        <f t="shared" ca="1" si="2"/>
        <v>1</v>
      </c>
      <c r="N74" s="176">
        <f t="shared" ca="1" si="11"/>
        <v>31</v>
      </c>
      <c r="O74" s="176">
        <f t="shared" ca="1" si="14"/>
        <v>1697</v>
      </c>
      <c r="P74" s="175">
        <f t="shared" ca="1" si="3"/>
        <v>806.35436936936946</v>
      </c>
      <c r="Q74" s="11">
        <f t="shared" ca="1" si="4"/>
        <v>2.9930000000000002E-2</v>
      </c>
      <c r="R74" s="12">
        <f t="shared" ca="1" si="5"/>
        <v>24.134186275225229</v>
      </c>
    </row>
    <row r="75" spans="1:18">
      <c r="A75" s="198">
        <f t="shared" ca="1" si="15"/>
        <v>56</v>
      </c>
      <c r="B75" s="197">
        <f t="shared" ca="1" si="12"/>
        <v>46446</v>
      </c>
      <c r="C75" s="196">
        <f t="shared" ca="1" si="6"/>
        <v>811.7879259855157</v>
      </c>
      <c r="D75" s="21">
        <f t="shared" ca="1" si="13"/>
        <v>1390.7824584909324</v>
      </c>
      <c r="E75" s="196">
        <f t="shared" ca="1" si="7"/>
        <v>150360.21842921642</v>
      </c>
      <c r="F75" s="178">
        <f t="shared" ca="1" si="8"/>
        <v>31.746121334592409</v>
      </c>
      <c r="G75" s="178">
        <f t="shared" ca="1" si="9"/>
        <v>26.319999999999997</v>
      </c>
      <c r="H75" s="177">
        <f t="shared" ca="1" si="10"/>
        <v>25</v>
      </c>
      <c r="I75" s="196"/>
      <c r="J75" s="9" t="str">
        <f t="shared" ca="1" si="0"/>
        <v/>
      </c>
      <c r="K75" s="9" t="str">
        <f t="shared" ca="1" si="1"/>
        <v/>
      </c>
      <c r="L75" s="9">
        <f t="shared" ca="1" si="2"/>
        <v>2</v>
      </c>
      <c r="N75" s="176">
        <f t="shared" ca="1" si="11"/>
        <v>29</v>
      </c>
      <c r="O75" s="176">
        <f t="shared" ca="1" si="14"/>
        <v>1726</v>
      </c>
      <c r="P75" s="175">
        <f t="shared" ca="1" si="3"/>
        <v>806.35436936936946</v>
      </c>
      <c r="Q75" s="11">
        <f t="shared" ca="1" si="4"/>
        <v>2.9930000000000002E-2</v>
      </c>
      <c r="R75" s="12">
        <f t="shared" ca="1" si="5"/>
        <v>24.134186275225229</v>
      </c>
    </row>
    <row r="76" spans="1:18">
      <c r="A76" s="198">
        <f t="shared" ca="1" si="15"/>
        <v>57</v>
      </c>
      <c r="B76" s="197">
        <f t="shared" ca="1" si="12"/>
        <v>46476</v>
      </c>
      <c r="C76" s="196">
        <f t="shared" ca="1" si="6"/>
        <v>811.7879259855157</v>
      </c>
      <c r="D76" s="21">
        <f t="shared" ca="1" si="13"/>
        <v>1383.3140095717417</v>
      </c>
      <c r="E76" s="196">
        <f t="shared" ca="1" si="7"/>
        <v>149548.43050323089</v>
      </c>
      <c r="F76" s="178">
        <f t="shared" ca="1" si="8"/>
        <v>31.57564587013545</v>
      </c>
      <c r="G76" s="178">
        <f t="shared" ca="1" si="9"/>
        <v>26.319999999999997</v>
      </c>
      <c r="H76" s="177">
        <f t="shared" ca="1" si="10"/>
        <v>25</v>
      </c>
      <c r="I76" s="196"/>
      <c r="J76" s="9" t="str">
        <f t="shared" ca="1" si="0"/>
        <v/>
      </c>
      <c r="K76" s="9" t="str">
        <f t="shared" ca="1" si="1"/>
        <v/>
      </c>
      <c r="L76" s="9">
        <f t="shared" ca="1" si="2"/>
        <v>3</v>
      </c>
      <c r="N76" s="176">
        <f t="shared" ca="1" si="11"/>
        <v>30</v>
      </c>
      <c r="O76" s="176">
        <f t="shared" ca="1" si="14"/>
        <v>1756</v>
      </c>
      <c r="P76" s="175">
        <f t="shared" ca="1" si="3"/>
        <v>806.35436936936946</v>
      </c>
      <c r="Q76" s="11">
        <f t="shared" ca="1" si="4"/>
        <v>2.9930000000000002E-2</v>
      </c>
      <c r="R76" s="12">
        <f t="shared" ca="1" si="5"/>
        <v>24.134186275225229</v>
      </c>
    </row>
    <row r="77" spans="1:18">
      <c r="A77" s="198">
        <f t="shared" ca="1" si="15"/>
        <v>58</v>
      </c>
      <c r="B77" s="197">
        <f t="shared" ca="1" si="12"/>
        <v>46507</v>
      </c>
      <c r="C77" s="196">
        <f t="shared" ca="1" si="6"/>
        <v>811.7879259855157</v>
      </c>
      <c r="D77" s="21">
        <f t="shared" ca="1" si="13"/>
        <v>1375.8455606525511</v>
      </c>
      <c r="E77" s="196">
        <f t="shared" ca="1" si="7"/>
        <v>148736.64257724537</v>
      </c>
      <c r="F77" s="178">
        <f t="shared" ca="1" si="8"/>
        <v>31.40517040567849</v>
      </c>
      <c r="G77" s="178">
        <f t="shared" ca="1" si="9"/>
        <v>26.319999999999997</v>
      </c>
      <c r="H77" s="177">
        <f t="shared" ca="1" si="10"/>
        <v>25</v>
      </c>
      <c r="I77" s="196"/>
      <c r="J77" s="9" t="str">
        <f t="shared" ca="1" si="0"/>
        <v/>
      </c>
      <c r="K77" s="9" t="str">
        <f t="shared" ca="1" si="1"/>
        <v/>
      </c>
      <c r="L77" s="9">
        <f t="shared" ca="1" si="2"/>
        <v>4</v>
      </c>
      <c r="N77" s="176">
        <f t="shared" ca="1" si="11"/>
        <v>31</v>
      </c>
      <c r="O77" s="176">
        <f t="shared" ca="1" si="14"/>
        <v>1787</v>
      </c>
      <c r="P77" s="175">
        <f t="shared" ca="1" si="3"/>
        <v>806.35436936936946</v>
      </c>
      <c r="Q77" s="11">
        <f t="shared" ca="1" si="4"/>
        <v>2.9930000000000002E-2</v>
      </c>
      <c r="R77" s="12">
        <f t="shared" ca="1" si="5"/>
        <v>24.134186275225229</v>
      </c>
    </row>
    <row r="78" spans="1:18">
      <c r="A78" s="198">
        <f t="shared" ca="1" si="15"/>
        <v>59</v>
      </c>
      <c r="B78" s="197">
        <f t="shared" ca="1" si="12"/>
        <v>46537</v>
      </c>
      <c r="C78" s="196">
        <f t="shared" ca="1" si="6"/>
        <v>811.7879259855157</v>
      </c>
      <c r="D78" s="21">
        <f t="shared" ca="1" si="13"/>
        <v>1368.3771117333602</v>
      </c>
      <c r="E78" s="196">
        <f t="shared" ca="1" si="7"/>
        <v>147924.85465125984</v>
      </c>
      <c r="F78" s="178">
        <f t="shared" ca="1" si="8"/>
        <v>31.234694941221527</v>
      </c>
      <c r="G78" s="178">
        <f t="shared" ca="1" si="9"/>
        <v>26.319999999999997</v>
      </c>
      <c r="H78" s="177">
        <f t="shared" ca="1" si="10"/>
        <v>25</v>
      </c>
      <c r="I78" s="196"/>
      <c r="J78" s="9" t="str">
        <f t="shared" ca="1" si="0"/>
        <v/>
      </c>
      <c r="K78" s="9" t="str">
        <f t="shared" ca="1" si="1"/>
        <v/>
      </c>
      <c r="L78" s="9">
        <f t="shared" ca="1" si="2"/>
        <v>5</v>
      </c>
      <c r="N78" s="176">
        <f t="shared" ca="1" si="11"/>
        <v>30</v>
      </c>
      <c r="O78" s="176">
        <f t="shared" ca="1" si="14"/>
        <v>1817</v>
      </c>
      <c r="P78" s="175">
        <f t="shared" ca="1" si="3"/>
        <v>806.35436936936946</v>
      </c>
      <c r="Q78" s="11">
        <f t="shared" ca="1" si="4"/>
        <v>2.9930000000000002E-2</v>
      </c>
      <c r="R78" s="12">
        <f t="shared" ca="1" si="5"/>
        <v>24.134186275225229</v>
      </c>
    </row>
    <row r="79" spans="1:18">
      <c r="A79" s="198">
        <f t="shared" ca="1" si="15"/>
        <v>60</v>
      </c>
      <c r="B79" s="197">
        <f t="shared" ca="1" si="12"/>
        <v>46568</v>
      </c>
      <c r="C79" s="196">
        <f t="shared" ca="1" si="6"/>
        <v>811.7879259855157</v>
      </c>
      <c r="D79" s="21">
        <f t="shared" ca="1" si="13"/>
        <v>1360.9086628141695</v>
      </c>
      <c r="E79" s="196">
        <f t="shared" ca="1" si="7"/>
        <v>147113.06672527432</v>
      </c>
      <c r="F79" s="178">
        <f t="shared" ca="1" si="8"/>
        <v>31.064219476764567</v>
      </c>
      <c r="G79" s="178">
        <f t="shared" ca="1" si="9"/>
        <v>26.319999999999997</v>
      </c>
      <c r="H79" s="177">
        <f t="shared" ca="1" si="10"/>
        <v>25</v>
      </c>
      <c r="I79" s="196"/>
      <c r="J79" s="9" t="str">
        <f t="shared" ca="1" si="0"/>
        <v/>
      </c>
      <c r="K79" s="9" t="str">
        <f t="shared" ca="1" si="1"/>
        <v/>
      </c>
      <c r="L79" s="9">
        <f t="shared" ca="1" si="2"/>
        <v>6</v>
      </c>
      <c r="N79" s="176">
        <f t="shared" ca="1" si="11"/>
        <v>31</v>
      </c>
      <c r="O79" s="176">
        <f t="shared" ca="1" si="14"/>
        <v>1848</v>
      </c>
      <c r="P79" s="175">
        <f t="shared" ca="1" si="3"/>
        <v>806.35436936936946</v>
      </c>
      <c r="Q79" s="11">
        <f t="shared" ca="1" si="4"/>
        <v>2.9930000000000002E-2</v>
      </c>
      <c r="R79" s="12">
        <f t="shared" ca="1" si="5"/>
        <v>24.134186275225229</v>
      </c>
    </row>
    <row r="80" spans="1:18">
      <c r="A80" s="198">
        <f t="shared" ca="1" si="15"/>
        <v>61</v>
      </c>
      <c r="B80" s="197">
        <f t="shared" ca="1" si="12"/>
        <v>46598</v>
      </c>
      <c r="C80" s="196">
        <f t="shared" ca="1" si="6"/>
        <v>811.7879259855157</v>
      </c>
      <c r="D80" s="21">
        <f t="shared" ca="1" si="13"/>
        <v>1353.4402138949788</v>
      </c>
      <c r="E80" s="196">
        <f t="shared" ca="1" si="7"/>
        <v>146301.27879928879</v>
      </c>
      <c r="F80" s="178">
        <f t="shared" ca="1" si="8"/>
        <v>30.893744012307607</v>
      </c>
      <c r="G80" s="178">
        <f t="shared" ca="1" si="9"/>
        <v>26.319999999999997</v>
      </c>
      <c r="H80" s="177">
        <f t="shared" ca="1" si="10"/>
        <v>25</v>
      </c>
      <c r="I80" s="196"/>
      <c r="J80" s="9" t="str">
        <f t="shared" ca="1" si="0"/>
        <v/>
      </c>
      <c r="K80" s="9" t="str">
        <f t="shared" ca="1" si="1"/>
        <v/>
      </c>
      <c r="L80" s="9">
        <f t="shared" ca="1" si="2"/>
        <v>7</v>
      </c>
      <c r="N80" s="176">
        <f t="shared" ca="1" si="11"/>
        <v>30</v>
      </c>
      <c r="O80" s="176">
        <f t="shared" ca="1" si="14"/>
        <v>1878</v>
      </c>
      <c r="P80" s="175">
        <f t="shared" ca="1" si="3"/>
        <v>806.35436936936946</v>
      </c>
      <c r="Q80" s="11">
        <f t="shared" ca="1" si="4"/>
        <v>2.9930000000000002E-2</v>
      </c>
      <c r="R80" s="12">
        <f t="shared" ca="1" si="5"/>
        <v>24.134186275225229</v>
      </c>
    </row>
    <row r="81" spans="1:18">
      <c r="A81" s="198">
        <f t="shared" ca="1" si="15"/>
        <v>62</v>
      </c>
      <c r="B81" s="197">
        <f t="shared" ca="1" si="12"/>
        <v>46629</v>
      </c>
      <c r="C81" s="196">
        <f t="shared" ca="1" si="6"/>
        <v>811.7879259855157</v>
      </c>
      <c r="D81" s="21">
        <f t="shared" ca="1" si="13"/>
        <v>1345.9717649757881</v>
      </c>
      <c r="E81" s="196">
        <f t="shared" ca="1" si="7"/>
        <v>145489.49087330326</v>
      </c>
      <c r="F81" s="178">
        <f t="shared" ca="1" si="8"/>
        <v>30.723268547850648</v>
      </c>
      <c r="G81" s="178">
        <f t="shared" ca="1" si="9"/>
        <v>26.319999999999997</v>
      </c>
      <c r="H81" s="177">
        <f t="shared" ca="1" si="10"/>
        <v>25</v>
      </c>
      <c r="I81" s="196"/>
      <c r="J81" s="9" t="str">
        <f t="shared" ca="1" si="0"/>
        <v/>
      </c>
      <c r="K81" s="9" t="str">
        <f t="shared" ca="1" si="1"/>
        <v/>
      </c>
      <c r="L81" s="9">
        <f t="shared" ca="1" si="2"/>
        <v>8</v>
      </c>
      <c r="N81" s="176">
        <f t="shared" ca="1" si="11"/>
        <v>31</v>
      </c>
      <c r="O81" s="176">
        <f t="shared" ca="1" si="14"/>
        <v>1909</v>
      </c>
      <c r="P81" s="175">
        <f t="shared" ca="1" si="3"/>
        <v>806.35436936936946</v>
      </c>
      <c r="Q81" s="11">
        <f t="shared" ca="1" si="4"/>
        <v>2.9930000000000002E-2</v>
      </c>
      <c r="R81" s="12">
        <f t="shared" ca="1" si="5"/>
        <v>24.134186275225229</v>
      </c>
    </row>
    <row r="82" spans="1:18">
      <c r="A82" s="198">
        <f t="shared" ca="1" si="15"/>
        <v>63</v>
      </c>
      <c r="B82" s="197">
        <f t="shared" ca="1" si="12"/>
        <v>46660</v>
      </c>
      <c r="C82" s="196">
        <f t="shared" ca="1" si="6"/>
        <v>811.7879259855157</v>
      </c>
      <c r="D82" s="21">
        <f t="shared" ca="1" si="13"/>
        <v>1338.5033160565972</v>
      </c>
      <c r="E82" s="196">
        <f t="shared" ca="1" si="7"/>
        <v>144677.70294731774</v>
      </c>
      <c r="F82" s="178">
        <f t="shared" ca="1" si="8"/>
        <v>30.552793083393688</v>
      </c>
      <c r="G82" s="178">
        <f t="shared" ca="1" si="9"/>
        <v>26.319999999999997</v>
      </c>
      <c r="H82" s="177">
        <f t="shared" ca="1" si="10"/>
        <v>25</v>
      </c>
      <c r="I82" s="196"/>
      <c r="J82" s="9" t="str">
        <f t="shared" ref="J82:J145" ca="1" si="16">IF(A82="I","Carencia",IF(A82&lt;=$C$12,"Carencia",""))</f>
        <v/>
      </c>
      <c r="K82" s="9" t="str">
        <f t="shared" ref="K82:K145" ca="1" si="17">IF(L82=$C$13,"Pula","")</f>
        <v/>
      </c>
      <c r="L82" s="9">
        <f t="shared" ref="L82:L145" ca="1" si="18">IFERROR(MONTH(B82),"")</f>
        <v>9</v>
      </c>
      <c r="N82" s="176">
        <f t="shared" ca="1" si="11"/>
        <v>31</v>
      </c>
      <c r="O82" s="176">
        <f t="shared" ca="1" si="14"/>
        <v>1940</v>
      </c>
      <c r="P82" s="175">
        <f t="shared" ref="P82:P145" ca="1" si="19">IF(A82&lt;&gt;"",$E$18/($C$8-$C$12-$D$13),"")</f>
        <v>806.35436936936946</v>
      </c>
      <c r="Q82" s="11">
        <f t="shared" ref="Q82:Q145" ca="1" si="20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ca="1" si="21">IFERROR(Q82*P82,"")</f>
        <v>24.134186275225229</v>
      </c>
    </row>
    <row r="83" spans="1:18">
      <c r="A83" s="198">
        <f t="shared" ca="1" si="15"/>
        <v>64</v>
      </c>
      <c r="B83" s="197">
        <f t="shared" ca="1" si="12"/>
        <v>46690</v>
      </c>
      <c r="C83" s="196">
        <f t="shared" ref="C83:C146" ca="1" si="22">IFERROR(IF(OR(J83="Carencia",K83="Pula",A83=""),0,_xlfn.XLOOKUP(IF(AND($F$3&lt;DAY($F$2),$C$12=0),0,"I"),$A:$A,$E:$E)/($C$8-$D$13-$C$12)),"")</f>
        <v>811.7879259855157</v>
      </c>
      <c r="D83" s="21">
        <f t="shared" ca="1" si="13"/>
        <v>1331.0348671374065</v>
      </c>
      <c r="E83" s="196">
        <f t="shared" ref="E83:E146" ca="1" si="23">IFERROR(IF(OR(J83="Carencia",K83="Pula"),E82+D83+SUM(F83:H83),(E82-C83)),"")</f>
        <v>143865.91502133221</v>
      </c>
      <c r="F83" s="178">
        <f t="shared" ref="F83:F146" ca="1" si="24">IFERROR(IF(OR(AND(DAY(B83)=DAY(B82),MONTH(B83)&lt;&gt;MONTH(B82)),MONTH(B83)&lt;&gt;MONTH(B82)),E82*$I$7,""),"")</f>
        <v>30.382317618936728</v>
      </c>
      <c r="G83" s="178">
        <f t="shared" ref="G83:G146" ca="1" si="25">IFERROR(IF(OR(AND(DAY(B83)=DAY(B82),MONTH(B83)&lt;&gt;MONTH(B82)),MONTH(B83)&lt;&gt;MONTH(B82)),$C$11*$I$8,0),"")</f>
        <v>26.319999999999997</v>
      </c>
      <c r="H83" s="177">
        <f t="shared" ref="H83:H146" ca="1" si="26">IFERROR(IF(OR(AND(DAY(B83)=DAY(B82),MONTH(B83)&lt;&gt;MONTH(B82)),MONTH(B83)&lt;&gt;MONTH(B82)),$I$10,0),"")</f>
        <v>25</v>
      </c>
      <c r="I83" s="196"/>
      <c r="J83" s="9" t="str">
        <f t="shared" ca="1" si="16"/>
        <v/>
      </c>
      <c r="K83" s="9" t="str">
        <f t="shared" ca="1" si="17"/>
        <v/>
      </c>
      <c r="L83" s="9">
        <f t="shared" ca="1" si="18"/>
        <v>10</v>
      </c>
      <c r="N83" s="176">
        <f t="shared" ref="N83:N146" ca="1" si="27">IFERROR(B83-B82,"")</f>
        <v>30</v>
      </c>
      <c r="O83" s="176">
        <f t="shared" ca="1" si="14"/>
        <v>1970</v>
      </c>
      <c r="P83" s="175">
        <f t="shared" ca="1" si="19"/>
        <v>806.35436936936946</v>
      </c>
      <c r="Q83" s="11">
        <f t="shared" ca="1" si="20"/>
        <v>2.9930000000000002E-2</v>
      </c>
      <c r="R83" s="12">
        <f t="shared" ca="1" si="21"/>
        <v>24.134186275225229</v>
      </c>
    </row>
    <row r="84" spans="1:18">
      <c r="A84" s="198">
        <f t="shared" ca="1" si="15"/>
        <v>65</v>
      </c>
      <c r="B84" s="197">
        <f t="shared" ref="B84:B147" ca="1" si="28">IF(A84&lt;&gt;"",IF(DAY(EOMONTH($F$2,0))&lt;$F$3,IF(MONTH($F$2)=2,DATE(YEAR(B83),3,F67),EOMONTH(B83,1)),EDATE($B$19,A84-IF($A$19="I",0,1))),"")</f>
        <v>46721</v>
      </c>
      <c r="C84" s="196">
        <f t="shared" ca="1" si="22"/>
        <v>811.7879259855157</v>
      </c>
      <c r="D84" s="21">
        <f t="shared" ref="D84:D147" ca="1" si="29">IFERROR(IF(DAY(B84)=DAY(B83),IF(K84="Pula",0,($C$9)*E83),IF(AND(K84="Pula",J84=""),0,IF(AND($F$3=30,OR(AND(DAY(B83)=28,MONTH(B83)=2),AND(DAY(B83)=29,MONTH(B83)=2))),$C$9*E83,$C$9*E83))),"")</f>
        <v>1323.5664182182159</v>
      </c>
      <c r="E84" s="196">
        <f t="shared" ca="1" si="23"/>
        <v>143054.12709534669</v>
      </c>
      <c r="F84" s="178">
        <f t="shared" ca="1" si="24"/>
        <v>30.211842154479765</v>
      </c>
      <c r="G84" s="178">
        <f t="shared" ca="1" si="25"/>
        <v>26.319999999999997</v>
      </c>
      <c r="H84" s="177">
        <f t="shared" ca="1" si="26"/>
        <v>25</v>
      </c>
      <c r="I84" s="196"/>
      <c r="J84" s="9" t="str">
        <f t="shared" ca="1" si="16"/>
        <v/>
      </c>
      <c r="K84" s="9" t="str">
        <f t="shared" ca="1" si="17"/>
        <v/>
      </c>
      <c r="L84" s="9">
        <f t="shared" ca="1" si="18"/>
        <v>11</v>
      </c>
      <c r="N84" s="176">
        <f t="shared" ca="1" si="27"/>
        <v>31</v>
      </c>
      <c r="O84" s="176">
        <f t="shared" ref="O84:O147" ca="1" si="30">IFERROR(N84+O83,"")</f>
        <v>2001</v>
      </c>
      <c r="P84" s="175">
        <f t="shared" ca="1" si="19"/>
        <v>806.35436936936946</v>
      </c>
      <c r="Q84" s="11">
        <f t="shared" ca="1" si="20"/>
        <v>2.9930000000000002E-2</v>
      </c>
      <c r="R84" s="12">
        <f t="shared" ca="1" si="21"/>
        <v>24.134186275225229</v>
      </c>
    </row>
    <row r="85" spans="1:18">
      <c r="A85" s="198">
        <f t="shared" ref="A85:A148" ca="1" si="31">IF(A84&gt;=$C$8,"",A84+1)</f>
        <v>66</v>
      </c>
      <c r="B85" s="197">
        <f t="shared" ca="1" si="28"/>
        <v>46751</v>
      </c>
      <c r="C85" s="196">
        <f t="shared" ca="1" si="22"/>
        <v>811.7879259855157</v>
      </c>
      <c r="D85" s="21">
        <f t="shared" ca="1" si="29"/>
        <v>1316.097969299025</v>
      </c>
      <c r="E85" s="196">
        <f t="shared" ca="1" si="23"/>
        <v>142242.33916936116</v>
      </c>
      <c r="F85" s="178">
        <f t="shared" ca="1" si="24"/>
        <v>30.041366690022805</v>
      </c>
      <c r="G85" s="178">
        <f t="shared" ca="1" si="25"/>
        <v>26.319999999999997</v>
      </c>
      <c r="H85" s="177">
        <f t="shared" ca="1" si="26"/>
        <v>25</v>
      </c>
      <c r="I85" s="196"/>
      <c r="J85" s="9" t="str">
        <f t="shared" ca="1" si="16"/>
        <v/>
      </c>
      <c r="K85" s="9" t="str">
        <f t="shared" ca="1" si="17"/>
        <v/>
      </c>
      <c r="L85" s="9">
        <f t="shared" ca="1" si="18"/>
        <v>12</v>
      </c>
      <c r="N85" s="176">
        <f t="shared" ca="1" si="27"/>
        <v>30</v>
      </c>
      <c r="O85" s="176">
        <f t="shared" ca="1" si="30"/>
        <v>2031</v>
      </c>
      <c r="P85" s="175">
        <f t="shared" ca="1" si="19"/>
        <v>806.35436936936946</v>
      </c>
      <c r="Q85" s="11">
        <f t="shared" ca="1" si="20"/>
        <v>2.9930000000000002E-2</v>
      </c>
      <c r="R85" s="12">
        <f t="shared" ca="1" si="21"/>
        <v>24.134186275225229</v>
      </c>
    </row>
    <row r="86" spans="1:18">
      <c r="A86" s="198">
        <f t="shared" ca="1" si="31"/>
        <v>67</v>
      </c>
      <c r="B86" s="197">
        <f t="shared" ca="1" si="28"/>
        <v>46782</v>
      </c>
      <c r="C86" s="196">
        <f t="shared" ca="1" si="22"/>
        <v>811.7879259855157</v>
      </c>
      <c r="D86" s="21">
        <f t="shared" ca="1" si="29"/>
        <v>1308.6295203798343</v>
      </c>
      <c r="E86" s="196">
        <f t="shared" ca="1" si="23"/>
        <v>141430.55124337564</v>
      </c>
      <c r="F86" s="178">
        <f t="shared" ca="1" si="24"/>
        <v>29.870891225565845</v>
      </c>
      <c r="G86" s="178">
        <f t="shared" ca="1" si="25"/>
        <v>26.319999999999997</v>
      </c>
      <c r="H86" s="177">
        <f t="shared" ca="1" si="26"/>
        <v>25</v>
      </c>
      <c r="I86" s="196"/>
      <c r="J86" s="9" t="str">
        <f t="shared" ca="1" si="16"/>
        <v/>
      </c>
      <c r="K86" s="9" t="str">
        <f t="shared" ca="1" si="17"/>
        <v/>
      </c>
      <c r="L86" s="9">
        <f t="shared" ca="1" si="18"/>
        <v>1</v>
      </c>
      <c r="N86" s="176">
        <f t="shared" ca="1" si="27"/>
        <v>31</v>
      </c>
      <c r="O86" s="176">
        <f t="shared" ca="1" si="30"/>
        <v>2062</v>
      </c>
      <c r="P86" s="175">
        <f t="shared" ca="1" si="19"/>
        <v>806.35436936936946</v>
      </c>
      <c r="Q86" s="11">
        <f t="shared" ca="1" si="20"/>
        <v>2.9930000000000002E-2</v>
      </c>
      <c r="R86" s="12">
        <f t="shared" ca="1" si="21"/>
        <v>24.134186275225229</v>
      </c>
    </row>
    <row r="87" spans="1:18">
      <c r="A87" s="198">
        <f t="shared" ca="1" si="31"/>
        <v>68</v>
      </c>
      <c r="B87" s="197">
        <f t="shared" ca="1" si="28"/>
        <v>46812</v>
      </c>
      <c r="C87" s="196">
        <f t="shared" ca="1" si="22"/>
        <v>811.7879259855157</v>
      </c>
      <c r="D87" s="21">
        <f t="shared" ca="1" si="29"/>
        <v>1301.1610714606436</v>
      </c>
      <c r="E87" s="196">
        <f t="shared" ca="1" si="23"/>
        <v>140618.76331739011</v>
      </c>
      <c r="F87" s="178">
        <f t="shared" ca="1" si="24"/>
        <v>29.700415761108886</v>
      </c>
      <c r="G87" s="178">
        <f t="shared" ca="1" si="25"/>
        <v>26.319999999999997</v>
      </c>
      <c r="H87" s="177">
        <f t="shared" ca="1" si="26"/>
        <v>25</v>
      </c>
      <c r="I87" s="196"/>
      <c r="J87" s="9" t="str">
        <f t="shared" ca="1" si="16"/>
        <v/>
      </c>
      <c r="K87" s="9" t="str">
        <f t="shared" ca="1" si="17"/>
        <v/>
      </c>
      <c r="L87" s="9">
        <f t="shared" ca="1" si="18"/>
        <v>2</v>
      </c>
      <c r="N87" s="176">
        <f t="shared" ca="1" si="27"/>
        <v>30</v>
      </c>
      <c r="O87" s="176">
        <f t="shared" ca="1" si="30"/>
        <v>2092</v>
      </c>
      <c r="P87" s="175">
        <f t="shared" ca="1" si="19"/>
        <v>806.35436936936946</v>
      </c>
      <c r="Q87" s="11">
        <f t="shared" ca="1" si="20"/>
        <v>2.9930000000000002E-2</v>
      </c>
      <c r="R87" s="12">
        <f t="shared" ca="1" si="21"/>
        <v>24.134186275225229</v>
      </c>
    </row>
    <row r="88" spans="1:18">
      <c r="A88" s="198">
        <f t="shared" ca="1" si="31"/>
        <v>69</v>
      </c>
      <c r="B88" s="197">
        <f t="shared" ca="1" si="28"/>
        <v>46842</v>
      </c>
      <c r="C88" s="196">
        <f t="shared" ca="1" si="22"/>
        <v>811.7879259855157</v>
      </c>
      <c r="D88" s="21">
        <f t="shared" ca="1" si="29"/>
        <v>1293.6926225414529</v>
      </c>
      <c r="E88" s="196">
        <f t="shared" ca="1" si="23"/>
        <v>139806.97539140459</v>
      </c>
      <c r="F88" s="178">
        <f t="shared" ca="1" si="24"/>
        <v>29.529940296651926</v>
      </c>
      <c r="G88" s="178">
        <f t="shared" ca="1" si="25"/>
        <v>26.319999999999997</v>
      </c>
      <c r="H88" s="177">
        <f t="shared" ca="1" si="26"/>
        <v>25</v>
      </c>
      <c r="I88" s="196"/>
      <c r="J88" s="9" t="str">
        <f t="shared" ca="1" si="16"/>
        <v/>
      </c>
      <c r="K88" s="9" t="str">
        <f t="shared" ca="1" si="17"/>
        <v/>
      </c>
      <c r="L88" s="9">
        <f t="shared" ca="1" si="18"/>
        <v>3</v>
      </c>
      <c r="N88" s="176">
        <f t="shared" ca="1" si="27"/>
        <v>30</v>
      </c>
      <c r="O88" s="176">
        <f t="shared" ca="1" si="30"/>
        <v>2122</v>
      </c>
      <c r="P88" s="175">
        <f t="shared" ca="1" si="19"/>
        <v>806.35436936936946</v>
      </c>
      <c r="Q88" s="11">
        <f t="shared" ca="1" si="20"/>
        <v>2.9930000000000002E-2</v>
      </c>
      <c r="R88" s="12">
        <f t="shared" ca="1" si="21"/>
        <v>24.134186275225229</v>
      </c>
    </row>
    <row r="89" spans="1:18">
      <c r="A89" s="198">
        <f t="shared" ca="1" si="31"/>
        <v>70</v>
      </c>
      <c r="B89" s="197">
        <f t="shared" ca="1" si="28"/>
        <v>46873</v>
      </c>
      <c r="C89" s="196">
        <f t="shared" ca="1" si="22"/>
        <v>811.7879259855157</v>
      </c>
      <c r="D89" s="21">
        <f t="shared" ca="1" si="29"/>
        <v>1286.224173622262</v>
      </c>
      <c r="E89" s="196">
        <f t="shared" ca="1" si="23"/>
        <v>138995.18746541906</v>
      </c>
      <c r="F89" s="178">
        <f t="shared" ca="1" si="24"/>
        <v>29.359464832194963</v>
      </c>
      <c r="G89" s="178">
        <f t="shared" ca="1" si="25"/>
        <v>26.319999999999997</v>
      </c>
      <c r="H89" s="177">
        <f t="shared" ca="1" si="26"/>
        <v>25</v>
      </c>
      <c r="I89" s="196"/>
      <c r="J89" s="9" t="str">
        <f t="shared" ca="1" si="16"/>
        <v/>
      </c>
      <c r="K89" s="9" t="str">
        <f t="shared" ca="1" si="17"/>
        <v/>
      </c>
      <c r="L89" s="9">
        <f t="shared" ca="1" si="18"/>
        <v>4</v>
      </c>
      <c r="N89" s="176">
        <f t="shared" ca="1" si="27"/>
        <v>31</v>
      </c>
      <c r="O89" s="176">
        <f t="shared" ca="1" si="30"/>
        <v>2153</v>
      </c>
      <c r="P89" s="175">
        <f t="shared" ca="1" si="19"/>
        <v>806.35436936936946</v>
      </c>
      <c r="Q89" s="11">
        <f t="shared" ca="1" si="20"/>
        <v>2.9930000000000002E-2</v>
      </c>
      <c r="R89" s="12">
        <f t="shared" ca="1" si="21"/>
        <v>24.134186275225229</v>
      </c>
    </row>
    <row r="90" spans="1:18">
      <c r="A90" s="198">
        <f t="shared" ca="1" si="31"/>
        <v>71</v>
      </c>
      <c r="B90" s="197">
        <f t="shared" ca="1" si="28"/>
        <v>46903</v>
      </c>
      <c r="C90" s="196">
        <f t="shared" ca="1" si="22"/>
        <v>811.7879259855157</v>
      </c>
      <c r="D90" s="21">
        <f t="shared" ca="1" si="29"/>
        <v>1278.7557247030713</v>
      </c>
      <c r="E90" s="196">
        <f t="shared" ca="1" si="23"/>
        <v>138183.39953943354</v>
      </c>
      <c r="F90" s="178">
        <f t="shared" ca="1" si="24"/>
        <v>29.188989367738003</v>
      </c>
      <c r="G90" s="178">
        <f t="shared" ca="1" si="25"/>
        <v>26.319999999999997</v>
      </c>
      <c r="H90" s="177">
        <f t="shared" ca="1" si="26"/>
        <v>25</v>
      </c>
      <c r="I90" s="196"/>
      <c r="J90" s="9" t="str">
        <f t="shared" ca="1" si="16"/>
        <v/>
      </c>
      <c r="K90" s="9" t="str">
        <f t="shared" ca="1" si="17"/>
        <v/>
      </c>
      <c r="L90" s="9">
        <f t="shared" ca="1" si="18"/>
        <v>5</v>
      </c>
      <c r="N90" s="176">
        <f t="shared" ca="1" si="27"/>
        <v>30</v>
      </c>
      <c r="O90" s="176">
        <f t="shared" ca="1" si="30"/>
        <v>2183</v>
      </c>
      <c r="P90" s="175">
        <f t="shared" ca="1" si="19"/>
        <v>806.35436936936946</v>
      </c>
      <c r="Q90" s="11">
        <f t="shared" ca="1" si="20"/>
        <v>2.9930000000000002E-2</v>
      </c>
      <c r="R90" s="12">
        <f t="shared" ca="1" si="21"/>
        <v>24.134186275225229</v>
      </c>
    </row>
    <row r="91" spans="1:18">
      <c r="A91" s="198">
        <f t="shared" ca="1" si="31"/>
        <v>72</v>
      </c>
      <c r="B91" s="197">
        <f t="shared" ca="1" si="28"/>
        <v>46934</v>
      </c>
      <c r="C91" s="196">
        <f t="shared" ca="1" si="22"/>
        <v>811.7879259855157</v>
      </c>
      <c r="D91" s="21">
        <f t="shared" ca="1" si="29"/>
        <v>1271.2872757838807</v>
      </c>
      <c r="E91" s="196">
        <f t="shared" ca="1" si="23"/>
        <v>137371.61161344801</v>
      </c>
      <c r="F91" s="178">
        <f t="shared" ca="1" si="24"/>
        <v>29.018513903281043</v>
      </c>
      <c r="G91" s="178">
        <f t="shared" ca="1" si="25"/>
        <v>26.319999999999997</v>
      </c>
      <c r="H91" s="177">
        <f t="shared" ca="1" si="26"/>
        <v>25</v>
      </c>
      <c r="I91" s="196"/>
      <c r="J91" s="9" t="str">
        <f t="shared" ca="1" si="16"/>
        <v/>
      </c>
      <c r="K91" s="9" t="str">
        <f t="shared" ca="1" si="17"/>
        <v/>
      </c>
      <c r="L91" s="9">
        <f t="shared" ca="1" si="18"/>
        <v>6</v>
      </c>
      <c r="N91" s="176">
        <f t="shared" ca="1" si="27"/>
        <v>31</v>
      </c>
      <c r="O91" s="176">
        <f t="shared" ca="1" si="30"/>
        <v>2214</v>
      </c>
      <c r="P91" s="175">
        <f t="shared" ca="1" si="19"/>
        <v>806.35436936936946</v>
      </c>
      <c r="Q91" s="11">
        <f t="shared" ca="1" si="20"/>
        <v>2.9930000000000002E-2</v>
      </c>
      <c r="R91" s="12">
        <f t="shared" ca="1" si="21"/>
        <v>24.134186275225229</v>
      </c>
    </row>
    <row r="92" spans="1:18">
      <c r="A92" s="198">
        <f t="shared" ca="1" si="31"/>
        <v>73</v>
      </c>
      <c r="B92" s="197">
        <f t="shared" ca="1" si="28"/>
        <v>46964</v>
      </c>
      <c r="C92" s="196">
        <f t="shared" ca="1" si="22"/>
        <v>811.7879259855157</v>
      </c>
      <c r="D92" s="21">
        <f t="shared" ca="1" si="29"/>
        <v>1263.8188268646898</v>
      </c>
      <c r="E92" s="196">
        <f t="shared" ca="1" si="23"/>
        <v>136559.82368746249</v>
      </c>
      <c r="F92" s="178">
        <f t="shared" ca="1" si="24"/>
        <v>28.848038438824084</v>
      </c>
      <c r="G92" s="178">
        <f t="shared" ca="1" si="25"/>
        <v>26.319999999999997</v>
      </c>
      <c r="H92" s="177">
        <f t="shared" ca="1" si="26"/>
        <v>25</v>
      </c>
      <c r="I92" s="196"/>
      <c r="J92" s="9" t="str">
        <f t="shared" ca="1" si="16"/>
        <v/>
      </c>
      <c r="K92" s="9" t="str">
        <f t="shared" ca="1" si="17"/>
        <v/>
      </c>
      <c r="L92" s="9">
        <f t="shared" ca="1" si="18"/>
        <v>7</v>
      </c>
      <c r="N92" s="176">
        <f t="shared" ca="1" si="27"/>
        <v>30</v>
      </c>
      <c r="O92" s="176">
        <f t="shared" ca="1" si="30"/>
        <v>2244</v>
      </c>
      <c r="P92" s="175">
        <f t="shared" ca="1" si="19"/>
        <v>806.35436936936946</v>
      </c>
      <c r="Q92" s="11">
        <f t="shared" ca="1" si="20"/>
        <v>2.9930000000000002E-2</v>
      </c>
      <c r="R92" s="12">
        <f t="shared" ca="1" si="21"/>
        <v>24.134186275225229</v>
      </c>
    </row>
    <row r="93" spans="1:18">
      <c r="A93" s="198">
        <f t="shared" ca="1" si="31"/>
        <v>74</v>
      </c>
      <c r="B93" s="197">
        <f t="shared" ca="1" si="28"/>
        <v>46995</v>
      </c>
      <c r="C93" s="196">
        <f t="shared" ca="1" si="22"/>
        <v>811.7879259855157</v>
      </c>
      <c r="D93" s="21">
        <f t="shared" ca="1" si="29"/>
        <v>1256.3503779454991</v>
      </c>
      <c r="E93" s="196">
        <f t="shared" ca="1" si="23"/>
        <v>135748.03576147696</v>
      </c>
      <c r="F93" s="178">
        <f t="shared" ca="1" si="24"/>
        <v>28.677562974367124</v>
      </c>
      <c r="G93" s="178">
        <f t="shared" ca="1" si="25"/>
        <v>26.319999999999997</v>
      </c>
      <c r="H93" s="177">
        <f t="shared" ca="1" si="26"/>
        <v>25</v>
      </c>
      <c r="I93" s="196"/>
      <c r="J93" s="9" t="str">
        <f t="shared" ca="1" si="16"/>
        <v/>
      </c>
      <c r="K93" s="9" t="str">
        <f t="shared" ca="1" si="17"/>
        <v/>
      </c>
      <c r="L93" s="9">
        <f t="shared" ca="1" si="18"/>
        <v>8</v>
      </c>
      <c r="N93" s="176">
        <f t="shared" ca="1" si="27"/>
        <v>31</v>
      </c>
      <c r="O93" s="176">
        <f t="shared" ca="1" si="30"/>
        <v>2275</v>
      </c>
      <c r="P93" s="175">
        <f t="shared" ca="1" si="19"/>
        <v>806.35436936936946</v>
      </c>
      <c r="Q93" s="11">
        <f t="shared" ca="1" si="20"/>
        <v>2.9930000000000002E-2</v>
      </c>
      <c r="R93" s="12">
        <f t="shared" ca="1" si="21"/>
        <v>24.134186275225229</v>
      </c>
    </row>
    <row r="94" spans="1:18">
      <c r="A94" s="198">
        <f t="shared" ca="1" si="31"/>
        <v>75</v>
      </c>
      <c r="B94" s="197">
        <f t="shared" ca="1" si="28"/>
        <v>47026</v>
      </c>
      <c r="C94" s="196">
        <f t="shared" ca="1" si="22"/>
        <v>811.7879259855157</v>
      </c>
      <c r="D94" s="21">
        <f t="shared" ca="1" si="29"/>
        <v>1248.8819290263084</v>
      </c>
      <c r="E94" s="196">
        <f t="shared" ca="1" si="23"/>
        <v>134936.24783549143</v>
      </c>
      <c r="F94" s="178">
        <f t="shared" ca="1" si="24"/>
        <v>28.507087509910164</v>
      </c>
      <c r="G94" s="178">
        <f t="shared" ca="1" si="25"/>
        <v>26.319999999999997</v>
      </c>
      <c r="H94" s="177">
        <f t="shared" ca="1" si="26"/>
        <v>25</v>
      </c>
      <c r="I94" s="196"/>
      <c r="J94" s="9" t="str">
        <f t="shared" ca="1" si="16"/>
        <v/>
      </c>
      <c r="K94" s="9" t="str">
        <f t="shared" ca="1" si="17"/>
        <v/>
      </c>
      <c r="L94" s="9">
        <f t="shared" ca="1" si="18"/>
        <v>9</v>
      </c>
      <c r="N94" s="176">
        <f t="shared" ca="1" si="27"/>
        <v>31</v>
      </c>
      <c r="O94" s="176">
        <f t="shared" ca="1" si="30"/>
        <v>2306</v>
      </c>
      <c r="P94" s="175">
        <f t="shared" ca="1" si="19"/>
        <v>806.35436936936946</v>
      </c>
      <c r="Q94" s="11">
        <f t="shared" ca="1" si="20"/>
        <v>2.9930000000000002E-2</v>
      </c>
      <c r="R94" s="12">
        <f t="shared" ca="1" si="21"/>
        <v>24.134186275225229</v>
      </c>
    </row>
    <row r="95" spans="1:18">
      <c r="A95" s="198">
        <f t="shared" ca="1" si="31"/>
        <v>76</v>
      </c>
      <c r="B95" s="197">
        <f t="shared" ca="1" si="28"/>
        <v>47056</v>
      </c>
      <c r="C95" s="196">
        <f t="shared" ca="1" si="22"/>
        <v>811.7879259855157</v>
      </c>
      <c r="D95" s="21">
        <f t="shared" ca="1" si="29"/>
        <v>1241.4134801071177</v>
      </c>
      <c r="E95" s="196">
        <f t="shared" ca="1" si="23"/>
        <v>134124.45990950591</v>
      </c>
      <c r="F95" s="178">
        <f t="shared" ca="1" si="24"/>
        <v>28.336612045453201</v>
      </c>
      <c r="G95" s="178">
        <f t="shared" ca="1" si="25"/>
        <v>26.319999999999997</v>
      </c>
      <c r="H95" s="177">
        <f t="shared" ca="1" si="26"/>
        <v>25</v>
      </c>
      <c r="I95" s="196"/>
      <c r="J95" s="9" t="str">
        <f t="shared" ca="1" si="16"/>
        <v/>
      </c>
      <c r="K95" s="9" t="str">
        <f t="shared" ca="1" si="17"/>
        <v/>
      </c>
      <c r="L95" s="9">
        <f t="shared" ca="1" si="18"/>
        <v>10</v>
      </c>
      <c r="N95" s="176">
        <f t="shared" ca="1" si="27"/>
        <v>30</v>
      </c>
      <c r="O95" s="176">
        <f t="shared" ca="1" si="30"/>
        <v>2336</v>
      </c>
      <c r="P95" s="175">
        <f t="shared" ca="1" si="19"/>
        <v>806.35436936936946</v>
      </c>
      <c r="Q95" s="11">
        <f t="shared" ca="1" si="20"/>
        <v>2.9930000000000002E-2</v>
      </c>
      <c r="R95" s="12">
        <f t="shared" ca="1" si="21"/>
        <v>24.134186275225229</v>
      </c>
    </row>
    <row r="96" spans="1:18">
      <c r="A96" s="198">
        <f t="shared" ca="1" si="31"/>
        <v>77</v>
      </c>
      <c r="B96" s="197">
        <f t="shared" ca="1" si="28"/>
        <v>47087</v>
      </c>
      <c r="C96" s="196">
        <f t="shared" ca="1" si="22"/>
        <v>811.7879259855157</v>
      </c>
      <c r="D96" s="21">
        <f t="shared" ca="1" si="29"/>
        <v>1233.9450311879268</v>
      </c>
      <c r="E96" s="196">
        <f t="shared" ca="1" si="23"/>
        <v>133312.67198352038</v>
      </c>
      <c r="F96" s="178">
        <f t="shared" ca="1" si="24"/>
        <v>28.166136580996241</v>
      </c>
      <c r="G96" s="178">
        <f t="shared" ca="1" si="25"/>
        <v>26.319999999999997</v>
      </c>
      <c r="H96" s="177">
        <f t="shared" ca="1" si="26"/>
        <v>25</v>
      </c>
      <c r="I96" s="196"/>
      <c r="J96" s="9" t="str">
        <f t="shared" ca="1" si="16"/>
        <v/>
      </c>
      <c r="K96" s="9" t="str">
        <f t="shared" ca="1" si="17"/>
        <v/>
      </c>
      <c r="L96" s="9">
        <f t="shared" ca="1" si="18"/>
        <v>11</v>
      </c>
      <c r="N96" s="176">
        <f t="shared" ca="1" si="27"/>
        <v>31</v>
      </c>
      <c r="O96" s="176">
        <f t="shared" ca="1" si="30"/>
        <v>2367</v>
      </c>
      <c r="P96" s="175">
        <f t="shared" ca="1" si="19"/>
        <v>806.35436936936946</v>
      </c>
      <c r="Q96" s="11">
        <f t="shared" ca="1" si="20"/>
        <v>2.9930000000000002E-2</v>
      </c>
      <c r="R96" s="12">
        <f t="shared" ca="1" si="21"/>
        <v>24.134186275225229</v>
      </c>
    </row>
    <row r="97" spans="1:18">
      <c r="A97" s="198">
        <f t="shared" ca="1" si="31"/>
        <v>78</v>
      </c>
      <c r="B97" s="197">
        <f t="shared" ca="1" si="28"/>
        <v>47117</v>
      </c>
      <c r="C97" s="196">
        <f t="shared" ca="1" si="22"/>
        <v>811.7879259855157</v>
      </c>
      <c r="D97" s="21">
        <f t="shared" ca="1" si="29"/>
        <v>1226.4765822687361</v>
      </c>
      <c r="E97" s="196">
        <f t="shared" ca="1" si="23"/>
        <v>132500.88405753486</v>
      </c>
      <c r="F97" s="178">
        <f t="shared" ca="1" si="24"/>
        <v>27.995661116539281</v>
      </c>
      <c r="G97" s="178">
        <f t="shared" ca="1" si="25"/>
        <v>26.319999999999997</v>
      </c>
      <c r="H97" s="177">
        <f t="shared" ca="1" si="26"/>
        <v>25</v>
      </c>
      <c r="I97" s="196"/>
      <c r="J97" s="9" t="str">
        <f t="shared" ca="1" si="16"/>
        <v/>
      </c>
      <c r="K97" s="9" t="str">
        <f t="shared" ca="1" si="17"/>
        <v/>
      </c>
      <c r="L97" s="9">
        <f t="shared" ca="1" si="18"/>
        <v>12</v>
      </c>
      <c r="N97" s="176">
        <f t="shared" ca="1" si="27"/>
        <v>30</v>
      </c>
      <c r="O97" s="176">
        <f t="shared" ca="1" si="30"/>
        <v>2397</v>
      </c>
      <c r="P97" s="175">
        <f t="shared" ca="1" si="19"/>
        <v>806.35436936936946</v>
      </c>
      <c r="Q97" s="11">
        <f t="shared" ca="1" si="20"/>
        <v>2.9930000000000002E-2</v>
      </c>
      <c r="R97" s="12">
        <f t="shared" ca="1" si="21"/>
        <v>24.134186275225229</v>
      </c>
    </row>
    <row r="98" spans="1:18">
      <c r="A98" s="198">
        <f t="shared" ca="1" si="31"/>
        <v>79</v>
      </c>
      <c r="B98" s="197">
        <f t="shared" ca="1" si="28"/>
        <v>47148</v>
      </c>
      <c r="C98" s="196">
        <f t="shared" ca="1" si="22"/>
        <v>811.7879259855157</v>
      </c>
      <c r="D98" s="21">
        <f t="shared" ca="1" si="29"/>
        <v>1219.0081333495455</v>
      </c>
      <c r="E98" s="196">
        <f t="shared" ca="1" si="23"/>
        <v>131689.09613154933</v>
      </c>
      <c r="F98" s="178">
        <f t="shared" ca="1" si="24"/>
        <v>27.825185652082322</v>
      </c>
      <c r="G98" s="178">
        <f t="shared" ca="1" si="25"/>
        <v>26.319999999999997</v>
      </c>
      <c r="H98" s="177">
        <f t="shared" ca="1" si="26"/>
        <v>25</v>
      </c>
      <c r="I98" s="196"/>
      <c r="J98" s="9" t="str">
        <f t="shared" ca="1" si="16"/>
        <v/>
      </c>
      <c r="K98" s="9" t="str">
        <f t="shared" ca="1" si="17"/>
        <v/>
      </c>
      <c r="L98" s="9">
        <f t="shared" ca="1" si="18"/>
        <v>1</v>
      </c>
      <c r="N98" s="176">
        <f t="shared" ca="1" si="27"/>
        <v>31</v>
      </c>
      <c r="O98" s="176">
        <f t="shared" ca="1" si="30"/>
        <v>2428</v>
      </c>
      <c r="P98" s="175">
        <f t="shared" ca="1" si="19"/>
        <v>806.35436936936946</v>
      </c>
      <c r="Q98" s="11">
        <f t="shared" ca="1" si="20"/>
        <v>2.9930000000000002E-2</v>
      </c>
      <c r="R98" s="12">
        <f t="shared" ca="1" si="21"/>
        <v>24.134186275225229</v>
      </c>
    </row>
    <row r="99" spans="1:18">
      <c r="A99" s="198">
        <f t="shared" ca="1" si="31"/>
        <v>80</v>
      </c>
      <c r="B99" s="197">
        <f t="shared" ca="1" si="28"/>
        <v>47177</v>
      </c>
      <c r="C99" s="196">
        <f t="shared" ca="1" si="22"/>
        <v>811.7879259855157</v>
      </c>
      <c r="D99" s="21">
        <f t="shared" ca="1" si="29"/>
        <v>1211.5396844303546</v>
      </c>
      <c r="E99" s="196">
        <f t="shared" ca="1" si="23"/>
        <v>130877.30820556382</v>
      </c>
      <c r="F99" s="178">
        <f t="shared" ca="1" si="24"/>
        <v>27.654710187625362</v>
      </c>
      <c r="G99" s="178">
        <f t="shared" ca="1" si="25"/>
        <v>26.319999999999997</v>
      </c>
      <c r="H99" s="177">
        <f t="shared" ca="1" si="26"/>
        <v>25</v>
      </c>
      <c r="I99" s="196"/>
      <c r="J99" s="9" t="str">
        <f t="shared" ca="1" si="16"/>
        <v/>
      </c>
      <c r="K99" s="9" t="str">
        <f t="shared" ca="1" si="17"/>
        <v/>
      </c>
      <c r="L99" s="9">
        <f t="shared" ca="1" si="18"/>
        <v>2</v>
      </c>
      <c r="N99" s="176">
        <f t="shared" ca="1" si="27"/>
        <v>29</v>
      </c>
      <c r="O99" s="176">
        <f t="shared" ca="1" si="30"/>
        <v>2457</v>
      </c>
      <c r="P99" s="175">
        <f t="shared" ca="1" si="19"/>
        <v>806.35436936936946</v>
      </c>
      <c r="Q99" s="11">
        <f t="shared" ca="1" si="20"/>
        <v>2.9930000000000002E-2</v>
      </c>
      <c r="R99" s="12">
        <f t="shared" ca="1" si="21"/>
        <v>24.134186275225229</v>
      </c>
    </row>
    <row r="100" spans="1:18">
      <c r="A100" s="198">
        <f t="shared" ca="1" si="31"/>
        <v>81</v>
      </c>
      <c r="B100" s="197">
        <f t="shared" ca="1" si="28"/>
        <v>47207</v>
      </c>
      <c r="C100" s="196">
        <f t="shared" ca="1" si="22"/>
        <v>811.7879259855157</v>
      </c>
      <c r="D100" s="21">
        <f t="shared" ca="1" si="29"/>
        <v>1204.0712355111641</v>
      </c>
      <c r="E100" s="196">
        <f t="shared" ca="1" si="23"/>
        <v>130065.52027957831</v>
      </c>
      <c r="F100" s="178">
        <f t="shared" ca="1" si="24"/>
        <v>27.484234723168402</v>
      </c>
      <c r="G100" s="178">
        <f t="shared" ca="1" si="25"/>
        <v>26.319999999999997</v>
      </c>
      <c r="H100" s="177">
        <f t="shared" ca="1" si="26"/>
        <v>25</v>
      </c>
      <c r="I100" s="196"/>
      <c r="J100" s="9" t="str">
        <f t="shared" ca="1" si="16"/>
        <v/>
      </c>
      <c r="K100" s="9" t="str">
        <f t="shared" ca="1" si="17"/>
        <v/>
      </c>
      <c r="L100" s="9">
        <f t="shared" ca="1" si="18"/>
        <v>3</v>
      </c>
      <c r="N100" s="176">
        <f t="shared" ca="1" si="27"/>
        <v>30</v>
      </c>
      <c r="O100" s="176">
        <f t="shared" ca="1" si="30"/>
        <v>2487</v>
      </c>
      <c r="P100" s="175">
        <f t="shared" ca="1" si="19"/>
        <v>806.35436936936946</v>
      </c>
      <c r="Q100" s="11">
        <f t="shared" ca="1" si="20"/>
        <v>2.9930000000000002E-2</v>
      </c>
      <c r="R100" s="12">
        <f t="shared" ca="1" si="21"/>
        <v>24.134186275225229</v>
      </c>
    </row>
    <row r="101" spans="1:18">
      <c r="A101" s="198">
        <f t="shared" ca="1" si="31"/>
        <v>82</v>
      </c>
      <c r="B101" s="197">
        <f t="shared" ca="1" si="28"/>
        <v>47238</v>
      </c>
      <c r="C101" s="196">
        <f t="shared" ca="1" si="22"/>
        <v>811.7879259855157</v>
      </c>
      <c r="D101" s="21">
        <f t="shared" ca="1" si="29"/>
        <v>1196.6027865919734</v>
      </c>
      <c r="E101" s="196">
        <f t="shared" ca="1" si="23"/>
        <v>129253.7323535928</v>
      </c>
      <c r="F101" s="178">
        <f t="shared" ca="1" si="24"/>
        <v>27.313759258711446</v>
      </c>
      <c r="G101" s="178">
        <f t="shared" ca="1" si="25"/>
        <v>26.319999999999997</v>
      </c>
      <c r="H101" s="177">
        <f t="shared" ca="1" si="26"/>
        <v>25</v>
      </c>
      <c r="I101" s="196"/>
      <c r="J101" s="9" t="str">
        <f t="shared" ca="1" si="16"/>
        <v/>
      </c>
      <c r="K101" s="9" t="str">
        <f t="shared" ca="1" si="17"/>
        <v/>
      </c>
      <c r="L101" s="9">
        <f t="shared" ca="1" si="18"/>
        <v>4</v>
      </c>
      <c r="N101" s="176">
        <f t="shared" ca="1" si="27"/>
        <v>31</v>
      </c>
      <c r="O101" s="176">
        <f t="shared" ca="1" si="30"/>
        <v>2518</v>
      </c>
      <c r="P101" s="175">
        <f t="shared" ca="1" si="19"/>
        <v>806.35436936936946</v>
      </c>
      <c r="Q101" s="11">
        <f t="shared" ca="1" si="20"/>
        <v>2.9930000000000002E-2</v>
      </c>
      <c r="R101" s="12">
        <f t="shared" ca="1" si="21"/>
        <v>24.134186275225229</v>
      </c>
    </row>
    <row r="102" spans="1:18">
      <c r="A102" s="198">
        <f t="shared" ca="1" si="31"/>
        <v>83</v>
      </c>
      <c r="B102" s="197">
        <f t="shared" ca="1" si="28"/>
        <v>47268</v>
      </c>
      <c r="C102" s="196">
        <f t="shared" ca="1" si="22"/>
        <v>811.7879259855157</v>
      </c>
      <c r="D102" s="21">
        <f t="shared" ca="1" si="29"/>
        <v>1189.1343376727827</v>
      </c>
      <c r="E102" s="196">
        <f t="shared" ca="1" si="23"/>
        <v>128441.94442760729</v>
      </c>
      <c r="F102" s="178">
        <f t="shared" ca="1" si="24"/>
        <v>27.14328379425449</v>
      </c>
      <c r="G102" s="178">
        <f t="shared" ca="1" si="25"/>
        <v>26.319999999999997</v>
      </c>
      <c r="H102" s="177">
        <f t="shared" ca="1" si="26"/>
        <v>25</v>
      </c>
      <c r="I102" s="196"/>
      <c r="J102" s="9" t="str">
        <f t="shared" ca="1" si="16"/>
        <v/>
      </c>
      <c r="K102" s="9" t="str">
        <f t="shared" ca="1" si="17"/>
        <v/>
      </c>
      <c r="L102" s="9">
        <f t="shared" ca="1" si="18"/>
        <v>5</v>
      </c>
      <c r="N102" s="176">
        <f t="shared" ca="1" si="27"/>
        <v>30</v>
      </c>
      <c r="O102" s="176">
        <f t="shared" ca="1" si="30"/>
        <v>2548</v>
      </c>
      <c r="P102" s="175">
        <f t="shared" ca="1" si="19"/>
        <v>806.35436936936946</v>
      </c>
      <c r="Q102" s="11">
        <f t="shared" ca="1" si="20"/>
        <v>2.9930000000000002E-2</v>
      </c>
      <c r="R102" s="12">
        <f t="shared" ca="1" si="21"/>
        <v>24.134186275225229</v>
      </c>
    </row>
    <row r="103" spans="1:18">
      <c r="A103" s="198">
        <f t="shared" ca="1" si="31"/>
        <v>84</v>
      </c>
      <c r="B103" s="197">
        <f t="shared" ca="1" si="28"/>
        <v>47299</v>
      </c>
      <c r="C103" s="196">
        <f t="shared" ca="1" si="22"/>
        <v>811.7879259855157</v>
      </c>
      <c r="D103" s="21">
        <f t="shared" ca="1" si="29"/>
        <v>1181.6658887535923</v>
      </c>
      <c r="E103" s="196">
        <f t="shared" ca="1" si="23"/>
        <v>127630.15650162178</v>
      </c>
      <c r="F103" s="178">
        <f t="shared" ca="1" si="24"/>
        <v>26.97280832979753</v>
      </c>
      <c r="G103" s="178">
        <f t="shared" ca="1" si="25"/>
        <v>26.319999999999997</v>
      </c>
      <c r="H103" s="177">
        <f t="shared" ca="1" si="26"/>
        <v>25</v>
      </c>
      <c r="I103" s="196"/>
      <c r="J103" s="9" t="str">
        <f t="shared" ca="1" si="16"/>
        <v/>
      </c>
      <c r="K103" s="9" t="str">
        <f t="shared" ca="1" si="17"/>
        <v/>
      </c>
      <c r="L103" s="9">
        <f t="shared" ca="1" si="18"/>
        <v>6</v>
      </c>
      <c r="N103" s="176">
        <f t="shared" ca="1" si="27"/>
        <v>31</v>
      </c>
      <c r="O103" s="176">
        <f t="shared" ca="1" si="30"/>
        <v>2579</v>
      </c>
      <c r="P103" s="175">
        <f t="shared" ca="1" si="19"/>
        <v>806.35436936936946</v>
      </c>
      <c r="Q103" s="11">
        <f t="shared" ca="1" si="20"/>
        <v>2.9930000000000002E-2</v>
      </c>
      <c r="R103" s="12">
        <f t="shared" ca="1" si="21"/>
        <v>24.134186275225229</v>
      </c>
    </row>
    <row r="104" spans="1:18">
      <c r="A104" s="198">
        <f t="shared" ca="1" si="31"/>
        <v>85</v>
      </c>
      <c r="B104" s="197">
        <f t="shared" ca="1" si="28"/>
        <v>47329</v>
      </c>
      <c r="C104" s="196">
        <f t="shared" ca="1" si="22"/>
        <v>811.7879259855157</v>
      </c>
      <c r="D104" s="21">
        <f t="shared" ca="1" si="29"/>
        <v>1174.1974398344016</v>
      </c>
      <c r="E104" s="196">
        <f t="shared" ca="1" si="23"/>
        <v>126818.36857563627</v>
      </c>
      <c r="F104" s="178">
        <f t="shared" ca="1" si="24"/>
        <v>26.802332865340574</v>
      </c>
      <c r="G104" s="178">
        <f t="shared" ca="1" si="25"/>
        <v>26.319999999999997</v>
      </c>
      <c r="H104" s="177">
        <f t="shared" ca="1" si="26"/>
        <v>25</v>
      </c>
      <c r="I104" s="196"/>
      <c r="J104" s="9" t="str">
        <f t="shared" ca="1" si="16"/>
        <v/>
      </c>
      <c r="K104" s="9" t="str">
        <f t="shared" ca="1" si="17"/>
        <v/>
      </c>
      <c r="L104" s="9">
        <f t="shared" ca="1" si="18"/>
        <v>7</v>
      </c>
      <c r="N104" s="176">
        <f t="shared" ca="1" si="27"/>
        <v>30</v>
      </c>
      <c r="O104" s="176">
        <f t="shared" ca="1" si="30"/>
        <v>2609</v>
      </c>
      <c r="P104" s="175">
        <f t="shared" ca="1" si="19"/>
        <v>806.35436936936946</v>
      </c>
      <c r="Q104" s="11">
        <f t="shared" ca="1" si="20"/>
        <v>2.9930000000000002E-2</v>
      </c>
      <c r="R104" s="12">
        <f t="shared" ca="1" si="21"/>
        <v>24.134186275225229</v>
      </c>
    </row>
    <row r="105" spans="1:18">
      <c r="A105" s="198">
        <f t="shared" ca="1" si="31"/>
        <v>86</v>
      </c>
      <c r="B105" s="197">
        <f t="shared" ca="1" si="28"/>
        <v>47360</v>
      </c>
      <c r="C105" s="196">
        <f t="shared" ca="1" si="22"/>
        <v>811.7879259855157</v>
      </c>
      <c r="D105" s="21">
        <f t="shared" ca="1" si="29"/>
        <v>1166.7289909152109</v>
      </c>
      <c r="E105" s="196">
        <f t="shared" ca="1" si="23"/>
        <v>126006.58064965076</v>
      </c>
      <c r="F105" s="178">
        <f t="shared" ca="1" si="24"/>
        <v>26.631857400883618</v>
      </c>
      <c r="G105" s="178">
        <f t="shared" ca="1" si="25"/>
        <v>26.319999999999997</v>
      </c>
      <c r="H105" s="177">
        <f t="shared" ca="1" si="26"/>
        <v>25</v>
      </c>
      <c r="I105" s="196"/>
      <c r="J105" s="9" t="str">
        <f t="shared" ca="1" si="16"/>
        <v/>
      </c>
      <c r="K105" s="9" t="str">
        <f t="shared" ca="1" si="17"/>
        <v/>
      </c>
      <c r="L105" s="9">
        <f t="shared" ca="1" si="18"/>
        <v>8</v>
      </c>
      <c r="N105" s="176">
        <f t="shared" ca="1" si="27"/>
        <v>31</v>
      </c>
      <c r="O105" s="176">
        <f t="shared" ca="1" si="30"/>
        <v>2640</v>
      </c>
      <c r="P105" s="175">
        <f t="shared" ca="1" si="19"/>
        <v>806.35436936936946</v>
      </c>
      <c r="Q105" s="11">
        <f t="shared" ca="1" si="20"/>
        <v>2.9930000000000002E-2</v>
      </c>
      <c r="R105" s="12">
        <f t="shared" ca="1" si="21"/>
        <v>24.134186275225229</v>
      </c>
    </row>
    <row r="106" spans="1:18">
      <c r="A106" s="198">
        <f t="shared" ca="1" si="31"/>
        <v>87</v>
      </c>
      <c r="B106" s="197">
        <f t="shared" ca="1" si="28"/>
        <v>47391</v>
      </c>
      <c r="C106" s="196">
        <f t="shared" ca="1" si="22"/>
        <v>811.7879259855157</v>
      </c>
      <c r="D106" s="21">
        <f t="shared" ca="1" si="29"/>
        <v>1159.2605419960205</v>
      </c>
      <c r="E106" s="196">
        <f t="shared" ca="1" si="23"/>
        <v>125194.79272366525</v>
      </c>
      <c r="F106" s="178">
        <f t="shared" ca="1" si="24"/>
        <v>26.461381936426662</v>
      </c>
      <c r="G106" s="178">
        <f t="shared" ca="1" si="25"/>
        <v>26.319999999999997</v>
      </c>
      <c r="H106" s="177">
        <f t="shared" ca="1" si="26"/>
        <v>25</v>
      </c>
      <c r="I106" s="196"/>
      <c r="J106" s="9" t="str">
        <f t="shared" ca="1" si="16"/>
        <v/>
      </c>
      <c r="K106" s="9" t="str">
        <f t="shared" ca="1" si="17"/>
        <v/>
      </c>
      <c r="L106" s="9">
        <f t="shared" ca="1" si="18"/>
        <v>9</v>
      </c>
      <c r="N106" s="176">
        <f t="shared" ca="1" si="27"/>
        <v>31</v>
      </c>
      <c r="O106" s="176">
        <f t="shared" ca="1" si="30"/>
        <v>2671</v>
      </c>
      <c r="P106" s="175">
        <f t="shared" ca="1" si="19"/>
        <v>806.35436936936946</v>
      </c>
      <c r="Q106" s="11">
        <f t="shared" ca="1" si="20"/>
        <v>2.9930000000000002E-2</v>
      </c>
      <c r="R106" s="12">
        <f t="shared" ca="1" si="21"/>
        <v>24.134186275225229</v>
      </c>
    </row>
    <row r="107" spans="1:18">
      <c r="A107" s="198">
        <f t="shared" ca="1" si="31"/>
        <v>88</v>
      </c>
      <c r="B107" s="197">
        <f t="shared" ca="1" si="28"/>
        <v>47421</v>
      </c>
      <c r="C107" s="196">
        <f t="shared" ca="1" si="22"/>
        <v>811.7879259855157</v>
      </c>
      <c r="D107" s="21">
        <f t="shared" ca="1" si="29"/>
        <v>1151.7920930768298</v>
      </c>
      <c r="E107" s="196">
        <f t="shared" ca="1" si="23"/>
        <v>124383.00479767974</v>
      </c>
      <c r="F107" s="178">
        <f t="shared" ca="1" si="24"/>
        <v>26.290906471969702</v>
      </c>
      <c r="G107" s="178">
        <f t="shared" ca="1" si="25"/>
        <v>26.319999999999997</v>
      </c>
      <c r="H107" s="177">
        <f t="shared" ca="1" si="26"/>
        <v>25</v>
      </c>
      <c r="I107" s="196"/>
      <c r="J107" s="9" t="str">
        <f t="shared" ca="1" si="16"/>
        <v/>
      </c>
      <c r="K107" s="9" t="str">
        <f t="shared" ca="1" si="17"/>
        <v/>
      </c>
      <c r="L107" s="9">
        <f t="shared" ca="1" si="18"/>
        <v>10</v>
      </c>
      <c r="N107" s="176">
        <f t="shared" ca="1" si="27"/>
        <v>30</v>
      </c>
      <c r="O107" s="176">
        <f t="shared" ca="1" si="30"/>
        <v>2701</v>
      </c>
      <c r="P107" s="175">
        <f t="shared" ca="1" si="19"/>
        <v>806.35436936936946</v>
      </c>
      <c r="Q107" s="11">
        <f t="shared" ca="1" si="20"/>
        <v>2.9930000000000002E-2</v>
      </c>
      <c r="R107" s="12">
        <f t="shared" ca="1" si="21"/>
        <v>24.134186275225229</v>
      </c>
    </row>
    <row r="108" spans="1:18">
      <c r="A108" s="198">
        <f t="shared" ca="1" si="31"/>
        <v>89</v>
      </c>
      <c r="B108" s="197">
        <f t="shared" ca="1" si="28"/>
        <v>47452</v>
      </c>
      <c r="C108" s="196">
        <f t="shared" ca="1" si="22"/>
        <v>811.7879259855157</v>
      </c>
      <c r="D108" s="21">
        <f t="shared" ca="1" si="29"/>
        <v>1144.3236441576391</v>
      </c>
      <c r="E108" s="196">
        <f t="shared" ca="1" si="23"/>
        <v>123571.21687169423</v>
      </c>
      <c r="F108" s="178">
        <f t="shared" ca="1" si="24"/>
        <v>26.120431007512746</v>
      </c>
      <c r="G108" s="178">
        <f t="shared" ca="1" si="25"/>
        <v>26.319999999999997</v>
      </c>
      <c r="H108" s="177">
        <f t="shared" ca="1" si="26"/>
        <v>25</v>
      </c>
      <c r="I108" s="196"/>
      <c r="J108" s="9" t="str">
        <f t="shared" ca="1" si="16"/>
        <v/>
      </c>
      <c r="K108" s="9" t="str">
        <f t="shared" ca="1" si="17"/>
        <v/>
      </c>
      <c r="L108" s="9">
        <f t="shared" ca="1" si="18"/>
        <v>11</v>
      </c>
      <c r="N108" s="176">
        <f t="shared" ca="1" si="27"/>
        <v>31</v>
      </c>
      <c r="O108" s="176">
        <f t="shared" ca="1" si="30"/>
        <v>2732</v>
      </c>
      <c r="P108" s="175">
        <f t="shared" ca="1" si="19"/>
        <v>806.35436936936946</v>
      </c>
      <c r="Q108" s="11">
        <f t="shared" ca="1" si="20"/>
        <v>2.9930000000000002E-2</v>
      </c>
      <c r="R108" s="12">
        <f t="shared" ca="1" si="21"/>
        <v>24.134186275225229</v>
      </c>
    </row>
    <row r="109" spans="1:18">
      <c r="A109" s="198">
        <f t="shared" ca="1" si="31"/>
        <v>90</v>
      </c>
      <c r="B109" s="197">
        <f t="shared" ca="1" si="28"/>
        <v>47482</v>
      </c>
      <c r="C109" s="196">
        <f t="shared" ca="1" si="22"/>
        <v>811.7879259855157</v>
      </c>
      <c r="D109" s="21">
        <f t="shared" ca="1" si="29"/>
        <v>1136.8551952384485</v>
      </c>
      <c r="E109" s="196">
        <f t="shared" ca="1" si="23"/>
        <v>122759.42894570871</v>
      </c>
      <c r="F109" s="178">
        <f t="shared" ca="1" si="24"/>
        <v>25.94995554305579</v>
      </c>
      <c r="G109" s="178">
        <f t="shared" ca="1" si="25"/>
        <v>26.319999999999997</v>
      </c>
      <c r="H109" s="177">
        <f t="shared" ca="1" si="26"/>
        <v>25</v>
      </c>
      <c r="I109" s="196"/>
      <c r="J109" s="9" t="str">
        <f t="shared" ca="1" si="16"/>
        <v/>
      </c>
      <c r="K109" s="9" t="str">
        <f t="shared" ca="1" si="17"/>
        <v/>
      </c>
      <c r="L109" s="9">
        <f t="shared" ca="1" si="18"/>
        <v>12</v>
      </c>
      <c r="N109" s="176">
        <f t="shared" ca="1" si="27"/>
        <v>30</v>
      </c>
      <c r="O109" s="176">
        <f t="shared" ca="1" si="30"/>
        <v>2762</v>
      </c>
      <c r="P109" s="175">
        <f t="shared" ca="1" si="19"/>
        <v>806.35436936936946</v>
      </c>
      <c r="Q109" s="11">
        <f t="shared" ca="1" si="20"/>
        <v>2.9930000000000002E-2</v>
      </c>
      <c r="R109" s="12">
        <f t="shared" ca="1" si="21"/>
        <v>24.134186275225229</v>
      </c>
    </row>
    <row r="110" spans="1:18">
      <c r="A110" s="198">
        <f t="shared" ca="1" si="31"/>
        <v>91</v>
      </c>
      <c r="B110" s="197">
        <f t="shared" ca="1" si="28"/>
        <v>47513</v>
      </c>
      <c r="C110" s="196">
        <f t="shared" ca="1" si="22"/>
        <v>811.7879259855157</v>
      </c>
      <c r="D110" s="21">
        <f t="shared" ca="1" si="29"/>
        <v>1129.386746319258</v>
      </c>
      <c r="E110" s="196">
        <f t="shared" ca="1" si="23"/>
        <v>121947.6410197232</v>
      </c>
      <c r="F110" s="178">
        <f t="shared" ca="1" si="24"/>
        <v>25.77948007859883</v>
      </c>
      <c r="G110" s="178">
        <f t="shared" ca="1" si="25"/>
        <v>26.319999999999997</v>
      </c>
      <c r="H110" s="177">
        <f t="shared" ca="1" si="26"/>
        <v>25</v>
      </c>
      <c r="I110" s="196"/>
      <c r="J110" s="9" t="str">
        <f t="shared" ca="1" si="16"/>
        <v/>
      </c>
      <c r="K110" s="9" t="str">
        <f t="shared" ca="1" si="17"/>
        <v/>
      </c>
      <c r="L110" s="9">
        <f t="shared" ca="1" si="18"/>
        <v>1</v>
      </c>
      <c r="N110" s="176">
        <f t="shared" ca="1" si="27"/>
        <v>31</v>
      </c>
      <c r="O110" s="176">
        <f t="shared" ca="1" si="30"/>
        <v>2793</v>
      </c>
      <c r="P110" s="175">
        <f t="shared" ca="1" si="19"/>
        <v>806.35436936936946</v>
      </c>
      <c r="Q110" s="11">
        <f t="shared" ca="1" si="20"/>
        <v>2.9930000000000002E-2</v>
      </c>
      <c r="R110" s="12">
        <f t="shared" ca="1" si="21"/>
        <v>24.134186275225229</v>
      </c>
    </row>
    <row r="111" spans="1:18">
      <c r="A111" s="198">
        <f t="shared" ca="1" si="31"/>
        <v>92</v>
      </c>
      <c r="B111" s="197">
        <f t="shared" ca="1" si="28"/>
        <v>47542</v>
      </c>
      <c r="C111" s="196">
        <f t="shared" ca="1" si="22"/>
        <v>811.7879259855157</v>
      </c>
      <c r="D111" s="21">
        <f t="shared" ca="1" si="29"/>
        <v>1121.9182974000673</v>
      </c>
      <c r="E111" s="196">
        <f t="shared" ca="1" si="23"/>
        <v>121135.85309373769</v>
      </c>
      <c r="F111" s="178">
        <f t="shared" ca="1" si="24"/>
        <v>25.609004614141874</v>
      </c>
      <c r="G111" s="178">
        <f t="shared" ca="1" si="25"/>
        <v>26.319999999999997</v>
      </c>
      <c r="H111" s="177">
        <f t="shared" ca="1" si="26"/>
        <v>25</v>
      </c>
      <c r="I111" s="196"/>
      <c r="J111" s="9" t="str">
        <f t="shared" ca="1" si="16"/>
        <v/>
      </c>
      <c r="K111" s="9" t="str">
        <f t="shared" ca="1" si="17"/>
        <v/>
      </c>
      <c r="L111" s="9">
        <f t="shared" ca="1" si="18"/>
        <v>2</v>
      </c>
      <c r="N111" s="176">
        <f t="shared" ca="1" si="27"/>
        <v>29</v>
      </c>
      <c r="O111" s="176">
        <f t="shared" ca="1" si="30"/>
        <v>2822</v>
      </c>
      <c r="P111" s="175">
        <f t="shared" ca="1" si="19"/>
        <v>806.35436936936946</v>
      </c>
      <c r="Q111" s="11">
        <f t="shared" ca="1" si="20"/>
        <v>2.9930000000000002E-2</v>
      </c>
      <c r="R111" s="12">
        <f t="shared" ca="1" si="21"/>
        <v>24.134186275225229</v>
      </c>
    </row>
    <row r="112" spans="1:18">
      <c r="A112" s="198">
        <f t="shared" ca="1" si="31"/>
        <v>93</v>
      </c>
      <c r="B112" s="197">
        <f t="shared" ca="1" si="28"/>
        <v>47572</v>
      </c>
      <c r="C112" s="196">
        <f t="shared" ca="1" si="22"/>
        <v>811.7879259855157</v>
      </c>
      <c r="D112" s="21">
        <f t="shared" ca="1" si="29"/>
        <v>1114.4498484808767</v>
      </c>
      <c r="E112" s="196">
        <f t="shared" ca="1" si="23"/>
        <v>120324.06516775218</v>
      </c>
      <c r="F112" s="178">
        <f t="shared" ca="1" si="24"/>
        <v>25.438529149684918</v>
      </c>
      <c r="G112" s="178">
        <f t="shared" ca="1" si="25"/>
        <v>26.319999999999997</v>
      </c>
      <c r="H112" s="177">
        <f t="shared" ca="1" si="26"/>
        <v>25</v>
      </c>
      <c r="I112" s="196"/>
      <c r="J112" s="9" t="str">
        <f t="shared" ca="1" si="16"/>
        <v/>
      </c>
      <c r="K112" s="9" t="str">
        <f t="shared" ca="1" si="17"/>
        <v/>
      </c>
      <c r="L112" s="9">
        <f t="shared" ca="1" si="18"/>
        <v>3</v>
      </c>
      <c r="N112" s="176">
        <f t="shared" ca="1" si="27"/>
        <v>30</v>
      </c>
      <c r="O112" s="176">
        <f t="shared" ca="1" si="30"/>
        <v>2852</v>
      </c>
      <c r="P112" s="175">
        <f t="shared" ca="1" si="19"/>
        <v>806.35436936936946</v>
      </c>
      <c r="Q112" s="11">
        <f t="shared" ca="1" si="20"/>
        <v>2.9930000000000002E-2</v>
      </c>
      <c r="R112" s="12">
        <f t="shared" ca="1" si="21"/>
        <v>24.134186275225229</v>
      </c>
    </row>
    <row r="113" spans="1:18">
      <c r="A113" s="198">
        <f t="shared" ca="1" si="31"/>
        <v>94</v>
      </c>
      <c r="B113" s="197">
        <f t="shared" ca="1" si="28"/>
        <v>47603</v>
      </c>
      <c r="C113" s="196">
        <f t="shared" ca="1" si="22"/>
        <v>811.7879259855157</v>
      </c>
      <c r="D113" s="21">
        <f t="shared" ca="1" si="29"/>
        <v>1106.9813995616862</v>
      </c>
      <c r="E113" s="196">
        <f t="shared" ca="1" si="23"/>
        <v>119512.27724176667</v>
      </c>
      <c r="F113" s="178">
        <f t="shared" ca="1" si="24"/>
        <v>25.268053685227958</v>
      </c>
      <c r="G113" s="178">
        <f t="shared" ca="1" si="25"/>
        <v>26.319999999999997</v>
      </c>
      <c r="H113" s="177">
        <f t="shared" ca="1" si="26"/>
        <v>25</v>
      </c>
      <c r="I113" s="196"/>
      <c r="J113" s="9" t="str">
        <f t="shared" ca="1" si="16"/>
        <v/>
      </c>
      <c r="K113" s="9" t="str">
        <f t="shared" ca="1" si="17"/>
        <v/>
      </c>
      <c r="L113" s="9">
        <f t="shared" ca="1" si="18"/>
        <v>4</v>
      </c>
      <c r="N113" s="176">
        <f t="shared" ca="1" si="27"/>
        <v>31</v>
      </c>
      <c r="O113" s="176">
        <f t="shared" ca="1" si="30"/>
        <v>2883</v>
      </c>
      <c r="P113" s="175">
        <f t="shared" ca="1" si="19"/>
        <v>806.35436936936946</v>
      </c>
      <c r="Q113" s="11">
        <f t="shared" ca="1" si="20"/>
        <v>2.9930000000000002E-2</v>
      </c>
      <c r="R113" s="12">
        <f t="shared" ca="1" si="21"/>
        <v>24.134186275225229</v>
      </c>
    </row>
    <row r="114" spans="1:18">
      <c r="A114" s="198">
        <f t="shared" ca="1" si="31"/>
        <v>95</v>
      </c>
      <c r="B114" s="197">
        <f t="shared" ca="1" si="28"/>
        <v>47633</v>
      </c>
      <c r="C114" s="196">
        <f t="shared" ca="1" si="22"/>
        <v>811.7879259855157</v>
      </c>
      <c r="D114" s="21">
        <f t="shared" ca="1" si="29"/>
        <v>1099.5129506424955</v>
      </c>
      <c r="E114" s="196">
        <f t="shared" ca="1" si="23"/>
        <v>118700.48931578116</v>
      </c>
      <c r="F114" s="178">
        <f t="shared" ca="1" si="24"/>
        <v>25.097578220771002</v>
      </c>
      <c r="G114" s="178">
        <f t="shared" ca="1" si="25"/>
        <v>26.319999999999997</v>
      </c>
      <c r="H114" s="177">
        <f t="shared" ca="1" si="26"/>
        <v>25</v>
      </c>
      <c r="I114" s="196"/>
      <c r="J114" s="9" t="str">
        <f t="shared" ca="1" si="16"/>
        <v/>
      </c>
      <c r="K114" s="9" t="str">
        <f t="shared" ca="1" si="17"/>
        <v/>
      </c>
      <c r="L114" s="9">
        <f t="shared" ca="1" si="18"/>
        <v>5</v>
      </c>
      <c r="N114" s="176">
        <f t="shared" ca="1" si="27"/>
        <v>30</v>
      </c>
      <c r="O114" s="176">
        <f t="shared" ca="1" si="30"/>
        <v>2913</v>
      </c>
      <c r="P114" s="175">
        <f t="shared" ca="1" si="19"/>
        <v>806.35436936936946</v>
      </c>
      <c r="Q114" s="11">
        <f t="shared" ca="1" si="20"/>
        <v>2.9930000000000002E-2</v>
      </c>
      <c r="R114" s="12">
        <f t="shared" ca="1" si="21"/>
        <v>24.134186275225229</v>
      </c>
    </row>
    <row r="115" spans="1:18">
      <c r="A115" s="198">
        <f t="shared" ca="1" si="31"/>
        <v>96</v>
      </c>
      <c r="B115" s="197">
        <f t="shared" ca="1" si="28"/>
        <v>47664</v>
      </c>
      <c r="C115" s="196">
        <f t="shared" ca="1" si="22"/>
        <v>811.7879259855157</v>
      </c>
      <c r="D115" s="21">
        <f t="shared" ca="1" si="29"/>
        <v>1092.0445017233048</v>
      </c>
      <c r="E115" s="196">
        <f t="shared" ca="1" si="23"/>
        <v>117888.70138979565</v>
      </c>
      <c r="F115" s="178">
        <f t="shared" ca="1" si="24"/>
        <v>24.927102756314046</v>
      </c>
      <c r="G115" s="178">
        <f t="shared" ca="1" si="25"/>
        <v>26.319999999999997</v>
      </c>
      <c r="H115" s="177">
        <f t="shared" ca="1" si="26"/>
        <v>25</v>
      </c>
      <c r="I115" s="196"/>
      <c r="J115" s="9" t="str">
        <f t="shared" ca="1" si="16"/>
        <v/>
      </c>
      <c r="K115" s="9" t="str">
        <f t="shared" ca="1" si="17"/>
        <v/>
      </c>
      <c r="L115" s="9">
        <f t="shared" ca="1" si="18"/>
        <v>6</v>
      </c>
      <c r="N115" s="176">
        <f t="shared" ca="1" si="27"/>
        <v>31</v>
      </c>
      <c r="O115" s="176">
        <f t="shared" ca="1" si="30"/>
        <v>2944</v>
      </c>
      <c r="P115" s="175">
        <f t="shared" ca="1" si="19"/>
        <v>806.35436936936946</v>
      </c>
      <c r="Q115" s="11">
        <f t="shared" ca="1" si="20"/>
        <v>2.9930000000000002E-2</v>
      </c>
      <c r="R115" s="12">
        <f t="shared" ca="1" si="21"/>
        <v>24.134186275225229</v>
      </c>
    </row>
    <row r="116" spans="1:18">
      <c r="A116" s="198">
        <f t="shared" ca="1" si="31"/>
        <v>97</v>
      </c>
      <c r="B116" s="197">
        <f t="shared" ca="1" si="28"/>
        <v>47694</v>
      </c>
      <c r="C116" s="196">
        <f t="shared" ca="1" si="22"/>
        <v>811.7879259855157</v>
      </c>
      <c r="D116" s="21">
        <f t="shared" ca="1" si="29"/>
        <v>1084.5760528041144</v>
      </c>
      <c r="E116" s="196">
        <f t="shared" ca="1" si="23"/>
        <v>117076.91346381014</v>
      </c>
      <c r="F116" s="178">
        <f t="shared" ca="1" si="24"/>
        <v>24.756627291857086</v>
      </c>
      <c r="G116" s="178">
        <f t="shared" ca="1" si="25"/>
        <v>26.319999999999997</v>
      </c>
      <c r="H116" s="177">
        <f t="shared" ca="1" si="26"/>
        <v>25</v>
      </c>
      <c r="I116" s="196"/>
      <c r="J116" s="9" t="str">
        <f t="shared" ca="1" si="16"/>
        <v/>
      </c>
      <c r="K116" s="9" t="str">
        <f t="shared" ca="1" si="17"/>
        <v/>
      </c>
      <c r="L116" s="9">
        <f t="shared" ca="1" si="18"/>
        <v>7</v>
      </c>
      <c r="N116" s="176">
        <f t="shared" ca="1" si="27"/>
        <v>30</v>
      </c>
      <c r="O116" s="176">
        <f t="shared" ca="1" si="30"/>
        <v>2974</v>
      </c>
      <c r="P116" s="175">
        <f t="shared" ca="1" si="19"/>
        <v>806.35436936936946</v>
      </c>
      <c r="Q116" s="11">
        <f t="shared" ca="1" si="20"/>
        <v>2.9930000000000002E-2</v>
      </c>
      <c r="R116" s="12">
        <f t="shared" ca="1" si="21"/>
        <v>24.134186275225229</v>
      </c>
    </row>
    <row r="117" spans="1:18">
      <c r="A117" s="198">
        <f t="shared" ca="1" si="31"/>
        <v>98</v>
      </c>
      <c r="B117" s="197">
        <f t="shared" ca="1" si="28"/>
        <v>47725</v>
      </c>
      <c r="C117" s="196">
        <f t="shared" ca="1" si="22"/>
        <v>811.7879259855157</v>
      </c>
      <c r="D117" s="21">
        <f t="shared" ca="1" si="29"/>
        <v>1077.1076038849237</v>
      </c>
      <c r="E117" s="196">
        <f t="shared" ca="1" si="23"/>
        <v>116265.12553782463</v>
      </c>
      <c r="F117" s="178">
        <f t="shared" ca="1" si="24"/>
        <v>24.58615182740013</v>
      </c>
      <c r="G117" s="178">
        <f t="shared" ca="1" si="25"/>
        <v>26.319999999999997</v>
      </c>
      <c r="H117" s="177">
        <f t="shared" ca="1" si="26"/>
        <v>25</v>
      </c>
      <c r="I117" s="196"/>
      <c r="J117" s="9" t="str">
        <f t="shared" ca="1" si="16"/>
        <v/>
      </c>
      <c r="K117" s="9" t="str">
        <f t="shared" ca="1" si="17"/>
        <v/>
      </c>
      <c r="L117" s="9">
        <f t="shared" ca="1" si="18"/>
        <v>8</v>
      </c>
      <c r="N117" s="176">
        <f t="shared" ca="1" si="27"/>
        <v>31</v>
      </c>
      <c r="O117" s="176">
        <f t="shared" ca="1" si="30"/>
        <v>3005</v>
      </c>
      <c r="P117" s="175">
        <f t="shared" ca="1" si="19"/>
        <v>806.35436936936946</v>
      </c>
      <c r="Q117" s="11">
        <f t="shared" ca="1" si="20"/>
        <v>2.9930000000000002E-2</v>
      </c>
      <c r="R117" s="12">
        <f t="shared" ca="1" si="21"/>
        <v>24.134186275225229</v>
      </c>
    </row>
    <row r="118" spans="1:18">
      <c r="A118" s="198">
        <f t="shared" ca="1" si="31"/>
        <v>99</v>
      </c>
      <c r="B118" s="197">
        <f t="shared" ca="1" si="28"/>
        <v>47756</v>
      </c>
      <c r="C118" s="196">
        <f t="shared" ca="1" si="22"/>
        <v>811.7879259855157</v>
      </c>
      <c r="D118" s="21">
        <f t="shared" ca="1" si="29"/>
        <v>1069.639154965733</v>
      </c>
      <c r="E118" s="196">
        <f t="shared" ca="1" si="23"/>
        <v>115453.33761183912</v>
      </c>
      <c r="F118" s="178">
        <f t="shared" ca="1" si="24"/>
        <v>24.415676362943174</v>
      </c>
      <c r="G118" s="178">
        <f t="shared" ca="1" si="25"/>
        <v>26.319999999999997</v>
      </c>
      <c r="H118" s="177">
        <f t="shared" ca="1" si="26"/>
        <v>25</v>
      </c>
      <c r="I118" s="196"/>
      <c r="J118" s="9" t="str">
        <f t="shared" ca="1" si="16"/>
        <v/>
      </c>
      <c r="K118" s="9" t="str">
        <f t="shared" ca="1" si="17"/>
        <v/>
      </c>
      <c r="L118" s="9">
        <f t="shared" ca="1" si="18"/>
        <v>9</v>
      </c>
      <c r="N118" s="176">
        <f t="shared" ca="1" si="27"/>
        <v>31</v>
      </c>
      <c r="O118" s="176">
        <f t="shared" ca="1" si="30"/>
        <v>3036</v>
      </c>
      <c r="P118" s="175">
        <f t="shared" ca="1" si="19"/>
        <v>806.35436936936946</v>
      </c>
      <c r="Q118" s="11">
        <f t="shared" ca="1" si="20"/>
        <v>2.9930000000000002E-2</v>
      </c>
      <c r="R118" s="12">
        <f t="shared" ca="1" si="21"/>
        <v>24.134186275225229</v>
      </c>
    </row>
    <row r="119" spans="1:18">
      <c r="A119" s="198">
        <f t="shared" ca="1" si="31"/>
        <v>100</v>
      </c>
      <c r="B119" s="197">
        <f t="shared" ca="1" si="28"/>
        <v>47786</v>
      </c>
      <c r="C119" s="196">
        <f t="shared" ca="1" si="22"/>
        <v>811.7879259855157</v>
      </c>
      <c r="D119" s="21">
        <f t="shared" ca="1" si="29"/>
        <v>1062.1707060465424</v>
      </c>
      <c r="E119" s="196">
        <f t="shared" ca="1" si="23"/>
        <v>114641.54968585361</v>
      </c>
      <c r="F119" s="178">
        <f t="shared" ca="1" si="24"/>
        <v>24.245200898486214</v>
      </c>
      <c r="G119" s="178">
        <f t="shared" ca="1" si="25"/>
        <v>26.319999999999997</v>
      </c>
      <c r="H119" s="177">
        <f t="shared" ca="1" si="26"/>
        <v>25</v>
      </c>
      <c r="I119" s="196"/>
      <c r="J119" s="9" t="str">
        <f t="shared" ca="1" si="16"/>
        <v/>
      </c>
      <c r="K119" s="9" t="str">
        <f t="shared" ca="1" si="17"/>
        <v/>
      </c>
      <c r="L119" s="9">
        <f t="shared" ca="1" si="18"/>
        <v>10</v>
      </c>
      <c r="N119" s="176">
        <f t="shared" ca="1" si="27"/>
        <v>30</v>
      </c>
      <c r="O119" s="176">
        <f t="shared" ca="1" si="30"/>
        <v>3066</v>
      </c>
      <c r="P119" s="175">
        <f t="shared" ca="1" si="19"/>
        <v>806.35436936936946</v>
      </c>
      <c r="Q119" s="11">
        <f t="shared" ca="1" si="20"/>
        <v>2.9930000000000002E-2</v>
      </c>
      <c r="R119" s="12">
        <f t="shared" ca="1" si="21"/>
        <v>24.134186275225229</v>
      </c>
    </row>
    <row r="120" spans="1:18">
      <c r="A120" s="198">
        <f t="shared" ca="1" si="31"/>
        <v>101</v>
      </c>
      <c r="B120" s="197">
        <f t="shared" ca="1" si="28"/>
        <v>47817</v>
      </c>
      <c r="C120" s="196">
        <f t="shared" ca="1" si="22"/>
        <v>811.7879259855157</v>
      </c>
      <c r="D120" s="21">
        <f t="shared" ca="1" si="29"/>
        <v>1054.7022571273519</v>
      </c>
      <c r="E120" s="196">
        <f t="shared" ca="1" si="23"/>
        <v>113829.7617598681</v>
      </c>
      <c r="F120" s="178">
        <f t="shared" ca="1" si="24"/>
        <v>24.074725434029258</v>
      </c>
      <c r="G120" s="178">
        <f t="shared" ca="1" si="25"/>
        <v>26.319999999999997</v>
      </c>
      <c r="H120" s="177">
        <f t="shared" ca="1" si="26"/>
        <v>25</v>
      </c>
      <c r="I120" s="196"/>
      <c r="J120" s="9" t="str">
        <f t="shared" ca="1" si="16"/>
        <v/>
      </c>
      <c r="K120" s="9" t="str">
        <f t="shared" ca="1" si="17"/>
        <v/>
      </c>
      <c r="L120" s="9">
        <f t="shared" ca="1" si="18"/>
        <v>11</v>
      </c>
      <c r="N120" s="176">
        <f t="shared" ca="1" si="27"/>
        <v>31</v>
      </c>
      <c r="O120" s="176">
        <f t="shared" ca="1" si="30"/>
        <v>3097</v>
      </c>
      <c r="P120" s="175">
        <f t="shared" ca="1" si="19"/>
        <v>806.35436936936946</v>
      </c>
      <c r="Q120" s="11">
        <f t="shared" ca="1" si="20"/>
        <v>2.9930000000000002E-2</v>
      </c>
      <c r="R120" s="12">
        <f t="shared" ca="1" si="21"/>
        <v>24.134186275225229</v>
      </c>
    </row>
    <row r="121" spans="1:18">
      <c r="A121" s="198">
        <f t="shared" ca="1" si="31"/>
        <v>102</v>
      </c>
      <c r="B121" s="197">
        <f t="shared" ca="1" si="28"/>
        <v>47847</v>
      </c>
      <c r="C121" s="196">
        <f t="shared" ca="1" si="22"/>
        <v>811.7879259855157</v>
      </c>
      <c r="D121" s="21">
        <f t="shared" ca="1" si="29"/>
        <v>1047.2338082081612</v>
      </c>
      <c r="E121" s="196">
        <f t="shared" ca="1" si="23"/>
        <v>113017.97383388258</v>
      </c>
      <c r="F121" s="178">
        <f t="shared" ca="1" si="24"/>
        <v>23.904249969572302</v>
      </c>
      <c r="G121" s="178">
        <f t="shared" ca="1" si="25"/>
        <v>26.319999999999997</v>
      </c>
      <c r="H121" s="177">
        <f t="shared" ca="1" si="26"/>
        <v>25</v>
      </c>
      <c r="I121" s="196"/>
      <c r="J121" s="9" t="str">
        <f t="shared" ca="1" si="16"/>
        <v/>
      </c>
      <c r="K121" s="9" t="str">
        <f t="shared" ca="1" si="17"/>
        <v/>
      </c>
      <c r="L121" s="9">
        <f t="shared" ca="1" si="18"/>
        <v>12</v>
      </c>
      <c r="N121" s="176">
        <f t="shared" ca="1" si="27"/>
        <v>30</v>
      </c>
      <c r="O121" s="176">
        <f t="shared" ca="1" si="30"/>
        <v>3127</v>
      </c>
      <c r="P121" s="175">
        <f t="shared" ca="1" si="19"/>
        <v>806.35436936936946</v>
      </c>
      <c r="Q121" s="11">
        <f t="shared" ca="1" si="20"/>
        <v>2.9930000000000002E-2</v>
      </c>
      <c r="R121" s="12">
        <f t="shared" ca="1" si="21"/>
        <v>24.134186275225229</v>
      </c>
    </row>
    <row r="122" spans="1:18">
      <c r="A122" s="198">
        <f t="shared" ca="1" si="31"/>
        <v>103</v>
      </c>
      <c r="B122" s="197">
        <f t="shared" ca="1" si="28"/>
        <v>47878</v>
      </c>
      <c r="C122" s="196">
        <f t="shared" ca="1" si="22"/>
        <v>811.7879259855157</v>
      </c>
      <c r="D122" s="21">
        <f t="shared" ca="1" si="29"/>
        <v>1039.7653592889706</v>
      </c>
      <c r="E122" s="196">
        <f t="shared" ca="1" si="23"/>
        <v>112206.18590789707</v>
      </c>
      <c r="F122" s="178">
        <f t="shared" ca="1" si="24"/>
        <v>23.733774505115345</v>
      </c>
      <c r="G122" s="178">
        <f t="shared" ca="1" si="25"/>
        <v>26.319999999999997</v>
      </c>
      <c r="H122" s="177">
        <f t="shared" ca="1" si="26"/>
        <v>25</v>
      </c>
      <c r="I122" s="196"/>
      <c r="J122" s="9" t="str">
        <f t="shared" ca="1" si="16"/>
        <v/>
      </c>
      <c r="K122" s="9" t="str">
        <f t="shared" ca="1" si="17"/>
        <v/>
      </c>
      <c r="L122" s="9">
        <f t="shared" ca="1" si="18"/>
        <v>1</v>
      </c>
      <c r="N122" s="176">
        <f t="shared" ca="1" si="27"/>
        <v>31</v>
      </c>
      <c r="O122" s="176">
        <f t="shared" ca="1" si="30"/>
        <v>3158</v>
      </c>
      <c r="P122" s="175">
        <f t="shared" ca="1" si="19"/>
        <v>806.35436936936946</v>
      </c>
      <c r="Q122" s="11">
        <f t="shared" ca="1" si="20"/>
        <v>2.9930000000000002E-2</v>
      </c>
      <c r="R122" s="12">
        <f t="shared" ca="1" si="21"/>
        <v>24.134186275225229</v>
      </c>
    </row>
    <row r="123" spans="1:18">
      <c r="A123" s="198">
        <f t="shared" ca="1" si="31"/>
        <v>104</v>
      </c>
      <c r="B123" s="197">
        <f t="shared" ca="1" si="28"/>
        <v>47907</v>
      </c>
      <c r="C123" s="196">
        <f t="shared" ca="1" si="22"/>
        <v>811.7879259855157</v>
      </c>
      <c r="D123" s="21">
        <f t="shared" ca="1" si="29"/>
        <v>1032.2969103697801</v>
      </c>
      <c r="E123" s="196">
        <f t="shared" ca="1" si="23"/>
        <v>111394.39798191156</v>
      </c>
      <c r="F123" s="178">
        <f t="shared" ca="1" si="24"/>
        <v>23.563299040658386</v>
      </c>
      <c r="G123" s="178">
        <f t="shared" ca="1" si="25"/>
        <v>26.319999999999997</v>
      </c>
      <c r="H123" s="177">
        <f t="shared" ca="1" si="26"/>
        <v>25</v>
      </c>
      <c r="I123" s="196"/>
      <c r="J123" s="9" t="str">
        <f t="shared" ca="1" si="16"/>
        <v/>
      </c>
      <c r="K123" s="9" t="str">
        <f t="shared" ca="1" si="17"/>
        <v/>
      </c>
      <c r="L123" s="9">
        <f t="shared" ca="1" si="18"/>
        <v>2</v>
      </c>
      <c r="N123" s="176">
        <f t="shared" ca="1" si="27"/>
        <v>29</v>
      </c>
      <c r="O123" s="176">
        <f t="shared" ca="1" si="30"/>
        <v>3187</v>
      </c>
      <c r="P123" s="175">
        <f t="shared" ca="1" si="19"/>
        <v>806.35436936936946</v>
      </c>
      <c r="Q123" s="11">
        <f t="shared" ca="1" si="20"/>
        <v>2.9930000000000002E-2</v>
      </c>
      <c r="R123" s="12">
        <f t="shared" ca="1" si="21"/>
        <v>24.134186275225229</v>
      </c>
    </row>
    <row r="124" spans="1:18">
      <c r="A124" s="198">
        <f t="shared" ca="1" si="31"/>
        <v>105</v>
      </c>
      <c r="B124" s="197">
        <f t="shared" ca="1" si="28"/>
        <v>47937</v>
      </c>
      <c r="C124" s="196">
        <f t="shared" ca="1" si="22"/>
        <v>811.7879259855157</v>
      </c>
      <c r="D124" s="21">
        <f t="shared" ca="1" si="29"/>
        <v>1024.8284614505894</v>
      </c>
      <c r="E124" s="196">
        <f t="shared" ca="1" si="23"/>
        <v>110582.61005592605</v>
      </c>
      <c r="F124" s="178">
        <f t="shared" ca="1" si="24"/>
        <v>23.39282357620143</v>
      </c>
      <c r="G124" s="178">
        <f t="shared" ca="1" si="25"/>
        <v>26.319999999999997</v>
      </c>
      <c r="H124" s="177">
        <f t="shared" ca="1" si="26"/>
        <v>25</v>
      </c>
      <c r="I124" s="196"/>
      <c r="J124" s="9" t="str">
        <f t="shared" ca="1" si="16"/>
        <v/>
      </c>
      <c r="K124" s="9" t="str">
        <f t="shared" ca="1" si="17"/>
        <v/>
      </c>
      <c r="L124" s="9">
        <f t="shared" ca="1" si="18"/>
        <v>3</v>
      </c>
      <c r="N124" s="176">
        <f t="shared" ca="1" si="27"/>
        <v>30</v>
      </c>
      <c r="O124" s="176">
        <f t="shared" ca="1" si="30"/>
        <v>3217</v>
      </c>
      <c r="P124" s="175">
        <f t="shared" ca="1" si="19"/>
        <v>806.35436936936946</v>
      </c>
      <c r="Q124" s="11">
        <f t="shared" ca="1" si="20"/>
        <v>2.9930000000000002E-2</v>
      </c>
      <c r="R124" s="12">
        <f t="shared" ca="1" si="21"/>
        <v>24.134186275225229</v>
      </c>
    </row>
    <row r="125" spans="1:18">
      <c r="A125" s="198">
        <f t="shared" ca="1" si="31"/>
        <v>106</v>
      </c>
      <c r="B125" s="197">
        <f t="shared" ca="1" si="28"/>
        <v>47968</v>
      </c>
      <c r="C125" s="196">
        <f t="shared" ca="1" si="22"/>
        <v>811.7879259855157</v>
      </c>
      <c r="D125" s="21">
        <f t="shared" ca="1" si="29"/>
        <v>1017.3600125313988</v>
      </c>
      <c r="E125" s="196">
        <f t="shared" ca="1" si="23"/>
        <v>109770.82212994054</v>
      </c>
      <c r="F125" s="178">
        <f t="shared" ca="1" si="24"/>
        <v>23.222348111744473</v>
      </c>
      <c r="G125" s="178">
        <f t="shared" ca="1" si="25"/>
        <v>26.319999999999997</v>
      </c>
      <c r="H125" s="177">
        <f t="shared" ca="1" si="26"/>
        <v>25</v>
      </c>
      <c r="I125" s="196"/>
      <c r="J125" s="9" t="str">
        <f t="shared" ca="1" si="16"/>
        <v/>
      </c>
      <c r="K125" s="9" t="str">
        <f t="shared" ca="1" si="17"/>
        <v/>
      </c>
      <c r="L125" s="9">
        <f t="shared" ca="1" si="18"/>
        <v>4</v>
      </c>
      <c r="N125" s="176">
        <f t="shared" ca="1" si="27"/>
        <v>31</v>
      </c>
      <c r="O125" s="176">
        <f t="shared" ca="1" si="30"/>
        <v>3248</v>
      </c>
      <c r="P125" s="175">
        <f t="shared" ca="1" si="19"/>
        <v>806.35436936936946</v>
      </c>
      <c r="Q125" s="11">
        <f t="shared" ca="1" si="20"/>
        <v>2.9930000000000002E-2</v>
      </c>
      <c r="R125" s="12">
        <f t="shared" ca="1" si="21"/>
        <v>24.134186275225229</v>
      </c>
    </row>
    <row r="126" spans="1:18">
      <c r="A126" s="198">
        <f t="shared" ca="1" si="31"/>
        <v>107</v>
      </c>
      <c r="B126" s="197">
        <f t="shared" ca="1" si="28"/>
        <v>47998</v>
      </c>
      <c r="C126" s="196">
        <f t="shared" ca="1" si="22"/>
        <v>811.7879259855157</v>
      </c>
      <c r="D126" s="21">
        <f t="shared" ca="1" si="29"/>
        <v>1009.8915636122082</v>
      </c>
      <c r="E126" s="196">
        <f t="shared" ca="1" si="23"/>
        <v>108959.03420395503</v>
      </c>
      <c r="F126" s="178">
        <f t="shared" ca="1" si="24"/>
        <v>23.051872647287514</v>
      </c>
      <c r="G126" s="178">
        <f t="shared" ca="1" si="25"/>
        <v>26.319999999999997</v>
      </c>
      <c r="H126" s="177">
        <f t="shared" ca="1" si="26"/>
        <v>25</v>
      </c>
      <c r="I126" s="196"/>
      <c r="J126" s="9" t="str">
        <f t="shared" ca="1" si="16"/>
        <v/>
      </c>
      <c r="K126" s="9" t="str">
        <f t="shared" ca="1" si="17"/>
        <v/>
      </c>
      <c r="L126" s="9">
        <f t="shared" ca="1" si="18"/>
        <v>5</v>
      </c>
      <c r="N126" s="176">
        <f t="shared" ca="1" si="27"/>
        <v>30</v>
      </c>
      <c r="O126" s="176">
        <f t="shared" ca="1" si="30"/>
        <v>3278</v>
      </c>
      <c r="P126" s="175">
        <f t="shared" ca="1" si="19"/>
        <v>806.35436936936946</v>
      </c>
      <c r="Q126" s="11">
        <f t="shared" ca="1" si="20"/>
        <v>2.9930000000000002E-2</v>
      </c>
      <c r="R126" s="12">
        <f t="shared" ca="1" si="21"/>
        <v>24.134186275225229</v>
      </c>
    </row>
    <row r="127" spans="1:18">
      <c r="A127" s="198">
        <f t="shared" ca="1" si="31"/>
        <v>108</v>
      </c>
      <c r="B127" s="197">
        <f t="shared" ca="1" si="28"/>
        <v>48029</v>
      </c>
      <c r="C127" s="196">
        <f t="shared" ca="1" si="22"/>
        <v>811.7879259855157</v>
      </c>
      <c r="D127" s="21">
        <f t="shared" ca="1" si="29"/>
        <v>1002.4231146930176</v>
      </c>
      <c r="E127" s="196">
        <f t="shared" ca="1" si="23"/>
        <v>108147.24627796952</v>
      </c>
      <c r="F127" s="178">
        <f t="shared" ca="1" si="24"/>
        <v>22.881397182830558</v>
      </c>
      <c r="G127" s="178">
        <f t="shared" ca="1" si="25"/>
        <v>26.319999999999997</v>
      </c>
      <c r="H127" s="177">
        <f t="shared" ca="1" si="26"/>
        <v>25</v>
      </c>
      <c r="I127" s="196"/>
      <c r="J127" s="9" t="str">
        <f t="shared" ca="1" si="16"/>
        <v/>
      </c>
      <c r="K127" s="9" t="str">
        <f t="shared" ca="1" si="17"/>
        <v/>
      </c>
      <c r="L127" s="9">
        <f t="shared" ca="1" si="18"/>
        <v>6</v>
      </c>
      <c r="N127" s="176">
        <f t="shared" ca="1" si="27"/>
        <v>31</v>
      </c>
      <c r="O127" s="176">
        <f t="shared" ca="1" si="30"/>
        <v>3309</v>
      </c>
      <c r="P127" s="175">
        <f t="shared" ca="1" si="19"/>
        <v>806.35436936936946</v>
      </c>
      <c r="Q127" s="11">
        <f t="shared" ca="1" si="20"/>
        <v>2.9930000000000002E-2</v>
      </c>
      <c r="R127" s="12">
        <f t="shared" ca="1" si="21"/>
        <v>24.134186275225229</v>
      </c>
    </row>
    <row r="128" spans="1:18">
      <c r="A128" s="198">
        <f t="shared" ca="1" si="31"/>
        <v>109</v>
      </c>
      <c r="B128" s="197">
        <f t="shared" ca="1" si="28"/>
        <v>48059</v>
      </c>
      <c r="C128" s="196">
        <f t="shared" ca="1" si="22"/>
        <v>811.7879259855157</v>
      </c>
      <c r="D128" s="21">
        <f t="shared" ca="1" si="29"/>
        <v>994.95466577382695</v>
      </c>
      <c r="E128" s="196">
        <f t="shared" ca="1" si="23"/>
        <v>107335.45835198401</v>
      </c>
      <c r="F128" s="178">
        <f t="shared" ca="1" si="24"/>
        <v>22.710921718373601</v>
      </c>
      <c r="G128" s="178">
        <f t="shared" ca="1" si="25"/>
        <v>26.319999999999997</v>
      </c>
      <c r="H128" s="177">
        <f t="shared" ca="1" si="26"/>
        <v>25</v>
      </c>
      <c r="I128" s="196"/>
      <c r="J128" s="9" t="str">
        <f t="shared" ca="1" si="16"/>
        <v/>
      </c>
      <c r="K128" s="9" t="str">
        <f t="shared" ca="1" si="17"/>
        <v/>
      </c>
      <c r="L128" s="9">
        <f t="shared" ca="1" si="18"/>
        <v>7</v>
      </c>
      <c r="N128" s="176">
        <f t="shared" ca="1" si="27"/>
        <v>30</v>
      </c>
      <c r="O128" s="176">
        <f t="shared" ca="1" si="30"/>
        <v>3339</v>
      </c>
      <c r="P128" s="175">
        <f t="shared" ca="1" si="19"/>
        <v>806.35436936936946</v>
      </c>
      <c r="Q128" s="11">
        <f t="shared" ca="1" si="20"/>
        <v>2.9930000000000002E-2</v>
      </c>
      <c r="R128" s="12">
        <f t="shared" ca="1" si="21"/>
        <v>24.134186275225229</v>
      </c>
    </row>
    <row r="129" spans="1:18">
      <c r="A129" s="198">
        <f t="shared" ca="1" si="31"/>
        <v>110</v>
      </c>
      <c r="B129" s="197">
        <f t="shared" ca="1" si="28"/>
        <v>48090</v>
      </c>
      <c r="C129" s="196">
        <f t="shared" ca="1" si="22"/>
        <v>811.7879259855157</v>
      </c>
      <c r="D129" s="21">
        <f t="shared" ca="1" si="29"/>
        <v>987.48621685463638</v>
      </c>
      <c r="E129" s="196">
        <f t="shared" ca="1" si="23"/>
        <v>106523.6704259985</v>
      </c>
      <c r="F129" s="178">
        <f t="shared" ca="1" si="24"/>
        <v>22.540446253916642</v>
      </c>
      <c r="G129" s="178">
        <f t="shared" ca="1" si="25"/>
        <v>26.319999999999997</v>
      </c>
      <c r="H129" s="177">
        <f t="shared" ca="1" si="26"/>
        <v>25</v>
      </c>
      <c r="I129" s="196"/>
      <c r="J129" s="9" t="str">
        <f t="shared" ca="1" si="16"/>
        <v/>
      </c>
      <c r="K129" s="9" t="str">
        <f t="shared" ca="1" si="17"/>
        <v/>
      </c>
      <c r="L129" s="9">
        <f t="shared" ca="1" si="18"/>
        <v>8</v>
      </c>
      <c r="N129" s="176">
        <f t="shared" ca="1" si="27"/>
        <v>31</v>
      </c>
      <c r="O129" s="176">
        <f t="shared" ca="1" si="30"/>
        <v>3370</v>
      </c>
      <c r="P129" s="175">
        <f t="shared" ca="1" si="19"/>
        <v>806.35436936936946</v>
      </c>
      <c r="Q129" s="11">
        <f t="shared" ca="1" si="20"/>
        <v>2.9930000000000002E-2</v>
      </c>
      <c r="R129" s="12">
        <f t="shared" ca="1" si="21"/>
        <v>24.134186275225229</v>
      </c>
    </row>
    <row r="130" spans="1:18">
      <c r="A130" s="198">
        <f t="shared" ca="1" si="31"/>
        <v>111</v>
      </c>
      <c r="B130" s="197">
        <f t="shared" ca="1" si="28"/>
        <v>48121</v>
      </c>
      <c r="C130" s="196">
        <f t="shared" ca="1" si="22"/>
        <v>811.7879259855157</v>
      </c>
      <c r="D130" s="21">
        <f t="shared" ca="1" si="29"/>
        <v>980.0177679354457</v>
      </c>
      <c r="E130" s="196">
        <f t="shared" ca="1" si="23"/>
        <v>105711.88250001299</v>
      </c>
      <c r="F130" s="178">
        <f t="shared" ca="1" si="24"/>
        <v>22.369970789459686</v>
      </c>
      <c r="G130" s="178">
        <f t="shared" ca="1" si="25"/>
        <v>26.319999999999997</v>
      </c>
      <c r="H130" s="177">
        <f t="shared" ca="1" si="26"/>
        <v>25</v>
      </c>
      <c r="I130" s="196"/>
      <c r="J130" s="9" t="str">
        <f t="shared" ca="1" si="16"/>
        <v/>
      </c>
      <c r="K130" s="9" t="str">
        <f t="shared" ca="1" si="17"/>
        <v/>
      </c>
      <c r="L130" s="9">
        <f t="shared" ca="1" si="18"/>
        <v>9</v>
      </c>
      <c r="N130" s="176">
        <f t="shared" ca="1" si="27"/>
        <v>31</v>
      </c>
      <c r="O130" s="176">
        <f t="shared" ca="1" si="30"/>
        <v>3401</v>
      </c>
      <c r="P130" s="175">
        <f t="shared" ca="1" si="19"/>
        <v>806.35436936936946</v>
      </c>
      <c r="Q130" s="11">
        <f t="shared" ca="1" si="20"/>
        <v>2.9930000000000002E-2</v>
      </c>
      <c r="R130" s="12">
        <f t="shared" ca="1" si="21"/>
        <v>24.134186275225229</v>
      </c>
    </row>
    <row r="131" spans="1:18">
      <c r="A131" s="198">
        <f t="shared" ca="1" si="31"/>
        <v>112</v>
      </c>
      <c r="B131" s="197">
        <f t="shared" ca="1" si="28"/>
        <v>48151</v>
      </c>
      <c r="C131" s="196">
        <f t="shared" ca="1" si="22"/>
        <v>811.7879259855157</v>
      </c>
      <c r="D131" s="21">
        <f t="shared" ca="1" si="29"/>
        <v>972.54931901625514</v>
      </c>
      <c r="E131" s="196">
        <f t="shared" ca="1" si="23"/>
        <v>104900.09457402748</v>
      </c>
      <c r="F131" s="178">
        <f t="shared" ca="1" si="24"/>
        <v>22.199495325002729</v>
      </c>
      <c r="G131" s="178">
        <f t="shared" ca="1" si="25"/>
        <v>26.319999999999997</v>
      </c>
      <c r="H131" s="177">
        <f t="shared" ca="1" si="26"/>
        <v>25</v>
      </c>
      <c r="I131" s="196"/>
      <c r="J131" s="9" t="str">
        <f t="shared" ca="1" si="16"/>
        <v/>
      </c>
      <c r="K131" s="9" t="str">
        <f t="shared" ca="1" si="17"/>
        <v/>
      </c>
      <c r="L131" s="9">
        <f t="shared" ca="1" si="18"/>
        <v>10</v>
      </c>
      <c r="N131" s="176">
        <f t="shared" ca="1" si="27"/>
        <v>30</v>
      </c>
      <c r="O131" s="176">
        <f t="shared" ca="1" si="30"/>
        <v>3431</v>
      </c>
      <c r="P131" s="175">
        <f t="shared" ca="1" si="19"/>
        <v>806.35436936936946</v>
      </c>
      <c r="Q131" s="11">
        <f t="shared" ca="1" si="20"/>
        <v>2.9930000000000002E-2</v>
      </c>
      <c r="R131" s="12">
        <f t="shared" ca="1" si="21"/>
        <v>24.134186275225229</v>
      </c>
    </row>
    <row r="132" spans="1:18">
      <c r="A132" s="198">
        <f t="shared" ca="1" si="31"/>
        <v>113</v>
      </c>
      <c r="B132" s="197">
        <f t="shared" ca="1" si="28"/>
        <v>48182</v>
      </c>
      <c r="C132" s="196">
        <f t="shared" ca="1" si="22"/>
        <v>811.7879259855157</v>
      </c>
      <c r="D132" s="21">
        <f t="shared" ca="1" si="29"/>
        <v>965.08087009706458</v>
      </c>
      <c r="E132" s="196">
        <f t="shared" ca="1" si="23"/>
        <v>104088.30664804197</v>
      </c>
      <c r="F132" s="178">
        <f t="shared" ca="1" si="24"/>
        <v>22.02901986054577</v>
      </c>
      <c r="G132" s="178">
        <f t="shared" ca="1" si="25"/>
        <v>26.319999999999997</v>
      </c>
      <c r="H132" s="177">
        <f t="shared" ca="1" si="26"/>
        <v>25</v>
      </c>
      <c r="I132" s="196"/>
      <c r="J132" s="9" t="str">
        <f t="shared" ca="1" si="16"/>
        <v/>
      </c>
      <c r="K132" s="9" t="str">
        <f t="shared" ca="1" si="17"/>
        <v/>
      </c>
      <c r="L132" s="9">
        <f t="shared" ca="1" si="18"/>
        <v>11</v>
      </c>
      <c r="N132" s="176">
        <f t="shared" ca="1" si="27"/>
        <v>31</v>
      </c>
      <c r="O132" s="176">
        <f t="shared" ca="1" si="30"/>
        <v>3462</v>
      </c>
      <c r="P132" s="175">
        <f t="shared" ca="1" si="19"/>
        <v>806.35436936936946</v>
      </c>
      <c r="Q132" s="11">
        <f t="shared" ca="1" si="20"/>
        <v>2.9930000000000002E-2</v>
      </c>
      <c r="R132" s="12">
        <f t="shared" ca="1" si="21"/>
        <v>24.134186275225229</v>
      </c>
    </row>
    <row r="133" spans="1:18">
      <c r="A133" s="198">
        <f t="shared" ca="1" si="31"/>
        <v>114</v>
      </c>
      <c r="B133" s="197">
        <f t="shared" ca="1" si="28"/>
        <v>48212</v>
      </c>
      <c r="C133" s="196">
        <f t="shared" ca="1" si="22"/>
        <v>811.7879259855157</v>
      </c>
      <c r="D133" s="21">
        <f t="shared" ca="1" si="29"/>
        <v>957.6124211778739</v>
      </c>
      <c r="E133" s="196">
        <f t="shared" ca="1" si="23"/>
        <v>103276.51872205645</v>
      </c>
      <c r="F133" s="178">
        <f t="shared" ca="1" si="24"/>
        <v>21.858544396088813</v>
      </c>
      <c r="G133" s="178">
        <f t="shared" ca="1" si="25"/>
        <v>26.319999999999997</v>
      </c>
      <c r="H133" s="177">
        <f t="shared" ca="1" si="26"/>
        <v>25</v>
      </c>
      <c r="I133" s="196"/>
      <c r="J133" s="9" t="str">
        <f t="shared" ca="1" si="16"/>
        <v/>
      </c>
      <c r="K133" s="9" t="str">
        <f t="shared" ca="1" si="17"/>
        <v/>
      </c>
      <c r="L133" s="9">
        <f t="shared" ca="1" si="18"/>
        <v>12</v>
      </c>
      <c r="N133" s="176">
        <f t="shared" ca="1" si="27"/>
        <v>30</v>
      </c>
      <c r="O133" s="176">
        <f t="shared" ca="1" si="30"/>
        <v>3492</v>
      </c>
      <c r="P133" s="175">
        <f t="shared" ca="1" si="19"/>
        <v>806.35436936936946</v>
      </c>
      <c r="Q133" s="11">
        <f t="shared" ca="1" si="20"/>
        <v>2.9930000000000002E-2</v>
      </c>
      <c r="R133" s="12">
        <f t="shared" ca="1" si="21"/>
        <v>24.134186275225229</v>
      </c>
    </row>
    <row r="134" spans="1:18">
      <c r="A134" s="198">
        <f t="shared" ca="1" si="31"/>
        <v>115</v>
      </c>
      <c r="B134" s="197">
        <f t="shared" ca="1" si="28"/>
        <v>48243</v>
      </c>
      <c r="C134" s="196">
        <f t="shared" ca="1" si="22"/>
        <v>811.7879259855157</v>
      </c>
      <c r="D134" s="21">
        <f t="shared" ca="1" si="29"/>
        <v>950.14397225868333</v>
      </c>
      <c r="E134" s="196">
        <f t="shared" ca="1" si="23"/>
        <v>102464.73079607094</v>
      </c>
      <c r="F134" s="178">
        <f t="shared" ca="1" si="24"/>
        <v>21.688068931631857</v>
      </c>
      <c r="G134" s="178">
        <f t="shared" ca="1" si="25"/>
        <v>26.319999999999997</v>
      </c>
      <c r="H134" s="177">
        <f t="shared" ca="1" si="26"/>
        <v>25</v>
      </c>
      <c r="I134" s="196"/>
      <c r="J134" s="9" t="str">
        <f t="shared" ca="1" si="16"/>
        <v/>
      </c>
      <c r="K134" s="9" t="str">
        <f t="shared" ca="1" si="17"/>
        <v/>
      </c>
      <c r="L134" s="9">
        <f t="shared" ca="1" si="18"/>
        <v>1</v>
      </c>
      <c r="N134" s="176">
        <f t="shared" ca="1" si="27"/>
        <v>31</v>
      </c>
      <c r="O134" s="176">
        <f t="shared" ca="1" si="30"/>
        <v>3523</v>
      </c>
      <c r="P134" s="175">
        <f t="shared" ca="1" si="19"/>
        <v>806.35436936936946</v>
      </c>
      <c r="Q134" s="11">
        <f t="shared" ca="1" si="20"/>
        <v>2.9930000000000002E-2</v>
      </c>
      <c r="R134" s="12">
        <f t="shared" ca="1" si="21"/>
        <v>24.134186275225229</v>
      </c>
    </row>
    <row r="135" spans="1:18">
      <c r="A135" s="198">
        <f t="shared" ca="1" si="31"/>
        <v>116</v>
      </c>
      <c r="B135" s="197">
        <f t="shared" ca="1" si="28"/>
        <v>48273</v>
      </c>
      <c r="C135" s="196">
        <f t="shared" ca="1" si="22"/>
        <v>811.7879259855157</v>
      </c>
      <c r="D135" s="21">
        <f t="shared" ca="1" si="29"/>
        <v>942.67552333949277</v>
      </c>
      <c r="E135" s="196">
        <f t="shared" ca="1" si="23"/>
        <v>101652.94287008543</v>
      </c>
      <c r="F135" s="178">
        <f t="shared" ca="1" si="24"/>
        <v>21.517593467174898</v>
      </c>
      <c r="G135" s="178">
        <f t="shared" ca="1" si="25"/>
        <v>26.319999999999997</v>
      </c>
      <c r="H135" s="177">
        <f t="shared" ca="1" si="26"/>
        <v>25</v>
      </c>
      <c r="I135" s="196"/>
      <c r="J135" s="9" t="str">
        <f t="shared" ca="1" si="16"/>
        <v/>
      </c>
      <c r="K135" s="9" t="str">
        <f t="shared" ca="1" si="17"/>
        <v/>
      </c>
      <c r="L135" s="9">
        <f t="shared" ca="1" si="18"/>
        <v>2</v>
      </c>
      <c r="N135" s="176">
        <f t="shared" ca="1" si="27"/>
        <v>30</v>
      </c>
      <c r="O135" s="176">
        <f t="shared" ca="1" si="30"/>
        <v>3553</v>
      </c>
      <c r="P135" s="175">
        <f t="shared" ca="1" si="19"/>
        <v>806.35436936936946</v>
      </c>
      <c r="Q135" s="11">
        <f t="shared" ca="1" si="20"/>
        <v>2.9930000000000002E-2</v>
      </c>
      <c r="R135" s="12">
        <f t="shared" ca="1" si="21"/>
        <v>24.134186275225229</v>
      </c>
    </row>
    <row r="136" spans="1:18">
      <c r="A136" s="198">
        <f t="shared" ca="1" si="31"/>
        <v>117</v>
      </c>
      <c r="B136" s="197">
        <f t="shared" ca="1" si="28"/>
        <v>48303</v>
      </c>
      <c r="C136" s="196">
        <f t="shared" ca="1" si="22"/>
        <v>811.7879259855157</v>
      </c>
      <c r="D136" s="21">
        <f t="shared" ca="1" si="29"/>
        <v>935.20707442030209</v>
      </c>
      <c r="E136" s="196">
        <f t="shared" ca="1" si="23"/>
        <v>100841.15494409992</v>
      </c>
      <c r="F136" s="178">
        <f t="shared" ca="1" si="24"/>
        <v>21.347118002717941</v>
      </c>
      <c r="G136" s="178">
        <f t="shared" ca="1" si="25"/>
        <v>26.319999999999997</v>
      </c>
      <c r="H136" s="177">
        <f t="shared" ca="1" si="26"/>
        <v>25</v>
      </c>
      <c r="I136" s="196"/>
      <c r="J136" s="9" t="str">
        <f t="shared" ca="1" si="16"/>
        <v/>
      </c>
      <c r="K136" s="9" t="str">
        <f t="shared" ca="1" si="17"/>
        <v/>
      </c>
      <c r="L136" s="9">
        <f t="shared" ca="1" si="18"/>
        <v>3</v>
      </c>
      <c r="N136" s="176">
        <f t="shared" ca="1" si="27"/>
        <v>30</v>
      </c>
      <c r="O136" s="176">
        <f t="shared" ca="1" si="30"/>
        <v>3583</v>
      </c>
      <c r="P136" s="175">
        <f t="shared" ca="1" si="19"/>
        <v>806.35436936936946</v>
      </c>
      <c r="Q136" s="11">
        <f t="shared" ca="1" si="20"/>
        <v>2.9930000000000002E-2</v>
      </c>
      <c r="R136" s="12">
        <f t="shared" ca="1" si="21"/>
        <v>24.134186275225229</v>
      </c>
    </row>
    <row r="137" spans="1:18">
      <c r="A137" s="198">
        <f t="shared" ca="1" si="31"/>
        <v>118</v>
      </c>
      <c r="B137" s="197">
        <f t="shared" ca="1" si="28"/>
        <v>48334</v>
      </c>
      <c r="C137" s="196">
        <f t="shared" ca="1" si="22"/>
        <v>811.7879259855157</v>
      </c>
      <c r="D137" s="21">
        <f t="shared" ca="1" si="29"/>
        <v>927.73862550111153</v>
      </c>
      <c r="E137" s="196">
        <f t="shared" ca="1" si="23"/>
        <v>100029.36701811441</v>
      </c>
      <c r="F137" s="178">
        <f t="shared" ca="1" si="24"/>
        <v>21.176642538260985</v>
      </c>
      <c r="G137" s="178">
        <f t="shared" ca="1" si="25"/>
        <v>26.319999999999997</v>
      </c>
      <c r="H137" s="177">
        <f t="shared" ca="1" si="26"/>
        <v>25</v>
      </c>
      <c r="I137" s="196"/>
      <c r="J137" s="9" t="str">
        <f t="shared" ca="1" si="16"/>
        <v/>
      </c>
      <c r="K137" s="9" t="str">
        <f t="shared" ca="1" si="17"/>
        <v/>
      </c>
      <c r="L137" s="9">
        <f t="shared" ca="1" si="18"/>
        <v>4</v>
      </c>
      <c r="N137" s="176">
        <f t="shared" ca="1" si="27"/>
        <v>31</v>
      </c>
      <c r="O137" s="176">
        <f t="shared" ca="1" si="30"/>
        <v>3614</v>
      </c>
      <c r="P137" s="175">
        <f t="shared" ca="1" si="19"/>
        <v>806.35436936936946</v>
      </c>
      <c r="Q137" s="11">
        <f t="shared" ca="1" si="20"/>
        <v>2.9930000000000002E-2</v>
      </c>
      <c r="R137" s="12">
        <f t="shared" ca="1" si="21"/>
        <v>24.134186275225229</v>
      </c>
    </row>
    <row r="138" spans="1:18">
      <c r="A138" s="198">
        <f t="shared" ca="1" si="31"/>
        <v>119</v>
      </c>
      <c r="B138" s="197">
        <f t="shared" ca="1" si="28"/>
        <v>48364</v>
      </c>
      <c r="C138" s="196">
        <f t="shared" ca="1" si="22"/>
        <v>811.7879259855157</v>
      </c>
      <c r="D138" s="21">
        <f t="shared" ca="1" si="29"/>
        <v>920.27017658192085</v>
      </c>
      <c r="E138" s="196">
        <f t="shared" ca="1" si="23"/>
        <v>99217.579092128901</v>
      </c>
      <c r="F138" s="178">
        <f t="shared" ca="1" si="24"/>
        <v>21.006167073804026</v>
      </c>
      <c r="G138" s="178">
        <f t="shared" ca="1" si="25"/>
        <v>26.319999999999997</v>
      </c>
      <c r="H138" s="177">
        <f t="shared" ca="1" si="26"/>
        <v>25</v>
      </c>
      <c r="I138" s="196"/>
      <c r="J138" s="9" t="str">
        <f t="shared" ca="1" si="16"/>
        <v/>
      </c>
      <c r="K138" s="9" t="str">
        <f t="shared" ca="1" si="17"/>
        <v/>
      </c>
      <c r="L138" s="9">
        <f t="shared" ca="1" si="18"/>
        <v>5</v>
      </c>
      <c r="N138" s="176">
        <f t="shared" ca="1" si="27"/>
        <v>30</v>
      </c>
      <c r="O138" s="176">
        <f t="shared" ca="1" si="30"/>
        <v>3644</v>
      </c>
      <c r="P138" s="175">
        <f t="shared" ca="1" si="19"/>
        <v>806.35436936936946</v>
      </c>
      <c r="Q138" s="11">
        <f t="shared" ca="1" si="20"/>
        <v>2.9930000000000002E-2</v>
      </c>
      <c r="R138" s="12">
        <f t="shared" ca="1" si="21"/>
        <v>24.134186275225229</v>
      </c>
    </row>
    <row r="139" spans="1:18">
      <c r="A139" s="198">
        <f t="shared" ca="1" si="31"/>
        <v>120</v>
      </c>
      <c r="B139" s="197">
        <f t="shared" ca="1" si="28"/>
        <v>48395</v>
      </c>
      <c r="C139" s="196">
        <f t="shared" ca="1" si="22"/>
        <v>811.7879259855157</v>
      </c>
      <c r="D139" s="21">
        <f t="shared" ca="1" si="29"/>
        <v>912.80172766273029</v>
      </c>
      <c r="E139" s="196">
        <f t="shared" ca="1" si="23"/>
        <v>98405.79116614339</v>
      </c>
      <c r="F139" s="178">
        <f t="shared" ca="1" si="24"/>
        <v>20.835691609347069</v>
      </c>
      <c r="G139" s="178">
        <f t="shared" ca="1" si="25"/>
        <v>26.319999999999997</v>
      </c>
      <c r="H139" s="177">
        <f t="shared" ca="1" si="26"/>
        <v>25</v>
      </c>
      <c r="I139" s="196"/>
      <c r="J139" s="9" t="str">
        <f t="shared" ca="1" si="16"/>
        <v/>
      </c>
      <c r="K139" s="9" t="str">
        <f t="shared" ca="1" si="17"/>
        <v/>
      </c>
      <c r="L139" s="9">
        <f t="shared" ca="1" si="18"/>
        <v>6</v>
      </c>
      <c r="N139" s="176">
        <f t="shared" ca="1" si="27"/>
        <v>31</v>
      </c>
      <c r="O139" s="176">
        <f t="shared" ca="1" si="30"/>
        <v>3675</v>
      </c>
      <c r="P139" s="175">
        <f t="shared" ca="1" si="19"/>
        <v>806.35436936936946</v>
      </c>
      <c r="Q139" s="11">
        <f t="shared" ca="1" si="20"/>
        <v>2.9930000000000002E-2</v>
      </c>
      <c r="R139" s="12">
        <f t="shared" ca="1" si="21"/>
        <v>24.134186275225229</v>
      </c>
    </row>
    <row r="140" spans="1:18">
      <c r="A140" s="198">
        <f t="shared" ca="1" si="31"/>
        <v>121</v>
      </c>
      <c r="B140" s="197">
        <f t="shared" ca="1" si="28"/>
        <v>48425</v>
      </c>
      <c r="C140" s="196">
        <f t="shared" ca="1" si="22"/>
        <v>811.7879259855157</v>
      </c>
      <c r="D140" s="21">
        <f t="shared" ca="1" si="29"/>
        <v>905.33327874353972</v>
      </c>
      <c r="E140" s="196">
        <f t="shared" ca="1" si="23"/>
        <v>97594.003240157879</v>
      </c>
      <c r="F140" s="178">
        <f t="shared" ca="1" si="24"/>
        <v>20.665216144890113</v>
      </c>
      <c r="G140" s="178">
        <f t="shared" ca="1" si="25"/>
        <v>26.319999999999997</v>
      </c>
      <c r="H140" s="177">
        <f t="shared" ca="1" si="26"/>
        <v>25</v>
      </c>
      <c r="I140" s="196"/>
      <c r="J140" s="9" t="str">
        <f t="shared" ca="1" si="16"/>
        <v/>
      </c>
      <c r="K140" s="9" t="str">
        <f t="shared" ca="1" si="17"/>
        <v/>
      </c>
      <c r="L140" s="9">
        <f t="shared" ca="1" si="18"/>
        <v>7</v>
      </c>
      <c r="N140" s="176">
        <f t="shared" ca="1" si="27"/>
        <v>30</v>
      </c>
      <c r="O140" s="176">
        <f t="shared" ca="1" si="30"/>
        <v>3705</v>
      </c>
      <c r="P140" s="175">
        <f t="shared" ca="1" si="19"/>
        <v>806.35436936936946</v>
      </c>
      <c r="Q140" s="11">
        <f t="shared" ca="1" si="20"/>
        <v>2.9930000000000002E-2</v>
      </c>
      <c r="R140" s="12">
        <f t="shared" ca="1" si="21"/>
        <v>24.134186275225229</v>
      </c>
    </row>
    <row r="141" spans="1:18">
      <c r="A141" s="198">
        <f t="shared" ca="1" si="31"/>
        <v>122</v>
      </c>
      <c r="B141" s="197">
        <f t="shared" ca="1" si="28"/>
        <v>48456</v>
      </c>
      <c r="C141" s="196">
        <f t="shared" ca="1" si="22"/>
        <v>811.7879259855157</v>
      </c>
      <c r="D141" s="21">
        <f t="shared" ca="1" si="29"/>
        <v>897.86482982434904</v>
      </c>
      <c r="E141" s="196">
        <f t="shared" ca="1" si="23"/>
        <v>96782.215314172368</v>
      </c>
      <c r="F141" s="178">
        <f t="shared" ca="1" si="24"/>
        <v>20.494740680433157</v>
      </c>
      <c r="G141" s="178">
        <f t="shared" ca="1" si="25"/>
        <v>26.319999999999997</v>
      </c>
      <c r="H141" s="177">
        <f t="shared" ca="1" si="26"/>
        <v>25</v>
      </c>
      <c r="I141" s="196"/>
      <c r="J141" s="9" t="str">
        <f t="shared" ca="1" si="16"/>
        <v/>
      </c>
      <c r="K141" s="9" t="str">
        <f t="shared" ca="1" si="17"/>
        <v/>
      </c>
      <c r="L141" s="9">
        <f t="shared" ca="1" si="18"/>
        <v>8</v>
      </c>
      <c r="N141" s="176">
        <f t="shared" ca="1" si="27"/>
        <v>31</v>
      </c>
      <c r="O141" s="176">
        <f t="shared" ca="1" si="30"/>
        <v>3736</v>
      </c>
      <c r="P141" s="175">
        <f t="shared" ca="1" si="19"/>
        <v>806.35436936936946</v>
      </c>
      <c r="Q141" s="11">
        <f t="shared" ca="1" si="20"/>
        <v>2.9930000000000002E-2</v>
      </c>
      <c r="R141" s="12">
        <f t="shared" ca="1" si="21"/>
        <v>24.134186275225229</v>
      </c>
    </row>
    <row r="142" spans="1:18">
      <c r="A142" s="198">
        <f t="shared" ca="1" si="31"/>
        <v>123</v>
      </c>
      <c r="B142" s="197">
        <f t="shared" ca="1" si="28"/>
        <v>48487</v>
      </c>
      <c r="C142" s="196">
        <f t="shared" ca="1" si="22"/>
        <v>811.7879259855157</v>
      </c>
      <c r="D142" s="21">
        <f t="shared" ca="1" si="29"/>
        <v>890.39638090515848</v>
      </c>
      <c r="E142" s="196">
        <f t="shared" ca="1" si="23"/>
        <v>95970.427388186858</v>
      </c>
      <c r="F142" s="178">
        <f t="shared" ca="1" si="24"/>
        <v>20.324265215976197</v>
      </c>
      <c r="G142" s="178">
        <f t="shared" ca="1" si="25"/>
        <v>26.319999999999997</v>
      </c>
      <c r="H142" s="177">
        <f t="shared" ca="1" si="26"/>
        <v>25</v>
      </c>
      <c r="I142" s="196"/>
      <c r="J142" s="9" t="str">
        <f t="shared" ca="1" si="16"/>
        <v/>
      </c>
      <c r="K142" s="9" t="str">
        <f t="shared" ca="1" si="17"/>
        <v/>
      </c>
      <c r="L142" s="9">
        <f t="shared" ca="1" si="18"/>
        <v>9</v>
      </c>
      <c r="N142" s="176">
        <f t="shared" ca="1" si="27"/>
        <v>31</v>
      </c>
      <c r="O142" s="176">
        <f t="shared" ca="1" si="30"/>
        <v>3767</v>
      </c>
      <c r="P142" s="175">
        <f t="shared" ca="1" si="19"/>
        <v>806.35436936936946</v>
      </c>
      <c r="Q142" s="11">
        <f t="shared" ca="1" si="20"/>
        <v>2.9930000000000002E-2</v>
      </c>
      <c r="R142" s="12">
        <f t="shared" ca="1" si="21"/>
        <v>24.134186275225229</v>
      </c>
    </row>
    <row r="143" spans="1:18">
      <c r="A143" s="198">
        <f t="shared" ca="1" si="31"/>
        <v>124</v>
      </c>
      <c r="B143" s="197">
        <f t="shared" ca="1" si="28"/>
        <v>48517</v>
      </c>
      <c r="C143" s="196">
        <f t="shared" ca="1" si="22"/>
        <v>811.7879259855157</v>
      </c>
      <c r="D143" s="21">
        <f t="shared" ca="1" si="29"/>
        <v>882.9279319859678</v>
      </c>
      <c r="E143" s="196">
        <f t="shared" ca="1" si="23"/>
        <v>95158.639462201347</v>
      </c>
      <c r="F143" s="178">
        <f t="shared" ca="1" si="24"/>
        <v>20.153789751519241</v>
      </c>
      <c r="G143" s="178">
        <f t="shared" ca="1" si="25"/>
        <v>26.319999999999997</v>
      </c>
      <c r="H143" s="177">
        <f t="shared" ca="1" si="26"/>
        <v>25</v>
      </c>
      <c r="I143" s="196"/>
      <c r="J143" s="9" t="str">
        <f t="shared" ca="1" si="16"/>
        <v/>
      </c>
      <c r="K143" s="9" t="str">
        <f t="shared" ca="1" si="17"/>
        <v/>
      </c>
      <c r="L143" s="9">
        <f t="shared" ca="1" si="18"/>
        <v>10</v>
      </c>
      <c r="N143" s="176">
        <f t="shared" ca="1" si="27"/>
        <v>30</v>
      </c>
      <c r="O143" s="176">
        <f t="shared" ca="1" si="30"/>
        <v>3797</v>
      </c>
      <c r="P143" s="175">
        <f t="shared" ca="1" si="19"/>
        <v>806.35436936936946</v>
      </c>
      <c r="Q143" s="11">
        <f t="shared" ca="1" si="20"/>
        <v>2.9930000000000002E-2</v>
      </c>
      <c r="R143" s="12">
        <f t="shared" ca="1" si="21"/>
        <v>24.134186275225229</v>
      </c>
    </row>
    <row r="144" spans="1:18">
      <c r="A144" s="198">
        <f t="shared" ca="1" si="31"/>
        <v>125</v>
      </c>
      <c r="B144" s="197">
        <f t="shared" ca="1" si="28"/>
        <v>48548</v>
      </c>
      <c r="C144" s="196">
        <f t="shared" ca="1" si="22"/>
        <v>811.7879259855157</v>
      </c>
      <c r="D144" s="21">
        <f t="shared" ca="1" si="29"/>
        <v>875.45948306677724</v>
      </c>
      <c r="E144" s="196">
        <f t="shared" ca="1" si="23"/>
        <v>94346.851536215836</v>
      </c>
      <c r="F144" s="178">
        <f t="shared" ca="1" si="24"/>
        <v>19.983314287062285</v>
      </c>
      <c r="G144" s="178">
        <f t="shared" ca="1" si="25"/>
        <v>26.319999999999997</v>
      </c>
      <c r="H144" s="177">
        <f t="shared" ca="1" si="26"/>
        <v>25</v>
      </c>
      <c r="I144" s="196"/>
      <c r="J144" s="9" t="str">
        <f t="shared" ca="1" si="16"/>
        <v/>
      </c>
      <c r="K144" s="9" t="str">
        <f t="shared" ca="1" si="17"/>
        <v/>
      </c>
      <c r="L144" s="9">
        <f t="shared" ca="1" si="18"/>
        <v>11</v>
      </c>
      <c r="N144" s="176">
        <f t="shared" ca="1" si="27"/>
        <v>31</v>
      </c>
      <c r="O144" s="176">
        <f t="shared" ca="1" si="30"/>
        <v>3828</v>
      </c>
      <c r="P144" s="175">
        <f t="shared" ca="1" si="19"/>
        <v>806.35436936936946</v>
      </c>
      <c r="Q144" s="11">
        <f t="shared" ca="1" si="20"/>
        <v>2.9930000000000002E-2</v>
      </c>
      <c r="R144" s="12">
        <f t="shared" ca="1" si="21"/>
        <v>24.134186275225229</v>
      </c>
    </row>
    <row r="145" spans="1:18">
      <c r="A145" s="198">
        <f t="shared" ca="1" si="31"/>
        <v>126</v>
      </c>
      <c r="B145" s="197">
        <f t="shared" ca="1" si="28"/>
        <v>48578</v>
      </c>
      <c r="C145" s="196">
        <f t="shared" ca="1" si="22"/>
        <v>811.7879259855157</v>
      </c>
      <c r="D145" s="21">
        <f t="shared" ca="1" si="29"/>
        <v>867.99103414758667</v>
      </c>
      <c r="E145" s="196">
        <f t="shared" ca="1" si="23"/>
        <v>93535.063610230325</v>
      </c>
      <c r="F145" s="178">
        <f t="shared" ca="1" si="24"/>
        <v>19.812838822605325</v>
      </c>
      <c r="G145" s="178">
        <f t="shared" ca="1" si="25"/>
        <v>26.319999999999997</v>
      </c>
      <c r="H145" s="177">
        <f t="shared" ca="1" si="26"/>
        <v>25</v>
      </c>
      <c r="I145" s="196"/>
      <c r="J145" s="9" t="str">
        <f t="shared" ca="1" si="16"/>
        <v/>
      </c>
      <c r="K145" s="9" t="str">
        <f t="shared" ca="1" si="17"/>
        <v/>
      </c>
      <c r="L145" s="9">
        <f t="shared" ca="1" si="18"/>
        <v>12</v>
      </c>
      <c r="N145" s="176">
        <f t="shared" ca="1" si="27"/>
        <v>30</v>
      </c>
      <c r="O145" s="176">
        <f t="shared" ca="1" si="30"/>
        <v>3858</v>
      </c>
      <c r="P145" s="175">
        <f t="shared" ca="1" si="19"/>
        <v>806.35436936936946</v>
      </c>
      <c r="Q145" s="11">
        <f t="shared" ca="1" si="20"/>
        <v>2.9930000000000002E-2</v>
      </c>
      <c r="R145" s="12">
        <f t="shared" ca="1" si="21"/>
        <v>24.134186275225229</v>
      </c>
    </row>
    <row r="146" spans="1:18">
      <c r="A146" s="198">
        <f t="shared" ca="1" si="31"/>
        <v>127</v>
      </c>
      <c r="B146" s="197">
        <f t="shared" ca="1" si="28"/>
        <v>48609</v>
      </c>
      <c r="C146" s="196">
        <f t="shared" ca="1" si="22"/>
        <v>811.7879259855157</v>
      </c>
      <c r="D146" s="21">
        <f t="shared" ca="1" si="29"/>
        <v>860.522585228396</v>
      </c>
      <c r="E146" s="196">
        <f t="shared" ca="1" si="23"/>
        <v>92723.275684244814</v>
      </c>
      <c r="F146" s="178">
        <f t="shared" ca="1" si="24"/>
        <v>19.642363358148369</v>
      </c>
      <c r="G146" s="178">
        <f t="shared" ca="1" si="25"/>
        <v>26.319999999999997</v>
      </c>
      <c r="H146" s="177">
        <f t="shared" ca="1" si="26"/>
        <v>25</v>
      </c>
      <c r="I146" s="196"/>
      <c r="J146" s="9" t="str">
        <f t="shared" ref="J146:J209" ca="1" si="32">IF(A146="I","Carencia",IF(A146&lt;=$C$12,"Carencia",""))</f>
        <v/>
      </c>
      <c r="K146" s="9" t="str">
        <f t="shared" ref="K146:K209" ca="1" si="33">IF(L146=$C$13,"Pula","")</f>
        <v/>
      </c>
      <c r="L146" s="9">
        <f t="shared" ref="L146:L209" ca="1" si="34">IFERROR(MONTH(B146),"")</f>
        <v>1</v>
      </c>
      <c r="N146" s="176">
        <f t="shared" ca="1" si="27"/>
        <v>31</v>
      </c>
      <c r="O146" s="176">
        <f t="shared" ca="1" si="30"/>
        <v>3889</v>
      </c>
      <c r="P146" s="175">
        <f t="shared" ref="P146:P209" ca="1" si="35">IF(A146&lt;&gt;"",$E$18/($C$8-$C$12-$D$13),"")</f>
        <v>806.35436936936946</v>
      </c>
      <c r="Q146" s="11">
        <f t="shared" ref="Q146:Q209" ca="1" si="36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ca="1" si="37">IFERROR(Q146*P146,"")</f>
        <v>24.134186275225229</v>
      </c>
    </row>
    <row r="147" spans="1:18">
      <c r="A147" s="198">
        <f t="shared" ca="1" si="31"/>
        <v>128</v>
      </c>
      <c r="B147" s="197">
        <f t="shared" ca="1" si="28"/>
        <v>48638</v>
      </c>
      <c r="C147" s="196">
        <f t="shared" ref="C147:C210" ca="1" si="38">IFERROR(IF(OR(J147="Carencia",K147="Pula",A147=""),0,_xlfn.XLOOKUP(IF(AND($F$3&lt;DAY($F$2),$C$12=0),0,"I"),$A:$A,$E:$E)/($C$8-$D$13-$C$12)),"")</f>
        <v>811.7879259855157</v>
      </c>
      <c r="D147" s="21">
        <f t="shared" ca="1" si="29"/>
        <v>853.05413630920543</v>
      </c>
      <c r="E147" s="196">
        <f t="shared" ref="E147:E210" ca="1" si="39">IFERROR(IF(OR(J147="Carencia",K147="Pula"),E146+D147+SUM(F147:H147),(E146-C147)),"")</f>
        <v>91911.487758259304</v>
      </c>
      <c r="F147" s="178">
        <f t="shared" ref="F147:F210" ca="1" si="40">IFERROR(IF(OR(AND(DAY(B147)=DAY(B146),MONTH(B147)&lt;&gt;MONTH(B146)),MONTH(B147)&lt;&gt;MONTH(B146)),E146*$I$7,""),"")</f>
        <v>19.471887893691413</v>
      </c>
      <c r="G147" s="178">
        <f t="shared" ref="G147:G210" ca="1" si="41">IFERROR(IF(OR(AND(DAY(B147)=DAY(B146),MONTH(B147)&lt;&gt;MONTH(B146)),MONTH(B147)&lt;&gt;MONTH(B146)),$C$11*$I$8,0),"")</f>
        <v>26.319999999999997</v>
      </c>
      <c r="H147" s="177">
        <f t="shared" ref="H147:H210" ca="1" si="42">IFERROR(IF(OR(AND(DAY(B147)=DAY(B146),MONTH(B147)&lt;&gt;MONTH(B146)),MONTH(B147)&lt;&gt;MONTH(B146)),$I$10,0),"")</f>
        <v>25</v>
      </c>
      <c r="I147" s="196"/>
      <c r="J147" s="9" t="str">
        <f t="shared" ca="1" si="32"/>
        <v/>
      </c>
      <c r="K147" s="9" t="str">
        <f t="shared" ca="1" si="33"/>
        <v/>
      </c>
      <c r="L147" s="9">
        <f t="shared" ca="1" si="34"/>
        <v>2</v>
      </c>
      <c r="N147" s="176">
        <f t="shared" ref="N147:N210" ca="1" si="43">IFERROR(B147-B146,"")</f>
        <v>29</v>
      </c>
      <c r="O147" s="176">
        <f t="shared" ca="1" si="30"/>
        <v>3918</v>
      </c>
      <c r="P147" s="175">
        <f t="shared" ca="1" si="35"/>
        <v>806.35436936936946</v>
      </c>
      <c r="Q147" s="11">
        <f t="shared" ca="1" si="36"/>
        <v>2.9930000000000002E-2</v>
      </c>
      <c r="R147" s="12">
        <f t="shared" ca="1" si="37"/>
        <v>24.134186275225229</v>
      </c>
    </row>
    <row r="148" spans="1:18">
      <c r="A148" s="198">
        <f t="shared" ca="1" si="31"/>
        <v>129</v>
      </c>
      <c r="B148" s="197">
        <f t="shared" ref="B148:B211" ca="1" si="44">IF(A148&lt;&gt;"",IF(DAY(EOMONTH($F$2,0))&lt;$F$3,IF(MONTH($F$2)=2,DATE(YEAR(B147),3,F131),EOMONTH(B147,1)),EDATE($B$19,A148-IF($A$19="I",0,1))),"")</f>
        <v>48668</v>
      </c>
      <c r="C148" s="196">
        <f t="shared" ca="1" si="38"/>
        <v>811.7879259855157</v>
      </c>
      <c r="D148" s="21">
        <f t="shared" ref="D148:D211" ca="1" si="45">IFERROR(IF(DAY(B148)=DAY(B147),IF(K148="Pula",0,($C$9)*E147),IF(AND(K148="Pula",J148=""),0,IF(AND($F$3=30,OR(AND(DAY(B147)=28,MONTH(B147)=2),AND(DAY(B147)=29,MONTH(B147)=2))),$C$9*E147,$C$9*E147))),"")</f>
        <v>845.58568739001475</v>
      </c>
      <c r="E148" s="196">
        <f t="shared" ca="1" si="39"/>
        <v>91099.699832273793</v>
      </c>
      <c r="F148" s="178">
        <f t="shared" ca="1" si="40"/>
        <v>19.301412429234453</v>
      </c>
      <c r="G148" s="178">
        <f t="shared" ca="1" si="41"/>
        <v>26.319999999999997</v>
      </c>
      <c r="H148" s="177">
        <f t="shared" ca="1" si="42"/>
        <v>25</v>
      </c>
      <c r="I148" s="196"/>
      <c r="J148" s="9" t="str">
        <f t="shared" ca="1" si="32"/>
        <v/>
      </c>
      <c r="K148" s="9" t="str">
        <f t="shared" ca="1" si="33"/>
        <v/>
      </c>
      <c r="L148" s="9">
        <f t="shared" ca="1" si="34"/>
        <v>3</v>
      </c>
      <c r="N148" s="176">
        <f t="shared" ca="1" si="43"/>
        <v>30</v>
      </c>
      <c r="O148" s="176">
        <f t="shared" ref="O148:O211" ca="1" si="46">IFERROR(N148+O147,"")</f>
        <v>3948</v>
      </c>
      <c r="P148" s="175">
        <f t="shared" ca="1" si="35"/>
        <v>806.35436936936946</v>
      </c>
      <c r="Q148" s="11">
        <f t="shared" ca="1" si="36"/>
        <v>2.9930000000000002E-2</v>
      </c>
      <c r="R148" s="12">
        <f t="shared" ca="1" si="37"/>
        <v>24.134186275225229</v>
      </c>
    </row>
    <row r="149" spans="1:18">
      <c r="A149" s="198">
        <f t="shared" ref="A149:A212" ca="1" si="47">IF(A148&gt;=$C$8,"",A148+1)</f>
        <v>130</v>
      </c>
      <c r="B149" s="197">
        <f t="shared" ca="1" si="44"/>
        <v>48699</v>
      </c>
      <c r="C149" s="196">
        <f t="shared" ca="1" si="38"/>
        <v>811.7879259855157</v>
      </c>
      <c r="D149" s="21">
        <f t="shared" ca="1" si="45"/>
        <v>838.11723847082419</v>
      </c>
      <c r="E149" s="196">
        <f t="shared" ca="1" si="39"/>
        <v>90287.911906288282</v>
      </c>
      <c r="F149" s="178">
        <f t="shared" ca="1" si="40"/>
        <v>19.130936964777497</v>
      </c>
      <c r="G149" s="178">
        <f t="shared" ca="1" si="41"/>
        <v>26.319999999999997</v>
      </c>
      <c r="H149" s="177">
        <f t="shared" ca="1" si="42"/>
        <v>25</v>
      </c>
      <c r="I149" s="196"/>
      <c r="J149" s="9" t="str">
        <f t="shared" ca="1" si="32"/>
        <v/>
      </c>
      <c r="K149" s="9" t="str">
        <f t="shared" ca="1" si="33"/>
        <v/>
      </c>
      <c r="L149" s="9">
        <f t="shared" ca="1" si="34"/>
        <v>4</v>
      </c>
      <c r="N149" s="176">
        <f t="shared" ca="1" si="43"/>
        <v>31</v>
      </c>
      <c r="O149" s="176">
        <f t="shared" ca="1" si="46"/>
        <v>3979</v>
      </c>
      <c r="P149" s="175">
        <f t="shared" ca="1" si="35"/>
        <v>806.35436936936946</v>
      </c>
      <c r="Q149" s="11">
        <f t="shared" ca="1" si="36"/>
        <v>2.9930000000000002E-2</v>
      </c>
      <c r="R149" s="12">
        <f t="shared" ca="1" si="37"/>
        <v>24.134186275225229</v>
      </c>
    </row>
    <row r="150" spans="1:18">
      <c r="A150" s="198">
        <f t="shared" ca="1" si="47"/>
        <v>131</v>
      </c>
      <c r="B150" s="197">
        <f t="shared" ca="1" si="44"/>
        <v>48729</v>
      </c>
      <c r="C150" s="196">
        <f t="shared" ca="1" si="38"/>
        <v>811.7879259855157</v>
      </c>
      <c r="D150" s="21">
        <f t="shared" ca="1" si="45"/>
        <v>830.64878955163363</v>
      </c>
      <c r="E150" s="196">
        <f t="shared" ca="1" si="39"/>
        <v>89476.123980302771</v>
      </c>
      <c r="F150" s="178">
        <f t="shared" ca="1" si="40"/>
        <v>18.960461500320541</v>
      </c>
      <c r="G150" s="178">
        <f t="shared" ca="1" si="41"/>
        <v>26.319999999999997</v>
      </c>
      <c r="H150" s="177">
        <f t="shared" ca="1" si="42"/>
        <v>25</v>
      </c>
      <c r="I150" s="196"/>
      <c r="J150" s="9" t="str">
        <f t="shared" ca="1" si="32"/>
        <v/>
      </c>
      <c r="K150" s="9" t="str">
        <f t="shared" ca="1" si="33"/>
        <v/>
      </c>
      <c r="L150" s="9">
        <f t="shared" ca="1" si="34"/>
        <v>5</v>
      </c>
      <c r="N150" s="176">
        <f t="shared" ca="1" si="43"/>
        <v>30</v>
      </c>
      <c r="O150" s="176">
        <f t="shared" ca="1" si="46"/>
        <v>4009</v>
      </c>
      <c r="P150" s="175">
        <f t="shared" ca="1" si="35"/>
        <v>806.35436936936946</v>
      </c>
      <c r="Q150" s="11">
        <f t="shared" ca="1" si="36"/>
        <v>2.9930000000000002E-2</v>
      </c>
      <c r="R150" s="12">
        <f t="shared" ca="1" si="37"/>
        <v>24.134186275225229</v>
      </c>
    </row>
    <row r="151" spans="1:18">
      <c r="A151" s="198">
        <f t="shared" ca="1" si="47"/>
        <v>132</v>
      </c>
      <c r="B151" s="197">
        <f t="shared" ca="1" si="44"/>
        <v>48760</v>
      </c>
      <c r="C151" s="196">
        <f t="shared" ca="1" si="38"/>
        <v>811.7879259855157</v>
      </c>
      <c r="D151" s="21">
        <f t="shared" ca="1" si="45"/>
        <v>823.18034063244295</v>
      </c>
      <c r="E151" s="196">
        <f t="shared" ca="1" si="39"/>
        <v>88664.33605431726</v>
      </c>
      <c r="F151" s="178">
        <f t="shared" ca="1" si="40"/>
        <v>18.789986035863581</v>
      </c>
      <c r="G151" s="178">
        <f t="shared" ca="1" si="41"/>
        <v>26.319999999999997</v>
      </c>
      <c r="H151" s="177">
        <f t="shared" ca="1" si="42"/>
        <v>25</v>
      </c>
      <c r="I151" s="196"/>
      <c r="J151" s="9" t="str">
        <f t="shared" ca="1" si="32"/>
        <v/>
      </c>
      <c r="K151" s="9" t="str">
        <f t="shared" ca="1" si="33"/>
        <v/>
      </c>
      <c r="L151" s="9">
        <f t="shared" ca="1" si="34"/>
        <v>6</v>
      </c>
      <c r="N151" s="176">
        <f t="shared" ca="1" si="43"/>
        <v>31</v>
      </c>
      <c r="O151" s="176">
        <f t="shared" ca="1" si="46"/>
        <v>4040</v>
      </c>
      <c r="P151" s="175">
        <f t="shared" ca="1" si="35"/>
        <v>806.35436936936946</v>
      </c>
      <c r="Q151" s="11">
        <f t="shared" ca="1" si="36"/>
        <v>2.9930000000000002E-2</v>
      </c>
      <c r="R151" s="12">
        <f t="shared" ca="1" si="37"/>
        <v>24.134186275225229</v>
      </c>
    </row>
    <row r="152" spans="1:18">
      <c r="A152" s="198">
        <f t="shared" ca="1" si="47"/>
        <v>133</v>
      </c>
      <c r="B152" s="197">
        <f t="shared" ca="1" si="44"/>
        <v>48790</v>
      </c>
      <c r="C152" s="196">
        <f t="shared" ca="1" si="38"/>
        <v>811.7879259855157</v>
      </c>
      <c r="D152" s="21">
        <f t="shared" ca="1" si="45"/>
        <v>815.71189171325238</v>
      </c>
      <c r="E152" s="196">
        <f t="shared" ca="1" si="39"/>
        <v>87852.548128331749</v>
      </c>
      <c r="F152" s="178">
        <f t="shared" ca="1" si="40"/>
        <v>18.619510571406625</v>
      </c>
      <c r="G152" s="178">
        <f t="shared" ca="1" si="41"/>
        <v>26.319999999999997</v>
      </c>
      <c r="H152" s="177">
        <f t="shared" ca="1" si="42"/>
        <v>25</v>
      </c>
      <c r="I152" s="196"/>
      <c r="J152" s="9" t="str">
        <f t="shared" ca="1" si="32"/>
        <v/>
      </c>
      <c r="K152" s="9" t="str">
        <f t="shared" ca="1" si="33"/>
        <v/>
      </c>
      <c r="L152" s="9">
        <f t="shared" ca="1" si="34"/>
        <v>7</v>
      </c>
      <c r="N152" s="176">
        <f t="shared" ca="1" si="43"/>
        <v>30</v>
      </c>
      <c r="O152" s="176">
        <f t="shared" ca="1" si="46"/>
        <v>4070</v>
      </c>
      <c r="P152" s="175">
        <f t="shared" ca="1" si="35"/>
        <v>806.35436936936946</v>
      </c>
      <c r="Q152" s="11">
        <f t="shared" ca="1" si="36"/>
        <v>2.9930000000000002E-2</v>
      </c>
      <c r="R152" s="12">
        <f t="shared" ca="1" si="37"/>
        <v>24.134186275225229</v>
      </c>
    </row>
    <row r="153" spans="1:18">
      <c r="A153" s="198">
        <f t="shared" ca="1" si="47"/>
        <v>134</v>
      </c>
      <c r="B153" s="197">
        <f t="shared" ca="1" si="44"/>
        <v>48821</v>
      </c>
      <c r="C153" s="196">
        <f t="shared" ca="1" si="38"/>
        <v>811.7879259855157</v>
      </c>
      <c r="D153" s="21">
        <f t="shared" ca="1" si="45"/>
        <v>808.24344279406171</v>
      </c>
      <c r="E153" s="196">
        <f t="shared" ca="1" si="39"/>
        <v>87040.760202346239</v>
      </c>
      <c r="F153" s="178">
        <f t="shared" ca="1" si="40"/>
        <v>18.449035106949669</v>
      </c>
      <c r="G153" s="178">
        <f t="shared" ca="1" si="41"/>
        <v>26.319999999999997</v>
      </c>
      <c r="H153" s="177">
        <f t="shared" ca="1" si="42"/>
        <v>25</v>
      </c>
      <c r="I153" s="196"/>
      <c r="J153" s="9" t="str">
        <f t="shared" ca="1" si="32"/>
        <v/>
      </c>
      <c r="K153" s="9" t="str">
        <f t="shared" ca="1" si="33"/>
        <v/>
      </c>
      <c r="L153" s="9">
        <f t="shared" ca="1" si="34"/>
        <v>8</v>
      </c>
      <c r="N153" s="176">
        <f t="shared" ca="1" si="43"/>
        <v>31</v>
      </c>
      <c r="O153" s="176">
        <f t="shared" ca="1" si="46"/>
        <v>4101</v>
      </c>
      <c r="P153" s="175">
        <f t="shared" ca="1" si="35"/>
        <v>806.35436936936946</v>
      </c>
      <c r="Q153" s="11">
        <f t="shared" ca="1" si="36"/>
        <v>2.9930000000000002E-2</v>
      </c>
      <c r="R153" s="12">
        <f t="shared" ca="1" si="37"/>
        <v>24.134186275225229</v>
      </c>
    </row>
    <row r="154" spans="1:18">
      <c r="A154" s="198">
        <f t="shared" ca="1" si="47"/>
        <v>135</v>
      </c>
      <c r="B154" s="197">
        <f t="shared" ca="1" si="44"/>
        <v>48852</v>
      </c>
      <c r="C154" s="196">
        <f t="shared" ca="1" si="38"/>
        <v>811.7879259855157</v>
      </c>
      <c r="D154" s="21">
        <f t="shared" ca="1" si="45"/>
        <v>800.77499387487114</v>
      </c>
      <c r="E154" s="196">
        <f t="shared" ca="1" si="39"/>
        <v>86228.972276360728</v>
      </c>
      <c r="F154" s="178">
        <f t="shared" ca="1" si="40"/>
        <v>18.278559642492709</v>
      </c>
      <c r="G154" s="178">
        <f t="shared" ca="1" si="41"/>
        <v>26.319999999999997</v>
      </c>
      <c r="H154" s="177">
        <f t="shared" ca="1" si="42"/>
        <v>25</v>
      </c>
      <c r="I154" s="196"/>
      <c r="J154" s="9" t="str">
        <f t="shared" ca="1" si="32"/>
        <v/>
      </c>
      <c r="K154" s="9" t="str">
        <f t="shared" ca="1" si="33"/>
        <v/>
      </c>
      <c r="L154" s="9">
        <f t="shared" ca="1" si="34"/>
        <v>9</v>
      </c>
      <c r="N154" s="176">
        <f t="shared" ca="1" si="43"/>
        <v>31</v>
      </c>
      <c r="O154" s="176">
        <f t="shared" ca="1" si="46"/>
        <v>4132</v>
      </c>
      <c r="P154" s="175">
        <f t="shared" ca="1" si="35"/>
        <v>806.35436936936946</v>
      </c>
      <c r="Q154" s="11">
        <f t="shared" ca="1" si="36"/>
        <v>2.9930000000000002E-2</v>
      </c>
      <c r="R154" s="12">
        <f t="shared" ca="1" si="37"/>
        <v>24.134186275225229</v>
      </c>
    </row>
    <row r="155" spans="1:18">
      <c r="A155" s="198">
        <f t="shared" ca="1" si="47"/>
        <v>136</v>
      </c>
      <c r="B155" s="197">
        <f t="shared" ca="1" si="44"/>
        <v>48882</v>
      </c>
      <c r="C155" s="196">
        <f t="shared" ca="1" si="38"/>
        <v>811.7879259855157</v>
      </c>
      <c r="D155" s="21">
        <f t="shared" ca="1" si="45"/>
        <v>793.30654495568058</v>
      </c>
      <c r="E155" s="196">
        <f t="shared" ca="1" si="39"/>
        <v>85417.184350375217</v>
      </c>
      <c r="F155" s="178">
        <f t="shared" ca="1" si="40"/>
        <v>18.108084178035753</v>
      </c>
      <c r="G155" s="178">
        <f t="shared" ca="1" si="41"/>
        <v>26.319999999999997</v>
      </c>
      <c r="H155" s="177">
        <f t="shared" ca="1" si="42"/>
        <v>25</v>
      </c>
      <c r="I155" s="196"/>
      <c r="J155" s="9" t="str">
        <f t="shared" ca="1" si="32"/>
        <v/>
      </c>
      <c r="K155" s="9" t="str">
        <f t="shared" ca="1" si="33"/>
        <v/>
      </c>
      <c r="L155" s="9">
        <f t="shared" ca="1" si="34"/>
        <v>10</v>
      </c>
      <c r="N155" s="176">
        <f t="shared" ca="1" si="43"/>
        <v>30</v>
      </c>
      <c r="O155" s="176">
        <f t="shared" ca="1" si="46"/>
        <v>4162</v>
      </c>
      <c r="P155" s="175">
        <f t="shared" ca="1" si="35"/>
        <v>806.35436936936946</v>
      </c>
      <c r="Q155" s="11">
        <f t="shared" ca="1" si="36"/>
        <v>2.9930000000000002E-2</v>
      </c>
      <c r="R155" s="12">
        <f t="shared" ca="1" si="37"/>
        <v>24.134186275225229</v>
      </c>
    </row>
    <row r="156" spans="1:18">
      <c r="A156" s="198">
        <f t="shared" ca="1" si="47"/>
        <v>137</v>
      </c>
      <c r="B156" s="197">
        <f t="shared" ca="1" si="44"/>
        <v>48913</v>
      </c>
      <c r="C156" s="196">
        <f t="shared" ca="1" si="38"/>
        <v>811.7879259855157</v>
      </c>
      <c r="D156" s="21">
        <f t="shared" ca="1" si="45"/>
        <v>785.8380960364899</v>
      </c>
      <c r="E156" s="196">
        <f t="shared" ca="1" si="39"/>
        <v>84605.396424389706</v>
      </c>
      <c r="F156" s="178">
        <f t="shared" ca="1" si="40"/>
        <v>17.937608713578797</v>
      </c>
      <c r="G156" s="178">
        <f t="shared" ca="1" si="41"/>
        <v>26.319999999999997</v>
      </c>
      <c r="H156" s="177">
        <f t="shared" ca="1" si="42"/>
        <v>25</v>
      </c>
      <c r="I156" s="196"/>
      <c r="J156" s="9" t="str">
        <f t="shared" ca="1" si="32"/>
        <v/>
      </c>
      <c r="K156" s="9" t="str">
        <f t="shared" ca="1" si="33"/>
        <v/>
      </c>
      <c r="L156" s="9">
        <f t="shared" ca="1" si="34"/>
        <v>11</v>
      </c>
      <c r="N156" s="176">
        <f t="shared" ca="1" si="43"/>
        <v>31</v>
      </c>
      <c r="O156" s="176">
        <f t="shared" ca="1" si="46"/>
        <v>4193</v>
      </c>
      <c r="P156" s="175">
        <f t="shared" ca="1" si="35"/>
        <v>806.35436936936946</v>
      </c>
      <c r="Q156" s="11">
        <f t="shared" ca="1" si="36"/>
        <v>2.9930000000000002E-2</v>
      </c>
      <c r="R156" s="12">
        <f t="shared" ca="1" si="37"/>
        <v>24.134186275225229</v>
      </c>
    </row>
    <row r="157" spans="1:18">
      <c r="A157" s="198">
        <f t="shared" ca="1" si="47"/>
        <v>138</v>
      </c>
      <c r="B157" s="197">
        <f t="shared" ca="1" si="44"/>
        <v>48943</v>
      </c>
      <c r="C157" s="196">
        <f t="shared" ca="1" si="38"/>
        <v>811.7879259855157</v>
      </c>
      <c r="D157" s="21">
        <f t="shared" ca="1" si="45"/>
        <v>778.36964711729934</v>
      </c>
      <c r="E157" s="196">
        <f t="shared" ca="1" si="39"/>
        <v>83793.608498404195</v>
      </c>
      <c r="F157" s="178">
        <f t="shared" ca="1" si="40"/>
        <v>17.767133249121841</v>
      </c>
      <c r="G157" s="178">
        <f t="shared" ca="1" si="41"/>
        <v>26.319999999999997</v>
      </c>
      <c r="H157" s="177">
        <f t="shared" ca="1" si="42"/>
        <v>25</v>
      </c>
      <c r="I157" s="196"/>
      <c r="J157" s="9" t="str">
        <f t="shared" ca="1" si="32"/>
        <v/>
      </c>
      <c r="K157" s="9" t="str">
        <f t="shared" ca="1" si="33"/>
        <v/>
      </c>
      <c r="L157" s="9">
        <f t="shared" ca="1" si="34"/>
        <v>12</v>
      </c>
      <c r="N157" s="176">
        <f t="shared" ca="1" si="43"/>
        <v>30</v>
      </c>
      <c r="O157" s="176">
        <f t="shared" ca="1" si="46"/>
        <v>4223</v>
      </c>
      <c r="P157" s="175">
        <f t="shared" ca="1" si="35"/>
        <v>806.35436936936946</v>
      </c>
      <c r="Q157" s="11">
        <f t="shared" ca="1" si="36"/>
        <v>2.9930000000000002E-2</v>
      </c>
      <c r="R157" s="12">
        <f t="shared" ca="1" si="37"/>
        <v>24.134186275225229</v>
      </c>
    </row>
    <row r="158" spans="1:18">
      <c r="A158" s="198">
        <f t="shared" ca="1" si="47"/>
        <v>139</v>
      </c>
      <c r="B158" s="197">
        <f t="shared" ca="1" si="44"/>
        <v>48974</v>
      </c>
      <c r="C158" s="196">
        <f t="shared" ca="1" si="38"/>
        <v>811.7879259855157</v>
      </c>
      <c r="D158" s="21">
        <f t="shared" ca="1" si="45"/>
        <v>770.90119819810866</v>
      </c>
      <c r="E158" s="196">
        <f t="shared" ca="1" si="39"/>
        <v>82981.820572418685</v>
      </c>
      <c r="F158" s="178">
        <f t="shared" ca="1" si="40"/>
        <v>17.596657784664881</v>
      </c>
      <c r="G158" s="178">
        <f t="shared" ca="1" si="41"/>
        <v>26.319999999999997</v>
      </c>
      <c r="H158" s="177">
        <f t="shared" ca="1" si="42"/>
        <v>25</v>
      </c>
      <c r="I158" s="196"/>
      <c r="J158" s="9" t="str">
        <f t="shared" ca="1" si="32"/>
        <v/>
      </c>
      <c r="K158" s="9" t="str">
        <f t="shared" ca="1" si="33"/>
        <v/>
      </c>
      <c r="L158" s="9">
        <f t="shared" ca="1" si="34"/>
        <v>1</v>
      </c>
      <c r="N158" s="176">
        <f t="shared" ca="1" si="43"/>
        <v>31</v>
      </c>
      <c r="O158" s="176">
        <f t="shared" ca="1" si="46"/>
        <v>4254</v>
      </c>
      <c r="P158" s="175">
        <f t="shared" ca="1" si="35"/>
        <v>806.35436936936946</v>
      </c>
      <c r="Q158" s="11">
        <f t="shared" ca="1" si="36"/>
        <v>2.9930000000000002E-2</v>
      </c>
      <c r="R158" s="12">
        <f t="shared" ca="1" si="37"/>
        <v>24.134186275225229</v>
      </c>
    </row>
    <row r="159" spans="1:18">
      <c r="A159" s="198">
        <f t="shared" ca="1" si="47"/>
        <v>140</v>
      </c>
      <c r="B159" s="197">
        <f t="shared" ca="1" si="44"/>
        <v>49003</v>
      </c>
      <c r="C159" s="196">
        <f t="shared" ca="1" si="38"/>
        <v>811.7879259855157</v>
      </c>
      <c r="D159" s="21">
        <f t="shared" ca="1" si="45"/>
        <v>763.4327492789181</v>
      </c>
      <c r="E159" s="196">
        <f t="shared" ca="1" si="39"/>
        <v>82170.032646433174</v>
      </c>
      <c r="F159" s="178">
        <f t="shared" ca="1" si="40"/>
        <v>17.426182320207925</v>
      </c>
      <c r="G159" s="178">
        <f t="shared" ca="1" si="41"/>
        <v>26.319999999999997</v>
      </c>
      <c r="H159" s="177">
        <f t="shared" ca="1" si="42"/>
        <v>25</v>
      </c>
      <c r="I159" s="196"/>
      <c r="J159" s="9" t="str">
        <f t="shared" ca="1" si="32"/>
        <v/>
      </c>
      <c r="K159" s="9" t="str">
        <f t="shared" ca="1" si="33"/>
        <v/>
      </c>
      <c r="L159" s="9">
        <f t="shared" ca="1" si="34"/>
        <v>2</v>
      </c>
      <c r="N159" s="176">
        <f t="shared" ca="1" si="43"/>
        <v>29</v>
      </c>
      <c r="O159" s="176">
        <f t="shared" ca="1" si="46"/>
        <v>4283</v>
      </c>
      <c r="P159" s="175">
        <f t="shared" ca="1" si="35"/>
        <v>806.35436936936946</v>
      </c>
      <c r="Q159" s="11">
        <f t="shared" ca="1" si="36"/>
        <v>2.9930000000000002E-2</v>
      </c>
      <c r="R159" s="12">
        <f t="shared" ca="1" si="37"/>
        <v>24.134186275225229</v>
      </c>
    </row>
    <row r="160" spans="1:18">
      <c r="A160" s="198">
        <f t="shared" ca="1" si="47"/>
        <v>141</v>
      </c>
      <c r="B160" s="197">
        <f t="shared" ca="1" si="44"/>
        <v>49033</v>
      </c>
      <c r="C160" s="196">
        <f t="shared" ca="1" si="38"/>
        <v>811.7879259855157</v>
      </c>
      <c r="D160" s="21">
        <f t="shared" ca="1" si="45"/>
        <v>755.96430035972753</v>
      </c>
      <c r="E160" s="196">
        <f t="shared" ca="1" si="39"/>
        <v>81358.244720447663</v>
      </c>
      <c r="F160" s="178">
        <f t="shared" ca="1" si="40"/>
        <v>17.255706855750969</v>
      </c>
      <c r="G160" s="178">
        <f t="shared" ca="1" si="41"/>
        <v>26.319999999999997</v>
      </c>
      <c r="H160" s="177">
        <f t="shared" ca="1" si="42"/>
        <v>25</v>
      </c>
      <c r="I160" s="196"/>
      <c r="J160" s="9" t="str">
        <f t="shared" ca="1" si="32"/>
        <v/>
      </c>
      <c r="K160" s="9" t="str">
        <f t="shared" ca="1" si="33"/>
        <v/>
      </c>
      <c r="L160" s="9">
        <f t="shared" ca="1" si="34"/>
        <v>3</v>
      </c>
      <c r="N160" s="176">
        <f t="shared" ca="1" si="43"/>
        <v>30</v>
      </c>
      <c r="O160" s="176">
        <f t="shared" ca="1" si="46"/>
        <v>4313</v>
      </c>
      <c r="P160" s="175">
        <f t="shared" ca="1" si="35"/>
        <v>806.35436936936946</v>
      </c>
      <c r="Q160" s="11">
        <f t="shared" ca="1" si="36"/>
        <v>2.9930000000000002E-2</v>
      </c>
      <c r="R160" s="12">
        <f t="shared" ca="1" si="37"/>
        <v>24.134186275225229</v>
      </c>
    </row>
    <row r="161" spans="1:18">
      <c r="A161" s="198">
        <f t="shared" ca="1" si="47"/>
        <v>142</v>
      </c>
      <c r="B161" s="197">
        <f t="shared" ca="1" si="44"/>
        <v>49064</v>
      </c>
      <c r="C161" s="196">
        <f t="shared" ca="1" si="38"/>
        <v>811.7879259855157</v>
      </c>
      <c r="D161" s="21">
        <f t="shared" ca="1" si="45"/>
        <v>748.49585144053685</v>
      </c>
      <c r="E161" s="196">
        <f t="shared" ca="1" si="39"/>
        <v>80546.456794462152</v>
      </c>
      <c r="F161" s="178">
        <f t="shared" ca="1" si="40"/>
        <v>17.085231391294009</v>
      </c>
      <c r="G161" s="178">
        <f t="shared" ca="1" si="41"/>
        <v>26.319999999999997</v>
      </c>
      <c r="H161" s="177">
        <f t="shared" ca="1" si="42"/>
        <v>25</v>
      </c>
      <c r="I161" s="196"/>
      <c r="J161" s="9" t="str">
        <f t="shared" ca="1" si="32"/>
        <v/>
      </c>
      <c r="K161" s="9" t="str">
        <f t="shared" ca="1" si="33"/>
        <v/>
      </c>
      <c r="L161" s="9">
        <f t="shared" ca="1" si="34"/>
        <v>4</v>
      </c>
      <c r="N161" s="176">
        <f t="shared" ca="1" si="43"/>
        <v>31</v>
      </c>
      <c r="O161" s="176">
        <f t="shared" ca="1" si="46"/>
        <v>4344</v>
      </c>
      <c r="P161" s="175">
        <f t="shared" ca="1" si="35"/>
        <v>806.35436936936946</v>
      </c>
      <c r="Q161" s="11">
        <f t="shared" ca="1" si="36"/>
        <v>2.9930000000000002E-2</v>
      </c>
      <c r="R161" s="12">
        <f t="shared" ca="1" si="37"/>
        <v>24.134186275225229</v>
      </c>
    </row>
    <row r="162" spans="1:18">
      <c r="A162" s="198">
        <f t="shared" ca="1" si="47"/>
        <v>143</v>
      </c>
      <c r="B162" s="197">
        <f t="shared" ca="1" si="44"/>
        <v>49094</v>
      </c>
      <c r="C162" s="196">
        <f t="shared" ca="1" si="38"/>
        <v>811.7879259855157</v>
      </c>
      <c r="D162" s="21">
        <f t="shared" ca="1" si="45"/>
        <v>741.02740252134629</v>
      </c>
      <c r="E162" s="196">
        <f t="shared" ca="1" si="39"/>
        <v>79734.668868476641</v>
      </c>
      <c r="F162" s="178">
        <f t="shared" ca="1" si="40"/>
        <v>16.914755926837053</v>
      </c>
      <c r="G162" s="178">
        <f t="shared" ca="1" si="41"/>
        <v>26.319999999999997</v>
      </c>
      <c r="H162" s="177">
        <f t="shared" ca="1" si="42"/>
        <v>25</v>
      </c>
      <c r="I162" s="196"/>
      <c r="J162" s="9" t="str">
        <f t="shared" ca="1" si="32"/>
        <v/>
      </c>
      <c r="K162" s="9" t="str">
        <f t="shared" ca="1" si="33"/>
        <v/>
      </c>
      <c r="L162" s="9">
        <f t="shared" ca="1" si="34"/>
        <v>5</v>
      </c>
      <c r="N162" s="176">
        <f t="shared" ca="1" si="43"/>
        <v>30</v>
      </c>
      <c r="O162" s="176">
        <f t="shared" ca="1" si="46"/>
        <v>4374</v>
      </c>
      <c r="P162" s="175">
        <f t="shared" ca="1" si="35"/>
        <v>806.35436936936946</v>
      </c>
      <c r="Q162" s="11">
        <f t="shared" ca="1" si="36"/>
        <v>2.9930000000000002E-2</v>
      </c>
      <c r="R162" s="12">
        <f t="shared" ca="1" si="37"/>
        <v>24.134186275225229</v>
      </c>
    </row>
    <row r="163" spans="1:18">
      <c r="A163" s="198">
        <f t="shared" ca="1" si="47"/>
        <v>144</v>
      </c>
      <c r="B163" s="197">
        <f t="shared" ca="1" si="44"/>
        <v>49125</v>
      </c>
      <c r="C163" s="196">
        <f t="shared" ca="1" si="38"/>
        <v>811.7879259855157</v>
      </c>
      <c r="D163" s="21">
        <f t="shared" ca="1" si="45"/>
        <v>733.55895360215561</v>
      </c>
      <c r="E163" s="196">
        <f t="shared" ca="1" si="39"/>
        <v>78922.880942491131</v>
      </c>
      <c r="F163" s="178">
        <f t="shared" ca="1" si="40"/>
        <v>16.744280462380097</v>
      </c>
      <c r="G163" s="178">
        <f t="shared" ca="1" si="41"/>
        <v>26.319999999999997</v>
      </c>
      <c r="H163" s="177">
        <f t="shared" ca="1" si="42"/>
        <v>25</v>
      </c>
      <c r="I163" s="196"/>
      <c r="J163" s="9" t="str">
        <f t="shared" ca="1" si="32"/>
        <v/>
      </c>
      <c r="K163" s="9" t="str">
        <f t="shared" ca="1" si="33"/>
        <v/>
      </c>
      <c r="L163" s="9">
        <f t="shared" ca="1" si="34"/>
        <v>6</v>
      </c>
      <c r="N163" s="176">
        <f t="shared" ca="1" si="43"/>
        <v>31</v>
      </c>
      <c r="O163" s="176">
        <f t="shared" ca="1" si="46"/>
        <v>4405</v>
      </c>
      <c r="P163" s="175">
        <f t="shared" ca="1" si="35"/>
        <v>806.35436936936946</v>
      </c>
      <c r="Q163" s="11">
        <f t="shared" ca="1" si="36"/>
        <v>2.9930000000000002E-2</v>
      </c>
      <c r="R163" s="12">
        <f t="shared" ca="1" si="37"/>
        <v>24.134186275225229</v>
      </c>
    </row>
    <row r="164" spans="1:18">
      <c r="A164" s="198">
        <f t="shared" ca="1" si="47"/>
        <v>145</v>
      </c>
      <c r="B164" s="197">
        <f t="shared" ca="1" si="44"/>
        <v>49155</v>
      </c>
      <c r="C164" s="196">
        <f t="shared" ca="1" si="38"/>
        <v>811.7879259855157</v>
      </c>
      <c r="D164" s="21">
        <f t="shared" ca="1" si="45"/>
        <v>726.09050468296505</v>
      </c>
      <c r="E164" s="196">
        <f t="shared" ca="1" si="39"/>
        <v>78111.09301650562</v>
      </c>
      <c r="F164" s="178">
        <f t="shared" ca="1" si="40"/>
        <v>16.573804997923137</v>
      </c>
      <c r="G164" s="178">
        <f t="shared" ca="1" si="41"/>
        <v>26.319999999999997</v>
      </c>
      <c r="H164" s="177">
        <f t="shared" ca="1" si="42"/>
        <v>25</v>
      </c>
      <c r="I164" s="196"/>
      <c r="J164" s="9" t="str">
        <f t="shared" ca="1" si="32"/>
        <v/>
      </c>
      <c r="K164" s="9" t="str">
        <f t="shared" ca="1" si="33"/>
        <v/>
      </c>
      <c r="L164" s="9">
        <f t="shared" ca="1" si="34"/>
        <v>7</v>
      </c>
      <c r="N164" s="176">
        <f t="shared" ca="1" si="43"/>
        <v>30</v>
      </c>
      <c r="O164" s="176">
        <f t="shared" ca="1" si="46"/>
        <v>4435</v>
      </c>
      <c r="P164" s="175">
        <f t="shared" ca="1" si="35"/>
        <v>806.35436936936946</v>
      </c>
      <c r="Q164" s="11">
        <f t="shared" ca="1" si="36"/>
        <v>2.9930000000000002E-2</v>
      </c>
      <c r="R164" s="12">
        <f t="shared" ca="1" si="37"/>
        <v>24.134186275225229</v>
      </c>
    </row>
    <row r="165" spans="1:18">
      <c r="A165" s="198">
        <f t="shared" ca="1" si="47"/>
        <v>146</v>
      </c>
      <c r="B165" s="197">
        <f t="shared" ca="1" si="44"/>
        <v>49186</v>
      </c>
      <c r="C165" s="196">
        <f t="shared" ca="1" si="38"/>
        <v>811.7879259855157</v>
      </c>
      <c r="D165" s="21">
        <f t="shared" ca="1" si="45"/>
        <v>718.62205576377448</v>
      </c>
      <c r="E165" s="196">
        <f t="shared" ca="1" si="39"/>
        <v>77299.305090520109</v>
      </c>
      <c r="F165" s="178">
        <f t="shared" ca="1" si="40"/>
        <v>16.403329533466181</v>
      </c>
      <c r="G165" s="178">
        <f t="shared" ca="1" si="41"/>
        <v>26.319999999999997</v>
      </c>
      <c r="H165" s="177">
        <f t="shared" ca="1" si="42"/>
        <v>25</v>
      </c>
      <c r="I165" s="196"/>
      <c r="J165" s="9" t="str">
        <f t="shared" ca="1" si="32"/>
        <v/>
      </c>
      <c r="K165" s="9" t="str">
        <f t="shared" ca="1" si="33"/>
        <v/>
      </c>
      <c r="L165" s="9">
        <f t="shared" ca="1" si="34"/>
        <v>8</v>
      </c>
      <c r="N165" s="176">
        <f t="shared" ca="1" si="43"/>
        <v>31</v>
      </c>
      <c r="O165" s="176">
        <f t="shared" ca="1" si="46"/>
        <v>4466</v>
      </c>
      <c r="P165" s="175">
        <f t="shared" ca="1" si="35"/>
        <v>806.35436936936946</v>
      </c>
      <c r="Q165" s="11">
        <f t="shared" ca="1" si="36"/>
        <v>2.9930000000000002E-2</v>
      </c>
      <c r="R165" s="12">
        <f t="shared" ca="1" si="37"/>
        <v>24.134186275225229</v>
      </c>
    </row>
    <row r="166" spans="1:18">
      <c r="A166" s="198">
        <f t="shared" ca="1" si="47"/>
        <v>147</v>
      </c>
      <c r="B166" s="197">
        <f t="shared" ca="1" si="44"/>
        <v>49217</v>
      </c>
      <c r="C166" s="196">
        <f t="shared" ca="1" si="38"/>
        <v>811.7879259855157</v>
      </c>
      <c r="D166" s="21">
        <f t="shared" ca="1" si="45"/>
        <v>711.15360684458381</v>
      </c>
      <c r="E166" s="196">
        <f t="shared" ca="1" si="39"/>
        <v>76487.517164534598</v>
      </c>
      <c r="F166" s="178">
        <f t="shared" ca="1" si="40"/>
        <v>16.232854069009225</v>
      </c>
      <c r="G166" s="178">
        <f t="shared" ca="1" si="41"/>
        <v>26.319999999999997</v>
      </c>
      <c r="H166" s="177">
        <f t="shared" ca="1" si="42"/>
        <v>25</v>
      </c>
      <c r="I166" s="196"/>
      <c r="J166" s="9" t="str">
        <f t="shared" ca="1" si="32"/>
        <v/>
      </c>
      <c r="K166" s="9" t="str">
        <f t="shared" ca="1" si="33"/>
        <v/>
      </c>
      <c r="L166" s="9">
        <f t="shared" ca="1" si="34"/>
        <v>9</v>
      </c>
      <c r="N166" s="176">
        <f t="shared" ca="1" si="43"/>
        <v>31</v>
      </c>
      <c r="O166" s="176">
        <f t="shared" ca="1" si="46"/>
        <v>4497</v>
      </c>
      <c r="P166" s="175">
        <f t="shared" ca="1" si="35"/>
        <v>806.35436936936946</v>
      </c>
      <c r="Q166" s="11">
        <f t="shared" ca="1" si="36"/>
        <v>2.9930000000000002E-2</v>
      </c>
      <c r="R166" s="12">
        <f t="shared" ca="1" si="37"/>
        <v>24.134186275225229</v>
      </c>
    </row>
    <row r="167" spans="1:18">
      <c r="A167" s="198">
        <f t="shared" ca="1" si="47"/>
        <v>148</v>
      </c>
      <c r="B167" s="197">
        <f t="shared" ca="1" si="44"/>
        <v>49247</v>
      </c>
      <c r="C167" s="196">
        <f t="shared" ca="1" si="38"/>
        <v>811.7879259855157</v>
      </c>
      <c r="D167" s="21">
        <f t="shared" ca="1" si="45"/>
        <v>703.68515792539324</v>
      </c>
      <c r="E167" s="196">
        <f t="shared" ca="1" si="39"/>
        <v>75675.729238549087</v>
      </c>
      <c r="F167" s="178">
        <f t="shared" ca="1" si="40"/>
        <v>16.062378604552265</v>
      </c>
      <c r="G167" s="178">
        <f t="shared" ca="1" si="41"/>
        <v>26.319999999999997</v>
      </c>
      <c r="H167" s="177">
        <f t="shared" ca="1" si="42"/>
        <v>25</v>
      </c>
      <c r="I167" s="196"/>
      <c r="J167" s="9" t="str">
        <f t="shared" ca="1" si="32"/>
        <v/>
      </c>
      <c r="K167" s="9" t="str">
        <f t="shared" ca="1" si="33"/>
        <v/>
      </c>
      <c r="L167" s="9">
        <f t="shared" ca="1" si="34"/>
        <v>10</v>
      </c>
      <c r="N167" s="176">
        <f t="shared" ca="1" si="43"/>
        <v>30</v>
      </c>
      <c r="O167" s="176">
        <f t="shared" ca="1" si="46"/>
        <v>4527</v>
      </c>
      <c r="P167" s="175">
        <f t="shared" ca="1" si="35"/>
        <v>806.35436936936946</v>
      </c>
      <c r="Q167" s="11">
        <f t="shared" ca="1" si="36"/>
        <v>2.9930000000000002E-2</v>
      </c>
      <c r="R167" s="12">
        <f t="shared" ca="1" si="37"/>
        <v>24.134186275225229</v>
      </c>
    </row>
    <row r="168" spans="1:18">
      <c r="A168" s="198">
        <f t="shared" ca="1" si="47"/>
        <v>149</v>
      </c>
      <c r="B168" s="197">
        <f t="shared" ca="1" si="44"/>
        <v>49278</v>
      </c>
      <c r="C168" s="196">
        <f t="shared" ca="1" si="38"/>
        <v>811.7879259855157</v>
      </c>
      <c r="D168" s="21">
        <f t="shared" ca="1" si="45"/>
        <v>696.21670900620256</v>
      </c>
      <c r="E168" s="196">
        <f t="shared" ca="1" si="39"/>
        <v>74863.941312563577</v>
      </c>
      <c r="F168" s="178">
        <f t="shared" ca="1" si="40"/>
        <v>15.891903140095309</v>
      </c>
      <c r="G168" s="178">
        <f t="shared" ca="1" si="41"/>
        <v>26.319999999999997</v>
      </c>
      <c r="H168" s="177">
        <f t="shared" ca="1" si="42"/>
        <v>25</v>
      </c>
      <c r="I168" s="196"/>
      <c r="J168" s="9" t="str">
        <f t="shared" ca="1" si="32"/>
        <v/>
      </c>
      <c r="K168" s="9" t="str">
        <f t="shared" ca="1" si="33"/>
        <v/>
      </c>
      <c r="L168" s="9">
        <f t="shared" ca="1" si="34"/>
        <v>11</v>
      </c>
      <c r="N168" s="176">
        <f t="shared" ca="1" si="43"/>
        <v>31</v>
      </c>
      <c r="O168" s="176">
        <f t="shared" ca="1" si="46"/>
        <v>4558</v>
      </c>
      <c r="P168" s="175">
        <f t="shared" ca="1" si="35"/>
        <v>806.35436936936946</v>
      </c>
      <c r="Q168" s="11">
        <f t="shared" ca="1" si="36"/>
        <v>2.9930000000000002E-2</v>
      </c>
      <c r="R168" s="12">
        <f t="shared" ca="1" si="37"/>
        <v>24.134186275225229</v>
      </c>
    </row>
    <row r="169" spans="1:18">
      <c r="A169" s="198">
        <f t="shared" ca="1" si="47"/>
        <v>150</v>
      </c>
      <c r="B169" s="197">
        <f t="shared" ca="1" si="44"/>
        <v>49308</v>
      </c>
      <c r="C169" s="196">
        <f t="shared" ca="1" si="38"/>
        <v>811.7879259855157</v>
      </c>
      <c r="D169" s="21">
        <f t="shared" ca="1" si="45"/>
        <v>688.748260087012</v>
      </c>
      <c r="E169" s="196">
        <f t="shared" ca="1" si="39"/>
        <v>74052.153386578066</v>
      </c>
      <c r="F169" s="178">
        <f t="shared" ca="1" si="40"/>
        <v>15.721427675638351</v>
      </c>
      <c r="G169" s="178">
        <f t="shared" ca="1" si="41"/>
        <v>26.319999999999997</v>
      </c>
      <c r="H169" s="177">
        <f t="shared" ca="1" si="42"/>
        <v>25</v>
      </c>
      <c r="I169" s="196"/>
      <c r="J169" s="9" t="str">
        <f t="shared" ca="1" si="32"/>
        <v/>
      </c>
      <c r="K169" s="9" t="str">
        <f t="shared" ca="1" si="33"/>
        <v/>
      </c>
      <c r="L169" s="9">
        <f t="shared" ca="1" si="34"/>
        <v>12</v>
      </c>
      <c r="N169" s="176">
        <f t="shared" ca="1" si="43"/>
        <v>30</v>
      </c>
      <c r="O169" s="176">
        <f t="shared" ca="1" si="46"/>
        <v>4588</v>
      </c>
      <c r="P169" s="175">
        <f t="shared" ca="1" si="35"/>
        <v>806.35436936936946</v>
      </c>
      <c r="Q169" s="11">
        <f t="shared" ca="1" si="36"/>
        <v>2.9930000000000002E-2</v>
      </c>
      <c r="R169" s="12">
        <f t="shared" ca="1" si="37"/>
        <v>24.134186275225229</v>
      </c>
    </row>
    <row r="170" spans="1:18">
      <c r="A170" s="198">
        <f t="shared" ca="1" si="47"/>
        <v>151</v>
      </c>
      <c r="B170" s="197">
        <f t="shared" ca="1" si="44"/>
        <v>49339</v>
      </c>
      <c r="C170" s="196">
        <f t="shared" ca="1" si="38"/>
        <v>811.7879259855157</v>
      </c>
      <c r="D170" s="21">
        <f t="shared" ca="1" si="45"/>
        <v>681.27981116782144</v>
      </c>
      <c r="E170" s="196">
        <f t="shared" ca="1" si="39"/>
        <v>73240.365460592555</v>
      </c>
      <c r="F170" s="178">
        <f t="shared" ca="1" si="40"/>
        <v>15.550952211181395</v>
      </c>
      <c r="G170" s="178">
        <f t="shared" ca="1" si="41"/>
        <v>26.319999999999997</v>
      </c>
      <c r="H170" s="177">
        <f t="shared" ca="1" si="42"/>
        <v>25</v>
      </c>
      <c r="I170" s="196"/>
      <c r="J170" s="9" t="str">
        <f t="shared" ca="1" si="32"/>
        <v/>
      </c>
      <c r="K170" s="9" t="str">
        <f t="shared" ca="1" si="33"/>
        <v/>
      </c>
      <c r="L170" s="9">
        <f t="shared" ca="1" si="34"/>
        <v>1</v>
      </c>
      <c r="N170" s="176">
        <f t="shared" ca="1" si="43"/>
        <v>31</v>
      </c>
      <c r="O170" s="176">
        <f t="shared" ca="1" si="46"/>
        <v>4619</v>
      </c>
      <c r="P170" s="175">
        <f t="shared" ca="1" si="35"/>
        <v>806.35436936936946</v>
      </c>
      <c r="Q170" s="11">
        <f t="shared" ca="1" si="36"/>
        <v>2.9930000000000002E-2</v>
      </c>
      <c r="R170" s="12">
        <f t="shared" ca="1" si="37"/>
        <v>24.134186275225229</v>
      </c>
    </row>
    <row r="171" spans="1:18">
      <c r="A171" s="198">
        <f t="shared" ca="1" si="47"/>
        <v>152</v>
      </c>
      <c r="B171" s="197">
        <f t="shared" ca="1" si="44"/>
        <v>49368</v>
      </c>
      <c r="C171" s="196">
        <f t="shared" ca="1" si="38"/>
        <v>811.7879259855157</v>
      </c>
      <c r="D171" s="21">
        <f t="shared" ca="1" si="45"/>
        <v>673.81136224863076</v>
      </c>
      <c r="E171" s="196">
        <f t="shared" ca="1" si="39"/>
        <v>72428.577534607044</v>
      </c>
      <c r="F171" s="178">
        <f t="shared" ca="1" si="40"/>
        <v>15.380476746724437</v>
      </c>
      <c r="G171" s="178">
        <f t="shared" ca="1" si="41"/>
        <v>26.319999999999997</v>
      </c>
      <c r="H171" s="177">
        <f t="shared" ca="1" si="42"/>
        <v>25</v>
      </c>
      <c r="I171" s="196"/>
      <c r="J171" s="9" t="str">
        <f t="shared" ca="1" si="32"/>
        <v/>
      </c>
      <c r="K171" s="9" t="str">
        <f t="shared" ca="1" si="33"/>
        <v/>
      </c>
      <c r="L171" s="9">
        <f t="shared" ca="1" si="34"/>
        <v>2</v>
      </c>
      <c r="N171" s="176">
        <f t="shared" ca="1" si="43"/>
        <v>29</v>
      </c>
      <c r="O171" s="176">
        <f t="shared" ca="1" si="46"/>
        <v>4648</v>
      </c>
      <c r="P171" s="175">
        <f t="shared" ca="1" si="35"/>
        <v>806.35436936936946</v>
      </c>
      <c r="Q171" s="11">
        <f t="shared" ca="1" si="36"/>
        <v>2.9930000000000002E-2</v>
      </c>
      <c r="R171" s="12">
        <f t="shared" ca="1" si="37"/>
        <v>24.134186275225229</v>
      </c>
    </row>
    <row r="172" spans="1:18">
      <c r="A172" s="198">
        <f t="shared" ca="1" si="47"/>
        <v>153</v>
      </c>
      <c r="B172" s="197">
        <f t="shared" ca="1" si="44"/>
        <v>49398</v>
      </c>
      <c r="C172" s="196">
        <f t="shared" ca="1" si="38"/>
        <v>811.7879259855157</v>
      </c>
      <c r="D172" s="21">
        <f t="shared" ca="1" si="45"/>
        <v>666.34291332944019</v>
      </c>
      <c r="E172" s="196">
        <f t="shared" ca="1" si="39"/>
        <v>71616.789608621533</v>
      </c>
      <c r="F172" s="178">
        <f t="shared" ca="1" si="40"/>
        <v>15.210001282267481</v>
      </c>
      <c r="G172" s="178">
        <f t="shared" ca="1" si="41"/>
        <v>26.319999999999997</v>
      </c>
      <c r="H172" s="177">
        <f t="shared" ca="1" si="42"/>
        <v>25</v>
      </c>
      <c r="I172" s="196"/>
      <c r="J172" s="9" t="str">
        <f t="shared" ca="1" si="32"/>
        <v/>
      </c>
      <c r="K172" s="9" t="str">
        <f t="shared" ca="1" si="33"/>
        <v/>
      </c>
      <c r="L172" s="9">
        <f t="shared" ca="1" si="34"/>
        <v>3</v>
      </c>
      <c r="N172" s="176">
        <f t="shared" ca="1" si="43"/>
        <v>30</v>
      </c>
      <c r="O172" s="176">
        <f t="shared" ca="1" si="46"/>
        <v>4678</v>
      </c>
      <c r="P172" s="175">
        <f t="shared" ca="1" si="35"/>
        <v>806.35436936936946</v>
      </c>
      <c r="Q172" s="11">
        <f t="shared" ca="1" si="36"/>
        <v>2.9930000000000002E-2</v>
      </c>
      <c r="R172" s="12">
        <f t="shared" ca="1" si="37"/>
        <v>24.134186275225229</v>
      </c>
    </row>
    <row r="173" spans="1:18">
      <c r="A173" s="198">
        <f t="shared" ca="1" si="47"/>
        <v>154</v>
      </c>
      <c r="B173" s="197">
        <f t="shared" ca="1" si="44"/>
        <v>49429</v>
      </c>
      <c r="C173" s="196">
        <f t="shared" ca="1" si="38"/>
        <v>811.7879259855157</v>
      </c>
      <c r="D173" s="21">
        <f t="shared" ca="1" si="45"/>
        <v>658.87446441024952</v>
      </c>
      <c r="E173" s="196">
        <f t="shared" ca="1" si="39"/>
        <v>70805.001682636022</v>
      </c>
      <c r="F173" s="178">
        <f t="shared" ca="1" si="40"/>
        <v>15.039525817810523</v>
      </c>
      <c r="G173" s="178">
        <f t="shared" ca="1" si="41"/>
        <v>26.319999999999997</v>
      </c>
      <c r="H173" s="177">
        <f t="shared" ca="1" si="42"/>
        <v>25</v>
      </c>
      <c r="I173" s="196"/>
      <c r="J173" s="9" t="str">
        <f t="shared" ca="1" si="32"/>
        <v/>
      </c>
      <c r="K173" s="9" t="str">
        <f t="shared" ca="1" si="33"/>
        <v/>
      </c>
      <c r="L173" s="9">
        <f t="shared" ca="1" si="34"/>
        <v>4</v>
      </c>
      <c r="N173" s="176">
        <f t="shared" ca="1" si="43"/>
        <v>31</v>
      </c>
      <c r="O173" s="176">
        <f t="shared" ca="1" si="46"/>
        <v>4709</v>
      </c>
      <c r="P173" s="175">
        <f t="shared" ca="1" si="35"/>
        <v>806.35436936936946</v>
      </c>
      <c r="Q173" s="11">
        <f t="shared" ca="1" si="36"/>
        <v>2.9930000000000002E-2</v>
      </c>
      <c r="R173" s="12">
        <f t="shared" ca="1" si="37"/>
        <v>24.134186275225229</v>
      </c>
    </row>
    <row r="174" spans="1:18">
      <c r="A174" s="198">
        <f t="shared" ca="1" si="47"/>
        <v>155</v>
      </c>
      <c r="B174" s="197">
        <f t="shared" ca="1" si="44"/>
        <v>49459</v>
      </c>
      <c r="C174" s="196">
        <f t="shared" ca="1" si="38"/>
        <v>811.7879259855157</v>
      </c>
      <c r="D174" s="21">
        <f t="shared" ca="1" si="45"/>
        <v>651.40601549105895</v>
      </c>
      <c r="E174" s="196">
        <f t="shared" ca="1" si="39"/>
        <v>69993.213756650512</v>
      </c>
      <c r="F174" s="178">
        <f t="shared" ca="1" si="40"/>
        <v>14.869050353353565</v>
      </c>
      <c r="G174" s="178">
        <f t="shared" ca="1" si="41"/>
        <v>26.319999999999997</v>
      </c>
      <c r="H174" s="177">
        <f t="shared" ca="1" si="42"/>
        <v>25</v>
      </c>
      <c r="I174" s="196"/>
      <c r="J174" s="9" t="str">
        <f t="shared" ca="1" si="32"/>
        <v/>
      </c>
      <c r="K174" s="9" t="str">
        <f t="shared" ca="1" si="33"/>
        <v/>
      </c>
      <c r="L174" s="9">
        <f t="shared" ca="1" si="34"/>
        <v>5</v>
      </c>
      <c r="N174" s="176">
        <f t="shared" ca="1" si="43"/>
        <v>30</v>
      </c>
      <c r="O174" s="176">
        <f t="shared" ca="1" si="46"/>
        <v>4739</v>
      </c>
      <c r="P174" s="175">
        <f t="shared" ca="1" si="35"/>
        <v>806.35436936936946</v>
      </c>
      <c r="Q174" s="11">
        <f t="shared" ca="1" si="36"/>
        <v>2.9930000000000002E-2</v>
      </c>
      <c r="R174" s="12">
        <f t="shared" ca="1" si="37"/>
        <v>24.134186275225229</v>
      </c>
    </row>
    <row r="175" spans="1:18">
      <c r="A175" s="198">
        <f t="shared" ca="1" si="47"/>
        <v>156</v>
      </c>
      <c r="B175" s="197">
        <f t="shared" ca="1" si="44"/>
        <v>49490</v>
      </c>
      <c r="C175" s="196">
        <f t="shared" ca="1" si="38"/>
        <v>811.7879259855157</v>
      </c>
      <c r="D175" s="21">
        <f t="shared" ca="1" si="45"/>
        <v>643.93756657186839</v>
      </c>
      <c r="E175" s="196">
        <f t="shared" ca="1" si="39"/>
        <v>69181.425830665001</v>
      </c>
      <c r="F175" s="178">
        <f t="shared" ca="1" si="40"/>
        <v>14.698574888896609</v>
      </c>
      <c r="G175" s="178">
        <f t="shared" ca="1" si="41"/>
        <v>26.319999999999997</v>
      </c>
      <c r="H175" s="177">
        <f t="shared" ca="1" si="42"/>
        <v>25</v>
      </c>
      <c r="I175" s="196"/>
      <c r="J175" s="9" t="str">
        <f t="shared" ca="1" si="32"/>
        <v/>
      </c>
      <c r="K175" s="9" t="str">
        <f t="shared" ca="1" si="33"/>
        <v/>
      </c>
      <c r="L175" s="9">
        <f t="shared" ca="1" si="34"/>
        <v>6</v>
      </c>
      <c r="N175" s="176">
        <f t="shared" ca="1" si="43"/>
        <v>31</v>
      </c>
      <c r="O175" s="176">
        <f t="shared" ca="1" si="46"/>
        <v>4770</v>
      </c>
      <c r="P175" s="175">
        <f t="shared" ca="1" si="35"/>
        <v>806.35436936936946</v>
      </c>
      <c r="Q175" s="11">
        <f t="shared" ca="1" si="36"/>
        <v>2.9930000000000002E-2</v>
      </c>
      <c r="R175" s="12">
        <f t="shared" ca="1" si="37"/>
        <v>24.134186275225229</v>
      </c>
    </row>
    <row r="176" spans="1:18">
      <c r="A176" s="198">
        <f t="shared" ca="1" si="47"/>
        <v>157</v>
      </c>
      <c r="B176" s="197">
        <f t="shared" ca="1" si="44"/>
        <v>49520</v>
      </c>
      <c r="C176" s="196">
        <f t="shared" ca="1" si="38"/>
        <v>811.7879259855157</v>
      </c>
      <c r="D176" s="21">
        <f t="shared" ca="1" si="45"/>
        <v>636.46911765267771</v>
      </c>
      <c r="E176" s="196">
        <f t="shared" ca="1" si="39"/>
        <v>68369.63790467949</v>
      </c>
      <c r="F176" s="178">
        <f t="shared" ca="1" si="40"/>
        <v>14.528099424439651</v>
      </c>
      <c r="G176" s="178">
        <f t="shared" ca="1" si="41"/>
        <v>26.319999999999997</v>
      </c>
      <c r="H176" s="177">
        <f t="shared" ca="1" si="42"/>
        <v>25</v>
      </c>
      <c r="I176" s="196"/>
      <c r="J176" s="9" t="str">
        <f t="shared" ca="1" si="32"/>
        <v/>
      </c>
      <c r="K176" s="9" t="str">
        <f t="shared" ca="1" si="33"/>
        <v/>
      </c>
      <c r="L176" s="9">
        <f t="shared" ca="1" si="34"/>
        <v>7</v>
      </c>
      <c r="N176" s="176">
        <f t="shared" ca="1" si="43"/>
        <v>30</v>
      </c>
      <c r="O176" s="176">
        <f t="shared" ca="1" si="46"/>
        <v>4800</v>
      </c>
      <c r="P176" s="175">
        <f t="shared" ca="1" si="35"/>
        <v>806.35436936936946</v>
      </c>
      <c r="Q176" s="11">
        <f t="shared" ca="1" si="36"/>
        <v>2.9930000000000002E-2</v>
      </c>
      <c r="R176" s="12">
        <f t="shared" ca="1" si="37"/>
        <v>24.134186275225229</v>
      </c>
    </row>
    <row r="177" spans="1:18">
      <c r="A177" s="198">
        <f t="shared" ca="1" si="47"/>
        <v>158</v>
      </c>
      <c r="B177" s="197">
        <f t="shared" ca="1" si="44"/>
        <v>49551</v>
      </c>
      <c r="C177" s="196">
        <f t="shared" ca="1" si="38"/>
        <v>811.7879259855157</v>
      </c>
      <c r="D177" s="21">
        <f t="shared" ca="1" si="45"/>
        <v>629.00066873348715</v>
      </c>
      <c r="E177" s="196">
        <f t="shared" ca="1" si="39"/>
        <v>67557.849978693979</v>
      </c>
      <c r="F177" s="178">
        <f t="shared" ca="1" si="40"/>
        <v>14.357623959982693</v>
      </c>
      <c r="G177" s="178">
        <f t="shared" ca="1" si="41"/>
        <v>26.319999999999997</v>
      </c>
      <c r="H177" s="177">
        <f t="shared" ca="1" si="42"/>
        <v>25</v>
      </c>
      <c r="I177" s="196"/>
      <c r="J177" s="9" t="str">
        <f t="shared" ca="1" si="32"/>
        <v/>
      </c>
      <c r="K177" s="9" t="str">
        <f t="shared" ca="1" si="33"/>
        <v/>
      </c>
      <c r="L177" s="9">
        <f t="shared" ca="1" si="34"/>
        <v>8</v>
      </c>
      <c r="N177" s="176">
        <f t="shared" ca="1" si="43"/>
        <v>31</v>
      </c>
      <c r="O177" s="176">
        <f t="shared" ca="1" si="46"/>
        <v>4831</v>
      </c>
      <c r="P177" s="175">
        <f t="shared" ca="1" si="35"/>
        <v>806.35436936936946</v>
      </c>
      <c r="Q177" s="11">
        <f t="shared" ca="1" si="36"/>
        <v>2.9930000000000002E-2</v>
      </c>
      <c r="R177" s="12">
        <f t="shared" ca="1" si="37"/>
        <v>24.134186275225229</v>
      </c>
    </row>
    <row r="178" spans="1:18">
      <c r="A178" s="198">
        <f t="shared" ca="1" si="47"/>
        <v>159</v>
      </c>
      <c r="B178" s="197">
        <f t="shared" ca="1" si="44"/>
        <v>49582</v>
      </c>
      <c r="C178" s="196">
        <f t="shared" ca="1" si="38"/>
        <v>811.7879259855157</v>
      </c>
      <c r="D178" s="21">
        <f t="shared" ca="1" si="45"/>
        <v>621.53221981429647</v>
      </c>
      <c r="E178" s="196">
        <f t="shared" ca="1" si="39"/>
        <v>66746.062052708468</v>
      </c>
      <c r="F178" s="178">
        <f t="shared" ca="1" si="40"/>
        <v>14.187148495525737</v>
      </c>
      <c r="G178" s="178">
        <f t="shared" ca="1" si="41"/>
        <v>26.319999999999997</v>
      </c>
      <c r="H178" s="177">
        <f t="shared" ca="1" si="42"/>
        <v>25</v>
      </c>
      <c r="I178" s="196"/>
      <c r="J178" s="9" t="str">
        <f t="shared" ca="1" si="32"/>
        <v/>
      </c>
      <c r="K178" s="9" t="str">
        <f t="shared" ca="1" si="33"/>
        <v/>
      </c>
      <c r="L178" s="9">
        <f t="shared" ca="1" si="34"/>
        <v>9</v>
      </c>
      <c r="N178" s="176">
        <f t="shared" ca="1" si="43"/>
        <v>31</v>
      </c>
      <c r="O178" s="176">
        <f t="shared" ca="1" si="46"/>
        <v>4862</v>
      </c>
      <c r="P178" s="175">
        <f t="shared" ca="1" si="35"/>
        <v>806.35436936936946</v>
      </c>
      <c r="Q178" s="11">
        <f t="shared" ca="1" si="36"/>
        <v>2.9930000000000002E-2</v>
      </c>
      <c r="R178" s="12">
        <f t="shared" ca="1" si="37"/>
        <v>24.134186275225229</v>
      </c>
    </row>
    <row r="179" spans="1:18">
      <c r="A179" s="198">
        <f t="shared" ca="1" si="47"/>
        <v>160</v>
      </c>
      <c r="B179" s="197">
        <f t="shared" ca="1" si="44"/>
        <v>49612</v>
      </c>
      <c r="C179" s="196">
        <f t="shared" ca="1" si="38"/>
        <v>811.7879259855157</v>
      </c>
      <c r="D179" s="21">
        <f t="shared" ca="1" si="45"/>
        <v>614.0637708951059</v>
      </c>
      <c r="E179" s="196">
        <f t="shared" ca="1" si="39"/>
        <v>65934.274126722958</v>
      </c>
      <c r="F179" s="178">
        <f t="shared" ca="1" si="40"/>
        <v>14.016673031068779</v>
      </c>
      <c r="G179" s="178">
        <f t="shared" ca="1" si="41"/>
        <v>26.319999999999997</v>
      </c>
      <c r="H179" s="177">
        <f t="shared" ca="1" si="42"/>
        <v>25</v>
      </c>
      <c r="I179" s="196"/>
      <c r="J179" s="9" t="str">
        <f t="shared" ca="1" si="32"/>
        <v/>
      </c>
      <c r="K179" s="9" t="str">
        <f t="shared" ca="1" si="33"/>
        <v/>
      </c>
      <c r="L179" s="9">
        <f t="shared" ca="1" si="34"/>
        <v>10</v>
      </c>
      <c r="N179" s="176">
        <f t="shared" ca="1" si="43"/>
        <v>30</v>
      </c>
      <c r="O179" s="176">
        <f t="shared" ca="1" si="46"/>
        <v>4892</v>
      </c>
      <c r="P179" s="175">
        <f t="shared" ca="1" si="35"/>
        <v>806.35436936936946</v>
      </c>
      <c r="Q179" s="11">
        <f t="shared" ca="1" si="36"/>
        <v>2.9930000000000002E-2</v>
      </c>
      <c r="R179" s="12">
        <f t="shared" ca="1" si="37"/>
        <v>24.134186275225229</v>
      </c>
    </row>
    <row r="180" spans="1:18">
      <c r="A180" s="198">
        <f t="shared" ca="1" si="47"/>
        <v>161</v>
      </c>
      <c r="B180" s="197">
        <f t="shared" ca="1" si="44"/>
        <v>49643</v>
      </c>
      <c r="C180" s="196">
        <f t="shared" ca="1" si="38"/>
        <v>811.7879259855157</v>
      </c>
      <c r="D180" s="21">
        <f t="shared" ca="1" si="45"/>
        <v>606.59532197591534</v>
      </c>
      <c r="E180" s="196">
        <f t="shared" ca="1" si="39"/>
        <v>65122.48620073744</v>
      </c>
      <c r="F180" s="178">
        <f t="shared" ca="1" si="40"/>
        <v>13.846197566611822</v>
      </c>
      <c r="G180" s="178">
        <f t="shared" ca="1" si="41"/>
        <v>26.319999999999997</v>
      </c>
      <c r="H180" s="177">
        <f t="shared" ca="1" si="42"/>
        <v>25</v>
      </c>
      <c r="I180" s="196"/>
      <c r="J180" s="9" t="str">
        <f t="shared" ca="1" si="32"/>
        <v/>
      </c>
      <c r="K180" s="9" t="str">
        <f t="shared" ca="1" si="33"/>
        <v/>
      </c>
      <c r="L180" s="9">
        <f t="shared" ca="1" si="34"/>
        <v>11</v>
      </c>
      <c r="N180" s="176">
        <f t="shared" ca="1" si="43"/>
        <v>31</v>
      </c>
      <c r="O180" s="176">
        <f t="shared" ca="1" si="46"/>
        <v>4923</v>
      </c>
      <c r="P180" s="175">
        <f t="shared" ca="1" si="35"/>
        <v>806.35436936936946</v>
      </c>
      <c r="Q180" s="11">
        <f t="shared" ca="1" si="36"/>
        <v>2.9930000000000002E-2</v>
      </c>
      <c r="R180" s="12">
        <f t="shared" ca="1" si="37"/>
        <v>24.134186275225229</v>
      </c>
    </row>
    <row r="181" spans="1:18">
      <c r="A181" s="198">
        <f t="shared" ca="1" si="47"/>
        <v>162</v>
      </c>
      <c r="B181" s="197">
        <f t="shared" ca="1" si="44"/>
        <v>49673</v>
      </c>
      <c r="C181" s="196">
        <f t="shared" ca="1" si="38"/>
        <v>811.7879259855157</v>
      </c>
      <c r="D181" s="21">
        <f t="shared" ca="1" si="45"/>
        <v>599.12687305672466</v>
      </c>
      <c r="E181" s="196">
        <f t="shared" ca="1" si="39"/>
        <v>64310.698274751921</v>
      </c>
      <c r="F181" s="178">
        <f t="shared" ca="1" si="40"/>
        <v>13.675722102154863</v>
      </c>
      <c r="G181" s="178">
        <f t="shared" ca="1" si="41"/>
        <v>26.319999999999997</v>
      </c>
      <c r="H181" s="177">
        <f t="shared" ca="1" si="42"/>
        <v>25</v>
      </c>
      <c r="I181" s="196"/>
      <c r="J181" s="9" t="str">
        <f t="shared" ca="1" si="32"/>
        <v/>
      </c>
      <c r="K181" s="9" t="str">
        <f t="shared" ca="1" si="33"/>
        <v/>
      </c>
      <c r="L181" s="9">
        <f t="shared" ca="1" si="34"/>
        <v>12</v>
      </c>
      <c r="N181" s="176">
        <f t="shared" ca="1" si="43"/>
        <v>30</v>
      </c>
      <c r="O181" s="176">
        <f t="shared" ca="1" si="46"/>
        <v>4953</v>
      </c>
      <c r="P181" s="175">
        <f t="shared" ca="1" si="35"/>
        <v>806.35436936936946</v>
      </c>
      <c r="Q181" s="11">
        <f t="shared" ca="1" si="36"/>
        <v>2.9930000000000002E-2</v>
      </c>
      <c r="R181" s="12">
        <f t="shared" ca="1" si="37"/>
        <v>24.134186275225229</v>
      </c>
    </row>
    <row r="182" spans="1:18">
      <c r="A182" s="198">
        <f t="shared" ca="1" si="47"/>
        <v>163</v>
      </c>
      <c r="B182" s="197">
        <f t="shared" ca="1" si="44"/>
        <v>49704</v>
      </c>
      <c r="C182" s="196">
        <f t="shared" ca="1" si="38"/>
        <v>811.7879259855157</v>
      </c>
      <c r="D182" s="21">
        <f t="shared" ca="1" si="45"/>
        <v>591.65842413753398</v>
      </c>
      <c r="E182" s="196">
        <f t="shared" ca="1" si="39"/>
        <v>63498.910348766403</v>
      </c>
      <c r="F182" s="178">
        <f t="shared" ca="1" si="40"/>
        <v>13.505246637697905</v>
      </c>
      <c r="G182" s="178">
        <f t="shared" ca="1" si="41"/>
        <v>26.319999999999997</v>
      </c>
      <c r="H182" s="177">
        <f t="shared" ca="1" si="42"/>
        <v>25</v>
      </c>
      <c r="I182" s="196"/>
      <c r="J182" s="9" t="str">
        <f t="shared" ca="1" si="32"/>
        <v/>
      </c>
      <c r="K182" s="9" t="str">
        <f t="shared" ca="1" si="33"/>
        <v/>
      </c>
      <c r="L182" s="9">
        <f t="shared" ca="1" si="34"/>
        <v>1</v>
      </c>
      <c r="N182" s="176">
        <f t="shared" ca="1" si="43"/>
        <v>31</v>
      </c>
      <c r="O182" s="176">
        <f t="shared" ca="1" si="46"/>
        <v>4984</v>
      </c>
      <c r="P182" s="175">
        <f t="shared" ca="1" si="35"/>
        <v>806.35436936936946</v>
      </c>
      <c r="Q182" s="11">
        <f t="shared" ca="1" si="36"/>
        <v>2.9930000000000002E-2</v>
      </c>
      <c r="R182" s="12">
        <f t="shared" ca="1" si="37"/>
        <v>24.134186275225229</v>
      </c>
    </row>
    <row r="183" spans="1:18">
      <c r="A183" s="198">
        <f t="shared" ca="1" si="47"/>
        <v>164</v>
      </c>
      <c r="B183" s="197">
        <f t="shared" ca="1" si="44"/>
        <v>49734</v>
      </c>
      <c r="C183" s="196">
        <f t="shared" ca="1" si="38"/>
        <v>811.7879259855157</v>
      </c>
      <c r="D183" s="21">
        <f t="shared" ca="1" si="45"/>
        <v>584.18997521834331</v>
      </c>
      <c r="E183" s="196">
        <f t="shared" ca="1" si="39"/>
        <v>62687.122422780885</v>
      </c>
      <c r="F183" s="178">
        <f t="shared" ca="1" si="40"/>
        <v>13.334771173240945</v>
      </c>
      <c r="G183" s="178">
        <f t="shared" ca="1" si="41"/>
        <v>26.319999999999997</v>
      </c>
      <c r="H183" s="177">
        <f t="shared" ca="1" si="42"/>
        <v>25</v>
      </c>
      <c r="I183" s="196"/>
      <c r="J183" s="9" t="str">
        <f t="shared" ca="1" si="32"/>
        <v/>
      </c>
      <c r="K183" s="9" t="str">
        <f t="shared" ca="1" si="33"/>
        <v/>
      </c>
      <c r="L183" s="9">
        <f t="shared" ca="1" si="34"/>
        <v>2</v>
      </c>
      <c r="N183" s="176">
        <f t="shared" ca="1" si="43"/>
        <v>30</v>
      </c>
      <c r="O183" s="176">
        <f t="shared" ca="1" si="46"/>
        <v>5014</v>
      </c>
      <c r="P183" s="175">
        <f t="shared" ca="1" si="35"/>
        <v>806.35436936936946</v>
      </c>
      <c r="Q183" s="11">
        <f t="shared" ca="1" si="36"/>
        <v>2.9930000000000002E-2</v>
      </c>
      <c r="R183" s="12">
        <f t="shared" ca="1" si="37"/>
        <v>24.134186275225229</v>
      </c>
    </row>
    <row r="184" spans="1:18">
      <c r="A184" s="198">
        <f t="shared" ca="1" si="47"/>
        <v>165</v>
      </c>
      <c r="B184" s="197">
        <f t="shared" ca="1" si="44"/>
        <v>49764</v>
      </c>
      <c r="C184" s="196">
        <f t="shared" ca="1" si="38"/>
        <v>811.7879259855157</v>
      </c>
      <c r="D184" s="21">
        <f t="shared" ca="1" si="45"/>
        <v>576.72152629915263</v>
      </c>
      <c r="E184" s="196">
        <f t="shared" ca="1" si="39"/>
        <v>61875.334496795367</v>
      </c>
      <c r="F184" s="178">
        <f t="shared" ca="1" si="40"/>
        <v>13.164295708783987</v>
      </c>
      <c r="G184" s="178">
        <f t="shared" ca="1" si="41"/>
        <v>26.319999999999997</v>
      </c>
      <c r="H184" s="177">
        <f t="shared" ca="1" si="42"/>
        <v>25</v>
      </c>
      <c r="I184" s="196"/>
      <c r="J184" s="9" t="str">
        <f t="shared" ca="1" si="32"/>
        <v/>
      </c>
      <c r="K184" s="9" t="str">
        <f t="shared" ca="1" si="33"/>
        <v/>
      </c>
      <c r="L184" s="9">
        <f t="shared" ca="1" si="34"/>
        <v>3</v>
      </c>
      <c r="N184" s="176">
        <f t="shared" ca="1" si="43"/>
        <v>30</v>
      </c>
      <c r="O184" s="176">
        <f t="shared" ca="1" si="46"/>
        <v>5044</v>
      </c>
      <c r="P184" s="175">
        <f t="shared" ca="1" si="35"/>
        <v>806.35436936936946</v>
      </c>
      <c r="Q184" s="11">
        <f t="shared" ca="1" si="36"/>
        <v>2.9930000000000002E-2</v>
      </c>
      <c r="R184" s="12">
        <f t="shared" ca="1" si="37"/>
        <v>24.134186275225229</v>
      </c>
    </row>
    <row r="185" spans="1:18">
      <c r="A185" s="198">
        <f t="shared" ca="1" si="47"/>
        <v>166</v>
      </c>
      <c r="B185" s="197">
        <f t="shared" ca="1" si="44"/>
        <v>49795</v>
      </c>
      <c r="C185" s="196">
        <f t="shared" ca="1" si="38"/>
        <v>811.7879259855157</v>
      </c>
      <c r="D185" s="21">
        <f t="shared" ca="1" si="45"/>
        <v>569.25307737996195</v>
      </c>
      <c r="E185" s="196">
        <f t="shared" ca="1" si="39"/>
        <v>61063.546570809849</v>
      </c>
      <c r="F185" s="178">
        <f t="shared" ca="1" si="40"/>
        <v>12.993820244327027</v>
      </c>
      <c r="G185" s="178">
        <f t="shared" ca="1" si="41"/>
        <v>26.319999999999997</v>
      </c>
      <c r="H185" s="177">
        <f t="shared" ca="1" si="42"/>
        <v>25</v>
      </c>
      <c r="I185" s="196"/>
      <c r="J185" s="9" t="str">
        <f t="shared" ca="1" si="32"/>
        <v/>
      </c>
      <c r="K185" s="9" t="str">
        <f t="shared" ca="1" si="33"/>
        <v/>
      </c>
      <c r="L185" s="9">
        <f t="shared" ca="1" si="34"/>
        <v>4</v>
      </c>
      <c r="N185" s="176">
        <f t="shared" ca="1" si="43"/>
        <v>31</v>
      </c>
      <c r="O185" s="176">
        <f t="shared" ca="1" si="46"/>
        <v>5075</v>
      </c>
      <c r="P185" s="175">
        <f t="shared" ca="1" si="35"/>
        <v>806.35436936936946</v>
      </c>
      <c r="Q185" s="11">
        <f t="shared" ca="1" si="36"/>
        <v>2.9930000000000002E-2</v>
      </c>
      <c r="R185" s="12">
        <f t="shared" ca="1" si="37"/>
        <v>24.134186275225229</v>
      </c>
    </row>
    <row r="186" spans="1:18">
      <c r="A186" s="198">
        <f t="shared" ca="1" si="47"/>
        <v>167</v>
      </c>
      <c r="B186" s="197">
        <f t="shared" ca="1" si="44"/>
        <v>49825</v>
      </c>
      <c r="C186" s="196">
        <f t="shared" ca="1" si="38"/>
        <v>811.7879259855157</v>
      </c>
      <c r="D186" s="21">
        <f t="shared" ca="1" si="45"/>
        <v>561.78462846077127</v>
      </c>
      <c r="E186" s="196">
        <f t="shared" ca="1" si="39"/>
        <v>60251.758644824331</v>
      </c>
      <c r="F186" s="178">
        <f t="shared" ca="1" si="40"/>
        <v>12.823344779870069</v>
      </c>
      <c r="G186" s="178">
        <f t="shared" ca="1" si="41"/>
        <v>26.319999999999997</v>
      </c>
      <c r="H186" s="177">
        <f t="shared" ca="1" si="42"/>
        <v>25</v>
      </c>
      <c r="I186" s="196"/>
      <c r="J186" s="9" t="str">
        <f t="shared" ca="1" si="32"/>
        <v/>
      </c>
      <c r="K186" s="9" t="str">
        <f t="shared" ca="1" si="33"/>
        <v/>
      </c>
      <c r="L186" s="9">
        <f t="shared" ca="1" si="34"/>
        <v>5</v>
      </c>
      <c r="N186" s="176">
        <f t="shared" ca="1" si="43"/>
        <v>30</v>
      </c>
      <c r="O186" s="176">
        <f t="shared" ca="1" si="46"/>
        <v>5105</v>
      </c>
      <c r="P186" s="175">
        <f t="shared" ca="1" si="35"/>
        <v>806.35436936936946</v>
      </c>
      <c r="Q186" s="11">
        <f t="shared" ca="1" si="36"/>
        <v>2.9930000000000002E-2</v>
      </c>
      <c r="R186" s="12">
        <f t="shared" ca="1" si="37"/>
        <v>24.134186275225229</v>
      </c>
    </row>
    <row r="187" spans="1:18">
      <c r="A187" s="198">
        <f t="shared" ca="1" si="47"/>
        <v>168</v>
      </c>
      <c r="B187" s="197">
        <f t="shared" ca="1" si="44"/>
        <v>49856</v>
      </c>
      <c r="C187" s="196">
        <f t="shared" ca="1" si="38"/>
        <v>811.7879259855157</v>
      </c>
      <c r="D187" s="21">
        <f t="shared" ca="1" si="45"/>
        <v>554.3161795415806</v>
      </c>
      <c r="E187" s="196">
        <f t="shared" ca="1" si="39"/>
        <v>59439.970718838813</v>
      </c>
      <c r="F187" s="178">
        <f t="shared" ca="1" si="40"/>
        <v>12.65286931541311</v>
      </c>
      <c r="G187" s="178">
        <f t="shared" ca="1" si="41"/>
        <v>26.319999999999997</v>
      </c>
      <c r="H187" s="177">
        <f t="shared" ca="1" si="42"/>
        <v>25</v>
      </c>
      <c r="I187" s="196"/>
      <c r="J187" s="9" t="str">
        <f t="shared" ca="1" si="32"/>
        <v/>
      </c>
      <c r="K187" s="9" t="str">
        <f t="shared" ca="1" si="33"/>
        <v/>
      </c>
      <c r="L187" s="9">
        <f t="shared" ca="1" si="34"/>
        <v>6</v>
      </c>
      <c r="N187" s="176">
        <f t="shared" ca="1" si="43"/>
        <v>31</v>
      </c>
      <c r="O187" s="176">
        <f t="shared" ca="1" si="46"/>
        <v>5136</v>
      </c>
      <c r="P187" s="175">
        <f t="shared" ca="1" si="35"/>
        <v>806.35436936936946</v>
      </c>
      <c r="Q187" s="11">
        <f t="shared" ca="1" si="36"/>
        <v>2.9930000000000002E-2</v>
      </c>
      <c r="R187" s="12">
        <f t="shared" ca="1" si="37"/>
        <v>24.134186275225229</v>
      </c>
    </row>
    <row r="188" spans="1:18">
      <c r="A188" s="198">
        <f t="shared" ca="1" si="47"/>
        <v>169</v>
      </c>
      <c r="B188" s="197">
        <f t="shared" ca="1" si="44"/>
        <v>49886</v>
      </c>
      <c r="C188" s="196">
        <f t="shared" ca="1" si="38"/>
        <v>811.7879259855157</v>
      </c>
      <c r="D188" s="21">
        <f t="shared" ca="1" si="45"/>
        <v>546.84773062238992</v>
      </c>
      <c r="E188" s="196">
        <f t="shared" ca="1" si="39"/>
        <v>58628.182792853295</v>
      </c>
      <c r="F188" s="178">
        <f t="shared" ca="1" si="40"/>
        <v>12.482393850956152</v>
      </c>
      <c r="G188" s="178">
        <f t="shared" ca="1" si="41"/>
        <v>26.319999999999997</v>
      </c>
      <c r="H188" s="177">
        <f t="shared" ca="1" si="42"/>
        <v>25</v>
      </c>
      <c r="I188" s="196"/>
      <c r="J188" s="9" t="str">
        <f t="shared" ca="1" si="32"/>
        <v/>
      </c>
      <c r="K188" s="9" t="str">
        <f t="shared" ca="1" si="33"/>
        <v/>
      </c>
      <c r="L188" s="9">
        <f t="shared" ca="1" si="34"/>
        <v>7</v>
      </c>
      <c r="N188" s="176">
        <f t="shared" ca="1" si="43"/>
        <v>30</v>
      </c>
      <c r="O188" s="176">
        <f t="shared" ca="1" si="46"/>
        <v>5166</v>
      </c>
      <c r="P188" s="175">
        <f t="shared" ca="1" si="35"/>
        <v>806.35436936936946</v>
      </c>
      <c r="Q188" s="11">
        <f t="shared" ca="1" si="36"/>
        <v>2.9930000000000002E-2</v>
      </c>
      <c r="R188" s="12">
        <f t="shared" ca="1" si="37"/>
        <v>24.134186275225229</v>
      </c>
    </row>
    <row r="189" spans="1:18">
      <c r="A189" s="198">
        <f t="shared" ca="1" si="47"/>
        <v>170</v>
      </c>
      <c r="B189" s="197">
        <f t="shared" ca="1" si="44"/>
        <v>49917</v>
      </c>
      <c r="C189" s="196">
        <f t="shared" ca="1" si="38"/>
        <v>811.7879259855157</v>
      </c>
      <c r="D189" s="21">
        <f t="shared" ca="1" si="45"/>
        <v>539.37928170319924</v>
      </c>
      <c r="E189" s="196">
        <f t="shared" ca="1" si="39"/>
        <v>57816.394866867777</v>
      </c>
      <c r="F189" s="178">
        <f t="shared" ca="1" si="40"/>
        <v>12.311918386499192</v>
      </c>
      <c r="G189" s="178">
        <f t="shared" ca="1" si="41"/>
        <v>26.319999999999997</v>
      </c>
      <c r="H189" s="177">
        <f t="shared" ca="1" si="42"/>
        <v>25</v>
      </c>
      <c r="I189" s="196"/>
      <c r="J189" s="9" t="str">
        <f t="shared" ca="1" si="32"/>
        <v/>
      </c>
      <c r="K189" s="9" t="str">
        <f t="shared" ca="1" si="33"/>
        <v/>
      </c>
      <c r="L189" s="9">
        <f t="shared" ca="1" si="34"/>
        <v>8</v>
      </c>
      <c r="N189" s="176">
        <f t="shared" ca="1" si="43"/>
        <v>31</v>
      </c>
      <c r="O189" s="176">
        <f t="shared" ca="1" si="46"/>
        <v>5197</v>
      </c>
      <c r="P189" s="175">
        <f t="shared" ca="1" si="35"/>
        <v>806.35436936936946</v>
      </c>
      <c r="Q189" s="11">
        <f t="shared" ca="1" si="36"/>
        <v>2.9930000000000002E-2</v>
      </c>
      <c r="R189" s="12">
        <f t="shared" ca="1" si="37"/>
        <v>24.134186275225229</v>
      </c>
    </row>
    <row r="190" spans="1:18">
      <c r="A190" s="198">
        <f t="shared" ca="1" si="47"/>
        <v>171</v>
      </c>
      <c r="B190" s="197">
        <f t="shared" ca="1" si="44"/>
        <v>49948</v>
      </c>
      <c r="C190" s="196">
        <f t="shared" ca="1" si="38"/>
        <v>811.7879259855157</v>
      </c>
      <c r="D190" s="21">
        <f t="shared" ca="1" si="45"/>
        <v>531.91083278400856</v>
      </c>
      <c r="E190" s="196">
        <f t="shared" ca="1" si="39"/>
        <v>57004.606940882259</v>
      </c>
      <c r="F190" s="178">
        <f t="shared" ca="1" si="40"/>
        <v>12.141442922042234</v>
      </c>
      <c r="G190" s="178">
        <f t="shared" ca="1" si="41"/>
        <v>26.319999999999997</v>
      </c>
      <c r="H190" s="177">
        <f t="shared" ca="1" si="42"/>
        <v>25</v>
      </c>
      <c r="I190" s="196"/>
      <c r="J190" s="9" t="str">
        <f t="shared" ca="1" si="32"/>
        <v/>
      </c>
      <c r="K190" s="9" t="str">
        <f t="shared" ca="1" si="33"/>
        <v/>
      </c>
      <c r="L190" s="9">
        <f t="shared" ca="1" si="34"/>
        <v>9</v>
      </c>
      <c r="N190" s="176">
        <f t="shared" ca="1" si="43"/>
        <v>31</v>
      </c>
      <c r="O190" s="176">
        <f t="shared" ca="1" si="46"/>
        <v>5228</v>
      </c>
      <c r="P190" s="175">
        <f t="shared" ca="1" si="35"/>
        <v>806.35436936936946</v>
      </c>
      <c r="Q190" s="11">
        <f t="shared" ca="1" si="36"/>
        <v>2.9930000000000002E-2</v>
      </c>
      <c r="R190" s="12">
        <f t="shared" ca="1" si="37"/>
        <v>24.134186275225229</v>
      </c>
    </row>
    <row r="191" spans="1:18">
      <c r="A191" s="198">
        <f t="shared" ca="1" si="47"/>
        <v>172</v>
      </c>
      <c r="B191" s="197">
        <f t="shared" ca="1" si="44"/>
        <v>49978</v>
      </c>
      <c r="C191" s="196">
        <f t="shared" ca="1" si="38"/>
        <v>811.7879259855157</v>
      </c>
      <c r="D191" s="21">
        <f t="shared" ca="1" si="45"/>
        <v>524.44238386481788</v>
      </c>
      <c r="E191" s="196">
        <f t="shared" ca="1" si="39"/>
        <v>56192.819014896741</v>
      </c>
      <c r="F191" s="178">
        <f t="shared" ca="1" si="40"/>
        <v>11.970967457585274</v>
      </c>
      <c r="G191" s="178">
        <f t="shared" ca="1" si="41"/>
        <v>26.319999999999997</v>
      </c>
      <c r="H191" s="177">
        <f t="shared" ca="1" si="42"/>
        <v>25</v>
      </c>
      <c r="I191" s="196"/>
      <c r="J191" s="9" t="str">
        <f t="shared" ca="1" si="32"/>
        <v/>
      </c>
      <c r="K191" s="9" t="str">
        <f t="shared" ca="1" si="33"/>
        <v/>
      </c>
      <c r="L191" s="9">
        <f t="shared" ca="1" si="34"/>
        <v>10</v>
      </c>
      <c r="N191" s="176">
        <f t="shared" ca="1" si="43"/>
        <v>30</v>
      </c>
      <c r="O191" s="176">
        <f t="shared" ca="1" si="46"/>
        <v>5258</v>
      </c>
      <c r="P191" s="175">
        <f t="shared" ca="1" si="35"/>
        <v>806.35436936936946</v>
      </c>
      <c r="Q191" s="11">
        <f t="shared" ca="1" si="36"/>
        <v>2.9930000000000002E-2</v>
      </c>
      <c r="R191" s="12">
        <f t="shared" ca="1" si="37"/>
        <v>24.134186275225229</v>
      </c>
    </row>
    <row r="192" spans="1:18">
      <c r="A192" s="198">
        <f t="shared" ca="1" si="47"/>
        <v>173</v>
      </c>
      <c r="B192" s="197">
        <f t="shared" ca="1" si="44"/>
        <v>50009</v>
      </c>
      <c r="C192" s="196">
        <f t="shared" ca="1" si="38"/>
        <v>811.7879259855157</v>
      </c>
      <c r="D192" s="21">
        <f t="shared" ca="1" si="45"/>
        <v>516.97393494562721</v>
      </c>
      <c r="E192" s="196">
        <f t="shared" ca="1" si="39"/>
        <v>55381.031088911222</v>
      </c>
      <c r="F192" s="178">
        <f t="shared" ca="1" si="40"/>
        <v>11.800491993128317</v>
      </c>
      <c r="G192" s="178">
        <f t="shared" ca="1" si="41"/>
        <v>26.319999999999997</v>
      </c>
      <c r="H192" s="177">
        <f t="shared" ca="1" si="42"/>
        <v>25</v>
      </c>
      <c r="I192" s="196"/>
      <c r="J192" s="9" t="str">
        <f t="shared" ca="1" si="32"/>
        <v/>
      </c>
      <c r="K192" s="9" t="str">
        <f t="shared" ca="1" si="33"/>
        <v/>
      </c>
      <c r="L192" s="9">
        <f t="shared" ca="1" si="34"/>
        <v>11</v>
      </c>
      <c r="N192" s="176">
        <f t="shared" ca="1" si="43"/>
        <v>31</v>
      </c>
      <c r="O192" s="176">
        <f t="shared" ca="1" si="46"/>
        <v>5289</v>
      </c>
      <c r="P192" s="175">
        <f t="shared" ca="1" si="35"/>
        <v>806.35436936936946</v>
      </c>
      <c r="Q192" s="11">
        <f t="shared" ca="1" si="36"/>
        <v>2.9930000000000002E-2</v>
      </c>
      <c r="R192" s="12">
        <f t="shared" ca="1" si="37"/>
        <v>24.134186275225229</v>
      </c>
    </row>
    <row r="193" spans="1:18">
      <c r="A193" s="198">
        <f t="shared" ca="1" si="47"/>
        <v>174</v>
      </c>
      <c r="B193" s="197">
        <f t="shared" ca="1" si="44"/>
        <v>50039</v>
      </c>
      <c r="C193" s="196">
        <f t="shared" ca="1" si="38"/>
        <v>811.7879259855157</v>
      </c>
      <c r="D193" s="21">
        <f t="shared" ca="1" si="45"/>
        <v>509.50548602643653</v>
      </c>
      <c r="E193" s="196">
        <f t="shared" ca="1" si="39"/>
        <v>54569.243162925704</v>
      </c>
      <c r="F193" s="178">
        <f t="shared" ca="1" si="40"/>
        <v>11.630016528671357</v>
      </c>
      <c r="G193" s="178">
        <f t="shared" ca="1" si="41"/>
        <v>26.319999999999997</v>
      </c>
      <c r="H193" s="177">
        <f t="shared" ca="1" si="42"/>
        <v>25</v>
      </c>
      <c r="I193" s="196"/>
      <c r="J193" s="9" t="str">
        <f t="shared" ca="1" si="32"/>
        <v/>
      </c>
      <c r="K193" s="9" t="str">
        <f t="shared" ca="1" si="33"/>
        <v/>
      </c>
      <c r="L193" s="9">
        <f t="shared" ca="1" si="34"/>
        <v>12</v>
      </c>
      <c r="N193" s="176">
        <f t="shared" ca="1" si="43"/>
        <v>30</v>
      </c>
      <c r="O193" s="176">
        <f t="shared" ca="1" si="46"/>
        <v>5319</v>
      </c>
      <c r="P193" s="175">
        <f t="shared" ca="1" si="35"/>
        <v>806.35436936936946</v>
      </c>
      <c r="Q193" s="11">
        <f t="shared" ca="1" si="36"/>
        <v>2.9930000000000002E-2</v>
      </c>
      <c r="R193" s="12">
        <f t="shared" ca="1" si="37"/>
        <v>24.134186275225229</v>
      </c>
    </row>
    <row r="194" spans="1:18">
      <c r="A194" s="198">
        <f t="shared" ca="1" si="47"/>
        <v>175</v>
      </c>
      <c r="B194" s="197">
        <f t="shared" ca="1" si="44"/>
        <v>50070</v>
      </c>
      <c r="C194" s="196">
        <f t="shared" ca="1" si="38"/>
        <v>811.7879259855157</v>
      </c>
      <c r="D194" s="21">
        <f t="shared" ca="1" si="45"/>
        <v>502.03703710724585</v>
      </c>
      <c r="E194" s="196">
        <f t="shared" ca="1" si="39"/>
        <v>53757.455236940186</v>
      </c>
      <c r="F194" s="178">
        <f t="shared" ca="1" si="40"/>
        <v>11.459541064214399</v>
      </c>
      <c r="G194" s="178">
        <f t="shared" ca="1" si="41"/>
        <v>26.319999999999997</v>
      </c>
      <c r="H194" s="177">
        <f t="shared" ca="1" si="42"/>
        <v>25</v>
      </c>
      <c r="I194" s="196"/>
      <c r="J194" s="9" t="str">
        <f t="shared" ca="1" si="32"/>
        <v/>
      </c>
      <c r="K194" s="9" t="str">
        <f t="shared" ca="1" si="33"/>
        <v/>
      </c>
      <c r="L194" s="9">
        <f t="shared" ca="1" si="34"/>
        <v>1</v>
      </c>
      <c r="N194" s="176">
        <f t="shared" ca="1" si="43"/>
        <v>31</v>
      </c>
      <c r="O194" s="176">
        <f t="shared" ca="1" si="46"/>
        <v>5350</v>
      </c>
      <c r="P194" s="175">
        <f t="shared" ca="1" si="35"/>
        <v>806.35436936936946</v>
      </c>
      <c r="Q194" s="11">
        <f t="shared" ca="1" si="36"/>
        <v>2.9930000000000002E-2</v>
      </c>
      <c r="R194" s="12">
        <f t="shared" ca="1" si="37"/>
        <v>24.134186275225229</v>
      </c>
    </row>
    <row r="195" spans="1:18">
      <c r="A195" s="198">
        <f t="shared" ca="1" si="47"/>
        <v>176</v>
      </c>
      <c r="B195" s="197">
        <f t="shared" ca="1" si="44"/>
        <v>50099</v>
      </c>
      <c r="C195" s="196">
        <f t="shared" ca="1" si="38"/>
        <v>811.7879259855157</v>
      </c>
      <c r="D195" s="21">
        <f t="shared" ca="1" si="45"/>
        <v>494.56858818805517</v>
      </c>
      <c r="E195" s="196">
        <f t="shared" ca="1" si="39"/>
        <v>52945.667310954668</v>
      </c>
      <c r="F195" s="178">
        <f t="shared" ca="1" si="40"/>
        <v>11.289065599757439</v>
      </c>
      <c r="G195" s="178">
        <f t="shared" ca="1" si="41"/>
        <v>26.319999999999997</v>
      </c>
      <c r="H195" s="177">
        <f t="shared" ca="1" si="42"/>
        <v>25</v>
      </c>
      <c r="I195" s="196"/>
      <c r="J195" s="9" t="str">
        <f t="shared" ca="1" si="32"/>
        <v/>
      </c>
      <c r="K195" s="9" t="str">
        <f t="shared" ca="1" si="33"/>
        <v/>
      </c>
      <c r="L195" s="9">
        <f t="shared" ca="1" si="34"/>
        <v>2</v>
      </c>
      <c r="N195" s="176">
        <f t="shared" ca="1" si="43"/>
        <v>29</v>
      </c>
      <c r="O195" s="176">
        <f t="shared" ca="1" si="46"/>
        <v>5379</v>
      </c>
      <c r="P195" s="175">
        <f t="shared" ca="1" si="35"/>
        <v>806.35436936936946</v>
      </c>
      <c r="Q195" s="11">
        <f t="shared" ca="1" si="36"/>
        <v>2.9930000000000002E-2</v>
      </c>
      <c r="R195" s="12">
        <f t="shared" ca="1" si="37"/>
        <v>24.134186275225229</v>
      </c>
    </row>
    <row r="196" spans="1:18">
      <c r="A196" s="198">
        <f t="shared" ca="1" si="47"/>
        <v>177</v>
      </c>
      <c r="B196" s="197">
        <f t="shared" ca="1" si="44"/>
        <v>50129</v>
      </c>
      <c r="C196" s="196">
        <f t="shared" ca="1" si="38"/>
        <v>811.7879259855157</v>
      </c>
      <c r="D196" s="21">
        <f t="shared" ca="1" si="45"/>
        <v>487.1001392688645</v>
      </c>
      <c r="E196" s="196">
        <f t="shared" ca="1" si="39"/>
        <v>52133.87938496915</v>
      </c>
      <c r="F196" s="178">
        <f t="shared" ca="1" si="40"/>
        <v>11.118590135300481</v>
      </c>
      <c r="G196" s="178">
        <f t="shared" ca="1" si="41"/>
        <v>26.319999999999997</v>
      </c>
      <c r="H196" s="177">
        <f t="shared" ca="1" si="42"/>
        <v>25</v>
      </c>
      <c r="I196" s="196"/>
      <c r="J196" s="9" t="str">
        <f t="shared" ca="1" si="32"/>
        <v/>
      </c>
      <c r="K196" s="9" t="str">
        <f t="shared" ca="1" si="33"/>
        <v/>
      </c>
      <c r="L196" s="9">
        <f t="shared" ca="1" si="34"/>
        <v>3</v>
      </c>
      <c r="N196" s="176">
        <f t="shared" ca="1" si="43"/>
        <v>30</v>
      </c>
      <c r="O196" s="176">
        <f t="shared" ca="1" si="46"/>
        <v>5409</v>
      </c>
      <c r="P196" s="175">
        <f t="shared" ca="1" si="35"/>
        <v>806.35436936936946</v>
      </c>
      <c r="Q196" s="11">
        <f t="shared" ca="1" si="36"/>
        <v>2.9930000000000002E-2</v>
      </c>
      <c r="R196" s="12">
        <f t="shared" ca="1" si="37"/>
        <v>24.134186275225229</v>
      </c>
    </row>
    <row r="197" spans="1:18">
      <c r="A197" s="198">
        <f t="shared" ca="1" si="47"/>
        <v>178</v>
      </c>
      <c r="B197" s="197">
        <f t="shared" ca="1" si="44"/>
        <v>50160</v>
      </c>
      <c r="C197" s="196">
        <f t="shared" ca="1" si="38"/>
        <v>811.7879259855157</v>
      </c>
      <c r="D197" s="21">
        <f t="shared" ca="1" si="45"/>
        <v>479.63169034967382</v>
      </c>
      <c r="E197" s="196">
        <f t="shared" ca="1" si="39"/>
        <v>51322.091458983632</v>
      </c>
      <c r="F197" s="178">
        <f t="shared" ca="1" si="40"/>
        <v>10.948114670843522</v>
      </c>
      <c r="G197" s="178">
        <f t="shared" ca="1" si="41"/>
        <v>26.319999999999997</v>
      </c>
      <c r="H197" s="177">
        <f t="shared" ca="1" si="42"/>
        <v>25</v>
      </c>
      <c r="I197" s="196"/>
      <c r="J197" s="9" t="str">
        <f t="shared" ca="1" si="32"/>
        <v/>
      </c>
      <c r="K197" s="9" t="str">
        <f t="shared" ca="1" si="33"/>
        <v/>
      </c>
      <c r="L197" s="9">
        <f t="shared" ca="1" si="34"/>
        <v>4</v>
      </c>
      <c r="N197" s="176">
        <f t="shared" ca="1" si="43"/>
        <v>31</v>
      </c>
      <c r="O197" s="176">
        <f t="shared" ca="1" si="46"/>
        <v>5440</v>
      </c>
      <c r="P197" s="175">
        <f t="shared" ca="1" si="35"/>
        <v>806.35436936936946</v>
      </c>
      <c r="Q197" s="11">
        <f t="shared" ca="1" si="36"/>
        <v>2.9930000000000002E-2</v>
      </c>
      <c r="R197" s="12">
        <f t="shared" ca="1" si="37"/>
        <v>24.134186275225229</v>
      </c>
    </row>
    <row r="198" spans="1:18">
      <c r="A198" s="198">
        <f t="shared" ca="1" si="47"/>
        <v>179</v>
      </c>
      <c r="B198" s="197">
        <f t="shared" ca="1" si="44"/>
        <v>50190</v>
      </c>
      <c r="C198" s="196">
        <f t="shared" ca="1" si="38"/>
        <v>811.7879259855157</v>
      </c>
      <c r="D198" s="21">
        <f t="shared" ca="1" si="45"/>
        <v>472.16324143048314</v>
      </c>
      <c r="E198" s="196">
        <f t="shared" ca="1" si="39"/>
        <v>50510.303532998114</v>
      </c>
      <c r="F198" s="178">
        <f t="shared" ca="1" si="40"/>
        <v>10.777639206386564</v>
      </c>
      <c r="G198" s="178">
        <f t="shared" ca="1" si="41"/>
        <v>26.319999999999997</v>
      </c>
      <c r="H198" s="177">
        <f t="shared" ca="1" si="42"/>
        <v>25</v>
      </c>
      <c r="I198" s="196"/>
      <c r="J198" s="9" t="str">
        <f t="shared" ca="1" si="32"/>
        <v/>
      </c>
      <c r="K198" s="9" t="str">
        <f t="shared" ca="1" si="33"/>
        <v/>
      </c>
      <c r="L198" s="9">
        <f t="shared" ca="1" si="34"/>
        <v>5</v>
      </c>
      <c r="N198" s="176">
        <f t="shared" ca="1" si="43"/>
        <v>30</v>
      </c>
      <c r="O198" s="176">
        <f t="shared" ca="1" si="46"/>
        <v>5470</v>
      </c>
      <c r="P198" s="175">
        <f t="shared" ca="1" si="35"/>
        <v>806.35436936936946</v>
      </c>
      <c r="Q198" s="11">
        <f t="shared" ca="1" si="36"/>
        <v>2.9930000000000002E-2</v>
      </c>
      <c r="R198" s="12">
        <f t="shared" ca="1" si="37"/>
        <v>24.134186275225229</v>
      </c>
    </row>
    <row r="199" spans="1:18">
      <c r="A199" s="198">
        <f t="shared" ca="1" si="47"/>
        <v>180</v>
      </c>
      <c r="B199" s="197">
        <f t="shared" ca="1" si="44"/>
        <v>50221</v>
      </c>
      <c r="C199" s="196">
        <f t="shared" ca="1" si="38"/>
        <v>811.7879259855157</v>
      </c>
      <c r="D199" s="21">
        <f t="shared" ca="1" si="45"/>
        <v>464.69479251129246</v>
      </c>
      <c r="E199" s="196">
        <f t="shared" ca="1" si="39"/>
        <v>49698.515607012596</v>
      </c>
      <c r="F199" s="178">
        <f t="shared" ca="1" si="40"/>
        <v>10.607163741929604</v>
      </c>
      <c r="G199" s="178">
        <f t="shared" ca="1" si="41"/>
        <v>26.319999999999997</v>
      </c>
      <c r="H199" s="177">
        <f t="shared" ca="1" si="42"/>
        <v>25</v>
      </c>
      <c r="I199" s="196"/>
      <c r="J199" s="9" t="str">
        <f t="shared" ca="1" si="32"/>
        <v/>
      </c>
      <c r="K199" s="9" t="str">
        <f t="shared" ca="1" si="33"/>
        <v/>
      </c>
      <c r="L199" s="9">
        <f t="shared" ca="1" si="34"/>
        <v>6</v>
      </c>
      <c r="N199" s="176">
        <f t="shared" ca="1" si="43"/>
        <v>31</v>
      </c>
      <c r="O199" s="176">
        <f t="shared" ca="1" si="46"/>
        <v>5501</v>
      </c>
      <c r="P199" s="175">
        <f t="shared" ca="1" si="35"/>
        <v>806.35436936936946</v>
      </c>
      <c r="Q199" s="11">
        <f t="shared" ca="1" si="36"/>
        <v>2.9930000000000002E-2</v>
      </c>
      <c r="R199" s="12">
        <f t="shared" ca="1" si="37"/>
        <v>24.134186275225229</v>
      </c>
    </row>
    <row r="200" spans="1:18">
      <c r="A200" s="198">
        <f t="shared" ca="1" si="47"/>
        <v>181</v>
      </c>
      <c r="B200" s="197">
        <f t="shared" ca="1" si="44"/>
        <v>50251</v>
      </c>
      <c r="C200" s="196">
        <f t="shared" ca="1" si="38"/>
        <v>811.7879259855157</v>
      </c>
      <c r="D200" s="21">
        <f t="shared" ca="1" si="45"/>
        <v>457.22634359210178</v>
      </c>
      <c r="E200" s="196">
        <f t="shared" ca="1" si="39"/>
        <v>48886.727681027078</v>
      </c>
      <c r="F200" s="178">
        <f t="shared" ca="1" si="40"/>
        <v>10.436688277472646</v>
      </c>
      <c r="G200" s="178">
        <f t="shared" ca="1" si="41"/>
        <v>26.319999999999997</v>
      </c>
      <c r="H200" s="177">
        <f t="shared" ca="1" si="42"/>
        <v>25</v>
      </c>
      <c r="I200" s="196"/>
      <c r="J200" s="9" t="str">
        <f t="shared" ca="1" si="32"/>
        <v/>
      </c>
      <c r="K200" s="9" t="str">
        <f t="shared" ca="1" si="33"/>
        <v/>
      </c>
      <c r="L200" s="9">
        <f t="shared" ca="1" si="34"/>
        <v>7</v>
      </c>
      <c r="N200" s="176">
        <f t="shared" ca="1" si="43"/>
        <v>30</v>
      </c>
      <c r="O200" s="176">
        <f t="shared" ca="1" si="46"/>
        <v>5531</v>
      </c>
      <c r="P200" s="175">
        <f t="shared" ca="1" si="35"/>
        <v>806.35436936936946</v>
      </c>
      <c r="Q200" s="11">
        <f t="shared" ca="1" si="36"/>
        <v>2.9930000000000002E-2</v>
      </c>
      <c r="R200" s="12">
        <f t="shared" ca="1" si="37"/>
        <v>24.134186275225229</v>
      </c>
    </row>
    <row r="201" spans="1:18">
      <c r="A201" s="198">
        <f t="shared" ca="1" si="47"/>
        <v>182</v>
      </c>
      <c r="B201" s="197">
        <f t="shared" ca="1" si="44"/>
        <v>50282</v>
      </c>
      <c r="C201" s="196">
        <f t="shared" ca="1" si="38"/>
        <v>811.7879259855157</v>
      </c>
      <c r="D201" s="21">
        <f t="shared" ca="1" si="45"/>
        <v>449.75789467291111</v>
      </c>
      <c r="E201" s="196">
        <f t="shared" ca="1" si="39"/>
        <v>48074.93975504156</v>
      </c>
      <c r="F201" s="178">
        <f t="shared" ca="1" si="40"/>
        <v>10.266212813015686</v>
      </c>
      <c r="G201" s="178">
        <f t="shared" ca="1" si="41"/>
        <v>26.319999999999997</v>
      </c>
      <c r="H201" s="177">
        <f t="shared" ca="1" si="42"/>
        <v>25</v>
      </c>
      <c r="I201" s="196"/>
      <c r="J201" s="9" t="str">
        <f t="shared" ca="1" si="32"/>
        <v/>
      </c>
      <c r="K201" s="9" t="str">
        <f t="shared" ca="1" si="33"/>
        <v/>
      </c>
      <c r="L201" s="9">
        <f t="shared" ca="1" si="34"/>
        <v>8</v>
      </c>
      <c r="N201" s="176">
        <f t="shared" ca="1" si="43"/>
        <v>31</v>
      </c>
      <c r="O201" s="176">
        <f t="shared" ca="1" si="46"/>
        <v>5562</v>
      </c>
      <c r="P201" s="175">
        <f t="shared" ca="1" si="35"/>
        <v>806.35436936936946</v>
      </c>
      <c r="Q201" s="11">
        <f t="shared" ca="1" si="36"/>
        <v>2.9930000000000002E-2</v>
      </c>
      <c r="R201" s="12">
        <f t="shared" ca="1" si="37"/>
        <v>24.134186275225229</v>
      </c>
    </row>
    <row r="202" spans="1:18">
      <c r="A202" s="198">
        <f t="shared" ca="1" si="47"/>
        <v>183</v>
      </c>
      <c r="B202" s="197">
        <f t="shared" ca="1" si="44"/>
        <v>50313</v>
      </c>
      <c r="C202" s="196">
        <f t="shared" ca="1" si="38"/>
        <v>811.7879259855157</v>
      </c>
      <c r="D202" s="21">
        <f t="shared" ca="1" si="45"/>
        <v>442.28944575372043</v>
      </c>
      <c r="E202" s="196">
        <f t="shared" ca="1" si="39"/>
        <v>47263.151829056042</v>
      </c>
      <c r="F202" s="178">
        <f t="shared" ca="1" si="40"/>
        <v>10.095737348558728</v>
      </c>
      <c r="G202" s="178">
        <f t="shared" ca="1" si="41"/>
        <v>26.319999999999997</v>
      </c>
      <c r="H202" s="177">
        <f t="shared" ca="1" si="42"/>
        <v>25</v>
      </c>
      <c r="I202" s="196"/>
      <c r="J202" s="9" t="str">
        <f t="shared" ca="1" si="32"/>
        <v/>
      </c>
      <c r="K202" s="9" t="str">
        <f t="shared" ca="1" si="33"/>
        <v/>
      </c>
      <c r="L202" s="9">
        <f t="shared" ca="1" si="34"/>
        <v>9</v>
      </c>
      <c r="N202" s="176">
        <f t="shared" ca="1" si="43"/>
        <v>31</v>
      </c>
      <c r="O202" s="176">
        <f t="shared" ca="1" si="46"/>
        <v>5593</v>
      </c>
      <c r="P202" s="175">
        <f t="shared" ca="1" si="35"/>
        <v>806.35436936936946</v>
      </c>
      <c r="Q202" s="11">
        <f t="shared" ca="1" si="36"/>
        <v>2.9930000000000002E-2</v>
      </c>
      <c r="R202" s="12">
        <f t="shared" ca="1" si="37"/>
        <v>24.134186275225229</v>
      </c>
    </row>
    <row r="203" spans="1:18">
      <c r="A203" s="198">
        <f t="shared" ca="1" si="47"/>
        <v>184</v>
      </c>
      <c r="B203" s="197">
        <f t="shared" ca="1" si="44"/>
        <v>50343</v>
      </c>
      <c r="C203" s="196">
        <f t="shared" ca="1" si="38"/>
        <v>811.7879259855157</v>
      </c>
      <c r="D203" s="21">
        <f t="shared" ca="1" si="45"/>
        <v>434.82099683452975</v>
      </c>
      <c r="E203" s="196">
        <f t="shared" ca="1" si="39"/>
        <v>46451.363903070524</v>
      </c>
      <c r="F203" s="178">
        <f t="shared" ca="1" si="40"/>
        <v>9.9252618841017686</v>
      </c>
      <c r="G203" s="178">
        <f t="shared" ca="1" si="41"/>
        <v>26.319999999999997</v>
      </c>
      <c r="H203" s="177">
        <f t="shared" ca="1" si="42"/>
        <v>25</v>
      </c>
      <c r="I203" s="196"/>
      <c r="J203" s="9" t="str">
        <f t="shared" ca="1" si="32"/>
        <v/>
      </c>
      <c r="K203" s="9" t="str">
        <f t="shared" ca="1" si="33"/>
        <v/>
      </c>
      <c r="L203" s="9">
        <f t="shared" ca="1" si="34"/>
        <v>10</v>
      </c>
      <c r="N203" s="176">
        <f t="shared" ca="1" si="43"/>
        <v>30</v>
      </c>
      <c r="O203" s="176">
        <f t="shared" ca="1" si="46"/>
        <v>5623</v>
      </c>
      <c r="P203" s="175">
        <f t="shared" ca="1" si="35"/>
        <v>806.35436936936946</v>
      </c>
      <c r="Q203" s="11">
        <f t="shared" ca="1" si="36"/>
        <v>2.9930000000000002E-2</v>
      </c>
      <c r="R203" s="12">
        <f t="shared" ca="1" si="37"/>
        <v>24.134186275225229</v>
      </c>
    </row>
    <row r="204" spans="1:18">
      <c r="A204" s="198">
        <f t="shared" ca="1" si="47"/>
        <v>185</v>
      </c>
      <c r="B204" s="197">
        <f t="shared" ca="1" si="44"/>
        <v>50374</v>
      </c>
      <c r="C204" s="196">
        <f t="shared" ca="1" si="38"/>
        <v>811.7879259855157</v>
      </c>
      <c r="D204" s="21">
        <f t="shared" ca="1" si="45"/>
        <v>427.35254791533907</v>
      </c>
      <c r="E204" s="196">
        <f t="shared" ca="1" si="39"/>
        <v>45639.575977085005</v>
      </c>
      <c r="F204" s="178">
        <f t="shared" ca="1" si="40"/>
        <v>9.7547864196448106</v>
      </c>
      <c r="G204" s="178">
        <f t="shared" ca="1" si="41"/>
        <v>26.319999999999997</v>
      </c>
      <c r="H204" s="177">
        <f t="shared" ca="1" si="42"/>
        <v>25</v>
      </c>
      <c r="I204" s="196"/>
      <c r="J204" s="9" t="str">
        <f t="shared" ca="1" si="32"/>
        <v/>
      </c>
      <c r="K204" s="9" t="str">
        <f t="shared" ca="1" si="33"/>
        <v/>
      </c>
      <c r="L204" s="9">
        <f t="shared" ca="1" si="34"/>
        <v>11</v>
      </c>
      <c r="N204" s="176">
        <f t="shared" ca="1" si="43"/>
        <v>31</v>
      </c>
      <c r="O204" s="176">
        <f t="shared" ca="1" si="46"/>
        <v>5654</v>
      </c>
      <c r="P204" s="175">
        <f t="shared" ca="1" si="35"/>
        <v>806.35436936936946</v>
      </c>
      <c r="Q204" s="11">
        <f t="shared" ca="1" si="36"/>
        <v>2.9930000000000002E-2</v>
      </c>
      <c r="R204" s="12">
        <f t="shared" ca="1" si="37"/>
        <v>24.134186275225229</v>
      </c>
    </row>
    <row r="205" spans="1:18">
      <c r="A205" s="198">
        <f t="shared" ca="1" si="47"/>
        <v>186</v>
      </c>
      <c r="B205" s="197">
        <f t="shared" ca="1" si="44"/>
        <v>50404</v>
      </c>
      <c r="C205" s="196">
        <f t="shared" ca="1" si="38"/>
        <v>811.7879259855157</v>
      </c>
      <c r="D205" s="21">
        <f t="shared" ca="1" si="45"/>
        <v>419.8840989961484</v>
      </c>
      <c r="E205" s="196">
        <f t="shared" ca="1" si="39"/>
        <v>44827.788051099487</v>
      </c>
      <c r="F205" s="178">
        <f t="shared" ca="1" si="40"/>
        <v>9.5843109551878509</v>
      </c>
      <c r="G205" s="178">
        <f t="shared" ca="1" si="41"/>
        <v>26.319999999999997</v>
      </c>
      <c r="H205" s="177">
        <f t="shared" ca="1" si="42"/>
        <v>25</v>
      </c>
      <c r="I205" s="196"/>
      <c r="J205" s="9" t="str">
        <f t="shared" ca="1" si="32"/>
        <v/>
      </c>
      <c r="K205" s="9" t="str">
        <f t="shared" ca="1" si="33"/>
        <v/>
      </c>
      <c r="L205" s="9">
        <f t="shared" ca="1" si="34"/>
        <v>12</v>
      </c>
      <c r="N205" s="176">
        <f t="shared" ca="1" si="43"/>
        <v>30</v>
      </c>
      <c r="O205" s="176">
        <f t="shared" ca="1" si="46"/>
        <v>5684</v>
      </c>
      <c r="P205" s="175">
        <f t="shared" ca="1" si="35"/>
        <v>806.35436936936946</v>
      </c>
      <c r="Q205" s="11">
        <f t="shared" ca="1" si="36"/>
        <v>2.9930000000000002E-2</v>
      </c>
      <c r="R205" s="12">
        <f t="shared" ca="1" si="37"/>
        <v>24.134186275225229</v>
      </c>
    </row>
    <row r="206" spans="1:18">
      <c r="A206" s="198">
        <f t="shared" ca="1" si="47"/>
        <v>187</v>
      </c>
      <c r="B206" s="197">
        <f t="shared" ca="1" si="44"/>
        <v>50435</v>
      </c>
      <c r="C206" s="196">
        <f t="shared" ca="1" si="38"/>
        <v>811.7879259855157</v>
      </c>
      <c r="D206" s="21">
        <f t="shared" ca="1" si="45"/>
        <v>412.41565007695772</v>
      </c>
      <c r="E206" s="196">
        <f t="shared" ca="1" si="39"/>
        <v>44016.000125113969</v>
      </c>
      <c r="F206" s="178">
        <f t="shared" ca="1" si="40"/>
        <v>9.413835490730893</v>
      </c>
      <c r="G206" s="178">
        <f t="shared" ca="1" si="41"/>
        <v>26.319999999999997</v>
      </c>
      <c r="H206" s="177">
        <f t="shared" ca="1" si="42"/>
        <v>25</v>
      </c>
      <c r="I206" s="196"/>
      <c r="J206" s="9" t="str">
        <f t="shared" ca="1" si="32"/>
        <v/>
      </c>
      <c r="K206" s="9" t="str">
        <f t="shared" ca="1" si="33"/>
        <v/>
      </c>
      <c r="L206" s="9">
        <f t="shared" ca="1" si="34"/>
        <v>1</v>
      </c>
      <c r="N206" s="176">
        <f t="shared" ca="1" si="43"/>
        <v>31</v>
      </c>
      <c r="O206" s="176">
        <f t="shared" ca="1" si="46"/>
        <v>5715</v>
      </c>
      <c r="P206" s="175">
        <f t="shared" ca="1" si="35"/>
        <v>806.35436936936946</v>
      </c>
      <c r="Q206" s="11">
        <f t="shared" ca="1" si="36"/>
        <v>2.9930000000000002E-2</v>
      </c>
      <c r="R206" s="12">
        <f t="shared" ca="1" si="37"/>
        <v>24.134186275225229</v>
      </c>
    </row>
    <row r="207" spans="1:18">
      <c r="A207" s="198">
        <f t="shared" ca="1" si="47"/>
        <v>188</v>
      </c>
      <c r="B207" s="197">
        <f t="shared" ca="1" si="44"/>
        <v>50464</v>
      </c>
      <c r="C207" s="196">
        <f t="shared" ca="1" si="38"/>
        <v>811.7879259855157</v>
      </c>
      <c r="D207" s="21">
        <f t="shared" ca="1" si="45"/>
        <v>404.94720115776704</v>
      </c>
      <c r="E207" s="196">
        <f t="shared" ca="1" si="39"/>
        <v>43204.212199128451</v>
      </c>
      <c r="F207" s="178">
        <f t="shared" ca="1" si="40"/>
        <v>9.2433600262739333</v>
      </c>
      <c r="G207" s="178">
        <f t="shared" ca="1" si="41"/>
        <v>26.319999999999997</v>
      </c>
      <c r="H207" s="177">
        <f t="shared" ca="1" si="42"/>
        <v>25</v>
      </c>
      <c r="I207" s="196"/>
      <c r="J207" s="9" t="str">
        <f t="shared" ca="1" si="32"/>
        <v/>
      </c>
      <c r="K207" s="9" t="str">
        <f t="shared" ca="1" si="33"/>
        <v/>
      </c>
      <c r="L207" s="9">
        <f t="shared" ca="1" si="34"/>
        <v>2</v>
      </c>
      <c r="N207" s="176">
        <f t="shared" ca="1" si="43"/>
        <v>29</v>
      </c>
      <c r="O207" s="176">
        <f t="shared" ca="1" si="46"/>
        <v>5744</v>
      </c>
      <c r="P207" s="175">
        <f t="shared" ca="1" si="35"/>
        <v>806.35436936936946</v>
      </c>
      <c r="Q207" s="11">
        <f t="shared" ca="1" si="36"/>
        <v>2.9930000000000002E-2</v>
      </c>
      <c r="R207" s="12">
        <f t="shared" ca="1" si="37"/>
        <v>24.134186275225229</v>
      </c>
    </row>
    <row r="208" spans="1:18">
      <c r="A208" s="198">
        <f t="shared" ca="1" si="47"/>
        <v>189</v>
      </c>
      <c r="B208" s="197">
        <f t="shared" ca="1" si="44"/>
        <v>50494</v>
      </c>
      <c r="C208" s="196">
        <f t="shared" ca="1" si="38"/>
        <v>811.7879259855157</v>
      </c>
      <c r="D208" s="21">
        <f t="shared" ca="1" si="45"/>
        <v>397.47875223857636</v>
      </c>
      <c r="E208" s="196">
        <f t="shared" ca="1" si="39"/>
        <v>42392.424273142933</v>
      </c>
      <c r="F208" s="178">
        <f t="shared" ca="1" si="40"/>
        <v>9.0728845618169753</v>
      </c>
      <c r="G208" s="178">
        <f t="shared" ca="1" si="41"/>
        <v>26.319999999999997</v>
      </c>
      <c r="H208" s="177">
        <f t="shared" ca="1" si="42"/>
        <v>25</v>
      </c>
      <c r="I208" s="196"/>
      <c r="J208" s="9" t="str">
        <f t="shared" ca="1" si="32"/>
        <v/>
      </c>
      <c r="K208" s="9" t="str">
        <f t="shared" ca="1" si="33"/>
        <v/>
      </c>
      <c r="L208" s="9">
        <f t="shared" ca="1" si="34"/>
        <v>3</v>
      </c>
      <c r="N208" s="176">
        <f t="shared" ca="1" si="43"/>
        <v>30</v>
      </c>
      <c r="O208" s="176">
        <f t="shared" ca="1" si="46"/>
        <v>5774</v>
      </c>
      <c r="P208" s="175">
        <f t="shared" ca="1" si="35"/>
        <v>806.35436936936946</v>
      </c>
      <c r="Q208" s="11">
        <f t="shared" ca="1" si="36"/>
        <v>2.9930000000000002E-2</v>
      </c>
      <c r="R208" s="12">
        <f t="shared" ca="1" si="37"/>
        <v>24.134186275225229</v>
      </c>
    </row>
    <row r="209" spans="1:18">
      <c r="A209" s="198">
        <f t="shared" ca="1" si="47"/>
        <v>190</v>
      </c>
      <c r="B209" s="197">
        <f t="shared" ca="1" si="44"/>
        <v>50525</v>
      </c>
      <c r="C209" s="196">
        <f t="shared" ca="1" si="38"/>
        <v>811.7879259855157</v>
      </c>
      <c r="D209" s="21">
        <f t="shared" ca="1" si="45"/>
        <v>390.01030331938568</v>
      </c>
      <c r="E209" s="196">
        <f t="shared" ca="1" si="39"/>
        <v>41580.636347157415</v>
      </c>
      <c r="F209" s="178">
        <f t="shared" ca="1" si="40"/>
        <v>8.9024090973600156</v>
      </c>
      <c r="G209" s="178">
        <f t="shared" ca="1" si="41"/>
        <v>26.319999999999997</v>
      </c>
      <c r="H209" s="177">
        <f t="shared" ca="1" si="42"/>
        <v>25</v>
      </c>
      <c r="I209" s="196"/>
      <c r="J209" s="9" t="str">
        <f t="shared" ca="1" si="32"/>
        <v/>
      </c>
      <c r="K209" s="9" t="str">
        <f t="shared" ca="1" si="33"/>
        <v/>
      </c>
      <c r="L209" s="9">
        <f t="shared" ca="1" si="34"/>
        <v>4</v>
      </c>
      <c r="N209" s="176">
        <f t="shared" ca="1" si="43"/>
        <v>31</v>
      </c>
      <c r="O209" s="176">
        <f t="shared" ca="1" si="46"/>
        <v>5805</v>
      </c>
      <c r="P209" s="175">
        <f t="shared" ca="1" si="35"/>
        <v>806.35436936936946</v>
      </c>
      <c r="Q209" s="11">
        <f t="shared" ca="1" si="36"/>
        <v>2.9930000000000002E-2</v>
      </c>
      <c r="R209" s="12">
        <f t="shared" ca="1" si="37"/>
        <v>24.134186275225229</v>
      </c>
    </row>
    <row r="210" spans="1:18">
      <c r="A210" s="198">
        <f t="shared" ca="1" si="47"/>
        <v>191</v>
      </c>
      <c r="B210" s="197">
        <f t="shared" ca="1" si="44"/>
        <v>50555</v>
      </c>
      <c r="C210" s="196">
        <f t="shared" ca="1" si="38"/>
        <v>811.7879259855157</v>
      </c>
      <c r="D210" s="21">
        <f t="shared" ca="1" si="45"/>
        <v>382.54185440019501</v>
      </c>
      <c r="E210" s="196">
        <f t="shared" ca="1" si="39"/>
        <v>40768.848421171897</v>
      </c>
      <c r="F210" s="178">
        <f t="shared" ca="1" si="40"/>
        <v>8.7319336329030577</v>
      </c>
      <c r="G210" s="178">
        <f t="shared" ca="1" si="41"/>
        <v>26.319999999999997</v>
      </c>
      <c r="H210" s="177">
        <f t="shared" ca="1" si="42"/>
        <v>25</v>
      </c>
      <c r="I210" s="196"/>
      <c r="J210" s="9" t="str">
        <f t="shared" ref="J210:J273" ca="1" si="48">IF(A210="I","Carencia",IF(A210&lt;=$C$12,"Carencia",""))</f>
        <v/>
      </c>
      <c r="K210" s="9" t="str">
        <f t="shared" ref="K210:K273" ca="1" si="49">IF(L210=$C$13,"Pula","")</f>
        <v/>
      </c>
      <c r="L210" s="9">
        <f t="shared" ref="L210:L273" ca="1" si="50">IFERROR(MONTH(B210),"")</f>
        <v>5</v>
      </c>
      <c r="N210" s="176">
        <f t="shared" ca="1" si="43"/>
        <v>30</v>
      </c>
      <c r="O210" s="176">
        <f t="shared" ca="1" si="46"/>
        <v>5835</v>
      </c>
      <c r="P210" s="175">
        <f t="shared" ref="P210:P273" ca="1" si="51">IF(A210&lt;&gt;"",$E$18/($C$8-$C$12-$D$13),"")</f>
        <v>806.35436936936946</v>
      </c>
      <c r="Q210" s="11">
        <f t="shared" ref="Q210:Q273" ca="1" si="52">IF(OR(A210="",J210="Carencia",K210="Pula"),"",IF(AND($F$5="PF",O210&lt;365),$I$3*O210,IF(AND($F$5="PF",O210&gt;=365),$I$3*365,IF(AND($F$5="PJ",O210&lt;365),$I$4*O210,IF(AND($F$5="PJ",O210&gt;=365),$I$4*365)))))</f>
        <v>2.9930000000000002E-2</v>
      </c>
      <c r="R210" s="12">
        <f t="shared" ref="R210:R273" ca="1" si="53">IFERROR(Q210*P210,"")</f>
        <v>24.134186275225229</v>
      </c>
    </row>
    <row r="211" spans="1:18">
      <c r="A211" s="198">
        <f t="shared" ca="1" si="47"/>
        <v>192</v>
      </c>
      <c r="B211" s="197">
        <f t="shared" ca="1" si="44"/>
        <v>50586</v>
      </c>
      <c r="C211" s="196">
        <f t="shared" ref="C211:C274" ca="1" si="54">IFERROR(IF(OR(J211="Carencia",K211="Pula",A211=""),0,_xlfn.XLOOKUP(IF(AND($F$3&lt;DAY($F$2),$C$12=0),0,"I"),$A:$A,$E:$E)/($C$8-$D$13-$C$12)),"")</f>
        <v>811.7879259855157</v>
      </c>
      <c r="D211" s="21">
        <f t="shared" ca="1" si="45"/>
        <v>375.07340548100433</v>
      </c>
      <c r="E211" s="196">
        <f t="shared" ref="E211:E274" ca="1" si="55">IFERROR(IF(OR(J211="Carencia",K211="Pula"),E210+D211+SUM(F211:H211),(E210-C211)),"")</f>
        <v>39957.060495186379</v>
      </c>
      <c r="F211" s="178">
        <f t="shared" ref="F211:F274" ca="1" si="56">IFERROR(IF(OR(AND(DAY(B211)=DAY(B210),MONTH(B211)&lt;&gt;MONTH(B210)),MONTH(B211)&lt;&gt;MONTH(B210)),E210*$I$7,""),"")</f>
        <v>8.561458168446098</v>
      </c>
      <c r="G211" s="178">
        <f t="shared" ref="G211:G274" ca="1" si="57">IFERROR(IF(OR(AND(DAY(B211)=DAY(B210),MONTH(B211)&lt;&gt;MONTH(B210)),MONTH(B211)&lt;&gt;MONTH(B210)),$C$11*$I$8,0),"")</f>
        <v>26.319999999999997</v>
      </c>
      <c r="H211" s="177">
        <f t="shared" ref="H211:H274" ca="1" si="58">IFERROR(IF(OR(AND(DAY(B211)=DAY(B210),MONTH(B211)&lt;&gt;MONTH(B210)),MONTH(B211)&lt;&gt;MONTH(B210)),$I$10,0),"")</f>
        <v>25</v>
      </c>
      <c r="I211" s="196"/>
      <c r="J211" s="9" t="str">
        <f t="shared" ca="1" si="48"/>
        <v/>
      </c>
      <c r="K211" s="9" t="str">
        <f t="shared" ca="1" si="49"/>
        <v/>
      </c>
      <c r="L211" s="9">
        <f t="shared" ca="1" si="50"/>
        <v>6</v>
      </c>
      <c r="N211" s="176">
        <f t="shared" ref="N211:N274" ca="1" si="59">IFERROR(B211-B210,"")</f>
        <v>31</v>
      </c>
      <c r="O211" s="176">
        <f t="shared" ca="1" si="46"/>
        <v>5866</v>
      </c>
      <c r="P211" s="175">
        <f t="shared" ca="1" si="51"/>
        <v>806.35436936936946</v>
      </c>
      <c r="Q211" s="11">
        <f t="shared" ca="1" si="52"/>
        <v>2.9930000000000002E-2</v>
      </c>
      <c r="R211" s="12">
        <f t="shared" ca="1" si="53"/>
        <v>24.134186275225229</v>
      </c>
    </row>
    <row r="212" spans="1:18">
      <c r="A212" s="198">
        <f t="shared" ca="1" si="47"/>
        <v>193</v>
      </c>
      <c r="B212" s="197">
        <f t="shared" ref="B212:B275" ca="1" si="60">IF(A212&lt;&gt;"",IF(DAY(EOMONTH($F$2,0))&lt;$F$3,IF(MONTH($F$2)=2,DATE(YEAR(B211),3,F195),EOMONTH(B211,1)),EDATE($B$19,A212-IF($A$19="I",0,1))),"")</f>
        <v>50616</v>
      </c>
      <c r="C212" s="196">
        <f t="shared" ca="1" si="54"/>
        <v>811.7879259855157</v>
      </c>
      <c r="D212" s="21">
        <f t="shared" ref="D212:D275" ca="1" si="61">IFERROR(IF(DAY(B212)=DAY(B211),IF(K212="Pula",0,($C$9)*E211),IF(AND(K212="Pula",J212=""),0,IF(AND($F$3=30,OR(AND(DAY(B211)=28,MONTH(B211)=2),AND(DAY(B211)=29,MONTH(B211)=2))),$C$9*E211,$C$9*E211))),"")</f>
        <v>367.60495656181365</v>
      </c>
      <c r="E212" s="196">
        <f t="shared" ca="1" si="55"/>
        <v>39145.272569200861</v>
      </c>
      <c r="F212" s="178">
        <f t="shared" ca="1" si="56"/>
        <v>8.39098270398914</v>
      </c>
      <c r="G212" s="178">
        <f t="shared" ca="1" si="57"/>
        <v>26.319999999999997</v>
      </c>
      <c r="H212" s="177">
        <f t="shared" ca="1" si="58"/>
        <v>25</v>
      </c>
      <c r="I212" s="196"/>
      <c r="J212" s="9" t="str">
        <f t="shared" ca="1" si="48"/>
        <v/>
      </c>
      <c r="K212" s="9" t="str">
        <f t="shared" ca="1" si="49"/>
        <v/>
      </c>
      <c r="L212" s="9">
        <f t="shared" ca="1" si="50"/>
        <v>7</v>
      </c>
      <c r="N212" s="176">
        <f t="shared" ca="1" si="59"/>
        <v>30</v>
      </c>
      <c r="O212" s="176">
        <f t="shared" ref="O212:O275" ca="1" si="62">IFERROR(N212+O211,"")</f>
        <v>5896</v>
      </c>
      <c r="P212" s="175">
        <f t="shared" ca="1" si="51"/>
        <v>806.35436936936946</v>
      </c>
      <c r="Q212" s="11">
        <f t="shared" ca="1" si="52"/>
        <v>2.9930000000000002E-2</v>
      </c>
      <c r="R212" s="12">
        <f t="shared" ca="1" si="53"/>
        <v>24.134186275225229</v>
      </c>
    </row>
    <row r="213" spans="1:18">
      <c r="A213" s="198">
        <f t="shared" ref="A213:A276" ca="1" si="63">IF(A212&gt;=$C$8,"",A212+1)</f>
        <v>194</v>
      </c>
      <c r="B213" s="197">
        <f t="shared" ca="1" si="60"/>
        <v>50647</v>
      </c>
      <c r="C213" s="196">
        <f t="shared" ca="1" si="54"/>
        <v>811.7879259855157</v>
      </c>
      <c r="D213" s="21">
        <f t="shared" ca="1" si="61"/>
        <v>360.13650764262297</v>
      </c>
      <c r="E213" s="196">
        <f t="shared" ca="1" si="55"/>
        <v>38333.484643215343</v>
      </c>
      <c r="F213" s="178">
        <f t="shared" ca="1" si="56"/>
        <v>8.2205072395321803</v>
      </c>
      <c r="G213" s="178">
        <f t="shared" ca="1" si="57"/>
        <v>26.319999999999997</v>
      </c>
      <c r="H213" s="177">
        <f t="shared" ca="1" si="58"/>
        <v>25</v>
      </c>
      <c r="I213" s="196"/>
      <c r="J213" s="9" t="str">
        <f t="shared" ca="1" si="48"/>
        <v/>
      </c>
      <c r="K213" s="9" t="str">
        <f t="shared" ca="1" si="49"/>
        <v/>
      </c>
      <c r="L213" s="9">
        <f t="shared" ca="1" si="50"/>
        <v>8</v>
      </c>
      <c r="N213" s="176">
        <f t="shared" ca="1" si="59"/>
        <v>31</v>
      </c>
      <c r="O213" s="176">
        <f t="shared" ca="1" si="62"/>
        <v>5927</v>
      </c>
      <c r="P213" s="175">
        <f t="shared" ca="1" si="51"/>
        <v>806.35436936936946</v>
      </c>
      <c r="Q213" s="11">
        <f t="shared" ca="1" si="52"/>
        <v>2.9930000000000002E-2</v>
      </c>
      <c r="R213" s="12">
        <f t="shared" ca="1" si="53"/>
        <v>24.134186275225229</v>
      </c>
    </row>
    <row r="214" spans="1:18">
      <c r="A214" s="198">
        <f t="shared" ca="1" si="63"/>
        <v>195</v>
      </c>
      <c r="B214" s="197">
        <f t="shared" ca="1" si="60"/>
        <v>50678</v>
      </c>
      <c r="C214" s="196">
        <f t="shared" ca="1" si="54"/>
        <v>811.7879259855157</v>
      </c>
      <c r="D214" s="21">
        <f t="shared" ca="1" si="61"/>
        <v>352.6680587234323</v>
      </c>
      <c r="E214" s="196">
        <f t="shared" ca="1" si="55"/>
        <v>37521.696717229825</v>
      </c>
      <c r="F214" s="178">
        <f t="shared" ca="1" si="56"/>
        <v>8.0500317750752224</v>
      </c>
      <c r="G214" s="178">
        <f t="shared" ca="1" si="57"/>
        <v>26.319999999999997</v>
      </c>
      <c r="H214" s="177">
        <f t="shared" ca="1" si="58"/>
        <v>25</v>
      </c>
      <c r="I214" s="196"/>
      <c r="J214" s="9" t="str">
        <f t="shared" ca="1" si="48"/>
        <v/>
      </c>
      <c r="K214" s="9" t="str">
        <f t="shared" ca="1" si="49"/>
        <v/>
      </c>
      <c r="L214" s="9">
        <f t="shared" ca="1" si="50"/>
        <v>9</v>
      </c>
      <c r="N214" s="176">
        <f t="shared" ca="1" si="59"/>
        <v>31</v>
      </c>
      <c r="O214" s="176">
        <f t="shared" ca="1" si="62"/>
        <v>5958</v>
      </c>
      <c r="P214" s="175">
        <f t="shared" ca="1" si="51"/>
        <v>806.35436936936946</v>
      </c>
      <c r="Q214" s="11">
        <f t="shared" ca="1" si="52"/>
        <v>2.9930000000000002E-2</v>
      </c>
      <c r="R214" s="12">
        <f t="shared" ca="1" si="53"/>
        <v>24.134186275225229</v>
      </c>
    </row>
    <row r="215" spans="1:18">
      <c r="A215" s="198">
        <f t="shared" ca="1" si="63"/>
        <v>196</v>
      </c>
      <c r="B215" s="197">
        <f t="shared" ca="1" si="60"/>
        <v>50708</v>
      </c>
      <c r="C215" s="196">
        <f t="shared" ca="1" si="54"/>
        <v>811.7879259855157</v>
      </c>
      <c r="D215" s="21">
        <f t="shared" ca="1" si="61"/>
        <v>345.19960980424162</v>
      </c>
      <c r="E215" s="196">
        <f t="shared" ca="1" si="55"/>
        <v>36709.908791244306</v>
      </c>
      <c r="F215" s="178">
        <f t="shared" ca="1" si="56"/>
        <v>7.8795563106182636</v>
      </c>
      <c r="G215" s="178">
        <f t="shared" ca="1" si="57"/>
        <v>26.319999999999997</v>
      </c>
      <c r="H215" s="177">
        <f t="shared" ca="1" si="58"/>
        <v>25</v>
      </c>
      <c r="I215" s="196"/>
      <c r="J215" s="9" t="str">
        <f t="shared" ca="1" si="48"/>
        <v/>
      </c>
      <c r="K215" s="9" t="str">
        <f t="shared" ca="1" si="49"/>
        <v/>
      </c>
      <c r="L215" s="9">
        <f t="shared" ca="1" si="50"/>
        <v>10</v>
      </c>
      <c r="N215" s="176">
        <f t="shared" ca="1" si="59"/>
        <v>30</v>
      </c>
      <c r="O215" s="176">
        <f t="shared" ca="1" si="62"/>
        <v>5988</v>
      </c>
      <c r="P215" s="175">
        <f t="shared" ca="1" si="51"/>
        <v>806.35436936936946</v>
      </c>
      <c r="Q215" s="11">
        <f t="shared" ca="1" si="52"/>
        <v>2.9930000000000002E-2</v>
      </c>
      <c r="R215" s="12">
        <f t="shared" ca="1" si="53"/>
        <v>24.134186275225229</v>
      </c>
    </row>
    <row r="216" spans="1:18">
      <c r="A216" s="198">
        <f t="shared" ca="1" si="63"/>
        <v>197</v>
      </c>
      <c r="B216" s="197">
        <f t="shared" ca="1" si="60"/>
        <v>50739</v>
      </c>
      <c r="C216" s="196">
        <f t="shared" ca="1" si="54"/>
        <v>811.7879259855157</v>
      </c>
      <c r="D216" s="21">
        <f t="shared" ca="1" si="61"/>
        <v>337.73116088505094</v>
      </c>
      <c r="E216" s="196">
        <f t="shared" ca="1" si="55"/>
        <v>35898.120865258788</v>
      </c>
      <c r="F216" s="178">
        <f t="shared" ca="1" si="56"/>
        <v>7.7090808461613047</v>
      </c>
      <c r="G216" s="178">
        <f t="shared" ca="1" si="57"/>
        <v>26.319999999999997</v>
      </c>
      <c r="H216" s="177">
        <f t="shared" ca="1" si="58"/>
        <v>25</v>
      </c>
      <c r="I216" s="196"/>
      <c r="J216" s="9" t="str">
        <f t="shared" ca="1" si="48"/>
        <v/>
      </c>
      <c r="K216" s="9" t="str">
        <f t="shared" ca="1" si="49"/>
        <v/>
      </c>
      <c r="L216" s="9">
        <f t="shared" ca="1" si="50"/>
        <v>11</v>
      </c>
      <c r="N216" s="176">
        <f t="shared" ca="1" si="59"/>
        <v>31</v>
      </c>
      <c r="O216" s="176">
        <f t="shared" ca="1" si="62"/>
        <v>6019</v>
      </c>
      <c r="P216" s="175">
        <f t="shared" ca="1" si="51"/>
        <v>806.35436936936946</v>
      </c>
      <c r="Q216" s="11">
        <f t="shared" ca="1" si="52"/>
        <v>2.9930000000000002E-2</v>
      </c>
      <c r="R216" s="12">
        <f t="shared" ca="1" si="53"/>
        <v>24.134186275225229</v>
      </c>
    </row>
    <row r="217" spans="1:18">
      <c r="A217" s="198">
        <f t="shared" ca="1" si="63"/>
        <v>198</v>
      </c>
      <c r="B217" s="197">
        <f t="shared" ca="1" si="60"/>
        <v>50769</v>
      </c>
      <c r="C217" s="196">
        <f t="shared" ca="1" si="54"/>
        <v>811.7879259855157</v>
      </c>
      <c r="D217" s="21">
        <f t="shared" ca="1" si="61"/>
        <v>330.26271196586026</v>
      </c>
      <c r="E217" s="196">
        <f t="shared" ca="1" si="55"/>
        <v>35086.33293927327</v>
      </c>
      <c r="F217" s="178">
        <f t="shared" ca="1" si="56"/>
        <v>7.5386053817043459</v>
      </c>
      <c r="G217" s="178">
        <f t="shared" ca="1" si="57"/>
        <v>26.319999999999997</v>
      </c>
      <c r="H217" s="177">
        <f t="shared" ca="1" si="58"/>
        <v>25</v>
      </c>
      <c r="I217" s="196"/>
      <c r="J217" s="9" t="str">
        <f t="shared" ca="1" si="48"/>
        <v/>
      </c>
      <c r="K217" s="9" t="str">
        <f t="shared" ca="1" si="49"/>
        <v/>
      </c>
      <c r="L217" s="9">
        <f t="shared" ca="1" si="50"/>
        <v>12</v>
      </c>
      <c r="N217" s="176">
        <f t="shared" ca="1" si="59"/>
        <v>30</v>
      </c>
      <c r="O217" s="176">
        <f t="shared" ca="1" si="62"/>
        <v>6049</v>
      </c>
      <c r="P217" s="175">
        <f t="shared" ca="1" si="51"/>
        <v>806.35436936936946</v>
      </c>
      <c r="Q217" s="11">
        <f t="shared" ca="1" si="52"/>
        <v>2.9930000000000002E-2</v>
      </c>
      <c r="R217" s="12">
        <f t="shared" ca="1" si="53"/>
        <v>24.134186275225229</v>
      </c>
    </row>
    <row r="218" spans="1:18">
      <c r="A218" s="198">
        <f t="shared" ca="1" si="63"/>
        <v>199</v>
      </c>
      <c r="B218" s="197">
        <f t="shared" ca="1" si="60"/>
        <v>50800</v>
      </c>
      <c r="C218" s="196">
        <f t="shared" ca="1" si="54"/>
        <v>811.7879259855157</v>
      </c>
      <c r="D218" s="21">
        <f t="shared" ca="1" si="61"/>
        <v>322.79426304666958</v>
      </c>
      <c r="E218" s="196">
        <f t="shared" ca="1" si="55"/>
        <v>34274.545013287752</v>
      </c>
      <c r="F218" s="178">
        <f t="shared" ca="1" si="56"/>
        <v>7.3681299172473871</v>
      </c>
      <c r="G218" s="178">
        <f t="shared" ca="1" si="57"/>
        <v>26.319999999999997</v>
      </c>
      <c r="H218" s="177">
        <f t="shared" ca="1" si="58"/>
        <v>25</v>
      </c>
      <c r="I218" s="196"/>
      <c r="J218" s="9" t="str">
        <f t="shared" ca="1" si="48"/>
        <v/>
      </c>
      <c r="K218" s="9" t="str">
        <f t="shared" ca="1" si="49"/>
        <v/>
      </c>
      <c r="L218" s="9">
        <f t="shared" ca="1" si="50"/>
        <v>1</v>
      </c>
      <c r="N218" s="176">
        <f t="shared" ca="1" si="59"/>
        <v>31</v>
      </c>
      <c r="O218" s="176">
        <f t="shared" ca="1" si="62"/>
        <v>6080</v>
      </c>
      <c r="P218" s="175">
        <f t="shared" ca="1" si="51"/>
        <v>806.35436936936946</v>
      </c>
      <c r="Q218" s="11">
        <f t="shared" ca="1" si="52"/>
        <v>2.9930000000000002E-2</v>
      </c>
      <c r="R218" s="12">
        <f t="shared" ca="1" si="53"/>
        <v>24.134186275225229</v>
      </c>
    </row>
    <row r="219" spans="1:18">
      <c r="A219" s="198">
        <f t="shared" ca="1" si="63"/>
        <v>200</v>
      </c>
      <c r="B219" s="197">
        <f t="shared" ca="1" si="60"/>
        <v>50829</v>
      </c>
      <c r="C219" s="196">
        <f t="shared" ca="1" si="54"/>
        <v>811.7879259855157</v>
      </c>
      <c r="D219" s="21">
        <f t="shared" ca="1" si="61"/>
        <v>315.32581412747891</v>
      </c>
      <c r="E219" s="196">
        <f t="shared" ca="1" si="55"/>
        <v>33462.757087302234</v>
      </c>
      <c r="F219" s="178">
        <f t="shared" ca="1" si="56"/>
        <v>7.1976544527904283</v>
      </c>
      <c r="G219" s="178">
        <f t="shared" ca="1" si="57"/>
        <v>26.319999999999997</v>
      </c>
      <c r="H219" s="177">
        <f t="shared" ca="1" si="58"/>
        <v>25</v>
      </c>
      <c r="I219" s="196"/>
      <c r="J219" s="9" t="str">
        <f t="shared" ca="1" si="48"/>
        <v/>
      </c>
      <c r="K219" s="9" t="str">
        <f t="shared" ca="1" si="49"/>
        <v/>
      </c>
      <c r="L219" s="9">
        <f t="shared" ca="1" si="50"/>
        <v>2</v>
      </c>
      <c r="N219" s="176">
        <f t="shared" ca="1" si="59"/>
        <v>29</v>
      </c>
      <c r="O219" s="176">
        <f t="shared" ca="1" si="62"/>
        <v>6109</v>
      </c>
      <c r="P219" s="175">
        <f t="shared" ca="1" si="51"/>
        <v>806.35436936936946</v>
      </c>
      <c r="Q219" s="11">
        <f t="shared" ca="1" si="52"/>
        <v>2.9930000000000002E-2</v>
      </c>
      <c r="R219" s="12">
        <f t="shared" ca="1" si="53"/>
        <v>24.134186275225229</v>
      </c>
    </row>
    <row r="220" spans="1:18">
      <c r="A220" s="198">
        <f t="shared" ca="1" si="63"/>
        <v>201</v>
      </c>
      <c r="B220" s="197">
        <f t="shared" ca="1" si="60"/>
        <v>50859</v>
      </c>
      <c r="C220" s="196">
        <f t="shared" ca="1" si="54"/>
        <v>811.7879259855157</v>
      </c>
      <c r="D220" s="21">
        <f t="shared" ca="1" si="61"/>
        <v>307.85736520828823</v>
      </c>
      <c r="E220" s="196">
        <f t="shared" ca="1" si="55"/>
        <v>32650.96916131672</v>
      </c>
      <c r="F220" s="178">
        <f t="shared" ca="1" si="56"/>
        <v>7.0271789883334694</v>
      </c>
      <c r="G220" s="178">
        <f t="shared" ca="1" si="57"/>
        <v>26.319999999999997</v>
      </c>
      <c r="H220" s="177">
        <f t="shared" ca="1" si="58"/>
        <v>25</v>
      </c>
      <c r="I220" s="196"/>
      <c r="J220" s="9" t="str">
        <f t="shared" ca="1" si="48"/>
        <v/>
      </c>
      <c r="K220" s="9" t="str">
        <f t="shared" ca="1" si="49"/>
        <v/>
      </c>
      <c r="L220" s="9">
        <f t="shared" ca="1" si="50"/>
        <v>3</v>
      </c>
      <c r="N220" s="176">
        <f t="shared" ca="1" si="59"/>
        <v>30</v>
      </c>
      <c r="O220" s="176">
        <f t="shared" ca="1" si="62"/>
        <v>6139</v>
      </c>
      <c r="P220" s="175">
        <f t="shared" ca="1" si="51"/>
        <v>806.35436936936946</v>
      </c>
      <c r="Q220" s="11">
        <f t="shared" ca="1" si="52"/>
        <v>2.9930000000000002E-2</v>
      </c>
      <c r="R220" s="12">
        <f t="shared" ca="1" si="53"/>
        <v>24.134186275225229</v>
      </c>
    </row>
    <row r="221" spans="1:18">
      <c r="A221" s="198">
        <f t="shared" ca="1" si="63"/>
        <v>202</v>
      </c>
      <c r="B221" s="197">
        <f t="shared" ca="1" si="60"/>
        <v>50890</v>
      </c>
      <c r="C221" s="196">
        <f t="shared" ca="1" si="54"/>
        <v>811.7879259855157</v>
      </c>
      <c r="D221" s="21">
        <f t="shared" ca="1" si="61"/>
        <v>300.38891628909761</v>
      </c>
      <c r="E221" s="196">
        <f t="shared" ca="1" si="55"/>
        <v>31839.181235331205</v>
      </c>
      <c r="F221" s="178">
        <f t="shared" ca="1" si="56"/>
        <v>6.8567035238765115</v>
      </c>
      <c r="G221" s="178">
        <f t="shared" ca="1" si="57"/>
        <v>26.319999999999997</v>
      </c>
      <c r="H221" s="177">
        <f t="shared" ca="1" si="58"/>
        <v>25</v>
      </c>
      <c r="I221" s="196"/>
      <c r="J221" s="9" t="str">
        <f t="shared" ca="1" si="48"/>
        <v/>
      </c>
      <c r="K221" s="9" t="str">
        <f t="shared" ca="1" si="49"/>
        <v/>
      </c>
      <c r="L221" s="9">
        <f t="shared" ca="1" si="50"/>
        <v>4</v>
      </c>
      <c r="N221" s="176">
        <f t="shared" ca="1" si="59"/>
        <v>31</v>
      </c>
      <c r="O221" s="176">
        <f t="shared" ca="1" si="62"/>
        <v>6170</v>
      </c>
      <c r="P221" s="175">
        <f t="shared" ca="1" si="51"/>
        <v>806.35436936936946</v>
      </c>
      <c r="Q221" s="11">
        <f t="shared" ca="1" si="52"/>
        <v>2.9930000000000002E-2</v>
      </c>
      <c r="R221" s="12">
        <f t="shared" ca="1" si="53"/>
        <v>24.134186275225229</v>
      </c>
    </row>
    <row r="222" spans="1:18">
      <c r="A222" s="198">
        <f t="shared" ca="1" si="63"/>
        <v>203</v>
      </c>
      <c r="B222" s="197">
        <f t="shared" ca="1" si="60"/>
        <v>50920</v>
      </c>
      <c r="C222" s="196">
        <f t="shared" ca="1" si="54"/>
        <v>811.7879259855157</v>
      </c>
      <c r="D222" s="21">
        <f t="shared" ca="1" si="61"/>
        <v>292.92046736990699</v>
      </c>
      <c r="E222" s="196">
        <f t="shared" ca="1" si="55"/>
        <v>31027.393309345691</v>
      </c>
      <c r="F222" s="178">
        <f t="shared" ca="1" si="56"/>
        <v>6.6862280594195536</v>
      </c>
      <c r="G222" s="178">
        <f t="shared" ca="1" si="57"/>
        <v>26.319999999999997</v>
      </c>
      <c r="H222" s="177">
        <f t="shared" ca="1" si="58"/>
        <v>25</v>
      </c>
      <c r="I222" s="196"/>
      <c r="J222" s="9" t="str">
        <f t="shared" ca="1" si="48"/>
        <v/>
      </c>
      <c r="K222" s="9" t="str">
        <f t="shared" ca="1" si="49"/>
        <v/>
      </c>
      <c r="L222" s="9">
        <f t="shared" ca="1" si="50"/>
        <v>5</v>
      </c>
      <c r="N222" s="176">
        <f t="shared" ca="1" si="59"/>
        <v>30</v>
      </c>
      <c r="O222" s="176">
        <f t="shared" ca="1" si="62"/>
        <v>6200</v>
      </c>
      <c r="P222" s="175">
        <f t="shared" ca="1" si="51"/>
        <v>806.35436936936946</v>
      </c>
      <c r="Q222" s="11">
        <f t="shared" ca="1" si="52"/>
        <v>2.9930000000000002E-2</v>
      </c>
      <c r="R222" s="12">
        <f t="shared" ca="1" si="53"/>
        <v>24.134186275225229</v>
      </c>
    </row>
    <row r="223" spans="1:18">
      <c r="A223" s="198">
        <f t="shared" ca="1" si="63"/>
        <v>204</v>
      </c>
      <c r="B223" s="197">
        <f t="shared" ca="1" si="60"/>
        <v>50951</v>
      </c>
      <c r="C223" s="196">
        <f t="shared" ca="1" si="54"/>
        <v>811.7879259855157</v>
      </c>
      <c r="D223" s="21">
        <f t="shared" ca="1" si="61"/>
        <v>285.45201845071631</v>
      </c>
      <c r="E223" s="196">
        <f t="shared" ca="1" si="55"/>
        <v>30215.605383360176</v>
      </c>
      <c r="F223" s="178">
        <f t="shared" ca="1" si="56"/>
        <v>6.5157525949625956</v>
      </c>
      <c r="G223" s="178">
        <f t="shared" ca="1" si="57"/>
        <v>26.319999999999997</v>
      </c>
      <c r="H223" s="177">
        <f t="shared" ca="1" si="58"/>
        <v>25</v>
      </c>
      <c r="I223" s="196"/>
      <c r="J223" s="9" t="str">
        <f t="shared" ca="1" si="48"/>
        <v/>
      </c>
      <c r="K223" s="9" t="str">
        <f t="shared" ca="1" si="49"/>
        <v/>
      </c>
      <c r="L223" s="9">
        <f t="shared" ca="1" si="50"/>
        <v>6</v>
      </c>
      <c r="N223" s="176">
        <f t="shared" ca="1" si="59"/>
        <v>31</v>
      </c>
      <c r="O223" s="176">
        <f t="shared" ca="1" si="62"/>
        <v>6231</v>
      </c>
      <c r="P223" s="175">
        <f t="shared" ca="1" si="51"/>
        <v>806.35436936936946</v>
      </c>
      <c r="Q223" s="11">
        <f t="shared" ca="1" si="52"/>
        <v>2.9930000000000002E-2</v>
      </c>
      <c r="R223" s="12">
        <f t="shared" ca="1" si="53"/>
        <v>24.134186275225229</v>
      </c>
    </row>
    <row r="224" spans="1:18">
      <c r="A224" s="198">
        <f t="shared" ca="1" si="63"/>
        <v>205</v>
      </c>
      <c r="B224" s="197">
        <f t="shared" ca="1" si="60"/>
        <v>50981</v>
      </c>
      <c r="C224" s="196">
        <f t="shared" ca="1" si="54"/>
        <v>811.7879259855157</v>
      </c>
      <c r="D224" s="21">
        <f t="shared" ca="1" si="61"/>
        <v>277.98356953152569</v>
      </c>
      <c r="E224" s="196">
        <f t="shared" ca="1" si="55"/>
        <v>29403.817457374662</v>
      </c>
      <c r="F224" s="178">
        <f t="shared" ca="1" si="56"/>
        <v>6.3452771305056377</v>
      </c>
      <c r="G224" s="178">
        <f t="shared" ca="1" si="57"/>
        <v>26.319999999999997</v>
      </c>
      <c r="H224" s="177">
        <f t="shared" ca="1" si="58"/>
        <v>25</v>
      </c>
      <c r="I224" s="196"/>
      <c r="J224" s="9" t="str">
        <f t="shared" ca="1" si="48"/>
        <v/>
      </c>
      <c r="K224" s="9" t="str">
        <f t="shared" ca="1" si="49"/>
        <v/>
      </c>
      <c r="L224" s="9">
        <f t="shared" ca="1" si="50"/>
        <v>7</v>
      </c>
      <c r="N224" s="176">
        <f t="shared" ca="1" si="59"/>
        <v>30</v>
      </c>
      <c r="O224" s="176">
        <f t="shared" ca="1" si="62"/>
        <v>6261</v>
      </c>
      <c r="P224" s="175">
        <f t="shared" ca="1" si="51"/>
        <v>806.35436936936946</v>
      </c>
      <c r="Q224" s="11">
        <f t="shared" ca="1" si="52"/>
        <v>2.9930000000000002E-2</v>
      </c>
      <c r="R224" s="12">
        <f t="shared" ca="1" si="53"/>
        <v>24.134186275225229</v>
      </c>
    </row>
    <row r="225" spans="1:18">
      <c r="A225" s="198">
        <f t="shared" ca="1" si="63"/>
        <v>206</v>
      </c>
      <c r="B225" s="197">
        <f t="shared" ca="1" si="60"/>
        <v>51012</v>
      </c>
      <c r="C225" s="196">
        <f t="shared" ca="1" si="54"/>
        <v>811.7879259855157</v>
      </c>
      <c r="D225" s="21">
        <f t="shared" ca="1" si="61"/>
        <v>270.51512061233501</v>
      </c>
      <c r="E225" s="196">
        <f t="shared" ca="1" si="55"/>
        <v>28592.029531389147</v>
      </c>
      <c r="F225" s="178">
        <f t="shared" ca="1" si="56"/>
        <v>6.1748016660486789</v>
      </c>
      <c r="G225" s="178">
        <f t="shared" ca="1" si="57"/>
        <v>26.319999999999997</v>
      </c>
      <c r="H225" s="177">
        <f t="shared" ca="1" si="58"/>
        <v>25</v>
      </c>
      <c r="I225" s="196"/>
      <c r="J225" s="9" t="str">
        <f t="shared" ca="1" si="48"/>
        <v/>
      </c>
      <c r="K225" s="9" t="str">
        <f t="shared" ca="1" si="49"/>
        <v/>
      </c>
      <c r="L225" s="9">
        <f t="shared" ca="1" si="50"/>
        <v>8</v>
      </c>
      <c r="N225" s="176">
        <f t="shared" ca="1" si="59"/>
        <v>31</v>
      </c>
      <c r="O225" s="176">
        <f t="shared" ca="1" si="62"/>
        <v>6292</v>
      </c>
      <c r="P225" s="175">
        <f t="shared" ca="1" si="51"/>
        <v>806.35436936936946</v>
      </c>
      <c r="Q225" s="11">
        <f t="shared" ca="1" si="52"/>
        <v>2.9930000000000002E-2</v>
      </c>
      <c r="R225" s="12">
        <f t="shared" ca="1" si="53"/>
        <v>24.134186275225229</v>
      </c>
    </row>
    <row r="226" spans="1:18">
      <c r="A226" s="198">
        <f t="shared" ca="1" si="63"/>
        <v>207</v>
      </c>
      <c r="B226" s="197">
        <f t="shared" ca="1" si="60"/>
        <v>51043</v>
      </c>
      <c r="C226" s="196">
        <f t="shared" ca="1" si="54"/>
        <v>811.7879259855157</v>
      </c>
      <c r="D226" s="21">
        <f t="shared" ca="1" si="61"/>
        <v>263.04667169314439</v>
      </c>
      <c r="E226" s="196">
        <f t="shared" ca="1" si="55"/>
        <v>27780.241605403633</v>
      </c>
      <c r="F226" s="178">
        <f t="shared" ca="1" si="56"/>
        <v>6.0043262015917209</v>
      </c>
      <c r="G226" s="178">
        <f t="shared" ca="1" si="57"/>
        <v>26.319999999999997</v>
      </c>
      <c r="H226" s="177">
        <f t="shared" ca="1" si="58"/>
        <v>25</v>
      </c>
      <c r="I226" s="196"/>
      <c r="J226" s="9" t="str">
        <f t="shared" ca="1" si="48"/>
        <v/>
      </c>
      <c r="K226" s="9" t="str">
        <f t="shared" ca="1" si="49"/>
        <v/>
      </c>
      <c r="L226" s="9">
        <f t="shared" ca="1" si="50"/>
        <v>9</v>
      </c>
      <c r="N226" s="176">
        <f t="shared" ca="1" si="59"/>
        <v>31</v>
      </c>
      <c r="O226" s="176">
        <f t="shared" ca="1" si="62"/>
        <v>6323</v>
      </c>
      <c r="P226" s="175">
        <f t="shared" ca="1" si="51"/>
        <v>806.35436936936946</v>
      </c>
      <c r="Q226" s="11">
        <f t="shared" ca="1" si="52"/>
        <v>2.9930000000000002E-2</v>
      </c>
      <c r="R226" s="12">
        <f t="shared" ca="1" si="53"/>
        <v>24.134186275225229</v>
      </c>
    </row>
    <row r="227" spans="1:18">
      <c r="A227" s="198">
        <f t="shared" ca="1" si="63"/>
        <v>208</v>
      </c>
      <c r="B227" s="197">
        <f t="shared" ca="1" si="60"/>
        <v>51073</v>
      </c>
      <c r="C227" s="196">
        <f t="shared" ca="1" si="54"/>
        <v>811.7879259855157</v>
      </c>
      <c r="D227" s="21">
        <f t="shared" ca="1" si="61"/>
        <v>255.57822277395374</v>
      </c>
      <c r="E227" s="196">
        <f t="shared" ca="1" si="55"/>
        <v>26968.453679418119</v>
      </c>
      <c r="F227" s="178">
        <f t="shared" ca="1" si="56"/>
        <v>5.833850737134763</v>
      </c>
      <c r="G227" s="178">
        <f t="shared" ca="1" si="57"/>
        <v>26.319999999999997</v>
      </c>
      <c r="H227" s="177">
        <f t="shared" ca="1" si="58"/>
        <v>25</v>
      </c>
      <c r="I227" s="196"/>
      <c r="J227" s="9" t="str">
        <f t="shared" ca="1" si="48"/>
        <v/>
      </c>
      <c r="K227" s="9" t="str">
        <f t="shared" ca="1" si="49"/>
        <v/>
      </c>
      <c r="L227" s="9">
        <f t="shared" ca="1" si="50"/>
        <v>10</v>
      </c>
      <c r="N227" s="176">
        <f t="shared" ca="1" si="59"/>
        <v>30</v>
      </c>
      <c r="O227" s="176">
        <f t="shared" ca="1" si="62"/>
        <v>6353</v>
      </c>
      <c r="P227" s="175">
        <f t="shared" ca="1" si="51"/>
        <v>806.35436936936946</v>
      </c>
      <c r="Q227" s="11">
        <f t="shared" ca="1" si="52"/>
        <v>2.9930000000000002E-2</v>
      </c>
      <c r="R227" s="12">
        <f t="shared" ca="1" si="53"/>
        <v>24.134186275225229</v>
      </c>
    </row>
    <row r="228" spans="1:18">
      <c r="A228" s="198">
        <f t="shared" ca="1" si="63"/>
        <v>209</v>
      </c>
      <c r="B228" s="197">
        <f t="shared" ca="1" si="60"/>
        <v>51104</v>
      </c>
      <c r="C228" s="196">
        <f t="shared" ca="1" si="54"/>
        <v>811.7879259855157</v>
      </c>
      <c r="D228" s="21">
        <f t="shared" ca="1" si="61"/>
        <v>248.10977385476312</v>
      </c>
      <c r="E228" s="196">
        <f t="shared" ca="1" si="55"/>
        <v>26156.665753432604</v>
      </c>
      <c r="F228" s="178">
        <f t="shared" ca="1" si="56"/>
        <v>5.6633752726778051</v>
      </c>
      <c r="G228" s="178">
        <f t="shared" ca="1" si="57"/>
        <v>26.319999999999997</v>
      </c>
      <c r="H228" s="177">
        <f t="shared" ca="1" si="58"/>
        <v>25</v>
      </c>
      <c r="I228" s="196"/>
      <c r="J228" s="9" t="str">
        <f t="shared" ca="1" si="48"/>
        <v/>
      </c>
      <c r="K228" s="9" t="str">
        <f t="shared" ca="1" si="49"/>
        <v/>
      </c>
      <c r="L228" s="9">
        <f t="shared" ca="1" si="50"/>
        <v>11</v>
      </c>
      <c r="N228" s="176">
        <f t="shared" ca="1" si="59"/>
        <v>31</v>
      </c>
      <c r="O228" s="176">
        <f t="shared" ca="1" si="62"/>
        <v>6384</v>
      </c>
      <c r="P228" s="175">
        <f t="shared" ca="1" si="51"/>
        <v>806.35436936936946</v>
      </c>
      <c r="Q228" s="11">
        <f t="shared" ca="1" si="52"/>
        <v>2.9930000000000002E-2</v>
      </c>
      <c r="R228" s="12">
        <f t="shared" ca="1" si="53"/>
        <v>24.134186275225229</v>
      </c>
    </row>
    <row r="229" spans="1:18">
      <c r="A229" s="198">
        <f t="shared" ca="1" si="63"/>
        <v>210</v>
      </c>
      <c r="B229" s="197">
        <f t="shared" ca="1" si="60"/>
        <v>51134</v>
      </c>
      <c r="C229" s="196">
        <f t="shared" ca="1" si="54"/>
        <v>811.7879259855157</v>
      </c>
      <c r="D229" s="21">
        <f t="shared" ca="1" si="61"/>
        <v>240.64132493557247</v>
      </c>
      <c r="E229" s="196">
        <f t="shared" ca="1" si="55"/>
        <v>25344.87782744709</v>
      </c>
      <c r="F229" s="178">
        <f t="shared" ca="1" si="56"/>
        <v>5.4928998082208471</v>
      </c>
      <c r="G229" s="178">
        <f t="shared" ca="1" si="57"/>
        <v>26.319999999999997</v>
      </c>
      <c r="H229" s="177">
        <f t="shared" ca="1" si="58"/>
        <v>25</v>
      </c>
      <c r="I229" s="196"/>
      <c r="J229" s="9" t="str">
        <f t="shared" ca="1" si="48"/>
        <v/>
      </c>
      <c r="K229" s="9" t="str">
        <f t="shared" ca="1" si="49"/>
        <v/>
      </c>
      <c r="L229" s="9">
        <f t="shared" ca="1" si="50"/>
        <v>12</v>
      </c>
      <c r="N229" s="176">
        <f t="shared" ca="1" si="59"/>
        <v>30</v>
      </c>
      <c r="O229" s="176">
        <f t="shared" ca="1" si="62"/>
        <v>6414</v>
      </c>
      <c r="P229" s="175">
        <f t="shared" ca="1" si="51"/>
        <v>806.35436936936946</v>
      </c>
      <c r="Q229" s="11">
        <f t="shared" ca="1" si="52"/>
        <v>2.9930000000000002E-2</v>
      </c>
      <c r="R229" s="12">
        <f t="shared" ca="1" si="53"/>
        <v>24.134186275225229</v>
      </c>
    </row>
    <row r="230" spans="1:18">
      <c r="A230" s="198">
        <f t="shared" ca="1" si="63"/>
        <v>211</v>
      </c>
      <c r="B230" s="197">
        <f t="shared" ca="1" si="60"/>
        <v>51165</v>
      </c>
      <c r="C230" s="196">
        <f t="shared" ca="1" si="54"/>
        <v>811.7879259855157</v>
      </c>
      <c r="D230" s="21">
        <f t="shared" ca="1" si="61"/>
        <v>233.17287601638182</v>
      </c>
      <c r="E230" s="196">
        <f t="shared" ca="1" si="55"/>
        <v>24533.089901461575</v>
      </c>
      <c r="F230" s="178">
        <f t="shared" ca="1" si="56"/>
        <v>5.3224243437638892</v>
      </c>
      <c r="G230" s="178">
        <f t="shared" ca="1" si="57"/>
        <v>26.319999999999997</v>
      </c>
      <c r="H230" s="177">
        <f t="shared" ca="1" si="58"/>
        <v>25</v>
      </c>
      <c r="I230" s="196"/>
      <c r="J230" s="9" t="str">
        <f t="shared" ca="1" si="48"/>
        <v/>
      </c>
      <c r="K230" s="9" t="str">
        <f t="shared" ca="1" si="49"/>
        <v/>
      </c>
      <c r="L230" s="9">
        <f t="shared" ca="1" si="50"/>
        <v>1</v>
      </c>
      <c r="N230" s="176">
        <f t="shared" ca="1" si="59"/>
        <v>31</v>
      </c>
      <c r="O230" s="176">
        <f t="shared" ca="1" si="62"/>
        <v>6445</v>
      </c>
      <c r="P230" s="175">
        <f t="shared" ca="1" si="51"/>
        <v>806.35436936936946</v>
      </c>
      <c r="Q230" s="11">
        <f t="shared" ca="1" si="52"/>
        <v>2.9930000000000002E-2</v>
      </c>
      <c r="R230" s="12">
        <f t="shared" ca="1" si="53"/>
        <v>24.134186275225229</v>
      </c>
    </row>
    <row r="231" spans="1:18">
      <c r="A231" s="198">
        <f t="shared" ca="1" si="63"/>
        <v>212</v>
      </c>
      <c r="B231" s="197">
        <f t="shared" ca="1" si="60"/>
        <v>51195</v>
      </c>
      <c r="C231" s="196">
        <f t="shared" ca="1" si="54"/>
        <v>811.7879259855157</v>
      </c>
      <c r="D231" s="21">
        <f t="shared" ca="1" si="61"/>
        <v>225.70442709719117</v>
      </c>
      <c r="E231" s="196">
        <f t="shared" ca="1" si="55"/>
        <v>23721.301975476061</v>
      </c>
      <c r="F231" s="178">
        <f t="shared" ca="1" si="56"/>
        <v>5.1519488793069312</v>
      </c>
      <c r="G231" s="178">
        <f t="shared" ca="1" si="57"/>
        <v>26.319999999999997</v>
      </c>
      <c r="H231" s="177">
        <f t="shared" ca="1" si="58"/>
        <v>25</v>
      </c>
      <c r="I231" s="196"/>
      <c r="J231" s="9" t="str">
        <f t="shared" ca="1" si="48"/>
        <v/>
      </c>
      <c r="K231" s="9" t="str">
        <f t="shared" ca="1" si="49"/>
        <v/>
      </c>
      <c r="L231" s="9">
        <f t="shared" ca="1" si="50"/>
        <v>2</v>
      </c>
      <c r="N231" s="176">
        <f t="shared" ca="1" si="59"/>
        <v>30</v>
      </c>
      <c r="O231" s="176">
        <f t="shared" ca="1" si="62"/>
        <v>6475</v>
      </c>
      <c r="P231" s="175">
        <f t="shared" ca="1" si="51"/>
        <v>806.35436936936946</v>
      </c>
      <c r="Q231" s="11">
        <f t="shared" ca="1" si="52"/>
        <v>2.9930000000000002E-2</v>
      </c>
      <c r="R231" s="12">
        <f t="shared" ca="1" si="53"/>
        <v>24.134186275225229</v>
      </c>
    </row>
    <row r="232" spans="1:18">
      <c r="A232" s="198">
        <f t="shared" ca="1" si="63"/>
        <v>213</v>
      </c>
      <c r="B232" s="197">
        <f t="shared" ca="1" si="60"/>
        <v>51225</v>
      </c>
      <c r="C232" s="196">
        <f t="shared" ca="1" si="54"/>
        <v>811.7879259855157</v>
      </c>
      <c r="D232" s="21">
        <f t="shared" ca="1" si="61"/>
        <v>218.23597817800052</v>
      </c>
      <c r="E232" s="196">
        <f t="shared" ca="1" si="55"/>
        <v>22909.514049490546</v>
      </c>
      <c r="F232" s="178">
        <f t="shared" ca="1" si="56"/>
        <v>4.9814734148499733</v>
      </c>
      <c r="G232" s="178">
        <f t="shared" ca="1" si="57"/>
        <v>26.319999999999997</v>
      </c>
      <c r="H232" s="177">
        <f t="shared" ca="1" si="58"/>
        <v>25</v>
      </c>
      <c r="I232" s="196"/>
      <c r="J232" s="9" t="str">
        <f t="shared" ca="1" si="48"/>
        <v/>
      </c>
      <c r="K232" s="9" t="str">
        <f t="shared" ca="1" si="49"/>
        <v/>
      </c>
      <c r="L232" s="9">
        <f t="shared" ca="1" si="50"/>
        <v>3</v>
      </c>
      <c r="N232" s="176">
        <f t="shared" ca="1" si="59"/>
        <v>30</v>
      </c>
      <c r="O232" s="176">
        <f t="shared" ca="1" si="62"/>
        <v>6505</v>
      </c>
      <c r="P232" s="175">
        <f t="shared" ca="1" si="51"/>
        <v>806.35436936936946</v>
      </c>
      <c r="Q232" s="11">
        <f t="shared" ca="1" si="52"/>
        <v>2.9930000000000002E-2</v>
      </c>
      <c r="R232" s="12">
        <f t="shared" ca="1" si="53"/>
        <v>24.134186275225229</v>
      </c>
    </row>
    <row r="233" spans="1:18">
      <c r="A233" s="198">
        <f t="shared" ca="1" si="63"/>
        <v>214</v>
      </c>
      <c r="B233" s="197">
        <f t="shared" ca="1" si="60"/>
        <v>51256</v>
      </c>
      <c r="C233" s="196">
        <f t="shared" ca="1" si="54"/>
        <v>811.7879259855157</v>
      </c>
      <c r="D233" s="21">
        <f t="shared" ca="1" si="61"/>
        <v>210.7675292588099</v>
      </c>
      <c r="E233" s="196">
        <f t="shared" ca="1" si="55"/>
        <v>22097.726123505032</v>
      </c>
      <c r="F233" s="178">
        <f t="shared" ca="1" si="56"/>
        <v>4.8109979503930154</v>
      </c>
      <c r="G233" s="178">
        <f t="shared" ca="1" si="57"/>
        <v>26.319999999999997</v>
      </c>
      <c r="H233" s="177">
        <f t="shared" ca="1" si="58"/>
        <v>25</v>
      </c>
      <c r="I233" s="196"/>
      <c r="J233" s="9" t="str">
        <f t="shared" ca="1" si="48"/>
        <v/>
      </c>
      <c r="K233" s="9" t="str">
        <f t="shared" ca="1" si="49"/>
        <v/>
      </c>
      <c r="L233" s="9">
        <f t="shared" ca="1" si="50"/>
        <v>4</v>
      </c>
      <c r="N233" s="176">
        <f t="shared" ca="1" si="59"/>
        <v>31</v>
      </c>
      <c r="O233" s="176">
        <f t="shared" ca="1" si="62"/>
        <v>6536</v>
      </c>
      <c r="P233" s="175">
        <f t="shared" ca="1" si="51"/>
        <v>806.35436936936946</v>
      </c>
      <c r="Q233" s="11">
        <f t="shared" ca="1" si="52"/>
        <v>2.9930000000000002E-2</v>
      </c>
      <c r="R233" s="12">
        <f t="shared" ca="1" si="53"/>
        <v>24.134186275225229</v>
      </c>
    </row>
    <row r="234" spans="1:18">
      <c r="A234" s="198">
        <f t="shared" ca="1" si="63"/>
        <v>215</v>
      </c>
      <c r="B234" s="197">
        <f t="shared" ca="1" si="60"/>
        <v>51286</v>
      </c>
      <c r="C234" s="196">
        <f t="shared" ca="1" si="54"/>
        <v>811.7879259855157</v>
      </c>
      <c r="D234" s="21">
        <f t="shared" ca="1" si="61"/>
        <v>203.29908033961925</v>
      </c>
      <c r="E234" s="196">
        <f t="shared" ca="1" si="55"/>
        <v>21285.938197519517</v>
      </c>
      <c r="F234" s="178">
        <f t="shared" ca="1" si="56"/>
        <v>4.6405224859360565</v>
      </c>
      <c r="G234" s="178">
        <f t="shared" ca="1" si="57"/>
        <v>26.319999999999997</v>
      </c>
      <c r="H234" s="177">
        <f t="shared" ca="1" si="58"/>
        <v>25</v>
      </c>
      <c r="I234" s="196"/>
      <c r="J234" s="9" t="str">
        <f t="shared" ca="1" si="48"/>
        <v/>
      </c>
      <c r="K234" s="9" t="str">
        <f t="shared" ca="1" si="49"/>
        <v/>
      </c>
      <c r="L234" s="9">
        <f t="shared" ca="1" si="50"/>
        <v>5</v>
      </c>
      <c r="N234" s="176">
        <f t="shared" ca="1" si="59"/>
        <v>30</v>
      </c>
      <c r="O234" s="176">
        <f t="shared" ca="1" si="62"/>
        <v>6566</v>
      </c>
      <c r="P234" s="175">
        <f t="shared" ca="1" si="51"/>
        <v>806.35436936936946</v>
      </c>
      <c r="Q234" s="11">
        <f t="shared" ca="1" si="52"/>
        <v>2.9930000000000002E-2</v>
      </c>
      <c r="R234" s="12">
        <f t="shared" ca="1" si="53"/>
        <v>24.134186275225229</v>
      </c>
    </row>
    <row r="235" spans="1:18">
      <c r="A235" s="198">
        <f t="shared" ca="1" si="63"/>
        <v>216</v>
      </c>
      <c r="B235" s="197">
        <f t="shared" ca="1" si="60"/>
        <v>51317</v>
      </c>
      <c r="C235" s="196">
        <f t="shared" ca="1" si="54"/>
        <v>811.7879259855157</v>
      </c>
      <c r="D235" s="21">
        <f t="shared" ca="1" si="61"/>
        <v>195.8306314204286</v>
      </c>
      <c r="E235" s="196">
        <f t="shared" ca="1" si="55"/>
        <v>20474.150271534003</v>
      </c>
      <c r="F235" s="178">
        <f t="shared" ca="1" si="56"/>
        <v>4.4700470214790986</v>
      </c>
      <c r="G235" s="178">
        <f t="shared" ca="1" si="57"/>
        <v>26.319999999999997</v>
      </c>
      <c r="H235" s="177">
        <f t="shared" ca="1" si="58"/>
        <v>25</v>
      </c>
      <c r="I235" s="196"/>
      <c r="J235" s="9" t="str">
        <f t="shared" ca="1" si="48"/>
        <v/>
      </c>
      <c r="K235" s="9" t="str">
        <f t="shared" ca="1" si="49"/>
        <v/>
      </c>
      <c r="L235" s="9">
        <f t="shared" ca="1" si="50"/>
        <v>6</v>
      </c>
      <c r="N235" s="176">
        <f t="shared" ca="1" si="59"/>
        <v>31</v>
      </c>
      <c r="O235" s="176">
        <f t="shared" ca="1" si="62"/>
        <v>6597</v>
      </c>
      <c r="P235" s="175">
        <f t="shared" ca="1" si="51"/>
        <v>806.35436936936946</v>
      </c>
      <c r="Q235" s="11">
        <f t="shared" ca="1" si="52"/>
        <v>2.9930000000000002E-2</v>
      </c>
      <c r="R235" s="12">
        <f t="shared" ca="1" si="53"/>
        <v>24.134186275225229</v>
      </c>
    </row>
    <row r="236" spans="1:18">
      <c r="A236" s="198">
        <f t="shared" ca="1" si="63"/>
        <v>217</v>
      </c>
      <c r="B236" s="197">
        <f t="shared" ca="1" si="60"/>
        <v>51347</v>
      </c>
      <c r="C236" s="196">
        <f t="shared" ca="1" si="54"/>
        <v>811.7879259855157</v>
      </c>
      <c r="D236" s="21">
        <f t="shared" ca="1" si="61"/>
        <v>188.36218250123795</v>
      </c>
      <c r="E236" s="196">
        <f t="shared" ca="1" si="55"/>
        <v>19662.362345548489</v>
      </c>
      <c r="F236" s="178">
        <f t="shared" ca="1" si="56"/>
        <v>4.2995715570221407</v>
      </c>
      <c r="G236" s="178">
        <f t="shared" ca="1" si="57"/>
        <v>26.319999999999997</v>
      </c>
      <c r="H236" s="177">
        <f t="shared" ca="1" si="58"/>
        <v>25</v>
      </c>
      <c r="I236" s="196"/>
      <c r="J236" s="9" t="str">
        <f t="shared" ca="1" si="48"/>
        <v/>
      </c>
      <c r="K236" s="9" t="str">
        <f t="shared" ca="1" si="49"/>
        <v/>
      </c>
      <c r="L236" s="9">
        <f t="shared" ca="1" si="50"/>
        <v>7</v>
      </c>
      <c r="N236" s="176">
        <f t="shared" ca="1" si="59"/>
        <v>30</v>
      </c>
      <c r="O236" s="176">
        <f t="shared" ca="1" si="62"/>
        <v>6627</v>
      </c>
      <c r="P236" s="175">
        <f t="shared" ca="1" si="51"/>
        <v>806.35436936936946</v>
      </c>
      <c r="Q236" s="11">
        <f t="shared" ca="1" si="52"/>
        <v>2.9930000000000002E-2</v>
      </c>
      <c r="R236" s="12">
        <f t="shared" ca="1" si="53"/>
        <v>24.134186275225229</v>
      </c>
    </row>
    <row r="237" spans="1:18">
      <c r="A237" s="198">
        <f t="shared" ca="1" si="63"/>
        <v>218</v>
      </c>
      <c r="B237" s="197">
        <f t="shared" ca="1" si="60"/>
        <v>51378</v>
      </c>
      <c r="C237" s="196">
        <f t="shared" ca="1" si="54"/>
        <v>811.7879259855157</v>
      </c>
      <c r="D237" s="21">
        <f t="shared" ca="1" si="61"/>
        <v>180.89373358204733</v>
      </c>
      <c r="E237" s="196">
        <f t="shared" ca="1" si="55"/>
        <v>18850.574419562974</v>
      </c>
      <c r="F237" s="178">
        <f t="shared" ca="1" si="56"/>
        <v>4.1290960925651827</v>
      </c>
      <c r="G237" s="178">
        <f t="shared" ca="1" si="57"/>
        <v>26.319999999999997</v>
      </c>
      <c r="H237" s="177">
        <f t="shared" ca="1" si="58"/>
        <v>25</v>
      </c>
      <c r="I237" s="196"/>
      <c r="J237" s="9" t="str">
        <f t="shared" ca="1" si="48"/>
        <v/>
      </c>
      <c r="K237" s="9" t="str">
        <f t="shared" ca="1" si="49"/>
        <v/>
      </c>
      <c r="L237" s="9">
        <f t="shared" ca="1" si="50"/>
        <v>8</v>
      </c>
      <c r="N237" s="176">
        <f t="shared" ca="1" si="59"/>
        <v>31</v>
      </c>
      <c r="O237" s="176">
        <f t="shared" ca="1" si="62"/>
        <v>6658</v>
      </c>
      <c r="P237" s="175">
        <f t="shared" ca="1" si="51"/>
        <v>806.35436936936946</v>
      </c>
      <c r="Q237" s="11">
        <f t="shared" ca="1" si="52"/>
        <v>2.9930000000000002E-2</v>
      </c>
      <c r="R237" s="12">
        <f t="shared" ca="1" si="53"/>
        <v>24.134186275225229</v>
      </c>
    </row>
    <row r="238" spans="1:18">
      <c r="A238" s="198">
        <f t="shared" ca="1" si="63"/>
        <v>219</v>
      </c>
      <c r="B238" s="197">
        <f t="shared" ca="1" si="60"/>
        <v>51409</v>
      </c>
      <c r="C238" s="196">
        <f t="shared" ca="1" si="54"/>
        <v>811.7879259855157</v>
      </c>
      <c r="D238" s="21">
        <f t="shared" ca="1" si="61"/>
        <v>173.42528466285668</v>
      </c>
      <c r="E238" s="196">
        <f t="shared" ca="1" si="55"/>
        <v>18038.78649357746</v>
      </c>
      <c r="F238" s="178">
        <f t="shared" ca="1" si="56"/>
        <v>3.9586206281082248</v>
      </c>
      <c r="G238" s="178">
        <f t="shared" ca="1" si="57"/>
        <v>26.319999999999997</v>
      </c>
      <c r="H238" s="177">
        <f t="shared" ca="1" si="58"/>
        <v>25</v>
      </c>
      <c r="I238" s="196"/>
      <c r="J238" s="9" t="str">
        <f t="shared" ca="1" si="48"/>
        <v/>
      </c>
      <c r="K238" s="9" t="str">
        <f t="shared" ca="1" si="49"/>
        <v/>
      </c>
      <c r="L238" s="9">
        <f t="shared" ca="1" si="50"/>
        <v>9</v>
      </c>
      <c r="N238" s="176">
        <f t="shared" ca="1" si="59"/>
        <v>31</v>
      </c>
      <c r="O238" s="176">
        <f t="shared" ca="1" si="62"/>
        <v>6689</v>
      </c>
      <c r="P238" s="175">
        <f t="shared" ca="1" si="51"/>
        <v>806.35436936936946</v>
      </c>
      <c r="Q238" s="11">
        <f t="shared" ca="1" si="52"/>
        <v>2.9930000000000002E-2</v>
      </c>
      <c r="R238" s="12">
        <f t="shared" ca="1" si="53"/>
        <v>24.134186275225229</v>
      </c>
    </row>
    <row r="239" spans="1:18">
      <c r="A239" s="198">
        <f t="shared" ca="1" si="63"/>
        <v>220</v>
      </c>
      <c r="B239" s="197">
        <f t="shared" ca="1" si="60"/>
        <v>51439</v>
      </c>
      <c r="C239" s="196">
        <f t="shared" ca="1" si="54"/>
        <v>811.7879259855157</v>
      </c>
      <c r="D239" s="21">
        <f t="shared" ca="1" si="61"/>
        <v>165.95683574366603</v>
      </c>
      <c r="E239" s="196">
        <f t="shared" ca="1" si="55"/>
        <v>17226.998567591945</v>
      </c>
      <c r="F239" s="178">
        <f t="shared" ca="1" si="56"/>
        <v>3.7881451636512669</v>
      </c>
      <c r="G239" s="178">
        <f t="shared" ca="1" si="57"/>
        <v>26.319999999999997</v>
      </c>
      <c r="H239" s="177">
        <f t="shared" ca="1" si="58"/>
        <v>25</v>
      </c>
      <c r="I239" s="196"/>
      <c r="J239" s="9" t="str">
        <f t="shared" ca="1" si="48"/>
        <v/>
      </c>
      <c r="K239" s="9" t="str">
        <f t="shared" ca="1" si="49"/>
        <v/>
      </c>
      <c r="L239" s="9">
        <f t="shared" ca="1" si="50"/>
        <v>10</v>
      </c>
      <c r="N239" s="176">
        <f t="shared" ca="1" si="59"/>
        <v>30</v>
      </c>
      <c r="O239" s="176">
        <f t="shared" ca="1" si="62"/>
        <v>6719</v>
      </c>
      <c r="P239" s="175">
        <f t="shared" ca="1" si="51"/>
        <v>806.35436936936946</v>
      </c>
      <c r="Q239" s="11">
        <f t="shared" ca="1" si="52"/>
        <v>2.9930000000000002E-2</v>
      </c>
      <c r="R239" s="12">
        <f t="shared" ca="1" si="53"/>
        <v>24.134186275225229</v>
      </c>
    </row>
    <row r="240" spans="1:18">
      <c r="A240" s="198">
        <f t="shared" ca="1" si="63"/>
        <v>221</v>
      </c>
      <c r="B240" s="197">
        <f t="shared" ca="1" si="60"/>
        <v>51470</v>
      </c>
      <c r="C240" s="196">
        <f t="shared" ca="1" si="54"/>
        <v>811.7879259855157</v>
      </c>
      <c r="D240" s="21">
        <f t="shared" ca="1" si="61"/>
        <v>158.48838682447538</v>
      </c>
      <c r="E240" s="196">
        <f t="shared" ca="1" si="55"/>
        <v>16415.210641606431</v>
      </c>
      <c r="F240" s="178">
        <f t="shared" ca="1" si="56"/>
        <v>3.6176696991943085</v>
      </c>
      <c r="G240" s="178">
        <f t="shared" ca="1" si="57"/>
        <v>26.319999999999997</v>
      </c>
      <c r="H240" s="177">
        <f t="shared" ca="1" si="58"/>
        <v>25</v>
      </c>
      <c r="I240" s="196"/>
      <c r="J240" s="9" t="str">
        <f t="shared" ca="1" si="48"/>
        <v/>
      </c>
      <c r="K240" s="9" t="str">
        <f t="shared" ca="1" si="49"/>
        <v/>
      </c>
      <c r="L240" s="9">
        <f t="shared" ca="1" si="50"/>
        <v>11</v>
      </c>
      <c r="N240" s="176">
        <f t="shared" ca="1" si="59"/>
        <v>31</v>
      </c>
      <c r="O240" s="176">
        <f t="shared" ca="1" si="62"/>
        <v>6750</v>
      </c>
      <c r="P240" s="175">
        <f t="shared" ca="1" si="51"/>
        <v>806.35436936936946</v>
      </c>
      <c r="Q240" s="11">
        <f t="shared" ca="1" si="52"/>
        <v>2.9930000000000002E-2</v>
      </c>
      <c r="R240" s="12">
        <f t="shared" ca="1" si="53"/>
        <v>24.134186275225229</v>
      </c>
    </row>
    <row r="241" spans="1:18">
      <c r="A241" s="198">
        <f t="shared" ca="1" si="63"/>
        <v>222</v>
      </c>
      <c r="B241" s="197">
        <f t="shared" ca="1" si="60"/>
        <v>51500</v>
      </c>
      <c r="C241" s="196">
        <f t="shared" ca="1" si="54"/>
        <v>811.7879259855157</v>
      </c>
      <c r="D241" s="21">
        <f t="shared" ca="1" si="61"/>
        <v>151.01993790528476</v>
      </c>
      <c r="E241" s="196">
        <f t="shared" ca="1" si="55"/>
        <v>15603.422715620914</v>
      </c>
      <c r="F241" s="178">
        <f t="shared" ca="1" si="56"/>
        <v>3.4471942347373505</v>
      </c>
      <c r="G241" s="178">
        <f t="shared" ca="1" si="57"/>
        <v>26.319999999999997</v>
      </c>
      <c r="H241" s="177">
        <f t="shared" ca="1" si="58"/>
        <v>25</v>
      </c>
      <c r="I241" s="196"/>
      <c r="J241" s="9" t="str">
        <f t="shared" ca="1" si="48"/>
        <v/>
      </c>
      <c r="K241" s="9" t="str">
        <f t="shared" ca="1" si="49"/>
        <v/>
      </c>
      <c r="L241" s="9">
        <f t="shared" ca="1" si="50"/>
        <v>12</v>
      </c>
      <c r="N241" s="176">
        <f t="shared" ca="1" si="59"/>
        <v>30</v>
      </c>
      <c r="O241" s="176">
        <f t="shared" ca="1" si="62"/>
        <v>6780</v>
      </c>
      <c r="P241" s="175">
        <f t="shared" ca="1" si="51"/>
        <v>806.35436936936946</v>
      </c>
      <c r="Q241" s="11">
        <f t="shared" ca="1" si="52"/>
        <v>2.9930000000000002E-2</v>
      </c>
      <c r="R241" s="12">
        <f t="shared" ca="1" si="53"/>
        <v>24.134186275225229</v>
      </c>
    </row>
    <row r="242" spans="1:18">
      <c r="A242" s="198">
        <f t="shared" ca="1" si="63"/>
        <v>223</v>
      </c>
      <c r="B242" s="197">
        <f t="shared" ca="1" si="60"/>
        <v>51531</v>
      </c>
      <c r="C242" s="196">
        <f t="shared" ca="1" si="54"/>
        <v>811.7879259855157</v>
      </c>
      <c r="D242" s="21">
        <f t="shared" ca="1" si="61"/>
        <v>143.55148898609409</v>
      </c>
      <c r="E242" s="196">
        <f t="shared" ca="1" si="55"/>
        <v>14791.634789635398</v>
      </c>
      <c r="F242" s="178">
        <f t="shared" ca="1" si="56"/>
        <v>3.2767187702803922</v>
      </c>
      <c r="G242" s="178">
        <f t="shared" ca="1" si="57"/>
        <v>26.319999999999997</v>
      </c>
      <c r="H242" s="177">
        <f t="shared" ca="1" si="58"/>
        <v>25</v>
      </c>
      <c r="I242" s="196"/>
      <c r="J242" s="9" t="str">
        <f t="shared" ca="1" si="48"/>
        <v/>
      </c>
      <c r="K242" s="9" t="str">
        <f t="shared" ca="1" si="49"/>
        <v/>
      </c>
      <c r="L242" s="9">
        <f t="shared" ca="1" si="50"/>
        <v>1</v>
      </c>
      <c r="N242" s="176">
        <f t="shared" ca="1" si="59"/>
        <v>31</v>
      </c>
      <c r="O242" s="176">
        <f t="shared" ca="1" si="62"/>
        <v>6811</v>
      </c>
      <c r="P242" s="175">
        <f t="shared" ca="1" si="51"/>
        <v>806.35436936936946</v>
      </c>
      <c r="Q242" s="11">
        <f t="shared" ca="1" si="52"/>
        <v>2.9930000000000002E-2</v>
      </c>
      <c r="R242" s="12">
        <f t="shared" ca="1" si="53"/>
        <v>24.134186275225229</v>
      </c>
    </row>
    <row r="243" spans="1:18">
      <c r="A243" s="198">
        <f t="shared" ca="1" si="63"/>
        <v>224</v>
      </c>
      <c r="B243" s="197">
        <f t="shared" ca="1" si="60"/>
        <v>51560</v>
      </c>
      <c r="C243" s="196">
        <f t="shared" ca="1" si="54"/>
        <v>811.7879259855157</v>
      </c>
      <c r="D243" s="21">
        <f t="shared" ca="1" si="61"/>
        <v>136.08304006690344</v>
      </c>
      <c r="E243" s="196">
        <f t="shared" ca="1" si="55"/>
        <v>13979.846863649882</v>
      </c>
      <c r="F243" s="178">
        <f t="shared" ca="1" si="56"/>
        <v>3.1062433058234338</v>
      </c>
      <c r="G243" s="178">
        <f t="shared" ca="1" si="57"/>
        <v>26.319999999999997</v>
      </c>
      <c r="H243" s="177">
        <f t="shared" ca="1" si="58"/>
        <v>25</v>
      </c>
      <c r="I243" s="196"/>
      <c r="J243" s="9" t="str">
        <f t="shared" ca="1" si="48"/>
        <v/>
      </c>
      <c r="K243" s="9" t="str">
        <f t="shared" ca="1" si="49"/>
        <v/>
      </c>
      <c r="L243" s="9">
        <f t="shared" ca="1" si="50"/>
        <v>2</v>
      </c>
      <c r="N243" s="176">
        <f t="shared" ca="1" si="59"/>
        <v>29</v>
      </c>
      <c r="O243" s="176">
        <f t="shared" ca="1" si="62"/>
        <v>6840</v>
      </c>
      <c r="P243" s="175">
        <f t="shared" ca="1" si="51"/>
        <v>806.35436936936946</v>
      </c>
      <c r="Q243" s="11">
        <f t="shared" ca="1" si="52"/>
        <v>2.9930000000000002E-2</v>
      </c>
      <c r="R243" s="12">
        <f t="shared" ca="1" si="53"/>
        <v>24.134186275225229</v>
      </c>
    </row>
    <row r="244" spans="1:18">
      <c r="A244" s="198">
        <f t="shared" ca="1" si="63"/>
        <v>225</v>
      </c>
      <c r="B244" s="197">
        <f t="shared" ca="1" si="60"/>
        <v>51590</v>
      </c>
      <c r="C244" s="196">
        <f t="shared" ca="1" si="54"/>
        <v>811.7879259855157</v>
      </c>
      <c r="D244" s="21">
        <f t="shared" ca="1" si="61"/>
        <v>128.61459114771276</v>
      </c>
      <c r="E244" s="196">
        <f t="shared" ca="1" si="55"/>
        <v>13168.058937664366</v>
      </c>
      <c r="F244" s="178">
        <f t="shared" ca="1" si="56"/>
        <v>2.9357678413664754</v>
      </c>
      <c r="G244" s="178">
        <f t="shared" ca="1" si="57"/>
        <v>26.319999999999997</v>
      </c>
      <c r="H244" s="177">
        <f t="shared" ca="1" si="58"/>
        <v>25</v>
      </c>
      <c r="I244" s="196"/>
      <c r="J244" s="9" t="str">
        <f t="shared" ca="1" si="48"/>
        <v/>
      </c>
      <c r="K244" s="9" t="str">
        <f t="shared" ca="1" si="49"/>
        <v/>
      </c>
      <c r="L244" s="9">
        <f t="shared" ca="1" si="50"/>
        <v>3</v>
      </c>
      <c r="N244" s="176">
        <f t="shared" ca="1" si="59"/>
        <v>30</v>
      </c>
      <c r="O244" s="176">
        <f t="shared" ca="1" si="62"/>
        <v>6870</v>
      </c>
      <c r="P244" s="175">
        <f t="shared" ca="1" si="51"/>
        <v>806.35436936936946</v>
      </c>
      <c r="Q244" s="11">
        <f t="shared" ca="1" si="52"/>
        <v>2.9930000000000002E-2</v>
      </c>
      <c r="R244" s="12">
        <f t="shared" ca="1" si="53"/>
        <v>24.134186275225229</v>
      </c>
    </row>
    <row r="245" spans="1:18">
      <c r="A245" s="198">
        <f t="shared" ca="1" si="63"/>
        <v>226</v>
      </c>
      <c r="B245" s="197">
        <f t="shared" ca="1" si="60"/>
        <v>51621</v>
      </c>
      <c r="C245" s="196">
        <f t="shared" ca="1" si="54"/>
        <v>811.7879259855157</v>
      </c>
      <c r="D245" s="21">
        <f t="shared" ca="1" si="61"/>
        <v>121.14614222852211</v>
      </c>
      <c r="E245" s="196">
        <f t="shared" ca="1" si="55"/>
        <v>12356.271011678849</v>
      </c>
      <c r="F245" s="178">
        <f t="shared" ca="1" si="56"/>
        <v>2.765292376909517</v>
      </c>
      <c r="G245" s="178">
        <f t="shared" ca="1" si="57"/>
        <v>26.319999999999997</v>
      </c>
      <c r="H245" s="177">
        <f t="shared" ca="1" si="58"/>
        <v>25</v>
      </c>
      <c r="I245" s="196"/>
      <c r="J245" s="9" t="str">
        <f t="shared" ca="1" si="48"/>
        <v/>
      </c>
      <c r="K245" s="9" t="str">
        <f t="shared" ca="1" si="49"/>
        <v/>
      </c>
      <c r="L245" s="9">
        <f t="shared" ca="1" si="50"/>
        <v>4</v>
      </c>
      <c r="N245" s="176">
        <f t="shared" ca="1" si="59"/>
        <v>31</v>
      </c>
      <c r="O245" s="176">
        <f t="shared" ca="1" si="62"/>
        <v>6901</v>
      </c>
      <c r="P245" s="175">
        <f t="shared" ca="1" si="51"/>
        <v>806.35436936936946</v>
      </c>
      <c r="Q245" s="11">
        <f t="shared" ca="1" si="52"/>
        <v>2.9930000000000002E-2</v>
      </c>
      <c r="R245" s="12">
        <f t="shared" ca="1" si="53"/>
        <v>24.134186275225229</v>
      </c>
    </row>
    <row r="246" spans="1:18">
      <c r="A246" s="198">
        <f t="shared" ca="1" si="63"/>
        <v>227</v>
      </c>
      <c r="B246" s="197">
        <f t="shared" ca="1" si="60"/>
        <v>51651</v>
      </c>
      <c r="C246" s="196">
        <f t="shared" ca="1" si="54"/>
        <v>811.7879259855157</v>
      </c>
      <c r="D246" s="21">
        <f t="shared" ca="1" si="61"/>
        <v>113.67769330933146</v>
      </c>
      <c r="E246" s="196">
        <f t="shared" ca="1" si="55"/>
        <v>11544.483085693333</v>
      </c>
      <c r="F246" s="178">
        <f t="shared" ca="1" si="56"/>
        <v>2.5948169124525586</v>
      </c>
      <c r="G246" s="178">
        <f t="shared" ca="1" si="57"/>
        <v>26.319999999999997</v>
      </c>
      <c r="H246" s="177">
        <f t="shared" ca="1" si="58"/>
        <v>25</v>
      </c>
      <c r="I246" s="196"/>
      <c r="J246" s="9" t="str">
        <f t="shared" ca="1" si="48"/>
        <v/>
      </c>
      <c r="K246" s="9" t="str">
        <f t="shared" ca="1" si="49"/>
        <v/>
      </c>
      <c r="L246" s="9">
        <f t="shared" ca="1" si="50"/>
        <v>5</v>
      </c>
      <c r="N246" s="176">
        <f t="shared" ca="1" si="59"/>
        <v>30</v>
      </c>
      <c r="O246" s="176">
        <f t="shared" ca="1" si="62"/>
        <v>6931</v>
      </c>
      <c r="P246" s="175">
        <f t="shared" ca="1" si="51"/>
        <v>806.35436936936946</v>
      </c>
      <c r="Q246" s="11">
        <f t="shared" ca="1" si="52"/>
        <v>2.9930000000000002E-2</v>
      </c>
      <c r="R246" s="12">
        <f t="shared" ca="1" si="53"/>
        <v>24.134186275225229</v>
      </c>
    </row>
    <row r="247" spans="1:18">
      <c r="A247" s="198">
        <f t="shared" ca="1" si="63"/>
        <v>228</v>
      </c>
      <c r="B247" s="197">
        <f t="shared" ca="1" si="60"/>
        <v>51682</v>
      </c>
      <c r="C247" s="196">
        <f t="shared" ca="1" si="54"/>
        <v>811.7879259855157</v>
      </c>
      <c r="D247" s="21">
        <f t="shared" ca="1" si="61"/>
        <v>106.2092443901408</v>
      </c>
      <c r="E247" s="196">
        <f t="shared" ca="1" si="55"/>
        <v>10732.695159707817</v>
      </c>
      <c r="F247" s="178">
        <f t="shared" ca="1" si="56"/>
        <v>2.4243414479956003</v>
      </c>
      <c r="G247" s="178">
        <f t="shared" ca="1" si="57"/>
        <v>26.319999999999997</v>
      </c>
      <c r="H247" s="177">
        <f t="shared" ca="1" si="58"/>
        <v>25</v>
      </c>
      <c r="I247" s="196"/>
      <c r="J247" s="9" t="str">
        <f t="shared" ca="1" si="48"/>
        <v/>
      </c>
      <c r="K247" s="9" t="str">
        <f t="shared" ca="1" si="49"/>
        <v/>
      </c>
      <c r="L247" s="9">
        <f t="shared" ca="1" si="50"/>
        <v>6</v>
      </c>
      <c r="N247" s="176">
        <f t="shared" ca="1" si="59"/>
        <v>31</v>
      </c>
      <c r="O247" s="176">
        <f t="shared" ca="1" si="62"/>
        <v>6962</v>
      </c>
      <c r="P247" s="175">
        <f t="shared" ca="1" si="51"/>
        <v>806.35436936936946</v>
      </c>
      <c r="Q247" s="11">
        <f t="shared" ca="1" si="52"/>
        <v>2.9930000000000002E-2</v>
      </c>
      <c r="R247" s="12">
        <f t="shared" ca="1" si="53"/>
        <v>24.134186275225229</v>
      </c>
    </row>
    <row r="248" spans="1:18">
      <c r="A248" s="198" t="str">
        <f t="shared" ca="1" si="63"/>
        <v/>
      </c>
      <c r="B248" s="197" t="str">
        <f t="shared" ca="1" si="60"/>
        <v/>
      </c>
      <c r="C248" s="196">
        <f t="shared" ca="1" si="54"/>
        <v>0</v>
      </c>
      <c r="D248" s="21" t="str">
        <f t="shared" ca="1" si="61"/>
        <v/>
      </c>
      <c r="E248" s="196">
        <f t="shared" ca="1" si="55"/>
        <v>10732.695159707817</v>
      </c>
      <c r="F248" s="178" t="str">
        <f t="shared" ca="1" si="56"/>
        <v/>
      </c>
      <c r="G248" s="178" t="str">
        <f t="shared" ca="1" si="57"/>
        <v/>
      </c>
      <c r="H248" s="177" t="str">
        <f t="shared" ca="1" si="58"/>
        <v/>
      </c>
      <c r="I248" s="196"/>
      <c r="J248" s="9" t="str">
        <f t="shared" ca="1" si="48"/>
        <v/>
      </c>
      <c r="K248" s="9" t="str">
        <f t="shared" ca="1" si="49"/>
        <v/>
      </c>
      <c r="L248" s="9" t="str">
        <f t="shared" ca="1" si="50"/>
        <v/>
      </c>
      <c r="N248" s="176" t="str">
        <f t="shared" ca="1" si="59"/>
        <v/>
      </c>
      <c r="O248" s="176" t="str">
        <f t="shared" ca="1" si="62"/>
        <v/>
      </c>
      <c r="P248" s="175" t="str">
        <f t="shared" ca="1" si="51"/>
        <v/>
      </c>
      <c r="Q248" s="11" t="str">
        <f t="shared" ca="1" si="52"/>
        <v/>
      </c>
      <c r="R248" s="12" t="str">
        <f t="shared" ca="1" si="53"/>
        <v/>
      </c>
    </row>
    <row r="249" spans="1:18">
      <c r="A249" s="198" t="str">
        <f t="shared" ca="1" si="63"/>
        <v/>
      </c>
      <c r="B249" s="197" t="str">
        <f t="shared" ca="1" si="60"/>
        <v/>
      </c>
      <c r="C249" s="196">
        <f t="shared" ca="1" si="54"/>
        <v>0</v>
      </c>
      <c r="D249" s="21" t="str">
        <f t="shared" ca="1" si="61"/>
        <v/>
      </c>
      <c r="E249" s="196">
        <f t="shared" ca="1" si="55"/>
        <v>10732.695159707817</v>
      </c>
      <c r="F249" s="178" t="str">
        <f t="shared" ca="1" si="56"/>
        <v/>
      </c>
      <c r="G249" s="178" t="str">
        <f t="shared" ca="1" si="57"/>
        <v/>
      </c>
      <c r="H249" s="177" t="str">
        <f t="shared" ca="1" si="58"/>
        <v/>
      </c>
      <c r="I249" s="196"/>
      <c r="J249" s="9" t="str">
        <f t="shared" ca="1" si="48"/>
        <v/>
      </c>
      <c r="K249" s="9" t="str">
        <f t="shared" ca="1" si="49"/>
        <v/>
      </c>
      <c r="L249" s="9" t="str">
        <f t="shared" ca="1" si="50"/>
        <v/>
      </c>
      <c r="N249" s="176" t="str">
        <f t="shared" ca="1" si="59"/>
        <v/>
      </c>
      <c r="O249" s="176" t="str">
        <f t="shared" ca="1" si="62"/>
        <v/>
      </c>
      <c r="P249" s="175" t="str">
        <f t="shared" ca="1" si="51"/>
        <v/>
      </c>
      <c r="Q249" s="11" t="str">
        <f t="shared" ca="1" si="52"/>
        <v/>
      </c>
      <c r="R249" s="12" t="str">
        <f t="shared" ca="1" si="53"/>
        <v/>
      </c>
    </row>
    <row r="250" spans="1:18">
      <c r="A250" s="198" t="str">
        <f t="shared" ca="1" si="63"/>
        <v/>
      </c>
      <c r="B250" s="197" t="str">
        <f t="shared" ca="1" si="60"/>
        <v/>
      </c>
      <c r="C250" s="196">
        <f t="shared" ca="1" si="54"/>
        <v>0</v>
      </c>
      <c r="D250" s="21" t="str">
        <f t="shared" ca="1" si="61"/>
        <v/>
      </c>
      <c r="E250" s="196">
        <f t="shared" ca="1" si="55"/>
        <v>10732.695159707817</v>
      </c>
      <c r="F250" s="178" t="str">
        <f t="shared" ca="1" si="56"/>
        <v/>
      </c>
      <c r="G250" s="178" t="str">
        <f t="shared" ca="1" si="57"/>
        <v/>
      </c>
      <c r="H250" s="177" t="str">
        <f t="shared" ca="1" si="58"/>
        <v/>
      </c>
      <c r="I250" s="196"/>
      <c r="J250" s="9" t="str">
        <f t="shared" ca="1" si="48"/>
        <v/>
      </c>
      <c r="K250" s="9" t="str">
        <f t="shared" ca="1" si="49"/>
        <v/>
      </c>
      <c r="L250" s="9" t="str">
        <f t="shared" ca="1" si="50"/>
        <v/>
      </c>
      <c r="N250" s="176" t="str">
        <f t="shared" ca="1" si="59"/>
        <v/>
      </c>
      <c r="O250" s="176" t="str">
        <f t="shared" ca="1" si="62"/>
        <v/>
      </c>
      <c r="P250" s="175" t="str">
        <f t="shared" ca="1" si="51"/>
        <v/>
      </c>
      <c r="Q250" s="11" t="str">
        <f t="shared" ca="1" si="52"/>
        <v/>
      </c>
      <c r="R250" s="12" t="str">
        <f t="shared" ca="1" si="53"/>
        <v/>
      </c>
    </row>
    <row r="251" spans="1:18">
      <c r="A251" s="198" t="str">
        <f t="shared" ca="1" si="63"/>
        <v/>
      </c>
      <c r="B251" s="197" t="str">
        <f t="shared" ca="1" si="60"/>
        <v/>
      </c>
      <c r="C251" s="196">
        <f t="shared" ca="1" si="54"/>
        <v>0</v>
      </c>
      <c r="D251" s="21" t="str">
        <f t="shared" ca="1" si="61"/>
        <v/>
      </c>
      <c r="E251" s="196">
        <f t="shared" ca="1" si="55"/>
        <v>10732.695159707817</v>
      </c>
      <c r="F251" s="178" t="str">
        <f t="shared" ca="1" si="56"/>
        <v/>
      </c>
      <c r="G251" s="178" t="str">
        <f t="shared" ca="1" si="57"/>
        <v/>
      </c>
      <c r="H251" s="177" t="str">
        <f t="shared" ca="1" si="58"/>
        <v/>
      </c>
      <c r="I251" s="196"/>
      <c r="J251" s="9" t="str">
        <f t="shared" ca="1" si="48"/>
        <v/>
      </c>
      <c r="K251" s="9" t="str">
        <f t="shared" ca="1" si="49"/>
        <v/>
      </c>
      <c r="L251" s="9" t="str">
        <f t="shared" ca="1" si="50"/>
        <v/>
      </c>
      <c r="N251" s="176" t="str">
        <f t="shared" ca="1" si="59"/>
        <v/>
      </c>
      <c r="O251" s="176" t="str">
        <f t="shared" ca="1" si="62"/>
        <v/>
      </c>
      <c r="P251" s="175" t="str">
        <f t="shared" ca="1" si="51"/>
        <v/>
      </c>
      <c r="Q251" s="11" t="str">
        <f t="shared" ca="1" si="52"/>
        <v/>
      </c>
      <c r="R251" s="12" t="str">
        <f t="shared" ca="1" si="53"/>
        <v/>
      </c>
    </row>
    <row r="252" spans="1:18">
      <c r="A252" s="198" t="str">
        <f t="shared" ca="1" si="63"/>
        <v/>
      </c>
      <c r="B252" s="197" t="str">
        <f t="shared" ca="1" si="60"/>
        <v/>
      </c>
      <c r="C252" s="196">
        <f t="shared" ca="1" si="54"/>
        <v>0</v>
      </c>
      <c r="D252" s="21" t="str">
        <f t="shared" ca="1" si="61"/>
        <v/>
      </c>
      <c r="E252" s="196">
        <f t="shared" ca="1" si="55"/>
        <v>10732.695159707817</v>
      </c>
      <c r="F252" s="178" t="str">
        <f t="shared" ca="1" si="56"/>
        <v/>
      </c>
      <c r="G252" s="178" t="str">
        <f t="shared" ca="1" si="57"/>
        <v/>
      </c>
      <c r="H252" s="177" t="str">
        <f t="shared" ca="1" si="58"/>
        <v/>
      </c>
      <c r="I252" s="196"/>
      <c r="J252" s="9" t="str">
        <f t="shared" ca="1" si="48"/>
        <v/>
      </c>
      <c r="K252" s="9" t="str">
        <f t="shared" ca="1" si="49"/>
        <v/>
      </c>
      <c r="L252" s="9" t="str">
        <f t="shared" ca="1" si="50"/>
        <v/>
      </c>
      <c r="N252" s="176" t="str">
        <f t="shared" ca="1" si="59"/>
        <v/>
      </c>
      <c r="O252" s="176" t="str">
        <f t="shared" ca="1" si="62"/>
        <v/>
      </c>
      <c r="P252" s="175" t="str">
        <f t="shared" ca="1" si="51"/>
        <v/>
      </c>
      <c r="Q252" s="11" t="str">
        <f t="shared" ca="1" si="52"/>
        <v/>
      </c>
      <c r="R252" s="12" t="str">
        <f t="shared" ca="1" si="53"/>
        <v/>
      </c>
    </row>
    <row r="253" spans="1:18">
      <c r="A253" s="198" t="str">
        <f t="shared" ca="1" si="63"/>
        <v/>
      </c>
      <c r="B253" s="197" t="str">
        <f t="shared" ca="1" si="60"/>
        <v/>
      </c>
      <c r="C253" s="196">
        <f t="shared" ca="1" si="54"/>
        <v>0</v>
      </c>
      <c r="D253" s="21" t="str">
        <f t="shared" ca="1" si="61"/>
        <v/>
      </c>
      <c r="E253" s="196">
        <f t="shared" ca="1" si="55"/>
        <v>10732.695159707817</v>
      </c>
      <c r="F253" s="178" t="str">
        <f t="shared" ca="1" si="56"/>
        <v/>
      </c>
      <c r="G253" s="178" t="str">
        <f t="shared" ca="1" si="57"/>
        <v/>
      </c>
      <c r="H253" s="177" t="str">
        <f t="shared" ca="1" si="58"/>
        <v/>
      </c>
      <c r="I253" s="196"/>
      <c r="J253" s="9" t="str">
        <f t="shared" ca="1" si="48"/>
        <v/>
      </c>
      <c r="K253" s="9" t="str">
        <f t="shared" ca="1" si="49"/>
        <v/>
      </c>
      <c r="L253" s="9" t="str">
        <f t="shared" ca="1" si="50"/>
        <v/>
      </c>
      <c r="N253" s="176" t="str">
        <f t="shared" ca="1" si="59"/>
        <v/>
      </c>
      <c r="O253" s="176" t="str">
        <f t="shared" ca="1" si="62"/>
        <v/>
      </c>
      <c r="P253" s="175" t="str">
        <f t="shared" ca="1" si="51"/>
        <v/>
      </c>
      <c r="Q253" s="11" t="str">
        <f t="shared" ca="1" si="52"/>
        <v/>
      </c>
      <c r="R253" s="12" t="str">
        <f t="shared" ca="1" si="53"/>
        <v/>
      </c>
    </row>
    <row r="254" spans="1:18">
      <c r="A254" s="198" t="str">
        <f t="shared" ca="1" si="63"/>
        <v/>
      </c>
      <c r="B254" s="197" t="str">
        <f t="shared" ca="1" si="60"/>
        <v/>
      </c>
      <c r="C254" s="196">
        <f t="shared" ca="1" si="54"/>
        <v>0</v>
      </c>
      <c r="D254" s="21" t="str">
        <f t="shared" ca="1" si="61"/>
        <v/>
      </c>
      <c r="E254" s="196">
        <f t="shared" ca="1" si="55"/>
        <v>10732.695159707817</v>
      </c>
      <c r="F254" s="178" t="str">
        <f t="shared" ca="1" si="56"/>
        <v/>
      </c>
      <c r="G254" s="178" t="str">
        <f t="shared" ca="1" si="57"/>
        <v/>
      </c>
      <c r="H254" s="177" t="str">
        <f t="shared" ca="1" si="58"/>
        <v/>
      </c>
      <c r="I254" s="196"/>
      <c r="J254" s="9" t="str">
        <f t="shared" ca="1" si="48"/>
        <v/>
      </c>
      <c r="K254" s="9" t="str">
        <f t="shared" ca="1" si="49"/>
        <v/>
      </c>
      <c r="L254" s="9" t="str">
        <f t="shared" ca="1" si="50"/>
        <v/>
      </c>
      <c r="N254" s="176" t="str">
        <f t="shared" ca="1" si="59"/>
        <v/>
      </c>
      <c r="O254" s="176" t="str">
        <f t="shared" ca="1" si="62"/>
        <v/>
      </c>
      <c r="P254" s="175" t="str">
        <f t="shared" ca="1" si="51"/>
        <v/>
      </c>
      <c r="Q254" s="11" t="str">
        <f t="shared" ca="1" si="52"/>
        <v/>
      </c>
      <c r="R254" s="12" t="str">
        <f t="shared" ca="1" si="53"/>
        <v/>
      </c>
    </row>
    <row r="255" spans="1:18">
      <c r="A255" s="198" t="str">
        <f t="shared" ca="1" si="63"/>
        <v/>
      </c>
      <c r="B255" s="197" t="str">
        <f t="shared" ca="1" si="60"/>
        <v/>
      </c>
      <c r="C255" s="196">
        <f t="shared" ca="1" si="54"/>
        <v>0</v>
      </c>
      <c r="D255" s="21" t="str">
        <f t="shared" ca="1" si="61"/>
        <v/>
      </c>
      <c r="E255" s="196">
        <f t="shared" ca="1" si="55"/>
        <v>10732.695159707817</v>
      </c>
      <c r="F255" s="178" t="str">
        <f t="shared" ca="1" si="56"/>
        <v/>
      </c>
      <c r="G255" s="178" t="str">
        <f t="shared" ca="1" si="57"/>
        <v/>
      </c>
      <c r="H255" s="177" t="str">
        <f t="shared" ca="1" si="58"/>
        <v/>
      </c>
      <c r="I255" s="196"/>
      <c r="J255" s="9" t="str">
        <f t="shared" ca="1" si="48"/>
        <v/>
      </c>
      <c r="K255" s="9" t="str">
        <f t="shared" ca="1" si="49"/>
        <v/>
      </c>
      <c r="L255" s="9" t="str">
        <f t="shared" ca="1" si="50"/>
        <v/>
      </c>
      <c r="N255" s="176" t="str">
        <f t="shared" ca="1" si="59"/>
        <v/>
      </c>
      <c r="O255" s="176" t="str">
        <f t="shared" ca="1" si="62"/>
        <v/>
      </c>
      <c r="P255" s="175" t="str">
        <f t="shared" ca="1" si="51"/>
        <v/>
      </c>
      <c r="Q255" s="11" t="str">
        <f t="shared" ca="1" si="52"/>
        <v/>
      </c>
      <c r="R255" s="12" t="str">
        <f t="shared" ca="1" si="53"/>
        <v/>
      </c>
    </row>
    <row r="256" spans="1:18">
      <c r="A256" s="198" t="str">
        <f t="shared" ca="1" si="63"/>
        <v/>
      </c>
      <c r="B256" s="197" t="str">
        <f t="shared" ca="1" si="60"/>
        <v/>
      </c>
      <c r="C256" s="196">
        <f t="shared" ca="1" si="54"/>
        <v>0</v>
      </c>
      <c r="D256" s="21" t="str">
        <f t="shared" ca="1" si="61"/>
        <v/>
      </c>
      <c r="E256" s="196">
        <f t="shared" ca="1" si="55"/>
        <v>10732.695159707817</v>
      </c>
      <c r="F256" s="178" t="str">
        <f t="shared" ca="1" si="56"/>
        <v/>
      </c>
      <c r="G256" s="178" t="str">
        <f t="shared" ca="1" si="57"/>
        <v/>
      </c>
      <c r="H256" s="177" t="str">
        <f t="shared" ca="1" si="58"/>
        <v/>
      </c>
      <c r="I256" s="196"/>
      <c r="J256" s="9" t="str">
        <f t="shared" ca="1" si="48"/>
        <v/>
      </c>
      <c r="K256" s="9" t="str">
        <f t="shared" ca="1" si="49"/>
        <v/>
      </c>
      <c r="L256" s="9" t="str">
        <f t="shared" ca="1" si="50"/>
        <v/>
      </c>
      <c r="N256" s="176" t="str">
        <f t="shared" ca="1" si="59"/>
        <v/>
      </c>
      <c r="O256" s="176" t="str">
        <f t="shared" ca="1" si="62"/>
        <v/>
      </c>
      <c r="P256" s="175" t="str">
        <f t="shared" ca="1" si="51"/>
        <v/>
      </c>
      <c r="Q256" s="11" t="str">
        <f t="shared" ca="1" si="52"/>
        <v/>
      </c>
      <c r="R256" s="12" t="str">
        <f t="shared" ca="1" si="53"/>
        <v/>
      </c>
    </row>
    <row r="257" spans="1:18">
      <c r="A257" s="198" t="str">
        <f t="shared" ca="1" si="63"/>
        <v/>
      </c>
      <c r="B257" s="197" t="str">
        <f t="shared" ca="1" si="60"/>
        <v/>
      </c>
      <c r="C257" s="196">
        <f t="shared" ca="1" si="54"/>
        <v>0</v>
      </c>
      <c r="D257" s="21" t="str">
        <f t="shared" ca="1" si="61"/>
        <v/>
      </c>
      <c r="E257" s="196">
        <f t="shared" ca="1" si="55"/>
        <v>10732.695159707817</v>
      </c>
      <c r="F257" s="178" t="str">
        <f t="shared" ca="1" si="56"/>
        <v/>
      </c>
      <c r="G257" s="178" t="str">
        <f t="shared" ca="1" si="57"/>
        <v/>
      </c>
      <c r="H257" s="177" t="str">
        <f t="shared" ca="1" si="58"/>
        <v/>
      </c>
      <c r="I257" s="196"/>
      <c r="J257" s="9" t="str">
        <f t="shared" ca="1" si="48"/>
        <v/>
      </c>
      <c r="K257" s="9" t="str">
        <f t="shared" ca="1" si="49"/>
        <v/>
      </c>
      <c r="L257" s="9" t="str">
        <f t="shared" ca="1" si="50"/>
        <v/>
      </c>
      <c r="N257" s="176" t="str">
        <f t="shared" ca="1" si="59"/>
        <v/>
      </c>
      <c r="O257" s="176" t="str">
        <f t="shared" ca="1" si="62"/>
        <v/>
      </c>
      <c r="P257" s="175" t="str">
        <f t="shared" ca="1" si="51"/>
        <v/>
      </c>
      <c r="Q257" s="11" t="str">
        <f t="shared" ca="1" si="52"/>
        <v/>
      </c>
      <c r="R257" s="12" t="str">
        <f t="shared" ca="1" si="53"/>
        <v/>
      </c>
    </row>
    <row r="258" spans="1:18">
      <c r="A258" s="198" t="str">
        <f t="shared" ca="1" si="63"/>
        <v/>
      </c>
      <c r="B258" s="197" t="str">
        <f t="shared" ca="1" si="60"/>
        <v/>
      </c>
      <c r="C258" s="196">
        <f t="shared" ca="1" si="54"/>
        <v>0</v>
      </c>
      <c r="D258" s="21" t="str">
        <f t="shared" ca="1" si="61"/>
        <v/>
      </c>
      <c r="E258" s="196">
        <f t="shared" ca="1" si="55"/>
        <v>10732.695159707817</v>
      </c>
      <c r="F258" s="178" t="str">
        <f t="shared" ca="1" si="56"/>
        <v/>
      </c>
      <c r="G258" s="178" t="str">
        <f t="shared" ca="1" si="57"/>
        <v/>
      </c>
      <c r="H258" s="177" t="str">
        <f t="shared" ca="1" si="58"/>
        <v/>
      </c>
      <c r="I258" s="196"/>
      <c r="J258" s="9" t="str">
        <f t="shared" ca="1" si="48"/>
        <v/>
      </c>
      <c r="K258" s="9" t="str">
        <f t="shared" ca="1" si="49"/>
        <v/>
      </c>
      <c r="L258" s="9" t="str">
        <f t="shared" ca="1" si="50"/>
        <v/>
      </c>
      <c r="N258" s="176" t="str">
        <f t="shared" ca="1" si="59"/>
        <v/>
      </c>
      <c r="O258" s="176" t="str">
        <f t="shared" ca="1" si="62"/>
        <v/>
      </c>
      <c r="P258" s="175" t="str">
        <f t="shared" ca="1" si="51"/>
        <v/>
      </c>
      <c r="Q258" s="11" t="str">
        <f t="shared" ca="1" si="52"/>
        <v/>
      </c>
      <c r="R258" s="12" t="str">
        <f t="shared" ca="1" si="53"/>
        <v/>
      </c>
    </row>
    <row r="259" spans="1:18">
      <c r="A259" s="198" t="str">
        <f t="shared" ca="1" si="63"/>
        <v/>
      </c>
      <c r="B259" s="197" t="str">
        <f t="shared" ca="1" si="60"/>
        <v/>
      </c>
      <c r="C259" s="196">
        <f t="shared" ca="1" si="54"/>
        <v>0</v>
      </c>
      <c r="D259" s="21" t="str">
        <f t="shared" ca="1" si="61"/>
        <v/>
      </c>
      <c r="E259" s="196">
        <f t="shared" ca="1" si="55"/>
        <v>10732.695159707817</v>
      </c>
      <c r="F259" s="178" t="str">
        <f t="shared" ca="1" si="56"/>
        <v/>
      </c>
      <c r="G259" s="178" t="str">
        <f t="shared" ca="1" si="57"/>
        <v/>
      </c>
      <c r="H259" s="177" t="str">
        <f t="shared" ca="1" si="58"/>
        <v/>
      </c>
      <c r="I259" s="196"/>
      <c r="J259" s="9" t="str">
        <f t="shared" ca="1" si="48"/>
        <v/>
      </c>
      <c r="K259" s="9" t="str">
        <f t="shared" ca="1" si="49"/>
        <v/>
      </c>
      <c r="L259" s="9" t="str">
        <f t="shared" ca="1" si="50"/>
        <v/>
      </c>
      <c r="N259" s="176" t="str">
        <f t="shared" ca="1" si="59"/>
        <v/>
      </c>
      <c r="O259" s="176" t="str">
        <f t="shared" ca="1" si="62"/>
        <v/>
      </c>
      <c r="P259" s="175" t="str">
        <f t="shared" ca="1" si="51"/>
        <v/>
      </c>
      <c r="Q259" s="11" t="str">
        <f t="shared" ca="1" si="52"/>
        <v/>
      </c>
      <c r="R259" s="12" t="str">
        <f t="shared" ca="1" si="53"/>
        <v/>
      </c>
    </row>
    <row r="260" spans="1:18">
      <c r="A260" s="198" t="str">
        <f t="shared" ca="1" si="63"/>
        <v/>
      </c>
      <c r="B260" s="197" t="str">
        <f t="shared" ca="1" si="60"/>
        <v/>
      </c>
      <c r="C260" s="196">
        <f t="shared" ca="1" si="54"/>
        <v>0</v>
      </c>
      <c r="D260" s="21" t="str">
        <f t="shared" ca="1" si="61"/>
        <v/>
      </c>
      <c r="E260" s="196">
        <f t="shared" ca="1" si="55"/>
        <v>10732.695159707817</v>
      </c>
      <c r="F260" s="178" t="str">
        <f t="shared" ca="1" si="56"/>
        <v/>
      </c>
      <c r="G260" s="178" t="str">
        <f t="shared" ca="1" si="57"/>
        <v/>
      </c>
      <c r="H260" s="177" t="str">
        <f t="shared" ca="1" si="58"/>
        <v/>
      </c>
      <c r="I260" s="196"/>
      <c r="J260" s="9" t="str">
        <f t="shared" ca="1" si="48"/>
        <v/>
      </c>
      <c r="K260" s="9" t="str">
        <f t="shared" ca="1" si="49"/>
        <v/>
      </c>
      <c r="L260" s="9" t="str">
        <f t="shared" ca="1" si="50"/>
        <v/>
      </c>
      <c r="N260" s="176" t="str">
        <f t="shared" ca="1" si="59"/>
        <v/>
      </c>
      <c r="O260" s="176" t="str">
        <f t="shared" ca="1" si="62"/>
        <v/>
      </c>
      <c r="P260" s="175" t="str">
        <f t="shared" ca="1" si="51"/>
        <v/>
      </c>
      <c r="Q260" s="11" t="str">
        <f t="shared" ca="1" si="52"/>
        <v/>
      </c>
      <c r="R260" s="12" t="str">
        <f t="shared" ca="1" si="53"/>
        <v/>
      </c>
    </row>
    <row r="261" spans="1:18">
      <c r="A261" s="198" t="str">
        <f t="shared" ca="1" si="63"/>
        <v/>
      </c>
      <c r="B261" s="197" t="str">
        <f t="shared" ca="1" si="60"/>
        <v/>
      </c>
      <c r="C261" s="196">
        <f t="shared" ca="1" si="54"/>
        <v>0</v>
      </c>
      <c r="D261" s="21" t="str">
        <f t="shared" ca="1" si="61"/>
        <v/>
      </c>
      <c r="E261" s="196">
        <f t="shared" ca="1" si="55"/>
        <v>10732.695159707817</v>
      </c>
      <c r="F261" s="178" t="str">
        <f t="shared" ca="1" si="56"/>
        <v/>
      </c>
      <c r="G261" s="178" t="str">
        <f t="shared" ca="1" si="57"/>
        <v/>
      </c>
      <c r="H261" s="177" t="str">
        <f t="shared" ca="1" si="58"/>
        <v/>
      </c>
      <c r="I261" s="196"/>
      <c r="J261" s="9" t="str">
        <f t="shared" ca="1" si="48"/>
        <v/>
      </c>
      <c r="K261" s="9" t="str">
        <f t="shared" ca="1" si="49"/>
        <v/>
      </c>
      <c r="L261" s="9" t="str">
        <f t="shared" ca="1" si="50"/>
        <v/>
      </c>
      <c r="N261" s="176" t="str">
        <f t="shared" ca="1" si="59"/>
        <v/>
      </c>
      <c r="O261" s="176" t="str">
        <f t="shared" ca="1" si="62"/>
        <v/>
      </c>
      <c r="P261" s="175" t="str">
        <f t="shared" ca="1" si="51"/>
        <v/>
      </c>
      <c r="Q261" s="11" t="str">
        <f t="shared" ca="1" si="52"/>
        <v/>
      </c>
      <c r="R261" s="12" t="str">
        <f t="shared" ca="1" si="53"/>
        <v/>
      </c>
    </row>
    <row r="262" spans="1:18">
      <c r="A262" s="198" t="str">
        <f t="shared" ca="1" si="63"/>
        <v/>
      </c>
      <c r="B262" s="197" t="str">
        <f t="shared" ca="1" si="60"/>
        <v/>
      </c>
      <c r="C262" s="196">
        <f t="shared" ca="1" si="54"/>
        <v>0</v>
      </c>
      <c r="D262" s="21" t="str">
        <f t="shared" ca="1" si="61"/>
        <v/>
      </c>
      <c r="E262" s="196">
        <f t="shared" ca="1" si="55"/>
        <v>10732.695159707817</v>
      </c>
      <c r="F262" s="178" t="str">
        <f t="shared" ca="1" si="56"/>
        <v/>
      </c>
      <c r="G262" s="178" t="str">
        <f t="shared" ca="1" si="57"/>
        <v/>
      </c>
      <c r="H262" s="177" t="str">
        <f t="shared" ca="1" si="58"/>
        <v/>
      </c>
      <c r="I262" s="196"/>
      <c r="J262" s="9" t="str">
        <f t="shared" ca="1" si="48"/>
        <v/>
      </c>
      <c r="K262" s="9" t="str">
        <f t="shared" ca="1" si="49"/>
        <v/>
      </c>
      <c r="L262" s="9" t="str">
        <f t="shared" ca="1" si="50"/>
        <v/>
      </c>
      <c r="N262" s="176" t="str">
        <f t="shared" ca="1" si="59"/>
        <v/>
      </c>
      <c r="O262" s="176" t="str">
        <f t="shared" ca="1" si="62"/>
        <v/>
      </c>
      <c r="P262" s="175" t="str">
        <f t="shared" ca="1" si="51"/>
        <v/>
      </c>
      <c r="Q262" s="11" t="str">
        <f t="shared" ca="1" si="52"/>
        <v/>
      </c>
      <c r="R262" s="12" t="str">
        <f t="shared" ca="1" si="53"/>
        <v/>
      </c>
    </row>
    <row r="263" spans="1:18">
      <c r="A263" s="198" t="str">
        <f t="shared" ca="1" si="63"/>
        <v/>
      </c>
      <c r="B263" s="197" t="str">
        <f t="shared" ca="1" si="60"/>
        <v/>
      </c>
      <c r="C263" s="196">
        <f t="shared" ca="1" si="54"/>
        <v>0</v>
      </c>
      <c r="D263" s="21" t="str">
        <f t="shared" ca="1" si="61"/>
        <v/>
      </c>
      <c r="E263" s="196">
        <f t="shared" ca="1" si="55"/>
        <v>10732.695159707817</v>
      </c>
      <c r="F263" s="178" t="str">
        <f t="shared" ca="1" si="56"/>
        <v/>
      </c>
      <c r="G263" s="178" t="str">
        <f t="shared" ca="1" si="57"/>
        <v/>
      </c>
      <c r="H263" s="177" t="str">
        <f t="shared" ca="1" si="58"/>
        <v/>
      </c>
      <c r="I263" s="196"/>
      <c r="J263" s="9" t="str">
        <f t="shared" ca="1" si="48"/>
        <v/>
      </c>
      <c r="K263" s="9" t="str">
        <f t="shared" ca="1" si="49"/>
        <v/>
      </c>
      <c r="L263" s="9" t="str">
        <f t="shared" ca="1" si="50"/>
        <v/>
      </c>
      <c r="N263" s="176" t="str">
        <f t="shared" ca="1" si="59"/>
        <v/>
      </c>
      <c r="O263" s="176" t="str">
        <f t="shared" ca="1" si="62"/>
        <v/>
      </c>
      <c r="P263" s="175" t="str">
        <f t="shared" ca="1" si="51"/>
        <v/>
      </c>
      <c r="Q263" s="11" t="str">
        <f t="shared" ca="1" si="52"/>
        <v/>
      </c>
      <c r="R263" s="12" t="str">
        <f t="shared" ca="1" si="53"/>
        <v/>
      </c>
    </row>
    <row r="264" spans="1:18">
      <c r="A264" s="198" t="str">
        <f t="shared" ca="1" si="63"/>
        <v/>
      </c>
      <c r="B264" s="197" t="str">
        <f t="shared" ca="1" si="60"/>
        <v/>
      </c>
      <c r="C264" s="196">
        <f t="shared" ca="1" si="54"/>
        <v>0</v>
      </c>
      <c r="D264" s="21" t="str">
        <f t="shared" ca="1" si="61"/>
        <v/>
      </c>
      <c r="E264" s="196">
        <f t="shared" ca="1" si="55"/>
        <v>10732.695159707817</v>
      </c>
      <c r="F264" s="178" t="str">
        <f t="shared" ca="1" si="56"/>
        <v/>
      </c>
      <c r="G264" s="178" t="str">
        <f t="shared" ca="1" si="57"/>
        <v/>
      </c>
      <c r="H264" s="177" t="str">
        <f t="shared" ca="1" si="58"/>
        <v/>
      </c>
      <c r="I264" s="196"/>
      <c r="J264" s="9" t="str">
        <f t="shared" ca="1" si="48"/>
        <v/>
      </c>
      <c r="K264" s="9" t="str">
        <f t="shared" ca="1" si="49"/>
        <v/>
      </c>
      <c r="L264" s="9" t="str">
        <f t="shared" ca="1" si="50"/>
        <v/>
      </c>
      <c r="N264" s="176" t="str">
        <f t="shared" ca="1" si="59"/>
        <v/>
      </c>
      <c r="O264" s="176" t="str">
        <f t="shared" ca="1" si="62"/>
        <v/>
      </c>
      <c r="P264" s="175" t="str">
        <f t="shared" ca="1" si="51"/>
        <v/>
      </c>
      <c r="Q264" s="11" t="str">
        <f t="shared" ca="1" si="52"/>
        <v/>
      </c>
      <c r="R264" s="12" t="str">
        <f t="shared" ca="1" si="53"/>
        <v/>
      </c>
    </row>
    <row r="265" spans="1:18">
      <c r="A265" s="198" t="str">
        <f t="shared" ca="1" si="63"/>
        <v/>
      </c>
      <c r="B265" s="197" t="str">
        <f t="shared" ca="1" si="60"/>
        <v/>
      </c>
      <c r="C265" s="196">
        <f t="shared" ca="1" si="54"/>
        <v>0</v>
      </c>
      <c r="D265" s="21" t="str">
        <f t="shared" ca="1" si="61"/>
        <v/>
      </c>
      <c r="E265" s="196">
        <f t="shared" ca="1" si="55"/>
        <v>10732.695159707817</v>
      </c>
      <c r="F265" s="178" t="str">
        <f t="shared" ca="1" si="56"/>
        <v/>
      </c>
      <c r="G265" s="178" t="str">
        <f t="shared" ca="1" si="57"/>
        <v/>
      </c>
      <c r="H265" s="177" t="str">
        <f t="shared" ca="1" si="58"/>
        <v/>
      </c>
      <c r="I265" s="196"/>
      <c r="J265" s="9" t="str">
        <f t="shared" ca="1" si="48"/>
        <v/>
      </c>
      <c r="K265" s="9" t="str">
        <f t="shared" ca="1" si="49"/>
        <v/>
      </c>
      <c r="L265" s="9" t="str">
        <f t="shared" ca="1" si="50"/>
        <v/>
      </c>
      <c r="N265" s="176" t="str">
        <f t="shared" ca="1" si="59"/>
        <v/>
      </c>
      <c r="O265" s="176" t="str">
        <f t="shared" ca="1" si="62"/>
        <v/>
      </c>
      <c r="P265" s="175" t="str">
        <f t="shared" ca="1" si="51"/>
        <v/>
      </c>
      <c r="Q265" s="11" t="str">
        <f t="shared" ca="1" si="52"/>
        <v/>
      </c>
      <c r="R265" s="12" t="str">
        <f t="shared" ca="1" si="53"/>
        <v/>
      </c>
    </row>
    <row r="266" spans="1:18">
      <c r="A266" s="198" t="str">
        <f t="shared" ca="1" si="63"/>
        <v/>
      </c>
      <c r="B266" s="197" t="str">
        <f t="shared" ca="1" si="60"/>
        <v/>
      </c>
      <c r="C266" s="196">
        <f t="shared" ca="1" si="54"/>
        <v>0</v>
      </c>
      <c r="D266" s="21" t="str">
        <f t="shared" ca="1" si="61"/>
        <v/>
      </c>
      <c r="E266" s="196">
        <f t="shared" ca="1" si="55"/>
        <v>10732.695159707817</v>
      </c>
      <c r="F266" s="178" t="str">
        <f t="shared" ca="1" si="56"/>
        <v/>
      </c>
      <c r="G266" s="178" t="str">
        <f t="shared" ca="1" si="57"/>
        <v/>
      </c>
      <c r="H266" s="177" t="str">
        <f t="shared" ca="1" si="58"/>
        <v/>
      </c>
      <c r="I266" s="196"/>
      <c r="J266" s="9" t="str">
        <f t="shared" ca="1" si="48"/>
        <v/>
      </c>
      <c r="K266" s="9" t="str">
        <f t="shared" ca="1" si="49"/>
        <v/>
      </c>
      <c r="L266" s="9" t="str">
        <f t="shared" ca="1" si="50"/>
        <v/>
      </c>
      <c r="N266" s="176" t="str">
        <f t="shared" ca="1" si="59"/>
        <v/>
      </c>
      <c r="O266" s="176" t="str">
        <f t="shared" ca="1" si="62"/>
        <v/>
      </c>
      <c r="P266" s="175" t="str">
        <f t="shared" ca="1" si="51"/>
        <v/>
      </c>
      <c r="Q266" s="11" t="str">
        <f t="shared" ca="1" si="52"/>
        <v/>
      </c>
      <c r="R266" s="12" t="str">
        <f t="shared" ca="1" si="53"/>
        <v/>
      </c>
    </row>
    <row r="267" spans="1:18">
      <c r="A267" s="198" t="str">
        <f t="shared" ca="1" si="63"/>
        <v/>
      </c>
      <c r="B267" s="197" t="str">
        <f t="shared" ca="1" si="60"/>
        <v/>
      </c>
      <c r="C267" s="196">
        <f t="shared" ca="1" si="54"/>
        <v>0</v>
      </c>
      <c r="D267" s="21" t="str">
        <f t="shared" ca="1" si="61"/>
        <v/>
      </c>
      <c r="E267" s="196">
        <f t="shared" ca="1" si="55"/>
        <v>10732.695159707817</v>
      </c>
      <c r="F267" s="178" t="str">
        <f t="shared" ca="1" si="56"/>
        <v/>
      </c>
      <c r="G267" s="178" t="str">
        <f t="shared" ca="1" si="57"/>
        <v/>
      </c>
      <c r="H267" s="177" t="str">
        <f t="shared" ca="1" si="58"/>
        <v/>
      </c>
      <c r="I267" s="196"/>
      <c r="J267" s="9" t="str">
        <f t="shared" ca="1" si="48"/>
        <v/>
      </c>
      <c r="K267" s="9" t="str">
        <f t="shared" ca="1" si="49"/>
        <v/>
      </c>
      <c r="L267" s="9" t="str">
        <f t="shared" ca="1" si="50"/>
        <v/>
      </c>
      <c r="N267" s="176" t="str">
        <f t="shared" ca="1" si="59"/>
        <v/>
      </c>
      <c r="O267" s="176" t="str">
        <f t="shared" ca="1" si="62"/>
        <v/>
      </c>
      <c r="P267" s="175" t="str">
        <f t="shared" ca="1" si="51"/>
        <v/>
      </c>
      <c r="Q267" s="11" t="str">
        <f t="shared" ca="1" si="52"/>
        <v/>
      </c>
      <c r="R267" s="12" t="str">
        <f t="shared" ca="1" si="53"/>
        <v/>
      </c>
    </row>
    <row r="268" spans="1:18">
      <c r="A268" s="198" t="str">
        <f t="shared" ca="1" si="63"/>
        <v/>
      </c>
      <c r="B268" s="197" t="str">
        <f t="shared" ca="1" si="60"/>
        <v/>
      </c>
      <c r="C268" s="196">
        <f t="shared" ca="1" si="54"/>
        <v>0</v>
      </c>
      <c r="D268" s="21" t="str">
        <f t="shared" ca="1" si="61"/>
        <v/>
      </c>
      <c r="E268" s="196">
        <f t="shared" ca="1" si="55"/>
        <v>10732.695159707817</v>
      </c>
      <c r="F268" s="178" t="str">
        <f t="shared" ca="1" si="56"/>
        <v/>
      </c>
      <c r="G268" s="178" t="str">
        <f t="shared" ca="1" si="57"/>
        <v/>
      </c>
      <c r="H268" s="177" t="str">
        <f t="shared" ca="1" si="58"/>
        <v/>
      </c>
      <c r="I268" s="196"/>
      <c r="J268" s="9" t="str">
        <f t="shared" ca="1" si="48"/>
        <v/>
      </c>
      <c r="K268" s="9" t="str">
        <f t="shared" ca="1" si="49"/>
        <v/>
      </c>
      <c r="L268" s="9" t="str">
        <f t="shared" ca="1" si="50"/>
        <v/>
      </c>
      <c r="N268" s="176" t="str">
        <f t="shared" ca="1" si="59"/>
        <v/>
      </c>
      <c r="O268" s="176" t="str">
        <f t="shared" ca="1" si="62"/>
        <v/>
      </c>
      <c r="P268" s="175" t="str">
        <f t="shared" ca="1" si="51"/>
        <v/>
      </c>
      <c r="Q268" s="11" t="str">
        <f t="shared" ca="1" si="52"/>
        <v/>
      </c>
      <c r="R268" s="12" t="str">
        <f t="shared" ca="1" si="53"/>
        <v/>
      </c>
    </row>
    <row r="269" spans="1:18">
      <c r="A269" s="198" t="str">
        <f t="shared" ca="1" si="63"/>
        <v/>
      </c>
      <c r="B269" s="197" t="str">
        <f t="shared" ca="1" si="60"/>
        <v/>
      </c>
      <c r="C269" s="196">
        <f t="shared" ca="1" si="54"/>
        <v>0</v>
      </c>
      <c r="D269" s="21" t="str">
        <f t="shared" ca="1" si="61"/>
        <v/>
      </c>
      <c r="E269" s="196">
        <f t="shared" ca="1" si="55"/>
        <v>10732.695159707817</v>
      </c>
      <c r="F269" s="178" t="str">
        <f t="shared" ca="1" si="56"/>
        <v/>
      </c>
      <c r="G269" s="178" t="str">
        <f t="shared" ca="1" si="57"/>
        <v/>
      </c>
      <c r="H269" s="177" t="str">
        <f t="shared" ca="1" si="58"/>
        <v/>
      </c>
      <c r="I269" s="196"/>
      <c r="J269" s="9" t="str">
        <f t="shared" ca="1" si="48"/>
        <v/>
      </c>
      <c r="K269" s="9" t="str">
        <f t="shared" ca="1" si="49"/>
        <v/>
      </c>
      <c r="L269" s="9" t="str">
        <f t="shared" ca="1" si="50"/>
        <v/>
      </c>
      <c r="N269" s="176" t="str">
        <f t="shared" ca="1" si="59"/>
        <v/>
      </c>
      <c r="O269" s="176" t="str">
        <f t="shared" ca="1" si="62"/>
        <v/>
      </c>
      <c r="P269" s="175" t="str">
        <f t="shared" ca="1" si="51"/>
        <v/>
      </c>
      <c r="Q269" s="11" t="str">
        <f t="shared" ca="1" si="52"/>
        <v/>
      </c>
      <c r="R269" s="12" t="str">
        <f t="shared" ca="1" si="53"/>
        <v/>
      </c>
    </row>
    <row r="270" spans="1:18">
      <c r="A270" s="198" t="str">
        <f t="shared" ca="1" si="63"/>
        <v/>
      </c>
      <c r="B270" s="197" t="str">
        <f t="shared" ca="1" si="60"/>
        <v/>
      </c>
      <c r="C270" s="196">
        <f t="shared" ca="1" si="54"/>
        <v>0</v>
      </c>
      <c r="D270" s="21" t="str">
        <f t="shared" ca="1" si="61"/>
        <v/>
      </c>
      <c r="E270" s="196">
        <f t="shared" ca="1" si="55"/>
        <v>10732.695159707817</v>
      </c>
      <c r="F270" s="178" t="str">
        <f t="shared" ca="1" si="56"/>
        <v/>
      </c>
      <c r="G270" s="178" t="str">
        <f t="shared" ca="1" si="57"/>
        <v/>
      </c>
      <c r="H270" s="177" t="str">
        <f t="shared" ca="1" si="58"/>
        <v/>
      </c>
      <c r="I270" s="196"/>
      <c r="J270" s="9" t="str">
        <f t="shared" ca="1" si="48"/>
        <v/>
      </c>
      <c r="K270" s="9" t="str">
        <f t="shared" ca="1" si="49"/>
        <v/>
      </c>
      <c r="L270" s="9" t="str">
        <f t="shared" ca="1" si="50"/>
        <v/>
      </c>
      <c r="N270" s="176" t="str">
        <f t="shared" ca="1" si="59"/>
        <v/>
      </c>
      <c r="O270" s="176" t="str">
        <f t="shared" ca="1" si="62"/>
        <v/>
      </c>
      <c r="P270" s="175" t="str">
        <f t="shared" ca="1" si="51"/>
        <v/>
      </c>
      <c r="Q270" s="11" t="str">
        <f t="shared" ca="1" si="52"/>
        <v/>
      </c>
      <c r="R270" s="12" t="str">
        <f t="shared" ca="1" si="53"/>
        <v/>
      </c>
    </row>
    <row r="271" spans="1:18">
      <c r="A271" s="198" t="str">
        <f t="shared" ca="1" si="63"/>
        <v/>
      </c>
      <c r="B271" s="197" t="str">
        <f t="shared" ca="1" si="60"/>
        <v/>
      </c>
      <c r="C271" s="196">
        <f t="shared" ca="1" si="54"/>
        <v>0</v>
      </c>
      <c r="D271" s="21" t="str">
        <f t="shared" ca="1" si="61"/>
        <v/>
      </c>
      <c r="E271" s="196">
        <f t="shared" ca="1" si="55"/>
        <v>10732.695159707817</v>
      </c>
      <c r="F271" s="178" t="str">
        <f t="shared" ca="1" si="56"/>
        <v/>
      </c>
      <c r="G271" s="178" t="str">
        <f t="shared" ca="1" si="57"/>
        <v/>
      </c>
      <c r="H271" s="177" t="str">
        <f t="shared" ca="1" si="58"/>
        <v/>
      </c>
      <c r="I271" s="196"/>
      <c r="J271" s="9" t="str">
        <f t="shared" ca="1" si="48"/>
        <v/>
      </c>
      <c r="K271" s="9" t="str">
        <f t="shared" ca="1" si="49"/>
        <v/>
      </c>
      <c r="L271" s="9" t="str">
        <f t="shared" ca="1" si="50"/>
        <v/>
      </c>
      <c r="N271" s="176" t="str">
        <f t="shared" ca="1" si="59"/>
        <v/>
      </c>
      <c r="O271" s="176" t="str">
        <f t="shared" ca="1" si="62"/>
        <v/>
      </c>
      <c r="P271" s="175" t="str">
        <f t="shared" ca="1" si="51"/>
        <v/>
      </c>
      <c r="Q271" s="11" t="str">
        <f t="shared" ca="1" si="52"/>
        <v/>
      </c>
      <c r="R271" s="12" t="str">
        <f t="shared" ca="1" si="53"/>
        <v/>
      </c>
    </row>
    <row r="272" spans="1:18">
      <c r="A272" s="198" t="str">
        <f t="shared" ca="1" si="63"/>
        <v/>
      </c>
      <c r="B272" s="197" t="str">
        <f t="shared" ca="1" si="60"/>
        <v/>
      </c>
      <c r="C272" s="196">
        <f t="shared" ca="1" si="54"/>
        <v>0</v>
      </c>
      <c r="D272" s="21" t="str">
        <f t="shared" ca="1" si="61"/>
        <v/>
      </c>
      <c r="E272" s="196">
        <f t="shared" ca="1" si="55"/>
        <v>10732.695159707817</v>
      </c>
      <c r="F272" s="178" t="str">
        <f t="shared" ca="1" si="56"/>
        <v/>
      </c>
      <c r="G272" s="178" t="str">
        <f t="shared" ca="1" si="57"/>
        <v/>
      </c>
      <c r="H272" s="177" t="str">
        <f t="shared" ca="1" si="58"/>
        <v/>
      </c>
      <c r="I272" s="196"/>
      <c r="J272" s="9" t="str">
        <f t="shared" ca="1" si="48"/>
        <v/>
      </c>
      <c r="K272" s="9" t="str">
        <f t="shared" ca="1" si="49"/>
        <v/>
      </c>
      <c r="L272" s="9" t="str">
        <f t="shared" ca="1" si="50"/>
        <v/>
      </c>
      <c r="N272" s="176" t="str">
        <f t="shared" ca="1" si="59"/>
        <v/>
      </c>
      <c r="O272" s="176" t="str">
        <f t="shared" ca="1" si="62"/>
        <v/>
      </c>
      <c r="P272" s="175" t="str">
        <f t="shared" ca="1" si="51"/>
        <v/>
      </c>
      <c r="Q272" s="11" t="str">
        <f t="shared" ca="1" si="52"/>
        <v/>
      </c>
      <c r="R272" s="12" t="str">
        <f t="shared" ca="1" si="53"/>
        <v/>
      </c>
    </row>
    <row r="273" spans="1:18">
      <c r="A273" s="198" t="str">
        <f t="shared" ca="1" si="63"/>
        <v/>
      </c>
      <c r="B273" s="197" t="str">
        <f t="shared" ca="1" si="60"/>
        <v/>
      </c>
      <c r="C273" s="196">
        <f t="shared" ca="1" si="54"/>
        <v>0</v>
      </c>
      <c r="D273" s="21" t="str">
        <f t="shared" ca="1" si="61"/>
        <v/>
      </c>
      <c r="E273" s="196">
        <f t="shared" ca="1" si="55"/>
        <v>10732.695159707817</v>
      </c>
      <c r="F273" s="178" t="str">
        <f t="shared" ca="1" si="56"/>
        <v/>
      </c>
      <c r="G273" s="178" t="str">
        <f t="shared" ca="1" si="57"/>
        <v/>
      </c>
      <c r="H273" s="177" t="str">
        <f t="shared" ca="1" si="58"/>
        <v/>
      </c>
      <c r="I273" s="196"/>
      <c r="J273" s="9" t="str">
        <f t="shared" ca="1" si="48"/>
        <v/>
      </c>
      <c r="K273" s="9" t="str">
        <f t="shared" ca="1" si="49"/>
        <v/>
      </c>
      <c r="L273" s="9" t="str">
        <f t="shared" ca="1" si="50"/>
        <v/>
      </c>
      <c r="N273" s="176" t="str">
        <f t="shared" ca="1" si="59"/>
        <v/>
      </c>
      <c r="O273" s="176" t="str">
        <f t="shared" ca="1" si="62"/>
        <v/>
      </c>
      <c r="P273" s="175" t="str">
        <f t="shared" ca="1" si="51"/>
        <v/>
      </c>
      <c r="Q273" s="11" t="str">
        <f t="shared" ca="1" si="52"/>
        <v/>
      </c>
      <c r="R273" s="12" t="str">
        <f t="shared" ca="1" si="53"/>
        <v/>
      </c>
    </row>
    <row r="274" spans="1:18">
      <c r="A274" s="198" t="str">
        <f t="shared" ca="1" si="63"/>
        <v/>
      </c>
      <c r="B274" s="197" t="str">
        <f t="shared" ca="1" si="60"/>
        <v/>
      </c>
      <c r="C274" s="196">
        <f t="shared" ca="1" si="54"/>
        <v>0</v>
      </c>
      <c r="D274" s="21" t="str">
        <f t="shared" ca="1" si="61"/>
        <v/>
      </c>
      <c r="E274" s="196">
        <f t="shared" ca="1" si="55"/>
        <v>10732.695159707817</v>
      </c>
      <c r="F274" s="178" t="str">
        <f t="shared" ca="1" si="56"/>
        <v/>
      </c>
      <c r="G274" s="178" t="str">
        <f t="shared" ca="1" si="57"/>
        <v/>
      </c>
      <c r="H274" s="177" t="str">
        <f t="shared" ca="1" si="58"/>
        <v/>
      </c>
      <c r="I274" s="196"/>
      <c r="J274" s="9" t="str">
        <f t="shared" ref="J274:J339" ca="1" si="64">IF(A274="I","Carencia",IF(A274&lt;=$C$12,"Carencia",""))</f>
        <v/>
      </c>
      <c r="K274" s="9" t="str">
        <f t="shared" ref="K274:K337" ca="1" si="65">IF(L274=$C$13,"Pula","")</f>
        <v/>
      </c>
      <c r="L274" s="9" t="str">
        <f t="shared" ref="L274:L339" ca="1" si="66">IFERROR(MONTH(B274),"")</f>
        <v/>
      </c>
      <c r="N274" s="176" t="str">
        <f t="shared" ca="1" si="59"/>
        <v/>
      </c>
      <c r="O274" s="176" t="str">
        <f t="shared" ca="1" si="62"/>
        <v/>
      </c>
      <c r="P274" s="175" t="str">
        <f t="shared" ref="P274:P339" ca="1" si="67">IF(A274&lt;&gt;"",$E$18/($C$8-$C$12-$D$13),"")</f>
        <v/>
      </c>
      <c r="Q274" s="11" t="str">
        <f t="shared" ref="Q274:Q339" ca="1" si="68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ca="1" si="69">IFERROR(Q274*P274,"")</f>
        <v/>
      </c>
    </row>
    <row r="275" spans="1:18">
      <c r="A275" s="198" t="str">
        <f t="shared" ca="1" si="63"/>
        <v/>
      </c>
      <c r="B275" s="197" t="str">
        <f t="shared" ca="1" si="60"/>
        <v/>
      </c>
      <c r="C275" s="196">
        <f t="shared" ref="C275:C339" ca="1" si="70">IFERROR(IF(OR(J275="Carencia",K275="Pula",A275=""),0,_xlfn.XLOOKUP(IF(AND($F$3&lt;DAY($F$2),$C$12=0),0,"I"),$A:$A,$E:$E)/($C$8-$D$13-$C$12)),"")</f>
        <v>0</v>
      </c>
      <c r="D275" s="21" t="str">
        <f t="shared" ca="1" si="61"/>
        <v/>
      </c>
      <c r="E275" s="196">
        <f t="shared" ref="E275:E338" ca="1" si="71">IFERROR(IF(OR(J275="Carencia",K275="Pula"),E274+D275+SUM(F275:H275),(E274-C275)),"")</f>
        <v>10732.695159707817</v>
      </c>
      <c r="F275" s="178" t="str">
        <f t="shared" ref="F275:F339" ca="1" si="72">IFERROR(IF(OR(AND(DAY(B275)=DAY(B274),MONTH(B275)&lt;&gt;MONTH(B274)),MONTH(B275)&lt;&gt;MONTH(B274)),E274*$I$7,""),"")</f>
        <v/>
      </c>
      <c r="G275" s="178" t="str">
        <f t="shared" ref="G275:G339" ca="1" si="73">IFERROR(IF(OR(AND(DAY(B275)=DAY(B274),MONTH(B275)&lt;&gt;MONTH(B274)),MONTH(B275)&lt;&gt;MONTH(B274)),$C$11*$I$8,0),"")</f>
        <v/>
      </c>
      <c r="H275" s="177" t="str">
        <f t="shared" ref="H275:H339" ca="1" si="74">IFERROR(IF(OR(AND(DAY(B275)=DAY(B274),MONTH(B275)&lt;&gt;MONTH(B274)),MONTH(B275)&lt;&gt;MONTH(B274)),$I$10,0),"")</f>
        <v/>
      </c>
      <c r="I275" s="196"/>
      <c r="J275" s="9" t="str">
        <f t="shared" ca="1" si="64"/>
        <v/>
      </c>
      <c r="K275" s="9" t="str">
        <f t="shared" ca="1" si="65"/>
        <v/>
      </c>
      <c r="L275" s="9" t="str">
        <f t="shared" ca="1" si="66"/>
        <v/>
      </c>
      <c r="N275" s="176" t="str">
        <f t="shared" ref="N275:N339" ca="1" si="75">IFERROR(B275-B274,"")</f>
        <v/>
      </c>
      <c r="O275" s="176" t="str">
        <f t="shared" ca="1" si="62"/>
        <v/>
      </c>
      <c r="P275" s="175" t="str">
        <f t="shared" ca="1" si="67"/>
        <v/>
      </c>
      <c r="Q275" s="11" t="str">
        <f t="shared" ca="1" si="68"/>
        <v/>
      </c>
      <c r="R275" s="12" t="str">
        <f t="shared" ca="1" si="69"/>
        <v/>
      </c>
    </row>
    <row r="276" spans="1:18">
      <c r="A276" s="198" t="str">
        <f t="shared" ca="1" si="63"/>
        <v/>
      </c>
      <c r="B276" s="197" t="str">
        <f t="shared" ref="B276:B339" ca="1" si="76">IF(A276&lt;&gt;"",IF(DAY(EOMONTH($F$2,0))&lt;$F$3,IF(MONTH($F$2)=2,DATE(YEAR(B275),3,F259),EOMONTH(B275,1)),EDATE($B$19,A276-IF($A$19="I",0,1))),"")</f>
        <v/>
      </c>
      <c r="C276" s="196">
        <f t="shared" ca="1" si="70"/>
        <v>0</v>
      </c>
      <c r="D276" s="21" t="str">
        <f t="shared" ref="D276:D339" ca="1" si="77">IFERROR(IF(DAY(B276)=DAY(B275),IF(K276="Pula",0,($C$9)*E275),IF(AND(K276="Pula",J276=""),0,IF(AND($F$3=30,OR(AND(DAY(B275)=28,MONTH(B275)=2),AND(DAY(B275)=29,MONTH(B275)=2))),$C$9*E275,$C$9*E275))),"")</f>
        <v/>
      </c>
      <c r="E276" s="196">
        <f t="shared" ca="1" si="71"/>
        <v>10732.695159707817</v>
      </c>
      <c r="F276" s="178" t="str">
        <f t="shared" ca="1" si="72"/>
        <v/>
      </c>
      <c r="G276" s="178" t="str">
        <f t="shared" ca="1" si="73"/>
        <v/>
      </c>
      <c r="H276" s="177" t="str">
        <f t="shared" ca="1" si="74"/>
        <v/>
      </c>
      <c r="I276" s="196"/>
      <c r="J276" s="9" t="str">
        <f t="shared" ca="1" si="64"/>
        <v/>
      </c>
      <c r="K276" s="9" t="str">
        <f t="shared" ca="1" si="65"/>
        <v/>
      </c>
      <c r="L276" s="9" t="str">
        <f t="shared" ca="1" si="66"/>
        <v/>
      </c>
      <c r="N276" s="176" t="str">
        <f t="shared" ca="1" si="75"/>
        <v/>
      </c>
      <c r="O276" s="176" t="str">
        <f t="shared" ref="O276:O339" ca="1" si="78">IFERROR(N276+O275,"")</f>
        <v/>
      </c>
      <c r="P276" s="175" t="str">
        <f t="shared" ca="1" si="67"/>
        <v/>
      </c>
      <c r="Q276" s="11" t="str">
        <f t="shared" ca="1" si="68"/>
        <v/>
      </c>
      <c r="R276" s="12" t="str">
        <f t="shared" ca="1" si="69"/>
        <v/>
      </c>
    </row>
    <row r="277" spans="1:18">
      <c r="A277" s="198" t="str">
        <f t="shared" ref="A277:A339" ca="1" si="79">IF(A276&gt;=$C$8,"",A276+1)</f>
        <v/>
      </c>
      <c r="B277" s="197" t="str">
        <f t="shared" ca="1" si="76"/>
        <v/>
      </c>
      <c r="C277" s="196">
        <f t="shared" ca="1" si="70"/>
        <v>0</v>
      </c>
      <c r="D277" s="21" t="str">
        <f t="shared" ca="1" si="77"/>
        <v/>
      </c>
      <c r="E277" s="196">
        <f t="shared" ca="1" si="71"/>
        <v>10732.695159707817</v>
      </c>
      <c r="F277" s="178" t="str">
        <f t="shared" ca="1" si="72"/>
        <v/>
      </c>
      <c r="G277" s="178" t="str">
        <f t="shared" ca="1" si="73"/>
        <v/>
      </c>
      <c r="H277" s="177" t="str">
        <f t="shared" ca="1" si="74"/>
        <v/>
      </c>
      <c r="I277" s="196"/>
      <c r="J277" s="9" t="str">
        <f t="shared" ca="1" si="64"/>
        <v/>
      </c>
      <c r="K277" s="9" t="str">
        <f t="shared" ca="1" si="65"/>
        <v/>
      </c>
      <c r="L277" s="9" t="str">
        <f t="shared" ca="1" si="66"/>
        <v/>
      </c>
      <c r="N277" s="176" t="str">
        <f t="shared" ca="1" si="75"/>
        <v/>
      </c>
      <c r="O277" s="176" t="str">
        <f t="shared" ca="1" si="78"/>
        <v/>
      </c>
      <c r="P277" s="175" t="str">
        <f t="shared" ca="1" si="67"/>
        <v/>
      </c>
      <c r="Q277" s="11" t="str">
        <f t="shared" ca="1" si="68"/>
        <v/>
      </c>
      <c r="R277" s="12" t="str">
        <f t="shared" ca="1" si="69"/>
        <v/>
      </c>
    </row>
    <row r="278" spans="1:18">
      <c r="A278" s="198" t="str">
        <f t="shared" ca="1" si="79"/>
        <v/>
      </c>
      <c r="B278" s="197" t="str">
        <f t="shared" ca="1" si="76"/>
        <v/>
      </c>
      <c r="C278" s="196">
        <f t="shared" ca="1" si="70"/>
        <v>0</v>
      </c>
      <c r="D278" s="21" t="str">
        <f t="shared" ca="1" si="77"/>
        <v/>
      </c>
      <c r="E278" s="196">
        <f t="shared" ca="1" si="71"/>
        <v>10732.695159707817</v>
      </c>
      <c r="F278" s="178" t="str">
        <f t="shared" ca="1" si="72"/>
        <v/>
      </c>
      <c r="G278" s="178" t="str">
        <f t="shared" ca="1" si="73"/>
        <v/>
      </c>
      <c r="H278" s="177" t="str">
        <f t="shared" ca="1" si="74"/>
        <v/>
      </c>
      <c r="I278" s="196"/>
      <c r="J278" s="9" t="str">
        <f t="shared" ca="1" si="64"/>
        <v/>
      </c>
      <c r="K278" s="9" t="str">
        <f t="shared" ca="1" si="65"/>
        <v/>
      </c>
      <c r="L278" s="9" t="str">
        <f t="shared" ca="1" si="66"/>
        <v/>
      </c>
      <c r="N278" s="176" t="str">
        <f t="shared" ca="1" si="75"/>
        <v/>
      </c>
      <c r="O278" s="176" t="str">
        <f t="shared" ca="1" si="78"/>
        <v/>
      </c>
      <c r="P278" s="175" t="str">
        <f t="shared" ca="1" si="67"/>
        <v/>
      </c>
      <c r="Q278" s="11" t="str">
        <f t="shared" ca="1" si="68"/>
        <v/>
      </c>
      <c r="R278" s="12" t="str">
        <f t="shared" ca="1" si="69"/>
        <v/>
      </c>
    </row>
    <row r="279" spans="1:18">
      <c r="A279" s="198" t="str">
        <f t="shared" ca="1" si="79"/>
        <v/>
      </c>
      <c r="B279" s="197" t="str">
        <f t="shared" ca="1" si="76"/>
        <v/>
      </c>
      <c r="C279" s="196">
        <f t="shared" ca="1" si="70"/>
        <v>0</v>
      </c>
      <c r="D279" s="21" t="str">
        <f t="shared" ca="1" si="77"/>
        <v/>
      </c>
      <c r="E279" s="196">
        <f t="shared" ca="1" si="71"/>
        <v>10732.695159707817</v>
      </c>
      <c r="F279" s="178" t="str">
        <f t="shared" ca="1" si="72"/>
        <v/>
      </c>
      <c r="G279" s="178" t="str">
        <f t="shared" ca="1" si="73"/>
        <v/>
      </c>
      <c r="H279" s="177" t="str">
        <f t="shared" ca="1" si="74"/>
        <v/>
      </c>
      <c r="I279" s="196"/>
      <c r="J279" s="9" t="str">
        <f t="shared" ca="1" si="64"/>
        <v/>
      </c>
      <c r="K279" s="9" t="str">
        <f t="shared" ca="1" si="65"/>
        <v/>
      </c>
      <c r="L279" s="9" t="str">
        <f t="shared" ca="1" si="66"/>
        <v/>
      </c>
      <c r="N279" s="176" t="str">
        <f t="shared" ca="1" si="75"/>
        <v/>
      </c>
      <c r="O279" s="176" t="str">
        <f t="shared" ca="1" si="78"/>
        <v/>
      </c>
      <c r="P279" s="175" t="str">
        <f t="shared" ca="1" si="67"/>
        <v/>
      </c>
      <c r="Q279" s="11" t="str">
        <f t="shared" ca="1" si="68"/>
        <v/>
      </c>
      <c r="R279" s="12" t="str">
        <f t="shared" ca="1" si="69"/>
        <v/>
      </c>
    </row>
    <row r="280" spans="1:18">
      <c r="A280" s="198" t="str">
        <f t="shared" ca="1" si="79"/>
        <v/>
      </c>
      <c r="B280" s="197" t="str">
        <f t="shared" ca="1" si="76"/>
        <v/>
      </c>
      <c r="C280" s="196">
        <f t="shared" ca="1" si="70"/>
        <v>0</v>
      </c>
      <c r="D280" s="21" t="str">
        <f t="shared" ca="1" si="77"/>
        <v/>
      </c>
      <c r="E280" s="196">
        <f t="shared" ca="1" si="71"/>
        <v>10732.695159707817</v>
      </c>
      <c r="F280" s="178" t="str">
        <f t="shared" ca="1" si="72"/>
        <v/>
      </c>
      <c r="G280" s="178" t="str">
        <f t="shared" ca="1" si="73"/>
        <v/>
      </c>
      <c r="H280" s="177" t="str">
        <f t="shared" ca="1" si="74"/>
        <v/>
      </c>
      <c r="I280" s="196"/>
      <c r="J280" s="9" t="str">
        <f t="shared" ca="1" si="64"/>
        <v/>
      </c>
      <c r="K280" s="9" t="str">
        <f t="shared" ca="1" si="65"/>
        <v/>
      </c>
      <c r="L280" s="9" t="str">
        <f t="shared" ca="1" si="66"/>
        <v/>
      </c>
      <c r="N280" s="176" t="str">
        <f t="shared" ca="1" si="75"/>
        <v/>
      </c>
      <c r="O280" s="176" t="str">
        <f t="shared" ca="1" si="78"/>
        <v/>
      </c>
      <c r="P280" s="175" t="str">
        <f t="shared" ca="1" si="67"/>
        <v/>
      </c>
      <c r="Q280" s="11" t="str">
        <f t="shared" ca="1" si="68"/>
        <v/>
      </c>
      <c r="R280" s="12" t="str">
        <f t="shared" ca="1" si="69"/>
        <v/>
      </c>
    </row>
    <row r="281" spans="1:18">
      <c r="A281" s="198" t="str">
        <f t="shared" ca="1" si="79"/>
        <v/>
      </c>
      <c r="B281" s="197" t="str">
        <f t="shared" ca="1" si="76"/>
        <v/>
      </c>
      <c r="C281" s="196">
        <f t="shared" ca="1" si="70"/>
        <v>0</v>
      </c>
      <c r="D281" s="21" t="str">
        <f t="shared" ca="1" si="77"/>
        <v/>
      </c>
      <c r="E281" s="196">
        <f t="shared" ca="1" si="71"/>
        <v>10732.695159707817</v>
      </c>
      <c r="F281" s="178" t="str">
        <f t="shared" ca="1" si="72"/>
        <v/>
      </c>
      <c r="G281" s="178" t="str">
        <f t="shared" ca="1" si="73"/>
        <v/>
      </c>
      <c r="H281" s="177" t="str">
        <f t="shared" ca="1" si="74"/>
        <v/>
      </c>
      <c r="I281" s="196"/>
      <c r="J281" s="9" t="str">
        <f t="shared" ca="1" si="64"/>
        <v/>
      </c>
      <c r="K281" s="9" t="str">
        <f t="shared" ca="1" si="65"/>
        <v/>
      </c>
      <c r="L281" s="9" t="str">
        <f t="shared" ca="1" si="66"/>
        <v/>
      </c>
      <c r="N281" s="176" t="str">
        <f t="shared" ca="1" si="75"/>
        <v/>
      </c>
      <c r="O281" s="176" t="str">
        <f t="shared" ca="1" si="78"/>
        <v/>
      </c>
      <c r="P281" s="175" t="str">
        <f t="shared" ca="1" si="67"/>
        <v/>
      </c>
      <c r="Q281" s="11" t="str">
        <f t="shared" ca="1" si="68"/>
        <v/>
      </c>
      <c r="R281" s="12" t="str">
        <f t="shared" ca="1" si="69"/>
        <v/>
      </c>
    </row>
    <row r="282" spans="1:18">
      <c r="A282" s="198" t="str">
        <f t="shared" ca="1" si="79"/>
        <v/>
      </c>
      <c r="B282" s="197" t="str">
        <f t="shared" ca="1" si="76"/>
        <v/>
      </c>
      <c r="C282" s="196">
        <f t="shared" ca="1" si="70"/>
        <v>0</v>
      </c>
      <c r="D282" s="21" t="str">
        <f t="shared" ca="1" si="77"/>
        <v/>
      </c>
      <c r="E282" s="196">
        <f t="shared" ca="1" si="71"/>
        <v>10732.695159707817</v>
      </c>
      <c r="F282" s="178" t="str">
        <f t="shared" ca="1" si="72"/>
        <v/>
      </c>
      <c r="G282" s="178" t="str">
        <f t="shared" ca="1" si="73"/>
        <v/>
      </c>
      <c r="H282" s="177" t="str">
        <f t="shared" ca="1" si="74"/>
        <v/>
      </c>
      <c r="I282" s="196"/>
      <c r="J282" s="9" t="str">
        <f t="shared" ca="1" si="64"/>
        <v/>
      </c>
      <c r="K282" s="9" t="str">
        <f t="shared" ca="1" si="65"/>
        <v/>
      </c>
      <c r="L282" s="9" t="str">
        <f t="shared" ca="1" si="66"/>
        <v/>
      </c>
      <c r="N282" s="176" t="str">
        <f t="shared" ca="1" si="75"/>
        <v/>
      </c>
      <c r="O282" s="176" t="str">
        <f t="shared" ca="1" si="78"/>
        <v/>
      </c>
      <c r="P282" s="175" t="str">
        <f t="shared" ca="1" si="67"/>
        <v/>
      </c>
      <c r="Q282" s="11" t="str">
        <f t="shared" ca="1" si="68"/>
        <v/>
      </c>
      <c r="R282" s="12" t="str">
        <f t="shared" ca="1" si="69"/>
        <v/>
      </c>
    </row>
    <row r="283" spans="1:18">
      <c r="A283" s="198" t="str">
        <f t="shared" ca="1" si="79"/>
        <v/>
      </c>
      <c r="B283" s="197" t="str">
        <f t="shared" ca="1" si="76"/>
        <v/>
      </c>
      <c r="C283" s="196">
        <f t="shared" ca="1" si="70"/>
        <v>0</v>
      </c>
      <c r="D283" s="21" t="str">
        <f t="shared" ca="1" si="77"/>
        <v/>
      </c>
      <c r="E283" s="196">
        <f t="shared" ca="1" si="71"/>
        <v>10732.695159707817</v>
      </c>
      <c r="F283" s="178" t="str">
        <f t="shared" ca="1" si="72"/>
        <v/>
      </c>
      <c r="G283" s="178" t="str">
        <f t="shared" ca="1" si="73"/>
        <v/>
      </c>
      <c r="H283" s="177" t="str">
        <f t="shared" ca="1" si="74"/>
        <v/>
      </c>
      <c r="I283" s="196"/>
      <c r="J283" s="9" t="str">
        <f t="shared" ca="1" si="64"/>
        <v/>
      </c>
      <c r="K283" s="9" t="str">
        <f t="shared" ca="1" si="65"/>
        <v/>
      </c>
      <c r="L283" s="9" t="str">
        <f t="shared" ca="1" si="66"/>
        <v/>
      </c>
      <c r="N283" s="176" t="str">
        <f t="shared" ca="1" si="75"/>
        <v/>
      </c>
      <c r="O283" s="176" t="str">
        <f t="shared" ca="1" si="78"/>
        <v/>
      </c>
      <c r="P283" s="175" t="str">
        <f t="shared" ca="1" si="67"/>
        <v/>
      </c>
      <c r="Q283" s="11" t="str">
        <f t="shared" ca="1" si="68"/>
        <v/>
      </c>
      <c r="R283" s="12" t="str">
        <f t="shared" ca="1" si="69"/>
        <v/>
      </c>
    </row>
    <row r="284" spans="1:18">
      <c r="A284" s="198" t="str">
        <f t="shared" ca="1" si="79"/>
        <v/>
      </c>
      <c r="B284" s="197" t="str">
        <f t="shared" ca="1" si="76"/>
        <v/>
      </c>
      <c r="C284" s="196">
        <f t="shared" ca="1" si="70"/>
        <v>0</v>
      </c>
      <c r="D284" s="21" t="str">
        <f t="shared" ca="1" si="77"/>
        <v/>
      </c>
      <c r="E284" s="196">
        <f t="shared" ca="1" si="71"/>
        <v>10732.695159707817</v>
      </c>
      <c r="F284" s="178" t="str">
        <f t="shared" ca="1" si="72"/>
        <v/>
      </c>
      <c r="G284" s="178" t="str">
        <f t="shared" ca="1" si="73"/>
        <v/>
      </c>
      <c r="H284" s="177" t="str">
        <f t="shared" ca="1" si="74"/>
        <v/>
      </c>
      <c r="I284" s="196"/>
      <c r="J284" s="9" t="str">
        <f t="shared" ca="1" si="64"/>
        <v/>
      </c>
      <c r="K284" s="9" t="str">
        <f t="shared" ca="1" si="65"/>
        <v/>
      </c>
      <c r="L284" s="9" t="str">
        <f t="shared" ca="1" si="66"/>
        <v/>
      </c>
      <c r="N284" s="176" t="str">
        <f t="shared" ca="1" si="75"/>
        <v/>
      </c>
      <c r="O284" s="176" t="str">
        <f t="shared" ca="1" si="78"/>
        <v/>
      </c>
      <c r="P284" s="175" t="str">
        <f t="shared" ca="1" si="67"/>
        <v/>
      </c>
      <c r="Q284" s="11" t="str">
        <f t="shared" ca="1" si="68"/>
        <v/>
      </c>
      <c r="R284" s="12" t="str">
        <f t="shared" ca="1" si="69"/>
        <v/>
      </c>
    </row>
    <row r="285" spans="1:18">
      <c r="A285" s="198" t="str">
        <f t="shared" ca="1" si="79"/>
        <v/>
      </c>
      <c r="B285" s="197" t="str">
        <f t="shared" ca="1" si="76"/>
        <v/>
      </c>
      <c r="C285" s="196">
        <f t="shared" ca="1" si="70"/>
        <v>0</v>
      </c>
      <c r="D285" s="21" t="str">
        <f t="shared" ca="1" si="77"/>
        <v/>
      </c>
      <c r="E285" s="196">
        <f t="shared" ca="1" si="71"/>
        <v>10732.695159707817</v>
      </c>
      <c r="F285" s="178" t="str">
        <f t="shared" ca="1" si="72"/>
        <v/>
      </c>
      <c r="G285" s="178" t="str">
        <f t="shared" ca="1" si="73"/>
        <v/>
      </c>
      <c r="H285" s="177" t="str">
        <f t="shared" ca="1" si="74"/>
        <v/>
      </c>
      <c r="I285" s="196"/>
      <c r="J285" s="9" t="str">
        <f t="shared" ca="1" si="64"/>
        <v/>
      </c>
      <c r="K285" s="9" t="str">
        <f t="shared" ca="1" si="65"/>
        <v/>
      </c>
      <c r="L285" s="9" t="str">
        <f t="shared" ca="1" si="66"/>
        <v/>
      </c>
      <c r="N285" s="176" t="str">
        <f t="shared" ca="1" si="75"/>
        <v/>
      </c>
      <c r="O285" s="176" t="str">
        <f t="shared" ca="1" si="78"/>
        <v/>
      </c>
      <c r="P285" s="175" t="str">
        <f t="shared" ca="1" si="67"/>
        <v/>
      </c>
      <c r="Q285" s="11" t="str">
        <f t="shared" ca="1" si="68"/>
        <v/>
      </c>
      <c r="R285" s="12" t="str">
        <f t="shared" ca="1" si="69"/>
        <v/>
      </c>
    </row>
    <row r="286" spans="1:18">
      <c r="A286" s="198" t="str">
        <f t="shared" ca="1" si="79"/>
        <v/>
      </c>
      <c r="B286" s="197" t="str">
        <f t="shared" ca="1" si="76"/>
        <v/>
      </c>
      <c r="C286" s="196">
        <f t="shared" ca="1" si="70"/>
        <v>0</v>
      </c>
      <c r="D286" s="21" t="str">
        <f t="shared" ca="1" si="77"/>
        <v/>
      </c>
      <c r="E286" s="196">
        <f t="shared" ca="1" si="71"/>
        <v>10732.695159707817</v>
      </c>
      <c r="F286" s="178" t="str">
        <f t="shared" ca="1" si="72"/>
        <v/>
      </c>
      <c r="G286" s="178" t="str">
        <f t="shared" ca="1" si="73"/>
        <v/>
      </c>
      <c r="H286" s="177" t="str">
        <f t="shared" ca="1" si="74"/>
        <v/>
      </c>
      <c r="I286" s="196"/>
      <c r="J286" s="9" t="str">
        <f t="shared" ca="1" si="64"/>
        <v/>
      </c>
      <c r="K286" s="9" t="str">
        <f t="shared" ca="1" si="65"/>
        <v/>
      </c>
      <c r="L286" s="9" t="str">
        <f t="shared" ca="1" si="66"/>
        <v/>
      </c>
      <c r="N286" s="176" t="str">
        <f t="shared" ca="1" si="75"/>
        <v/>
      </c>
      <c r="O286" s="176" t="str">
        <f t="shared" ca="1" si="78"/>
        <v/>
      </c>
      <c r="P286" s="175" t="str">
        <f t="shared" ca="1" si="67"/>
        <v/>
      </c>
      <c r="Q286" s="11" t="str">
        <f t="shared" ca="1" si="68"/>
        <v/>
      </c>
      <c r="R286" s="12" t="str">
        <f t="shared" ca="1" si="69"/>
        <v/>
      </c>
    </row>
    <row r="287" spans="1:18">
      <c r="A287" s="198" t="str">
        <f t="shared" ca="1" si="79"/>
        <v/>
      </c>
      <c r="B287" s="197" t="str">
        <f t="shared" ca="1" si="76"/>
        <v/>
      </c>
      <c r="C287" s="196">
        <f t="shared" ca="1" si="70"/>
        <v>0</v>
      </c>
      <c r="D287" s="21" t="str">
        <f t="shared" ca="1" si="77"/>
        <v/>
      </c>
      <c r="E287" s="196">
        <f t="shared" ca="1" si="71"/>
        <v>10732.695159707817</v>
      </c>
      <c r="F287" s="178" t="str">
        <f t="shared" ca="1" si="72"/>
        <v/>
      </c>
      <c r="G287" s="178" t="str">
        <f t="shared" ca="1" si="73"/>
        <v/>
      </c>
      <c r="H287" s="177" t="str">
        <f t="shared" ca="1" si="74"/>
        <v/>
      </c>
      <c r="I287" s="196"/>
      <c r="J287" s="9" t="str">
        <f t="shared" ca="1" si="64"/>
        <v/>
      </c>
      <c r="K287" s="9" t="str">
        <f t="shared" ca="1" si="65"/>
        <v/>
      </c>
      <c r="L287" s="9" t="str">
        <f t="shared" ca="1" si="66"/>
        <v/>
      </c>
      <c r="N287" s="176" t="str">
        <f t="shared" ca="1" si="75"/>
        <v/>
      </c>
      <c r="O287" s="176" t="str">
        <f t="shared" ca="1" si="78"/>
        <v/>
      </c>
      <c r="P287" s="175" t="str">
        <f t="shared" ca="1" si="67"/>
        <v/>
      </c>
      <c r="Q287" s="11" t="str">
        <f t="shared" ca="1" si="68"/>
        <v/>
      </c>
      <c r="R287" s="12" t="str">
        <f t="shared" ca="1" si="69"/>
        <v/>
      </c>
    </row>
    <row r="288" spans="1:18">
      <c r="A288" s="198" t="str">
        <f t="shared" ca="1" si="79"/>
        <v/>
      </c>
      <c r="B288" s="197" t="str">
        <f t="shared" ca="1" si="76"/>
        <v/>
      </c>
      <c r="C288" s="196">
        <f t="shared" ca="1" si="70"/>
        <v>0</v>
      </c>
      <c r="D288" s="21" t="str">
        <f t="shared" ca="1" si="77"/>
        <v/>
      </c>
      <c r="E288" s="196">
        <f t="shared" ca="1" si="71"/>
        <v>10732.695159707817</v>
      </c>
      <c r="F288" s="178" t="str">
        <f t="shared" ca="1" si="72"/>
        <v/>
      </c>
      <c r="G288" s="178" t="str">
        <f t="shared" ca="1" si="73"/>
        <v/>
      </c>
      <c r="H288" s="177" t="str">
        <f t="shared" ca="1" si="74"/>
        <v/>
      </c>
      <c r="I288" s="196"/>
      <c r="J288" s="9" t="str">
        <f t="shared" ca="1" si="64"/>
        <v/>
      </c>
      <c r="K288" s="9" t="str">
        <f t="shared" ca="1" si="65"/>
        <v/>
      </c>
      <c r="L288" s="9" t="str">
        <f t="shared" ca="1" si="66"/>
        <v/>
      </c>
      <c r="N288" s="176" t="str">
        <f t="shared" ca="1" si="75"/>
        <v/>
      </c>
      <c r="O288" s="176" t="str">
        <f t="shared" ca="1" si="78"/>
        <v/>
      </c>
      <c r="P288" s="175" t="str">
        <f t="shared" ca="1" si="67"/>
        <v/>
      </c>
      <c r="Q288" s="11" t="str">
        <f t="shared" ca="1" si="68"/>
        <v/>
      </c>
      <c r="R288" s="12" t="str">
        <f t="shared" ca="1" si="69"/>
        <v/>
      </c>
    </row>
    <row r="289" spans="1:18">
      <c r="A289" s="198" t="str">
        <f t="shared" ca="1" si="79"/>
        <v/>
      </c>
      <c r="B289" s="197" t="str">
        <f t="shared" ca="1" si="76"/>
        <v/>
      </c>
      <c r="C289" s="196">
        <f t="shared" ca="1" si="70"/>
        <v>0</v>
      </c>
      <c r="D289" s="21" t="str">
        <f t="shared" ca="1" si="77"/>
        <v/>
      </c>
      <c r="E289" s="196">
        <f t="shared" ca="1" si="71"/>
        <v>10732.695159707817</v>
      </c>
      <c r="F289" s="178" t="str">
        <f t="shared" ca="1" si="72"/>
        <v/>
      </c>
      <c r="G289" s="178" t="str">
        <f t="shared" ca="1" si="73"/>
        <v/>
      </c>
      <c r="H289" s="177" t="str">
        <f t="shared" ca="1" si="74"/>
        <v/>
      </c>
      <c r="I289" s="196"/>
      <c r="J289" s="9" t="str">
        <f t="shared" ca="1" si="64"/>
        <v/>
      </c>
      <c r="K289" s="9" t="str">
        <f t="shared" ca="1" si="65"/>
        <v/>
      </c>
      <c r="L289" s="9" t="str">
        <f t="shared" ca="1" si="66"/>
        <v/>
      </c>
      <c r="N289" s="176" t="str">
        <f t="shared" ca="1" si="75"/>
        <v/>
      </c>
      <c r="O289" s="176" t="str">
        <f t="shared" ca="1" si="78"/>
        <v/>
      </c>
      <c r="P289" s="175" t="str">
        <f t="shared" ca="1" si="67"/>
        <v/>
      </c>
      <c r="Q289" s="11" t="str">
        <f t="shared" ca="1" si="68"/>
        <v/>
      </c>
      <c r="R289" s="12" t="str">
        <f t="shared" ca="1" si="69"/>
        <v/>
      </c>
    </row>
    <row r="290" spans="1:18">
      <c r="A290" s="198" t="str">
        <f t="shared" ca="1" si="79"/>
        <v/>
      </c>
      <c r="B290" s="197" t="str">
        <f t="shared" ca="1" si="76"/>
        <v/>
      </c>
      <c r="C290" s="196">
        <f t="shared" ca="1" si="70"/>
        <v>0</v>
      </c>
      <c r="D290" s="21" t="str">
        <f t="shared" ca="1" si="77"/>
        <v/>
      </c>
      <c r="E290" s="196">
        <f t="shared" ca="1" si="71"/>
        <v>10732.695159707817</v>
      </c>
      <c r="F290" s="178" t="str">
        <f t="shared" ca="1" si="72"/>
        <v/>
      </c>
      <c r="G290" s="178" t="str">
        <f t="shared" ca="1" si="73"/>
        <v/>
      </c>
      <c r="H290" s="177" t="str">
        <f t="shared" ca="1" si="74"/>
        <v/>
      </c>
      <c r="I290" s="196"/>
      <c r="J290" s="9" t="str">
        <f t="shared" ca="1" si="64"/>
        <v/>
      </c>
      <c r="K290" s="9" t="str">
        <f t="shared" ca="1" si="65"/>
        <v/>
      </c>
      <c r="L290" s="9" t="str">
        <f t="shared" ca="1" si="66"/>
        <v/>
      </c>
      <c r="N290" s="176" t="str">
        <f t="shared" ca="1" si="75"/>
        <v/>
      </c>
      <c r="O290" s="176" t="str">
        <f t="shared" ca="1" si="78"/>
        <v/>
      </c>
      <c r="P290" s="175" t="str">
        <f t="shared" ca="1" si="67"/>
        <v/>
      </c>
      <c r="Q290" s="11" t="str">
        <f t="shared" ca="1" si="68"/>
        <v/>
      </c>
      <c r="R290" s="12" t="str">
        <f t="shared" ca="1" si="69"/>
        <v/>
      </c>
    </row>
    <row r="291" spans="1:18">
      <c r="A291" s="198" t="str">
        <f t="shared" ca="1" si="79"/>
        <v/>
      </c>
      <c r="B291" s="197" t="str">
        <f t="shared" ca="1" si="76"/>
        <v/>
      </c>
      <c r="C291" s="196">
        <f t="shared" ca="1" si="70"/>
        <v>0</v>
      </c>
      <c r="D291" s="21" t="str">
        <f t="shared" ca="1" si="77"/>
        <v/>
      </c>
      <c r="E291" s="196">
        <f t="shared" ca="1" si="71"/>
        <v>10732.695159707817</v>
      </c>
      <c r="F291" s="178" t="str">
        <f t="shared" ca="1" si="72"/>
        <v/>
      </c>
      <c r="G291" s="178" t="str">
        <f t="shared" ca="1" si="73"/>
        <v/>
      </c>
      <c r="H291" s="177" t="str">
        <f t="shared" ca="1" si="74"/>
        <v/>
      </c>
      <c r="I291" s="196"/>
      <c r="J291" s="9" t="str">
        <f t="shared" ca="1" si="64"/>
        <v/>
      </c>
      <c r="K291" s="9" t="str">
        <f t="shared" ca="1" si="65"/>
        <v/>
      </c>
      <c r="L291" s="9" t="str">
        <f t="shared" ca="1" si="66"/>
        <v/>
      </c>
      <c r="N291" s="176" t="str">
        <f t="shared" ca="1" si="75"/>
        <v/>
      </c>
      <c r="O291" s="176" t="str">
        <f t="shared" ca="1" si="78"/>
        <v/>
      </c>
      <c r="P291" s="175" t="str">
        <f t="shared" ca="1" si="67"/>
        <v/>
      </c>
      <c r="Q291" s="11" t="str">
        <f t="shared" ca="1" si="68"/>
        <v/>
      </c>
      <c r="R291" s="12" t="str">
        <f t="shared" ca="1" si="69"/>
        <v/>
      </c>
    </row>
    <row r="292" spans="1:18">
      <c r="A292" s="198" t="str">
        <f t="shared" ca="1" si="79"/>
        <v/>
      </c>
      <c r="B292" s="197" t="str">
        <f t="shared" ca="1" si="76"/>
        <v/>
      </c>
      <c r="C292" s="196">
        <f t="shared" ca="1" si="70"/>
        <v>0</v>
      </c>
      <c r="D292" s="21" t="str">
        <f t="shared" ca="1" si="77"/>
        <v/>
      </c>
      <c r="E292" s="196">
        <f t="shared" ca="1" si="71"/>
        <v>10732.695159707817</v>
      </c>
      <c r="F292" s="178" t="str">
        <f t="shared" ca="1" si="72"/>
        <v/>
      </c>
      <c r="G292" s="178" t="str">
        <f t="shared" ca="1" si="73"/>
        <v/>
      </c>
      <c r="H292" s="177" t="str">
        <f t="shared" ca="1" si="74"/>
        <v/>
      </c>
      <c r="I292" s="196"/>
      <c r="J292" s="9" t="str">
        <f t="shared" ca="1" si="64"/>
        <v/>
      </c>
      <c r="K292" s="9" t="str">
        <f t="shared" ca="1" si="65"/>
        <v/>
      </c>
      <c r="L292" s="9" t="str">
        <f t="shared" ca="1" si="66"/>
        <v/>
      </c>
      <c r="N292" s="176" t="str">
        <f t="shared" ca="1" si="75"/>
        <v/>
      </c>
      <c r="O292" s="176" t="str">
        <f t="shared" ca="1" si="78"/>
        <v/>
      </c>
      <c r="P292" s="175" t="str">
        <f t="shared" ca="1" si="67"/>
        <v/>
      </c>
      <c r="Q292" s="11" t="str">
        <f t="shared" ca="1" si="68"/>
        <v/>
      </c>
      <c r="R292" s="12" t="str">
        <f t="shared" ca="1" si="69"/>
        <v/>
      </c>
    </row>
    <row r="293" spans="1:18">
      <c r="A293" s="198" t="str">
        <f t="shared" ca="1" si="79"/>
        <v/>
      </c>
      <c r="B293" s="197" t="str">
        <f t="shared" ca="1" si="76"/>
        <v/>
      </c>
      <c r="C293" s="196">
        <f t="shared" ca="1" si="70"/>
        <v>0</v>
      </c>
      <c r="D293" s="21" t="str">
        <f t="shared" ca="1" si="77"/>
        <v/>
      </c>
      <c r="E293" s="196">
        <f t="shared" ca="1" si="71"/>
        <v>10732.695159707817</v>
      </c>
      <c r="F293" s="178" t="str">
        <f t="shared" ca="1" si="72"/>
        <v/>
      </c>
      <c r="G293" s="178" t="str">
        <f t="shared" ca="1" si="73"/>
        <v/>
      </c>
      <c r="H293" s="177" t="str">
        <f t="shared" ca="1" si="74"/>
        <v/>
      </c>
      <c r="I293" s="196"/>
      <c r="J293" s="9" t="str">
        <f t="shared" ca="1" si="64"/>
        <v/>
      </c>
      <c r="K293" s="9" t="str">
        <f t="shared" ca="1" si="65"/>
        <v/>
      </c>
      <c r="L293" s="9" t="str">
        <f t="shared" ca="1" si="66"/>
        <v/>
      </c>
      <c r="N293" s="176" t="str">
        <f t="shared" ca="1" si="75"/>
        <v/>
      </c>
      <c r="O293" s="176" t="str">
        <f t="shared" ca="1" si="78"/>
        <v/>
      </c>
      <c r="P293" s="175" t="str">
        <f t="shared" ca="1" si="67"/>
        <v/>
      </c>
      <c r="Q293" s="11" t="str">
        <f t="shared" ca="1" si="68"/>
        <v/>
      </c>
      <c r="R293" s="12" t="str">
        <f t="shared" ca="1" si="69"/>
        <v/>
      </c>
    </row>
    <row r="294" spans="1:18">
      <c r="A294" s="198" t="str">
        <f t="shared" ca="1" si="79"/>
        <v/>
      </c>
      <c r="B294" s="197" t="str">
        <f t="shared" ca="1" si="76"/>
        <v/>
      </c>
      <c r="C294" s="196">
        <f t="shared" ca="1" si="70"/>
        <v>0</v>
      </c>
      <c r="D294" s="21" t="str">
        <f t="shared" ca="1" si="77"/>
        <v/>
      </c>
      <c r="E294" s="196">
        <f t="shared" ca="1" si="71"/>
        <v>10732.695159707817</v>
      </c>
      <c r="F294" s="178" t="str">
        <f t="shared" ca="1" si="72"/>
        <v/>
      </c>
      <c r="G294" s="178" t="str">
        <f t="shared" ca="1" si="73"/>
        <v/>
      </c>
      <c r="H294" s="177" t="str">
        <f t="shared" ca="1" si="74"/>
        <v/>
      </c>
      <c r="I294" s="196"/>
      <c r="J294" s="9" t="str">
        <f t="shared" ca="1" si="64"/>
        <v/>
      </c>
      <c r="K294" s="9" t="str">
        <f t="shared" ca="1" si="65"/>
        <v/>
      </c>
      <c r="L294" s="9" t="str">
        <f t="shared" ca="1" si="66"/>
        <v/>
      </c>
      <c r="N294" s="176" t="str">
        <f t="shared" ca="1" si="75"/>
        <v/>
      </c>
      <c r="O294" s="176" t="str">
        <f t="shared" ca="1" si="78"/>
        <v/>
      </c>
      <c r="P294" s="175" t="str">
        <f t="shared" ca="1" si="67"/>
        <v/>
      </c>
      <c r="Q294" s="11" t="str">
        <f t="shared" ca="1" si="68"/>
        <v/>
      </c>
      <c r="R294" s="12" t="str">
        <f t="shared" ca="1" si="69"/>
        <v/>
      </c>
    </row>
    <row r="295" spans="1:18">
      <c r="A295" s="198" t="str">
        <f t="shared" ca="1" si="79"/>
        <v/>
      </c>
      <c r="B295" s="197" t="str">
        <f t="shared" ca="1" si="76"/>
        <v/>
      </c>
      <c r="C295" s="196">
        <f t="shared" ca="1" si="70"/>
        <v>0</v>
      </c>
      <c r="D295" s="21" t="str">
        <f t="shared" ca="1" si="77"/>
        <v/>
      </c>
      <c r="E295" s="196">
        <f t="shared" ca="1" si="71"/>
        <v>10732.695159707817</v>
      </c>
      <c r="F295" s="178" t="str">
        <f t="shared" ca="1" si="72"/>
        <v/>
      </c>
      <c r="G295" s="178" t="str">
        <f t="shared" ca="1" si="73"/>
        <v/>
      </c>
      <c r="H295" s="177" t="str">
        <f t="shared" ca="1" si="74"/>
        <v/>
      </c>
      <c r="I295" s="196"/>
      <c r="J295" s="9" t="str">
        <f t="shared" ca="1" si="64"/>
        <v/>
      </c>
      <c r="K295" s="9" t="str">
        <f t="shared" ca="1" si="65"/>
        <v/>
      </c>
      <c r="L295" s="9" t="str">
        <f t="shared" ca="1" si="66"/>
        <v/>
      </c>
      <c r="N295" s="176" t="str">
        <f t="shared" ca="1" si="75"/>
        <v/>
      </c>
      <c r="O295" s="176" t="str">
        <f t="shared" ca="1" si="78"/>
        <v/>
      </c>
      <c r="P295" s="175" t="str">
        <f t="shared" ca="1" si="67"/>
        <v/>
      </c>
      <c r="Q295" s="11" t="str">
        <f t="shared" ca="1" si="68"/>
        <v/>
      </c>
      <c r="R295" s="12" t="str">
        <f t="shared" ca="1" si="69"/>
        <v/>
      </c>
    </row>
    <row r="296" spans="1:18">
      <c r="A296" s="198" t="str">
        <f t="shared" ca="1" si="79"/>
        <v/>
      </c>
      <c r="B296" s="197" t="str">
        <f t="shared" ca="1" si="76"/>
        <v/>
      </c>
      <c r="C296" s="196">
        <f t="shared" ca="1" si="70"/>
        <v>0</v>
      </c>
      <c r="D296" s="21" t="str">
        <f t="shared" ca="1" si="77"/>
        <v/>
      </c>
      <c r="E296" s="196">
        <f t="shared" ca="1" si="71"/>
        <v>10732.695159707817</v>
      </c>
      <c r="F296" s="178" t="str">
        <f t="shared" ca="1" si="72"/>
        <v/>
      </c>
      <c r="G296" s="178" t="str">
        <f t="shared" ca="1" si="73"/>
        <v/>
      </c>
      <c r="H296" s="177" t="str">
        <f t="shared" ca="1" si="74"/>
        <v/>
      </c>
      <c r="I296" s="196"/>
      <c r="J296" s="9" t="str">
        <f t="shared" ca="1" si="64"/>
        <v/>
      </c>
      <c r="K296" s="9" t="str">
        <f t="shared" ca="1" si="65"/>
        <v/>
      </c>
      <c r="L296" s="9" t="str">
        <f t="shared" ca="1" si="66"/>
        <v/>
      </c>
      <c r="N296" s="176" t="str">
        <f t="shared" ca="1" si="75"/>
        <v/>
      </c>
      <c r="O296" s="176" t="str">
        <f t="shared" ca="1" si="78"/>
        <v/>
      </c>
      <c r="P296" s="175" t="str">
        <f t="shared" ca="1" si="67"/>
        <v/>
      </c>
      <c r="Q296" s="11" t="str">
        <f t="shared" ca="1" si="68"/>
        <v/>
      </c>
      <c r="R296" s="12" t="str">
        <f t="shared" ca="1" si="69"/>
        <v/>
      </c>
    </row>
    <row r="297" spans="1:18">
      <c r="A297" s="198" t="str">
        <f t="shared" ca="1" si="79"/>
        <v/>
      </c>
      <c r="B297" s="197" t="str">
        <f t="shared" ca="1" si="76"/>
        <v/>
      </c>
      <c r="C297" s="196">
        <f t="shared" ca="1" si="70"/>
        <v>0</v>
      </c>
      <c r="D297" s="21" t="str">
        <f t="shared" ca="1" si="77"/>
        <v/>
      </c>
      <c r="E297" s="196">
        <f t="shared" ca="1" si="71"/>
        <v>10732.695159707817</v>
      </c>
      <c r="F297" s="178" t="str">
        <f t="shared" ca="1" si="72"/>
        <v/>
      </c>
      <c r="G297" s="178" t="str">
        <f t="shared" ca="1" si="73"/>
        <v/>
      </c>
      <c r="H297" s="177" t="str">
        <f t="shared" ca="1" si="74"/>
        <v/>
      </c>
      <c r="I297" s="196"/>
      <c r="J297" s="9" t="str">
        <f t="shared" ca="1" si="64"/>
        <v/>
      </c>
      <c r="K297" s="9" t="str">
        <f t="shared" ca="1" si="65"/>
        <v/>
      </c>
      <c r="L297" s="9" t="str">
        <f t="shared" ca="1" si="66"/>
        <v/>
      </c>
      <c r="N297" s="176" t="str">
        <f t="shared" ca="1" si="75"/>
        <v/>
      </c>
      <c r="O297" s="176" t="str">
        <f t="shared" ca="1" si="78"/>
        <v/>
      </c>
      <c r="P297" s="175" t="str">
        <f t="shared" ca="1" si="67"/>
        <v/>
      </c>
      <c r="Q297" s="11" t="str">
        <f t="shared" ca="1" si="68"/>
        <v/>
      </c>
      <c r="R297" s="12" t="str">
        <f t="shared" ca="1" si="69"/>
        <v/>
      </c>
    </row>
    <row r="298" spans="1:18">
      <c r="A298" s="198" t="str">
        <f t="shared" ca="1" si="79"/>
        <v/>
      </c>
      <c r="B298" s="197" t="str">
        <f t="shared" ca="1" si="76"/>
        <v/>
      </c>
      <c r="C298" s="196">
        <f t="shared" ca="1" si="70"/>
        <v>0</v>
      </c>
      <c r="D298" s="21" t="str">
        <f t="shared" ca="1" si="77"/>
        <v/>
      </c>
      <c r="E298" s="196">
        <f t="shared" ca="1" si="71"/>
        <v>10732.695159707817</v>
      </c>
      <c r="F298" s="178" t="str">
        <f t="shared" ca="1" si="72"/>
        <v/>
      </c>
      <c r="G298" s="178" t="str">
        <f t="shared" ca="1" si="73"/>
        <v/>
      </c>
      <c r="H298" s="177" t="str">
        <f t="shared" ca="1" si="74"/>
        <v/>
      </c>
      <c r="I298" s="196"/>
      <c r="J298" s="9" t="str">
        <f t="shared" ca="1" si="64"/>
        <v/>
      </c>
      <c r="K298" s="9" t="str">
        <f t="shared" ca="1" si="65"/>
        <v/>
      </c>
      <c r="L298" s="9" t="str">
        <f t="shared" ca="1" si="66"/>
        <v/>
      </c>
      <c r="N298" s="176" t="str">
        <f t="shared" ca="1" si="75"/>
        <v/>
      </c>
      <c r="O298" s="176" t="str">
        <f t="shared" ca="1" si="78"/>
        <v/>
      </c>
      <c r="P298" s="175" t="str">
        <f t="shared" ca="1" si="67"/>
        <v/>
      </c>
      <c r="Q298" s="11" t="str">
        <f t="shared" ca="1" si="68"/>
        <v/>
      </c>
      <c r="R298" s="12" t="str">
        <f t="shared" ca="1" si="69"/>
        <v/>
      </c>
    </row>
    <row r="299" spans="1:18">
      <c r="A299" s="198" t="str">
        <f t="shared" ca="1" si="79"/>
        <v/>
      </c>
      <c r="B299" s="197" t="str">
        <f t="shared" ca="1" si="76"/>
        <v/>
      </c>
      <c r="C299" s="196">
        <f t="shared" ca="1" si="70"/>
        <v>0</v>
      </c>
      <c r="D299" s="21" t="str">
        <f t="shared" ca="1" si="77"/>
        <v/>
      </c>
      <c r="E299" s="196">
        <f t="shared" ca="1" si="71"/>
        <v>10732.695159707817</v>
      </c>
      <c r="F299" s="178" t="str">
        <f t="shared" ca="1" si="72"/>
        <v/>
      </c>
      <c r="G299" s="178" t="str">
        <f t="shared" ca="1" si="73"/>
        <v/>
      </c>
      <c r="H299" s="177" t="str">
        <f t="shared" ca="1" si="74"/>
        <v/>
      </c>
      <c r="I299" s="196"/>
      <c r="J299" s="9" t="str">
        <f t="shared" ca="1" si="64"/>
        <v/>
      </c>
      <c r="K299" s="9" t="str">
        <f t="shared" ca="1" si="65"/>
        <v/>
      </c>
      <c r="L299" s="9" t="str">
        <f t="shared" ca="1" si="66"/>
        <v/>
      </c>
      <c r="N299" s="176" t="str">
        <f t="shared" ca="1" si="75"/>
        <v/>
      </c>
      <c r="O299" s="176" t="str">
        <f t="shared" ca="1" si="78"/>
        <v/>
      </c>
      <c r="P299" s="175" t="str">
        <f t="shared" ca="1" si="67"/>
        <v/>
      </c>
      <c r="Q299" s="11" t="str">
        <f t="shared" ca="1" si="68"/>
        <v/>
      </c>
      <c r="R299" s="12" t="str">
        <f t="shared" ca="1" si="69"/>
        <v/>
      </c>
    </row>
    <row r="300" spans="1:18">
      <c r="A300" s="198" t="str">
        <f t="shared" ca="1" si="79"/>
        <v/>
      </c>
      <c r="B300" s="197" t="str">
        <f t="shared" ca="1" si="76"/>
        <v/>
      </c>
      <c r="C300" s="196">
        <f t="shared" ca="1" si="70"/>
        <v>0</v>
      </c>
      <c r="D300" s="21" t="str">
        <f t="shared" ca="1" si="77"/>
        <v/>
      </c>
      <c r="E300" s="196">
        <f t="shared" ca="1" si="71"/>
        <v>10732.695159707817</v>
      </c>
      <c r="F300" s="178" t="str">
        <f t="shared" ca="1" si="72"/>
        <v/>
      </c>
      <c r="G300" s="178" t="str">
        <f t="shared" ca="1" si="73"/>
        <v/>
      </c>
      <c r="H300" s="177" t="str">
        <f t="shared" ca="1" si="74"/>
        <v/>
      </c>
      <c r="I300" s="196"/>
      <c r="J300" s="9" t="str">
        <f t="shared" ca="1" si="64"/>
        <v/>
      </c>
      <c r="K300" s="9" t="str">
        <f t="shared" ca="1" si="65"/>
        <v/>
      </c>
      <c r="L300" s="9" t="str">
        <f t="shared" ca="1" si="66"/>
        <v/>
      </c>
      <c r="N300" s="176" t="str">
        <f t="shared" ca="1" si="75"/>
        <v/>
      </c>
      <c r="O300" s="176" t="str">
        <f t="shared" ca="1" si="78"/>
        <v/>
      </c>
      <c r="P300" s="175" t="str">
        <f t="shared" ca="1" si="67"/>
        <v/>
      </c>
      <c r="Q300" s="11" t="str">
        <f t="shared" ca="1" si="68"/>
        <v/>
      </c>
      <c r="R300" s="12" t="str">
        <f t="shared" ca="1" si="69"/>
        <v/>
      </c>
    </row>
    <row r="301" spans="1:18">
      <c r="A301" s="198" t="str">
        <f t="shared" ca="1" si="79"/>
        <v/>
      </c>
      <c r="B301" s="197" t="str">
        <f t="shared" ca="1" si="76"/>
        <v/>
      </c>
      <c r="C301" s="196">
        <f t="shared" ca="1" si="70"/>
        <v>0</v>
      </c>
      <c r="D301" s="21" t="str">
        <f t="shared" ca="1" si="77"/>
        <v/>
      </c>
      <c r="E301" s="196">
        <f t="shared" ca="1" si="71"/>
        <v>10732.695159707817</v>
      </c>
      <c r="F301" s="178" t="str">
        <f t="shared" ca="1" si="72"/>
        <v/>
      </c>
      <c r="G301" s="178" t="str">
        <f t="shared" ca="1" si="73"/>
        <v/>
      </c>
      <c r="H301" s="177" t="str">
        <f t="shared" ca="1" si="74"/>
        <v/>
      </c>
      <c r="I301" s="196"/>
      <c r="J301" s="9" t="str">
        <f t="shared" ca="1" si="64"/>
        <v/>
      </c>
      <c r="K301" s="9" t="str">
        <f t="shared" ca="1" si="65"/>
        <v/>
      </c>
      <c r="L301" s="9" t="str">
        <f t="shared" ca="1" si="66"/>
        <v/>
      </c>
      <c r="N301" s="176" t="str">
        <f t="shared" ca="1" si="75"/>
        <v/>
      </c>
      <c r="O301" s="176" t="str">
        <f t="shared" ca="1" si="78"/>
        <v/>
      </c>
      <c r="P301" s="175" t="str">
        <f t="shared" ca="1" si="67"/>
        <v/>
      </c>
      <c r="Q301" s="11" t="str">
        <f t="shared" ca="1" si="68"/>
        <v/>
      </c>
      <c r="R301" s="12" t="str">
        <f t="shared" ca="1" si="69"/>
        <v/>
      </c>
    </row>
    <row r="302" spans="1:18">
      <c r="A302" s="198" t="str">
        <f t="shared" ca="1" si="79"/>
        <v/>
      </c>
      <c r="B302" s="197" t="str">
        <f t="shared" ca="1" si="76"/>
        <v/>
      </c>
      <c r="C302" s="196">
        <f t="shared" ca="1" si="70"/>
        <v>0</v>
      </c>
      <c r="D302" s="21" t="str">
        <f t="shared" ca="1" si="77"/>
        <v/>
      </c>
      <c r="E302" s="196">
        <f t="shared" ca="1" si="71"/>
        <v>10732.695159707817</v>
      </c>
      <c r="F302" s="178" t="str">
        <f t="shared" ca="1" si="72"/>
        <v/>
      </c>
      <c r="G302" s="178" t="str">
        <f t="shared" ca="1" si="73"/>
        <v/>
      </c>
      <c r="H302" s="177" t="str">
        <f t="shared" ca="1" si="74"/>
        <v/>
      </c>
      <c r="I302" s="196"/>
      <c r="J302" s="9" t="str">
        <f t="shared" ca="1" si="64"/>
        <v/>
      </c>
      <c r="K302" s="9" t="str">
        <f t="shared" ca="1" si="65"/>
        <v/>
      </c>
      <c r="L302" s="9" t="str">
        <f t="shared" ca="1" si="66"/>
        <v/>
      </c>
      <c r="N302" s="176" t="str">
        <f t="shared" ca="1" si="75"/>
        <v/>
      </c>
      <c r="O302" s="176" t="str">
        <f t="shared" ca="1" si="78"/>
        <v/>
      </c>
      <c r="P302" s="175" t="str">
        <f t="shared" ca="1" si="67"/>
        <v/>
      </c>
      <c r="Q302" s="11" t="str">
        <f t="shared" ca="1" si="68"/>
        <v/>
      </c>
      <c r="R302" s="12" t="str">
        <f t="shared" ca="1" si="69"/>
        <v/>
      </c>
    </row>
    <row r="303" spans="1:18">
      <c r="A303" s="198" t="str">
        <f t="shared" ca="1" si="79"/>
        <v/>
      </c>
      <c r="B303" s="197" t="str">
        <f t="shared" ca="1" si="76"/>
        <v/>
      </c>
      <c r="C303" s="196">
        <f t="shared" ca="1" si="70"/>
        <v>0</v>
      </c>
      <c r="D303" s="21" t="str">
        <f t="shared" ca="1" si="77"/>
        <v/>
      </c>
      <c r="E303" s="196">
        <f t="shared" ca="1" si="71"/>
        <v>10732.695159707817</v>
      </c>
      <c r="F303" s="178" t="str">
        <f t="shared" ca="1" si="72"/>
        <v/>
      </c>
      <c r="G303" s="178" t="str">
        <f t="shared" ca="1" si="73"/>
        <v/>
      </c>
      <c r="H303" s="177" t="str">
        <f t="shared" ca="1" si="74"/>
        <v/>
      </c>
      <c r="I303" s="196"/>
      <c r="J303" s="9" t="str">
        <f t="shared" ca="1" si="64"/>
        <v/>
      </c>
      <c r="K303" s="9" t="str">
        <f t="shared" ca="1" si="65"/>
        <v/>
      </c>
      <c r="L303" s="9" t="str">
        <f t="shared" ca="1" si="66"/>
        <v/>
      </c>
      <c r="N303" s="176" t="str">
        <f t="shared" ca="1" si="75"/>
        <v/>
      </c>
      <c r="O303" s="176" t="str">
        <f t="shared" ca="1" si="78"/>
        <v/>
      </c>
      <c r="P303" s="175" t="str">
        <f t="shared" ca="1" si="67"/>
        <v/>
      </c>
      <c r="Q303" s="11" t="str">
        <f t="shared" ca="1" si="68"/>
        <v/>
      </c>
      <c r="R303" s="12" t="str">
        <f t="shared" ca="1" si="69"/>
        <v/>
      </c>
    </row>
    <row r="304" spans="1:18">
      <c r="A304" s="198" t="str">
        <f t="shared" ca="1" si="79"/>
        <v/>
      </c>
      <c r="B304" s="197" t="str">
        <f t="shared" ca="1" si="76"/>
        <v/>
      </c>
      <c r="C304" s="196">
        <f t="shared" ca="1" si="70"/>
        <v>0</v>
      </c>
      <c r="D304" s="21" t="str">
        <f t="shared" ca="1" si="77"/>
        <v/>
      </c>
      <c r="E304" s="196">
        <f t="shared" ca="1" si="71"/>
        <v>10732.695159707817</v>
      </c>
      <c r="F304" s="178" t="str">
        <f t="shared" ca="1" si="72"/>
        <v/>
      </c>
      <c r="G304" s="178" t="str">
        <f t="shared" ca="1" si="73"/>
        <v/>
      </c>
      <c r="H304" s="177" t="str">
        <f t="shared" ca="1" si="74"/>
        <v/>
      </c>
      <c r="I304" s="196"/>
      <c r="J304" s="9" t="str">
        <f t="shared" ca="1" si="64"/>
        <v/>
      </c>
      <c r="K304" s="9" t="str">
        <f t="shared" ca="1" si="65"/>
        <v/>
      </c>
      <c r="L304" s="9" t="str">
        <f t="shared" ca="1" si="66"/>
        <v/>
      </c>
      <c r="N304" s="176" t="str">
        <f t="shared" ca="1" si="75"/>
        <v/>
      </c>
      <c r="O304" s="176" t="str">
        <f t="shared" ca="1" si="78"/>
        <v/>
      </c>
      <c r="P304" s="175" t="str">
        <f t="shared" ca="1" si="67"/>
        <v/>
      </c>
      <c r="Q304" s="11" t="str">
        <f t="shared" ca="1" si="68"/>
        <v/>
      </c>
      <c r="R304" s="12" t="str">
        <f t="shared" ca="1" si="69"/>
        <v/>
      </c>
    </row>
    <row r="305" spans="1:18">
      <c r="A305" s="198" t="str">
        <f t="shared" ca="1" si="79"/>
        <v/>
      </c>
      <c r="B305" s="197" t="str">
        <f t="shared" ca="1" si="76"/>
        <v/>
      </c>
      <c r="C305" s="196">
        <f t="shared" ca="1" si="70"/>
        <v>0</v>
      </c>
      <c r="D305" s="21" t="str">
        <f t="shared" ca="1" si="77"/>
        <v/>
      </c>
      <c r="E305" s="196">
        <f t="shared" ca="1" si="71"/>
        <v>10732.695159707817</v>
      </c>
      <c r="F305" s="178" t="str">
        <f t="shared" ca="1" si="72"/>
        <v/>
      </c>
      <c r="G305" s="178" t="str">
        <f t="shared" ca="1" si="73"/>
        <v/>
      </c>
      <c r="H305" s="177" t="str">
        <f t="shared" ca="1" si="74"/>
        <v/>
      </c>
      <c r="I305" s="196"/>
      <c r="J305" s="9" t="str">
        <f t="shared" ca="1" si="64"/>
        <v/>
      </c>
      <c r="K305" s="9" t="str">
        <f t="shared" ca="1" si="65"/>
        <v/>
      </c>
      <c r="L305" s="9" t="str">
        <f t="shared" ca="1" si="66"/>
        <v/>
      </c>
      <c r="N305" s="176" t="str">
        <f t="shared" ca="1" si="75"/>
        <v/>
      </c>
      <c r="O305" s="176" t="str">
        <f t="shared" ca="1" si="78"/>
        <v/>
      </c>
      <c r="P305" s="175" t="str">
        <f t="shared" ca="1" si="67"/>
        <v/>
      </c>
      <c r="Q305" s="11" t="str">
        <f t="shared" ca="1" si="68"/>
        <v/>
      </c>
      <c r="R305" s="12" t="str">
        <f t="shared" ca="1" si="69"/>
        <v/>
      </c>
    </row>
    <row r="306" spans="1:18">
      <c r="A306" s="198" t="str">
        <f t="shared" ca="1" si="79"/>
        <v/>
      </c>
      <c r="B306" s="197" t="str">
        <f t="shared" ca="1" si="76"/>
        <v/>
      </c>
      <c r="C306" s="196">
        <f t="shared" ca="1" si="70"/>
        <v>0</v>
      </c>
      <c r="D306" s="21" t="str">
        <f t="shared" ca="1" si="77"/>
        <v/>
      </c>
      <c r="E306" s="196">
        <f t="shared" ca="1" si="71"/>
        <v>10732.695159707817</v>
      </c>
      <c r="F306" s="178" t="str">
        <f t="shared" ca="1" si="72"/>
        <v/>
      </c>
      <c r="G306" s="178" t="str">
        <f t="shared" ca="1" si="73"/>
        <v/>
      </c>
      <c r="H306" s="177" t="str">
        <f t="shared" ca="1" si="74"/>
        <v/>
      </c>
      <c r="I306" s="196"/>
      <c r="J306" s="9" t="str">
        <f t="shared" ca="1" si="64"/>
        <v/>
      </c>
      <c r="K306" s="9" t="str">
        <f t="shared" ca="1" si="65"/>
        <v/>
      </c>
      <c r="L306" s="9" t="str">
        <f t="shared" ca="1" si="66"/>
        <v/>
      </c>
      <c r="N306" s="176" t="str">
        <f t="shared" ca="1" si="75"/>
        <v/>
      </c>
      <c r="O306" s="176" t="str">
        <f t="shared" ca="1" si="78"/>
        <v/>
      </c>
      <c r="P306" s="175" t="str">
        <f t="shared" ca="1" si="67"/>
        <v/>
      </c>
      <c r="Q306" s="11" t="str">
        <f t="shared" ca="1" si="68"/>
        <v/>
      </c>
      <c r="R306" s="12" t="str">
        <f t="shared" ca="1" si="69"/>
        <v/>
      </c>
    </row>
    <row r="307" spans="1:18">
      <c r="A307" s="198" t="str">
        <f t="shared" ca="1" si="79"/>
        <v/>
      </c>
      <c r="B307" s="197" t="str">
        <f t="shared" ca="1" si="76"/>
        <v/>
      </c>
      <c r="C307" s="196">
        <f t="shared" ca="1" si="70"/>
        <v>0</v>
      </c>
      <c r="D307" s="21" t="str">
        <f t="shared" ca="1" si="77"/>
        <v/>
      </c>
      <c r="E307" s="196">
        <f t="shared" ca="1" si="71"/>
        <v>10732.695159707817</v>
      </c>
      <c r="F307" s="178" t="str">
        <f t="shared" ca="1" si="72"/>
        <v/>
      </c>
      <c r="G307" s="178" t="str">
        <f t="shared" ca="1" si="73"/>
        <v/>
      </c>
      <c r="H307" s="177" t="str">
        <f t="shared" ca="1" si="74"/>
        <v/>
      </c>
      <c r="I307" s="196"/>
      <c r="J307" s="9" t="str">
        <f t="shared" ca="1" si="64"/>
        <v/>
      </c>
      <c r="K307" s="9" t="str">
        <f t="shared" ca="1" si="65"/>
        <v/>
      </c>
      <c r="L307" s="9" t="str">
        <f t="shared" ca="1" si="66"/>
        <v/>
      </c>
      <c r="N307" s="176" t="str">
        <f t="shared" ca="1" si="75"/>
        <v/>
      </c>
      <c r="O307" s="176" t="str">
        <f t="shared" ca="1" si="78"/>
        <v/>
      </c>
      <c r="P307" s="175" t="str">
        <f t="shared" ca="1" si="67"/>
        <v/>
      </c>
      <c r="Q307" s="11" t="str">
        <f t="shared" ca="1" si="68"/>
        <v/>
      </c>
      <c r="R307" s="12" t="str">
        <f t="shared" ca="1" si="69"/>
        <v/>
      </c>
    </row>
    <row r="308" spans="1:18">
      <c r="A308" s="198" t="str">
        <f t="shared" ca="1" si="79"/>
        <v/>
      </c>
      <c r="B308" s="197" t="str">
        <f t="shared" ca="1" si="76"/>
        <v/>
      </c>
      <c r="C308" s="196">
        <f t="shared" ca="1" si="70"/>
        <v>0</v>
      </c>
      <c r="D308" s="21" t="str">
        <f t="shared" ca="1" si="77"/>
        <v/>
      </c>
      <c r="E308" s="196">
        <f t="shared" ca="1" si="71"/>
        <v>10732.695159707817</v>
      </c>
      <c r="F308" s="178" t="str">
        <f t="shared" ca="1" si="72"/>
        <v/>
      </c>
      <c r="G308" s="178" t="str">
        <f t="shared" ca="1" si="73"/>
        <v/>
      </c>
      <c r="H308" s="177" t="str">
        <f t="shared" ca="1" si="74"/>
        <v/>
      </c>
      <c r="I308" s="196"/>
      <c r="J308" s="9" t="str">
        <f t="shared" ca="1" si="64"/>
        <v/>
      </c>
      <c r="K308" s="9" t="str">
        <f t="shared" ca="1" si="65"/>
        <v/>
      </c>
      <c r="L308" s="9" t="str">
        <f t="shared" ca="1" si="66"/>
        <v/>
      </c>
      <c r="N308" s="176" t="str">
        <f t="shared" ca="1" si="75"/>
        <v/>
      </c>
      <c r="O308" s="176" t="str">
        <f t="shared" ca="1" si="78"/>
        <v/>
      </c>
      <c r="P308" s="175" t="str">
        <f t="shared" ca="1" si="67"/>
        <v/>
      </c>
      <c r="Q308" s="11" t="str">
        <f t="shared" ca="1" si="68"/>
        <v/>
      </c>
      <c r="R308" s="12" t="str">
        <f t="shared" ca="1" si="69"/>
        <v/>
      </c>
    </row>
    <row r="309" spans="1:18">
      <c r="A309" s="198" t="str">
        <f t="shared" ca="1" si="79"/>
        <v/>
      </c>
      <c r="B309" s="197" t="str">
        <f t="shared" ca="1" si="76"/>
        <v/>
      </c>
      <c r="C309" s="196">
        <f t="shared" ca="1" si="70"/>
        <v>0</v>
      </c>
      <c r="D309" s="21" t="str">
        <f t="shared" ca="1" si="77"/>
        <v/>
      </c>
      <c r="E309" s="196">
        <f t="shared" ca="1" si="71"/>
        <v>10732.695159707817</v>
      </c>
      <c r="F309" s="178" t="str">
        <f t="shared" ca="1" si="72"/>
        <v/>
      </c>
      <c r="G309" s="178" t="str">
        <f t="shared" ca="1" si="73"/>
        <v/>
      </c>
      <c r="H309" s="177" t="str">
        <f t="shared" ca="1" si="74"/>
        <v/>
      </c>
      <c r="I309" s="196"/>
      <c r="J309" s="9" t="str">
        <f t="shared" ca="1" si="64"/>
        <v/>
      </c>
      <c r="K309" s="9" t="str">
        <f t="shared" ca="1" si="65"/>
        <v/>
      </c>
      <c r="L309" s="9" t="str">
        <f t="shared" ca="1" si="66"/>
        <v/>
      </c>
      <c r="N309" s="176" t="str">
        <f t="shared" ca="1" si="75"/>
        <v/>
      </c>
      <c r="O309" s="176" t="str">
        <f t="shared" ca="1" si="78"/>
        <v/>
      </c>
      <c r="P309" s="175" t="str">
        <f t="shared" ca="1" si="67"/>
        <v/>
      </c>
      <c r="Q309" s="11" t="str">
        <f t="shared" ca="1" si="68"/>
        <v/>
      </c>
      <c r="R309" s="12" t="str">
        <f t="shared" ca="1" si="69"/>
        <v/>
      </c>
    </row>
    <row r="310" spans="1:18">
      <c r="A310" s="198" t="str">
        <f t="shared" ca="1" si="79"/>
        <v/>
      </c>
      <c r="B310" s="197" t="str">
        <f t="shared" ca="1" si="76"/>
        <v/>
      </c>
      <c r="C310" s="196">
        <f t="shared" ca="1" si="70"/>
        <v>0</v>
      </c>
      <c r="D310" s="21" t="str">
        <f t="shared" ca="1" si="77"/>
        <v/>
      </c>
      <c r="E310" s="196">
        <f t="shared" ca="1" si="71"/>
        <v>10732.695159707817</v>
      </c>
      <c r="F310" s="178" t="str">
        <f t="shared" ca="1" si="72"/>
        <v/>
      </c>
      <c r="G310" s="178" t="str">
        <f t="shared" ca="1" si="73"/>
        <v/>
      </c>
      <c r="H310" s="177" t="str">
        <f t="shared" ca="1" si="74"/>
        <v/>
      </c>
      <c r="I310" s="196"/>
      <c r="J310" s="9" t="str">
        <f t="shared" ca="1" si="64"/>
        <v/>
      </c>
      <c r="K310" s="9" t="str">
        <f t="shared" ca="1" si="65"/>
        <v/>
      </c>
      <c r="L310" s="9" t="str">
        <f t="shared" ca="1" si="66"/>
        <v/>
      </c>
      <c r="N310" s="176" t="str">
        <f t="shared" ca="1" si="75"/>
        <v/>
      </c>
      <c r="O310" s="176" t="str">
        <f t="shared" ca="1" si="78"/>
        <v/>
      </c>
      <c r="P310" s="175" t="str">
        <f t="shared" ca="1" si="67"/>
        <v/>
      </c>
      <c r="Q310" s="11" t="str">
        <f t="shared" ca="1" si="68"/>
        <v/>
      </c>
      <c r="R310" s="12" t="str">
        <f t="shared" ca="1" si="69"/>
        <v/>
      </c>
    </row>
    <row r="311" spans="1:18">
      <c r="A311" s="198" t="str">
        <f t="shared" ca="1" si="79"/>
        <v/>
      </c>
      <c r="B311" s="197" t="str">
        <f t="shared" ca="1" si="76"/>
        <v/>
      </c>
      <c r="C311" s="196">
        <f t="shared" ca="1" si="70"/>
        <v>0</v>
      </c>
      <c r="D311" s="21" t="str">
        <f t="shared" ca="1" si="77"/>
        <v/>
      </c>
      <c r="E311" s="196">
        <f t="shared" ca="1" si="71"/>
        <v>10732.695159707817</v>
      </c>
      <c r="F311" s="178" t="str">
        <f t="shared" ca="1" si="72"/>
        <v/>
      </c>
      <c r="G311" s="178" t="str">
        <f t="shared" ca="1" si="73"/>
        <v/>
      </c>
      <c r="H311" s="177" t="str">
        <f t="shared" ca="1" si="74"/>
        <v/>
      </c>
      <c r="I311" s="196"/>
      <c r="J311" s="9" t="str">
        <f t="shared" ca="1" si="64"/>
        <v/>
      </c>
      <c r="K311" s="9" t="str">
        <f t="shared" ca="1" si="65"/>
        <v/>
      </c>
      <c r="L311" s="9" t="str">
        <f t="shared" ca="1" si="66"/>
        <v/>
      </c>
      <c r="N311" s="176" t="str">
        <f t="shared" ca="1" si="75"/>
        <v/>
      </c>
      <c r="O311" s="176" t="str">
        <f t="shared" ca="1" si="78"/>
        <v/>
      </c>
      <c r="P311" s="175" t="str">
        <f t="shared" ca="1" si="67"/>
        <v/>
      </c>
      <c r="Q311" s="11" t="str">
        <f t="shared" ca="1" si="68"/>
        <v/>
      </c>
      <c r="R311" s="12" t="str">
        <f t="shared" ca="1" si="69"/>
        <v/>
      </c>
    </row>
    <row r="312" spans="1:18">
      <c r="A312" s="198" t="str">
        <f t="shared" ca="1" si="79"/>
        <v/>
      </c>
      <c r="B312" s="197" t="str">
        <f t="shared" ca="1" si="76"/>
        <v/>
      </c>
      <c r="C312" s="196">
        <f t="shared" ca="1" si="70"/>
        <v>0</v>
      </c>
      <c r="D312" s="21" t="str">
        <f t="shared" ca="1" si="77"/>
        <v/>
      </c>
      <c r="E312" s="196">
        <f t="shared" ca="1" si="71"/>
        <v>10732.695159707817</v>
      </c>
      <c r="F312" s="178" t="str">
        <f t="shared" ca="1" si="72"/>
        <v/>
      </c>
      <c r="G312" s="178" t="str">
        <f t="shared" ca="1" si="73"/>
        <v/>
      </c>
      <c r="H312" s="177" t="str">
        <f t="shared" ca="1" si="74"/>
        <v/>
      </c>
      <c r="I312" s="196"/>
      <c r="J312" s="9" t="str">
        <f t="shared" ca="1" si="64"/>
        <v/>
      </c>
      <c r="K312" s="9" t="str">
        <f t="shared" ca="1" si="65"/>
        <v/>
      </c>
      <c r="L312" s="9" t="str">
        <f t="shared" ca="1" si="66"/>
        <v/>
      </c>
      <c r="N312" s="176" t="str">
        <f t="shared" ca="1" si="75"/>
        <v/>
      </c>
      <c r="O312" s="176" t="str">
        <f t="shared" ca="1" si="78"/>
        <v/>
      </c>
      <c r="P312" s="175" t="str">
        <f t="shared" ca="1" si="67"/>
        <v/>
      </c>
      <c r="Q312" s="11" t="str">
        <f t="shared" ca="1" si="68"/>
        <v/>
      </c>
      <c r="R312" s="12" t="str">
        <f t="shared" ca="1" si="69"/>
        <v/>
      </c>
    </row>
    <row r="313" spans="1:18">
      <c r="A313" s="198" t="str">
        <f t="shared" ca="1" si="79"/>
        <v/>
      </c>
      <c r="B313" s="197" t="str">
        <f t="shared" ca="1" si="76"/>
        <v/>
      </c>
      <c r="C313" s="196">
        <f t="shared" ca="1" si="70"/>
        <v>0</v>
      </c>
      <c r="D313" s="21" t="str">
        <f t="shared" ca="1" si="77"/>
        <v/>
      </c>
      <c r="E313" s="196">
        <f t="shared" ca="1" si="71"/>
        <v>10732.695159707817</v>
      </c>
      <c r="F313" s="178" t="str">
        <f t="shared" ca="1" si="72"/>
        <v/>
      </c>
      <c r="G313" s="178" t="str">
        <f t="shared" ca="1" si="73"/>
        <v/>
      </c>
      <c r="H313" s="177" t="str">
        <f t="shared" ca="1" si="74"/>
        <v/>
      </c>
      <c r="I313" s="196"/>
      <c r="J313" s="9" t="str">
        <f t="shared" ca="1" si="64"/>
        <v/>
      </c>
      <c r="K313" s="9" t="str">
        <f t="shared" ca="1" si="65"/>
        <v/>
      </c>
      <c r="L313" s="9" t="str">
        <f t="shared" ca="1" si="66"/>
        <v/>
      </c>
      <c r="N313" s="176" t="str">
        <f t="shared" ca="1" si="75"/>
        <v/>
      </c>
      <c r="O313" s="176" t="str">
        <f t="shared" ca="1" si="78"/>
        <v/>
      </c>
      <c r="P313" s="175" t="str">
        <f t="shared" ca="1" si="67"/>
        <v/>
      </c>
      <c r="Q313" s="11" t="str">
        <f t="shared" ca="1" si="68"/>
        <v/>
      </c>
      <c r="R313" s="12" t="str">
        <f t="shared" ca="1" si="69"/>
        <v/>
      </c>
    </row>
    <row r="314" spans="1:18">
      <c r="A314" s="198" t="str">
        <f t="shared" ca="1" si="79"/>
        <v/>
      </c>
      <c r="B314" s="197" t="str">
        <f t="shared" ca="1" si="76"/>
        <v/>
      </c>
      <c r="C314" s="196">
        <f t="shared" ca="1" si="70"/>
        <v>0</v>
      </c>
      <c r="D314" s="21" t="str">
        <f t="shared" ca="1" si="77"/>
        <v/>
      </c>
      <c r="E314" s="196">
        <f t="shared" ca="1" si="71"/>
        <v>10732.695159707817</v>
      </c>
      <c r="F314" s="178" t="str">
        <f t="shared" ca="1" si="72"/>
        <v/>
      </c>
      <c r="G314" s="178" t="str">
        <f t="shared" ca="1" si="73"/>
        <v/>
      </c>
      <c r="H314" s="177" t="str">
        <f t="shared" ca="1" si="74"/>
        <v/>
      </c>
      <c r="I314" s="196"/>
      <c r="J314" s="9" t="str">
        <f t="shared" ca="1" si="64"/>
        <v/>
      </c>
      <c r="K314" s="9" t="str">
        <f t="shared" ca="1" si="65"/>
        <v/>
      </c>
      <c r="L314" s="9" t="str">
        <f t="shared" ca="1" si="66"/>
        <v/>
      </c>
      <c r="N314" s="176" t="str">
        <f t="shared" ca="1" si="75"/>
        <v/>
      </c>
      <c r="O314" s="176" t="str">
        <f t="shared" ca="1" si="78"/>
        <v/>
      </c>
      <c r="P314" s="175" t="str">
        <f t="shared" ca="1" si="67"/>
        <v/>
      </c>
      <c r="Q314" s="11" t="str">
        <f t="shared" ca="1" si="68"/>
        <v/>
      </c>
      <c r="R314" s="12" t="str">
        <f t="shared" ca="1" si="69"/>
        <v/>
      </c>
    </row>
    <row r="315" spans="1:18">
      <c r="A315" s="198" t="str">
        <f t="shared" ca="1" si="79"/>
        <v/>
      </c>
      <c r="B315" s="197" t="str">
        <f t="shared" ca="1" si="76"/>
        <v/>
      </c>
      <c r="C315" s="196">
        <f t="shared" ca="1" si="70"/>
        <v>0</v>
      </c>
      <c r="D315" s="21" t="str">
        <f t="shared" ca="1" si="77"/>
        <v/>
      </c>
      <c r="E315" s="196">
        <f t="shared" ca="1" si="71"/>
        <v>10732.695159707817</v>
      </c>
      <c r="F315" s="178" t="str">
        <f t="shared" ca="1" si="72"/>
        <v/>
      </c>
      <c r="G315" s="178" t="str">
        <f t="shared" ca="1" si="73"/>
        <v/>
      </c>
      <c r="H315" s="177" t="str">
        <f t="shared" ca="1" si="74"/>
        <v/>
      </c>
      <c r="I315" s="196"/>
      <c r="J315" s="9" t="str">
        <f t="shared" ca="1" si="64"/>
        <v/>
      </c>
      <c r="K315" s="9" t="str">
        <f t="shared" ca="1" si="65"/>
        <v/>
      </c>
      <c r="L315" s="9" t="str">
        <f t="shared" ca="1" si="66"/>
        <v/>
      </c>
      <c r="N315" s="176" t="str">
        <f t="shared" ca="1" si="75"/>
        <v/>
      </c>
      <c r="O315" s="176" t="str">
        <f t="shared" ca="1" si="78"/>
        <v/>
      </c>
      <c r="P315" s="175" t="str">
        <f t="shared" ca="1" si="67"/>
        <v/>
      </c>
      <c r="Q315" s="11" t="str">
        <f t="shared" ca="1" si="68"/>
        <v/>
      </c>
      <c r="R315" s="12" t="str">
        <f t="shared" ca="1" si="69"/>
        <v/>
      </c>
    </row>
    <row r="316" spans="1:18">
      <c r="A316" s="198" t="str">
        <f t="shared" ca="1" si="79"/>
        <v/>
      </c>
      <c r="B316" s="197" t="str">
        <f t="shared" ca="1" si="76"/>
        <v/>
      </c>
      <c r="C316" s="196">
        <f t="shared" ca="1" si="70"/>
        <v>0</v>
      </c>
      <c r="D316" s="21" t="str">
        <f t="shared" ca="1" si="77"/>
        <v/>
      </c>
      <c r="E316" s="196">
        <f t="shared" ca="1" si="71"/>
        <v>10732.695159707817</v>
      </c>
      <c r="F316" s="178" t="str">
        <f t="shared" ca="1" si="72"/>
        <v/>
      </c>
      <c r="G316" s="178" t="str">
        <f t="shared" ca="1" si="73"/>
        <v/>
      </c>
      <c r="H316" s="177" t="str">
        <f t="shared" ca="1" si="74"/>
        <v/>
      </c>
      <c r="I316" s="196"/>
      <c r="J316" s="9" t="str">
        <f t="shared" ca="1" si="64"/>
        <v/>
      </c>
      <c r="K316" s="9" t="str">
        <f t="shared" ca="1" si="65"/>
        <v/>
      </c>
      <c r="L316" s="9" t="str">
        <f t="shared" ca="1" si="66"/>
        <v/>
      </c>
      <c r="N316" s="176" t="str">
        <f t="shared" ca="1" si="75"/>
        <v/>
      </c>
      <c r="O316" s="176" t="str">
        <f t="shared" ca="1" si="78"/>
        <v/>
      </c>
      <c r="P316" s="175" t="str">
        <f t="shared" ca="1" si="67"/>
        <v/>
      </c>
      <c r="Q316" s="11" t="str">
        <f t="shared" ca="1" si="68"/>
        <v/>
      </c>
      <c r="R316" s="12" t="str">
        <f t="shared" ca="1" si="69"/>
        <v/>
      </c>
    </row>
    <row r="317" spans="1:18">
      <c r="A317" s="198" t="str">
        <f t="shared" ca="1" si="79"/>
        <v/>
      </c>
      <c r="B317" s="197" t="str">
        <f t="shared" ca="1" si="76"/>
        <v/>
      </c>
      <c r="C317" s="196">
        <f t="shared" ca="1" si="70"/>
        <v>0</v>
      </c>
      <c r="D317" s="21" t="str">
        <f t="shared" ca="1" si="77"/>
        <v/>
      </c>
      <c r="E317" s="196">
        <f t="shared" ca="1" si="71"/>
        <v>10732.695159707817</v>
      </c>
      <c r="F317" s="178" t="str">
        <f t="shared" ca="1" si="72"/>
        <v/>
      </c>
      <c r="G317" s="178" t="str">
        <f t="shared" ca="1" si="73"/>
        <v/>
      </c>
      <c r="H317" s="177" t="str">
        <f t="shared" ca="1" si="74"/>
        <v/>
      </c>
      <c r="I317" s="196"/>
      <c r="J317" s="9" t="str">
        <f t="shared" ca="1" si="64"/>
        <v/>
      </c>
      <c r="K317" s="9" t="str">
        <f t="shared" ca="1" si="65"/>
        <v/>
      </c>
      <c r="L317" s="9" t="str">
        <f t="shared" ca="1" si="66"/>
        <v/>
      </c>
      <c r="N317" s="176" t="str">
        <f t="shared" ca="1" si="75"/>
        <v/>
      </c>
      <c r="O317" s="176" t="str">
        <f t="shared" ca="1" si="78"/>
        <v/>
      </c>
      <c r="P317" s="175" t="str">
        <f t="shared" ca="1" si="67"/>
        <v/>
      </c>
      <c r="Q317" s="11" t="str">
        <f t="shared" ca="1" si="68"/>
        <v/>
      </c>
      <c r="R317" s="12" t="str">
        <f t="shared" ca="1" si="69"/>
        <v/>
      </c>
    </row>
    <row r="318" spans="1:18">
      <c r="A318" s="198" t="str">
        <f t="shared" ca="1" si="79"/>
        <v/>
      </c>
      <c r="B318" s="197" t="str">
        <f t="shared" ca="1" si="76"/>
        <v/>
      </c>
      <c r="C318" s="196">
        <f t="shared" ca="1" si="70"/>
        <v>0</v>
      </c>
      <c r="D318" s="21" t="str">
        <f t="shared" ca="1" si="77"/>
        <v/>
      </c>
      <c r="E318" s="196">
        <f t="shared" ca="1" si="71"/>
        <v>10732.695159707817</v>
      </c>
      <c r="F318" s="178" t="str">
        <f t="shared" ca="1" si="72"/>
        <v/>
      </c>
      <c r="G318" s="178" t="str">
        <f t="shared" ca="1" si="73"/>
        <v/>
      </c>
      <c r="H318" s="177" t="str">
        <f t="shared" ca="1" si="74"/>
        <v/>
      </c>
      <c r="I318" s="196"/>
      <c r="J318" s="9" t="str">
        <f t="shared" ca="1" si="64"/>
        <v/>
      </c>
      <c r="K318" s="9" t="str">
        <f t="shared" ca="1" si="65"/>
        <v/>
      </c>
      <c r="L318" s="9" t="str">
        <f t="shared" ca="1" si="66"/>
        <v/>
      </c>
      <c r="N318" s="176" t="str">
        <f t="shared" ca="1" si="75"/>
        <v/>
      </c>
      <c r="O318" s="176" t="str">
        <f t="shared" ca="1" si="78"/>
        <v/>
      </c>
      <c r="P318" s="175" t="str">
        <f t="shared" ca="1" si="67"/>
        <v/>
      </c>
      <c r="Q318" s="11" t="str">
        <f t="shared" ca="1" si="68"/>
        <v/>
      </c>
      <c r="R318" s="12" t="str">
        <f t="shared" ca="1" si="69"/>
        <v/>
      </c>
    </row>
    <row r="319" spans="1:18">
      <c r="A319" s="198" t="str">
        <f t="shared" ca="1" si="79"/>
        <v/>
      </c>
      <c r="B319" s="197" t="str">
        <f t="shared" ca="1" si="76"/>
        <v/>
      </c>
      <c r="C319" s="196">
        <f t="shared" ca="1" si="70"/>
        <v>0</v>
      </c>
      <c r="D319" s="21" t="str">
        <f t="shared" ca="1" si="77"/>
        <v/>
      </c>
      <c r="E319" s="196">
        <f t="shared" ca="1" si="71"/>
        <v>10732.695159707817</v>
      </c>
      <c r="F319" s="178" t="str">
        <f t="shared" ca="1" si="72"/>
        <v/>
      </c>
      <c r="G319" s="178" t="str">
        <f t="shared" ca="1" si="73"/>
        <v/>
      </c>
      <c r="H319" s="177" t="str">
        <f t="shared" ca="1" si="74"/>
        <v/>
      </c>
      <c r="I319" s="196"/>
      <c r="J319" s="9" t="str">
        <f t="shared" ca="1" si="64"/>
        <v/>
      </c>
      <c r="K319" s="9" t="str">
        <f t="shared" ca="1" si="65"/>
        <v/>
      </c>
      <c r="L319" s="9" t="str">
        <f t="shared" ca="1" si="66"/>
        <v/>
      </c>
      <c r="N319" s="176" t="str">
        <f t="shared" ca="1" si="75"/>
        <v/>
      </c>
      <c r="O319" s="176" t="str">
        <f t="shared" ca="1" si="78"/>
        <v/>
      </c>
      <c r="P319" s="175" t="str">
        <f t="shared" ca="1" si="67"/>
        <v/>
      </c>
      <c r="Q319" s="11" t="str">
        <f t="shared" ca="1" si="68"/>
        <v/>
      </c>
      <c r="R319" s="12" t="str">
        <f t="shared" ca="1" si="69"/>
        <v/>
      </c>
    </row>
    <row r="320" spans="1:18">
      <c r="A320" s="198" t="str">
        <f t="shared" ca="1" si="79"/>
        <v/>
      </c>
      <c r="B320" s="197" t="str">
        <f t="shared" ca="1" si="76"/>
        <v/>
      </c>
      <c r="C320" s="196">
        <f t="shared" ca="1" si="70"/>
        <v>0</v>
      </c>
      <c r="D320" s="21" t="str">
        <f t="shared" ca="1" si="77"/>
        <v/>
      </c>
      <c r="E320" s="196">
        <f t="shared" ca="1" si="71"/>
        <v>10732.695159707817</v>
      </c>
      <c r="F320" s="178" t="str">
        <f t="shared" ca="1" si="72"/>
        <v/>
      </c>
      <c r="G320" s="178" t="str">
        <f t="shared" ca="1" si="73"/>
        <v/>
      </c>
      <c r="H320" s="177" t="str">
        <f t="shared" ca="1" si="74"/>
        <v/>
      </c>
      <c r="I320" s="196"/>
      <c r="J320" s="9" t="str">
        <f t="shared" ca="1" si="64"/>
        <v/>
      </c>
      <c r="K320" s="9" t="str">
        <f t="shared" ca="1" si="65"/>
        <v/>
      </c>
      <c r="L320" s="9" t="str">
        <f t="shared" ca="1" si="66"/>
        <v/>
      </c>
      <c r="N320" s="176" t="str">
        <f t="shared" ca="1" si="75"/>
        <v/>
      </c>
      <c r="O320" s="176" t="str">
        <f t="shared" ca="1" si="78"/>
        <v/>
      </c>
      <c r="P320" s="175" t="str">
        <f t="shared" ca="1" si="67"/>
        <v/>
      </c>
      <c r="Q320" s="11" t="str">
        <f t="shared" ca="1" si="68"/>
        <v/>
      </c>
      <c r="R320" s="12" t="str">
        <f t="shared" ca="1" si="69"/>
        <v/>
      </c>
    </row>
    <row r="321" spans="1:18">
      <c r="A321" s="198" t="str">
        <f t="shared" ca="1" si="79"/>
        <v/>
      </c>
      <c r="B321" s="197" t="str">
        <f t="shared" ca="1" si="76"/>
        <v/>
      </c>
      <c r="C321" s="196">
        <f t="shared" ca="1" si="70"/>
        <v>0</v>
      </c>
      <c r="D321" s="21" t="str">
        <f t="shared" ca="1" si="77"/>
        <v/>
      </c>
      <c r="E321" s="196">
        <f t="shared" ca="1" si="71"/>
        <v>10732.695159707817</v>
      </c>
      <c r="F321" s="178" t="str">
        <f t="shared" ca="1" si="72"/>
        <v/>
      </c>
      <c r="G321" s="178" t="str">
        <f t="shared" ca="1" si="73"/>
        <v/>
      </c>
      <c r="H321" s="177" t="str">
        <f t="shared" ca="1" si="74"/>
        <v/>
      </c>
      <c r="I321" s="196"/>
      <c r="J321" s="9" t="str">
        <f t="shared" ca="1" si="64"/>
        <v/>
      </c>
      <c r="K321" s="9" t="str">
        <f t="shared" ca="1" si="65"/>
        <v/>
      </c>
      <c r="L321" s="9" t="str">
        <f t="shared" ca="1" si="66"/>
        <v/>
      </c>
      <c r="N321" s="176" t="str">
        <f t="shared" ca="1" si="75"/>
        <v/>
      </c>
      <c r="O321" s="176" t="str">
        <f t="shared" ca="1" si="78"/>
        <v/>
      </c>
      <c r="P321" s="175" t="str">
        <f t="shared" ca="1" si="67"/>
        <v/>
      </c>
      <c r="Q321" s="11" t="str">
        <f t="shared" ca="1" si="68"/>
        <v/>
      </c>
      <c r="R321" s="12" t="str">
        <f t="shared" ca="1" si="69"/>
        <v/>
      </c>
    </row>
    <row r="322" spans="1:18">
      <c r="A322" s="198" t="str">
        <f t="shared" ca="1" si="79"/>
        <v/>
      </c>
      <c r="B322" s="197" t="str">
        <f t="shared" ca="1" si="76"/>
        <v/>
      </c>
      <c r="C322" s="196">
        <f t="shared" ca="1" si="70"/>
        <v>0</v>
      </c>
      <c r="D322" s="21" t="str">
        <f t="shared" ca="1" si="77"/>
        <v/>
      </c>
      <c r="E322" s="196">
        <f t="shared" ca="1" si="71"/>
        <v>10732.695159707817</v>
      </c>
      <c r="F322" s="178" t="str">
        <f t="shared" ca="1" si="72"/>
        <v/>
      </c>
      <c r="G322" s="178" t="str">
        <f t="shared" ca="1" si="73"/>
        <v/>
      </c>
      <c r="H322" s="177" t="str">
        <f t="shared" ca="1" si="74"/>
        <v/>
      </c>
      <c r="I322" s="196"/>
      <c r="J322" s="9" t="str">
        <f t="shared" ca="1" si="64"/>
        <v/>
      </c>
      <c r="K322" s="9" t="str">
        <f t="shared" ca="1" si="65"/>
        <v/>
      </c>
      <c r="L322" s="9" t="str">
        <f t="shared" ca="1" si="66"/>
        <v/>
      </c>
      <c r="N322" s="176" t="str">
        <f t="shared" ca="1" si="75"/>
        <v/>
      </c>
      <c r="O322" s="176" t="str">
        <f t="shared" ca="1" si="78"/>
        <v/>
      </c>
      <c r="P322" s="175" t="str">
        <f t="shared" ca="1" si="67"/>
        <v/>
      </c>
      <c r="Q322" s="11" t="str">
        <f t="shared" ca="1" si="68"/>
        <v/>
      </c>
      <c r="R322" s="12" t="str">
        <f t="shared" ca="1" si="69"/>
        <v/>
      </c>
    </row>
    <row r="323" spans="1:18">
      <c r="A323" s="198" t="str">
        <f t="shared" ca="1" si="79"/>
        <v/>
      </c>
      <c r="B323" s="197" t="str">
        <f t="shared" ca="1" si="76"/>
        <v/>
      </c>
      <c r="C323" s="196">
        <f t="shared" ca="1" si="70"/>
        <v>0</v>
      </c>
      <c r="D323" s="21" t="str">
        <f t="shared" ca="1" si="77"/>
        <v/>
      </c>
      <c r="E323" s="196">
        <f t="shared" ca="1" si="71"/>
        <v>10732.695159707817</v>
      </c>
      <c r="F323" s="178" t="str">
        <f t="shared" ca="1" si="72"/>
        <v/>
      </c>
      <c r="G323" s="178" t="str">
        <f t="shared" ca="1" si="73"/>
        <v/>
      </c>
      <c r="H323" s="177" t="str">
        <f t="shared" ca="1" si="74"/>
        <v/>
      </c>
      <c r="I323" s="196"/>
      <c r="J323" s="9" t="str">
        <f t="shared" ca="1" si="64"/>
        <v/>
      </c>
      <c r="K323" s="9" t="str">
        <f t="shared" ca="1" si="65"/>
        <v/>
      </c>
      <c r="L323" s="9" t="str">
        <f t="shared" ca="1" si="66"/>
        <v/>
      </c>
      <c r="N323" s="176" t="str">
        <f t="shared" ca="1" si="75"/>
        <v/>
      </c>
      <c r="O323" s="176" t="str">
        <f t="shared" ca="1" si="78"/>
        <v/>
      </c>
      <c r="P323" s="175" t="str">
        <f t="shared" ca="1" si="67"/>
        <v/>
      </c>
      <c r="Q323" s="11" t="str">
        <f t="shared" ca="1" si="68"/>
        <v/>
      </c>
      <c r="R323" s="12" t="str">
        <f t="shared" ca="1" si="69"/>
        <v/>
      </c>
    </row>
    <row r="324" spans="1:18">
      <c r="A324" s="198" t="str">
        <f t="shared" ca="1" si="79"/>
        <v/>
      </c>
      <c r="B324" s="197" t="str">
        <f t="shared" ca="1" si="76"/>
        <v/>
      </c>
      <c r="C324" s="196">
        <f t="shared" ca="1" si="70"/>
        <v>0</v>
      </c>
      <c r="D324" s="21" t="str">
        <f t="shared" ca="1" si="77"/>
        <v/>
      </c>
      <c r="E324" s="196">
        <f t="shared" ca="1" si="71"/>
        <v>10732.695159707817</v>
      </c>
      <c r="F324" s="178" t="str">
        <f t="shared" ca="1" si="72"/>
        <v/>
      </c>
      <c r="G324" s="178" t="str">
        <f t="shared" ca="1" si="73"/>
        <v/>
      </c>
      <c r="H324" s="177" t="str">
        <f t="shared" ca="1" si="74"/>
        <v/>
      </c>
      <c r="I324" s="196"/>
      <c r="J324" s="9" t="str">
        <f t="shared" ca="1" si="64"/>
        <v/>
      </c>
      <c r="K324" s="9" t="str">
        <f t="shared" ca="1" si="65"/>
        <v/>
      </c>
      <c r="L324" s="9" t="str">
        <f t="shared" ca="1" si="66"/>
        <v/>
      </c>
      <c r="N324" s="176" t="str">
        <f t="shared" ca="1" si="75"/>
        <v/>
      </c>
      <c r="O324" s="176" t="str">
        <f t="shared" ca="1" si="78"/>
        <v/>
      </c>
      <c r="P324" s="175" t="str">
        <f t="shared" ca="1" si="67"/>
        <v/>
      </c>
      <c r="Q324" s="11" t="str">
        <f t="shared" ca="1" si="68"/>
        <v/>
      </c>
      <c r="R324" s="12" t="str">
        <f t="shared" ca="1" si="69"/>
        <v/>
      </c>
    </row>
    <row r="325" spans="1:18">
      <c r="A325" s="198" t="str">
        <f t="shared" ca="1" si="79"/>
        <v/>
      </c>
      <c r="B325" s="197" t="str">
        <f t="shared" ca="1" si="76"/>
        <v/>
      </c>
      <c r="C325" s="196">
        <f t="shared" ca="1" si="70"/>
        <v>0</v>
      </c>
      <c r="D325" s="21" t="str">
        <f t="shared" ca="1" si="77"/>
        <v/>
      </c>
      <c r="E325" s="196">
        <f t="shared" ca="1" si="71"/>
        <v>10732.695159707817</v>
      </c>
      <c r="F325" s="178" t="str">
        <f t="shared" ca="1" si="72"/>
        <v/>
      </c>
      <c r="G325" s="178" t="str">
        <f t="shared" ca="1" si="73"/>
        <v/>
      </c>
      <c r="H325" s="177" t="str">
        <f t="shared" ca="1" si="74"/>
        <v/>
      </c>
      <c r="I325" s="196"/>
      <c r="J325" s="9" t="str">
        <f t="shared" ca="1" si="64"/>
        <v/>
      </c>
      <c r="K325" s="9" t="str">
        <f t="shared" ca="1" si="65"/>
        <v/>
      </c>
      <c r="L325" s="9" t="str">
        <f t="shared" ca="1" si="66"/>
        <v/>
      </c>
      <c r="N325" s="176" t="str">
        <f t="shared" ca="1" si="75"/>
        <v/>
      </c>
      <c r="O325" s="176" t="str">
        <f t="shared" ca="1" si="78"/>
        <v/>
      </c>
      <c r="P325" s="175" t="str">
        <f t="shared" ca="1" si="67"/>
        <v/>
      </c>
      <c r="Q325" s="11" t="str">
        <f t="shared" ca="1" si="68"/>
        <v/>
      </c>
      <c r="R325" s="12" t="str">
        <f t="shared" ca="1" si="69"/>
        <v/>
      </c>
    </row>
    <row r="326" spans="1:18">
      <c r="A326" s="198" t="str">
        <f t="shared" ca="1" si="79"/>
        <v/>
      </c>
      <c r="B326" s="197" t="str">
        <f t="shared" ca="1" si="76"/>
        <v/>
      </c>
      <c r="C326" s="196">
        <f t="shared" ca="1" si="70"/>
        <v>0</v>
      </c>
      <c r="D326" s="21" t="str">
        <f t="shared" ca="1" si="77"/>
        <v/>
      </c>
      <c r="E326" s="196">
        <f t="shared" ca="1" si="71"/>
        <v>10732.695159707817</v>
      </c>
      <c r="F326" s="178" t="str">
        <f t="shared" ca="1" si="72"/>
        <v/>
      </c>
      <c r="G326" s="178" t="str">
        <f t="shared" ca="1" si="73"/>
        <v/>
      </c>
      <c r="H326" s="177" t="str">
        <f t="shared" ca="1" si="74"/>
        <v/>
      </c>
      <c r="I326" s="196"/>
      <c r="J326" s="9" t="str">
        <f t="shared" ca="1" si="64"/>
        <v/>
      </c>
      <c r="K326" s="9" t="str">
        <f t="shared" ca="1" si="65"/>
        <v/>
      </c>
      <c r="L326" s="9" t="str">
        <f t="shared" ca="1" si="66"/>
        <v/>
      </c>
      <c r="N326" s="176" t="str">
        <f t="shared" ca="1" si="75"/>
        <v/>
      </c>
      <c r="O326" s="176" t="str">
        <f t="shared" ca="1" si="78"/>
        <v/>
      </c>
      <c r="P326" s="175" t="str">
        <f t="shared" ca="1" si="67"/>
        <v/>
      </c>
      <c r="Q326" s="11" t="str">
        <f t="shared" ca="1" si="68"/>
        <v/>
      </c>
      <c r="R326" s="12" t="str">
        <f t="shared" ca="1" si="69"/>
        <v/>
      </c>
    </row>
    <row r="327" spans="1:18">
      <c r="A327" s="198" t="str">
        <f t="shared" ca="1" si="79"/>
        <v/>
      </c>
      <c r="B327" s="197" t="str">
        <f t="shared" ca="1" si="76"/>
        <v/>
      </c>
      <c r="C327" s="196">
        <f t="shared" ca="1" si="70"/>
        <v>0</v>
      </c>
      <c r="D327" s="21" t="str">
        <f t="shared" ca="1" si="77"/>
        <v/>
      </c>
      <c r="E327" s="196">
        <f t="shared" ca="1" si="71"/>
        <v>10732.695159707817</v>
      </c>
      <c r="F327" s="178" t="str">
        <f t="shared" ca="1" si="72"/>
        <v/>
      </c>
      <c r="G327" s="178" t="str">
        <f t="shared" ca="1" si="73"/>
        <v/>
      </c>
      <c r="H327" s="177" t="str">
        <f t="shared" ca="1" si="74"/>
        <v/>
      </c>
      <c r="I327" s="196"/>
      <c r="J327" s="9" t="str">
        <f t="shared" ca="1" si="64"/>
        <v/>
      </c>
      <c r="K327" s="9" t="str">
        <f t="shared" ca="1" si="65"/>
        <v/>
      </c>
      <c r="L327" s="9" t="str">
        <f t="shared" ca="1" si="66"/>
        <v/>
      </c>
      <c r="N327" s="176" t="str">
        <f t="shared" ca="1" si="75"/>
        <v/>
      </c>
      <c r="O327" s="176" t="str">
        <f t="shared" ca="1" si="78"/>
        <v/>
      </c>
      <c r="P327" s="175" t="str">
        <f t="shared" ca="1" si="67"/>
        <v/>
      </c>
      <c r="Q327" s="11" t="str">
        <f t="shared" ca="1" si="68"/>
        <v/>
      </c>
      <c r="R327" s="12" t="str">
        <f t="shared" ca="1" si="69"/>
        <v/>
      </c>
    </row>
    <row r="328" spans="1:18">
      <c r="A328" s="198" t="str">
        <f t="shared" ca="1" si="79"/>
        <v/>
      </c>
      <c r="B328" s="197" t="str">
        <f t="shared" ca="1" si="76"/>
        <v/>
      </c>
      <c r="C328" s="196">
        <f t="shared" ca="1" si="70"/>
        <v>0</v>
      </c>
      <c r="D328" s="21" t="str">
        <f t="shared" ca="1" si="77"/>
        <v/>
      </c>
      <c r="E328" s="196">
        <f t="shared" ca="1" si="71"/>
        <v>10732.695159707817</v>
      </c>
      <c r="F328" s="178" t="str">
        <f t="shared" ca="1" si="72"/>
        <v/>
      </c>
      <c r="G328" s="178" t="str">
        <f t="shared" ca="1" si="73"/>
        <v/>
      </c>
      <c r="H328" s="177" t="str">
        <f t="shared" ca="1" si="74"/>
        <v/>
      </c>
      <c r="I328" s="196"/>
      <c r="J328" s="9" t="str">
        <f t="shared" ca="1" si="64"/>
        <v/>
      </c>
      <c r="K328" s="9" t="str">
        <f t="shared" ca="1" si="65"/>
        <v/>
      </c>
      <c r="L328" s="9" t="str">
        <f t="shared" ca="1" si="66"/>
        <v/>
      </c>
      <c r="N328" s="176" t="str">
        <f t="shared" ca="1" si="75"/>
        <v/>
      </c>
      <c r="O328" s="176" t="str">
        <f t="shared" ca="1" si="78"/>
        <v/>
      </c>
      <c r="P328" s="175" t="str">
        <f t="shared" ca="1" si="67"/>
        <v/>
      </c>
      <c r="Q328" s="11" t="str">
        <f t="shared" ca="1" si="68"/>
        <v/>
      </c>
      <c r="R328" s="12" t="str">
        <f t="shared" ca="1" si="69"/>
        <v/>
      </c>
    </row>
    <row r="329" spans="1:18">
      <c r="A329" s="198" t="str">
        <f t="shared" ca="1" si="79"/>
        <v/>
      </c>
      <c r="B329" s="197" t="str">
        <f t="shared" ca="1" si="76"/>
        <v/>
      </c>
      <c r="C329" s="196">
        <f t="shared" ca="1" si="70"/>
        <v>0</v>
      </c>
      <c r="D329" s="21" t="str">
        <f t="shared" ca="1" si="77"/>
        <v/>
      </c>
      <c r="E329" s="196">
        <f t="shared" ca="1" si="71"/>
        <v>10732.695159707817</v>
      </c>
      <c r="F329" s="178" t="str">
        <f t="shared" ca="1" si="72"/>
        <v/>
      </c>
      <c r="G329" s="178" t="str">
        <f t="shared" ca="1" si="73"/>
        <v/>
      </c>
      <c r="H329" s="177" t="str">
        <f t="shared" ca="1" si="74"/>
        <v/>
      </c>
      <c r="I329" s="196"/>
      <c r="J329" s="9" t="str">
        <f t="shared" ca="1" si="64"/>
        <v/>
      </c>
      <c r="K329" s="9" t="str">
        <f t="shared" ca="1" si="65"/>
        <v/>
      </c>
      <c r="L329" s="9" t="str">
        <f t="shared" ca="1" si="66"/>
        <v/>
      </c>
      <c r="N329" s="176" t="str">
        <f t="shared" ca="1" si="75"/>
        <v/>
      </c>
      <c r="O329" s="176" t="str">
        <f t="shared" ca="1" si="78"/>
        <v/>
      </c>
      <c r="P329" s="175" t="str">
        <f t="shared" ca="1" si="67"/>
        <v/>
      </c>
      <c r="Q329" s="11" t="str">
        <f t="shared" ca="1" si="68"/>
        <v/>
      </c>
      <c r="R329" s="12" t="str">
        <f t="shared" ca="1" si="69"/>
        <v/>
      </c>
    </row>
    <row r="330" spans="1:18">
      <c r="A330" s="198" t="str">
        <f t="shared" ca="1" si="79"/>
        <v/>
      </c>
      <c r="B330" s="197" t="str">
        <f t="shared" ca="1" si="76"/>
        <v/>
      </c>
      <c r="C330" s="196">
        <f t="shared" ca="1" si="70"/>
        <v>0</v>
      </c>
      <c r="D330" s="21" t="str">
        <f t="shared" ca="1" si="77"/>
        <v/>
      </c>
      <c r="E330" s="196">
        <f t="shared" ca="1" si="71"/>
        <v>10732.695159707817</v>
      </c>
      <c r="F330" s="178" t="str">
        <f t="shared" ca="1" si="72"/>
        <v/>
      </c>
      <c r="G330" s="178" t="str">
        <f t="shared" ca="1" si="73"/>
        <v/>
      </c>
      <c r="H330" s="177" t="str">
        <f t="shared" ca="1" si="74"/>
        <v/>
      </c>
      <c r="I330" s="196"/>
      <c r="J330" s="9" t="str">
        <f t="shared" ca="1" si="64"/>
        <v/>
      </c>
      <c r="K330" s="9" t="str">
        <f t="shared" ca="1" si="65"/>
        <v/>
      </c>
      <c r="L330" s="9" t="str">
        <f t="shared" ca="1" si="66"/>
        <v/>
      </c>
      <c r="N330" s="176" t="str">
        <f t="shared" ca="1" si="75"/>
        <v/>
      </c>
      <c r="O330" s="176" t="str">
        <f t="shared" ca="1" si="78"/>
        <v/>
      </c>
      <c r="P330" s="175" t="str">
        <f t="shared" ca="1" si="67"/>
        <v/>
      </c>
      <c r="Q330" s="11" t="str">
        <f t="shared" ca="1" si="68"/>
        <v/>
      </c>
      <c r="R330" s="12" t="str">
        <f t="shared" ca="1" si="69"/>
        <v/>
      </c>
    </row>
    <row r="331" spans="1:18">
      <c r="A331" s="198" t="str">
        <f t="shared" ca="1" si="79"/>
        <v/>
      </c>
      <c r="B331" s="197" t="str">
        <f t="shared" ca="1" si="76"/>
        <v/>
      </c>
      <c r="C331" s="196">
        <f t="shared" ca="1" si="70"/>
        <v>0</v>
      </c>
      <c r="D331" s="21" t="str">
        <f t="shared" ca="1" si="77"/>
        <v/>
      </c>
      <c r="E331" s="196">
        <f t="shared" ca="1" si="71"/>
        <v>10732.695159707817</v>
      </c>
      <c r="F331" s="178" t="str">
        <f t="shared" ca="1" si="72"/>
        <v/>
      </c>
      <c r="G331" s="178" t="str">
        <f t="shared" ca="1" si="73"/>
        <v/>
      </c>
      <c r="H331" s="177" t="str">
        <f t="shared" ca="1" si="74"/>
        <v/>
      </c>
      <c r="I331" s="196"/>
      <c r="J331" s="9" t="str">
        <f t="shared" ca="1" si="64"/>
        <v/>
      </c>
      <c r="K331" s="9" t="str">
        <f t="shared" ca="1" si="65"/>
        <v/>
      </c>
      <c r="L331" s="9" t="str">
        <f t="shared" ca="1" si="66"/>
        <v/>
      </c>
      <c r="N331" s="176" t="str">
        <f t="shared" ca="1" si="75"/>
        <v/>
      </c>
      <c r="O331" s="176" t="str">
        <f t="shared" ca="1" si="78"/>
        <v/>
      </c>
      <c r="P331" s="175" t="str">
        <f t="shared" ca="1" si="67"/>
        <v/>
      </c>
      <c r="Q331" s="11" t="str">
        <f t="shared" ca="1" si="68"/>
        <v/>
      </c>
      <c r="R331" s="12" t="str">
        <f t="shared" ca="1" si="69"/>
        <v/>
      </c>
    </row>
    <row r="332" spans="1:18">
      <c r="A332" s="198" t="str">
        <f t="shared" ca="1" si="79"/>
        <v/>
      </c>
      <c r="B332" s="197" t="str">
        <f t="shared" ca="1" si="76"/>
        <v/>
      </c>
      <c r="C332" s="196">
        <f t="shared" ca="1" si="70"/>
        <v>0</v>
      </c>
      <c r="D332" s="21" t="str">
        <f t="shared" ca="1" si="77"/>
        <v/>
      </c>
      <c r="E332" s="196">
        <f t="shared" ca="1" si="71"/>
        <v>10732.695159707817</v>
      </c>
      <c r="F332" s="178" t="str">
        <f t="shared" ca="1" si="72"/>
        <v/>
      </c>
      <c r="G332" s="178" t="str">
        <f t="shared" ca="1" si="73"/>
        <v/>
      </c>
      <c r="H332" s="177" t="str">
        <f t="shared" ca="1" si="74"/>
        <v/>
      </c>
      <c r="I332" s="196"/>
      <c r="J332" s="9" t="str">
        <f t="shared" ca="1" si="64"/>
        <v/>
      </c>
      <c r="K332" s="9" t="str">
        <f t="shared" ca="1" si="65"/>
        <v/>
      </c>
      <c r="L332" s="9" t="str">
        <f t="shared" ca="1" si="66"/>
        <v/>
      </c>
      <c r="N332" s="176" t="str">
        <f t="shared" ca="1" si="75"/>
        <v/>
      </c>
      <c r="O332" s="176" t="str">
        <f t="shared" ca="1" si="78"/>
        <v/>
      </c>
      <c r="P332" s="175" t="str">
        <f t="shared" ca="1" si="67"/>
        <v/>
      </c>
      <c r="Q332" s="11" t="str">
        <f t="shared" ca="1" si="68"/>
        <v/>
      </c>
      <c r="R332" s="12" t="str">
        <f t="shared" ca="1" si="69"/>
        <v/>
      </c>
    </row>
    <row r="333" spans="1:18">
      <c r="A333" s="198" t="str">
        <f t="shared" ca="1" si="79"/>
        <v/>
      </c>
      <c r="B333" s="197" t="str">
        <f t="shared" ca="1" si="76"/>
        <v/>
      </c>
      <c r="C333" s="196">
        <f t="shared" ca="1" si="70"/>
        <v>0</v>
      </c>
      <c r="D333" s="21" t="str">
        <f t="shared" ca="1" si="77"/>
        <v/>
      </c>
      <c r="E333" s="196">
        <f t="shared" ca="1" si="71"/>
        <v>10732.695159707817</v>
      </c>
      <c r="F333" s="178" t="str">
        <f t="shared" ca="1" si="72"/>
        <v/>
      </c>
      <c r="G333" s="178" t="str">
        <f t="shared" ca="1" si="73"/>
        <v/>
      </c>
      <c r="H333" s="177" t="str">
        <f t="shared" ca="1" si="74"/>
        <v/>
      </c>
      <c r="I333" s="196"/>
      <c r="J333" s="9" t="str">
        <f t="shared" ca="1" si="64"/>
        <v/>
      </c>
      <c r="K333" s="9" t="str">
        <f t="shared" ca="1" si="65"/>
        <v/>
      </c>
      <c r="L333" s="9" t="str">
        <f t="shared" ca="1" si="66"/>
        <v/>
      </c>
      <c r="N333" s="176" t="str">
        <f t="shared" ca="1" si="75"/>
        <v/>
      </c>
      <c r="O333" s="176" t="str">
        <f t="shared" ca="1" si="78"/>
        <v/>
      </c>
      <c r="P333" s="175" t="str">
        <f t="shared" ca="1" si="67"/>
        <v/>
      </c>
      <c r="Q333" s="11" t="str">
        <f t="shared" ca="1" si="68"/>
        <v/>
      </c>
      <c r="R333" s="12" t="str">
        <f t="shared" ca="1" si="69"/>
        <v/>
      </c>
    </row>
    <row r="334" spans="1:18">
      <c r="A334" s="198" t="str">
        <f t="shared" ca="1" si="79"/>
        <v/>
      </c>
      <c r="B334" s="197" t="str">
        <f t="shared" ca="1" si="76"/>
        <v/>
      </c>
      <c r="C334" s="196">
        <f t="shared" ca="1" si="70"/>
        <v>0</v>
      </c>
      <c r="D334" s="21" t="str">
        <f t="shared" ca="1" si="77"/>
        <v/>
      </c>
      <c r="E334" s="196">
        <f t="shared" ca="1" si="71"/>
        <v>10732.695159707817</v>
      </c>
      <c r="F334" s="178" t="str">
        <f t="shared" ca="1" si="72"/>
        <v/>
      </c>
      <c r="G334" s="178" t="str">
        <f t="shared" ca="1" si="73"/>
        <v/>
      </c>
      <c r="H334" s="177" t="str">
        <f t="shared" ca="1" si="74"/>
        <v/>
      </c>
      <c r="I334" s="196"/>
      <c r="J334" s="9" t="str">
        <f t="shared" ca="1" si="64"/>
        <v/>
      </c>
      <c r="K334" s="9" t="str">
        <f t="shared" ca="1" si="65"/>
        <v/>
      </c>
      <c r="L334" s="9" t="str">
        <f t="shared" ca="1" si="66"/>
        <v/>
      </c>
      <c r="N334" s="176" t="str">
        <f t="shared" ca="1" si="75"/>
        <v/>
      </c>
      <c r="O334" s="176" t="str">
        <f t="shared" ca="1" si="78"/>
        <v/>
      </c>
      <c r="P334" s="175" t="str">
        <f t="shared" ca="1" si="67"/>
        <v/>
      </c>
      <c r="Q334" s="11" t="str">
        <f t="shared" ca="1" si="68"/>
        <v/>
      </c>
      <c r="R334" s="12" t="str">
        <f t="shared" ca="1" si="69"/>
        <v/>
      </c>
    </row>
    <row r="335" spans="1:18">
      <c r="A335" s="198" t="str">
        <f t="shared" ca="1" si="79"/>
        <v/>
      </c>
      <c r="B335" s="197" t="str">
        <f t="shared" ca="1" si="76"/>
        <v/>
      </c>
      <c r="C335" s="196">
        <f t="shared" ca="1" si="70"/>
        <v>0</v>
      </c>
      <c r="D335" s="21" t="str">
        <f t="shared" ca="1" si="77"/>
        <v/>
      </c>
      <c r="E335" s="196">
        <f t="shared" ca="1" si="71"/>
        <v>10732.695159707817</v>
      </c>
      <c r="F335" s="178" t="str">
        <f t="shared" ca="1" si="72"/>
        <v/>
      </c>
      <c r="G335" s="178" t="str">
        <f t="shared" ca="1" si="73"/>
        <v/>
      </c>
      <c r="H335" s="177" t="str">
        <f t="shared" ca="1" si="74"/>
        <v/>
      </c>
      <c r="I335" s="196"/>
      <c r="J335" s="9" t="str">
        <f t="shared" ca="1" si="64"/>
        <v/>
      </c>
      <c r="K335" s="9" t="str">
        <f t="shared" ca="1" si="65"/>
        <v/>
      </c>
      <c r="L335" s="9" t="str">
        <f t="shared" ca="1" si="66"/>
        <v/>
      </c>
      <c r="N335" s="176" t="str">
        <f t="shared" ca="1" si="75"/>
        <v/>
      </c>
      <c r="O335" s="176" t="str">
        <f t="shared" ca="1" si="78"/>
        <v/>
      </c>
      <c r="P335" s="175" t="str">
        <f t="shared" ca="1" si="67"/>
        <v/>
      </c>
      <c r="Q335" s="11" t="str">
        <f t="shared" ca="1" si="68"/>
        <v/>
      </c>
      <c r="R335" s="12" t="str">
        <f t="shared" ca="1" si="69"/>
        <v/>
      </c>
    </row>
    <row r="336" spans="1:18">
      <c r="A336" s="198" t="str">
        <f t="shared" ca="1" si="79"/>
        <v/>
      </c>
      <c r="B336" s="197" t="str">
        <f t="shared" ca="1" si="76"/>
        <v/>
      </c>
      <c r="C336" s="196">
        <f t="shared" ca="1" si="70"/>
        <v>0</v>
      </c>
      <c r="D336" s="21" t="str">
        <f t="shared" ca="1" si="77"/>
        <v/>
      </c>
      <c r="E336" s="196">
        <f t="shared" ca="1" si="71"/>
        <v>10732.695159707817</v>
      </c>
      <c r="F336" s="178" t="str">
        <f t="shared" ca="1" si="72"/>
        <v/>
      </c>
      <c r="G336" s="178" t="str">
        <f t="shared" ca="1" si="73"/>
        <v/>
      </c>
      <c r="H336" s="177" t="str">
        <f t="shared" ca="1" si="74"/>
        <v/>
      </c>
      <c r="I336" s="196"/>
      <c r="J336" s="9" t="str">
        <f t="shared" ca="1" si="64"/>
        <v/>
      </c>
      <c r="K336" s="9" t="str">
        <f t="shared" ca="1" si="65"/>
        <v/>
      </c>
      <c r="L336" s="9" t="str">
        <f t="shared" ca="1" si="66"/>
        <v/>
      </c>
      <c r="N336" s="176" t="str">
        <f t="shared" ca="1" si="75"/>
        <v/>
      </c>
      <c r="O336" s="176" t="str">
        <f t="shared" ca="1" si="78"/>
        <v/>
      </c>
      <c r="P336" s="175" t="str">
        <f t="shared" ca="1" si="67"/>
        <v/>
      </c>
      <c r="Q336" s="11" t="str">
        <f t="shared" ca="1" si="68"/>
        <v/>
      </c>
      <c r="R336" s="12" t="str">
        <f t="shared" ca="1" si="69"/>
        <v/>
      </c>
    </row>
    <row r="337" spans="1:18">
      <c r="A337" s="198" t="str">
        <f t="shared" ca="1" si="79"/>
        <v/>
      </c>
      <c r="B337" s="197" t="str">
        <f t="shared" ca="1" si="76"/>
        <v/>
      </c>
      <c r="C337" s="196">
        <f t="shared" ca="1" si="70"/>
        <v>0</v>
      </c>
      <c r="D337" s="21" t="str">
        <f t="shared" ca="1" si="77"/>
        <v/>
      </c>
      <c r="E337" s="196">
        <f t="shared" ca="1" si="71"/>
        <v>10732.695159707817</v>
      </c>
      <c r="F337" s="178" t="str">
        <f t="shared" ca="1" si="72"/>
        <v/>
      </c>
      <c r="G337" s="178" t="str">
        <f t="shared" ca="1" si="73"/>
        <v/>
      </c>
      <c r="H337" s="177" t="str">
        <f t="shared" ca="1" si="74"/>
        <v/>
      </c>
      <c r="I337" s="196"/>
      <c r="J337" s="9" t="str">
        <f t="shared" ca="1" si="64"/>
        <v/>
      </c>
      <c r="K337" s="9" t="str">
        <f t="shared" ca="1" si="65"/>
        <v/>
      </c>
      <c r="L337" s="9" t="str">
        <f t="shared" ca="1" si="66"/>
        <v/>
      </c>
      <c r="N337" s="176" t="str">
        <f t="shared" ca="1" si="75"/>
        <v/>
      </c>
      <c r="O337" s="176" t="str">
        <f t="shared" ca="1" si="78"/>
        <v/>
      </c>
      <c r="P337" s="175" t="str">
        <f t="shared" ca="1" si="67"/>
        <v/>
      </c>
      <c r="Q337" s="11" t="str">
        <f t="shared" ca="1" si="68"/>
        <v/>
      </c>
      <c r="R337" s="12" t="str">
        <f t="shared" ca="1" si="69"/>
        <v/>
      </c>
    </row>
    <row r="338" spans="1:18">
      <c r="A338" s="198" t="str">
        <f t="shared" ca="1" si="79"/>
        <v/>
      </c>
      <c r="B338" s="197" t="str">
        <f t="shared" ca="1" si="76"/>
        <v/>
      </c>
      <c r="C338" s="196">
        <f t="shared" ca="1" si="70"/>
        <v>0</v>
      </c>
      <c r="D338" s="21" t="str">
        <f t="shared" ca="1" si="77"/>
        <v/>
      </c>
      <c r="E338" s="196">
        <f t="shared" ca="1" si="71"/>
        <v>10732.695159707817</v>
      </c>
      <c r="F338" s="178" t="str">
        <f t="shared" ca="1" si="72"/>
        <v/>
      </c>
      <c r="G338" s="178" t="str">
        <f t="shared" ca="1" si="73"/>
        <v/>
      </c>
      <c r="H338" s="177" t="str">
        <f t="shared" ca="1" si="74"/>
        <v/>
      </c>
      <c r="I338" s="196"/>
      <c r="J338" s="9" t="str">
        <f t="shared" ca="1" si="64"/>
        <v/>
      </c>
      <c r="K338" s="9" t="str">
        <f ca="1">IF(L338=$C$13,"Pula","")</f>
        <v/>
      </c>
      <c r="L338" s="9" t="str">
        <f t="shared" ca="1" si="66"/>
        <v/>
      </c>
      <c r="N338" s="176" t="str">
        <f t="shared" ca="1" si="75"/>
        <v/>
      </c>
      <c r="O338" s="176" t="str">
        <f t="shared" ca="1" si="78"/>
        <v/>
      </c>
      <c r="P338" s="175" t="str">
        <f t="shared" ca="1" si="67"/>
        <v/>
      </c>
      <c r="Q338" s="11" t="str">
        <f t="shared" ca="1" si="68"/>
        <v/>
      </c>
      <c r="R338" s="12" t="str">
        <f ca="1">IFERROR(Q338*P338,"")</f>
        <v/>
      </c>
    </row>
    <row r="339" spans="1:18">
      <c r="A339" s="198" t="str">
        <f t="shared" ca="1" si="79"/>
        <v/>
      </c>
      <c r="B339" s="197" t="str">
        <f t="shared" ca="1" si="76"/>
        <v/>
      </c>
      <c r="C339" s="196">
        <f t="shared" ca="1" si="70"/>
        <v>0</v>
      </c>
      <c r="D339" s="21" t="str">
        <f t="shared" ca="1" si="77"/>
        <v/>
      </c>
      <c r="E339" s="196">
        <f ca="1">IFERROR(IF(OR(J339="Carencia",K339="Pula"),E338+D339+SUM(F339:H339),(E338-C339)),"")</f>
        <v>10732.695159707817</v>
      </c>
      <c r="F339" s="178" t="str">
        <f t="shared" ca="1" si="72"/>
        <v/>
      </c>
      <c r="G339" s="178" t="str">
        <f t="shared" ca="1" si="73"/>
        <v/>
      </c>
      <c r="H339" s="177" t="str">
        <f t="shared" ca="1" si="74"/>
        <v/>
      </c>
      <c r="I339" s="196"/>
      <c r="J339" s="9" t="str">
        <f t="shared" ca="1" si="64"/>
        <v/>
      </c>
      <c r="K339" s="9" t="str">
        <f ca="1">IF(L339=$C$13,"Pula","")</f>
        <v/>
      </c>
      <c r="L339" s="9" t="str">
        <f t="shared" ca="1" si="66"/>
        <v/>
      </c>
      <c r="N339" s="176" t="str">
        <f t="shared" ca="1" si="75"/>
        <v/>
      </c>
      <c r="O339" s="176" t="str">
        <f t="shared" ca="1" si="78"/>
        <v/>
      </c>
      <c r="P339" s="175" t="str">
        <f t="shared" ca="1" si="67"/>
        <v/>
      </c>
      <c r="Q339" s="11" t="str">
        <f t="shared" ca="1" si="68"/>
        <v/>
      </c>
      <c r="R339" s="12" t="str">
        <f ca="1">IFERROR(Q339*P339,"")</f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12684-474B-45BC-A09E-41D4BB9AE1B3}">
  <sheetPr codeName="Planilha6">
    <tabColor theme="2" tint="-0.749992370372631"/>
  </sheetPr>
  <dimension ref="A2:U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4.4257812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1" bestFit="1" customWidth="1"/>
    <col min="15" max="15" width="10.42578125" customWidth="1"/>
    <col min="16" max="16" width="19" bestFit="1" customWidth="1"/>
    <col min="18" max="18" width="13.42578125" bestFit="1" customWidth="1"/>
    <col min="20" max="20" width="14.5703125" style="31" bestFit="1" customWidth="1"/>
  </cols>
  <sheetData>
    <row r="2" spans="2:21">
      <c r="B2" s="1" t="s">
        <v>0</v>
      </c>
      <c r="C2" s="32">
        <f>SUM(C4:C7)</f>
        <v>188148.49073726556</v>
      </c>
      <c r="E2" s="1" t="s">
        <v>25</v>
      </c>
      <c r="F2" s="42">
        <f ca="1">PRICE_CORR!F2</f>
        <v>44728</v>
      </c>
      <c r="H2" s="174" t="s">
        <v>37</v>
      </c>
      <c r="I2" s="18" t="s">
        <v>30</v>
      </c>
    </row>
    <row r="3" spans="2:21">
      <c r="B3" s="3" t="s">
        <v>1</v>
      </c>
      <c r="C3" s="33" t="s">
        <v>2</v>
      </c>
      <c r="E3" s="3" t="s">
        <v>31</v>
      </c>
      <c r="F3" s="202">
        <f>PRICE_CORR!F3</f>
        <v>10</v>
      </c>
      <c r="H3" s="3" t="s">
        <v>24</v>
      </c>
      <c r="I3" s="16">
        <v>8.2000000000000001E-5</v>
      </c>
    </row>
    <row r="4" spans="2:21">
      <c r="B4" s="5" t="s">
        <v>44</v>
      </c>
      <c r="C4" s="26">
        <f>PRICE_CORR!C4</f>
        <v>9137.8207372655543</v>
      </c>
      <c r="D4" s="10"/>
      <c r="E4" s="5" t="s">
        <v>32</v>
      </c>
      <c r="F4" s="26">
        <f>C4</f>
        <v>9137.8207372655543</v>
      </c>
      <c r="H4" s="7" t="s">
        <v>36</v>
      </c>
      <c r="I4" s="17">
        <v>4.1E-5</v>
      </c>
    </row>
    <row r="5" spans="2:21">
      <c r="B5" s="3" t="s">
        <v>4</v>
      </c>
      <c r="C5" s="34">
        <f>PRICE_CORR!C5</f>
        <v>6768</v>
      </c>
      <c r="E5" s="15" t="s">
        <v>23</v>
      </c>
      <c r="F5" s="203" t="str">
        <f>PRICE_CORR!F5</f>
        <v>PF</v>
      </c>
    </row>
    <row r="6" spans="2:21">
      <c r="B6" s="5" t="s">
        <v>5</v>
      </c>
      <c r="C6" s="35">
        <f>PRICE_CORR!C6</f>
        <v>3042.67</v>
      </c>
      <c r="H6" s="174" t="s">
        <v>39</v>
      </c>
      <c r="I6" s="18" t="s">
        <v>30</v>
      </c>
    </row>
    <row r="7" spans="2:21">
      <c r="B7" s="3" t="s">
        <v>6</v>
      </c>
      <c r="C7" s="35">
        <f>PRICE_CORR!C7</f>
        <v>169200</v>
      </c>
      <c r="H7" s="3" t="s">
        <v>27</v>
      </c>
      <c r="I7" s="16">
        <v>2.1000000000000001E-4</v>
      </c>
    </row>
    <row r="8" spans="2:21">
      <c r="B8" s="5" t="s">
        <v>7</v>
      </c>
      <c r="C8" s="37">
        <f ca="1">PRICE_CORR!C8</f>
        <v>228</v>
      </c>
      <c r="H8" s="7" t="s">
        <v>28</v>
      </c>
      <c r="I8" s="17">
        <v>6.9999999999999994E-5</v>
      </c>
    </row>
    <row r="9" spans="2:21">
      <c r="B9" s="3" t="s">
        <v>8</v>
      </c>
      <c r="C9" s="38">
        <f>PRICE_CORR!C9</f>
        <v>9.1999999999999998E-3</v>
      </c>
      <c r="E9" s="10"/>
    </row>
    <row r="10" spans="2:21">
      <c r="B10" s="5" t="s">
        <v>9</v>
      </c>
      <c r="C10" s="26"/>
      <c r="H10" s="9" t="s">
        <v>20</v>
      </c>
      <c r="I10" s="12">
        <v>25</v>
      </c>
    </row>
    <row r="11" spans="2:21">
      <c r="B11" s="3" t="s">
        <v>10</v>
      </c>
      <c r="C11" s="39">
        <f>PRICE_CORR!C11</f>
        <v>376000</v>
      </c>
      <c r="E11" s="13"/>
    </row>
    <row r="12" spans="2:21">
      <c r="B12" s="5" t="s">
        <v>11</v>
      </c>
      <c r="C12" s="40">
        <f>PRICE_CORR!C12</f>
        <v>6</v>
      </c>
      <c r="F12" cm="1">
        <f t="array" aca="1" ref="F12" ca="1">INDEX($A$17:$E$339,IF(C12=0,IF(A19="I",3,2),(C12+I14)),5)</f>
        <v>198975.54915977747</v>
      </c>
      <c r="H12" t="s">
        <v>40</v>
      </c>
      <c r="I12" s="54" cm="1">
        <f t="array" aca="1" ref="I12" ca="1">-PMT($C$9,(C8-C12),INDEX($A$17:$E$339,IF(C12=0,IF(A19="I",3,2),(C12+I14)),5))</f>
        <v>2106.3704858457254</v>
      </c>
    </row>
    <row r="13" spans="2:21">
      <c r="B13" s="3" t="s">
        <v>12</v>
      </c>
      <c r="C13" s="202">
        <v>0</v>
      </c>
      <c r="D13" s="19"/>
      <c r="P13" t="s">
        <v>41</v>
      </c>
      <c r="R13" s="13">
        <f ca="1">SUM(R18:R339)</f>
        <v>5597.1616496849783</v>
      </c>
      <c r="U13" s="51"/>
    </row>
    <row r="14" spans="2:21">
      <c r="B14" s="7" t="s">
        <v>13</v>
      </c>
      <c r="C14" s="41"/>
      <c r="I14">
        <f ca="1">IF(A19="I",3,2)</f>
        <v>2</v>
      </c>
      <c r="P14" s="22" t="s">
        <v>42</v>
      </c>
      <c r="Q14" s="22"/>
      <c r="R14" s="23">
        <f>E18*0.38%</f>
        <v>714.96426480160915</v>
      </c>
    </row>
    <row r="15" spans="2:21">
      <c r="F15" s="27"/>
      <c r="P15" t="s">
        <v>43</v>
      </c>
      <c r="R15" s="13">
        <f ca="1">R13+R14</f>
        <v>6312.1259144865871</v>
      </c>
    </row>
    <row r="16" spans="2:21">
      <c r="C16" s="10"/>
      <c r="F16" s="27"/>
    </row>
    <row r="17" spans="1:20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T17" s="31" t="s">
        <v>49</v>
      </c>
    </row>
    <row r="18" spans="1:20">
      <c r="A18" s="129">
        <v>0</v>
      </c>
      <c r="B18" s="201">
        <f ca="1">F2</f>
        <v>44728</v>
      </c>
      <c r="C18" s="200"/>
      <c r="D18" s="200"/>
      <c r="E18" s="199">
        <f>C2</f>
        <v>188148.49073726556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ca="1" si="1">IF(L18=$C$13,"Pula","")</f>
        <v/>
      </c>
      <c r="L18" s="9">
        <f t="shared" ref="L18:L81" ca="1" si="2">IFERROR(MONTH(B18),"")</f>
        <v>6</v>
      </c>
      <c r="N18" s="9"/>
      <c r="O18" s="9"/>
      <c r="P18" s="175">
        <f t="shared" ref="P18:P81" ca="1" si="3">IF(A18&lt;&gt;"",$E$18/($C$8-$C$12-$D$13),"")</f>
        <v>847.5157240417368</v>
      </c>
      <c r="Q18" s="11" t="str">
        <f t="shared" ref="Q18:Q81" ca="1" si="4">IF(OR(A18="",J18="Carencia",K18="Pula"),"",IF(AND($F$5="PF",O18&lt;365),$I$3*O18,IF(AND($F$5="PF",O18&gt;365),$I$3*365,IF(AND($F$5="PJ",O18&lt;365),$I$4*O18,IF(AND($F$5="PJ",O18&gt;365),$I$4*365)))))</f>
        <v/>
      </c>
      <c r="R18" s="12" t="str">
        <f t="shared" ref="R18:R81" ca="1" si="5">IFERROR(Q18*P18,"")</f>
        <v/>
      </c>
      <c r="T18" s="31">
        <f ca="1">T19/(1+C9)^((B19-B18)/_xlfn.DAYS(EDATE(B18,1),B18))</f>
        <v>188682.53796382318</v>
      </c>
    </row>
    <row r="19" spans="1:20">
      <c r="A19" s="198">
        <f ca="1">'PRICE_IOF Ñ USAR'!A19</f>
        <v>1</v>
      </c>
      <c r="B19" s="197">
        <f ca="1">'PRICE_IOF Ñ USAR'!B19</f>
        <v>44752</v>
      </c>
      <c r="C19" s="196">
        <f t="shared" ref="C19:C82" ca="1" si="6">IFERROR(IF(OR(J19="Carencia",K19="Pula"),0,$I$12-D19),"")</f>
        <v>0</v>
      </c>
      <c r="D19" s="21">
        <f ca="1">IFERROR(IF(DAY(B19)=DAY(B18),IF(K19="Pula",0,IF(B19=B18,0,($C$9)*E18)),IF(AND($C$12=0,F3&lt;DAY(F2)),($C$9)*E18,((1+$C$9)^(N19/_xlfn.DAYS(EDATE(B18,1),B18))-1)*E18)),"")</f>
        <v>1383.50356546897</v>
      </c>
      <c r="E19" s="196">
        <f t="shared" ref="E19:E82" ca="1" si="7">IFERROR(IF(OR(J19="Carencia",K19="Pula"),E18+D19+SUM(F19:H19),(E18-C19)),"")</f>
        <v>189622.82548578936</v>
      </c>
      <c r="F19" s="178">
        <f t="shared" ref="F19:F82" ca="1" si="8">IFERROR(IF(OR(AND(DAY(B19)=DAY(B18),MONTH(B19)&lt;&gt;MONTH(B18)),MONTH(B19)&lt;&gt;MONTH(B18)),E18*$I$7,""),"")</f>
        <v>39.511183054825771</v>
      </c>
      <c r="G19" s="178">
        <f t="shared" ref="G19:G82" ca="1" si="9">IFERROR(IF(OR(AND(DAY(B19)=DAY(B18),MONTH(B19)&lt;&gt;MONTH(B18)),MONTH(B19)&lt;&gt;MONTH(B18)),$C$11*$I$8,0),"")</f>
        <v>26.319999999999997</v>
      </c>
      <c r="H19" s="177">
        <f t="shared" ref="H19:H82" ca="1" si="10">IFERROR(IF(OR(AND(DAY(B19)=DAY(B18),MONTH(B19)&lt;&gt;MONTH(B18)),MONTH(B19)&lt;&gt;MONTH(B18)),$I$10,0),"")</f>
        <v>25</v>
      </c>
      <c r="I19" s="196"/>
      <c r="J19" s="9" t="str">
        <f t="shared" ca="1" si="0"/>
        <v>Carencia</v>
      </c>
      <c r="K19" s="9" t="str">
        <f t="shared" ca="1" si="1"/>
        <v/>
      </c>
      <c r="L19" s="9">
        <f t="shared" ca="1" si="2"/>
        <v>7</v>
      </c>
      <c r="N19" s="176">
        <f t="shared" ref="N19:N82" ca="1" si="11">IFERROR(B19-B18,"")</f>
        <v>24</v>
      </c>
      <c r="O19" s="176">
        <f ca="1">N19</f>
        <v>24</v>
      </c>
      <c r="P19" s="175">
        <f t="shared" ca="1" si="3"/>
        <v>847.5157240417368</v>
      </c>
      <c r="Q19" s="11" t="str">
        <f t="shared" ca="1" si="4"/>
        <v/>
      </c>
      <c r="R19" s="12" t="str">
        <f t="shared" ca="1" si="5"/>
        <v/>
      </c>
      <c r="T19" s="31">
        <f ca="1">NPV(C9,T20:T339)</f>
        <v>190069.96851397949</v>
      </c>
    </row>
    <row r="20" spans="1:20">
      <c r="A20" s="198">
        <f ca="1">'PRICE_IOF Ñ USAR'!A20</f>
        <v>2</v>
      </c>
      <c r="B20" s="197">
        <f ca="1">'PRICE_IOF Ñ USAR'!B20</f>
        <v>44783</v>
      </c>
      <c r="C20" s="196">
        <f t="shared" ca="1" si="6"/>
        <v>0</v>
      </c>
      <c r="D20" s="21">
        <f t="shared" ref="D20:D83" ca="1" si="12">IFERROR(IF(DAY(B20)=DAY(B19),IF(K20="Pula",0,($C$9)*E19),IF(AND(K20="Pula",J20=""),0,IF(AND($F$3=30,OR(AND(DAY(B19)=28,MONTH(B19)=2),AND(DAY(B19)=29,MONTH(B19)=2))),$C$9*E19,$C$9*E19))),"")</f>
        <v>1744.5299944692622</v>
      </c>
      <c r="E20" s="196">
        <f t="shared" ca="1" si="7"/>
        <v>191458.49627361062</v>
      </c>
      <c r="F20" s="178">
        <f t="shared" ca="1" si="8"/>
        <v>39.82079335201577</v>
      </c>
      <c r="G20" s="178">
        <f t="shared" ca="1" si="9"/>
        <v>26.319999999999997</v>
      </c>
      <c r="H20" s="177">
        <f t="shared" ca="1" si="10"/>
        <v>25</v>
      </c>
      <c r="I20" s="196"/>
      <c r="J20" s="9" t="str">
        <f t="shared" ca="1" si="0"/>
        <v>Carencia</v>
      </c>
      <c r="K20" s="9" t="str">
        <f t="shared" ca="1" si="1"/>
        <v/>
      </c>
      <c r="L20" s="9">
        <f t="shared" ca="1" si="2"/>
        <v>8</v>
      </c>
      <c r="N20" s="176">
        <f t="shared" ca="1" si="11"/>
        <v>31</v>
      </c>
      <c r="O20" s="176">
        <f t="shared" ref="O20:O83" ca="1" si="13">IFERROR(N20+O19,"")</f>
        <v>55</v>
      </c>
      <c r="P20" s="175">
        <f t="shared" ca="1" si="3"/>
        <v>847.5157240417368</v>
      </c>
      <c r="Q20" s="11" t="str">
        <f t="shared" ca="1" si="4"/>
        <v/>
      </c>
      <c r="R20" s="12" t="str">
        <f t="shared" ca="1" si="5"/>
        <v/>
      </c>
      <c r="T20" s="31">
        <f t="shared" ref="T20:T83" ca="1" si="14">IFERROR(IF(OR(J20="Carencia",K20="Pula"),0,C20+D20),"")</f>
        <v>0</v>
      </c>
    </row>
    <row r="21" spans="1:20">
      <c r="A21" s="198">
        <f ca="1">'PRICE_IOF Ñ USAR'!A21</f>
        <v>3</v>
      </c>
      <c r="B21" s="197">
        <f ca="1">'PRICE_IOF Ñ USAR'!B21</f>
        <v>44814</v>
      </c>
      <c r="C21" s="196">
        <f t="shared" ca="1" si="6"/>
        <v>0</v>
      </c>
      <c r="D21" s="21">
        <f t="shared" ca="1" si="12"/>
        <v>1761.4181657172178</v>
      </c>
      <c r="E21" s="196">
        <f t="shared" ca="1" si="7"/>
        <v>193311.4407235453</v>
      </c>
      <c r="F21" s="178">
        <f t="shared" ca="1" si="8"/>
        <v>40.206284217458233</v>
      </c>
      <c r="G21" s="178">
        <f t="shared" ca="1" si="9"/>
        <v>26.319999999999997</v>
      </c>
      <c r="H21" s="177">
        <f t="shared" ca="1" si="10"/>
        <v>25</v>
      </c>
      <c r="I21" s="196"/>
      <c r="J21" s="9" t="str">
        <f t="shared" ca="1" si="0"/>
        <v>Carencia</v>
      </c>
      <c r="K21" s="9" t="str">
        <f t="shared" ca="1" si="1"/>
        <v/>
      </c>
      <c r="L21" s="9">
        <f t="shared" ca="1" si="2"/>
        <v>9</v>
      </c>
      <c r="N21" s="176">
        <f t="shared" ca="1" si="11"/>
        <v>31</v>
      </c>
      <c r="O21" s="176">
        <f t="shared" ca="1" si="13"/>
        <v>86</v>
      </c>
      <c r="P21" s="175">
        <f t="shared" ca="1" si="3"/>
        <v>847.5157240417368</v>
      </c>
      <c r="Q21" s="11" t="str">
        <f t="shared" ca="1" si="4"/>
        <v/>
      </c>
      <c r="R21" s="12" t="str">
        <f t="shared" ca="1" si="5"/>
        <v/>
      </c>
      <c r="T21" s="31">
        <f t="shared" ca="1" si="14"/>
        <v>0</v>
      </c>
    </row>
    <row r="22" spans="1:20">
      <c r="A22" s="198">
        <f ca="1">'PRICE_IOF Ñ USAR'!A22</f>
        <v>4</v>
      </c>
      <c r="B22" s="197">
        <f ca="1">'PRICE_IOF Ñ USAR'!B22</f>
        <v>44844</v>
      </c>
      <c r="C22" s="196">
        <f t="shared" ca="1" si="6"/>
        <v>0</v>
      </c>
      <c r="D22" s="21">
        <f t="shared" ca="1" si="12"/>
        <v>1778.4652546566167</v>
      </c>
      <c r="E22" s="196">
        <f t="shared" ca="1" si="7"/>
        <v>195181.82138075386</v>
      </c>
      <c r="F22" s="178">
        <f t="shared" ca="1" si="8"/>
        <v>40.595402551944517</v>
      </c>
      <c r="G22" s="178">
        <f t="shared" ca="1" si="9"/>
        <v>26.319999999999997</v>
      </c>
      <c r="H22" s="177">
        <f t="shared" ca="1" si="10"/>
        <v>25</v>
      </c>
      <c r="I22" s="196"/>
      <c r="J22" s="9" t="str">
        <f t="shared" ca="1" si="0"/>
        <v>Carencia</v>
      </c>
      <c r="K22" s="9" t="str">
        <f t="shared" ca="1" si="1"/>
        <v/>
      </c>
      <c r="L22" s="9">
        <f t="shared" ca="1" si="2"/>
        <v>10</v>
      </c>
      <c r="N22" s="176">
        <f t="shared" ca="1" si="11"/>
        <v>30</v>
      </c>
      <c r="O22" s="176">
        <f t="shared" ca="1" si="13"/>
        <v>116</v>
      </c>
      <c r="P22" s="175">
        <f t="shared" ca="1" si="3"/>
        <v>847.5157240417368</v>
      </c>
      <c r="Q22" s="11" t="str">
        <f t="shared" ca="1" si="4"/>
        <v/>
      </c>
      <c r="R22" s="12" t="str">
        <f t="shared" ca="1" si="5"/>
        <v/>
      </c>
      <c r="T22" s="31">
        <f t="shared" ca="1" si="14"/>
        <v>0</v>
      </c>
    </row>
    <row r="23" spans="1:20">
      <c r="A23" s="198">
        <f ca="1">'PRICE_IOF Ñ USAR'!A23</f>
        <v>5</v>
      </c>
      <c r="B23" s="197">
        <f ca="1">'PRICE_IOF Ñ USAR'!B23</f>
        <v>44875</v>
      </c>
      <c r="C23" s="196">
        <f t="shared" ca="1" si="6"/>
        <v>0</v>
      </c>
      <c r="D23" s="21">
        <f t="shared" ca="1" si="12"/>
        <v>1795.6727567029354</v>
      </c>
      <c r="E23" s="196">
        <f t="shared" ca="1" si="7"/>
        <v>197069.80231994676</v>
      </c>
      <c r="F23" s="178">
        <f t="shared" ca="1" si="8"/>
        <v>40.988182489958312</v>
      </c>
      <c r="G23" s="178">
        <f t="shared" ca="1" si="9"/>
        <v>26.319999999999997</v>
      </c>
      <c r="H23" s="177">
        <f t="shared" ca="1" si="10"/>
        <v>25</v>
      </c>
      <c r="I23" s="196"/>
      <c r="J23" s="9" t="str">
        <f t="shared" ca="1" si="0"/>
        <v>Carencia</v>
      </c>
      <c r="K23" s="9" t="str">
        <f t="shared" ca="1" si="1"/>
        <v/>
      </c>
      <c r="L23" s="9">
        <f t="shared" ca="1" si="2"/>
        <v>11</v>
      </c>
      <c r="N23" s="176">
        <f t="shared" ca="1" si="11"/>
        <v>31</v>
      </c>
      <c r="O23" s="176">
        <f t="shared" ca="1" si="13"/>
        <v>147</v>
      </c>
      <c r="P23" s="175">
        <f t="shared" ca="1" si="3"/>
        <v>847.5157240417368</v>
      </c>
      <c r="Q23" s="11" t="str">
        <f t="shared" ca="1" si="4"/>
        <v/>
      </c>
      <c r="R23" s="12" t="str">
        <f t="shared" ca="1" si="5"/>
        <v/>
      </c>
      <c r="T23" s="31">
        <f t="shared" ca="1" si="14"/>
        <v>0</v>
      </c>
    </row>
    <row r="24" spans="1:20">
      <c r="A24" s="198">
        <f ca="1">'PRICE_IOF Ñ USAR'!A24</f>
        <v>6</v>
      </c>
      <c r="B24" s="197">
        <f ca="1">'PRICE_IOF Ñ USAR'!B24</f>
        <v>44905</v>
      </c>
      <c r="C24" s="196">
        <f t="shared" ca="1" si="6"/>
        <v>0</v>
      </c>
      <c r="D24" s="21">
        <f t="shared" ca="1" si="12"/>
        <v>1813.04218134351</v>
      </c>
      <c r="E24" s="196">
        <f t="shared" ca="1" si="7"/>
        <v>198975.54915977747</v>
      </c>
      <c r="F24" s="178">
        <f t="shared" ca="1" si="8"/>
        <v>41.384658487188823</v>
      </c>
      <c r="G24" s="178">
        <f t="shared" ca="1" si="9"/>
        <v>26.319999999999997</v>
      </c>
      <c r="H24" s="177">
        <f t="shared" ca="1" si="10"/>
        <v>25</v>
      </c>
      <c r="I24" s="196"/>
      <c r="J24" s="9" t="str">
        <f t="shared" ca="1" si="0"/>
        <v>Carencia</v>
      </c>
      <c r="K24" s="9" t="str">
        <f t="shared" ca="1" si="1"/>
        <v/>
      </c>
      <c r="L24" s="9">
        <f t="shared" ca="1" si="2"/>
        <v>12</v>
      </c>
      <c r="N24" s="176">
        <f t="shared" ca="1" si="11"/>
        <v>30</v>
      </c>
      <c r="O24" s="176">
        <f t="shared" ca="1" si="13"/>
        <v>177</v>
      </c>
      <c r="P24" s="175">
        <f t="shared" ca="1" si="3"/>
        <v>847.5157240417368</v>
      </c>
      <c r="Q24" s="11" t="str">
        <f t="shared" ca="1" si="4"/>
        <v/>
      </c>
      <c r="R24" s="12" t="str">
        <f t="shared" ca="1" si="5"/>
        <v/>
      </c>
      <c r="T24" s="31">
        <f t="shared" ca="1" si="14"/>
        <v>0</v>
      </c>
    </row>
    <row r="25" spans="1:20">
      <c r="A25" s="198">
        <f ca="1">'PRICE_IOF Ñ USAR'!A25</f>
        <v>7</v>
      </c>
      <c r="B25" s="197">
        <f ca="1">'PRICE_IOF Ñ USAR'!B25</f>
        <v>44936</v>
      </c>
      <c r="C25" s="196">
        <f t="shared" ca="1" si="6"/>
        <v>275.79543357577268</v>
      </c>
      <c r="D25" s="21">
        <f t="shared" ca="1" si="12"/>
        <v>1830.5750522699527</v>
      </c>
      <c r="E25" s="196">
        <f t="shared" ca="1" si="7"/>
        <v>198699.75372620168</v>
      </c>
      <c r="F25" s="178">
        <f t="shared" ca="1" si="8"/>
        <v>41.784865323553269</v>
      </c>
      <c r="G25" s="178">
        <f t="shared" ca="1" si="9"/>
        <v>26.319999999999997</v>
      </c>
      <c r="H25" s="177">
        <f t="shared" ca="1" si="10"/>
        <v>25</v>
      </c>
      <c r="I25" s="196"/>
      <c r="J25" s="9" t="str">
        <f t="shared" ca="1" si="0"/>
        <v/>
      </c>
      <c r="K25" s="9" t="str">
        <f t="shared" ca="1" si="1"/>
        <v/>
      </c>
      <c r="L25" s="9">
        <f t="shared" ca="1" si="2"/>
        <v>1</v>
      </c>
      <c r="N25" s="176">
        <f t="shared" ca="1" si="11"/>
        <v>31</v>
      </c>
      <c r="O25" s="176">
        <f t="shared" ca="1" si="13"/>
        <v>208</v>
      </c>
      <c r="P25" s="175">
        <f t="shared" ca="1" si="3"/>
        <v>847.5157240417368</v>
      </c>
      <c r="Q25" s="11">
        <f t="shared" ca="1" si="4"/>
        <v>1.7056000000000002E-2</v>
      </c>
      <c r="R25" s="12">
        <f t="shared" ca="1" si="5"/>
        <v>14.455228189255864</v>
      </c>
      <c r="T25" s="31">
        <f t="shared" ca="1" si="14"/>
        <v>2106.3704858457254</v>
      </c>
    </row>
    <row r="26" spans="1:20">
      <c r="A26" s="198">
        <f ca="1">'PRICE_IOF Ñ USAR'!A26</f>
        <v>8</v>
      </c>
      <c r="B26" s="197">
        <f ca="1">'PRICE_IOF Ñ USAR'!B26</f>
        <v>44967</v>
      </c>
      <c r="C26" s="196">
        <f t="shared" ca="1" si="6"/>
        <v>278.33275156466993</v>
      </c>
      <c r="D26" s="21">
        <f t="shared" ca="1" si="12"/>
        <v>1828.0377342810555</v>
      </c>
      <c r="E26" s="196">
        <f t="shared" ca="1" si="7"/>
        <v>198421.420974637</v>
      </c>
      <c r="F26" s="178">
        <f t="shared" ca="1" si="8"/>
        <v>41.726948282502356</v>
      </c>
      <c r="G26" s="178">
        <f t="shared" ca="1" si="9"/>
        <v>26.319999999999997</v>
      </c>
      <c r="H26" s="177">
        <f t="shared" ca="1" si="10"/>
        <v>25</v>
      </c>
      <c r="I26" s="196"/>
      <c r="J26" s="9" t="str">
        <f t="shared" ca="1" si="0"/>
        <v/>
      </c>
      <c r="K26" s="9" t="str">
        <f t="shared" ca="1" si="1"/>
        <v/>
      </c>
      <c r="L26" s="9">
        <f t="shared" ca="1" si="2"/>
        <v>2</v>
      </c>
      <c r="N26" s="176">
        <f t="shared" ca="1" si="11"/>
        <v>31</v>
      </c>
      <c r="O26" s="176">
        <f t="shared" ca="1" si="13"/>
        <v>239</v>
      </c>
      <c r="P26" s="175">
        <f t="shared" ca="1" si="3"/>
        <v>847.5157240417368</v>
      </c>
      <c r="Q26" s="11">
        <f t="shared" ca="1" si="4"/>
        <v>1.9598000000000001E-2</v>
      </c>
      <c r="R26" s="12">
        <f t="shared" ca="1" si="5"/>
        <v>16.60961315976996</v>
      </c>
      <c r="T26" s="31">
        <f t="shared" ca="1" si="14"/>
        <v>2106.3704858457254</v>
      </c>
    </row>
    <row r="27" spans="1:20">
      <c r="A27" s="198">
        <f ca="1">'PRICE_IOF Ñ USAR'!A27</f>
        <v>9</v>
      </c>
      <c r="B27" s="197">
        <f ca="1">'PRICE_IOF Ñ USAR'!B27</f>
        <v>44995</v>
      </c>
      <c r="C27" s="196">
        <f t="shared" ca="1" si="6"/>
        <v>280.89341287906495</v>
      </c>
      <c r="D27" s="21">
        <f t="shared" ca="1" si="12"/>
        <v>1825.4770729666604</v>
      </c>
      <c r="E27" s="196">
        <f t="shared" ca="1" si="7"/>
        <v>198140.52756175795</v>
      </c>
      <c r="F27" s="178">
        <f t="shared" ca="1" si="8"/>
        <v>41.66849840467377</v>
      </c>
      <c r="G27" s="178">
        <f t="shared" ca="1" si="9"/>
        <v>26.319999999999997</v>
      </c>
      <c r="H27" s="177">
        <f t="shared" ca="1" si="10"/>
        <v>25</v>
      </c>
      <c r="I27" s="196"/>
      <c r="J27" s="9" t="str">
        <f t="shared" ca="1" si="0"/>
        <v/>
      </c>
      <c r="K27" s="9" t="str">
        <f t="shared" ca="1" si="1"/>
        <v/>
      </c>
      <c r="L27" s="9">
        <f t="shared" ca="1" si="2"/>
        <v>3</v>
      </c>
      <c r="N27" s="176">
        <f t="shared" ca="1" si="11"/>
        <v>28</v>
      </c>
      <c r="O27" s="176">
        <f t="shared" ca="1" si="13"/>
        <v>267</v>
      </c>
      <c r="P27" s="175">
        <f t="shared" ca="1" si="3"/>
        <v>847.5157240417368</v>
      </c>
      <c r="Q27" s="11">
        <f t="shared" ca="1" si="4"/>
        <v>2.1894E-2</v>
      </c>
      <c r="R27" s="12">
        <f t="shared" ca="1" si="5"/>
        <v>18.555509262169785</v>
      </c>
      <c r="T27" s="31">
        <f t="shared" ca="1" si="14"/>
        <v>2106.3704858457254</v>
      </c>
    </row>
    <row r="28" spans="1:20">
      <c r="A28" s="198">
        <f ca="1">'PRICE_IOF Ñ USAR'!A28</f>
        <v>10</v>
      </c>
      <c r="B28" s="197">
        <f ca="1">'PRICE_IOF Ñ USAR'!B28</f>
        <v>45026</v>
      </c>
      <c r="C28" s="196">
        <f t="shared" ca="1" si="6"/>
        <v>283.4776322775524</v>
      </c>
      <c r="D28" s="21">
        <f t="shared" ca="1" si="12"/>
        <v>1822.892853568173</v>
      </c>
      <c r="E28" s="196">
        <f t="shared" ca="1" si="7"/>
        <v>197857.04992948039</v>
      </c>
      <c r="F28" s="178">
        <f t="shared" ca="1" si="8"/>
        <v>41.609510787969171</v>
      </c>
      <c r="G28" s="178">
        <f t="shared" ca="1" si="9"/>
        <v>26.319999999999997</v>
      </c>
      <c r="H28" s="177">
        <f t="shared" ca="1" si="10"/>
        <v>25</v>
      </c>
      <c r="I28" s="196"/>
      <c r="J28" s="9" t="str">
        <f t="shared" ca="1" si="0"/>
        <v/>
      </c>
      <c r="K28" s="9" t="str">
        <f t="shared" ca="1" si="1"/>
        <v/>
      </c>
      <c r="L28" s="9">
        <f t="shared" ca="1" si="2"/>
        <v>4</v>
      </c>
      <c r="N28" s="176">
        <f t="shared" ca="1" si="11"/>
        <v>31</v>
      </c>
      <c r="O28" s="176">
        <f t="shared" ca="1" si="13"/>
        <v>298</v>
      </c>
      <c r="P28" s="175">
        <f t="shared" ca="1" si="3"/>
        <v>847.5157240417368</v>
      </c>
      <c r="Q28" s="11">
        <f t="shared" ca="1" si="4"/>
        <v>2.4435999999999999E-2</v>
      </c>
      <c r="R28" s="12">
        <f t="shared" ca="1" si="5"/>
        <v>20.70989423268388</v>
      </c>
      <c r="T28" s="31">
        <f t="shared" ca="1" si="14"/>
        <v>2106.3704858457254</v>
      </c>
    </row>
    <row r="29" spans="1:20">
      <c r="A29" s="198">
        <f ca="1">'PRICE_IOF Ñ USAR'!A29</f>
        <v>11</v>
      </c>
      <c r="B29" s="197">
        <f ca="1">'PRICE_IOF Ñ USAR'!B29</f>
        <v>45056</v>
      </c>
      <c r="C29" s="196">
        <f t="shared" ca="1" si="6"/>
        <v>286.08562649450596</v>
      </c>
      <c r="D29" s="21">
        <f t="shared" ca="1" si="12"/>
        <v>1820.2848593512194</v>
      </c>
      <c r="E29" s="196">
        <f t="shared" ca="1" si="7"/>
        <v>197570.96430298587</v>
      </c>
      <c r="F29" s="178">
        <f t="shared" ca="1" si="8"/>
        <v>41.549980485190886</v>
      </c>
      <c r="G29" s="178">
        <f t="shared" ca="1" si="9"/>
        <v>26.319999999999997</v>
      </c>
      <c r="H29" s="177">
        <f t="shared" ca="1" si="10"/>
        <v>25</v>
      </c>
      <c r="I29" s="196"/>
      <c r="J29" s="9" t="str">
        <f t="shared" ca="1" si="0"/>
        <v/>
      </c>
      <c r="K29" s="9" t="str">
        <f t="shared" ca="1" si="1"/>
        <v/>
      </c>
      <c r="L29" s="9">
        <f t="shared" ca="1" si="2"/>
        <v>5</v>
      </c>
      <c r="N29" s="176">
        <f t="shared" ca="1" si="11"/>
        <v>30</v>
      </c>
      <c r="O29" s="176">
        <f t="shared" ca="1" si="13"/>
        <v>328</v>
      </c>
      <c r="P29" s="175">
        <f t="shared" ca="1" si="3"/>
        <v>847.5157240417368</v>
      </c>
      <c r="Q29" s="11">
        <f t="shared" ca="1" si="4"/>
        <v>2.6896E-2</v>
      </c>
      <c r="R29" s="12">
        <f t="shared" ca="1" si="5"/>
        <v>22.794782913826552</v>
      </c>
      <c r="T29" s="31">
        <f t="shared" ca="1" si="14"/>
        <v>2106.3704858457254</v>
      </c>
    </row>
    <row r="30" spans="1:20">
      <c r="A30" s="198">
        <f ca="1">'PRICE_IOF Ñ USAR'!A30</f>
        <v>12</v>
      </c>
      <c r="B30" s="197">
        <f ca="1">'PRICE_IOF Ñ USAR'!B30</f>
        <v>45087</v>
      </c>
      <c r="C30" s="196">
        <f t="shared" ca="1" si="6"/>
        <v>288.71761425825548</v>
      </c>
      <c r="D30" s="21">
        <f t="shared" ca="1" si="12"/>
        <v>1817.6528715874699</v>
      </c>
      <c r="E30" s="196">
        <f t="shared" ca="1" si="7"/>
        <v>197282.24668872761</v>
      </c>
      <c r="F30" s="178">
        <f t="shared" ca="1" si="8"/>
        <v>41.489902503627036</v>
      </c>
      <c r="G30" s="178">
        <f t="shared" ca="1" si="9"/>
        <v>26.319999999999997</v>
      </c>
      <c r="H30" s="177">
        <f t="shared" ca="1" si="10"/>
        <v>25</v>
      </c>
      <c r="I30" s="196"/>
      <c r="J30" s="9" t="str">
        <f t="shared" ca="1" si="0"/>
        <v/>
      </c>
      <c r="K30" s="9" t="str">
        <f t="shared" ca="1" si="1"/>
        <v/>
      </c>
      <c r="L30" s="9">
        <f t="shared" ca="1" si="2"/>
        <v>6</v>
      </c>
      <c r="N30" s="176">
        <f t="shared" ca="1" si="11"/>
        <v>31</v>
      </c>
      <c r="O30" s="176">
        <f t="shared" ca="1" si="13"/>
        <v>359</v>
      </c>
      <c r="P30" s="175">
        <f t="shared" ca="1" si="3"/>
        <v>847.5157240417368</v>
      </c>
      <c r="Q30" s="11">
        <f t="shared" ca="1" si="4"/>
        <v>2.9437999999999999E-2</v>
      </c>
      <c r="R30" s="12">
        <f t="shared" ca="1" si="5"/>
        <v>24.949167884340646</v>
      </c>
      <c r="T30" s="31">
        <f t="shared" ca="1" si="14"/>
        <v>2106.3704858457254</v>
      </c>
    </row>
    <row r="31" spans="1:20">
      <c r="A31" s="198">
        <f ca="1">'PRICE_IOF Ñ USAR'!A31</f>
        <v>13</v>
      </c>
      <c r="B31" s="197">
        <f ca="1">'PRICE_IOF Ñ USAR'!B31</f>
        <v>45117</v>
      </c>
      <c r="C31" s="196">
        <f t="shared" ca="1" si="6"/>
        <v>291.3738163094315</v>
      </c>
      <c r="D31" s="21">
        <f t="shared" ca="1" si="12"/>
        <v>1814.9966695362939</v>
      </c>
      <c r="E31" s="196">
        <f t="shared" ca="1" si="7"/>
        <v>196990.87287241817</v>
      </c>
      <c r="F31" s="178">
        <f t="shared" ca="1" si="8"/>
        <v>41.429271804632798</v>
      </c>
      <c r="G31" s="178">
        <f t="shared" ca="1" si="9"/>
        <v>26.319999999999997</v>
      </c>
      <c r="H31" s="177">
        <f t="shared" ca="1" si="10"/>
        <v>25</v>
      </c>
      <c r="I31" s="196"/>
      <c r="J31" s="9" t="str">
        <f t="shared" ca="1" si="0"/>
        <v/>
      </c>
      <c r="K31" s="9" t="str">
        <f t="shared" ca="1" si="1"/>
        <v/>
      </c>
      <c r="L31" s="9">
        <f t="shared" ca="1" si="2"/>
        <v>7</v>
      </c>
      <c r="N31" s="176">
        <f t="shared" ca="1" si="11"/>
        <v>30</v>
      </c>
      <c r="O31" s="176">
        <f t="shared" ca="1" si="13"/>
        <v>389</v>
      </c>
      <c r="P31" s="175">
        <f t="shared" ca="1" si="3"/>
        <v>847.5157240417368</v>
      </c>
      <c r="Q31" s="11">
        <f t="shared" ca="1" si="4"/>
        <v>2.9930000000000002E-2</v>
      </c>
      <c r="R31" s="12">
        <f t="shared" ca="1" si="5"/>
        <v>25.366145620569185</v>
      </c>
      <c r="T31" s="31">
        <f t="shared" ca="1" si="14"/>
        <v>2106.3704858457254</v>
      </c>
    </row>
    <row r="32" spans="1:20">
      <c r="A32" s="198">
        <f ca="1">'PRICE_IOF Ñ USAR'!A32</f>
        <v>14</v>
      </c>
      <c r="B32" s="197">
        <f ca="1">'PRICE_IOF Ñ USAR'!B32</f>
        <v>45148</v>
      </c>
      <c r="C32" s="196">
        <f t="shared" ca="1" si="6"/>
        <v>294.05445541947824</v>
      </c>
      <c r="D32" s="21">
        <f t="shared" ca="1" si="12"/>
        <v>1812.3160304262472</v>
      </c>
      <c r="E32" s="196">
        <f t="shared" ca="1" si="7"/>
        <v>196696.81841699869</v>
      </c>
      <c r="F32" s="178">
        <f t="shared" ca="1" si="8"/>
        <v>41.368083303207818</v>
      </c>
      <c r="G32" s="178">
        <f t="shared" ca="1" si="9"/>
        <v>26.319999999999997</v>
      </c>
      <c r="H32" s="177">
        <f t="shared" ca="1" si="10"/>
        <v>25</v>
      </c>
      <c r="I32" s="196"/>
      <c r="J32" s="9" t="str">
        <f t="shared" ca="1" si="0"/>
        <v/>
      </c>
      <c r="K32" s="9" t="str">
        <f t="shared" ca="1" si="1"/>
        <v/>
      </c>
      <c r="L32" s="9">
        <f t="shared" ca="1" si="2"/>
        <v>8</v>
      </c>
      <c r="N32" s="176">
        <f t="shared" ca="1" si="11"/>
        <v>31</v>
      </c>
      <c r="O32" s="176">
        <f t="shared" ca="1" si="13"/>
        <v>420</v>
      </c>
      <c r="P32" s="175">
        <f t="shared" ca="1" si="3"/>
        <v>847.5157240417368</v>
      </c>
      <c r="Q32" s="11">
        <f t="shared" ca="1" si="4"/>
        <v>2.9930000000000002E-2</v>
      </c>
      <c r="R32" s="12">
        <f t="shared" ca="1" si="5"/>
        <v>25.366145620569185</v>
      </c>
      <c r="T32" s="31">
        <f t="shared" ca="1" si="14"/>
        <v>2106.3704858457254</v>
      </c>
    </row>
    <row r="33" spans="1:20">
      <c r="A33" s="198">
        <f ca="1">'PRICE_IOF Ñ USAR'!A33</f>
        <v>15</v>
      </c>
      <c r="B33" s="197">
        <f ca="1">'PRICE_IOF Ñ USAR'!B33</f>
        <v>45179</v>
      </c>
      <c r="C33" s="196">
        <f t="shared" ca="1" si="6"/>
        <v>296.75975640933757</v>
      </c>
      <c r="D33" s="21">
        <f t="shared" ca="1" si="12"/>
        <v>1809.6107294363878</v>
      </c>
      <c r="E33" s="196">
        <f t="shared" ca="1" si="7"/>
        <v>196400.05866058936</v>
      </c>
      <c r="F33" s="178">
        <f t="shared" ca="1" si="8"/>
        <v>41.306331867569725</v>
      </c>
      <c r="G33" s="178">
        <f t="shared" ca="1" si="9"/>
        <v>26.319999999999997</v>
      </c>
      <c r="H33" s="177">
        <f t="shared" ca="1" si="10"/>
        <v>25</v>
      </c>
      <c r="I33" s="196"/>
      <c r="J33" s="9" t="str">
        <f t="shared" ca="1" si="0"/>
        <v/>
      </c>
      <c r="K33" s="9" t="str">
        <f t="shared" ca="1" si="1"/>
        <v/>
      </c>
      <c r="L33" s="9">
        <f t="shared" ca="1" si="2"/>
        <v>9</v>
      </c>
      <c r="N33" s="176">
        <f t="shared" ca="1" si="11"/>
        <v>31</v>
      </c>
      <c r="O33" s="176">
        <f t="shared" ca="1" si="13"/>
        <v>451</v>
      </c>
      <c r="P33" s="175">
        <f t="shared" ca="1" si="3"/>
        <v>847.5157240417368</v>
      </c>
      <c r="Q33" s="11">
        <f t="shared" ca="1" si="4"/>
        <v>2.9930000000000002E-2</v>
      </c>
      <c r="R33" s="12">
        <f t="shared" ca="1" si="5"/>
        <v>25.366145620569185</v>
      </c>
      <c r="T33" s="31">
        <f t="shared" ca="1" si="14"/>
        <v>2106.3704858457254</v>
      </c>
    </row>
    <row r="34" spans="1:20">
      <c r="A34" s="198">
        <f ca="1">'PRICE_IOF Ñ USAR'!A34</f>
        <v>16</v>
      </c>
      <c r="B34" s="197">
        <f ca="1">'PRICE_IOF Ñ USAR'!B34</f>
        <v>45209</v>
      </c>
      <c r="C34" s="196">
        <f t="shared" ca="1" si="6"/>
        <v>299.48994616830328</v>
      </c>
      <c r="D34" s="21">
        <f t="shared" ca="1" si="12"/>
        <v>1806.8805396774221</v>
      </c>
      <c r="E34" s="196">
        <f t="shared" ca="1" si="7"/>
        <v>196100.56871442107</v>
      </c>
      <c r="F34" s="178">
        <f t="shared" ca="1" si="8"/>
        <v>41.244012318723769</v>
      </c>
      <c r="G34" s="178">
        <f t="shared" ca="1" si="9"/>
        <v>26.319999999999997</v>
      </c>
      <c r="H34" s="177">
        <f t="shared" ca="1" si="10"/>
        <v>25</v>
      </c>
      <c r="I34" s="196"/>
      <c r="J34" s="9" t="str">
        <f t="shared" ca="1" si="0"/>
        <v/>
      </c>
      <c r="K34" s="9" t="str">
        <f t="shared" ca="1" si="1"/>
        <v/>
      </c>
      <c r="L34" s="9">
        <f t="shared" ca="1" si="2"/>
        <v>10</v>
      </c>
      <c r="N34" s="176">
        <f t="shared" ca="1" si="11"/>
        <v>30</v>
      </c>
      <c r="O34" s="176">
        <f t="shared" ca="1" si="13"/>
        <v>481</v>
      </c>
      <c r="P34" s="175">
        <f t="shared" ca="1" si="3"/>
        <v>847.5157240417368</v>
      </c>
      <c r="Q34" s="11">
        <f t="shared" ca="1" si="4"/>
        <v>2.9930000000000002E-2</v>
      </c>
      <c r="R34" s="12">
        <f t="shared" ca="1" si="5"/>
        <v>25.366145620569185</v>
      </c>
      <c r="T34" s="31">
        <f t="shared" ca="1" si="14"/>
        <v>2106.3704858457254</v>
      </c>
    </row>
    <row r="35" spans="1:20">
      <c r="A35" s="198">
        <f ca="1">'PRICE_IOF Ñ USAR'!A35</f>
        <v>17</v>
      </c>
      <c r="B35" s="197">
        <f ca="1">'PRICE_IOF Ñ USAR'!B35</f>
        <v>45240</v>
      </c>
      <c r="C35" s="196">
        <f t="shared" ca="1" si="6"/>
        <v>302.24525367305159</v>
      </c>
      <c r="D35" s="21">
        <f t="shared" ca="1" si="12"/>
        <v>1804.1252321726738</v>
      </c>
      <c r="E35" s="196">
        <f t="shared" ca="1" si="7"/>
        <v>195798.32346074801</v>
      </c>
      <c r="F35" s="178">
        <f t="shared" ca="1" si="8"/>
        <v>41.181119430028424</v>
      </c>
      <c r="G35" s="178">
        <f t="shared" ca="1" si="9"/>
        <v>26.319999999999997</v>
      </c>
      <c r="H35" s="177">
        <f t="shared" ca="1" si="10"/>
        <v>25</v>
      </c>
      <c r="I35" s="196"/>
      <c r="J35" s="9" t="str">
        <f t="shared" ca="1" si="0"/>
        <v/>
      </c>
      <c r="K35" s="9" t="str">
        <f t="shared" ca="1" si="1"/>
        <v/>
      </c>
      <c r="L35" s="9">
        <f t="shared" ca="1" si="2"/>
        <v>11</v>
      </c>
      <c r="N35" s="176">
        <f t="shared" ca="1" si="11"/>
        <v>31</v>
      </c>
      <c r="O35" s="176">
        <f t="shared" ca="1" si="13"/>
        <v>512</v>
      </c>
      <c r="P35" s="175">
        <f t="shared" ca="1" si="3"/>
        <v>847.5157240417368</v>
      </c>
      <c r="Q35" s="11">
        <f t="shared" ca="1" si="4"/>
        <v>2.9930000000000002E-2</v>
      </c>
      <c r="R35" s="12">
        <f t="shared" ca="1" si="5"/>
        <v>25.366145620569185</v>
      </c>
      <c r="T35" s="31">
        <f t="shared" ca="1" si="14"/>
        <v>2106.3704858457254</v>
      </c>
    </row>
    <row r="36" spans="1:20">
      <c r="A36" s="198">
        <f ca="1">'PRICE_IOF Ñ USAR'!A36</f>
        <v>18</v>
      </c>
      <c r="B36" s="197">
        <f ca="1">'PRICE_IOF Ñ USAR'!B36</f>
        <v>45270</v>
      </c>
      <c r="C36" s="196">
        <f t="shared" ca="1" si="6"/>
        <v>305.02591000684379</v>
      </c>
      <c r="D36" s="21">
        <f t="shared" ca="1" si="12"/>
        <v>1801.3445758388816</v>
      </c>
      <c r="E36" s="196">
        <f t="shared" ca="1" si="7"/>
        <v>195493.29755074118</v>
      </c>
      <c r="F36" s="178">
        <f t="shared" ca="1" si="8"/>
        <v>41.117647926757087</v>
      </c>
      <c r="G36" s="178">
        <f t="shared" ca="1" si="9"/>
        <v>26.319999999999997</v>
      </c>
      <c r="H36" s="177">
        <f t="shared" ca="1" si="10"/>
        <v>25</v>
      </c>
      <c r="I36" s="196"/>
      <c r="J36" s="9" t="str">
        <f t="shared" ca="1" si="0"/>
        <v/>
      </c>
      <c r="K36" s="9" t="str">
        <f t="shared" ca="1" si="1"/>
        <v/>
      </c>
      <c r="L36" s="9">
        <f t="shared" ca="1" si="2"/>
        <v>12</v>
      </c>
      <c r="N36" s="176">
        <f t="shared" ca="1" si="11"/>
        <v>30</v>
      </c>
      <c r="O36" s="176">
        <f t="shared" ca="1" si="13"/>
        <v>542</v>
      </c>
      <c r="P36" s="175">
        <f t="shared" ca="1" si="3"/>
        <v>847.5157240417368</v>
      </c>
      <c r="Q36" s="11">
        <f t="shared" ca="1" si="4"/>
        <v>2.9930000000000002E-2</v>
      </c>
      <c r="R36" s="12">
        <f t="shared" ca="1" si="5"/>
        <v>25.366145620569185</v>
      </c>
      <c r="T36" s="31">
        <f t="shared" ca="1" si="14"/>
        <v>2106.3704858457254</v>
      </c>
    </row>
    <row r="37" spans="1:20">
      <c r="A37" s="198">
        <f ca="1">'PRICE_IOF Ñ USAR'!A37</f>
        <v>19</v>
      </c>
      <c r="B37" s="197">
        <f ca="1">'PRICE_IOF Ñ USAR'!B37</f>
        <v>45301</v>
      </c>
      <c r="C37" s="196">
        <f t="shared" ca="1" si="6"/>
        <v>307.8321483789066</v>
      </c>
      <c r="D37" s="21">
        <f t="shared" ca="1" si="12"/>
        <v>1798.5383374668188</v>
      </c>
      <c r="E37" s="196">
        <f t="shared" ca="1" si="7"/>
        <v>195185.46540236226</v>
      </c>
      <c r="F37" s="178">
        <f t="shared" ca="1" si="8"/>
        <v>41.053592485655649</v>
      </c>
      <c r="G37" s="178">
        <f t="shared" ca="1" si="9"/>
        <v>26.319999999999997</v>
      </c>
      <c r="H37" s="177">
        <f t="shared" ca="1" si="10"/>
        <v>25</v>
      </c>
      <c r="I37" s="196"/>
      <c r="J37" s="9" t="str">
        <f t="shared" ca="1" si="0"/>
        <v/>
      </c>
      <c r="K37" s="9" t="str">
        <f t="shared" ca="1" si="1"/>
        <v/>
      </c>
      <c r="L37" s="9">
        <f t="shared" ca="1" si="2"/>
        <v>1</v>
      </c>
      <c r="N37" s="176">
        <f t="shared" ca="1" si="11"/>
        <v>31</v>
      </c>
      <c r="O37" s="176">
        <f t="shared" ca="1" si="13"/>
        <v>573</v>
      </c>
      <c r="P37" s="175">
        <f t="shared" ca="1" si="3"/>
        <v>847.5157240417368</v>
      </c>
      <c r="Q37" s="11">
        <f t="shared" ca="1" si="4"/>
        <v>2.9930000000000002E-2</v>
      </c>
      <c r="R37" s="12">
        <f t="shared" ca="1" si="5"/>
        <v>25.366145620569185</v>
      </c>
      <c r="T37" s="31">
        <f t="shared" ca="1" si="14"/>
        <v>2106.3704858457254</v>
      </c>
    </row>
    <row r="38" spans="1:20">
      <c r="A38" s="198">
        <f ca="1">'PRICE_IOF Ñ USAR'!A38</f>
        <v>20</v>
      </c>
      <c r="B38" s="197">
        <f ca="1">'PRICE_IOF Ñ USAR'!B38</f>
        <v>45332</v>
      </c>
      <c r="C38" s="196">
        <f t="shared" ca="1" si="6"/>
        <v>310.66420414399272</v>
      </c>
      <c r="D38" s="21">
        <f t="shared" ca="1" si="12"/>
        <v>1795.7062817017327</v>
      </c>
      <c r="E38" s="196">
        <f t="shared" ca="1" si="7"/>
        <v>194874.80119821825</v>
      </c>
      <c r="F38" s="178">
        <f t="shared" ca="1" si="8"/>
        <v>40.988947734496072</v>
      </c>
      <c r="G38" s="178">
        <f t="shared" ca="1" si="9"/>
        <v>26.319999999999997</v>
      </c>
      <c r="H38" s="177">
        <f t="shared" ca="1" si="10"/>
        <v>25</v>
      </c>
      <c r="I38" s="196"/>
      <c r="J38" s="9" t="str">
        <f t="shared" ca="1" si="0"/>
        <v/>
      </c>
      <c r="K38" s="9" t="str">
        <f t="shared" ca="1" si="1"/>
        <v/>
      </c>
      <c r="L38" s="9">
        <f t="shared" ca="1" si="2"/>
        <v>2</v>
      </c>
      <c r="N38" s="176">
        <f t="shared" ca="1" si="11"/>
        <v>31</v>
      </c>
      <c r="O38" s="176">
        <f t="shared" ca="1" si="13"/>
        <v>604</v>
      </c>
      <c r="P38" s="175">
        <f t="shared" ca="1" si="3"/>
        <v>847.5157240417368</v>
      </c>
      <c r="Q38" s="11">
        <f t="shared" ca="1" si="4"/>
        <v>2.9930000000000002E-2</v>
      </c>
      <c r="R38" s="12">
        <f t="shared" ca="1" si="5"/>
        <v>25.366145620569185</v>
      </c>
      <c r="T38" s="31">
        <f t="shared" ca="1" si="14"/>
        <v>2106.3704858457254</v>
      </c>
    </row>
    <row r="39" spans="1:20">
      <c r="A39" s="198">
        <f ca="1">'PRICE_IOF Ñ USAR'!A39</f>
        <v>21</v>
      </c>
      <c r="B39" s="197">
        <f ca="1">'PRICE_IOF Ñ USAR'!B39</f>
        <v>45361</v>
      </c>
      <c r="C39" s="196">
        <f t="shared" ca="1" si="6"/>
        <v>313.52231482211755</v>
      </c>
      <c r="D39" s="21">
        <f t="shared" ca="1" si="12"/>
        <v>1792.8481710236078</v>
      </c>
      <c r="E39" s="196">
        <f t="shared" ca="1" si="7"/>
        <v>194561.27888339612</v>
      </c>
      <c r="F39" s="178">
        <f t="shared" ca="1" si="8"/>
        <v>40.923708251625833</v>
      </c>
      <c r="G39" s="178">
        <f t="shared" ca="1" si="9"/>
        <v>26.319999999999997</v>
      </c>
      <c r="H39" s="177">
        <f t="shared" ca="1" si="10"/>
        <v>25</v>
      </c>
      <c r="I39" s="196"/>
      <c r="J39" s="9" t="str">
        <f t="shared" ca="1" si="0"/>
        <v/>
      </c>
      <c r="K39" s="9" t="str">
        <f t="shared" ca="1" si="1"/>
        <v/>
      </c>
      <c r="L39" s="9">
        <f t="shared" ca="1" si="2"/>
        <v>3</v>
      </c>
      <c r="N39" s="176">
        <f t="shared" ca="1" si="11"/>
        <v>29</v>
      </c>
      <c r="O39" s="176">
        <f t="shared" ca="1" si="13"/>
        <v>633</v>
      </c>
      <c r="P39" s="175">
        <f t="shared" ca="1" si="3"/>
        <v>847.5157240417368</v>
      </c>
      <c r="Q39" s="11">
        <f t="shared" ca="1" si="4"/>
        <v>2.9930000000000002E-2</v>
      </c>
      <c r="R39" s="12">
        <f t="shared" ca="1" si="5"/>
        <v>25.366145620569185</v>
      </c>
      <c r="T39" s="31">
        <f t="shared" ca="1" si="14"/>
        <v>2106.3704858457254</v>
      </c>
    </row>
    <row r="40" spans="1:20">
      <c r="A40" s="198">
        <f ca="1">'PRICE_IOF Ñ USAR'!A40</f>
        <v>22</v>
      </c>
      <c r="B40" s="197">
        <f ca="1">'PRICE_IOF Ñ USAR'!B40</f>
        <v>45392</v>
      </c>
      <c r="C40" s="196">
        <f t="shared" ca="1" si="6"/>
        <v>316.40672011848119</v>
      </c>
      <c r="D40" s="21">
        <f t="shared" ca="1" si="12"/>
        <v>1789.9637657272442</v>
      </c>
      <c r="E40" s="196">
        <f t="shared" ca="1" si="7"/>
        <v>194244.87216327764</v>
      </c>
      <c r="F40" s="178">
        <f t="shared" ca="1" si="8"/>
        <v>40.857868565513186</v>
      </c>
      <c r="G40" s="178">
        <f t="shared" ca="1" si="9"/>
        <v>26.319999999999997</v>
      </c>
      <c r="H40" s="177">
        <f t="shared" ca="1" si="10"/>
        <v>25</v>
      </c>
      <c r="I40" s="196"/>
      <c r="J40" s="9" t="str">
        <f t="shared" ca="1" si="0"/>
        <v/>
      </c>
      <c r="K40" s="9" t="str">
        <f t="shared" ca="1" si="1"/>
        <v/>
      </c>
      <c r="L40" s="9">
        <f t="shared" ca="1" si="2"/>
        <v>4</v>
      </c>
      <c r="N40" s="176">
        <f t="shared" ca="1" si="11"/>
        <v>31</v>
      </c>
      <c r="O40" s="176">
        <f t="shared" ca="1" si="13"/>
        <v>664</v>
      </c>
      <c r="P40" s="175">
        <f t="shared" ca="1" si="3"/>
        <v>847.5157240417368</v>
      </c>
      <c r="Q40" s="11">
        <f t="shared" ca="1" si="4"/>
        <v>2.9930000000000002E-2</v>
      </c>
      <c r="R40" s="12">
        <f t="shared" ca="1" si="5"/>
        <v>25.366145620569185</v>
      </c>
      <c r="T40" s="31">
        <f t="shared" ca="1" si="14"/>
        <v>2106.3704858457254</v>
      </c>
    </row>
    <row r="41" spans="1:20">
      <c r="A41" s="198">
        <f ca="1">'PRICE_IOF Ñ USAR'!A41</f>
        <v>23</v>
      </c>
      <c r="B41" s="197">
        <f ca="1">'PRICE_IOF Ñ USAR'!B41</f>
        <v>45422</v>
      </c>
      <c r="C41" s="196">
        <f t="shared" ca="1" si="6"/>
        <v>319.31766194357101</v>
      </c>
      <c r="D41" s="21">
        <f t="shared" ca="1" si="12"/>
        <v>1787.0528239021544</v>
      </c>
      <c r="E41" s="196">
        <f t="shared" ca="1" si="7"/>
        <v>193925.55450133406</v>
      </c>
      <c r="F41" s="178">
        <f t="shared" ca="1" si="8"/>
        <v>40.79142315428831</v>
      </c>
      <c r="G41" s="178">
        <f t="shared" ca="1" si="9"/>
        <v>26.319999999999997</v>
      </c>
      <c r="H41" s="177">
        <f t="shared" ca="1" si="10"/>
        <v>25</v>
      </c>
      <c r="I41" s="196"/>
      <c r="J41" s="9" t="str">
        <f t="shared" ca="1" si="0"/>
        <v/>
      </c>
      <c r="K41" s="9" t="str">
        <f t="shared" ca="1" si="1"/>
        <v/>
      </c>
      <c r="L41" s="9">
        <f t="shared" ca="1" si="2"/>
        <v>5</v>
      </c>
      <c r="N41" s="176">
        <f t="shared" ca="1" si="11"/>
        <v>30</v>
      </c>
      <c r="O41" s="176">
        <f t="shared" ca="1" si="13"/>
        <v>694</v>
      </c>
      <c r="P41" s="175">
        <f t="shared" ca="1" si="3"/>
        <v>847.5157240417368</v>
      </c>
      <c r="Q41" s="11">
        <f t="shared" ca="1" si="4"/>
        <v>2.9930000000000002E-2</v>
      </c>
      <c r="R41" s="12">
        <f t="shared" ca="1" si="5"/>
        <v>25.366145620569185</v>
      </c>
      <c r="T41" s="31">
        <f t="shared" ca="1" si="14"/>
        <v>2106.3704858457254</v>
      </c>
    </row>
    <row r="42" spans="1:20">
      <c r="A42" s="198">
        <f ca="1">'PRICE_IOF Ñ USAR'!A42</f>
        <v>24</v>
      </c>
      <c r="B42" s="197">
        <f ca="1">'PRICE_IOF Ñ USAR'!B42</f>
        <v>45453</v>
      </c>
      <c r="C42" s="196">
        <f t="shared" ca="1" si="6"/>
        <v>322.25538443345204</v>
      </c>
      <c r="D42" s="21">
        <f t="shared" ca="1" si="12"/>
        <v>1784.1151014122734</v>
      </c>
      <c r="E42" s="196">
        <f t="shared" ca="1" si="7"/>
        <v>193603.2991169006</v>
      </c>
      <c r="F42" s="178">
        <f t="shared" ca="1" si="8"/>
        <v>40.724366445280154</v>
      </c>
      <c r="G42" s="178">
        <f t="shared" ca="1" si="9"/>
        <v>26.319999999999997</v>
      </c>
      <c r="H42" s="177">
        <f t="shared" ca="1" si="10"/>
        <v>25</v>
      </c>
      <c r="I42" s="196"/>
      <c r="J42" s="9" t="str">
        <f t="shared" ca="1" si="0"/>
        <v/>
      </c>
      <c r="K42" s="9" t="str">
        <f t="shared" ca="1" si="1"/>
        <v/>
      </c>
      <c r="L42" s="9">
        <f t="shared" ca="1" si="2"/>
        <v>6</v>
      </c>
      <c r="N42" s="176">
        <f t="shared" ca="1" si="11"/>
        <v>31</v>
      </c>
      <c r="O42" s="176">
        <f t="shared" ca="1" si="13"/>
        <v>725</v>
      </c>
      <c r="P42" s="175">
        <f t="shared" ca="1" si="3"/>
        <v>847.5157240417368</v>
      </c>
      <c r="Q42" s="11">
        <f t="shared" ca="1" si="4"/>
        <v>2.9930000000000002E-2</v>
      </c>
      <c r="R42" s="12">
        <f t="shared" ca="1" si="5"/>
        <v>25.366145620569185</v>
      </c>
      <c r="T42" s="31">
        <f t="shared" ca="1" si="14"/>
        <v>2106.3704858457254</v>
      </c>
    </row>
    <row r="43" spans="1:20">
      <c r="A43" s="198">
        <f ca="1">'PRICE_IOF Ñ USAR'!A43</f>
        <v>25</v>
      </c>
      <c r="B43" s="197">
        <f ca="1">'PRICE_IOF Ñ USAR'!B43</f>
        <v>45483</v>
      </c>
      <c r="C43" s="196">
        <f t="shared" ca="1" si="6"/>
        <v>325.22013397023989</v>
      </c>
      <c r="D43" s="21">
        <f t="shared" ca="1" si="12"/>
        <v>1781.1503518754855</v>
      </c>
      <c r="E43" s="196">
        <f t="shared" ca="1" si="7"/>
        <v>193278.07898293037</v>
      </c>
      <c r="F43" s="178">
        <f t="shared" ca="1" si="8"/>
        <v>40.656692814549125</v>
      </c>
      <c r="G43" s="178">
        <f t="shared" ca="1" si="9"/>
        <v>26.319999999999997</v>
      </c>
      <c r="H43" s="177">
        <f t="shared" ca="1" si="10"/>
        <v>25</v>
      </c>
      <c r="I43" s="196"/>
      <c r="J43" s="9" t="str">
        <f t="shared" ca="1" si="0"/>
        <v/>
      </c>
      <c r="K43" s="9" t="str">
        <f t="shared" ca="1" si="1"/>
        <v/>
      </c>
      <c r="L43" s="9">
        <f t="shared" ca="1" si="2"/>
        <v>7</v>
      </c>
      <c r="N43" s="176">
        <f t="shared" ca="1" si="11"/>
        <v>30</v>
      </c>
      <c r="O43" s="176">
        <f t="shared" ca="1" si="13"/>
        <v>755</v>
      </c>
      <c r="P43" s="175">
        <f t="shared" ca="1" si="3"/>
        <v>847.5157240417368</v>
      </c>
      <c r="Q43" s="11">
        <f t="shared" ca="1" si="4"/>
        <v>2.9930000000000002E-2</v>
      </c>
      <c r="R43" s="12">
        <f t="shared" ca="1" si="5"/>
        <v>25.366145620569185</v>
      </c>
      <c r="T43" s="31">
        <f t="shared" ca="1" si="14"/>
        <v>2106.3704858457254</v>
      </c>
    </row>
    <row r="44" spans="1:20">
      <c r="A44" s="198">
        <f ca="1">'PRICE_IOF Ñ USAR'!A44</f>
        <v>26</v>
      </c>
      <c r="B44" s="197">
        <f ca="1">'PRICE_IOF Ñ USAR'!B44</f>
        <v>45514</v>
      </c>
      <c r="C44" s="196">
        <f t="shared" ca="1" si="6"/>
        <v>328.21215920276609</v>
      </c>
      <c r="D44" s="21">
        <f t="shared" ca="1" si="12"/>
        <v>1778.1583266429593</v>
      </c>
      <c r="E44" s="196">
        <f t="shared" ca="1" si="7"/>
        <v>192949.86682372761</v>
      </c>
      <c r="F44" s="178">
        <f t="shared" ca="1" si="8"/>
        <v>40.588396586415378</v>
      </c>
      <c r="G44" s="178">
        <f t="shared" ca="1" si="9"/>
        <v>26.319999999999997</v>
      </c>
      <c r="H44" s="177">
        <f t="shared" ca="1" si="10"/>
        <v>25</v>
      </c>
      <c r="I44" s="196"/>
      <c r="J44" s="9" t="str">
        <f t="shared" ca="1" si="0"/>
        <v/>
      </c>
      <c r="K44" s="9" t="str">
        <f t="shared" ca="1" si="1"/>
        <v/>
      </c>
      <c r="L44" s="9">
        <f t="shared" ca="1" si="2"/>
        <v>8</v>
      </c>
      <c r="N44" s="176">
        <f t="shared" ca="1" si="11"/>
        <v>31</v>
      </c>
      <c r="O44" s="176">
        <f t="shared" ca="1" si="13"/>
        <v>786</v>
      </c>
      <c r="P44" s="175">
        <f t="shared" ca="1" si="3"/>
        <v>847.5157240417368</v>
      </c>
      <c r="Q44" s="11">
        <f t="shared" ca="1" si="4"/>
        <v>2.9930000000000002E-2</v>
      </c>
      <c r="R44" s="12">
        <f t="shared" ca="1" si="5"/>
        <v>25.366145620569185</v>
      </c>
      <c r="T44" s="31">
        <f t="shared" ca="1" si="14"/>
        <v>2106.3704858457254</v>
      </c>
    </row>
    <row r="45" spans="1:20">
      <c r="A45" s="198">
        <f ca="1">'PRICE_IOF Ñ USAR'!A45</f>
        <v>27</v>
      </c>
      <c r="B45" s="197">
        <f ca="1">'PRICE_IOF Ñ USAR'!B45</f>
        <v>45545</v>
      </c>
      <c r="C45" s="196">
        <f t="shared" ca="1" si="6"/>
        <v>331.23171106743143</v>
      </c>
      <c r="D45" s="21">
        <f t="shared" ca="1" si="12"/>
        <v>1775.138774778294</v>
      </c>
      <c r="E45" s="196">
        <f t="shared" ca="1" si="7"/>
        <v>192618.63511266018</v>
      </c>
      <c r="F45" s="178">
        <f t="shared" ca="1" si="8"/>
        <v>40.519472032982797</v>
      </c>
      <c r="G45" s="178">
        <f t="shared" ca="1" si="9"/>
        <v>26.319999999999997</v>
      </c>
      <c r="H45" s="177">
        <f t="shared" ca="1" si="10"/>
        <v>25</v>
      </c>
      <c r="I45" s="196"/>
      <c r="J45" s="9" t="str">
        <f t="shared" ca="1" si="0"/>
        <v/>
      </c>
      <c r="K45" s="9" t="str">
        <f t="shared" ca="1" si="1"/>
        <v/>
      </c>
      <c r="L45" s="9">
        <f t="shared" ca="1" si="2"/>
        <v>9</v>
      </c>
      <c r="N45" s="176">
        <f t="shared" ca="1" si="11"/>
        <v>31</v>
      </c>
      <c r="O45" s="176">
        <f t="shared" ca="1" si="13"/>
        <v>817</v>
      </c>
      <c r="P45" s="175">
        <f t="shared" ca="1" si="3"/>
        <v>847.5157240417368</v>
      </c>
      <c r="Q45" s="11">
        <f t="shared" ca="1" si="4"/>
        <v>2.9930000000000002E-2</v>
      </c>
      <c r="R45" s="12">
        <f t="shared" ca="1" si="5"/>
        <v>25.366145620569185</v>
      </c>
      <c r="T45" s="31">
        <f t="shared" ca="1" si="14"/>
        <v>2106.3704858457254</v>
      </c>
    </row>
    <row r="46" spans="1:20">
      <c r="A46" s="198">
        <f ca="1">'PRICE_IOF Ñ USAR'!A46</f>
        <v>28</v>
      </c>
      <c r="B46" s="197">
        <f ca="1">'PRICE_IOF Ñ USAR'!B46</f>
        <v>45575</v>
      </c>
      <c r="C46" s="196">
        <f t="shared" ca="1" si="6"/>
        <v>334.27904280925168</v>
      </c>
      <c r="D46" s="21">
        <f t="shared" ca="1" si="12"/>
        <v>1772.0914430364737</v>
      </c>
      <c r="E46" s="196">
        <f t="shared" ca="1" si="7"/>
        <v>192284.35606985094</v>
      </c>
      <c r="F46" s="178">
        <f t="shared" ca="1" si="8"/>
        <v>40.449913373658639</v>
      </c>
      <c r="G46" s="178">
        <f t="shared" ca="1" si="9"/>
        <v>26.319999999999997</v>
      </c>
      <c r="H46" s="177">
        <f t="shared" ca="1" si="10"/>
        <v>25</v>
      </c>
      <c r="I46" s="196"/>
      <c r="J46" s="9" t="str">
        <f t="shared" ca="1" si="0"/>
        <v/>
      </c>
      <c r="K46" s="9" t="str">
        <f t="shared" ca="1" si="1"/>
        <v/>
      </c>
      <c r="L46" s="9">
        <f t="shared" ca="1" si="2"/>
        <v>10</v>
      </c>
      <c r="N46" s="176">
        <f t="shared" ca="1" si="11"/>
        <v>30</v>
      </c>
      <c r="O46" s="176">
        <f t="shared" ca="1" si="13"/>
        <v>847</v>
      </c>
      <c r="P46" s="175">
        <f t="shared" ca="1" si="3"/>
        <v>847.5157240417368</v>
      </c>
      <c r="Q46" s="11">
        <f t="shared" ca="1" si="4"/>
        <v>2.9930000000000002E-2</v>
      </c>
      <c r="R46" s="12">
        <f t="shared" ca="1" si="5"/>
        <v>25.366145620569185</v>
      </c>
      <c r="T46" s="31">
        <f t="shared" ca="1" si="14"/>
        <v>2106.3704858457254</v>
      </c>
    </row>
    <row r="47" spans="1:20">
      <c r="A47" s="198">
        <f ca="1">'PRICE_IOF Ñ USAR'!A47</f>
        <v>29</v>
      </c>
      <c r="B47" s="197">
        <f ca="1">'PRICE_IOF Ñ USAR'!B47</f>
        <v>45606</v>
      </c>
      <c r="C47" s="196">
        <f t="shared" ca="1" si="6"/>
        <v>337.35441000309675</v>
      </c>
      <c r="D47" s="21">
        <f t="shared" ca="1" si="12"/>
        <v>1769.0160758426287</v>
      </c>
      <c r="E47" s="196">
        <f t="shared" ca="1" si="7"/>
        <v>191947.00165984785</v>
      </c>
      <c r="F47" s="178">
        <f t="shared" ca="1" si="8"/>
        <v>40.379714774668699</v>
      </c>
      <c r="G47" s="178">
        <f t="shared" ca="1" si="9"/>
        <v>26.319999999999997</v>
      </c>
      <c r="H47" s="177">
        <f t="shared" ca="1" si="10"/>
        <v>25</v>
      </c>
      <c r="I47" s="196"/>
      <c r="J47" s="9" t="str">
        <f t="shared" ca="1" si="0"/>
        <v/>
      </c>
      <c r="K47" s="9" t="str">
        <f t="shared" ca="1" si="1"/>
        <v/>
      </c>
      <c r="L47" s="9">
        <f t="shared" ca="1" si="2"/>
        <v>11</v>
      </c>
      <c r="N47" s="176">
        <f t="shared" ca="1" si="11"/>
        <v>31</v>
      </c>
      <c r="O47" s="176">
        <f t="shared" ca="1" si="13"/>
        <v>878</v>
      </c>
      <c r="P47" s="175">
        <f t="shared" ca="1" si="3"/>
        <v>847.5157240417368</v>
      </c>
      <c r="Q47" s="11">
        <f t="shared" ca="1" si="4"/>
        <v>2.9930000000000002E-2</v>
      </c>
      <c r="R47" s="12">
        <f t="shared" ca="1" si="5"/>
        <v>25.366145620569185</v>
      </c>
      <c r="T47" s="31">
        <f t="shared" ca="1" si="14"/>
        <v>2106.3704858457254</v>
      </c>
    </row>
    <row r="48" spans="1:20">
      <c r="A48" s="198">
        <f ca="1">'PRICE_IOF Ñ USAR'!A48</f>
        <v>30</v>
      </c>
      <c r="B48" s="197">
        <f ca="1">'PRICE_IOF Ñ USAR'!B48</f>
        <v>45636</v>
      </c>
      <c r="C48" s="196">
        <f t="shared" ca="1" si="6"/>
        <v>340.45807057512525</v>
      </c>
      <c r="D48" s="21">
        <f t="shared" ca="1" si="12"/>
        <v>1765.9124152706001</v>
      </c>
      <c r="E48" s="196">
        <f t="shared" ca="1" si="7"/>
        <v>191606.54358927274</v>
      </c>
      <c r="F48" s="178">
        <f t="shared" ca="1" si="8"/>
        <v>40.30887034856805</v>
      </c>
      <c r="G48" s="178">
        <f t="shared" ca="1" si="9"/>
        <v>26.319999999999997</v>
      </c>
      <c r="H48" s="177">
        <f t="shared" ca="1" si="10"/>
        <v>25</v>
      </c>
      <c r="I48" s="196"/>
      <c r="J48" s="9" t="str">
        <f t="shared" ca="1" si="0"/>
        <v/>
      </c>
      <c r="K48" s="9" t="str">
        <f t="shared" ca="1" si="1"/>
        <v/>
      </c>
      <c r="L48" s="9">
        <f t="shared" ca="1" si="2"/>
        <v>12</v>
      </c>
      <c r="N48" s="176">
        <f t="shared" ca="1" si="11"/>
        <v>30</v>
      </c>
      <c r="O48" s="176">
        <f t="shared" ca="1" si="13"/>
        <v>908</v>
      </c>
      <c r="P48" s="175">
        <f t="shared" ca="1" si="3"/>
        <v>847.5157240417368</v>
      </c>
      <c r="Q48" s="11">
        <f t="shared" ca="1" si="4"/>
        <v>2.9930000000000002E-2</v>
      </c>
      <c r="R48" s="12">
        <f t="shared" ca="1" si="5"/>
        <v>25.366145620569185</v>
      </c>
      <c r="T48" s="31">
        <f t="shared" ca="1" si="14"/>
        <v>2106.3704858457254</v>
      </c>
    </row>
    <row r="49" spans="1:20">
      <c r="A49" s="198">
        <f ca="1">'PRICE_IOF Ñ USAR'!A49</f>
        <v>31</v>
      </c>
      <c r="B49" s="197">
        <f ca="1">'PRICE_IOF Ñ USAR'!B49</f>
        <v>45667</v>
      </c>
      <c r="C49" s="196">
        <f t="shared" ca="1" si="6"/>
        <v>343.59028482441613</v>
      </c>
      <c r="D49" s="21">
        <f t="shared" ca="1" si="12"/>
        <v>1762.7802010213093</v>
      </c>
      <c r="E49" s="196">
        <f t="shared" ca="1" si="7"/>
        <v>191262.95330444831</v>
      </c>
      <c r="F49" s="178">
        <f t="shared" ca="1" si="8"/>
        <v>40.237374153747275</v>
      </c>
      <c r="G49" s="178">
        <f t="shared" ca="1" si="9"/>
        <v>26.319999999999997</v>
      </c>
      <c r="H49" s="177">
        <f t="shared" ca="1" si="10"/>
        <v>25</v>
      </c>
      <c r="I49" s="196"/>
      <c r="J49" s="9" t="str">
        <f t="shared" ca="1" si="0"/>
        <v/>
      </c>
      <c r="K49" s="9" t="str">
        <f t="shared" ca="1" si="1"/>
        <v/>
      </c>
      <c r="L49" s="9">
        <f t="shared" ca="1" si="2"/>
        <v>1</v>
      </c>
      <c r="N49" s="176">
        <f t="shared" ca="1" si="11"/>
        <v>31</v>
      </c>
      <c r="O49" s="176">
        <f t="shared" ca="1" si="13"/>
        <v>939</v>
      </c>
      <c r="P49" s="175">
        <f t="shared" ca="1" si="3"/>
        <v>847.5157240417368</v>
      </c>
      <c r="Q49" s="11">
        <f t="shared" ca="1" si="4"/>
        <v>2.9930000000000002E-2</v>
      </c>
      <c r="R49" s="12">
        <f t="shared" ca="1" si="5"/>
        <v>25.366145620569185</v>
      </c>
      <c r="T49" s="31">
        <f t="shared" ca="1" si="14"/>
        <v>2106.3704858457254</v>
      </c>
    </row>
    <row r="50" spans="1:20">
      <c r="A50" s="198">
        <f ca="1">'PRICE_IOF Ñ USAR'!A50</f>
        <v>32</v>
      </c>
      <c r="B50" s="197">
        <f ca="1">'PRICE_IOF Ñ USAR'!B50</f>
        <v>45698</v>
      </c>
      <c r="C50" s="196">
        <f t="shared" ca="1" si="6"/>
        <v>346.75131544480087</v>
      </c>
      <c r="D50" s="21">
        <f t="shared" ca="1" si="12"/>
        <v>1759.6191704009245</v>
      </c>
      <c r="E50" s="196">
        <f t="shared" ca="1" si="7"/>
        <v>190916.20198900352</v>
      </c>
      <c r="F50" s="178">
        <f t="shared" ca="1" si="8"/>
        <v>40.165220193934147</v>
      </c>
      <c r="G50" s="178">
        <f t="shared" ca="1" si="9"/>
        <v>26.319999999999997</v>
      </c>
      <c r="H50" s="177">
        <f t="shared" ca="1" si="10"/>
        <v>25</v>
      </c>
      <c r="I50" s="196"/>
      <c r="J50" s="9" t="str">
        <f t="shared" ca="1" si="0"/>
        <v/>
      </c>
      <c r="K50" s="9" t="str">
        <f t="shared" ca="1" si="1"/>
        <v/>
      </c>
      <c r="L50" s="9">
        <f t="shared" ca="1" si="2"/>
        <v>2</v>
      </c>
      <c r="N50" s="176">
        <f t="shared" ca="1" si="11"/>
        <v>31</v>
      </c>
      <c r="O50" s="176">
        <f t="shared" ca="1" si="13"/>
        <v>970</v>
      </c>
      <c r="P50" s="175">
        <f t="shared" ca="1" si="3"/>
        <v>847.5157240417368</v>
      </c>
      <c r="Q50" s="11">
        <f t="shared" ca="1" si="4"/>
        <v>2.9930000000000002E-2</v>
      </c>
      <c r="R50" s="12">
        <f t="shared" ca="1" si="5"/>
        <v>25.366145620569185</v>
      </c>
      <c r="T50" s="31">
        <f t="shared" ca="1" si="14"/>
        <v>2106.3704858457254</v>
      </c>
    </row>
    <row r="51" spans="1:20">
      <c r="A51" s="198">
        <f ca="1">'PRICE_IOF Ñ USAR'!A51</f>
        <v>33</v>
      </c>
      <c r="B51" s="197">
        <f ca="1">'PRICE_IOF Ñ USAR'!B51</f>
        <v>45726</v>
      </c>
      <c r="C51" s="196">
        <f t="shared" ca="1" si="6"/>
        <v>349.94142754689301</v>
      </c>
      <c r="D51" s="21">
        <f t="shared" ca="1" si="12"/>
        <v>1756.4290582988324</v>
      </c>
      <c r="E51" s="196">
        <f t="shared" ca="1" si="7"/>
        <v>190566.26056145661</v>
      </c>
      <c r="F51" s="178">
        <f t="shared" ca="1" si="8"/>
        <v>40.092402417690742</v>
      </c>
      <c r="G51" s="178">
        <f t="shared" ca="1" si="9"/>
        <v>26.319999999999997</v>
      </c>
      <c r="H51" s="177">
        <f t="shared" ca="1" si="10"/>
        <v>25</v>
      </c>
      <c r="I51" s="196"/>
      <c r="J51" s="9" t="str">
        <f t="shared" ca="1" si="0"/>
        <v/>
      </c>
      <c r="K51" s="9" t="str">
        <f t="shared" ca="1" si="1"/>
        <v/>
      </c>
      <c r="L51" s="9">
        <f t="shared" ca="1" si="2"/>
        <v>3</v>
      </c>
      <c r="N51" s="176">
        <f t="shared" ca="1" si="11"/>
        <v>28</v>
      </c>
      <c r="O51" s="176">
        <f t="shared" ca="1" si="13"/>
        <v>998</v>
      </c>
      <c r="P51" s="175">
        <f t="shared" ca="1" si="3"/>
        <v>847.5157240417368</v>
      </c>
      <c r="Q51" s="11">
        <f t="shared" ca="1" si="4"/>
        <v>2.9930000000000002E-2</v>
      </c>
      <c r="R51" s="12">
        <f t="shared" ca="1" si="5"/>
        <v>25.366145620569185</v>
      </c>
      <c r="T51" s="31">
        <f t="shared" ca="1" si="14"/>
        <v>2106.3704858457254</v>
      </c>
    </row>
    <row r="52" spans="1:20">
      <c r="A52" s="198">
        <f ca="1">'PRICE_IOF Ñ USAR'!A52</f>
        <v>34</v>
      </c>
      <c r="B52" s="197">
        <f ca="1">'PRICE_IOF Ñ USAR'!B52</f>
        <v>45757</v>
      </c>
      <c r="C52" s="196">
        <f t="shared" ca="1" si="6"/>
        <v>353.16088868032466</v>
      </c>
      <c r="D52" s="21">
        <f t="shared" ca="1" si="12"/>
        <v>1753.2095971654007</v>
      </c>
      <c r="E52" s="196">
        <f t="shared" ca="1" si="7"/>
        <v>190213.0996727763</v>
      </c>
      <c r="F52" s="178">
        <f t="shared" ca="1" si="8"/>
        <v>40.018914717905893</v>
      </c>
      <c r="G52" s="178">
        <f t="shared" ca="1" si="9"/>
        <v>26.319999999999997</v>
      </c>
      <c r="H52" s="177">
        <f t="shared" ca="1" si="10"/>
        <v>25</v>
      </c>
      <c r="I52" s="196"/>
      <c r="J52" s="9" t="str">
        <f t="shared" ca="1" si="0"/>
        <v/>
      </c>
      <c r="K52" s="9" t="str">
        <f t="shared" ca="1" si="1"/>
        <v/>
      </c>
      <c r="L52" s="9">
        <f t="shared" ca="1" si="2"/>
        <v>4</v>
      </c>
      <c r="N52" s="176">
        <f t="shared" ca="1" si="11"/>
        <v>31</v>
      </c>
      <c r="O52" s="176">
        <f t="shared" ca="1" si="13"/>
        <v>1029</v>
      </c>
      <c r="P52" s="175">
        <f t="shared" ca="1" si="3"/>
        <v>847.5157240417368</v>
      </c>
      <c r="Q52" s="11">
        <f t="shared" ca="1" si="4"/>
        <v>2.9930000000000002E-2</v>
      </c>
      <c r="R52" s="12">
        <f t="shared" ca="1" si="5"/>
        <v>25.366145620569185</v>
      </c>
      <c r="T52" s="31">
        <f t="shared" ca="1" si="14"/>
        <v>2106.3704858457254</v>
      </c>
    </row>
    <row r="53" spans="1:20">
      <c r="A53" s="198">
        <f ca="1">'PRICE_IOF Ñ USAR'!A53</f>
        <v>35</v>
      </c>
      <c r="B53" s="197">
        <f ca="1">'PRICE_IOF Ñ USAR'!B53</f>
        <v>45787</v>
      </c>
      <c r="C53" s="196">
        <f t="shared" ca="1" si="6"/>
        <v>356.40996885618347</v>
      </c>
      <c r="D53" s="21">
        <f t="shared" ca="1" si="12"/>
        <v>1749.9605169895419</v>
      </c>
      <c r="E53" s="196">
        <f t="shared" ca="1" si="7"/>
        <v>189856.68970392013</v>
      </c>
      <c r="F53" s="178">
        <f t="shared" ca="1" si="8"/>
        <v>39.944750931283025</v>
      </c>
      <c r="G53" s="178">
        <f t="shared" ca="1" si="9"/>
        <v>26.319999999999997</v>
      </c>
      <c r="H53" s="177">
        <f t="shared" ca="1" si="10"/>
        <v>25</v>
      </c>
      <c r="I53" s="196"/>
      <c r="J53" s="9" t="str">
        <f t="shared" ca="1" si="0"/>
        <v/>
      </c>
      <c r="K53" s="9" t="str">
        <f t="shared" ca="1" si="1"/>
        <v/>
      </c>
      <c r="L53" s="9">
        <f t="shared" ca="1" si="2"/>
        <v>5</v>
      </c>
      <c r="N53" s="176">
        <f t="shared" ca="1" si="11"/>
        <v>30</v>
      </c>
      <c r="O53" s="176">
        <f t="shared" ca="1" si="13"/>
        <v>1059</v>
      </c>
      <c r="P53" s="175">
        <f t="shared" ca="1" si="3"/>
        <v>847.5157240417368</v>
      </c>
      <c r="Q53" s="11">
        <f t="shared" ca="1" si="4"/>
        <v>2.9930000000000002E-2</v>
      </c>
      <c r="R53" s="12">
        <f t="shared" ca="1" si="5"/>
        <v>25.366145620569185</v>
      </c>
      <c r="T53" s="31">
        <f t="shared" ca="1" si="14"/>
        <v>2106.3704858457254</v>
      </c>
    </row>
    <row r="54" spans="1:20">
      <c r="A54" s="198">
        <f ca="1">'PRICE_IOF Ñ USAR'!A54</f>
        <v>36</v>
      </c>
      <c r="B54" s="197">
        <f ca="1">'PRICE_IOF Ñ USAR'!B54</f>
        <v>45818</v>
      </c>
      <c r="C54" s="196">
        <f t="shared" ca="1" si="6"/>
        <v>359.68894056966019</v>
      </c>
      <c r="D54" s="21">
        <f t="shared" ca="1" si="12"/>
        <v>1746.6815452760652</v>
      </c>
      <c r="E54" s="196">
        <f t="shared" ca="1" si="7"/>
        <v>189497.00076335046</v>
      </c>
      <c r="F54" s="178">
        <f t="shared" ca="1" si="8"/>
        <v>39.869904837823228</v>
      </c>
      <c r="G54" s="178">
        <f t="shared" ca="1" si="9"/>
        <v>26.319999999999997</v>
      </c>
      <c r="H54" s="177">
        <f t="shared" ca="1" si="10"/>
        <v>25</v>
      </c>
      <c r="I54" s="196"/>
      <c r="J54" s="9" t="str">
        <f t="shared" ca="1" si="0"/>
        <v/>
      </c>
      <c r="K54" s="9" t="str">
        <f t="shared" ca="1" si="1"/>
        <v/>
      </c>
      <c r="L54" s="9">
        <f t="shared" ca="1" si="2"/>
        <v>6</v>
      </c>
      <c r="N54" s="176">
        <f t="shared" ca="1" si="11"/>
        <v>31</v>
      </c>
      <c r="O54" s="176">
        <f t="shared" ca="1" si="13"/>
        <v>1090</v>
      </c>
      <c r="P54" s="175">
        <f t="shared" ca="1" si="3"/>
        <v>847.5157240417368</v>
      </c>
      <c r="Q54" s="11">
        <f t="shared" ca="1" si="4"/>
        <v>2.9930000000000002E-2</v>
      </c>
      <c r="R54" s="12">
        <f t="shared" ca="1" si="5"/>
        <v>25.366145620569185</v>
      </c>
      <c r="T54" s="31">
        <f t="shared" ca="1" si="14"/>
        <v>2106.3704858457254</v>
      </c>
    </row>
    <row r="55" spans="1:20">
      <c r="A55" s="198">
        <f ca="1">'PRICE_IOF Ñ USAR'!A55</f>
        <v>37</v>
      </c>
      <c r="B55" s="197">
        <f ca="1">'PRICE_IOF Ñ USAR'!B55</f>
        <v>45848</v>
      </c>
      <c r="C55" s="196">
        <f t="shared" ca="1" si="6"/>
        <v>362.99807882290111</v>
      </c>
      <c r="D55" s="21">
        <f t="shared" ca="1" si="12"/>
        <v>1743.3724070228243</v>
      </c>
      <c r="E55" s="196">
        <f t="shared" ca="1" si="7"/>
        <v>189134.00268452754</v>
      </c>
      <c r="F55" s="178">
        <f t="shared" ca="1" si="8"/>
        <v>39.7943701603036</v>
      </c>
      <c r="G55" s="178">
        <f t="shared" ca="1" si="9"/>
        <v>26.319999999999997</v>
      </c>
      <c r="H55" s="177">
        <f t="shared" ca="1" si="10"/>
        <v>25</v>
      </c>
      <c r="I55" s="196"/>
      <c r="J55" s="9" t="str">
        <f t="shared" ca="1" si="0"/>
        <v/>
      </c>
      <c r="K55" s="9" t="str">
        <f t="shared" ca="1" si="1"/>
        <v/>
      </c>
      <c r="L55" s="9">
        <f t="shared" ca="1" si="2"/>
        <v>7</v>
      </c>
      <c r="N55" s="176">
        <f t="shared" ca="1" si="11"/>
        <v>30</v>
      </c>
      <c r="O55" s="176">
        <f t="shared" ca="1" si="13"/>
        <v>1120</v>
      </c>
      <c r="P55" s="175">
        <f t="shared" ca="1" si="3"/>
        <v>847.5157240417368</v>
      </c>
      <c r="Q55" s="11">
        <f t="shared" ca="1" si="4"/>
        <v>2.9930000000000002E-2</v>
      </c>
      <c r="R55" s="12">
        <f t="shared" ca="1" si="5"/>
        <v>25.366145620569185</v>
      </c>
      <c r="T55" s="31">
        <f t="shared" ca="1" si="14"/>
        <v>2106.3704858457254</v>
      </c>
    </row>
    <row r="56" spans="1:20">
      <c r="A56" s="198">
        <f ca="1">'PRICE_IOF Ñ USAR'!A56</f>
        <v>38</v>
      </c>
      <c r="B56" s="197">
        <f ca="1">'PRICE_IOF Ñ USAR'!B56</f>
        <v>45879</v>
      </c>
      <c r="C56" s="196">
        <f t="shared" ca="1" si="6"/>
        <v>366.33766114807213</v>
      </c>
      <c r="D56" s="21">
        <f t="shared" ca="1" si="12"/>
        <v>1740.0328246976533</v>
      </c>
      <c r="E56" s="196">
        <f t="shared" ca="1" si="7"/>
        <v>188767.66502337946</v>
      </c>
      <c r="F56" s="178">
        <f t="shared" ca="1" si="8"/>
        <v>39.718140563750786</v>
      </c>
      <c r="G56" s="178">
        <f t="shared" ca="1" si="9"/>
        <v>26.319999999999997</v>
      </c>
      <c r="H56" s="177">
        <f t="shared" ca="1" si="10"/>
        <v>25</v>
      </c>
      <c r="I56" s="196"/>
      <c r="J56" s="9" t="str">
        <f t="shared" ca="1" si="0"/>
        <v/>
      </c>
      <c r="K56" s="9" t="str">
        <f t="shared" ca="1" si="1"/>
        <v/>
      </c>
      <c r="L56" s="9">
        <f t="shared" ca="1" si="2"/>
        <v>8</v>
      </c>
      <c r="N56" s="176">
        <f t="shared" ca="1" si="11"/>
        <v>31</v>
      </c>
      <c r="O56" s="176">
        <f t="shared" ca="1" si="13"/>
        <v>1151</v>
      </c>
      <c r="P56" s="175">
        <f t="shared" ca="1" si="3"/>
        <v>847.5157240417368</v>
      </c>
      <c r="Q56" s="11">
        <f t="shared" ca="1" si="4"/>
        <v>2.9930000000000002E-2</v>
      </c>
      <c r="R56" s="12">
        <f t="shared" ca="1" si="5"/>
        <v>25.366145620569185</v>
      </c>
      <c r="T56" s="31">
        <f t="shared" ca="1" si="14"/>
        <v>2106.3704858457254</v>
      </c>
    </row>
    <row r="57" spans="1:20">
      <c r="A57" s="198">
        <f ca="1">'PRICE_IOF Ñ USAR'!A57</f>
        <v>39</v>
      </c>
      <c r="B57" s="197">
        <f ca="1">'PRICE_IOF Ñ USAR'!B57</f>
        <v>45910</v>
      </c>
      <c r="C57" s="196">
        <f t="shared" ca="1" si="6"/>
        <v>369.70796763063436</v>
      </c>
      <c r="D57" s="21">
        <f t="shared" ca="1" si="12"/>
        <v>1736.662518215091</v>
      </c>
      <c r="E57" s="196">
        <f t="shared" ca="1" si="7"/>
        <v>188397.95705574882</v>
      </c>
      <c r="F57" s="178">
        <f t="shared" ca="1" si="8"/>
        <v>39.641209654909687</v>
      </c>
      <c r="G57" s="178">
        <f t="shared" ca="1" si="9"/>
        <v>26.319999999999997</v>
      </c>
      <c r="H57" s="177">
        <f t="shared" ca="1" si="10"/>
        <v>25</v>
      </c>
      <c r="I57" s="196"/>
      <c r="J57" s="9" t="str">
        <f t="shared" ca="1" si="0"/>
        <v/>
      </c>
      <c r="K57" s="9" t="str">
        <f t="shared" ca="1" si="1"/>
        <v/>
      </c>
      <c r="L57" s="9">
        <f t="shared" ca="1" si="2"/>
        <v>9</v>
      </c>
      <c r="N57" s="176">
        <f t="shared" ca="1" si="11"/>
        <v>31</v>
      </c>
      <c r="O57" s="176">
        <f t="shared" ca="1" si="13"/>
        <v>1182</v>
      </c>
      <c r="P57" s="175">
        <f t="shared" ca="1" si="3"/>
        <v>847.5157240417368</v>
      </c>
      <c r="Q57" s="11">
        <f t="shared" ca="1" si="4"/>
        <v>2.9930000000000002E-2</v>
      </c>
      <c r="R57" s="12">
        <f t="shared" ca="1" si="5"/>
        <v>25.366145620569185</v>
      </c>
      <c r="T57" s="31">
        <f t="shared" ca="1" si="14"/>
        <v>2106.3704858457254</v>
      </c>
    </row>
    <row r="58" spans="1:20">
      <c r="A58" s="198">
        <f ca="1">'PRICE_IOF Ñ USAR'!A58</f>
        <v>40</v>
      </c>
      <c r="B58" s="197">
        <f ca="1">'PRICE_IOF Ñ USAR'!B58</f>
        <v>45940</v>
      </c>
      <c r="C58" s="196">
        <f t="shared" ca="1" si="6"/>
        <v>373.10928093283633</v>
      </c>
      <c r="D58" s="21">
        <f t="shared" ca="1" si="12"/>
        <v>1733.2612049128891</v>
      </c>
      <c r="E58" s="196">
        <f t="shared" ca="1" si="7"/>
        <v>188024.84777481598</v>
      </c>
      <c r="F58" s="178">
        <f t="shared" ca="1" si="8"/>
        <v>39.563570981707251</v>
      </c>
      <c r="G58" s="178">
        <f t="shared" ca="1" si="9"/>
        <v>26.319999999999997</v>
      </c>
      <c r="H58" s="177">
        <f t="shared" ca="1" si="10"/>
        <v>25</v>
      </c>
      <c r="I58" s="196"/>
      <c r="J58" s="9" t="str">
        <f t="shared" ca="1" si="0"/>
        <v/>
      </c>
      <c r="K58" s="9" t="str">
        <f t="shared" ca="1" si="1"/>
        <v/>
      </c>
      <c r="L58" s="9">
        <f t="shared" ca="1" si="2"/>
        <v>10</v>
      </c>
      <c r="N58" s="176">
        <f t="shared" ca="1" si="11"/>
        <v>30</v>
      </c>
      <c r="O58" s="176">
        <f t="shared" ca="1" si="13"/>
        <v>1212</v>
      </c>
      <c r="P58" s="175">
        <f t="shared" ca="1" si="3"/>
        <v>847.5157240417368</v>
      </c>
      <c r="Q58" s="11">
        <f t="shared" ca="1" si="4"/>
        <v>2.9930000000000002E-2</v>
      </c>
      <c r="R58" s="12">
        <f t="shared" ca="1" si="5"/>
        <v>25.366145620569185</v>
      </c>
      <c r="T58" s="31">
        <f t="shared" ca="1" si="14"/>
        <v>2106.3704858457254</v>
      </c>
    </row>
    <row r="59" spans="1:20">
      <c r="A59" s="198">
        <f ca="1">'PRICE_IOF Ñ USAR'!A59</f>
        <v>41</v>
      </c>
      <c r="B59" s="197">
        <f ca="1">'PRICE_IOF Ñ USAR'!B59</f>
        <v>45971</v>
      </c>
      <c r="C59" s="196">
        <f t="shared" ca="1" si="6"/>
        <v>376.5418863174184</v>
      </c>
      <c r="D59" s="21">
        <f t="shared" ca="1" si="12"/>
        <v>1729.828599528307</v>
      </c>
      <c r="E59" s="196">
        <f t="shared" ca="1" si="7"/>
        <v>187648.30588849855</v>
      </c>
      <c r="F59" s="178">
        <f t="shared" ca="1" si="8"/>
        <v>39.485218032711359</v>
      </c>
      <c r="G59" s="178">
        <f t="shared" ca="1" si="9"/>
        <v>26.319999999999997</v>
      </c>
      <c r="H59" s="177">
        <f t="shared" ca="1" si="10"/>
        <v>25</v>
      </c>
      <c r="I59" s="196"/>
      <c r="J59" s="9" t="str">
        <f t="shared" ca="1" si="0"/>
        <v/>
      </c>
      <c r="K59" s="9" t="str">
        <f t="shared" ca="1" si="1"/>
        <v/>
      </c>
      <c r="L59" s="9">
        <f t="shared" ca="1" si="2"/>
        <v>11</v>
      </c>
      <c r="N59" s="176">
        <f t="shared" ca="1" si="11"/>
        <v>31</v>
      </c>
      <c r="O59" s="176">
        <f t="shared" ca="1" si="13"/>
        <v>1243</v>
      </c>
      <c r="P59" s="175">
        <f t="shared" ca="1" si="3"/>
        <v>847.5157240417368</v>
      </c>
      <c r="Q59" s="11">
        <f t="shared" ca="1" si="4"/>
        <v>2.9930000000000002E-2</v>
      </c>
      <c r="R59" s="12">
        <f t="shared" ca="1" si="5"/>
        <v>25.366145620569185</v>
      </c>
      <c r="T59" s="31">
        <f t="shared" ca="1" si="14"/>
        <v>2106.3704858457254</v>
      </c>
    </row>
    <row r="60" spans="1:20">
      <c r="A60" s="198">
        <f ca="1">'PRICE_IOF Ñ USAR'!A60</f>
        <v>42</v>
      </c>
      <c r="B60" s="197">
        <f ca="1">'PRICE_IOF Ñ USAR'!B60</f>
        <v>46001</v>
      </c>
      <c r="C60" s="196">
        <f t="shared" ca="1" si="6"/>
        <v>380.00607167153885</v>
      </c>
      <c r="D60" s="21">
        <f t="shared" ca="1" si="12"/>
        <v>1726.3644141741865</v>
      </c>
      <c r="E60" s="196">
        <f t="shared" ca="1" si="7"/>
        <v>187268.299816827</v>
      </c>
      <c r="F60" s="178">
        <f t="shared" ca="1" si="8"/>
        <v>39.406144236584694</v>
      </c>
      <c r="G60" s="178">
        <f t="shared" ca="1" si="9"/>
        <v>26.319999999999997</v>
      </c>
      <c r="H60" s="177">
        <f t="shared" ca="1" si="10"/>
        <v>25</v>
      </c>
      <c r="I60" s="196"/>
      <c r="J60" s="9" t="str">
        <f t="shared" ca="1" si="0"/>
        <v/>
      </c>
      <c r="K60" s="9" t="str">
        <f t="shared" ca="1" si="1"/>
        <v/>
      </c>
      <c r="L60" s="9">
        <f t="shared" ca="1" si="2"/>
        <v>12</v>
      </c>
      <c r="N60" s="176">
        <f t="shared" ca="1" si="11"/>
        <v>30</v>
      </c>
      <c r="O60" s="176">
        <f t="shared" ca="1" si="13"/>
        <v>1273</v>
      </c>
      <c r="P60" s="175">
        <f t="shared" ca="1" si="3"/>
        <v>847.5157240417368</v>
      </c>
      <c r="Q60" s="11">
        <f t="shared" ca="1" si="4"/>
        <v>2.9930000000000002E-2</v>
      </c>
      <c r="R60" s="12">
        <f t="shared" ca="1" si="5"/>
        <v>25.366145620569185</v>
      </c>
      <c r="T60" s="31">
        <f t="shared" ca="1" si="14"/>
        <v>2106.3704858457254</v>
      </c>
    </row>
    <row r="61" spans="1:20">
      <c r="A61" s="198">
        <f ca="1">'PRICE_IOF Ñ USAR'!A61</f>
        <v>43</v>
      </c>
      <c r="B61" s="197">
        <f ca="1">'PRICE_IOF Ñ USAR'!B61</f>
        <v>46032</v>
      </c>
      <c r="C61" s="196">
        <f t="shared" ca="1" si="6"/>
        <v>383.50212753091705</v>
      </c>
      <c r="D61" s="21">
        <f t="shared" ca="1" si="12"/>
        <v>1722.8683583148083</v>
      </c>
      <c r="E61" s="196">
        <f t="shared" ca="1" si="7"/>
        <v>186884.79768929607</v>
      </c>
      <c r="F61" s="178">
        <f t="shared" ca="1" si="8"/>
        <v>39.326342961533669</v>
      </c>
      <c r="G61" s="178">
        <f t="shared" ca="1" si="9"/>
        <v>26.319999999999997</v>
      </c>
      <c r="H61" s="177">
        <f t="shared" ca="1" si="10"/>
        <v>25</v>
      </c>
      <c r="I61" s="196"/>
      <c r="J61" s="9" t="str">
        <f t="shared" ca="1" si="0"/>
        <v/>
      </c>
      <c r="K61" s="9" t="str">
        <f t="shared" ca="1" si="1"/>
        <v/>
      </c>
      <c r="L61" s="9">
        <f t="shared" ca="1" si="2"/>
        <v>1</v>
      </c>
      <c r="N61" s="176">
        <f t="shared" ca="1" si="11"/>
        <v>31</v>
      </c>
      <c r="O61" s="176">
        <f t="shared" ca="1" si="13"/>
        <v>1304</v>
      </c>
      <c r="P61" s="175">
        <f t="shared" ca="1" si="3"/>
        <v>847.5157240417368</v>
      </c>
      <c r="Q61" s="11">
        <f t="shared" ca="1" si="4"/>
        <v>2.9930000000000002E-2</v>
      </c>
      <c r="R61" s="12">
        <f t="shared" ca="1" si="5"/>
        <v>25.366145620569185</v>
      </c>
      <c r="T61" s="31">
        <f t="shared" ca="1" si="14"/>
        <v>2106.3704858457254</v>
      </c>
    </row>
    <row r="62" spans="1:20">
      <c r="A62" s="198">
        <f ca="1">'PRICE_IOF Ñ USAR'!A62</f>
        <v>44</v>
      </c>
      <c r="B62" s="197">
        <f ca="1">'PRICE_IOF Ñ USAR'!B62</f>
        <v>46063</v>
      </c>
      <c r="C62" s="196">
        <f t="shared" ca="1" si="6"/>
        <v>387.03034710420161</v>
      </c>
      <c r="D62" s="21">
        <f t="shared" ca="1" si="12"/>
        <v>1719.3401387415238</v>
      </c>
      <c r="E62" s="196">
        <f t="shared" ca="1" si="7"/>
        <v>186497.76734219186</v>
      </c>
      <c r="F62" s="178">
        <f t="shared" ca="1" si="8"/>
        <v>39.24580751475218</v>
      </c>
      <c r="G62" s="178">
        <f t="shared" ca="1" si="9"/>
        <v>26.319999999999997</v>
      </c>
      <c r="H62" s="177">
        <f t="shared" ca="1" si="10"/>
        <v>25</v>
      </c>
      <c r="I62" s="196"/>
      <c r="J62" s="9" t="str">
        <f t="shared" ca="1" si="0"/>
        <v/>
      </c>
      <c r="K62" s="9" t="str">
        <f t="shared" ca="1" si="1"/>
        <v/>
      </c>
      <c r="L62" s="9">
        <f t="shared" ca="1" si="2"/>
        <v>2</v>
      </c>
      <c r="N62" s="176">
        <f t="shared" ca="1" si="11"/>
        <v>31</v>
      </c>
      <c r="O62" s="176">
        <f t="shared" ca="1" si="13"/>
        <v>1335</v>
      </c>
      <c r="P62" s="175">
        <f t="shared" ca="1" si="3"/>
        <v>847.5157240417368</v>
      </c>
      <c r="Q62" s="11">
        <f t="shared" ca="1" si="4"/>
        <v>2.9930000000000002E-2</v>
      </c>
      <c r="R62" s="12">
        <f t="shared" ca="1" si="5"/>
        <v>25.366145620569185</v>
      </c>
      <c r="T62" s="31">
        <f t="shared" ca="1" si="14"/>
        <v>2106.3704858457254</v>
      </c>
    </row>
    <row r="63" spans="1:20">
      <c r="A63" s="198">
        <f ca="1">'PRICE_IOF Ñ USAR'!A63</f>
        <v>45</v>
      </c>
      <c r="B63" s="197">
        <f ca="1">'PRICE_IOF Ñ USAR'!B63</f>
        <v>46091</v>
      </c>
      <c r="C63" s="196">
        <f t="shared" ca="1" si="6"/>
        <v>390.59102629756035</v>
      </c>
      <c r="D63" s="21">
        <f t="shared" ca="1" si="12"/>
        <v>1715.7794595481651</v>
      </c>
      <c r="E63" s="196">
        <f t="shared" ca="1" si="7"/>
        <v>186107.17631589429</v>
      </c>
      <c r="F63" s="178">
        <f t="shared" ca="1" si="8"/>
        <v>39.164531141860294</v>
      </c>
      <c r="G63" s="178">
        <f t="shared" ca="1" si="9"/>
        <v>26.319999999999997</v>
      </c>
      <c r="H63" s="177">
        <f t="shared" ca="1" si="10"/>
        <v>25</v>
      </c>
      <c r="I63" s="196"/>
      <c r="J63" s="9" t="str">
        <f t="shared" ca="1" si="0"/>
        <v/>
      </c>
      <c r="K63" s="9" t="str">
        <f t="shared" ca="1" si="1"/>
        <v/>
      </c>
      <c r="L63" s="9">
        <f t="shared" ca="1" si="2"/>
        <v>3</v>
      </c>
      <c r="N63" s="176">
        <f t="shared" ca="1" si="11"/>
        <v>28</v>
      </c>
      <c r="O63" s="176">
        <f t="shared" ca="1" si="13"/>
        <v>1363</v>
      </c>
      <c r="P63" s="175">
        <f t="shared" ca="1" si="3"/>
        <v>847.5157240417368</v>
      </c>
      <c r="Q63" s="11">
        <f t="shared" ca="1" si="4"/>
        <v>2.9930000000000002E-2</v>
      </c>
      <c r="R63" s="12">
        <f t="shared" ca="1" si="5"/>
        <v>25.366145620569185</v>
      </c>
      <c r="T63" s="31">
        <f t="shared" ca="1" si="14"/>
        <v>2106.3704858457254</v>
      </c>
    </row>
    <row r="64" spans="1:20">
      <c r="A64" s="198">
        <f ca="1">'PRICE_IOF Ñ USAR'!A64</f>
        <v>46</v>
      </c>
      <c r="B64" s="197">
        <f ca="1">'PRICE_IOF Ñ USAR'!B64</f>
        <v>46122</v>
      </c>
      <c r="C64" s="196">
        <f t="shared" ca="1" si="6"/>
        <v>394.18446373949791</v>
      </c>
      <c r="D64" s="21">
        <f t="shared" ca="1" si="12"/>
        <v>1712.1860221062275</v>
      </c>
      <c r="E64" s="196">
        <f t="shared" ca="1" si="7"/>
        <v>185712.99185215478</v>
      </c>
      <c r="F64" s="178">
        <f t="shared" ca="1" si="8"/>
        <v>39.082507026337801</v>
      </c>
      <c r="G64" s="178">
        <f t="shared" ca="1" si="9"/>
        <v>26.319999999999997</v>
      </c>
      <c r="H64" s="177">
        <f t="shared" ca="1" si="10"/>
        <v>25</v>
      </c>
      <c r="I64" s="196"/>
      <c r="J64" s="9" t="str">
        <f t="shared" ca="1" si="0"/>
        <v/>
      </c>
      <c r="K64" s="9" t="str">
        <f t="shared" ca="1" si="1"/>
        <v/>
      </c>
      <c r="L64" s="9">
        <f t="shared" ca="1" si="2"/>
        <v>4</v>
      </c>
      <c r="N64" s="176">
        <f t="shared" ca="1" si="11"/>
        <v>31</v>
      </c>
      <c r="O64" s="176">
        <f t="shared" ca="1" si="13"/>
        <v>1394</v>
      </c>
      <c r="P64" s="175">
        <f t="shared" ca="1" si="3"/>
        <v>847.5157240417368</v>
      </c>
      <c r="Q64" s="11">
        <f t="shared" ca="1" si="4"/>
        <v>2.9930000000000002E-2</v>
      </c>
      <c r="R64" s="12">
        <f t="shared" ca="1" si="5"/>
        <v>25.366145620569185</v>
      </c>
      <c r="T64" s="31">
        <f t="shared" ca="1" si="14"/>
        <v>2106.3704858457254</v>
      </c>
    </row>
    <row r="65" spans="1:20">
      <c r="A65" s="198">
        <f ca="1">'PRICE_IOF Ñ USAR'!A65</f>
        <v>47</v>
      </c>
      <c r="B65" s="197">
        <f ca="1">'PRICE_IOF Ñ USAR'!B65</f>
        <v>46152</v>
      </c>
      <c r="C65" s="196">
        <f t="shared" ca="1" si="6"/>
        <v>397.81096080590146</v>
      </c>
      <c r="D65" s="21">
        <f t="shared" ca="1" si="12"/>
        <v>1708.5595250398239</v>
      </c>
      <c r="E65" s="196">
        <f t="shared" ca="1" si="7"/>
        <v>185315.18089134889</v>
      </c>
      <c r="F65" s="178">
        <f t="shared" ca="1" si="8"/>
        <v>38.999728288952504</v>
      </c>
      <c r="G65" s="178">
        <f t="shared" ca="1" si="9"/>
        <v>26.319999999999997</v>
      </c>
      <c r="H65" s="177">
        <f t="shared" ca="1" si="10"/>
        <v>25</v>
      </c>
      <c r="I65" s="196"/>
      <c r="J65" s="9" t="str">
        <f t="shared" ca="1" si="0"/>
        <v/>
      </c>
      <c r="K65" s="9" t="str">
        <f t="shared" ca="1" si="1"/>
        <v/>
      </c>
      <c r="L65" s="9">
        <f t="shared" ca="1" si="2"/>
        <v>5</v>
      </c>
      <c r="N65" s="176">
        <f t="shared" ca="1" si="11"/>
        <v>30</v>
      </c>
      <c r="O65" s="176">
        <f t="shared" ca="1" si="13"/>
        <v>1424</v>
      </c>
      <c r="P65" s="175">
        <f t="shared" ca="1" si="3"/>
        <v>847.5157240417368</v>
      </c>
      <c r="Q65" s="11">
        <f t="shared" ca="1" si="4"/>
        <v>2.9930000000000002E-2</v>
      </c>
      <c r="R65" s="12">
        <f t="shared" ca="1" si="5"/>
        <v>25.366145620569185</v>
      </c>
      <c r="T65" s="31">
        <f t="shared" ca="1" si="14"/>
        <v>2106.3704858457254</v>
      </c>
    </row>
    <row r="66" spans="1:20">
      <c r="A66" s="198">
        <f ca="1">'PRICE_IOF Ñ USAR'!A66</f>
        <v>48</v>
      </c>
      <c r="B66" s="197">
        <f ca="1">'PRICE_IOF Ñ USAR'!B66</f>
        <v>46183</v>
      </c>
      <c r="C66" s="196">
        <f t="shared" ca="1" si="6"/>
        <v>401.47082164531571</v>
      </c>
      <c r="D66" s="21">
        <f t="shared" ca="1" si="12"/>
        <v>1704.8996642004097</v>
      </c>
      <c r="E66" s="196">
        <f t="shared" ca="1" si="7"/>
        <v>184913.71006970358</v>
      </c>
      <c r="F66" s="178">
        <f t="shared" ca="1" si="8"/>
        <v>38.916187987183271</v>
      </c>
      <c r="G66" s="178">
        <f t="shared" ca="1" si="9"/>
        <v>26.319999999999997</v>
      </c>
      <c r="H66" s="177">
        <f t="shared" ca="1" si="10"/>
        <v>25</v>
      </c>
      <c r="I66" s="196"/>
      <c r="J66" s="9" t="str">
        <f t="shared" ca="1" si="0"/>
        <v/>
      </c>
      <c r="K66" s="9" t="str">
        <f t="shared" ca="1" si="1"/>
        <v/>
      </c>
      <c r="L66" s="9">
        <f t="shared" ca="1" si="2"/>
        <v>6</v>
      </c>
      <c r="N66" s="176">
        <f t="shared" ca="1" si="11"/>
        <v>31</v>
      </c>
      <c r="O66" s="176">
        <f t="shared" ca="1" si="13"/>
        <v>1455</v>
      </c>
      <c r="P66" s="175">
        <f t="shared" ca="1" si="3"/>
        <v>847.5157240417368</v>
      </c>
      <c r="Q66" s="11">
        <f t="shared" ca="1" si="4"/>
        <v>2.9930000000000002E-2</v>
      </c>
      <c r="R66" s="12">
        <f t="shared" ca="1" si="5"/>
        <v>25.366145620569185</v>
      </c>
      <c r="T66" s="31">
        <f t="shared" ca="1" si="14"/>
        <v>2106.3704858457254</v>
      </c>
    </row>
    <row r="67" spans="1:20">
      <c r="A67" s="198">
        <f ca="1">'PRICE_IOF Ñ USAR'!A67</f>
        <v>49</v>
      </c>
      <c r="B67" s="197">
        <f ca="1">'PRICE_IOF Ñ USAR'!B67</f>
        <v>46213</v>
      </c>
      <c r="C67" s="196">
        <f t="shared" ca="1" si="6"/>
        <v>405.16435320445248</v>
      </c>
      <c r="D67" s="21">
        <f t="shared" ca="1" si="12"/>
        <v>1701.2061326412729</v>
      </c>
      <c r="E67" s="196">
        <f t="shared" ca="1" si="7"/>
        <v>184508.54571649912</v>
      </c>
      <c r="F67" s="178">
        <f t="shared" ca="1" si="8"/>
        <v>38.831879114637751</v>
      </c>
      <c r="G67" s="178">
        <f t="shared" ca="1" si="9"/>
        <v>26.319999999999997</v>
      </c>
      <c r="H67" s="177">
        <f t="shared" ca="1" si="10"/>
        <v>25</v>
      </c>
      <c r="I67" s="196"/>
      <c r="J67" s="9" t="str">
        <f t="shared" ca="1" si="0"/>
        <v/>
      </c>
      <c r="K67" s="9" t="str">
        <f t="shared" ca="1" si="1"/>
        <v/>
      </c>
      <c r="L67" s="9">
        <f t="shared" ca="1" si="2"/>
        <v>7</v>
      </c>
      <c r="N67" s="176">
        <f t="shared" ca="1" si="11"/>
        <v>30</v>
      </c>
      <c r="O67" s="176">
        <f t="shared" ca="1" si="13"/>
        <v>1485</v>
      </c>
      <c r="P67" s="175">
        <f t="shared" ca="1" si="3"/>
        <v>847.5157240417368</v>
      </c>
      <c r="Q67" s="11">
        <f t="shared" ca="1" si="4"/>
        <v>2.9930000000000002E-2</v>
      </c>
      <c r="R67" s="12">
        <f t="shared" ca="1" si="5"/>
        <v>25.366145620569185</v>
      </c>
      <c r="T67" s="31">
        <f t="shared" ca="1" si="14"/>
        <v>2106.3704858457254</v>
      </c>
    </row>
    <row r="68" spans="1:20">
      <c r="A68" s="198">
        <f ca="1">'PRICE_IOF Ñ USAR'!A68</f>
        <v>50</v>
      </c>
      <c r="B68" s="197">
        <f ca="1">'PRICE_IOF Ñ USAR'!B68</f>
        <v>46244</v>
      </c>
      <c r="C68" s="196">
        <f t="shared" ca="1" si="6"/>
        <v>408.89186525393347</v>
      </c>
      <c r="D68" s="21">
        <f t="shared" ca="1" si="12"/>
        <v>1697.4786205917919</v>
      </c>
      <c r="E68" s="196">
        <f t="shared" ca="1" si="7"/>
        <v>184099.65385124518</v>
      </c>
      <c r="F68" s="178">
        <f t="shared" ca="1" si="8"/>
        <v>38.746794600464817</v>
      </c>
      <c r="G68" s="178">
        <f t="shared" ca="1" si="9"/>
        <v>26.319999999999997</v>
      </c>
      <c r="H68" s="177">
        <f t="shared" ca="1" si="10"/>
        <v>25</v>
      </c>
      <c r="I68" s="196"/>
      <c r="J68" s="9" t="str">
        <f t="shared" ca="1" si="0"/>
        <v/>
      </c>
      <c r="K68" s="9" t="str">
        <f t="shared" ca="1" si="1"/>
        <v/>
      </c>
      <c r="L68" s="9">
        <f t="shared" ca="1" si="2"/>
        <v>8</v>
      </c>
      <c r="N68" s="176">
        <f t="shared" ca="1" si="11"/>
        <v>31</v>
      </c>
      <c r="O68" s="176">
        <f t="shared" ca="1" si="13"/>
        <v>1516</v>
      </c>
      <c r="P68" s="175">
        <f t="shared" ca="1" si="3"/>
        <v>847.5157240417368</v>
      </c>
      <c r="Q68" s="11">
        <f t="shared" ca="1" si="4"/>
        <v>2.9930000000000002E-2</v>
      </c>
      <c r="R68" s="12">
        <f t="shared" ca="1" si="5"/>
        <v>25.366145620569185</v>
      </c>
      <c r="T68" s="31">
        <f t="shared" ca="1" si="14"/>
        <v>2106.3704858457254</v>
      </c>
    </row>
    <row r="69" spans="1:20">
      <c r="A69" s="198">
        <f ca="1">'PRICE_IOF Ñ USAR'!A69</f>
        <v>51</v>
      </c>
      <c r="B69" s="197">
        <f ca="1">'PRICE_IOF Ñ USAR'!B69</f>
        <v>46275</v>
      </c>
      <c r="C69" s="196">
        <f t="shared" ca="1" si="6"/>
        <v>412.65367041426975</v>
      </c>
      <c r="D69" s="21">
        <f t="shared" ca="1" si="12"/>
        <v>1693.7168154314556</v>
      </c>
      <c r="E69" s="196">
        <f t="shared" ca="1" si="7"/>
        <v>183687.00018083092</v>
      </c>
      <c r="F69" s="178">
        <f t="shared" ca="1" si="8"/>
        <v>38.660927308761487</v>
      </c>
      <c r="G69" s="178">
        <f t="shared" ca="1" si="9"/>
        <v>26.319999999999997</v>
      </c>
      <c r="H69" s="177">
        <f t="shared" ca="1" si="10"/>
        <v>25</v>
      </c>
      <c r="I69" s="196"/>
      <c r="J69" s="9" t="str">
        <f t="shared" ca="1" si="0"/>
        <v/>
      </c>
      <c r="K69" s="9" t="str">
        <f t="shared" ca="1" si="1"/>
        <v/>
      </c>
      <c r="L69" s="9">
        <f t="shared" ca="1" si="2"/>
        <v>9</v>
      </c>
      <c r="N69" s="176">
        <f t="shared" ca="1" si="11"/>
        <v>31</v>
      </c>
      <c r="O69" s="176">
        <f t="shared" ca="1" si="13"/>
        <v>1547</v>
      </c>
      <c r="P69" s="175">
        <f t="shared" ca="1" si="3"/>
        <v>847.5157240417368</v>
      </c>
      <c r="Q69" s="11">
        <f t="shared" ca="1" si="4"/>
        <v>2.9930000000000002E-2</v>
      </c>
      <c r="R69" s="12">
        <f t="shared" ca="1" si="5"/>
        <v>25.366145620569185</v>
      </c>
      <c r="T69" s="31">
        <f t="shared" ca="1" si="14"/>
        <v>2106.3704858457254</v>
      </c>
    </row>
    <row r="70" spans="1:20">
      <c r="A70" s="198">
        <f ca="1">'PRICE_IOF Ñ USAR'!A70</f>
        <v>52</v>
      </c>
      <c r="B70" s="197">
        <f ca="1">'PRICE_IOF Ñ USAR'!B70</f>
        <v>46305</v>
      </c>
      <c r="C70" s="196">
        <f t="shared" ca="1" si="6"/>
        <v>416.4500841820809</v>
      </c>
      <c r="D70" s="21">
        <f t="shared" ca="1" si="12"/>
        <v>1689.9204016636445</v>
      </c>
      <c r="E70" s="196">
        <f t="shared" ca="1" si="7"/>
        <v>183270.55009664883</v>
      </c>
      <c r="F70" s="178">
        <f t="shared" ca="1" si="8"/>
        <v>38.574270037974493</v>
      </c>
      <c r="G70" s="178">
        <f t="shared" ca="1" si="9"/>
        <v>26.319999999999997</v>
      </c>
      <c r="H70" s="177">
        <f t="shared" ca="1" si="10"/>
        <v>25</v>
      </c>
      <c r="I70" s="196"/>
      <c r="J70" s="9" t="str">
        <f t="shared" ca="1" si="0"/>
        <v/>
      </c>
      <c r="K70" s="9" t="str">
        <f t="shared" ca="1" si="1"/>
        <v/>
      </c>
      <c r="L70" s="9">
        <f t="shared" ca="1" si="2"/>
        <v>10</v>
      </c>
      <c r="N70" s="176">
        <f t="shared" ca="1" si="11"/>
        <v>30</v>
      </c>
      <c r="O70" s="176">
        <f t="shared" ca="1" si="13"/>
        <v>1577</v>
      </c>
      <c r="P70" s="175">
        <f t="shared" ca="1" si="3"/>
        <v>847.5157240417368</v>
      </c>
      <c r="Q70" s="11">
        <f t="shared" ca="1" si="4"/>
        <v>2.9930000000000002E-2</v>
      </c>
      <c r="R70" s="12">
        <f t="shared" ca="1" si="5"/>
        <v>25.366145620569185</v>
      </c>
      <c r="T70" s="31">
        <f t="shared" ca="1" si="14"/>
        <v>2106.3704858457254</v>
      </c>
    </row>
    <row r="71" spans="1:20">
      <c r="A71" s="198">
        <f ca="1">'PRICE_IOF Ñ USAR'!A71</f>
        <v>53</v>
      </c>
      <c r="B71" s="197">
        <f ca="1">'PRICE_IOF Ñ USAR'!B71</f>
        <v>46336</v>
      </c>
      <c r="C71" s="196">
        <f t="shared" ca="1" si="6"/>
        <v>420.28142495655607</v>
      </c>
      <c r="D71" s="21">
        <f t="shared" ca="1" si="12"/>
        <v>1686.0890608891693</v>
      </c>
      <c r="E71" s="196">
        <f t="shared" ca="1" si="7"/>
        <v>182850.26867169229</v>
      </c>
      <c r="F71" s="178">
        <f t="shared" ca="1" si="8"/>
        <v>38.486815520296254</v>
      </c>
      <c r="G71" s="178">
        <f t="shared" ca="1" si="9"/>
        <v>26.319999999999997</v>
      </c>
      <c r="H71" s="177">
        <f t="shared" ca="1" si="10"/>
        <v>25</v>
      </c>
      <c r="I71" s="196"/>
      <c r="J71" s="9" t="str">
        <f t="shared" ca="1" si="0"/>
        <v/>
      </c>
      <c r="K71" s="9" t="str">
        <f t="shared" ca="1" si="1"/>
        <v/>
      </c>
      <c r="L71" s="9">
        <f t="shared" ca="1" si="2"/>
        <v>11</v>
      </c>
      <c r="N71" s="176">
        <f t="shared" ca="1" si="11"/>
        <v>31</v>
      </c>
      <c r="O71" s="176">
        <f t="shared" ca="1" si="13"/>
        <v>1608</v>
      </c>
      <c r="P71" s="175">
        <f t="shared" ca="1" si="3"/>
        <v>847.5157240417368</v>
      </c>
      <c r="Q71" s="11">
        <f t="shared" ca="1" si="4"/>
        <v>2.9930000000000002E-2</v>
      </c>
      <c r="R71" s="12">
        <f t="shared" ca="1" si="5"/>
        <v>25.366145620569185</v>
      </c>
      <c r="T71" s="31">
        <f t="shared" ca="1" si="14"/>
        <v>2106.3704858457254</v>
      </c>
    </row>
    <row r="72" spans="1:20">
      <c r="A72" s="198">
        <f ca="1">'PRICE_IOF Ñ USAR'!A72</f>
        <v>54</v>
      </c>
      <c r="B72" s="197">
        <f ca="1">'PRICE_IOF Ñ USAR'!B72</f>
        <v>46366</v>
      </c>
      <c r="C72" s="196">
        <f t="shared" ca="1" si="6"/>
        <v>424.14801406615629</v>
      </c>
      <c r="D72" s="21">
        <f t="shared" ca="1" si="12"/>
        <v>1682.2224717795691</v>
      </c>
      <c r="E72" s="196">
        <f t="shared" ca="1" si="7"/>
        <v>182426.12065762613</v>
      </c>
      <c r="F72" s="178">
        <f t="shared" ca="1" si="8"/>
        <v>38.398556421055382</v>
      </c>
      <c r="G72" s="178">
        <f t="shared" ca="1" si="9"/>
        <v>26.319999999999997</v>
      </c>
      <c r="H72" s="177">
        <f t="shared" ca="1" si="10"/>
        <v>25</v>
      </c>
      <c r="I72" s="196"/>
      <c r="J72" s="9" t="str">
        <f t="shared" ca="1" si="0"/>
        <v/>
      </c>
      <c r="K72" s="9" t="str">
        <f t="shared" ca="1" si="1"/>
        <v/>
      </c>
      <c r="L72" s="9">
        <f t="shared" ca="1" si="2"/>
        <v>12</v>
      </c>
      <c r="N72" s="176">
        <f t="shared" ca="1" si="11"/>
        <v>30</v>
      </c>
      <c r="O72" s="176">
        <f t="shared" ca="1" si="13"/>
        <v>1638</v>
      </c>
      <c r="P72" s="175">
        <f t="shared" ca="1" si="3"/>
        <v>847.5157240417368</v>
      </c>
      <c r="Q72" s="11">
        <f t="shared" ca="1" si="4"/>
        <v>2.9930000000000002E-2</v>
      </c>
      <c r="R72" s="12">
        <f t="shared" ca="1" si="5"/>
        <v>25.366145620569185</v>
      </c>
      <c r="T72" s="31">
        <f t="shared" ca="1" si="14"/>
        <v>2106.3704858457254</v>
      </c>
    </row>
    <row r="73" spans="1:20">
      <c r="A73" s="198">
        <f ca="1">'PRICE_IOF Ñ USAR'!A73</f>
        <v>55</v>
      </c>
      <c r="B73" s="197">
        <f ca="1">'PRICE_IOF Ñ USAR'!B73</f>
        <v>46397</v>
      </c>
      <c r="C73" s="196">
        <f t="shared" ca="1" si="6"/>
        <v>428.05017579556511</v>
      </c>
      <c r="D73" s="21">
        <f t="shared" ca="1" si="12"/>
        <v>1678.3203100501603</v>
      </c>
      <c r="E73" s="196">
        <f t="shared" ca="1" si="7"/>
        <v>181998.07048183057</v>
      </c>
      <c r="F73" s="178">
        <f t="shared" ca="1" si="8"/>
        <v>38.309485338101489</v>
      </c>
      <c r="G73" s="178">
        <f t="shared" ca="1" si="9"/>
        <v>26.319999999999997</v>
      </c>
      <c r="H73" s="177">
        <f t="shared" ca="1" si="10"/>
        <v>25</v>
      </c>
      <c r="I73" s="196"/>
      <c r="J73" s="9" t="str">
        <f t="shared" ca="1" si="0"/>
        <v/>
      </c>
      <c r="K73" s="9" t="str">
        <f t="shared" ca="1" si="1"/>
        <v/>
      </c>
      <c r="L73" s="9">
        <f t="shared" ca="1" si="2"/>
        <v>1</v>
      </c>
      <c r="N73" s="176">
        <f t="shared" ca="1" si="11"/>
        <v>31</v>
      </c>
      <c r="O73" s="176">
        <f t="shared" ca="1" si="13"/>
        <v>1669</v>
      </c>
      <c r="P73" s="175">
        <f t="shared" ca="1" si="3"/>
        <v>847.5157240417368</v>
      </c>
      <c r="Q73" s="11">
        <f t="shared" ca="1" si="4"/>
        <v>2.9930000000000002E-2</v>
      </c>
      <c r="R73" s="12">
        <f t="shared" ca="1" si="5"/>
        <v>25.366145620569185</v>
      </c>
      <c r="T73" s="31">
        <f t="shared" ca="1" si="14"/>
        <v>2106.3704858457254</v>
      </c>
    </row>
    <row r="74" spans="1:20">
      <c r="A74" s="198">
        <f ca="1">'PRICE_IOF Ñ USAR'!A74</f>
        <v>56</v>
      </c>
      <c r="B74" s="197">
        <f ca="1">'PRICE_IOF Ñ USAR'!B74</f>
        <v>46428</v>
      </c>
      <c r="C74" s="196">
        <f t="shared" ca="1" si="6"/>
        <v>431.98823741288425</v>
      </c>
      <c r="D74" s="21">
        <f t="shared" ca="1" si="12"/>
        <v>1674.3822484328412</v>
      </c>
      <c r="E74" s="196">
        <f t="shared" ca="1" si="7"/>
        <v>181566.08224441769</v>
      </c>
      <c r="F74" s="178">
        <f t="shared" ca="1" si="8"/>
        <v>38.219594801184421</v>
      </c>
      <c r="G74" s="178">
        <f t="shared" ca="1" si="9"/>
        <v>26.319999999999997</v>
      </c>
      <c r="H74" s="177">
        <f t="shared" ca="1" si="10"/>
        <v>25</v>
      </c>
      <c r="I74" s="196"/>
      <c r="J74" s="9" t="str">
        <f t="shared" ca="1" si="0"/>
        <v/>
      </c>
      <c r="K74" s="9" t="str">
        <f t="shared" ca="1" si="1"/>
        <v/>
      </c>
      <c r="L74" s="9">
        <f t="shared" ca="1" si="2"/>
        <v>2</v>
      </c>
      <c r="N74" s="176">
        <f t="shared" ca="1" si="11"/>
        <v>31</v>
      </c>
      <c r="O74" s="176">
        <f t="shared" ca="1" si="13"/>
        <v>1700</v>
      </c>
      <c r="P74" s="175">
        <f t="shared" ca="1" si="3"/>
        <v>847.5157240417368</v>
      </c>
      <c r="Q74" s="11">
        <f t="shared" ca="1" si="4"/>
        <v>2.9930000000000002E-2</v>
      </c>
      <c r="R74" s="12">
        <f t="shared" ca="1" si="5"/>
        <v>25.366145620569185</v>
      </c>
      <c r="T74" s="31">
        <f t="shared" ca="1" si="14"/>
        <v>2106.3704858457254</v>
      </c>
    </row>
    <row r="75" spans="1:20">
      <c r="A75" s="198">
        <f ca="1">'PRICE_IOF Ñ USAR'!A75</f>
        <v>57</v>
      </c>
      <c r="B75" s="197">
        <f ca="1">'PRICE_IOF Ñ USAR'!B75</f>
        <v>46456</v>
      </c>
      <c r="C75" s="196">
        <f t="shared" ca="1" si="6"/>
        <v>435.96252919708263</v>
      </c>
      <c r="D75" s="21">
        <f t="shared" ca="1" si="12"/>
        <v>1670.4079566486428</v>
      </c>
      <c r="E75" s="196">
        <f t="shared" ca="1" si="7"/>
        <v>181130.11971522062</v>
      </c>
      <c r="F75" s="178">
        <f t="shared" ca="1" si="8"/>
        <v>38.128877271327717</v>
      </c>
      <c r="G75" s="178">
        <f t="shared" ca="1" si="9"/>
        <v>26.319999999999997</v>
      </c>
      <c r="H75" s="177">
        <f t="shared" ca="1" si="10"/>
        <v>25</v>
      </c>
      <c r="I75" s="196"/>
      <c r="J75" s="9" t="str">
        <f t="shared" ca="1" si="0"/>
        <v/>
      </c>
      <c r="K75" s="9" t="str">
        <f t="shared" ca="1" si="1"/>
        <v/>
      </c>
      <c r="L75" s="9">
        <f t="shared" ca="1" si="2"/>
        <v>3</v>
      </c>
      <c r="N75" s="176">
        <f t="shared" ca="1" si="11"/>
        <v>28</v>
      </c>
      <c r="O75" s="176">
        <f t="shared" ca="1" si="13"/>
        <v>1728</v>
      </c>
      <c r="P75" s="175">
        <f t="shared" ca="1" si="3"/>
        <v>847.5157240417368</v>
      </c>
      <c r="Q75" s="11">
        <f t="shared" ca="1" si="4"/>
        <v>2.9930000000000002E-2</v>
      </c>
      <c r="R75" s="12">
        <f t="shared" ca="1" si="5"/>
        <v>25.366145620569185</v>
      </c>
      <c r="T75" s="31">
        <f t="shared" ca="1" si="14"/>
        <v>2106.3704858457254</v>
      </c>
    </row>
    <row r="76" spans="1:20">
      <c r="A76" s="198">
        <f ca="1">'PRICE_IOF Ñ USAR'!A76</f>
        <v>58</v>
      </c>
      <c r="B76" s="197">
        <f ca="1">'PRICE_IOF Ñ USAR'!B76</f>
        <v>46487</v>
      </c>
      <c r="C76" s="196">
        <f t="shared" ca="1" si="6"/>
        <v>439.97338446569574</v>
      </c>
      <c r="D76" s="21">
        <f t="shared" ca="1" si="12"/>
        <v>1666.3971013800297</v>
      </c>
      <c r="E76" s="196">
        <f t="shared" ca="1" si="7"/>
        <v>180690.14633075491</v>
      </c>
      <c r="F76" s="178">
        <f t="shared" ca="1" si="8"/>
        <v>38.03732514019633</v>
      </c>
      <c r="G76" s="178">
        <f t="shared" ca="1" si="9"/>
        <v>26.319999999999997</v>
      </c>
      <c r="H76" s="177">
        <f t="shared" ca="1" si="10"/>
        <v>25</v>
      </c>
      <c r="I76" s="196"/>
      <c r="J76" s="9" t="str">
        <f t="shared" ca="1" si="0"/>
        <v/>
      </c>
      <c r="K76" s="9" t="str">
        <f t="shared" ca="1" si="1"/>
        <v/>
      </c>
      <c r="L76" s="9">
        <f t="shared" ca="1" si="2"/>
        <v>4</v>
      </c>
      <c r="N76" s="176">
        <f t="shared" ca="1" si="11"/>
        <v>31</v>
      </c>
      <c r="O76" s="176">
        <f t="shared" ca="1" si="13"/>
        <v>1759</v>
      </c>
      <c r="P76" s="175">
        <f t="shared" ca="1" si="3"/>
        <v>847.5157240417368</v>
      </c>
      <c r="Q76" s="11">
        <f t="shared" ca="1" si="4"/>
        <v>2.9930000000000002E-2</v>
      </c>
      <c r="R76" s="12">
        <f t="shared" ca="1" si="5"/>
        <v>25.366145620569185</v>
      </c>
      <c r="T76" s="31">
        <f t="shared" ca="1" si="14"/>
        <v>2106.3704858457254</v>
      </c>
    </row>
    <row r="77" spans="1:20">
      <c r="A77" s="198">
        <f ca="1">'PRICE_IOF Ñ USAR'!A77</f>
        <v>59</v>
      </c>
      <c r="B77" s="197">
        <f ca="1">'PRICE_IOF Ñ USAR'!B77</f>
        <v>46517</v>
      </c>
      <c r="C77" s="196">
        <f t="shared" ca="1" si="6"/>
        <v>444.02113960278029</v>
      </c>
      <c r="D77" s="21">
        <f t="shared" ca="1" si="12"/>
        <v>1662.3493462429451</v>
      </c>
      <c r="E77" s="196">
        <f t="shared" ca="1" si="7"/>
        <v>180246.12519115212</v>
      </c>
      <c r="F77" s="178">
        <f t="shared" ca="1" si="8"/>
        <v>37.944930729458534</v>
      </c>
      <c r="G77" s="178">
        <f t="shared" ca="1" si="9"/>
        <v>26.319999999999997</v>
      </c>
      <c r="H77" s="177">
        <f t="shared" ca="1" si="10"/>
        <v>25</v>
      </c>
      <c r="I77" s="196"/>
      <c r="J77" s="9" t="str">
        <f t="shared" ca="1" si="0"/>
        <v/>
      </c>
      <c r="K77" s="9" t="str">
        <f t="shared" ca="1" si="1"/>
        <v/>
      </c>
      <c r="L77" s="9">
        <f t="shared" ca="1" si="2"/>
        <v>5</v>
      </c>
      <c r="N77" s="176">
        <f t="shared" ca="1" si="11"/>
        <v>30</v>
      </c>
      <c r="O77" s="176">
        <f t="shared" ca="1" si="13"/>
        <v>1789</v>
      </c>
      <c r="P77" s="175">
        <f t="shared" ca="1" si="3"/>
        <v>847.5157240417368</v>
      </c>
      <c r="Q77" s="11">
        <f t="shared" ca="1" si="4"/>
        <v>2.9930000000000002E-2</v>
      </c>
      <c r="R77" s="12">
        <f t="shared" ca="1" si="5"/>
        <v>25.366145620569185</v>
      </c>
      <c r="T77" s="31">
        <f t="shared" ca="1" si="14"/>
        <v>2106.3704858457254</v>
      </c>
    </row>
    <row r="78" spans="1:20">
      <c r="A78" s="198">
        <f ca="1">'PRICE_IOF Ñ USAR'!A78</f>
        <v>60</v>
      </c>
      <c r="B78" s="197">
        <f ca="1">'PRICE_IOF Ñ USAR'!B78</f>
        <v>46548</v>
      </c>
      <c r="C78" s="196">
        <f t="shared" ca="1" si="6"/>
        <v>448.10613408712584</v>
      </c>
      <c r="D78" s="21">
        <f t="shared" ca="1" si="12"/>
        <v>1658.2643517585996</v>
      </c>
      <c r="E78" s="196">
        <f t="shared" ca="1" si="7"/>
        <v>179798.01905706499</v>
      </c>
      <c r="F78" s="178">
        <f t="shared" ca="1" si="8"/>
        <v>37.851686290141949</v>
      </c>
      <c r="G78" s="178">
        <f t="shared" ca="1" si="9"/>
        <v>26.319999999999997</v>
      </c>
      <c r="H78" s="177">
        <f t="shared" ca="1" si="10"/>
        <v>25</v>
      </c>
      <c r="I78" s="196"/>
      <c r="J78" s="9" t="str">
        <f t="shared" ca="1" si="0"/>
        <v/>
      </c>
      <c r="K78" s="9" t="str">
        <f t="shared" ca="1" si="1"/>
        <v/>
      </c>
      <c r="L78" s="9">
        <f t="shared" ca="1" si="2"/>
        <v>6</v>
      </c>
      <c r="N78" s="176">
        <f t="shared" ca="1" si="11"/>
        <v>31</v>
      </c>
      <c r="O78" s="176">
        <f t="shared" ca="1" si="13"/>
        <v>1820</v>
      </c>
      <c r="P78" s="175">
        <f t="shared" ca="1" si="3"/>
        <v>847.5157240417368</v>
      </c>
      <c r="Q78" s="11">
        <f t="shared" ca="1" si="4"/>
        <v>2.9930000000000002E-2</v>
      </c>
      <c r="R78" s="12">
        <f t="shared" ca="1" si="5"/>
        <v>25.366145620569185</v>
      </c>
      <c r="T78" s="31">
        <f t="shared" ca="1" si="14"/>
        <v>2106.3704858457254</v>
      </c>
    </row>
    <row r="79" spans="1:20">
      <c r="A79" s="198">
        <f ca="1">'PRICE_IOF Ñ USAR'!A79</f>
        <v>61</v>
      </c>
      <c r="B79" s="197">
        <f ca="1">'PRICE_IOF Ñ USAR'!B79</f>
        <v>46578</v>
      </c>
      <c r="C79" s="196">
        <f t="shared" ca="1" si="6"/>
        <v>452.22871052072765</v>
      </c>
      <c r="D79" s="21">
        <f t="shared" ca="1" si="12"/>
        <v>1654.1417753249978</v>
      </c>
      <c r="E79" s="196">
        <f t="shared" ca="1" si="7"/>
        <v>179345.79034654427</v>
      </c>
      <c r="F79" s="178">
        <f t="shared" ca="1" si="8"/>
        <v>37.757584001983652</v>
      </c>
      <c r="G79" s="178">
        <f t="shared" ca="1" si="9"/>
        <v>26.319999999999997</v>
      </c>
      <c r="H79" s="177">
        <f t="shared" ca="1" si="10"/>
        <v>25</v>
      </c>
      <c r="I79" s="196"/>
      <c r="J79" s="9" t="str">
        <f t="shared" ca="1" si="0"/>
        <v/>
      </c>
      <c r="K79" s="9" t="str">
        <f t="shared" ca="1" si="1"/>
        <v/>
      </c>
      <c r="L79" s="9">
        <f t="shared" ca="1" si="2"/>
        <v>7</v>
      </c>
      <c r="N79" s="176">
        <f t="shared" ca="1" si="11"/>
        <v>30</v>
      </c>
      <c r="O79" s="176">
        <f t="shared" ca="1" si="13"/>
        <v>1850</v>
      </c>
      <c r="P79" s="175">
        <f t="shared" ca="1" si="3"/>
        <v>847.5157240417368</v>
      </c>
      <c r="Q79" s="11">
        <f t="shared" ca="1" si="4"/>
        <v>2.9930000000000002E-2</v>
      </c>
      <c r="R79" s="12">
        <f t="shared" ca="1" si="5"/>
        <v>25.366145620569185</v>
      </c>
      <c r="T79" s="31">
        <f t="shared" ca="1" si="14"/>
        <v>2106.3704858457254</v>
      </c>
    </row>
    <row r="80" spans="1:20">
      <c r="A80" s="198">
        <f ca="1">'PRICE_IOF Ñ USAR'!A80</f>
        <v>62</v>
      </c>
      <c r="B80" s="197">
        <f ca="1">'PRICE_IOF Ñ USAR'!B80</f>
        <v>46609</v>
      </c>
      <c r="C80" s="196">
        <f t="shared" ca="1" si="6"/>
        <v>456.3892146575181</v>
      </c>
      <c r="D80" s="21">
        <f t="shared" ca="1" si="12"/>
        <v>1649.9812711882073</v>
      </c>
      <c r="E80" s="196">
        <f t="shared" ca="1" si="7"/>
        <v>178889.40113188676</v>
      </c>
      <c r="F80" s="178">
        <f t="shared" ca="1" si="8"/>
        <v>37.662615972774297</v>
      </c>
      <c r="G80" s="178">
        <f t="shared" ca="1" si="9"/>
        <v>26.319999999999997</v>
      </c>
      <c r="H80" s="177">
        <f t="shared" ca="1" si="10"/>
        <v>25</v>
      </c>
      <c r="I80" s="196"/>
      <c r="J80" s="9" t="str">
        <f t="shared" ca="1" si="0"/>
        <v/>
      </c>
      <c r="K80" s="9" t="str">
        <f t="shared" ca="1" si="1"/>
        <v/>
      </c>
      <c r="L80" s="9">
        <f t="shared" ca="1" si="2"/>
        <v>8</v>
      </c>
      <c r="N80" s="176">
        <f t="shared" ca="1" si="11"/>
        <v>31</v>
      </c>
      <c r="O80" s="176">
        <f t="shared" ca="1" si="13"/>
        <v>1881</v>
      </c>
      <c r="P80" s="175">
        <f t="shared" ca="1" si="3"/>
        <v>847.5157240417368</v>
      </c>
      <c r="Q80" s="11">
        <f t="shared" ca="1" si="4"/>
        <v>2.9930000000000002E-2</v>
      </c>
      <c r="R80" s="12">
        <f t="shared" ca="1" si="5"/>
        <v>25.366145620569185</v>
      </c>
      <c r="T80" s="31">
        <f t="shared" ca="1" si="14"/>
        <v>2106.3704858457254</v>
      </c>
    </row>
    <row r="81" spans="1:20">
      <c r="A81" s="198">
        <f ca="1">'PRICE_IOF Ñ USAR'!A81</f>
        <v>63</v>
      </c>
      <c r="B81" s="197">
        <f ca="1">'PRICE_IOF Ñ USAR'!B81</f>
        <v>46640</v>
      </c>
      <c r="C81" s="196">
        <f t="shared" ca="1" si="6"/>
        <v>460.58799543236728</v>
      </c>
      <c r="D81" s="21">
        <f t="shared" ca="1" si="12"/>
        <v>1645.7824904133581</v>
      </c>
      <c r="E81" s="196">
        <f t="shared" ca="1" si="7"/>
        <v>178428.81313645438</v>
      </c>
      <c r="F81" s="178">
        <f t="shared" ca="1" si="8"/>
        <v>37.566774237696222</v>
      </c>
      <c r="G81" s="178">
        <f t="shared" ca="1" si="9"/>
        <v>26.319999999999997</v>
      </c>
      <c r="H81" s="177">
        <f t="shared" ca="1" si="10"/>
        <v>25</v>
      </c>
      <c r="I81" s="196"/>
      <c r="J81" s="9" t="str">
        <f t="shared" ca="1" si="0"/>
        <v/>
      </c>
      <c r="K81" s="9" t="str">
        <f t="shared" ca="1" si="1"/>
        <v/>
      </c>
      <c r="L81" s="9">
        <f t="shared" ca="1" si="2"/>
        <v>9</v>
      </c>
      <c r="N81" s="176">
        <f t="shared" ca="1" si="11"/>
        <v>31</v>
      </c>
      <c r="O81" s="176">
        <f t="shared" ca="1" si="13"/>
        <v>1912</v>
      </c>
      <c r="P81" s="175">
        <f t="shared" ca="1" si="3"/>
        <v>847.5157240417368</v>
      </c>
      <c r="Q81" s="11">
        <f t="shared" ca="1" si="4"/>
        <v>2.9930000000000002E-2</v>
      </c>
      <c r="R81" s="12">
        <f t="shared" ca="1" si="5"/>
        <v>25.366145620569185</v>
      </c>
      <c r="T81" s="31">
        <f t="shared" ca="1" si="14"/>
        <v>2106.3704858457254</v>
      </c>
    </row>
    <row r="82" spans="1:20">
      <c r="A82" s="198">
        <f ca="1">'PRICE_IOF Ñ USAR'!A82</f>
        <v>64</v>
      </c>
      <c r="B82" s="197">
        <f ca="1">'PRICE_IOF Ñ USAR'!B82</f>
        <v>46670</v>
      </c>
      <c r="C82" s="196">
        <f t="shared" ca="1" si="6"/>
        <v>464.82540499034508</v>
      </c>
      <c r="D82" s="21">
        <f t="shared" ca="1" si="12"/>
        <v>1641.5450808553803</v>
      </c>
      <c r="E82" s="196">
        <f t="shared" ca="1" si="7"/>
        <v>177963.98773146403</v>
      </c>
      <c r="F82" s="178">
        <f t="shared" ca="1" si="8"/>
        <v>37.470050758655418</v>
      </c>
      <c r="G82" s="178">
        <f t="shared" ca="1" si="9"/>
        <v>26.319999999999997</v>
      </c>
      <c r="H82" s="177">
        <f t="shared" ca="1" si="10"/>
        <v>25</v>
      </c>
      <c r="I82" s="196"/>
      <c r="J82" s="9" t="str">
        <f t="shared" ref="J82:J145" ca="1" si="15">IF(A82="I","Carencia",IF(A82&lt;=$C$12,"Carencia",""))</f>
        <v/>
      </c>
      <c r="K82" s="9" t="str">
        <f t="shared" ref="K82:K145" ca="1" si="16">IF(L82=$C$13,"Pula","")</f>
        <v/>
      </c>
      <c r="L82" s="9">
        <f t="shared" ref="L82:L145" ca="1" si="17">IFERROR(MONTH(B82),"")</f>
        <v>10</v>
      </c>
      <c r="N82" s="176">
        <f t="shared" ca="1" si="11"/>
        <v>30</v>
      </c>
      <c r="O82" s="176">
        <f t="shared" ca="1" si="13"/>
        <v>1942</v>
      </c>
      <c r="P82" s="175">
        <f t="shared" ref="P82:P145" ca="1" si="18">IF(A82&lt;&gt;"",$E$18/($C$8-$C$12-$D$13),"")</f>
        <v>847.5157240417368</v>
      </c>
      <c r="Q82" s="11">
        <f t="shared" ref="Q82:Q145" ca="1" si="19">IF(OR(A82="",J82="Carencia",K82="Pula"),"",IF(AND($F$5="PF",O82&lt;365),$I$3*O82,IF(AND($F$5="PF",O82&gt;365),$I$3*365,IF(AND($F$5="PJ",O82&lt;365),$I$4*O82,IF(AND($F$5="PJ",O82&gt;365),$I$4*365)))))</f>
        <v>2.9930000000000002E-2</v>
      </c>
      <c r="R82" s="12">
        <f t="shared" ref="R82:R145" ca="1" si="20">IFERROR(Q82*P82,"")</f>
        <v>25.366145620569185</v>
      </c>
      <c r="T82" s="31">
        <f t="shared" ca="1" si="14"/>
        <v>2106.3704858457254</v>
      </c>
    </row>
    <row r="83" spans="1:20">
      <c r="A83" s="198">
        <f ca="1">'PRICE_IOF Ñ USAR'!A83</f>
        <v>65</v>
      </c>
      <c r="B83" s="197">
        <f ca="1">'PRICE_IOF Ñ USAR'!B83</f>
        <v>46701</v>
      </c>
      <c r="C83" s="196">
        <f t="shared" ref="C83:C146" ca="1" si="21">IFERROR(IF(OR(J83="Carencia",K83="Pula"),0,$I$12-D83),"")</f>
        <v>469.10179871625633</v>
      </c>
      <c r="D83" s="21">
        <f t="shared" ca="1" si="12"/>
        <v>1637.2686871294691</v>
      </c>
      <c r="E83" s="196">
        <f t="shared" ref="E83:E146" ca="1" si="22">IFERROR(IF(OR(J83="Carencia",K83="Pula"),E82+D83+SUM(F83:H83),(E82-C83)),"")</f>
        <v>177494.88593274777</v>
      </c>
      <c r="F83" s="178">
        <f t="shared" ref="F83:F146" ca="1" si="23">IFERROR(IF(OR(AND(DAY(B83)=DAY(B82),MONTH(B83)&lt;&gt;MONTH(B82)),MONTH(B83)&lt;&gt;MONTH(B82)),E82*$I$7,""),"")</f>
        <v>37.372437423607451</v>
      </c>
      <c r="G83" s="178">
        <f t="shared" ref="G83:G146" ca="1" si="24">IFERROR(IF(OR(AND(DAY(B83)=DAY(B82),MONTH(B83)&lt;&gt;MONTH(B82)),MONTH(B83)&lt;&gt;MONTH(B82)),$C$11*$I$8,0),"")</f>
        <v>26.319999999999997</v>
      </c>
      <c r="H83" s="177">
        <f t="shared" ref="H83:H146" ca="1" si="25">IFERROR(IF(OR(AND(DAY(B83)=DAY(B82),MONTH(B83)&lt;&gt;MONTH(B82)),MONTH(B83)&lt;&gt;MONTH(B82)),$I$10,0),"")</f>
        <v>25</v>
      </c>
      <c r="I83" s="196"/>
      <c r="J83" s="9" t="str">
        <f t="shared" ca="1" si="15"/>
        <v/>
      </c>
      <c r="K83" s="9" t="str">
        <f t="shared" ca="1" si="16"/>
        <v/>
      </c>
      <c r="L83" s="9">
        <f t="shared" ca="1" si="17"/>
        <v>11</v>
      </c>
      <c r="N83" s="176">
        <f t="shared" ref="N83:N146" ca="1" si="26">IFERROR(B83-B82,"")</f>
        <v>31</v>
      </c>
      <c r="O83" s="176">
        <f t="shared" ca="1" si="13"/>
        <v>1973</v>
      </c>
      <c r="P83" s="175">
        <f t="shared" ca="1" si="18"/>
        <v>847.5157240417368</v>
      </c>
      <c r="Q83" s="11">
        <f t="shared" ca="1" si="19"/>
        <v>2.9930000000000002E-2</v>
      </c>
      <c r="R83" s="12">
        <f t="shared" ca="1" si="20"/>
        <v>25.366145620569185</v>
      </c>
      <c r="T83" s="31">
        <f t="shared" ca="1" si="14"/>
        <v>2106.3704858457254</v>
      </c>
    </row>
    <row r="84" spans="1:20">
      <c r="A84" s="198">
        <f ca="1">'PRICE_IOF Ñ USAR'!A84</f>
        <v>66</v>
      </c>
      <c r="B84" s="197">
        <f ca="1">'PRICE_IOF Ñ USAR'!B84</f>
        <v>46731</v>
      </c>
      <c r="C84" s="196">
        <f t="shared" ca="1" si="21"/>
        <v>473.41753526444586</v>
      </c>
      <c r="D84" s="21">
        <f t="shared" ref="D84:D147" ca="1" si="27">IFERROR(IF(DAY(B84)=DAY(B83),IF(K84="Pula",0,($C$9)*E83),IF(AND(K84="Pula",J84=""),0,IF(AND($F$3=30,OR(AND(DAY(B83)=28,MONTH(B83)=2),AND(DAY(B83)=29,MONTH(B83)=2))),$C$9*E83,$C$9*E83))),"")</f>
        <v>1632.9529505812795</v>
      </c>
      <c r="E84" s="196">
        <f t="shared" ca="1" si="22"/>
        <v>177021.46839748332</v>
      </c>
      <c r="F84" s="178">
        <f t="shared" ca="1" si="23"/>
        <v>37.273926045877033</v>
      </c>
      <c r="G84" s="178">
        <f t="shared" ca="1" si="24"/>
        <v>26.319999999999997</v>
      </c>
      <c r="H84" s="177">
        <f t="shared" ca="1" si="25"/>
        <v>25</v>
      </c>
      <c r="I84" s="196"/>
      <c r="J84" s="9" t="str">
        <f t="shared" ca="1" si="15"/>
        <v/>
      </c>
      <c r="K84" s="9" t="str">
        <f t="shared" ca="1" si="16"/>
        <v/>
      </c>
      <c r="L84" s="9">
        <f t="shared" ca="1" si="17"/>
        <v>12</v>
      </c>
      <c r="N84" s="176">
        <f t="shared" ca="1" si="26"/>
        <v>30</v>
      </c>
      <c r="O84" s="176">
        <f t="shared" ref="O84:O147" ca="1" si="28">IFERROR(N84+O83,"")</f>
        <v>2003</v>
      </c>
      <c r="P84" s="175">
        <f t="shared" ca="1" si="18"/>
        <v>847.5157240417368</v>
      </c>
      <c r="Q84" s="11">
        <f t="shared" ca="1" si="19"/>
        <v>2.9930000000000002E-2</v>
      </c>
      <c r="R84" s="12">
        <f t="shared" ca="1" si="20"/>
        <v>25.366145620569185</v>
      </c>
      <c r="T84" s="31">
        <f t="shared" ref="T84:T147" ca="1" si="29">IFERROR(IF(OR(J84="Carencia",K84="Pula"),0,C84+D84),"")</f>
        <v>2106.3704858457254</v>
      </c>
    </row>
    <row r="85" spans="1:20">
      <c r="A85" s="198">
        <f ca="1">'PRICE_IOF Ñ USAR'!A85</f>
        <v>67</v>
      </c>
      <c r="B85" s="197">
        <f ca="1">'PRICE_IOF Ñ USAR'!B85</f>
        <v>46762</v>
      </c>
      <c r="C85" s="196">
        <f t="shared" ca="1" si="21"/>
        <v>477.77297658887892</v>
      </c>
      <c r="D85" s="21">
        <f t="shared" ca="1" si="27"/>
        <v>1628.5975092568465</v>
      </c>
      <c r="E85" s="196">
        <f t="shared" ca="1" si="22"/>
        <v>176543.69542089445</v>
      </c>
      <c r="F85" s="178">
        <f t="shared" ca="1" si="23"/>
        <v>37.174508363471496</v>
      </c>
      <c r="G85" s="178">
        <f t="shared" ca="1" si="24"/>
        <v>26.319999999999997</v>
      </c>
      <c r="H85" s="177">
        <f t="shared" ca="1" si="25"/>
        <v>25</v>
      </c>
      <c r="I85" s="196"/>
      <c r="J85" s="9" t="str">
        <f t="shared" ca="1" si="15"/>
        <v/>
      </c>
      <c r="K85" s="9" t="str">
        <f t="shared" ca="1" si="16"/>
        <v/>
      </c>
      <c r="L85" s="9">
        <f t="shared" ca="1" si="17"/>
        <v>1</v>
      </c>
      <c r="N85" s="176">
        <f t="shared" ca="1" si="26"/>
        <v>31</v>
      </c>
      <c r="O85" s="176">
        <f t="shared" ca="1" si="28"/>
        <v>2034</v>
      </c>
      <c r="P85" s="175">
        <f t="shared" ca="1" si="18"/>
        <v>847.5157240417368</v>
      </c>
      <c r="Q85" s="11">
        <f t="shared" ca="1" si="19"/>
        <v>2.9930000000000002E-2</v>
      </c>
      <c r="R85" s="12">
        <f t="shared" ca="1" si="20"/>
        <v>25.366145620569185</v>
      </c>
      <c r="T85" s="31">
        <f t="shared" ca="1" si="29"/>
        <v>2106.3704858457254</v>
      </c>
    </row>
    <row r="86" spans="1:20">
      <c r="A86" s="198">
        <f ca="1">'PRICE_IOF Ñ USAR'!A86</f>
        <v>68</v>
      </c>
      <c r="B86" s="197">
        <f ca="1">'PRICE_IOF Ñ USAR'!B86</f>
        <v>46793</v>
      </c>
      <c r="C86" s="196">
        <f t="shared" ca="1" si="21"/>
        <v>482.16848797349644</v>
      </c>
      <c r="D86" s="21">
        <f t="shared" ca="1" si="27"/>
        <v>1624.201997872229</v>
      </c>
      <c r="E86" s="196">
        <f t="shared" ca="1" si="22"/>
        <v>176061.52693292097</v>
      </c>
      <c r="F86" s="178">
        <f t="shared" ca="1" si="23"/>
        <v>37.074176038387833</v>
      </c>
      <c r="G86" s="178">
        <f t="shared" ca="1" si="24"/>
        <v>26.319999999999997</v>
      </c>
      <c r="H86" s="177">
        <f t="shared" ca="1" si="25"/>
        <v>25</v>
      </c>
      <c r="I86" s="196"/>
      <c r="J86" s="9" t="str">
        <f t="shared" ca="1" si="15"/>
        <v/>
      </c>
      <c r="K86" s="9" t="str">
        <f t="shared" ca="1" si="16"/>
        <v/>
      </c>
      <c r="L86" s="9">
        <f t="shared" ca="1" si="17"/>
        <v>2</v>
      </c>
      <c r="N86" s="176">
        <f t="shared" ca="1" si="26"/>
        <v>31</v>
      </c>
      <c r="O86" s="176">
        <f t="shared" ca="1" si="28"/>
        <v>2065</v>
      </c>
      <c r="P86" s="175">
        <f t="shared" ca="1" si="18"/>
        <v>847.5157240417368</v>
      </c>
      <c r="Q86" s="11">
        <f t="shared" ca="1" si="19"/>
        <v>2.9930000000000002E-2</v>
      </c>
      <c r="R86" s="12">
        <f t="shared" ca="1" si="20"/>
        <v>25.366145620569185</v>
      </c>
      <c r="T86" s="31">
        <f t="shared" ca="1" si="29"/>
        <v>2106.3704858457254</v>
      </c>
    </row>
    <row r="87" spans="1:20">
      <c r="A87" s="198">
        <f ca="1">'PRICE_IOF Ñ USAR'!A87</f>
        <v>69</v>
      </c>
      <c r="B87" s="197">
        <f ca="1">'PRICE_IOF Ñ USAR'!B87</f>
        <v>46822</v>
      </c>
      <c r="C87" s="196">
        <f t="shared" ca="1" si="21"/>
        <v>486.60443806285252</v>
      </c>
      <c r="D87" s="21">
        <f t="shared" ca="1" si="27"/>
        <v>1619.7660477828729</v>
      </c>
      <c r="E87" s="196">
        <f t="shared" ca="1" si="22"/>
        <v>175574.92249485812</v>
      </c>
      <c r="F87" s="178">
        <f t="shared" ca="1" si="23"/>
        <v>36.972920655913406</v>
      </c>
      <c r="G87" s="178">
        <f t="shared" ca="1" si="24"/>
        <v>26.319999999999997</v>
      </c>
      <c r="H87" s="177">
        <f t="shared" ca="1" si="25"/>
        <v>25</v>
      </c>
      <c r="I87" s="196"/>
      <c r="J87" s="9" t="str">
        <f t="shared" ca="1" si="15"/>
        <v/>
      </c>
      <c r="K87" s="9" t="str">
        <f t="shared" ca="1" si="16"/>
        <v/>
      </c>
      <c r="L87" s="9">
        <f t="shared" ca="1" si="17"/>
        <v>3</v>
      </c>
      <c r="N87" s="176">
        <f t="shared" ca="1" si="26"/>
        <v>29</v>
      </c>
      <c r="O87" s="176">
        <f t="shared" ca="1" si="28"/>
        <v>2094</v>
      </c>
      <c r="P87" s="175">
        <f t="shared" ca="1" si="18"/>
        <v>847.5157240417368</v>
      </c>
      <c r="Q87" s="11">
        <f t="shared" ca="1" si="19"/>
        <v>2.9930000000000002E-2</v>
      </c>
      <c r="R87" s="12">
        <f t="shared" ca="1" si="20"/>
        <v>25.366145620569185</v>
      </c>
      <c r="T87" s="31">
        <f t="shared" ca="1" si="29"/>
        <v>2106.3704858457254</v>
      </c>
    </row>
    <row r="88" spans="1:20">
      <c r="A88" s="198">
        <f ca="1">'PRICE_IOF Ñ USAR'!A88</f>
        <v>70</v>
      </c>
      <c r="B88" s="197">
        <f ca="1">'PRICE_IOF Ñ USAR'!B88</f>
        <v>46853</v>
      </c>
      <c r="C88" s="196">
        <f t="shared" ca="1" si="21"/>
        <v>491.08119889303066</v>
      </c>
      <c r="D88" s="21">
        <f t="shared" ca="1" si="27"/>
        <v>1615.2892869526947</v>
      </c>
      <c r="E88" s="196">
        <f t="shared" ca="1" si="22"/>
        <v>175083.8412959651</v>
      </c>
      <c r="F88" s="178">
        <f t="shared" ca="1" si="23"/>
        <v>36.87073372392021</v>
      </c>
      <c r="G88" s="178">
        <f t="shared" ca="1" si="24"/>
        <v>26.319999999999997</v>
      </c>
      <c r="H88" s="177">
        <f t="shared" ca="1" si="25"/>
        <v>25</v>
      </c>
      <c r="I88" s="196"/>
      <c r="J88" s="9" t="str">
        <f t="shared" ca="1" si="15"/>
        <v/>
      </c>
      <c r="K88" s="9" t="str">
        <f t="shared" ca="1" si="16"/>
        <v/>
      </c>
      <c r="L88" s="9">
        <f t="shared" ca="1" si="17"/>
        <v>4</v>
      </c>
      <c r="N88" s="176">
        <f t="shared" ca="1" si="26"/>
        <v>31</v>
      </c>
      <c r="O88" s="176">
        <f t="shared" ca="1" si="28"/>
        <v>2125</v>
      </c>
      <c r="P88" s="175">
        <f t="shared" ca="1" si="18"/>
        <v>847.5157240417368</v>
      </c>
      <c r="Q88" s="11">
        <f t="shared" ca="1" si="19"/>
        <v>2.9930000000000002E-2</v>
      </c>
      <c r="R88" s="12">
        <f t="shared" ca="1" si="20"/>
        <v>25.366145620569185</v>
      </c>
      <c r="T88" s="31">
        <f t="shared" ca="1" si="29"/>
        <v>2106.3704858457254</v>
      </c>
    </row>
    <row r="89" spans="1:20">
      <c r="A89" s="198">
        <f ca="1">'PRICE_IOF Ñ USAR'!A89</f>
        <v>71</v>
      </c>
      <c r="B89" s="197">
        <f ca="1">'PRICE_IOF Ñ USAR'!B89</f>
        <v>46883</v>
      </c>
      <c r="C89" s="196">
        <f t="shared" ca="1" si="21"/>
        <v>495.59914592284645</v>
      </c>
      <c r="D89" s="21">
        <f t="shared" ca="1" si="27"/>
        <v>1610.771339922879</v>
      </c>
      <c r="E89" s="196">
        <f t="shared" ca="1" si="22"/>
        <v>174588.24215004226</v>
      </c>
      <c r="F89" s="178">
        <f t="shared" ca="1" si="23"/>
        <v>36.767606672152674</v>
      </c>
      <c r="G89" s="178">
        <f t="shared" ca="1" si="24"/>
        <v>26.319999999999997</v>
      </c>
      <c r="H89" s="177">
        <f t="shared" ca="1" si="25"/>
        <v>25</v>
      </c>
      <c r="I89" s="196"/>
      <c r="J89" s="9" t="str">
        <f t="shared" ca="1" si="15"/>
        <v/>
      </c>
      <c r="K89" s="9" t="str">
        <f t="shared" ca="1" si="16"/>
        <v/>
      </c>
      <c r="L89" s="9">
        <f t="shared" ca="1" si="17"/>
        <v>5</v>
      </c>
      <c r="N89" s="176">
        <f t="shared" ca="1" si="26"/>
        <v>30</v>
      </c>
      <c r="O89" s="176">
        <f t="shared" ca="1" si="28"/>
        <v>2155</v>
      </c>
      <c r="P89" s="175">
        <f t="shared" ca="1" si="18"/>
        <v>847.5157240417368</v>
      </c>
      <c r="Q89" s="11">
        <f t="shared" ca="1" si="19"/>
        <v>2.9930000000000002E-2</v>
      </c>
      <c r="R89" s="12">
        <f t="shared" ca="1" si="20"/>
        <v>25.366145620569185</v>
      </c>
      <c r="T89" s="31">
        <f t="shared" ca="1" si="29"/>
        <v>2106.3704858457254</v>
      </c>
    </row>
    <row r="90" spans="1:20">
      <c r="A90" s="198">
        <f ca="1">'PRICE_IOF Ñ USAR'!A90</f>
        <v>72</v>
      </c>
      <c r="B90" s="197">
        <f ca="1">'PRICE_IOF Ñ USAR'!B90</f>
        <v>46914</v>
      </c>
      <c r="C90" s="196">
        <f t="shared" ca="1" si="21"/>
        <v>500.15865806533657</v>
      </c>
      <c r="D90" s="21">
        <f t="shared" ca="1" si="27"/>
        <v>1606.2118277803888</v>
      </c>
      <c r="E90" s="196">
        <f t="shared" ca="1" si="22"/>
        <v>174088.08349197693</v>
      </c>
      <c r="F90" s="178">
        <f t="shared" ca="1" si="23"/>
        <v>36.663530851508874</v>
      </c>
      <c r="G90" s="178">
        <f t="shared" ca="1" si="24"/>
        <v>26.319999999999997</v>
      </c>
      <c r="H90" s="177">
        <f t="shared" ca="1" si="25"/>
        <v>25</v>
      </c>
      <c r="I90" s="196"/>
      <c r="J90" s="9" t="str">
        <f t="shared" ca="1" si="15"/>
        <v/>
      </c>
      <c r="K90" s="9" t="str">
        <f t="shared" ca="1" si="16"/>
        <v/>
      </c>
      <c r="L90" s="9">
        <f t="shared" ca="1" si="17"/>
        <v>6</v>
      </c>
      <c r="N90" s="176">
        <f t="shared" ca="1" si="26"/>
        <v>31</v>
      </c>
      <c r="O90" s="176">
        <f t="shared" ca="1" si="28"/>
        <v>2186</v>
      </c>
      <c r="P90" s="175">
        <f t="shared" ca="1" si="18"/>
        <v>847.5157240417368</v>
      </c>
      <c r="Q90" s="11">
        <f t="shared" ca="1" si="19"/>
        <v>2.9930000000000002E-2</v>
      </c>
      <c r="R90" s="12">
        <f t="shared" ca="1" si="20"/>
        <v>25.366145620569185</v>
      </c>
      <c r="T90" s="31">
        <f t="shared" ca="1" si="29"/>
        <v>2106.3704858457254</v>
      </c>
    </row>
    <row r="91" spans="1:20">
      <c r="A91" s="198">
        <f ca="1">'PRICE_IOF Ñ USAR'!A91</f>
        <v>73</v>
      </c>
      <c r="B91" s="197">
        <f ca="1">'PRICE_IOF Ñ USAR'!B91</f>
        <v>46944</v>
      </c>
      <c r="C91" s="196">
        <f t="shared" ca="1" si="21"/>
        <v>504.76011771953767</v>
      </c>
      <c r="D91" s="21">
        <f t="shared" ca="1" si="27"/>
        <v>1601.6103681261877</v>
      </c>
      <c r="E91" s="196">
        <f t="shared" ca="1" si="22"/>
        <v>173583.32337425739</v>
      </c>
      <c r="F91" s="178">
        <f t="shared" ca="1" si="23"/>
        <v>36.558497533315155</v>
      </c>
      <c r="G91" s="178">
        <f t="shared" ca="1" si="24"/>
        <v>26.319999999999997</v>
      </c>
      <c r="H91" s="177">
        <f t="shared" ca="1" si="25"/>
        <v>25</v>
      </c>
      <c r="I91" s="196"/>
      <c r="J91" s="9" t="str">
        <f t="shared" ca="1" si="15"/>
        <v/>
      </c>
      <c r="K91" s="9" t="str">
        <f t="shared" ca="1" si="16"/>
        <v/>
      </c>
      <c r="L91" s="9">
        <f t="shared" ca="1" si="17"/>
        <v>7</v>
      </c>
      <c r="N91" s="176">
        <f t="shared" ca="1" si="26"/>
        <v>30</v>
      </c>
      <c r="O91" s="176">
        <f t="shared" ca="1" si="28"/>
        <v>2216</v>
      </c>
      <c r="P91" s="175">
        <f t="shared" ca="1" si="18"/>
        <v>847.5157240417368</v>
      </c>
      <c r="Q91" s="11">
        <f t="shared" ca="1" si="19"/>
        <v>2.9930000000000002E-2</v>
      </c>
      <c r="R91" s="12">
        <f t="shared" ca="1" si="20"/>
        <v>25.366145620569185</v>
      </c>
      <c r="T91" s="31">
        <f t="shared" ca="1" si="29"/>
        <v>2106.3704858457254</v>
      </c>
    </row>
    <row r="92" spans="1:20">
      <c r="A92" s="198">
        <f ca="1">'PRICE_IOF Ñ USAR'!A92</f>
        <v>74</v>
      </c>
      <c r="B92" s="197">
        <f ca="1">'PRICE_IOF Ñ USAR'!B92</f>
        <v>46975</v>
      </c>
      <c r="C92" s="196">
        <f t="shared" ca="1" si="21"/>
        <v>509.40391080255745</v>
      </c>
      <c r="D92" s="21">
        <f t="shared" ca="1" si="27"/>
        <v>1596.9665750431679</v>
      </c>
      <c r="E92" s="196">
        <f t="shared" ca="1" si="22"/>
        <v>173073.91946345483</v>
      </c>
      <c r="F92" s="178">
        <f t="shared" ca="1" si="23"/>
        <v>36.452497908594054</v>
      </c>
      <c r="G92" s="178">
        <f t="shared" ca="1" si="24"/>
        <v>26.319999999999997</v>
      </c>
      <c r="H92" s="177">
        <f t="shared" ca="1" si="25"/>
        <v>25</v>
      </c>
      <c r="I92" s="196"/>
      <c r="J92" s="9" t="str">
        <f t="shared" ca="1" si="15"/>
        <v/>
      </c>
      <c r="K92" s="9" t="str">
        <f t="shared" ca="1" si="16"/>
        <v/>
      </c>
      <c r="L92" s="9">
        <f t="shared" ca="1" si="17"/>
        <v>8</v>
      </c>
      <c r="N92" s="176">
        <f t="shared" ca="1" si="26"/>
        <v>31</v>
      </c>
      <c r="O92" s="176">
        <f t="shared" ca="1" si="28"/>
        <v>2247</v>
      </c>
      <c r="P92" s="175">
        <f t="shared" ca="1" si="18"/>
        <v>847.5157240417368</v>
      </c>
      <c r="Q92" s="11">
        <f t="shared" ca="1" si="19"/>
        <v>2.9930000000000002E-2</v>
      </c>
      <c r="R92" s="12">
        <f t="shared" ca="1" si="20"/>
        <v>25.366145620569185</v>
      </c>
      <c r="T92" s="31">
        <f t="shared" ca="1" si="29"/>
        <v>2106.3704858457254</v>
      </c>
    </row>
    <row r="93" spans="1:20">
      <c r="A93" s="198">
        <f ca="1">'PRICE_IOF Ñ USAR'!A93</f>
        <v>75</v>
      </c>
      <c r="B93" s="197">
        <f ca="1">'PRICE_IOF Ñ USAR'!B93</f>
        <v>47006</v>
      </c>
      <c r="C93" s="196">
        <f t="shared" ca="1" si="21"/>
        <v>514.09042678194101</v>
      </c>
      <c r="D93" s="21">
        <f t="shared" ca="1" si="27"/>
        <v>1592.2800590637844</v>
      </c>
      <c r="E93" s="196">
        <f t="shared" ca="1" si="22"/>
        <v>172559.82903667289</v>
      </c>
      <c r="F93" s="178">
        <f t="shared" ca="1" si="23"/>
        <v>36.345523087325518</v>
      </c>
      <c r="G93" s="178">
        <f t="shared" ca="1" si="24"/>
        <v>26.319999999999997</v>
      </c>
      <c r="H93" s="177">
        <f t="shared" ca="1" si="25"/>
        <v>25</v>
      </c>
      <c r="I93" s="196"/>
      <c r="J93" s="9" t="str">
        <f t="shared" ca="1" si="15"/>
        <v/>
      </c>
      <c r="K93" s="9" t="str">
        <f t="shared" ca="1" si="16"/>
        <v/>
      </c>
      <c r="L93" s="9">
        <f t="shared" ca="1" si="17"/>
        <v>9</v>
      </c>
      <c r="N93" s="176">
        <f t="shared" ca="1" si="26"/>
        <v>31</v>
      </c>
      <c r="O93" s="176">
        <f t="shared" ca="1" si="28"/>
        <v>2278</v>
      </c>
      <c r="P93" s="175">
        <f t="shared" ca="1" si="18"/>
        <v>847.5157240417368</v>
      </c>
      <c r="Q93" s="11">
        <f t="shared" ca="1" si="19"/>
        <v>2.9930000000000002E-2</v>
      </c>
      <c r="R93" s="12">
        <f t="shared" ca="1" si="20"/>
        <v>25.366145620569185</v>
      </c>
      <c r="T93" s="31">
        <f t="shared" ca="1" si="29"/>
        <v>2106.3704858457254</v>
      </c>
    </row>
    <row r="94" spans="1:20">
      <c r="A94" s="198">
        <f ca="1">'PRICE_IOF Ñ USAR'!A94</f>
        <v>76</v>
      </c>
      <c r="B94" s="197">
        <f ca="1">'PRICE_IOF Ñ USAR'!B94</f>
        <v>47036</v>
      </c>
      <c r="C94" s="196">
        <f t="shared" ca="1" si="21"/>
        <v>518.82005870833473</v>
      </c>
      <c r="D94" s="21">
        <f t="shared" ca="1" si="27"/>
        <v>1587.5504271373907</v>
      </c>
      <c r="E94" s="196">
        <f t="shared" ca="1" si="22"/>
        <v>172041.00897796455</v>
      </c>
      <c r="F94" s="178">
        <f t="shared" ca="1" si="23"/>
        <v>36.237564097701309</v>
      </c>
      <c r="G94" s="178">
        <f t="shared" ca="1" si="24"/>
        <v>26.319999999999997</v>
      </c>
      <c r="H94" s="177">
        <f t="shared" ca="1" si="25"/>
        <v>25</v>
      </c>
      <c r="I94" s="196"/>
      <c r="J94" s="9" t="str">
        <f t="shared" ca="1" si="15"/>
        <v/>
      </c>
      <c r="K94" s="9" t="str">
        <f t="shared" ca="1" si="16"/>
        <v/>
      </c>
      <c r="L94" s="9">
        <f t="shared" ca="1" si="17"/>
        <v>10</v>
      </c>
      <c r="N94" s="176">
        <f t="shared" ca="1" si="26"/>
        <v>30</v>
      </c>
      <c r="O94" s="176">
        <f t="shared" ca="1" si="28"/>
        <v>2308</v>
      </c>
      <c r="P94" s="175">
        <f t="shared" ca="1" si="18"/>
        <v>847.5157240417368</v>
      </c>
      <c r="Q94" s="11">
        <f t="shared" ca="1" si="19"/>
        <v>2.9930000000000002E-2</v>
      </c>
      <c r="R94" s="12">
        <f t="shared" ca="1" si="20"/>
        <v>25.366145620569185</v>
      </c>
      <c r="T94" s="31">
        <f t="shared" ca="1" si="29"/>
        <v>2106.3704858457254</v>
      </c>
    </row>
    <row r="95" spans="1:20">
      <c r="A95" s="198">
        <f ca="1">'PRICE_IOF Ñ USAR'!A95</f>
        <v>77</v>
      </c>
      <c r="B95" s="197">
        <f ca="1">'PRICE_IOF Ñ USAR'!B95</f>
        <v>47067</v>
      </c>
      <c r="C95" s="196">
        <f t="shared" ca="1" si="21"/>
        <v>523.59320324845157</v>
      </c>
      <c r="D95" s="21">
        <f t="shared" ca="1" si="27"/>
        <v>1582.7772825972738</v>
      </c>
      <c r="E95" s="196">
        <f t="shared" ca="1" si="22"/>
        <v>171517.41577471609</v>
      </c>
      <c r="F95" s="178">
        <f t="shared" ca="1" si="23"/>
        <v>36.128611885372557</v>
      </c>
      <c r="G95" s="178">
        <f t="shared" ca="1" si="24"/>
        <v>26.319999999999997</v>
      </c>
      <c r="H95" s="177">
        <f t="shared" ca="1" si="25"/>
        <v>25</v>
      </c>
      <c r="I95" s="196"/>
      <c r="J95" s="9" t="str">
        <f t="shared" ca="1" si="15"/>
        <v/>
      </c>
      <c r="K95" s="9" t="str">
        <f t="shared" ca="1" si="16"/>
        <v/>
      </c>
      <c r="L95" s="9">
        <f t="shared" ca="1" si="17"/>
        <v>11</v>
      </c>
      <c r="N95" s="176">
        <f t="shared" ca="1" si="26"/>
        <v>31</v>
      </c>
      <c r="O95" s="176">
        <f t="shared" ca="1" si="28"/>
        <v>2339</v>
      </c>
      <c r="P95" s="175">
        <f t="shared" ca="1" si="18"/>
        <v>847.5157240417368</v>
      </c>
      <c r="Q95" s="11">
        <f t="shared" ca="1" si="19"/>
        <v>2.9930000000000002E-2</v>
      </c>
      <c r="R95" s="12">
        <f t="shared" ca="1" si="20"/>
        <v>25.366145620569185</v>
      </c>
      <c r="T95" s="31">
        <f t="shared" ca="1" si="29"/>
        <v>2106.3704858457254</v>
      </c>
    </row>
    <row r="96" spans="1:20">
      <c r="A96" s="198">
        <f ca="1">'PRICE_IOF Ñ USAR'!A96</f>
        <v>78</v>
      </c>
      <c r="B96" s="197">
        <f ca="1">'PRICE_IOF Ñ USAR'!B96</f>
        <v>47097</v>
      </c>
      <c r="C96" s="196">
        <f t="shared" ca="1" si="21"/>
        <v>528.41026071833744</v>
      </c>
      <c r="D96" s="21">
        <f t="shared" ca="1" si="27"/>
        <v>1577.960225127388</v>
      </c>
      <c r="E96" s="196">
        <f t="shared" ca="1" si="22"/>
        <v>170989.00551399775</v>
      </c>
      <c r="F96" s="178">
        <f t="shared" ca="1" si="23"/>
        <v>36.01865731269038</v>
      </c>
      <c r="G96" s="178">
        <f t="shared" ca="1" si="24"/>
        <v>26.319999999999997</v>
      </c>
      <c r="H96" s="177">
        <f t="shared" ca="1" si="25"/>
        <v>25</v>
      </c>
      <c r="I96" s="196"/>
      <c r="J96" s="9" t="str">
        <f t="shared" ca="1" si="15"/>
        <v/>
      </c>
      <c r="K96" s="9" t="str">
        <f t="shared" ca="1" si="16"/>
        <v/>
      </c>
      <c r="L96" s="9">
        <f t="shared" ca="1" si="17"/>
        <v>12</v>
      </c>
      <c r="N96" s="176">
        <f t="shared" ca="1" si="26"/>
        <v>30</v>
      </c>
      <c r="O96" s="176">
        <f t="shared" ca="1" si="28"/>
        <v>2369</v>
      </c>
      <c r="P96" s="175">
        <f t="shared" ca="1" si="18"/>
        <v>847.5157240417368</v>
      </c>
      <c r="Q96" s="11">
        <f t="shared" ca="1" si="19"/>
        <v>2.9930000000000002E-2</v>
      </c>
      <c r="R96" s="12">
        <f t="shared" ca="1" si="20"/>
        <v>25.366145620569185</v>
      </c>
      <c r="T96" s="31">
        <f t="shared" ca="1" si="29"/>
        <v>2106.3704858457254</v>
      </c>
    </row>
    <row r="97" spans="1:20">
      <c r="A97" s="198">
        <f ca="1">'PRICE_IOF Ñ USAR'!A97</f>
        <v>79</v>
      </c>
      <c r="B97" s="197">
        <f ca="1">'PRICE_IOF Ñ USAR'!B97</f>
        <v>47128</v>
      </c>
      <c r="C97" s="196">
        <f t="shared" ca="1" si="21"/>
        <v>533.27163511694607</v>
      </c>
      <c r="D97" s="21">
        <f t="shared" ca="1" si="27"/>
        <v>1573.0988507287793</v>
      </c>
      <c r="E97" s="196">
        <f t="shared" ca="1" si="22"/>
        <v>170455.7338788808</v>
      </c>
      <c r="F97" s="178">
        <f t="shared" ca="1" si="23"/>
        <v>35.907691157939531</v>
      </c>
      <c r="G97" s="178">
        <f t="shared" ca="1" si="24"/>
        <v>26.319999999999997</v>
      </c>
      <c r="H97" s="177">
        <f t="shared" ca="1" si="25"/>
        <v>25</v>
      </c>
      <c r="I97" s="196"/>
      <c r="J97" s="9" t="str">
        <f t="shared" ca="1" si="15"/>
        <v/>
      </c>
      <c r="K97" s="9" t="str">
        <f t="shared" ca="1" si="16"/>
        <v/>
      </c>
      <c r="L97" s="9">
        <f t="shared" ca="1" si="17"/>
        <v>1</v>
      </c>
      <c r="N97" s="176">
        <f t="shared" ca="1" si="26"/>
        <v>31</v>
      </c>
      <c r="O97" s="176">
        <f t="shared" ca="1" si="28"/>
        <v>2400</v>
      </c>
      <c r="P97" s="175">
        <f t="shared" ca="1" si="18"/>
        <v>847.5157240417368</v>
      </c>
      <c r="Q97" s="11">
        <f t="shared" ca="1" si="19"/>
        <v>2.9930000000000002E-2</v>
      </c>
      <c r="R97" s="12">
        <f t="shared" ca="1" si="20"/>
        <v>25.366145620569185</v>
      </c>
      <c r="T97" s="31">
        <f t="shared" ca="1" si="29"/>
        <v>2106.3704858457254</v>
      </c>
    </row>
    <row r="98" spans="1:20">
      <c r="A98" s="198">
        <f ca="1">'PRICE_IOF Ñ USAR'!A98</f>
        <v>80</v>
      </c>
      <c r="B98" s="197">
        <f ca="1">'PRICE_IOF Ñ USAR'!B98</f>
        <v>47159</v>
      </c>
      <c r="C98" s="196">
        <f t="shared" ca="1" si="21"/>
        <v>538.17773416002206</v>
      </c>
      <c r="D98" s="21">
        <f t="shared" ca="1" si="27"/>
        <v>1568.1927516857033</v>
      </c>
      <c r="E98" s="196">
        <f t="shared" ca="1" si="22"/>
        <v>169917.55614472079</v>
      </c>
      <c r="F98" s="178">
        <f t="shared" ca="1" si="23"/>
        <v>35.79570411456497</v>
      </c>
      <c r="G98" s="178">
        <f t="shared" ca="1" si="24"/>
        <v>26.319999999999997</v>
      </c>
      <c r="H98" s="177">
        <f t="shared" ca="1" si="25"/>
        <v>25</v>
      </c>
      <c r="I98" s="196"/>
      <c r="J98" s="9" t="str">
        <f t="shared" ca="1" si="15"/>
        <v/>
      </c>
      <c r="K98" s="9" t="str">
        <f t="shared" ca="1" si="16"/>
        <v/>
      </c>
      <c r="L98" s="9">
        <f t="shared" ca="1" si="17"/>
        <v>2</v>
      </c>
      <c r="N98" s="176">
        <f t="shared" ca="1" si="26"/>
        <v>31</v>
      </c>
      <c r="O98" s="176">
        <f t="shared" ca="1" si="28"/>
        <v>2431</v>
      </c>
      <c r="P98" s="175">
        <f t="shared" ca="1" si="18"/>
        <v>847.5157240417368</v>
      </c>
      <c r="Q98" s="11">
        <f t="shared" ca="1" si="19"/>
        <v>2.9930000000000002E-2</v>
      </c>
      <c r="R98" s="12">
        <f t="shared" ca="1" si="20"/>
        <v>25.366145620569185</v>
      </c>
      <c r="T98" s="31">
        <f t="shared" ca="1" si="29"/>
        <v>2106.3704858457254</v>
      </c>
    </row>
    <row r="99" spans="1:20">
      <c r="A99" s="198">
        <f ca="1">'PRICE_IOF Ñ USAR'!A99</f>
        <v>81</v>
      </c>
      <c r="B99" s="197">
        <f ca="1">'PRICE_IOF Ñ USAR'!B99</f>
        <v>47187</v>
      </c>
      <c r="C99" s="196">
        <f t="shared" ca="1" si="21"/>
        <v>543.12896931429418</v>
      </c>
      <c r="D99" s="21">
        <f t="shared" ca="1" si="27"/>
        <v>1563.2415165314312</v>
      </c>
      <c r="E99" s="196">
        <f t="shared" ca="1" si="22"/>
        <v>169374.42717540648</v>
      </c>
      <c r="F99" s="178">
        <f t="shared" ca="1" si="23"/>
        <v>35.682686790391365</v>
      </c>
      <c r="G99" s="178">
        <f t="shared" ca="1" si="24"/>
        <v>26.319999999999997</v>
      </c>
      <c r="H99" s="177">
        <f t="shared" ca="1" si="25"/>
        <v>25</v>
      </c>
      <c r="I99" s="196"/>
      <c r="J99" s="9" t="str">
        <f t="shared" ca="1" si="15"/>
        <v/>
      </c>
      <c r="K99" s="9" t="str">
        <f t="shared" ca="1" si="16"/>
        <v/>
      </c>
      <c r="L99" s="9">
        <f t="shared" ca="1" si="17"/>
        <v>3</v>
      </c>
      <c r="N99" s="176">
        <f t="shared" ca="1" si="26"/>
        <v>28</v>
      </c>
      <c r="O99" s="176">
        <f t="shared" ca="1" si="28"/>
        <v>2459</v>
      </c>
      <c r="P99" s="175">
        <f t="shared" ca="1" si="18"/>
        <v>847.5157240417368</v>
      </c>
      <c r="Q99" s="11">
        <f t="shared" ca="1" si="19"/>
        <v>2.9930000000000002E-2</v>
      </c>
      <c r="R99" s="12">
        <f t="shared" ca="1" si="20"/>
        <v>25.366145620569185</v>
      </c>
      <c r="T99" s="31">
        <f t="shared" ca="1" si="29"/>
        <v>2106.3704858457254</v>
      </c>
    </row>
    <row r="100" spans="1:20">
      <c r="A100" s="198">
        <f ca="1">'PRICE_IOF Ñ USAR'!A100</f>
        <v>82</v>
      </c>
      <c r="B100" s="197">
        <f ca="1">'PRICE_IOF Ñ USAR'!B100</f>
        <v>47218</v>
      </c>
      <c r="C100" s="196">
        <f t="shared" ca="1" si="21"/>
        <v>548.12575583198577</v>
      </c>
      <c r="D100" s="21">
        <f t="shared" ca="1" si="27"/>
        <v>1558.2447300137396</v>
      </c>
      <c r="E100" s="196">
        <f t="shared" ca="1" si="22"/>
        <v>168826.30141957451</v>
      </c>
      <c r="F100" s="178">
        <f t="shared" ca="1" si="23"/>
        <v>35.56862970683536</v>
      </c>
      <c r="G100" s="178">
        <f t="shared" ca="1" si="24"/>
        <v>26.319999999999997</v>
      </c>
      <c r="H100" s="177">
        <f t="shared" ca="1" si="25"/>
        <v>25</v>
      </c>
      <c r="I100" s="196"/>
      <c r="J100" s="9" t="str">
        <f t="shared" ca="1" si="15"/>
        <v/>
      </c>
      <c r="K100" s="9" t="str">
        <f t="shared" ca="1" si="16"/>
        <v/>
      </c>
      <c r="L100" s="9">
        <f t="shared" ca="1" si="17"/>
        <v>4</v>
      </c>
      <c r="N100" s="176">
        <f t="shared" ca="1" si="26"/>
        <v>31</v>
      </c>
      <c r="O100" s="176">
        <f t="shared" ca="1" si="28"/>
        <v>2490</v>
      </c>
      <c r="P100" s="175">
        <f t="shared" ca="1" si="18"/>
        <v>847.5157240417368</v>
      </c>
      <c r="Q100" s="11">
        <f t="shared" ca="1" si="19"/>
        <v>2.9930000000000002E-2</v>
      </c>
      <c r="R100" s="12">
        <f t="shared" ca="1" si="20"/>
        <v>25.366145620569185</v>
      </c>
      <c r="T100" s="31">
        <f t="shared" ca="1" si="29"/>
        <v>2106.3704858457254</v>
      </c>
    </row>
    <row r="101" spans="1:20">
      <c r="A101" s="198">
        <f ca="1">'PRICE_IOF Ñ USAR'!A101</f>
        <v>83</v>
      </c>
      <c r="B101" s="197">
        <f ca="1">'PRICE_IOF Ñ USAR'!B101</f>
        <v>47248</v>
      </c>
      <c r="C101" s="196">
        <f t="shared" ca="1" si="21"/>
        <v>553.1685127856399</v>
      </c>
      <c r="D101" s="21">
        <f t="shared" ca="1" si="27"/>
        <v>1553.2019730600855</v>
      </c>
      <c r="E101" s="196">
        <f t="shared" ca="1" si="22"/>
        <v>168273.13290678887</v>
      </c>
      <c r="F101" s="178">
        <f t="shared" ca="1" si="23"/>
        <v>35.453523298110646</v>
      </c>
      <c r="G101" s="178">
        <f t="shared" ca="1" si="24"/>
        <v>26.319999999999997</v>
      </c>
      <c r="H101" s="177">
        <f t="shared" ca="1" si="25"/>
        <v>25</v>
      </c>
      <c r="I101" s="196"/>
      <c r="J101" s="9" t="str">
        <f t="shared" ca="1" si="15"/>
        <v/>
      </c>
      <c r="K101" s="9" t="str">
        <f t="shared" ca="1" si="16"/>
        <v/>
      </c>
      <c r="L101" s="9">
        <f t="shared" ca="1" si="17"/>
        <v>5</v>
      </c>
      <c r="N101" s="176">
        <f t="shared" ca="1" si="26"/>
        <v>30</v>
      </c>
      <c r="O101" s="176">
        <f t="shared" ca="1" si="28"/>
        <v>2520</v>
      </c>
      <c r="P101" s="175">
        <f t="shared" ca="1" si="18"/>
        <v>847.5157240417368</v>
      </c>
      <c r="Q101" s="11">
        <f t="shared" ca="1" si="19"/>
        <v>2.9930000000000002E-2</v>
      </c>
      <c r="R101" s="12">
        <f t="shared" ca="1" si="20"/>
        <v>25.366145620569185</v>
      </c>
      <c r="T101" s="31">
        <f t="shared" ca="1" si="29"/>
        <v>2106.3704858457254</v>
      </c>
    </row>
    <row r="102" spans="1:20">
      <c r="A102" s="198">
        <f ca="1">'PRICE_IOF Ñ USAR'!A102</f>
        <v>84</v>
      </c>
      <c r="B102" s="197">
        <f ca="1">'PRICE_IOF Ñ USAR'!B102</f>
        <v>47279</v>
      </c>
      <c r="C102" s="196">
        <f t="shared" ca="1" si="21"/>
        <v>558.25766310326776</v>
      </c>
      <c r="D102" s="21">
        <f t="shared" ca="1" si="27"/>
        <v>1548.1128227424576</v>
      </c>
      <c r="E102" s="196">
        <f t="shared" ca="1" si="22"/>
        <v>167714.87524368562</v>
      </c>
      <c r="F102" s="178">
        <f t="shared" ca="1" si="23"/>
        <v>35.337357910425666</v>
      </c>
      <c r="G102" s="178">
        <f t="shared" ca="1" si="24"/>
        <v>26.319999999999997</v>
      </c>
      <c r="H102" s="177">
        <f t="shared" ca="1" si="25"/>
        <v>25</v>
      </c>
      <c r="I102" s="196"/>
      <c r="J102" s="9" t="str">
        <f t="shared" ca="1" si="15"/>
        <v/>
      </c>
      <c r="K102" s="9" t="str">
        <f t="shared" ca="1" si="16"/>
        <v/>
      </c>
      <c r="L102" s="9">
        <f t="shared" ca="1" si="17"/>
        <v>6</v>
      </c>
      <c r="N102" s="176">
        <f t="shared" ca="1" si="26"/>
        <v>31</v>
      </c>
      <c r="O102" s="176">
        <f t="shared" ca="1" si="28"/>
        <v>2551</v>
      </c>
      <c r="P102" s="175">
        <f t="shared" ca="1" si="18"/>
        <v>847.5157240417368</v>
      </c>
      <c r="Q102" s="11">
        <f t="shared" ca="1" si="19"/>
        <v>2.9930000000000002E-2</v>
      </c>
      <c r="R102" s="12">
        <f t="shared" ca="1" si="20"/>
        <v>25.366145620569185</v>
      </c>
      <c r="T102" s="31">
        <f t="shared" ca="1" si="29"/>
        <v>2106.3704858457254</v>
      </c>
    </row>
    <row r="103" spans="1:20">
      <c r="A103" s="198">
        <f ca="1">'PRICE_IOF Ñ USAR'!A103</f>
        <v>85</v>
      </c>
      <c r="B103" s="197">
        <f ca="1">'PRICE_IOF Ñ USAR'!B103</f>
        <v>47309</v>
      </c>
      <c r="C103" s="196">
        <f t="shared" ca="1" si="21"/>
        <v>563.39363360381776</v>
      </c>
      <c r="D103" s="21">
        <f t="shared" ca="1" si="27"/>
        <v>1542.9768522419076</v>
      </c>
      <c r="E103" s="196">
        <f t="shared" ca="1" si="22"/>
        <v>167151.4816100818</v>
      </c>
      <c r="F103" s="178">
        <f t="shared" ca="1" si="23"/>
        <v>35.220123801173983</v>
      </c>
      <c r="G103" s="178">
        <f t="shared" ca="1" si="24"/>
        <v>26.319999999999997</v>
      </c>
      <c r="H103" s="177">
        <f t="shared" ca="1" si="25"/>
        <v>25</v>
      </c>
      <c r="I103" s="196"/>
      <c r="J103" s="9" t="str">
        <f t="shared" ca="1" si="15"/>
        <v/>
      </c>
      <c r="K103" s="9" t="str">
        <f t="shared" ca="1" si="16"/>
        <v/>
      </c>
      <c r="L103" s="9">
        <f t="shared" ca="1" si="17"/>
        <v>7</v>
      </c>
      <c r="N103" s="176">
        <f t="shared" ca="1" si="26"/>
        <v>30</v>
      </c>
      <c r="O103" s="176">
        <f t="shared" ca="1" si="28"/>
        <v>2581</v>
      </c>
      <c r="P103" s="175">
        <f t="shared" ca="1" si="18"/>
        <v>847.5157240417368</v>
      </c>
      <c r="Q103" s="11">
        <f t="shared" ca="1" si="19"/>
        <v>2.9930000000000002E-2</v>
      </c>
      <c r="R103" s="12">
        <f t="shared" ca="1" si="20"/>
        <v>25.366145620569185</v>
      </c>
      <c r="T103" s="31">
        <f t="shared" ca="1" si="29"/>
        <v>2106.3704858457254</v>
      </c>
    </row>
    <row r="104" spans="1:20">
      <c r="A104" s="198">
        <f ca="1">'PRICE_IOF Ñ USAR'!A104</f>
        <v>86</v>
      </c>
      <c r="B104" s="197">
        <f ca="1">'PRICE_IOF Ñ USAR'!B104</f>
        <v>47340</v>
      </c>
      <c r="C104" s="196">
        <f t="shared" ca="1" si="21"/>
        <v>568.57685503297284</v>
      </c>
      <c r="D104" s="21">
        <f t="shared" ca="1" si="27"/>
        <v>1537.7936308127526</v>
      </c>
      <c r="E104" s="196">
        <f t="shared" ca="1" si="22"/>
        <v>166582.90475504883</v>
      </c>
      <c r="F104" s="178">
        <f t="shared" ca="1" si="23"/>
        <v>35.101811138117178</v>
      </c>
      <c r="G104" s="178">
        <f t="shared" ca="1" si="24"/>
        <v>26.319999999999997</v>
      </c>
      <c r="H104" s="177">
        <f t="shared" ca="1" si="25"/>
        <v>25</v>
      </c>
      <c r="I104" s="196"/>
      <c r="J104" s="9" t="str">
        <f t="shared" ca="1" si="15"/>
        <v/>
      </c>
      <c r="K104" s="9" t="str">
        <f t="shared" ca="1" si="16"/>
        <v/>
      </c>
      <c r="L104" s="9">
        <f t="shared" ca="1" si="17"/>
        <v>8</v>
      </c>
      <c r="N104" s="176">
        <f t="shared" ca="1" si="26"/>
        <v>31</v>
      </c>
      <c r="O104" s="176">
        <f t="shared" ca="1" si="28"/>
        <v>2612</v>
      </c>
      <c r="P104" s="175">
        <f t="shared" ca="1" si="18"/>
        <v>847.5157240417368</v>
      </c>
      <c r="Q104" s="11">
        <f t="shared" ca="1" si="19"/>
        <v>2.9930000000000002E-2</v>
      </c>
      <c r="R104" s="12">
        <f t="shared" ca="1" si="20"/>
        <v>25.366145620569185</v>
      </c>
      <c r="T104" s="31">
        <f t="shared" ca="1" si="29"/>
        <v>2106.3704858457254</v>
      </c>
    </row>
    <row r="105" spans="1:20">
      <c r="A105" s="198">
        <f ca="1">'PRICE_IOF Ñ USAR'!A105</f>
        <v>87</v>
      </c>
      <c r="B105" s="197">
        <f ca="1">'PRICE_IOF Ñ USAR'!B105</f>
        <v>47371</v>
      </c>
      <c r="C105" s="196">
        <f t="shared" ca="1" si="21"/>
        <v>573.80776209927626</v>
      </c>
      <c r="D105" s="21">
        <f t="shared" ca="1" si="27"/>
        <v>1532.5627237464491</v>
      </c>
      <c r="E105" s="196">
        <f t="shared" ca="1" si="22"/>
        <v>166009.09699294955</v>
      </c>
      <c r="F105" s="178">
        <f t="shared" ca="1" si="23"/>
        <v>34.982409998560257</v>
      </c>
      <c r="G105" s="178">
        <f t="shared" ca="1" si="24"/>
        <v>26.319999999999997</v>
      </c>
      <c r="H105" s="177">
        <f t="shared" ca="1" si="25"/>
        <v>25</v>
      </c>
      <c r="I105" s="196"/>
      <c r="J105" s="9" t="str">
        <f t="shared" ca="1" si="15"/>
        <v/>
      </c>
      <c r="K105" s="9" t="str">
        <f t="shared" ca="1" si="16"/>
        <v/>
      </c>
      <c r="L105" s="9">
        <f t="shared" ca="1" si="17"/>
        <v>9</v>
      </c>
      <c r="N105" s="176">
        <f t="shared" ca="1" si="26"/>
        <v>31</v>
      </c>
      <c r="O105" s="176">
        <f t="shared" ca="1" si="28"/>
        <v>2643</v>
      </c>
      <c r="P105" s="175">
        <f t="shared" ca="1" si="18"/>
        <v>847.5157240417368</v>
      </c>
      <c r="Q105" s="11">
        <f t="shared" ca="1" si="19"/>
        <v>2.9930000000000002E-2</v>
      </c>
      <c r="R105" s="12">
        <f t="shared" ca="1" si="20"/>
        <v>25.366145620569185</v>
      </c>
      <c r="T105" s="31">
        <f t="shared" ca="1" si="29"/>
        <v>2106.3704858457254</v>
      </c>
    </row>
    <row r="106" spans="1:20">
      <c r="A106" s="198">
        <f ca="1">'PRICE_IOF Ñ USAR'!A106</f>
        <v>88</v>
      </c>
      <c r="B106" s="197">
        <f ca="1">'PRICE_IOF Ñ USAR'!B106</f>
        <v>47401</v>
      </c>
      <c r="C106" s="196">
        <f t="shared" ca="1" si="21"/>
        <v>579.08679351058959</v>
      </c>
      <c r="D106" s="21">
        <f t="shared" ca="1" si="27"/>
        <v>1527.2836923351358</v>
      </c>
      <c r="E106" s="196">
        <f t="shared" ca="1" si="22"/>
        <v>165430.01019943896</v>
      </c>
      <c r="F106" s="178">
        <f t="shared" ca="1" si="23"/>
        <v>34.861910368519403</v>
      </c>
      <c r="G106" s="178">
        <f t="shared" ca="1" si="24"/>
        <v>26.319999999999997</v>
      </c>
      <c r="H106" s="177">
        <f t="shared" ca="1" si="25"/>
        <v>25</v>
      </c>
      <c r="I106" s="196"/>
      <c r="J106" s="9" t="str">
        <f t="shared" ca="1" si="15"/>
        <v/>
      </c>
      <c r="K106" s="9" t="str">
        <f t="shared" ca="1" si="16"/>
        <v/>
      </c>
      <c r="L106" s="9">
        <f t="shared" ca="1" si="17"/>
        <v>10</v>
      </c>
      <c r="N106" s="176">
        <f t="shared" ca="1" si="26"/>
        <v>30</v>
      </c>
      <c r="O106" s="176">
        <f t="shared" ca="1" si="28"/>
        <v>2673</v>
      </c>
      <c r="P106" s="175">
        <f t="shared" ca="1" si="18"/>
        <v>847.5157240417368</v>
      </c>
      <c r="Q106" s="11">
        <f t="shared" ca="1" si="19"/>
        <v>2.9930000000000002E-2</v>
      </c>
      <c r="R106" s="12">
        <f t="shared" ca="1" si="20"/>
        <v>25.366145620569185</v>
      </c>
      <c r="T106" s="31">
        <f t="shared" ca="1" si="29"/>
        <v>2106.3704858457254</v>
      </c>
    </row>
    <row r="107" spans="1:20">
      <c r="A107" s="198">
        <f ca="1">'PRICE_IOF Ñ USAR'!A107</f>
        <v>89</v>
      </c>
      <c r="B107" s="197">
        <f ca="1">'PRICE_IOF Ñ USAR'!B107</f>
        <v>47432</v>
      </c>
      <c r="C107" s="196">
        <f t="shared" ca="1" si="21"/>
        <v>584.41439201088701</v>
      </c>
      <c r="D107" s="21">
        <f t="shared" ca="1" si="27"/>
        <v>1521.9560938348384</v>
      </c>
      <c r="E107" s="196">
        <f t="shared" ca="1" si="22"/>
        <v>164845.59580742806</v>
      </c>
      <c r="F107" s="178">
        <f t="shared" ca="1" si="23"/>
        <v>34.740302141882182</v>
      </c>
      <c r="G107" s="178">
        <f t="shared" ca="1" si="24"/>
        <v>26.319999999999997</v>
      </c>
      <c r="H107" s="177">
        <f t="shared" ca="1" si="25"/>
        <v>25</v>
      </c>
      <c r="I107" s="196"/>
      <c r="J107" s="9" t="str">
        <f t="shared" ca="1" si="15"/>
        <v/>
      </c>
      <c r="K107" s="9" t="str">
        <f t="shared" ca="1" si="16"/>
        <v/>
      </c>
      <c r="L107" s="9">
        <f t="shared" ca="1" si="17"/>
        <v>11</v>
      </c>
      <c r="N107" s="176">
        <f t="shared" ca="1" si="26"/>
        <v>31</v>
      </c>
      <c r="O107" s="176">
        <f t="shared" ca="1" si="28"/>
        <v>2704</v>
      </c>
      <c r="P107" s="175">
        <f t="shared" ca="1" si="18"/>
        <v>847.5157240417368</v>
      </c>
      <c r="Q107" s="11">
        <f t="shared" ca="1" si="19"/>
        <v>2.9930000000000002E-2</v>
      </c>
      <c r="R107" s="12">
        <f t="shared" ca="1" si="20"/>
        <v>25.366145620569185</v>
      </c>
      <c r="T107" s="31">
        <f t="shared" ca="1" si="29"/>
        <v>2106.3704858457254</v>
      </c>
    </row>
    <row r="108" spans="1:20">
      <c r="A108" s="198">
        <f ca="1">'PRICE_IOF Ñ USAR'!A108</f>
        <v>90</v>
      </c>
      <c r="B108" s="197">
        <f ca="1">'PRICE_IOF Ñ USAR'!B108</f>
        <v>47462</v>
      </c>
      <c r="C108" s="196">
        <f t="shared" ca="1" si="21"/>
        <v>589.79100441738728</v>
      </c>
      <c r="D108" s="21">
        <f t="shared" ca="1" si="27"/>
        <v>1516.5794814283381</v>
      </c>
      <c r="E108" s="196">
        <f t="shared" ca="1" si="22"/>
        <v>164255.80480301069</v>
      </c>
      <c r="F108" s="178">
        <f t="shared" ca="1" si="23"/>
        <v>34.617575119559895</v>
      </c>
      <c r="G108" s="178">
        <f t="shared" ca="1" si="24"/>
        <v>26.319999999999997</v>
      </c>
      <c r="H108" s="177">
        <f t="shared" ca="1" si="25"/>
        <v>25</v>
      </c>
      <c r="I108" s="196"/>
      <c r="J108" s="9" t="str">
        <f t="shared" ca="1" si="15"/>
        <v/>
      </c>
      <c r="K108" s="9" t="str">
        <f t="shared" ca="1" si="16"/>
        <v/>
      </c>
      <c r="L108" s="9">
        <f t="shared" ca="1" si="17"/>
        <v>12</v>
      </c>
      <c r="N108" s="176">
        <f t="shared" ca="1" si="26"/>
        <v>30</v>
      </c>
      <c r="O108" s="176">
        <f t="shared" ca="1" si="28"/>
        <v>2734</v>
      </c>
      <c r="P108" s="175">
        <f t="shared" ca="1" si="18"/>
        <v>847.5157240417368</v>
      </c>
      <c r="Q108" s="11">
        <f t="shared" ca="1" si="19"/>
        <v>2.9930000000000002E-2</v>
      </c>
      <c r="R108" s="12">
        <f t="shared" ca="1" si="20"/>
        <v>25.366145620569185</v>
      </c>
      <c r="T108" s="31">
        <f t="shared" ca="1" si="29"/>
        <v>2106.3704858457254</v>
      </c>
    </row>
    <row r="109" spans="1:20">
      <c r="A109" s="198">
        <f ca="1">'PRICE_IOF Ñ USAR'!A109</f>
        <v>91</v>
      </c>
      <c r="B109" s="197">
        <f ca="1">'PRICE_IOF Ñ USAR'!B109</f>
        <v>47493</v>
      </c>
      <c r="C109" s="196">
        <f t="shared" ca="1" si="21"/>
        <v>595.21708165802715</v>
      </c>
      <c r="D109" s="21">
        <f t="shared" ca="1" si="27"/>
        <v>1511.1534041876982</v>
      </c>
      <c r="E109" s="196">
        <f t="shared" ca="1" si="22"/>
        <v>163660.58772135267</v>
      </c>
      <c r="F109" s="178">
        <f t="shared" ca="1" si="23"/>
        <v>34.493719008632247</v>
      </c>
      <c r="G109" s="178">
        <f t="shared" ca="1" si="24"/>
        <v>26.319999999999997</v>
      </c>
      <c r="H109" s="177">
        <f t="shared" ca="1" si="25"/>
        <v>25</v>
      </c>
      <c r="I109" s="196"/>
      <c r="J109" s="9" t="str">
        <f t="shared" ca="1" si="15"/>
        <v/>
      </c>
      <c r="K109" s="9" t="str">
        <f t="shared" ca="1" si="16"/>
        <v/>
      </c>
      <c r="L109" s="9">
        <f t="shared" ca="1" si="17"/>
        <v>1</v>
      </c>
      <c r="N109" s="176">
        <f t="shared" ca="1" si="26"/>
        <v>31</v>
      </c>
      <c r="O109" s="176">
        <f t="shared" ca="1" si="28"/>
        <v>2765</v>
      </c>
      <c r="P109" s="175">
        <f t="shared" ca="1" si="18"/>
        <v>847.5157240417368</v>
      </c>
      <c r="Q109" s="11">
        <f t="shared" ca="1" si="19"/>
        <v>2.9930000000000002E-2</v>
      </c>
      <c r="R109" s="12">
        <f t="shared" ca="1" si="20"/>
        <v>25.366145620569185</v>
      </c>
      <c r="T109" s="31">
        <f t="shared" ca="1" si="29"/>
        <v>2106.3704858457254</v>
      </c>
    </row>
    <row r="110" spans="1:20">
      <c r="A110" s="198">
        <f ca="1">'PRICE_IOF Ñ USAR'!A110</f>
        <v>92</v>
      </c>
      <c r="B110" s="197">
        <f ca="1">'PRICE_IOF Ñ USAR'!B110</f>
        <v>47524</v>
      </c>
      <c r="C110" s="196">
        <f t="shared" ca="1" si="21"/>
        <v>600.69307880928091</v>
      </c>
      <c r="D110" s="21">
        <f t="shared" ca="1" si="27"/>
        <v>1505.6774070364445</v>
      </c>
      <c r="E110" s="196">
        <f t="shared" ca="1" si="22"/>
        <v>163059.8946425434</v>
      </c>
      <c r="F110" s="178">
        <f t="shared" ca="1" si="23"/>
        <v>34.368723421484063</v>
      </c>
      <c r="G110" s="178">
        <f t="shared" ca="1" si="24"/>
        <v>26.319999999999997</v>
      </c>
      <c r="H110" s="177">
        <f t="shared" ca="1" si="25"/>
        <v>25</v>
      </c>
      <c r="I110" s="196"/>
      <c r="J110" s="9" t="str">
        <f t="shared" ca="1" si="15"/>
        <v/>
      </c>
      <c r="K110" s="9" t="str">
        <f t="shared" ca="1" si="16"/>
        <v/>
      </c>
      <c r="L110" s="9">
        <f t="shared" ca="1" si="17"/>
        <v>2</v>
      </c>
      <c r="N110" s="176">
        <f t="shared" ca="1" si="26"/>
        <v>31</v>
      </c>
      <c r="O110" s="176">
        <f t="shared" ca="1" si="28"/>
        <v>2796</v>
      </c>
      <c r="P110" s="175">
        <f t="shared" ca="1" si="18"/>
        <v>847.5157240417368</v>
      </c>
      <c r="Q110" s="11">
        <f t="shared" ca="1" si="19"/>
        <v>2.9930000000000002E-2</v>
      </c>
      <c r="R110" s="12">
        <f t="shared" ca="1" si="20"/>
        <v>25.366145620569185</v>
      </c>
      <c r="T110" s="31">
        <f t="shared" ca="1" si="29"/>
        <v>2106.3704858457254</v>
      </c>
    </row>
    <row r="111" spans="1:20">
      <c r="A111" s="198">
        <f ca="1">'PRICE_IOF Ñ USAR'!A111</f>
        <v>93</v>
      </c>
      <c r="B111" s="197">
        <f ca="1">'PRICE_IOF Ñ USAR'!B111</f>
        <v>47552</v>
      </c>
      <c r="C111" s="196">
        <f t="shared" ca="1" si="21"/>
        <v>606.21945513432615</v>
      </c>
      <c r="D111" s="21">
        <f t="shared" ca="1" si="27"/>
        <v>1500.1510307113992</v>
      </c>
      <c r="E111" s="196">
        <f t="shared" ca="1" si="22"/>
        <v>162453.67518740907</v>
      </c>
      <c r="F111" s="178">
        <f t="shared" ca="1" si="23"/>
        <v>34.242577874934113</v>
      </c>
      <c r="G111" s="178">
        <f t="shared" ca="1" si="24"/>
        <v>26.319999999999997</v>
      </c>
      <c r="H111" s="177">
        <f t="shared" ca="1" si="25"/>
        <v>25</v>
      </c>
      <c r="I111" s="196"/>
      <c r="J111" s="9" t="str">
        <f t="shared" ca="1" si="15"/>
        <v/>
      </c>
      <c r="K111" s="9" t="str">
        <f t="shared" ca="1" si="16"/>
        <v/>
      </c>
      <c r="L111" s="9">
        <f t="shared" ca="1" si="17"/>
        <v>3</v>
      </c>
      <c r="N111" s="176">
        <f t="shared" ca="1" si="26"/>
        <v>28</v>
      </c>
      <c r="O111" s="176">
        <f t="shared" ca="1" si="28"/>
        <v>2824</v>
      </c>
      <c r="P111" s="175">
        <f t="shared" ca="1" si="18"/>
        <v>847.5157240417368</v>
      </c>
      <c r="Q111" s="11">
        <f t="shared" ca="1" si="19"/>
        <v>2.9930000000000002E-2</v>
      </c>
      <c r="R111" s="12">
        <f t="shared" ca="1" si="20"/>
        <v>25.366145620569185</v>
      </c>
      <c r="T111" s="31">
        <f t="shared" ca="1" si="29"/>
        <v>2106.3704858457254</v>
      </c>
    </row>
    <row r="112" spans="1:20">
      <c r="A112" s="198">
        <f ca="1">'PRICE_IOF Ñ USAR'!A112</f>
        <v>94</v>
      </c>
      <c r="B112" s="197">
        <f ca="1">'PRICE_IOF Ñ USAR'!B112</f>
        <v>47583</v>
      </c>
      <c r="C112" s="196">
        <f t="shared" ca="1" si="21"/>
        <v>611.79667412156209</v>
      </c>
      <c r="D112" s="21">
        <f t="shared" ca="1" si="27"/>
        <v>1494.5738117241633</v>
      </c>
      <c r="E112" s="196">
        <f t="shared" ca="1" si="22"/>
        <v>161841.87851328752</v>
      </c>
      <c r="F112" s="178">
        <f t="shared" ca="1" si="23"/>
        <v>34.115271789355909</v>
      </c>
      <c r="G112" s="178">
        <f t="shared" ca="1" si="24"/>
        <v>26.319999999999997</v>
      </c>
      <c r="H112" s="177">
        <f t="shared" ca="1" si="25"/>
        <v>25</v>
      </c>
      <c r="I112" s="196"/>
      <c r="J112" s="9" t="str">
        <f t="shared" ca="1" si="15"/>
        <v/>
      </c>
      <c r="K112" s="9" t="str">
        <f t="shared" ca="1" si="16"/>
        <v/>
      </c>
      <c r="L112" s="9">
        <f t="shared" ca="1" si="17"/>
        <v>4</v>
      </c>
      <c r="N112" s="176">
        <f t="shared" ca="1" si="26"/>
        <v>31</v>
      </c>
      <c r="O112" s="176">
        <f t="shared" ca="1" si="28"/>
        <v>2855</v>
      </c>
      <c r="P112" s="175">
        <f t="shared" ca="1" si="18"/>
        <v>847.5157240417368</v>
      </c>
      <c r="Q112" s="11">
        <f t="shared" ca="1" si="19"/>
        <v>2.9930000000000002E-2</v>
      </c>
      <c r="R112" s="12">
        <f t="shared" ca="1" si="20"/>
        <v>25.366145620569185</v>
      </c>
      <c r="T112" s="31">
        <f t="shared" ca="1" si="29"/>
        <v>2106.3704858457254</v>
      </c>
    </row>
    <row r="113" spans="1:20">
      <c r="A113" s="198">
        <f ca="1">'PRICE_IOF Ñ USAR'!A113</f>
        <v>95</v>
      </c>
      <c r="B113" s="197">
        <f ca="1">'PRICE_IOF Ñ USAR'!B113</f>
        <v>47613</v>
      </c>
      <c r="C113" s="196">
        <f t="shared" ca="1" si="21"/>
        <v>617.42520352348015</v>
      </c>
      <c r="D113" s="21">
        <f t="shared" ca="1" si="27"/>
        <v>1488.9452823222452</v>
      </c>
      <c r="E113" s="196">
        <f t="shared" ca="1" si="22"/>
        <v>161224.45330976404</v>
      </c>
      <c r="F113" s="178">
        <f t="shared" ca="1" si="23"/>
        <v>33.986794487790384</v>
      </c>
      <c r="G113" s="178">
        <f t="shared" ca="1" si="24"/>
        <v>26.319999999999997</v>
      </c>
      <c r="H113" s="177">
        <f t="shared" ca="1" si="25"/>
        <v>25</v>
      </c>
      <c r="I113" s="196"/>
      <c r="J113" s="9" t="str">
        <f t="shared" ca="1" si="15"/>
        <v/>
      </c>
      <c r="K113" s="9" t="str">
        <f t="shared" ca="1" si="16"/>
        <v/>
      </c>
      <c r="L113" s="9">
        <f t="shared" ca="1" si="17"/>
        <v>5</v>
      </c>
      <c r="N113" s="176">
        <f t="shared" ca="1" si="26"/>
        <v>30</v>
      </c>
      <c r="O113" s="176">
        <f t="shared" ca="1" si="28"/>
        <v>2885</v>
      </c>
      <c r="P113" s="175">
        <f t="shared" ca="1" si="18"/>
        <v>847.5157240417368</v>
      </c>
      <c r="Q113" s="11">
        <f t="shared" ca="1" si="19"/>
        <v>2.9930000000000002E-2</v>
      </c>
      <c r="R113" s="12">
        <f t="shared" ca="1" si="20"/>
        <v>25.366145620569185</v>
      </c>
      <c r="T113" s="31">
        <f t="shared" ca="1" si="29"/>
        <v>2106.3704858457254</v>
      </c>
    </row>
    <row r="114" spans="1:20">
      <c r="A114" s="198">
        <f ca="1">'PRICE_IOF Ñ USAR'!A114</f>
        <v>96</v>
      </c>
      <c r="B114" s="197">
        <f ca="1">'PRICE_IOF Ñ USAR'!B114</f>
        <v>47644</v>
      </c>
      <c r="C114" s="196">
        <f t="shared" ca="1" si="21"/>
        <v>623.10551539589619</v>
      </c>
      <c r="D114" s="21">
        <f t="shared" ca="1" si="27"/>
        <v>1483.2649704498292</v>
      </c>
      <c r="E114" s="196">
        <f t="shared" ca="1" si="22"/>
        <v>160601.34779436814</v>
      </c>
      <c r="F114" s="178">
        <f t="shared" ca="1" si="23"/>
        <v>33.857135195050446</v>
      </c>
      <c r="G114" s="178">
        <f t="shared" ca="1" si="24"/>
        <v>26.319999999999997</v>
      </c>
      <c r="H114" s="177">
        <f t="shared" ca="1" si="25"/>
        <v>25</v>
      </c>
      <c r="I114" s="196"/>
      <c r="J114" s="9" t="str">
        <f t="shared" ca="1" si="15"/>
        <v/>
      </c>
      <c r="K114" s="9" t="str">
        <f t="shared" ca="1" si="16"/>
        <v/>
      </c>
      <c r="L114" s="9">
        <f t="shared" ca="1" si="17"/>
        <v>6</v>
      </c>
      <c r="N114" s="176">
        <f t="shared" ca="1" si="26"/>
        <v>31</v>
      </c>
      <c r="O114" s="176">
        <f t="shared" ca="1" si="28"/>
        <v>2916</v>
      </c>
      <c r="P114" s="175">
        <f t="shared" ca="1" si="18"/>
        <v>847.5157240417368</v>
      </c>
      <c r="Q114" s="11">
        <f t="shared" ca="1" si="19"/>
        <v>2.9930000000000002E-2</v>
      </c>
      <c r="R114" s="12">
        <f t="shared" ca="1" si="20"/>
        <v>25.366145620569185</v>
      </c>
      <c r="T114" s="31">
        <f t="shared" ca="1" si="29"/>
        <v>2106.3704858457254</v>
      </c>
    </row>
    <row r="115" spans="1:20">
      <c r="A115" s="198">
        <f ca="1">'PRICE_IOF Ñ USAR'!A115</f>
        <v>97</v>
      </c>
      <c r="B115" s="197">
        <f ca="1">'PRICE_IOF Ñ USAR'!B115</f>
        <v>47674</v>
      </c>
      <c r="C115" s="196">
        <f t="shared" ca="1" si="21"/>
        <v>628.83808613753854</v>
      </c>
      <c r="D115" s="21">
        <f t="shared" ca="1" si="27"/>
        <v>1477.5323997081869</v>
      </c>
      <c r="E115" s="196">
        <f t="shared" ca="1" si="22"/>
        <v>159972.50970823059</v>
      </c>
      <c r="F115" s="178">
        <f t="shared" ca="1" si="23"/>
        <v>33.726283036817307</v>
      </c>
      <c r="G115" s="178">
        <f t="shared" ca="1" si="24"/>
        <v>26.319999999999997</v>
      </c>
      <c r="H115" s="177">
        <f t="shared" ca="1" si="25"/>
        <v>25</v>
      </c>
      <c r="I115" s="196"/>
      <c r="J115" s="9" t="str">
        <f t="shared" ca="1" si="15"/>
        <v/>
      </c>
      <c r="K115" s="9" t="str">
        <f t="shared" ca="1" si="16"/>
        <v/>
      </c>
      <c r="L115" s="9">
        <f t="shared" ca="1" si="17"/>
        <v>7</v>
      </c>
      <c r="N115" s="176">
        <f t="shared" ca="1" si="26"/>
        <v>30</v>
      </c>
      <c r="O115" s="176">
        <f t="shared" ca="1" si="28"/>
        <v>2946</v>
      </c>
      <c r="P115" s="175">
        <f t="shared" ca="1" si="18"/>
        <v>847.5157240417368</v>
      </c>
      <c r="Q115" s="11">
        <f t="shared" ca="1" si="19"/>
        <v>2.9930000000000002E-2</v>
      </c>
      <c r="R115" s="12">
        <f t="shared" ca="1" si="20"/>
        <v>25.366145620569185</v>
      </c>
      <c r="T115" s="31">
        <f t="shared" ca="1" si="29"/>
        <v>2106.3704858457254</v>
      </c>
    </row>
    <row r="116" spans="1:20">
      <c r="A116" s="198">
        <f ca="1">'PRICE_IOF Ñ USAR'!A116</f>
        <v>98</v>
      </c>
      <c r="B116" s="197">
        <f ca="1">'PRICE_IOF Ñ USAR'!B116</f>
        <v>47705</v>
      </c>
      <c r="C116" s="196">
        <f t="shared" ca="1" si="21"/>
        <v>634.62339653000413</v>
      </c>
      <c r="D116" s="21">
        <f t="shared" ca="1" si="27"/>
        <v>1471.7470893157213</v>
      </c>
      <c r="E116" s="196">
        <f t="shared" ca="1" si="22"/>
        <v>159337.8863117006</v>
      </c>
      <c r="F116" s="178">
        <f t="shared" ca="1" si="23"/>
        <v>33.594227038728427</v>
      </c>
      <c r="G116" s="178">
        <f t="shared" ca="1" si="24"/>
        <v>26.319999999999997</v>
      </c>
      <c r="H116" s="177">
        <f t="shared" ca="1" si="25"/>
        <v>25</v>
      </c>
      <c r="I116" s="196"/>
      <c r="J116" s="9" t="str">
        <f t="shared" ca="1" si="15"/>
        <v/>
      </c>
      <c r="K116" s="9" t="str">
        <f t="shared" ca="1" si="16"/>
        <v/>
      </c>
      <c r="L116" s="9">
        <f t="shared" ca="1" si="17"/>
        <v>8</v>
      </c>
      <c r="N116" s="176">
        <f t="shared" ca="1" si="26"/>
        <v>31</v>
      </c>
      <c r="O116" s="176">
        <f t="shared" ca="1" si="28"/>
        <v>2977</v>
      </c>
      <c r="P116" s="175">
        <f t="shared" ca="1" si="18"/>
        <v>847.5157240417368</v>
      </c>
      <c r="Q116" s="11">
        <f t="shared" ca="1" si="19"/>
        <v>2.9930000000000002E-2</v>
      </c>
      <c r="R116" s="12">
        <f t="shared" ca="1" si="20"/>
        <v>25.366145620569185</v>
      </c>
      <c r="T116" s="31">
        <f t="shared" ca="1" si="29"/>
        <v>2106.3704858457254</v>
      </c>
    </row>
    <row r="117" spans="1:20">
      <c r="A117" s="198">
        <f ca="1">'PRICE_IOF Ñ USAR'!A117</f>
        <v>99</v>
      </c>
      <c r="B117" s="197">
        <f ca="1">'PRICE_IOF Ñ USAR'!B117</f>
        <v>47736</v>
      </c>
      <c r="C117" s="196">
        <f t="shared" ca="1" si="21"/>
        <v>640.46193177808004</v>
      </c>
      <c r="D117" s="21">
        <f t="shared" ca="1" si="27"/>
        <v>1465.9085540676454</v>
      </c>
      <c r="E117" s="196">
        <f t="shared" ca="1" si="22"/>
        <v>158697.42437992251</v>
      </c>
      <c r="F117" s="178">
        <f t="shared" ca="1" si="23"/>
        <v>33.460956125457123</v>
      </c>
      <c r="G117" s="178">
        <f t="shared" ca="1" si="24"/>
        <v>26.319999999999997</v>
      </c>
      <c r="H117" s="177">
        <f t="shared" ca="1" si="25"/>
        <v>25</v>
      </c>
      <c r="I117" s="196"/>
      <c r="J117" s="9" t="str">
        <f t="shared" ca="1" si="15"/>
        <v/>
      </c>
      <c r="K117" s="9" t="str">
        <f t="shared" ca="1" si="16"/>
        <v/>
      </c>
      <c r="L117" s="9">
        <f t="shared" ca="1" si="17"/>
        <v>9</v>
      </c>
      <c r="N117" s="176">
        <f t="shared" ca="1" si="26"/>
        <v>31</v>
      </c>
      <c r="O117" s="176">
        <f t="shared" ca="1" si="28"/>
        <v>3008</v>
      </c>
      <c r="P117" s="175">
        <f t="shared" ca="1" si="18"/>
        <v>847.5157240417368</v>
      </c>
      <c r="Q117" s="11">
        <f t="shared" ca="1" si="19"/>
        <v>2.9930000000000002E-2</v>
      </c>
      <c r="R117" s="12">
        <f t="shared" ca="1" si="20"/>
        <v>25.366145620569185</v>
      </c>
      <c r="T117" s="31">
        <f t="shared" ca="1" si="29"/>
        <v>2106.3704858457254</v>
      </c>
    </row>
    <row r="118" spans="1:20">
      <c r="A118" s="198">
        <f ca="1">'PRICE_IOF Ñ USAR'!A118</f>
        <v>100</v>
      </c>
      <c r="B118" s="197">
        <f ca="1">'PRICE_IOF Ñ USAR'!B118</f>
        <v>47766</v>
      </c>
      <c r="C118" s="196">
        <f t="shared" ca="1" si="21"/>
        <v>646.3541815504384</v>
      </c>
      <c r="D118" s="21">
        <f t="shared" ca="1" si="27"/>
        <v>1460.016304295287</v>
      </c>
      <c r="E118" s="196">
        <f t="shared" ca="1" si="22"/>
        <v>158051.07019837206</v>
      </c>
      <c r="F118" s="178">
        <f t="shared" ca="1" si="23"/>
        <v>33.326459119783728</v>
      </c>
      <c r="G118" s="178">
        <f t="shared" ca="1" si="24"/>
        <v>26.319999999999997</v>
      </c>
      <c r="H118" s="177">
        <f t="shared" ca="1" si="25"/>
        <v>25</v>
      </c>
      <c r="I118" s="196"/>
      <c r="J118" s="9" t="str">
        <f t="shared" ca="1" si="15"/>
        <v/>
      </c>
      <c r="K118" s="9" t="str">
        <f t="shared" ca="1" si="16"/>
        <v/>
      </c>
      <c r="L118" s="9">
        <f t="shared" ca="1" si="17"/>
        <v>10</v>
      </c>
      <c r="N118" s="176">
        <f t="shared" ca="1" si="26"/>
        <v>30</v>
      </c>
      <c r="O118" s="176">
        <f t="shared" ca="1" si="28"/>
        <v>3038</v>
      </c>
      <c r="P118" s="175">
        <f t="shared" ca="1" si="18"/>
        <v>847.5157240417368</v>
      </c>
      <c r="Q118" s="11">
        <f t="shared" ca="1" si="19"/>
        <v>2.9930000000000002E-2</v>
      </c>
      <c r="R118" s="12">
        <f t="shared" ca="1" si="20"/>
        <v>25.366145620569185</v>
      </c>
      <c r="T118" s="31">
        <f t="shared" ca="1" si="29"/>
        <v>2106.3704858457254</v>
      </c>
    </row>
    <row r="119" spans="1:20">
      <c r="A119" s="198">
        <f ca="1">'PRICE_IOF Ñ USAR'!A119</f>
        <v>101</v>
      </c>
      <c r="B119" s="197">
        <f ca="1">'PRICE_IOF Ñ USAR'!B119</f>
        <v>47797</v>
      </c>
      <c r="C119" s="196">
        <f t="shared" ca="1" si="21"/>
        <v>652.30064002070253</v>
      </c>
      <c r="D119" s="21">
        <f t="shared" ca="1" si="27"/>
        <v>1454.0698458250229</v>
      </c>
      <c r="E119" s="196">
        <f t="shared" ca="1" si="22"/>
        <v>157398.76955835137</v>
      </c>
      <c r="F119" s="178">
        <f t="shared" ca="1" si="23"/>
        <v>33.190724741658137</v>
      </c>
      <c r="G119" s="178">
        <f t="shared" ca="1" si="24"/>
        <v>26.319999999999997</v>
      </c>
      <c r="H119" s="177">
        <f t="shared" ca="1" si="25"/>
        <v>25</v>
      </c>
      <c r="I119" s="196"/>
      <c r="J119" s="9" t="str">
        <f t="shared" ca="1" si="15"/>
        <v/>
      </c>
      <c r="K119" s="9" t="str">
        <f t="shared" ca="1" si="16"/>
        <v/>
      </c>
      <c r="L119" s="9">
        <f t="shared" ca="1" si="17"/>
        <v>11</v>
      </c>
      <c r="N119" s="176">
        <f t="shared" ca="1" si="26"/>
        <v>31</v>
      </c>
      <c r="O119" s="176">
        <f t="shared" ca="1" si="28"/>
        <v>3069</v>
      </c>
      <c r="P119" s="175">
        <f t="shared" ca="1" si="18"/>
        <v>847.5157240417368</v>
      </c>
      <c r="Q119" s="11">
        <f t="shared" ca="1" si="19"/>
        <v>2.9930000000000002E-2</v>
      </c>
      <c r="R119" s="12">
        <f t="shared" ca="1" si="20"/>
        <v>25.366145620569185</v>
      </c>
      <c r="T119" s="31">
        <f t="shared" ca="1" si="29"/>
        <v>2106.3704858457254</v>
      </c>
    </row>
    <row r="120" spans="1:20">
      <c r="A120" s="198">
        <f ca="1">'PRICE_IOF Ñ USAR'!A120</f>
        <v>102</v>
      </c>
      <c r="B120" s="197">
        <f ca="1">'PRICE_IOF Ñ USAR'!B120</f>
        <v>47827</v>
      </c>
      <c r="C120" s="196">
        <f t="shared" ca="1" si="21"/>
        <v>658.3018059088929</v>
      </c>
      <c r="D120" s="21">
        <f t="shared" ca="1" si="27"/>
        <v>1448.0686799368325</v>
      </c>
      <c r="E120" s="196">
        <f t="shared" ca="1" si="22"/>
        <v>156740.46775244249</v>
      </c>
      <c r="F120" s="178">
        <f t="shared" ca="1" si="23"/>
        <v>33.053741607253791</v>
      </c>
      <c r="G120" s="178">
        <f t="shared" ca="1" si="24"/>
        <v>26.319999999999997</v>
      </c>
      <c r="H120" s="177">
        <f t="shared" ca="1" si="25"/>
        <v>25</v>
      </c>
      <c r="I120" s="196"/>
      <c r="J120" s="9" t="str">
        <f t="shared" ca="1" si="15"/>
        <v/>
      </c>
      <c r="K120" s="9" t="str">
        <f t="shared" ca="1" si="16"/>
        <v/>
      </c>
      <c r="L120" s="9">
        <f t="shared" ca="1" si="17"/>
        <v>12</v>
      </c>
      <c r="N120" s="176">
        <f t="shared" ca="1" si="26"/>
        <v>30</v>
      </c>
      <c r="O120" s="176">
        <f t="shared" ca="1" si="28"/>
        <v>3099</v>
      </c>
      <c r="P120" s="175">
        <f t="shared" ca="1" si="18"/>
        <v>847.5157240417368</v>
      </c>
      <c r="Q120" s="11">
        <f t="shared" ca="1" si="19"/>
        <v>2.9930000000000002E-2</v>
      </c>
      <c r="R120" s="12">
        <f t="shared" ca="1" si="20"/>
        <v>25.366145620569185</v>
      </c>
      <c r="T120" s="31">
        <f t="shared" ca="1" si="29"/>
        <v>2106.3704858457254</v>
      </c>
    </row>
    <row r="121" spans="1:20">
      <c r="A121" s="198">
        <f ca="1">'PRICE_IOF Ñ USAR'!A121</f>
        <v>103</v>
      </c>
      <c r="B121" s="197">
        <f ca="1">'PRICE_IOF Ñ USAR'!B121</f>
        <v>47858</v>
      </c>
      <c r="C121" s="196">
        <f t="shared" ca="1" si="21"/>
        <v>664.35818252325453</v>
      </c>
      <c r="D121" s="21">
        <f t="shared" ca="1" si="27"/>
        <v>1442.0123033224709</v>
      </c>
      <c r="E121" s="196">
        <f t="shared" ca="1" si="22"/>
        <v>156076.10956991924</v>
      </c>
      <c r="F121" s="178">
        <f t="shared" ca="1" si="23"/>
        <v>32.915498228012922</v>
      </c>
      <c r="G121" s="178">
        <f t="shared" ca="1" si="24"/>
        <v>26.319999999999997</v>
      </c>
      <c r="H121" s="177">
        <f t="shared" ca="1" si="25"/>
        <v>25</v>
      </c>
      <c r="I121" s="196"/>
      <c r="J121" s="9" t="str">
        <f t="shared" ca="1" si="15"/>
        <v/>
      </c>
      <c r="K121" s="9" t="str">
        <f t="shared" ca="1" si="16"/>
        <v/>
      </c>
      <c r="L121" s="9">
        <f t="shared" ca="1" si="17"/>
        <v>1</v>
      </c>
      <c r="N121" s="176">
        <f t="shared" ca="1" si="26"/>
        <v>31</v>
      </c>
      <c r="O121" s="176">
        <f t="shared" ca="1" si="28"/>
        <v>3130</v>
      </c>
      <c r="P121" s="175">
        <f t="shared" ca="1" si="18"/>
        <v>847.5157240417368</v>
      </c>
      <c r="Q121" s="11">
        <f t="shared" ca="1" si="19"/>
        <v>2.9930000000000002E-2</v>
      </c>
      <c r="R121" s="12">
        <f t="shared" ca="1" si="20"/>
        <v>25.366145620569185</v>
      </c>
      <c r="T121" s="31">
        <f t="shared" ca="1" si="29"/>
        <v>2106.3704858457254</v>
      </c>
    </row>
    <row r="122" spans="1:20">
      <c r="A122" s="198">
        <f ca="1">'PRICE_IOF Ñ USAR'!A122</f>
        <v>104</v>
      </c>
      <c r="B122" s="197">
        <f ca="1">'PRICE_IOF Ñ USAR'!B122</f>
        <v>47889</v>
      </c>
      <c r="C122" s="196">
        <f t="shared" ca="1" si="21"/>
        <v>670.47027780246844</v>
      </c>
      <c r="D122" s="21">
        <f t="shared" ca="1" si="27"/>
        <v>1435.900208043257</v>
      </c>
      <c r="E122" s="196">
        <f t="shared" ca="1" si="22"/>
        <v>155405.63929211677</v>
      </c>
      <c r="F122" s="178">
        <f t="shared" ca="1" si="23"/>
        <v>32.775983009683038</v>
      </c>
      <c r="G122" s="178">
        <f t="shared" ca="1" si="24"/>
        <v>26.319999999999997</v>
      </c>
      <c r="H122" s="177">
        <f t="shared" ca="1" si="25"/>
        <v>25</v>
      </c>
      <c r="I122" s="196"/>
      <c r="J122" s="9" t="str">
        <f t="shared" ca="1" si="15"/>
        <v/>
      </c>
      <c r="K122" s="9" t="str">
        <f t="shared" ca="1" si="16"/>
        <v/>
      </c>
      <c r="L122" s="9">
        <f t="shared" ca="1" si="17"/>
        <v>2</v>
      </c>
      <c r="N122" s="176">
        <f t="shared" ca="1" si="26"/>
        <v>31</v>
      </c>
      <c r="O122" s="176">
        <f t="shared" ca="1" si="28"/>
        <v>3161</v>
      </c>
      <c r="P122" s="175">
        <f t="shared" ca="1" si="18"/>
        <v>847.5157240417368</v>
      </c>
      <c r="Q122" s="11">
        <f t="shared" ca="1" si="19"/>
        <v>2.9930000000000002E-2</v>
      </c>
      <c r="R122" s="12">
        <f t="shared" ca="1" si="20"/>
        <v>25.366145620569185</v>
      </c>
      <c r="T122" s="31">
        <f t="shared" ca="1" si="29"/>
        <v>2106.3704858457254</v>
      </c>
    </row>
    <row r="123" spans="1:20">
      <c r="A123" s="198">
        <f ca="1">'PRICE_IOF Ñ USAR'!A123</f>
        <v>105</v>
      </c>
      <c r="B123" s="197">
        <f ca="1">'PRICE_IOF Ñ USAR'!B123</f>
        <v>47917</v>
      </c>
      <c r="C123" s="196">
        <f t="shared" ca="1" si="21"/>
        <v>676.63860435825109</v>
      </c>
      <c r="D123" s="21">
        <f t="shared" ca="1" si="27"/>
        <v>1429.7318814874743</v>
      </c>
      <c r="E123" s="196">
        <f t="shared" ca="1" si="22"/>
        <v>154729.00068775853</v>
      </c>
      <c r="F123" s="178">
        <f t="shared" ca="1" si="23"/>
        <v>32.635184251344526</v>
      </c>
      <c r="G123" s="178">
        <f t="shared" ca="1" si="24"/>
        <v>26.319999999999997</v>
      </c>
      <c r="H123" s="177">
        <f t="shared" ca="1" si="25"/>
        <v>25</v>
      </c>
      <c r="I123" s="196"/>
      <c r="J123" s="9" t="str">
        <f t="shared" ca="1" si="15"/>
        <v/>
      </c>
      <c r="K123" s="9" t="str">
        <f t="shared" ca="1" si="16"/>
        <v/>
      </c>
      <c r="L123" s="9">
        <f t="shared" ca="1" si="17"/>
        <v>3</v>
      </c>
      <c r="N123" s="176">
        <f t="shared" ca="1" si="26"/>
        <v>28</v>
      </c>
      <c r="O123" s="176">
        <f t="shared" ca="1" si="28"/>
        <v>3189</v>
      </c>
      <c r="P123" s="175">
        <f t="shared" ca="1" si="18"/>
        <v>847.5157240417368</v>
      </c>
      <c r="Q123" s="11">
        <f t="shared" ca="1" si="19"/>
        <v>2.9930000000000002E-2</v>
      </c>
      <c r="R123" s="12">
        <f t="shared" ca="1" si="20"/>
        <v>25.366145620569185</v>
      </c>
      <c r="T123" s="31">
        <f t="shared" ca="1" si="29"/>
        <v>2106.3704858457254</v>
      </c>
    </row>
    <row r="124" spans="1:20">
      <c r="A124" s="198">
        <f ca="1">'PRICE_IOF Ñ USAR'!A124</f>
        <v>106</v>
      </c>
      <c r="B124" s="197">
        <f ca="1">'PRICE_IOF Ñ USAR'!B124</f>
        <v>47948</v>
      </c>
      <c r="C124" s="196">
        <f t="shared" ca="1" si="21"/>
        <v>682.863679518347</v>
      </c>
      <c r="D124" s="21">
        <f t="shared" ca="1" si="27"/>
        <v>1423.5068063273784</v>
      </c>
      <c r="E124" s="196">
        <f t="shared" ca="1" si="22"/>
        <v>154046.13700824018</v>
      </c>
      <c r="F124" s="178">
        <f t="shared" ca="1" si="23"/>
        <v>32.493090144429289</v>
      </c>
      <c r="G124" s="178">
        <f t="shared" ca="1" si="24"/>
        <v>26.319999999999997</v>
      </c>
      <c r="H124" s="177">
        <f t="shared" ca="1" si="25"/>
        <v>25</v>
      </c>
      <c r="I124" s="196"/>
      <c r="J124" s="9" t="str">
        <f t="shared" ca="1" si="15"/>
        <v/>
      </c>
      <c r="K124" s="9" t="str">
        <f t="shared" ca="1" si="16"/>
        <v/>
      </c>
      <c r="L124" s="9">
        <f t="shared" ca="1" si="17"/>
        <v>4</v>
      </c>
      <c r="N124" s="176">
        <f t="shared" ca="1" si="26"/>
        <v>31</v>
      </c>
      <c r="O124" s="176">
        <f t="shared" ca="1" si="28"/>
        <v>3220</v>
      </c>
      <c r="P124" s="175">
        <f t="shared" ca="1" si="18"/>
        <v>847.5157240417368</v>
      </c>
      <c r="Q124" s="11">
        <f t="shared" ca="1" si="19"/>
        <v>2.9930000000000002E-2</v>
      </c>
      <c r="R124" s="12">
        <f t="shared" ca="1" si="20"/>
        <v>25.366145620569185</v>
      </c>
      <c r="T124" s="31">
        <f t="shared" ca="1" si="29"/>
        <v>2106.3704858457254</v>
      </c>
    </row>
    <row r="125" spans="1:20">
      <c r="A125" s="198">
        <f ca="1">'PRICE_IOF Ñ USAR'!A125</f>
        <v>107</v>
      </c>
      <c r="B125" s="197">
        <f ca="1">'PRICE_IOF Ñ USAR'!B125</f>
        <v>47978</v>
      </c>
      <c r="C125" s="196">
        <f t="shared" ca="1" si="21"/>
        <v>689.14602536991583</v>
      </c>
      <c r="D125" s="21">
        <f t="shared" ca="1" si="27"/>
        <v>1417.2244604758096</v>
      </c>
      <c r="E125" s="196">
        <f t="shared" ca="1" si="22"/>
        <v>153356.99098287028</v>
      </c>
      <c r="F125" s="178">
        <f t="shared" ca="1" si="23"/>
        <v>32.349688771730442</v>
      </c>
      <c r="G125" s="178">
        <f t="shared" ca="1" si="24"/>
        <v>26.319999999999997</v>
      </c>
      <c r="H125" s="177">
        <f t="shared" ca="1" si="25"/>
        <v>25</v>
      </c>
      <c r="I125" s="196"/>
      <c r="J125" s="9" t="str">
        <f t="shared" ca="1" si="15"/>
        <v/>
      </c>
      <c r="K125" s="9" t="str">
        <f t="shared" ca="1" si="16"/>
        <v/>
      </c>
      <c r="L125" s="9">
        <f t="shared" ca="1" si="17"/>
        <v>5</v>
      </c>
      <c r="N125" s="176">
        <f t="shared" ca="1" si="26"/>
        <v>30</v>
      </c>
      <c r="O125" s="176">
        <f t="shared" ca="1" si="28"/>
        <v>3250</v>
      </c>
      <c r="P125" s="175">
        <f t="shared" ca="1" si="18"/>
        <v>847.5157240417368</v>
      </c>
      <c r="Q125" s="11">
        <f t="shared" ca="1" si="19"/>
        <v>2.9930000000000002E-2</v>
      </c>
      <c r="R125" s="12">
        <f t="shared" ca="1" si="20"/>
        <v>25.366145620569185</v>
      </c>
      <c r="T125" s="31">
        <f t="shared" ca="1" si="29"/>
        <v>2106.3704858457254</v>
      </c>
    </row>
    <row r="126" spans="1:20">
      <c r="A126" s="198">
        <f ca="1">'PRICE_IOF Ñ USAR'!A126</f>
        <v>108</v>
      </c>
      <c r="B126" s="197">
        <f ca="1">'PRICE_IOF Ñ USAR'!B126</f>
        <v>48009</v>
      </c>
      <c r="C126" s="196">
        <f t="shared" ca="1" si="21"/>
        <v>695.48616880331883</v>
      </c>
      <c r="D126" s="21">
        <f t="shared" ca="1" si="27"/>
        <v>1410.8843170424066</v>
      </c>
      <c r="E126" s="196">
        <f t="shared" ca="1" si="22"/>
        <v>152661.50481406695</v>
      </c>
      <c r="F126" s="178">
        <f t="shared" ca="1" si="23"/>
        <v>32.20496810640276</v>
      </c>
      <c r="G126" s="178">
        <f t="shared" ca="1" si="24"/>
        <v>26.319999999999997</v>
      </c>
      <c r="H126" s="177">
        <f t="shared" ca="1" si="25"/>
        <v>25</v>
      </c>
      <c r="I126" s="196"/>
      <c r="J126" s="9" t="str">
        <f t="shared" ca="1" si="15"/>
        <v/>
      </c>
      <c r="K126" s="9" t="str">
        <f t="shared" ca="1" si="16"/>
        <v/>
      </c>
      <c r="L126" s="9">
        <f t="shared" ca="1" si="17"/>
        <v>6</v>
      </c>
      <c r="N126" s="176">
        <f t="shared" ca="1" si="26"/>
        <v>31</v>
      </c>
      <c r="O126" s="176">
        <f t="shared" ca="1" si="28"/>
        <v>3281</v>
      </c>
      <c r="P126" s="175">
        <f t="shared" ca="1" si="18"/>
        <v>847.5157240417368</v>
      </c>
      <c r="Q126" s="11">
        <f t="shared" ca="1" si="19"/>
        <v>2.9930000000000002E-2</v>
      </c>
      <c r="R126" s="12">
        <f t="shared" ca="1" si="20"/>
        <v>25.366145620569185</v>
      </c>
      <c r="T126" s="31">
        <f t="shared" ca="1" si="29"/>
        <v>2106.3704858457254</v>
      </c>
    </row>
    <row r="127" spans="1:20">
      <c r="A127" s="198">
        <f ca="1">'PRICE_IOF Ñ USAR'!A127</f>
        <v>109</v>
      </c>
      <c r="B127" s="197">
        <f ca="1">'PRICE_IOF Ñ USAR'!B127</f>
        <v>48039</v>
      </c>
      <c r="C127" s="196">
        <f t="shared" ca="1" si="21"/>
        <v>701.88464155630936</v>
      </c>
      <c r="D127" s="21">
        <f t="shared" ca="1" si="27"/>
        <v>1404.485844289416</v>
      </c>
      <c r="E127" s="196">
        <f t="shared" ca="1" si="22"/>
        <v>151959.62017251065</v>
      </c>
      <c r="F127" s="178">
        <f t="shared" ca="1" si="23"/>
        <v>32.058916010954064</v>
      </c>
      <c r="G127" s="178">
        <f t="shared" ca="1" si="24"/>
        <v>26.319999999999997</v>
      </c>
      <c r="H127" s="177">
        <f t="shared" ca="1" si="25"/>
        <v>25</v>
      </c>
      <c r="I127" s="196"/>
      <c r="J127" s="9" t="str">
        <f t="shared" ca="1" si="15"/>
        <v/>
      </c>
      <c r="K127" s="9" t="str">
        <f t="shared" ca="1" si="16"/>
        <v/>
      </c>
      <c r="L127" s="9">
        <f t="shared" ca="1" si="17"/>
        <v>7</v>
      </c>
      <c r="N127" s="176">
        <f t="shared" ca="1" si="26"/>
        <v>30</v>
      </c>
      <c r="O127" s="176">
        <f t="shared" ca="1" si="28"/>
        <v>3311</v>
      </c>
      <c r="P127" s="175">
        <f t="shared" ca="1" si="18"/>
        <v>847.5157240417368</v>
      </c>
      <c r="Q127" s="11">
        <f t="shared" ca="1" si="19"/>
        <v>2.9930000000000002E-2</v>
      </c>
      <c r="R127" s="12">
        <f t="shared" ca="1" si="20"/>
        <v>25.366145620569185</v>
      </c>
      <c r="T127" s="31">
        <f t="shared" ca="1" si="29"/>
        <v>2106.3704858457254</v>
      </c>
    </row>
    <row r="128" spans="1:20">
      <c r="A128" s="198">
        <f ca="1">'PRICE_IOF Ñ USAR'!A128</f>
        <v>110</v>
      </c>
      <c r="B128" s="197">
        <f ca="1">'PRICE_IOF Ñ USAR'!B128</f>
        <v>48070</v>
      </c>
      <c r="C128" s="196">
        <f t="shared" ca="1" si="21"/>
        <v>708.34198025862747</v>
      </c>
      <c r="D128" s="21">
        <f t="shared" ca="1" si="27"/>
        <v>1398.0285055870979</v>
      </c>
      <c r="E128" s="196">
        <f t="shared" ca="1" si="22"/>
        <v>151251.27819225204</v>
      </c>
      <c r="F128" s="178">
        <f t="shared" ca="1" si="23"/>
        <v>31.911520236227236</v>
      </c>
      <c r="G128" s="178">
        <f t="shared" ca="1" si="24"/>
        <v>26.319999999999997</v>
      </c>
      <c r="H128" s="177">
        <f t="shared" ca="1" si="25"/>
        <v>25</v>
      </c>
      <c r="I128" s="196"/>
      <c r="J128" s="9" t="str">
        <f t="shared" ca="1" si="15"/>
        <v/>
      </c>
      <c r="K128" s="9" t="str">
        <f t="shared" ca="1" si="16"/>
        <v/>
      </c>
      <c r="L128" s="9">
        <f t="shared" ca="1" si="17"/>
        <v>8</v>
      </c>
      <c r="N128" s="176">
        <f t="shared" ca="1" si="26"/>
        <v>31</v>
      </c>
      <c r="O128" s="176">
        <f t="shared" ca="1" si="28"/>
        <v>3342</v>
      </c>
      <c r="P128" s="175">
        <f t="shared" ca="1" si="18"/>
        <v>847.5157240417368</v>
      </c>
      <c r="Q128" s="11">
        <f t="shared" ca="1" si="19"/>
        <v>2.9930000000000002E-2</v>
      </c>
      <c r="R128" s="12">
        <f t="shared" ca="1" si="20"/>
        <v>25.366145620569185</v>
      </c>
      <c r="T128" s="31">
        <f t="shared" ca="1" si="29"/>
        <v>2106.3704858457254</v>
      </c>
    </row>
    <row r="129" spans="1:20">
      <c r="A129" s="198">
        <f ca="1">'PRICE_IOF Ñ USAR'!A129</f>
        <v>111</v>
      </c>
      <c r="B129" s="197">
        <f ca="1">'PRICE_IOF Ñ USAR'!B129</f>
        <v>48101</v>
      </c>
      <c r="C129" s="196">
        <f t="shared" ca="1" si="21"/>
        <v>714.85872647700671</v>
      </c>
      <c r="D129" s="21">
        <f t="shared" ca="1" si="27"/>
        <v>1391.5117593687187</v>
      </c>
      <c r="E129" s="196">
        <f t="shared" ca="1" si="22"/>
        <v>150536.41946577502</v>
      </c>
      <c r="F129" s="178">
        <f t="shared" ca="1" si="23"/>
        <v>31.762768420372929</v>
      </c>
      <c r="G129" s="178">
        <f t="shared" ca="1" si="24"/>
        <v>26.319999999999997</v>
      </c>
      <c r="H129" s="177">
        <f t="shared" ca="1" si="25"/>
        <v>25</v>
      </c>
      <c r="I129" s="196"/>
      <c r="J129" s="9" t="str">
        <f t="shared" ca="1" si="15"/>
        <v/>
      </c>
      <c r="K129" s="9" t="str">
        <f t="shared" ca="1" si="16"/>
        <v/>
      </c>
      <c r="L129" s="9">
        <f t="shared" ca="1" si="17"/>
        <v>9</v>
      </c>
      <c r="N129" s="176">
        <f t="shared" ca="1" si="26"/>
        <v>31</v>
      </c>
      <c r="O129" s="176">
        <f t="shared" ca="1" si="28"/>
        <v>3373</v>
      </c>
      <c r="P129" s="175">
        <f t="shared" ca="1" si="18"/>
        <v>847.5157240417368</v>
      </c>
      <c r="Q129" s="11">
        <f t="shared" ca="1" si="19"/>
        <v>2.9930000000000002E-2</v>
      </c>
      <c r="R129" s="12">
        <f t="shared" ca="1" si="20"/>
        <v>25.366145620569185</v>
      </c>
      <c r="T129" s="31">
        <f t="shared" ca="1" si="29"/>
        <v>2106.3704858457254</v>
      </c>
    </row>
    <row r="130" spans="1:20">
      <c r="A130" s="198">
        <f ca="1">'PRICE_IOF Ñ USAR'!A130</f>
        <v>112</v>
      </c>
      <c r="B130" s="197">
        <f ca="1">'PRICE_IOF Ñ USAR'!B130</f>
        <v>48131</v>
      </c>
      <c r="C130" s="196">
        <f t="shared" ca="1" si="21"/>
        <v>721.43542676059519</v>
      </c>
      <c r="D130" s="21">
        <f t="shared" ca="1" si="27"/>
        <v>1384.9350590851302</v>
      </c>
      <c r="E130" s="196">
        <f t="shared" ca="1" si="22"/>
        <v>149814.98403901444</v>
      </c>
      <c r="F130" s="178">
        <f t="shared" ca="1" si="23"/>
        <v>31.612648087812754</v>
      </c>
      <c r="G130" s="178">
        <f t="shared" ca="1" si="24"/>
        <v>26.319999999999997</v>
      </c>
      <c r="H130" s="177">
        <f t="shared" ca="1" si="25"/>
        <v>25</v>
      </c>
      <c r="I130" s="196"/>
      <c r="J130" s="9" t="str">
        <f t="shared" ca="1" si="15"/>
        <v/>
      </c>
      <c r="K130" s="9" t="str">
        <f t="shared" ca="1" si="16"/>
        <v/>
      </c>
      <c r="L130" s="9">
        <f t="shared" ca="1" si="17"/>
        <v>10</v>
      </c>
      <c r="N130" s="176">
        <f t="shared" ca="1" si="26"/>
        <v>30</v>
      </c>
      <c r="O130" s="176">
        <f t="shared" ca="1" si="28"/>
        <v>3403</v>
      </c>
      <c r="P130" s="175">
        <f t="shared" ca="1" si="18"/>
        <v>847.5157240417368</v>
      </c>
      <c r="Q130" s="11">
        <f t="shared" ca="1" si="19"/>
        <v>2.9930000000000002E-2</v>
      </c>
      <c r="R130" s="12">
        <f t="shared" ca="1" si="20"/>
        <v>25.366145620569185</v>
      </c>
      <c r="T130" s="31">
        <f t="shared" ca="1" si="29"/>
        <v>2106.3704858457254</v>
      </c>
    </row>
    <row r="131" spans="1:20">
      <c r="A131" s="198">
        <f ca="1">'PRICE_IOF Ñ USAR'!A131</f>
        <v>113</v>
      </c>
      <c r="B131" s="197">
        <f ca="1">'PRICE_IOF Ñ USAR'!B131</f>
        <v>48162</v>
      </c>
      <c r="C131" s="196">
        <f t="shared" ca="1" si="21"/>
        <v>728.07263268679253</v>
      </c>
      <c r="D131" s="21">
        <f t="shared" ca="1" si="27"/>
        <v>1378.2978531589329</v>
      </c>
      <c r="E131" s="196">
        <f t="shared" ca="1" si="22"/>
        <v>149086.91140632765</v>
      </c>
      <c r="F131" s="178">
        <f t="shared" ca="1" si="23"/>
        <v>31.461146648193033</v>
      </c>
      <c r="G131" s="178">
        <f t="shared" ca="1" si="24"/>
        <v>26.319999999999997</v>
      </c>
      <c r="H131" s="177">
        <f t="shared" ca="1" si="25"/>
        <v>25</v>
      </c>
      <c r="I131" s="196"/>
      <c r="J131" s="9" t="str">
        <f t="shared" ca="1" si="15"/>
        <v/>
      </c>
      <c r="K131" s="9" t="str">
        <f t="shared" ca="1" si="16"/>
        <v/>
      </c>
      <c r="L131" s="9">
        <f t="shared" ca="1" si="17"/>
        <v>11</v>
      </c>
      <c r="N131" s="176">
        <f t="shared" ca="1" si="26"/>
        <v>31</v>
      </c>
      <c r="O131" s="176">
        <f t="shared" ca="1" si="28"/>
        <v>3434</v>
      </c>
      <c r="P131" s="175">
        <f t="shared" ca="1" si="18"/>
        <v>847.5157240417368</v>
      </c>
      <c r="Q131" s="11">
        <f t="shared" ca="1" si="19"/>
        <v>2.9930000000000002E-2</v>
      </c>
      <c r="R131" s="12">
        <f t="shared" ca="1" si="20"/>
        <v>25.366145620569185</v>
      </c>
      <c r="T131" s="31">
        <f t="shared" ca="1" si="29"/>
        <v>2106.3704858457254</v>
      </c>
    </row>
    <row r="132" spans="1:20">
      <c r="A132" s="198">
        <f ca="1">'PRICE_IOF Ñ USAR'!A132</f>
        <v>114</v>
      </c>
      <c r="B132" s="197">
        <f ca="1">'PRICE_IOF Ñ USAR'!B132</f>
        <v>48192</v>
      </c>
      <c r="C132" s="196">
        <f t="shared" ca="1" si="21"/>
        <v>734.77090090751108</v>
      </c>
      <c r="D132" s="21">
        <f t="shared" ca="1" si="27"/>
        <v>1371.5995849382143</v>
      </c>
      <c r="E132" s="196">
        <f t="shared" ca="1" si="22"/>
        <v>148352.14050542013</v>
      </c>
      <c r="F132" s="178">
        <f t="shared" ca="1" si="23"/>
        <v>31.308251395328806</v>
      </c>
      <c r="G132" s="178">
        <f t="shared" ca="1" si="24"/>
        <v>26.319999999999997</v>
      </c>
      <c r="H132" s="177">
        <f t="shared" ca="1" si="25"/>
        <v>25</v>
      </c>
      <c r="I132" s="196"/>
      <c r="J132" s="9" t="str">
        <f t="shared" ca="1" si="15"/>
        <v/>
      </c>
      <c r="K132" s="9" t="str">
        <f t="shared" ca="1" si="16"/>
        <v/>
      </c>
      <c r="L132" s="9">
        <f t="shared" ca="1" si="17"/>
        <v>12</v>
      </c>
      <c r="N132" s="176">
        <f t="shared" ca="1" si="26"/>
        <v>30</v>
      </c>
      <c r="O132" s="176">
        <f t="shared" ca="1" si="28"/>
        <v>3464</v>
      </c>
      <c r="P132" s="175">
        <f t="shared" ca="1" si="18"/>
        <v>847.5157240417368</v>
      </c>
      <c r="Q132" s="11">
        <f t="shared" ca="1" si="19"/>
        <v>2.9930000000000002E-2</v>
      </c>
      <c r="R132" s="12">
        <f t="shared" ca="1" si="20"/>
        <v>25.366145620569185</v>
      </c>
      <c r="T132" s="31">
        <f t="shared" ca="1" si="29"/>
        <v>2106.3704858457254</v>
      </c>
    </row>
    <row r="133" spans="1:20">
      <c r="A133" s="198">
        <f ca="1">'PRICE_IOF Ñ USAR'!A133</f>
        <v>115</v>
      </c>
      <c r="B133" s="197">
        <f ca="1">'PRICE_IOF Ñ USAR'!B133</f>
        <v>48223</v>
      </c>
      <c r="C133" s="196">
        <f t="shared" ca="1" si="21"/>
        <v>741.53079319586027</v>
      </c>
      <c r="D133" s="21">
        <f t="shared" ca="1" si="27"/>
        <v>1364.8396926498651</v>
      </c>
      <c r="E133" s="196">
        <f t="shared" ca="1" si="22"/>
        <v>147610.60971222428</v>
      </c>
      <c r="F133" s="178">
        <f t="shared" ca="1" si="23"/>
        <v>31.153949506138229</v>
      </c>
      <c r="G133" s="178">
        <f t="shared" ca="1" si="24"/>
        <v>26.319999999999997</v>
      </c>
      <c r="H133" s="177">
        <f t="shared" ca="1" si="25"/>
        <v>25</v>
      </c>
      <c r="I133" s="196"/>
      <c r="J133" s="9" t="str">
        <f t="shared" ca="1" si="15"/>
        <v/>
      </c>
      <c r="K133" s="9" t="str">
        <f t="shared" ca="1" si="16"/>
        <v/>
      </c>
      <c r="L133" s="9">
        <f t="shared" ca="1" si="17"/>
        <v>1</v>
      </c>
      <c r="N133" s="176">
        <f t="shared" ca="1" si="26"/>
        <v>31</v>
      </c>
      <c r="O133" s="176">
        <f t="shared" ca="1" si="28"/>
        <v>3495</v>
      </c>
      <c r="P133" s="175">
        <f t="shared" ca="1" si="18"/>
        <v>847.5157240417368</v>
      </c>
      <c r="Q133" s="11">
        <f t="shared" ca="1" si="19"/>
        <v>2.9930000000000002E-2</v>
      </c>
      <c r="R133" s="12">
        <f t="shared" ca="1" si="20"/>
        <v>25.366145620569185</v>
      </c>
      <c r="T133" s="31">
        <f t="shared" ca="1" si="29"/>
        <v>2106.3704858457254</v>
      </c>
    </row>
    <row r="134" spans="1:20">
      <c r="A134" s="198">
        <f ca="1">'PRICE_IOF Ñ USAR'!A134</f>
        <v>116</v>
      </c>
      <c r="B134" s="197">
        <f ca="1">'PRICE_IOF Ñ USAR'!B134</f>
        <v>48254</v>
      </c>
      <c r="C134" s="196">
        <f t="shared" ca="1" si="21"/>
        <v>748.3528764932621</v>
      </c>
      <c r="D134" s="21">
        <f t="shared" ca="1" si="27"/>
        <v>1358.0176093524633</v>
      </c>
      <c r="E134" s="196">
        <f t="shared" ca="1" si="22"/>
        <v>146862.25683573101</v>
      </c>
      <c r="F134" s="178">
        <f t="shared" ca="1" si="23"/>
        <v>30.998228039567099</v>
      </c>
      <c r="G134" s="178">
        <f t="shared" ca="1" si="24"/>
        <v>26.319999999999997</v>
      </c>
      <c r="H134" s="177">
        <f t="shared" ca="1" si="25"/>
        <v>25</v>
      </c>
      <c r="I134" s="196"/>
      <c r="J134" s="9" t="str">
        <f t="shared" ca="1" si="15"/>
        <v/>
      </c>
      <c r="K134" s="9" t="str">
        <f t="shared" ca="1" si="16"/>
        <v/>
      </c>
      <c r="L134" s="9">
        <f t="shared" ca="1" si="17"/>
        <v>2</v>
      </c>
      <c r="N134" s="176">
        <f t="shared" ca="1" si="26"/>
        <v>31</v>
      </c>
      <c r="O134" s="176">
        <f t="shared" ca="1" si="28"/>
        <v>3526</v>
      </c>
      <c r="P134" s="175">
        <f t="shared" ca="1" si="18"/>
        <v>847.5157240417368</v>
      </c>
      <c r="Q134" s="11">
        <f t="shared" ca="1" si="19"/>
        <v>2.9930000000000002E-2</v>
      </c>
      <c r="R134" s="12">
        <f t="shared" ca="1" si="20"/>
        <v>25.366145620569185</v>
      </c>
      <c r="T134" s="31">
        <f t="shared" ca="1" si="29"/>
        <v>2106.3704858457254</v>
      </c>
    </row>
    <row r="135" spans="1:20">
      <c r="A135" s="198">
        <f ca="1">'PRICE_IOF Ñ USAR'!A135</f>
        <v>117</v>
      </c>
      <c r="B135" s="197">
        <f ca="1">'PRICE_IOF Ñ USAR'!B135</f>
        <v>48283</v>
      </c>
      <c r="C135" s="196">
        <f t="shared" ca="1" si="21"/>
        <v>755.23772295700019</v>
      </c>
      <c r="D135" s="21">
        <f t="shared" ca="1" si="27"/>
        <v>1351.1327628887252</v>
      </c>
      <c r="E135" s="196">
        <f t="shared" ca="1" si="22"/>
        <v>146107.019112774</v>
      </c>
      <c r="F135" s="178">
        <f t="shared" ca="1" si="23"/>
        <v>30.841073935503513</v>
      </c>
      <c r="G135" s="178">
        <f t="shared" ca="1" si="24"/>
        <v>26.319999999999997</v>
      </c>
      <c r="H135" s="177">
        <f t="shared" ca="1" si="25"/>
        <v>25</v>
      </c>
      <c r="I135" s="196"/>
      <c r="J135" s="9" t="str">
        <f t="shared" ca="1" si="15"/>
        <v/>
      </c>
      <c r="K135" s="9" t="str">
        <f t="shared" ca="1" si="16"/>
        <v/>
      </c>
      <c r="L135" s="9">
        <f t="shared" ca="1" si="17"/>
        <v>3</v>
      </c>
      <c r="N135" s="176">
        <f t="shared" ca="1" si="26"/>
        <v>29</v>
      </c>
      <c r="O135" s="176">
        <f t="shared" ca="1" si="28"/>
        <v>3555</v>
      </c>
      <c r="P135" s="175">
        <f t="shared" ca="1" si="18"/>
        <v>847.5157240417368</v>
      </c>
      <c r="Q135" s="11">
        <f t="shared" ca="1" si="19"/>
        <v>2.9930000000000002E-2</v>
      </c>
      <c r="R135" s="12">
        <f t="shared" ca="1" si="20"/>
        <v>25.366145620569185</v>
      </c>
      <c r="T135" s="31">
        <f t="shared" ca="1" si="29"/>
        <v>2106.3704858457254</v>
      </c>
    </row>
    <row r="136" spans="1:20">
      <c r="A136" s="198">
        <f ca="1">'PRICE_IOF Ñ USAR'!A136</f>
        <v>118</v>
      </c>
      <c r="B136" s="197">
        <f ca="1">'PRICE_IOF Ñ USAR'!B136</f>
        <v>48314</v>
      </c>
      <c r="C136" s="196">
        <f t="shared" ca="1" si="21"/>
        <v>762.1859100082047</v>
      </c>
      <c r="D136" s="21">
        <f t="shared" ca="1" si="27"/>
        <v>1344.1845758375207</v>
      </c>
      <c r="E136" s="196">
        <f t="shared" ca="1" si="22"/>
        <v>145344.83320276579</v>
      </c>
      <c r="F136" s="178">
        <f t="shared" ca="1" si="23"/>
        <v>30.68247401368254</v>
      </c>
      <c r="G136" s="178">
        <f t="shared" ca="1" si="24"/>
        <v>26.319999999999997</v>
      </c>
      <c r="H136" s="177">
        <f t="shared" ca="1" si="25"/>
        <v>25</v>
      </c>
      <c r="I136" s="196"/>
      <c r="J136" s="9" t="str">
        <f t="shared" ca="1" si="15"/>
        <v/>
      </c>
      <c r="K136" s="9" t="str">
        <f t="shared" ca="1" si="16"/>
        <v/>
      </c>
      <c r="L136" s="9">
        <f t="shared" ca="1" si="17"/>
        <v>4</v>
      </c>
      <c r="N136" s="176">
        <f t="shared" ca="1" si="26"/>
        <v>31</v>
      </c>
      <c r="O136" s="176">
        <f t="shared" ca="1" si="28"/>
        <v>3586</v>
      </c>
      <c r="P136" s="175">
        <f t="shared" ca="1" si="18"/>
        <v>847.5157240417368</v>
      </c>
      <c r="Q136" s="11">
        <f t="shared" ca="1" si="19"/>
        <v>2.9930000000000002E-2</v>
      </c>
      <c r="R136" s="12">
        <f t="shared" ca="1" si="20"/>
        <v>25.366145620569185</v>
      </c>
      <c r="T136" s="31">
        <f t="shared" ca="1" si="29"/>
        <v>2106.3704858457254</v>
      </c>
    </row>
    <row r="137" spans="1:20">
      <c r="A137" s="198">
        <f ca="1">'PRICE_IOF Ñ USAR'!A137</f>
        <v>119</v>
      </c>
      <c r="B137" s="197">
        <f ca="1">'PRICE_IOF Ñ USAR'!B137</f>
        <v>48344</v>
      </c>
      <c r="C137" s="196">
        <f t="shared" ca="1" si="21"/>
        <v>769.19802038028024</v>
      </c>
      <c r="D137" s="21">
        <f t="shared" ca="1" si="27"/>
        <v>1337.1724654654452</v>
      </c>
      <c r="E137" s="196">
        <f t="shared" ca="1" si="22"/>
        <v>144575.63518238551</v>
      </c>
      <c r="F137" s="178">
        <f t="shared" ca="1" si="23"/>
        <v>30.522414972580815</v>
      </c>
      <c r="G137" s="178">
        <f t="shared" ca="1" si="24"/>
        <v>26.319999999999997</v>
      </c>
      <c r="H137" s="177">
        <f t="shared" ca="1" si="25"/>
        <v>25</v>
      </c>
      <c r="I137" s="196"/>
      <c r="J137" s="9" t="str">
        <f t="shared" ca="1" si="15"/>
        <v/>
      </c>
      <c r="K137" s="9" t="str">
        <f t="shared" ca="1" si="16"/>
        <v/>
      </c>
      <c r="L137" s="9">
        <f t="shared" ca="1" si="17"/>
        <v>5</v>
      </c>
      <c r="N137" s="176">
        <f t="shared" ca="1" si="26"/>
        <v>30</v>
      </c>
      <c r="O137" s="176">
        <f t="shared" ca="1" si="28"/>
        <v>3616</v>
      </c>
      <c r="P137" s="175">
        <f t="shared" ca="1" si="18"/>
        <v>847.5157240417368</v>
      </c>
      <c r="Q137" s="11">
        <f t="shared" ca="1" si="19"/>
        <v>2.9930000000000002E-2</v>
      </c>
      <c r="R137" s="12">
        <f t="shared" ca="1" si="20"/>
        <v>25.366145620569185</v>
      </c>
      <c r="T137" s="31">
        <f t="shared" ca="1" si="29"/>
        <v>2106.3704858457254</v>
      </c>
    </row>
    <row r="138" spans="1:20">
      <c r="A138" s="198">
        <f ca="1">'PRICE_IOF Ñ USAR'!A138</f>
        <v>120</v>
      </c>
      <c r="B138" s="197">
        <f ca="1">'PRICE_IOF Ñ USAR'!B138</f>
        <v>48375</v>
      </c>
      <c r="C138" s="196">
        <f t="shared" ca="1" si="21"/>
        <v>776.27464216777867</v>
      </c>
      <c r="D138" s="21">
        <f t="shared" ca="1" si="27"/>
        <v>1330.0958436779467</v>
      </c>
      <c r="E138" s="196">
        <f t="shared" ca="1" si="22"/>
        <v>143799.36054021772</v>
      </c>
      <c r="F138" s="178">
        <f t="shared" ca="1" si="23"/>
        <v>30.360883388300959</v>
      </c>
      <c r="G138" s="178">
        <f t="shared" ca="1" si="24"/>
        <v>26.319999999999997</v>
      </c>
      <c r="H138" s="177">
        <f t="shared" ca="1" si="25"/>
        <v>25</v>
      </c>
      <c r="I138" s="196"/>
      <c r="J138" s="9" t="str">
        <f t="shared" ca="1" si="15"/>
        <v/>
      </c>
      <c r="K138" s="9" t="str">
        <f t="shared" ca="1" si="16"/>
        <v/>
      </c>
      <c r="L138" s="9">
        <f t="shared" ca="1" si="17"/>
        <v>6</v>
      </c>
      <c r="N138" s="176">
        <f t="shared" ca="1" si="26"/>
        <v>31</v>
      </c>
      <c r="O138" s="176">
        <f t="shared" ca="1" si="28"/>
        <v>3647</v>
      </c>
      <c r="P138" s="175">
        <f t="shared" ca="1" si="18"/>
        <v>847.5157240417368</v>
      </c>
      <c r="Q138" s="11">
        <f t="shared" ca="1" si="19"/>
        <v>2.9930000000000002E-2</v>
      </c>
      <c r="R138" s="12">
        <f t="shared" ca="1" si="20"/>
        <v>25.366145620569185</v>
      </c>
      <c r="T138" s="31">
        <f t="shared" ca="1" si="29"/>
        <v>2106.3704858457254</v>
      </c>
    </row>
    <row r="139" spans="1:20">
      <c r="A139" s="198">
        <f ca="1">'PRICE_IOF Ñ USAR'!A139</f>
        <v>121</v>
      </c>
      <c r="B139" s="197">
        <f ca="1">'PRICE_IOF Ñ USAR'!B139</f>
        <v>48405</v>
      </c>
      <c r="C139" s="196">
        <f t="shared" ca="1" si="21"/>
        <v>783.41636887572236</v>
      </c>
      <c r="D139" s="21">
        <f t="shared" ca="1" si="27"/>
        <v>1322.954116970003</v>
      </c>
      <c r="E139" s="196">
        <f t="shared" ca="1" si="22"/>
        <v>143015.94417134201</v>
      </c>
      <c r="F139" s="178">
        <f t="shared" ca="1" si="23"/>
        <v>30.197865713445722</v>
      </c>
      <c r="G139" s="178">
        <f t="shared" ca="1" si="24"/>
        <v>26.319999999999997</v>
      </c>
      <c r="H139" s="177">
        <f t="shared" ca="1" si="25"/>
        <v>25</v>
      </c>
      <c r="I139" s="196"/>
      <c r="J139" s="9" t="str">
        <f t="shared" ca="1" si="15"/>
        <v/>
      </c>
      <c r="K139" s="9" t="str">
        <f t="shared" ca="1" si="16"/>
        <v/>
      </c>
      <c r="L139" s="9">
        <f t="shared" ca="1" si="17"/>
        <v>7</v>
      </c>
      <c r="N139" s="176">
        <f t="shared" ca="1" si="26"/>
        <v>30</v>
      </c>
      <c r="O139" s="176">
        <f t="shared" ca="1" si="28"/>
        <v>3677</v>
      </c>
      <c r="P139" s="175">
        <f t="shared" ca="1" si="18"/>
        <v>847.5157240417368</v>
      </c>
      <c r="Q139" s="11">
        <f t="shared" ca="1" si="19"/>
        <v>2.9930000000000002E-2</v>
      </c>
      <c r="R139" s="12">
        <f t="shared" ca="1" si="20"/>
        <v>25.366145620569185</v>
      </c>
      <c r="T139" s="31">
        <f t="shared" ca="1" si="29"/>
        <v>2106.3704858457254</v>
      </c>
    </row>
    <row r="140" spans="1:20">
      <c r="A140" s="198">
        <f ca="1">'PRICE_IOF Ñ USAR'!A140</f>
        <v>122</v>
      </c>
      <c r="B140" s="197">
        <f ca="1">'PRICE_IOF Ñ USAR'!B140</f>
        <v>48436</v>
      </c>
      <c r="C140" s="196">
        <f t="shared" ca="1" si="21"/>
        <v>790.62379946937904</v>
      </c>
      <c r="D140" s="21">
        <f t="shared" ca="1" si="27"/>
        <v>1315.7466863763464</v>
      </c>
      <c r="E140" s="196">
        <f t="shared" ca="1" si="22"/>
        <v>142225.32037187263</v>
      </c>
      <c r="F140" s="178">
        <f t="shared" ca="1" si="23"/>
        <v>30.033348275981822</v>
      </c>
      <c r="G140" s="178">
        <f t="shared" ca="1" si="24"/>
        <v>26.319999999999997</v>
      </c>
      <c r="H140" s="177">
        <f t="shared" ca="1" si="25"/>
        <v>25</v>
      </c>
      <c r="I140" s="196"/>
      <c r="J140" s="9" t="str">
        <f t="shared" ca="1" si="15"/>
        <v/>
      </c>
      <c r="K140" s="9" t="str">
        <f t="shared" ca="1" si="16"/>
        <v/>
      </c>
      <c r="L140" s="9">
        <f t="shared" ca="1" si="17"/>
        <v>8</v>
      </c>
      <c r="N140" s="176">
        <f t="shared" ca="1" si="26"/>
        <v>31</v>
      </c>
      <c r="O140" s="176">
        <f t="shared" ca="1" si="28"/>
        <v>3708</v>
      </c>
      <c r="P140" s="175">
        <f t="shared" ca="1" si="18"/>
        <v>847.5157240417368</v>
      </c>
      <c r="Q140" s="11">
        <f t="shared" ca="1" si="19"/>
        <v>2.9930000000000002E-2</v>
      </c>
      <c r="R140" s="12">
        <f t="shared" ca="1" si="20"/>
        <v>25.366145620569185</v>
      </c>
      <c r="T140" s="31">
        <f t="shared" ca="1" si="29"/>
        <v>2106.3704858457254</v>
      </c>
    </row>
    <row r="141" spans="1:20">
      <c r="A141" s="198">
        <f ca="1">'PRICE_IOF Ñ USAR'!A141</f>
        <v>123</v>
      </c>
      <c r="B141" s="197">
        <f ca="1">'PRICE_IOF Ñ USAR'!B141</f>
        <v>48467</v>
      </c>
      <c r="C141" s="196">
        <f t="shared" ca="1" si="21"/>
        <v>797.89753842449727</v>
      </c>
      <c r="D141" s="21">
        <f t="shared" ca="1" si="27"/>
        <v>1308.4729474212281</v>
      </c>
      <c r="E141" s="196">
        <f t="shared" ca="1" si="22"/>
        <v>141427.42283344813</v>
      </c>
      <c r="F141" s="178">
        <f t="shared" ca="1" si="23"/>
        <v>29.867317278093253</v>
      </c>
      <c r="G141" s="178">
        <f t="shared" ca="1" si="24"/>
        <v>26.319999999999997</v>
      </c>
      <c r="H141" s="177">
        <f t="shared" ca="1" si="25"/>
        <v>25</v>
      </c>
      <c r="I141" s="196"/>
      <c r="J141" s="9" t="str">
        <f t="shared" ca="1" si="15"/>
        <v/>
      </c>
      <c r="K141" s="9" t="str">
        <f t="shared" ca="1" si="16"/>
        <v/>
      </c>
      <c r="L141" s="9">
        <f t="shared" ca="1" si="17"/>
        <v>9</v>
      </c>
      <c r="N141" s="176">
        <f t="shared" ca="1" si="26"/>
        <v>31</v>
      </c>
      <c r="O141" s="176">
        <f t="shared" ca="1" si="28"/>
        <v>3739</v>
      </c>
      <c r="P141" s="175">
        <f t="shared" ca="1" si="18"/>
        <v>847.5157240417368</v>
      </c>
      <c r="Q141" s="11">
        <f t="shared" ca="1" si="19"/>
        <v>2.9930000000000002E-2</v>
      </c>
      <c r="R141" s="12">
        <f t="shared" ca="1" si="20"/>
        <v>25.366145620569185</v>
      </c>
      <c r="T141" s="31">
        <f t="shared" ca="1" si="29"/>
        <v>2106.3704858457254</v>
      </c>
    </row>
    <row r="142" spans="1:20">
      <c r="A142" s="198">
        <f ca="1">'PRICE_IOF Ñ USAR'!A142</f>
        <v>124</v>
      </c>
      <c r="B142" s="197">
        <f ca="1">'PRICE_IOF Ñ USAR'!B142</f>
        <v>48497</v>
      </c>
      <c r="C142" s="196">
        <f t="shared" ca="1" si="21"/>
        <v>805.23819577800259</v>
      </c>
      <c r="D142" s="21">
        <f t="shared" ca="1" si="27"/>
        <v>1301.1322900677228</v>
      </c>
      <c r="E142" s="196">
        <f t="shared" ca="1" si="22"/>
        <v>140622.18463767011</v>
      </c>
      <c r="F142" s="178">
        <f t="shared" ca="1" si="23"/>
        <v>29.69975879502411</v>
      </c>
      <c r="G142" s="178">
        <f t="shared" ca="1" si="24"/>
        <v>26.319999999999997</v>
      </c>
      <c r="H142" s="177">
        <f t="shared" ca="1" si="25"/>
        <v>25</v>
      </c>
      <c r="I142" s="196"/>
      <c r="J142" s="9" t="str">
        <f t="shared" ca="1" si="15"/>
        <v/>
      </c>
      <c r="K142" s="9" t="str">
        <f t="shared" ca="1" si="16"/>
        <v/>
      </c>
      <c r="L142" s="9">
        <f t="shared" ca="1" si="17"/>
        <v>10</v>
      </c>
      <c r="N142" s="176">
        <f t="shared" ca="1" si="26"/>
        <v>30</v>
      </c>
      <c r="O142" s="176">
        <f t="shared" ca="1" si="28"/>
        <v>3769</v>
      </c>
      <c r="P142" s="175">
        <f t="shared" ca="1" si="18"/>
        <v>847.5157240417368</v>
      </c>
      <c r="Q142" s="11">
        <f t="shared" ca="1" si="19"/>
        <v>2.9930000000000002E-2</v>
      </c>
      <c r="R142" s="12">
        <f t="shared" ca="1" si="20"/>
        <v>25.366145620569185</v>
      </c>
      <c r="T142" s="31">
        <f t="shared" ca="1" si="29"/>
        <v>2106.3704858457254</v>
      </c>
    </row>
    <row r="143" spans="1:20">
      <c r="A143" s="198">
        <f ca="1">'PRICE_IOF Ñ USAR'!A143</f>
        <v>125</v>
      </c>
      <c r="B143" s="197">
        <f ca="1">'PRICE_IOF Ñ USAR'!B143</f>
        <v>48528</v>
      </c>
      <c r="C143" s="196">
        <f t="shared" ca="1" si="21"/>
        <v>812.64638717916046</v>
      </c>
      <c r="D143" s="21">
        <f t="shared" ca="1" si="27"/>
        <v>1293.7240986665649</v>
      </c>
      <c r="E143" s="196">
        <f t="shared" ca="1" si="22"/>
        <v>139809.53825049096</v>
      </c>
      <c r="F143" s="178">
        <f t="shared" ca="1" si="23"/>
        <v>29.530658773910726</v>
      </c>
      <c r="G143" s="178">
        <f t="shared" ca="1" si="24"/>
        <v>26.319999999999997</v>
      </c>
      <c r="H143" s="177">
        <f t="shared" ca="1" si="25"/>
        <v>25</v>
      </c>
      <c r="I143" s="196"/>
      <c r="J143" s="9" t="str">
        <f t="shared" ca="1" si="15"/>
        <v/>
      </c>
      <c r="K143" s="9" t="str">
        <f t="shared" ca="1" si="16"/>
        <v/>
      </c>
      <c r="L143" s="9">
        <f t="shared" ca="1" si="17"/>
        <v>11</v>
      </c>
      <c r="N143" s="176">
        <f t="shared" ca="1" si="26"/>
        <v>31</v>
      </c>
      <c r="O143" s="176">
        <f t="shared" ca="1" si="28"/>
        <v>3800</v>
      </c>
      <c r="P143" s="175">
        <f t="shared" ca="1" si="18"/>
        <v>847.5157240417368</v>
      </c>
      <c r="Q143" s="11">
        <f t="shared" ca="1" si="19"/>
        <v>2.9930000000000002E-2</v>
      </c>
      <c r="R143" s="12">
        <f t="shared" ca="1" si="20"/>
        <v>25.366145620569185</v>
      </c>
      <c r="T143" s="31">
        <f t="shared" ca="1" si="29"/>
        <v>2106.3704858457254</v>
      </c>
    </row>
    <row r="144" spans="1:20">
      <c r="A144" s="198">
        <f ca="1">'PRICE_IOF Ñ USAR'!A144</f>
        <v>126</v>
      </c>
      <c r="B144" s="197">
        <f ca="1">'PRICE_IOF Ñ USAR'!B144</f>
        <v>48558</v>
      </c>
      <c r="C144" s="196">
        <f t="shared" ca="1" si="21"/>
        <v>820.12273394120848</v>
      </c>
      <c r="D144" s="21">
        <f t="shared" ca="1" si="27"/>
        <v>1286.2477519045169</v>
      </c>
      <c r="E144" s="196">
        <f t="shared" ca="1" si="22"/>
        <v>138989.41551654975</v>
      </c>
      <c r="F144" s="178">
        <f t="shared" ca="1" si="23"/>
        <v>29.360003032603103</v>
      </c>
      <c r="G144" s="178">
        <f t="shared" ca="1" si="24"/>
        <v>26.319999999999997</v>
      </c>
      <c r="H144" s="177">
        <f t="shared" ca="1" si="25"/>
        <v>25</v>
      </c>
      <c r="I144" s="196"/>
      <c r="J144" s="9" t="str">
        <f t="shared" ca="1" si="15"/>
        <v/>
      </c>
      <c r="K144" s="9" t="str">
        <f t="shared" ca="1" si="16"/>
        <v/>
      </c>
      <c r="L144" s="9">
        <f t="shared" ca="1" si="17"/>
        <v>12</v>
      </c>
      <c r="N144" s="176">
        <f t="shared" ca="1" si="26"/>
        <v>30</v>
      </c>
      <c r="O144" s="176">
        <f t="shared" ca="1" si="28"/>
        <v>3830</v>
      </c>
      <c r="P144" s="175">
        <f t="shared" ca="1" si="18"/>
        <v>847.5157240417368</v>
      </c>
      <c r="Q144" s="11">
        <f t="shared" ca="1" si="19"/>
        <v>2.9930000000000002E-2</v>
      </c>
      <c r="R144" s="12">
        <f t="shared" ca="1" si="20"/>
        <v>25.366145620569185</v>
      </c>
      <c r="T144" s="31">
        <f t="shared" ca="1" si="29"/>
        <v>2106.3704858457254</v>
      </c>
    </row>
    <row r="145" spans="1:20">
      <c r="A145" s="198">
        <f ca="1">'PRICE_IOF Ñ USAR'!A145</f>
        <v>127</v>
      </c>
      <c r="B145" s="197">
        <f ca="1">'PRICE_IOF Ñ USAR'!B145</f>
        <v>48589</v>
      </c>
      <c r="C145" s="196">
        <f t="shared" ca="1" si="21"/>
        <v>827.66786309346776</v>
      </c>
      <c r="D145" s="21">
        <f t="shared" ca="1" si="27"/>
        <v>1278.7026227522576</v>
      </c>
      <c r="E145" s="196">
        <f t="shared" ca="1" si="22"/>
        <v>138161.74765345629</v>
      </c>
      <c r="F145" s="178">
        <f t="shared" ca="1" si="23"/>
        <v>29.18777725847545</v>
      </c>
      <c r="G145" s="178">
        <f t="shared" ca="1" si="24"/>
        <v>26.319999999999997</v>
      </c>
      <c r="H145" s="177">
        <f t="shared" ca="1" si="25"/>
        <v>25</v>
      </c>
      <c r="I145" s="196"/>
      <c r="J145" s="9" t="str">
        <f t="shared" ca="1" si="15"/>
        <v/>
      </c>
      <c r="K145" s="9" t="str">
        <f t="shared" ca="1" si="16"/>
        <v/>
      </c>
      <c r="L145" s="9">
        <f t="shared" ca="1" si="17"/>
        <v>1</v>
      </c>
      <c r="N145" s="176">
        <f t="shared" ca="1" si="26"/>
        <v>31</v>
      </c>
      <c r="O145" s="176">
        <f t="shared" ca="1" si="28"/>
        <v>3861</v>
      </c>
      <c r="P145" s="175">
        <f t="shared" ca="1" si="18"/>
        <v>847.5157240417368</v>
      </c>
      <c r="Q145" s="11">
        <f t="shared" ca="1" si="19"/>
        <v>2.9930000000000002E-2</v>
      </c>
      <c r="R145" s="12">
        <f t="shared" ca="1" si="20"/>
        <v>25.366145620569185</v>
      </c>
      <c r="T145" s="31">
        <f t="shared" ca="1" si="29"/>
        <v>2106.3704858457254</v>
      </c>
    </row>
    <row r="146" spans="1:20">
      <c r="A146" s="198">
        <f ca="1">'PRICE_IOF Ñ USAR'!A146</f>
        <v>128</v>
      </c>
      <c r="B146" s="197">
        <f ca="1">'PRICE_IOF Ñ USAR'!B146</f>
        <v>48620</v>
      </c>
      <c r="C146" s="196">
        <f t="shared" ca="1" si="21"/>
        <v>835.28240743392757</v>
      </c>
      <c r="D146" s="21">
        <f t="shared" ca="1" si="27"/>
        <v>1271.0880784117978</v>
      </c>
      <c r="E146" s="196">
        <f t="shared" ca="1" si="22"/>
        <v>137326.46524602236</v>
      </c>
      <c r="F146" s="178">
        <f t="shared" ca="1" si="23"/>
        <v>29.013967007225823</v>
      </c>
      <c r="G146" s="178">
        <f t="shared" ca="1" si="24"/>
        <v>26.319999999999997</v>
      </c>
      <c r="H146" s="177">
        <f t="shared" ca="1" si="25"/>
        <v>25</v>
      </c>
      <c r="I146" s="196"/>
      <c r="J146" s="9" t="str">
        <f t="shared" ref="J146:J209" ca="1" si="30">IF(A146="I","Carencia",IF(A146&lt;=$C$12,"Carencia",""))</f>
        <v/>
      </c>
      <c r="K146" s="9" t="str">
        <f t="shared" ref="K146:K209" ca="1" si="31">IF(L146=$C$13,"Pula","")</f>
        <v/>
      </c>
      <c r="L146" s="9">
        <f t="shared" ref="L146:L209" ca="1" si="32">IFERROR(MONTH(B146),"")</f>
        <v>2</v>
      </c>
      <c r="N146" s="176">
        <f t="shared" ca="1" si="26"/>
        <v>31</v>
      </c>
      <c r="O146" s="176">
        <f t="shared" ca="1" si="28"/>
        <v>3892</v>
      </c>
      <c r="P146" s="175">
        <f t="shared" ref="P146:P209" ca="1" si="33">IF(A146&lt;&gt;"",$E$18/($C$8-$C$12-$D$13),"")</f>
        <v>847.5157240417368</v>
      </c>
      <c r="Q146" s="11">
        <f t="shared" ref="Q146:Q209" ca="1" si="34">IF(OR(A146="",J146="Carencia",K146="Pula"),"",IF(AND($F$5="PF",O146&lt;365),$I$3*O146,IF(AND($F$5="PF",O146&gt;365),$I$3*365,IF(AND($F$5="PJ",O146&lt;365),$I$4*O146,IF(AND($F$5="PJ",O146&gt;365),$I$4*365)))))</f>
        <v>2.9930000000000002E-2</v>
      </c>
      <c r="R146" s="12">
        <f t="shared" ref="R146:R209" ca="1" si="35">IFERROR(Q146*P146,"")</f>
        <v>25.366145620569185</v>
      </c>
      <c r="T146" s="31">
        <f t="shared" ca="1" si="29"/>
        <v>2106.3704858457254</v>
      </c>
    </row>
    <row r="147" spans="1:20">
      <c r="A147" s="198">
        <f ca="1">'PRICE_IOF Ñ USAR'!A147</f>
        <v>129</v>
      </c>
      <c r="B147" s="197">
        <f ca="1">'PRICE_IOF Ñ USAR'!B147</f>
        <v>48648</v>
      </c>
      <c r="C147" s="196">
        <f t="shared" ref="C147:C210" ca="1" si="36">IFERROR(IF(OR(J147="Carencia",K147="Pula"),0,$I$12-D147),"")</f>
        <v>842.96700558231964</v>
      </c>
      <c r="D147" s="21">
        <f t="shared" ca="1" si="27"/>
        <v>1263.4034802634058</v>
      </c>
      <c r="E147" s="196">
        <f t="shared" ref="E147:E210" ca="1" si="37">IFERROR(IF(OR(J147="Carencia",K147="Pula"),E146+D147+SUM(F147:H147),(E146-C147)),"")</f>
        <v>136483.49824044004</v>
      </c>
      <c r="F147" s="178">
        <f t="shared" ref="F147:F210" ca="1" si="38">IFERROR(IF(OR(AND(DAY(B147)=DAY(B146),MONTH(B147)&lt;&gt;MONTH(B146)),MONTH(B147)&lt;&gt;MONTH(B146)),E146*$I$7,""),"")</f>
        <v>28.838557701664698</v>
      </c>
      <c r="G147" s="178">
        <f t="shared" ref="G147:G210" ca="1" si="39">IFERROR(IF(OR(AND(DAY(B147)=DAY(B146),MONTH(B147)&lt;&gt;MONTH(B146)),MONTH(B147)&lt;&gt;MONTH(B146)),$C$11*$I$8,0),"")</f>
        <v>26.319999999999997</v>
      </c>
      <c r="H147" s="177">
        <f t="shared" ref="H147:H210" ca="1" si="40">IFERROR(IF(OR(AND(DAY(B147)=DAY(B146),MONTH(B147)&lt;&gt;MONTH(B146)),MONTH(B147)&lt;&gt;MONTH(B146)),$I$10,0),"")</f>
        <v>25</v>
      </c>
      <c r="I147" s="196"/>
      <c r="J147" s="9" t="str">
        <f t="shared" ca="1" si="30"/>
        <v/>
      </c>
      <c r="K147" s="9" t="str">
        <f t="shared" ca="1" si="31"/>
        <v/>
      </c>
      <c r="L147" s="9">
        <f t="shared" ca="1" si="32"/>
        <v>3</v>
      </c>
      <c r="N147" s="176">
        <f t="shared" ref="N147:N210" ca="1" si="41">IFERROR(B147-B146,"")</f>
        <v>28</v>
      </c>
      <c r="O147" s="176">
        <f t="shared" ca="1" si="28"/>
        <v>3920</v>
      </c>
      <c r="P147" s="175">
        <f t="shared" ca="1" si="33"/>
        <v>847.5157240417368</v>
      </c>
      <c r="Q147" s="11">
        <f t="shared" ca="1" si="34"/>
        <v>2.9930000000000002E-2</v>
      </c>
      <c r="R147" s="12">
        <f t="shared" ca="1" si="35"/>
        <v>25.366145620569185</v>
      </c>
      <c r="T147" s="31">
        <f t="shared" ca="1" si="29"/>
        <v>2106.3704858457254</v>
      </c>
    </row>
    <row r="148" spans="1:20">
      <c r="A148" s="198">
        <f ca="1">'PRICE_IOF Ñ USAR'!A148</f>
        <v>130</v>
      </c>
      <c r="B148" s="197">
        <f ca="1">'PRICE_IOF Ñ USAR'!B148</f>
        <v>48679</v>
      </c>
      <c r="C148" s="196">
        <f t="shared" ca="1" si="36"/>
        <v>850.72230203367712</v>
      </c>
      <c r="D148" s="21">
        <f t="shared" ref="D148:D211" ca="1" si="42">IFERROR(IF(DAY(B148)=DAY(B147),IF(K148="Pula",0,($C$9)*E147),IF(AND(K148="Pula",J148=""),0,IF(AND($F$3=30,OR(AND(DAY(B147)=28,MONTH(B147)=2),AND(DAY(B147)=29,MONTH(B147)=2))),$C$9*E147,$C$9*E147))),"")</f>
        <v>1255.6481838120483</v>
      </c>
      <c r="E148" s="196">
        <f t="shared" ca="1" si="37"/>
        <v>135632.77593840635</v>
      </c>
      <c r="F148" s="178">
        <f t="shared" ca="1" si="38"/>
        <v>28.661534630492408</v>
      </c>
      <c r="G148" s="178">
        <f t="shared" ca="1" si="39"/>
        <v>26.319999999999997</v>
      </c>
      <c r="H148" s="177">
        <f t="shared" ca="1" si="40"/>
        <v>25</v>
      </c>
      <c r="I148" s="196"/>
      <c r="J148" s="9" t="str">
        <f t="shared" ca="1" si="30"/>
        <v/>
      </c>
      <c r="K148" s="9" t="str">
        <f t="shared" ca="1" si="31"/>
        <v/>
      </c>
      <c r="L148" s="9">
        <f t="shared" ca="1" si="32"/>
        <v>4</v>
      </c>
      <c r="N148" s="176">
        <f t="shared" ca="1" si="41"/>
        <v>31</v>
      </c>
      <c r="O148" s="176">
        <f t="shared" ref="O148:O211" ca="1" si="43">IFERROR(N148+O147,"")</f>
        <v>3951</v>
      </c>
      <c r="P148" s="175">
        <f t="shared" ca="1" si="33"/>
        <v>847.5157240417368</v>
      </c>
      <c r="Q148" s="11">
        <f t="shared" ca="1" si="34"/>
        <v>2.9930000000000002E-2</v>
      </c>
      <c r="R148" s="12">
        <f t="shared" ca="1" si="35"/>
        <v>25.366145620569185</v>
      </c>
      <c r="T148" s="31">
        <f t="shared" ref="T148:T211" ca="1" si="44">IFERROR(IF(OR(J148="Carencia",K148="Pula"),0,C148+D148),"")</f>
        <v>2106.3704858457254</v>
      </c>
    </row>
    <row r="149" spans="1:20">
      <c r="A149" s="198">
        <f ca="1">'PRICE_IOF Ñ USAR'!A149</f>
        <v>131</v>
      </c>
      <c r="B149" s="197">
        <f ca="1">'PRICE_IOF Ñ USAR'!B149</f>
        <v>48709</v>
      </c>
      <c r="C149" s="196">
        <f t="shared" ca="1" si="36"/>
        <v>858.54894721238702</v>
      </c>
      <c r="D149" s="21">
        <f t="shared" ca="1" si="42"/>
        <v>1247.8215386333384</v>
      </c>
      <c r="E149" s="196">
        <f t="shared" ca="1" si="37"/>
        <v>134774.22699119398</v>
      </c>
      <c r="F149" s="178">
        <f t="shared" ca="1" si="38"/>
        <v>28.482882947065335</v>
      </c>
      <c r="G149" s="178">
        <f t="shared" ca="1" si="39"/>
        <v>26.319999999999997</v>
      </c>
      <c r="H149" s="177">
        <f t="shared" ca="1" si="40"/>
        <v>25</v>
      </c>
      <c r="I149" s="196"/>
      <c r="J149" s="9" t="str">
        <f t="shared" ca="1" si="30"/>
        <v/>
      </c>
      <c r="K149" s="9" t="str">
        <f t="shared" ca="1" si="31"/>
        <v/>
      </c>
      <c r="L149" s="9">
        <f t="shared" ca="1" si="32"/>
        <v>5</v>
      </c>
      <c r="N149" s="176">
        <f t="shared" ca="1" si="41"/>
        <v>30</v>
      </c>
      <c r="O149" s="176">
        <f t="shared" ca="1" si="43"/>
        <v>3981</v>
      </c>
      <c r="P149" s="175">
        <f t="shared" ca="1" si="33"/>
        <v>847.5157240417368</v>
      </c>
      <c r="Q149" s="11">
        <f t="shared" ca="1" si="34"/>
        <v>2.9930000000000002E-2</v>
      </c>
      <c r="R149" s="12">
        <f t="shared" ca="1" si="35"/>
        <v>25.366145620569185</v>
      </c>
      <c r="T149" s="31">
        <f t="shared" ca="1" si="44"/>
        <v>2106.3704858457254</v>
      </c>
    </row>
    <row r="150" spans="1:20">
      <c r="A150" s="198">
        <f ca="1">'PRICE_IOF Ñ USAR'!A150</f>
        <v>132</v>
      </c>
      <c r="B150" s="197">
        <f ca="1">'PRICE_IOF Ñ USAR'!B150</f>
        <v>48740</v>
      </c>
      <c r="C150" s="196">
        <f t="shared" ca="1" si="36"/>
        <v>866.44759752674076</v>
      </c>
      <c r="D150" s="21">
        <f t="shared" ca="1" si="42"/>
        <v>1239.9228883189846</v>
      </c>
      <c r="E150" s="196">
        <f t="shared" ca="1" si="37"/>
        <v>133907.77939366724</v>
      </c>
      <c r="F150" s="178">
        <f t="shared" ca="1" si="38"/>
        <v>28.302587668150736</v>
      </c>
      <c r="G150" s="178">
        <f t="shared" ca="1" si="39"/>
        <v>26.319999999999997</v>
      </c>
      <c r="H150" s="177">
        <f t="shared" ca="1" si="40"/>
        <v>25</v>
      </c>
      <c r="I150" s="196"/>
      <c r="J150" s="9" t="str">
        <f t="shared" ca="1" si="30"/>
        <v/>
      </c>
      <c r="K150" s="9" t="str">
        <f t="shared" ca="1" si="31"/>
        <v/>
      </c>
      <c r="L150" s="9">
        <f t="shared" ca="1" si="32"/>
        <v>6</v>
      </c>
      <c r="N150" s="176">
        <f t="shared" ca="1" si="41"/>
        <v>31</v>
      </c>
      <c r="O150" s="176">
        <f t="shared" ca="1" si="43"/>
        <v>4012</v>
      </c>
      <c r="P150" s="175">
        <f t="shared" ca="1" si="33"/>
        <v>847.5157240417368</v>
      </c>
      <c r="Q150" s="11">
        <f t="shared" ca="1" si="34"/>
        <v>2.9930000000000002E-2</v>
      </c>
      <c r="R150" s="12">
        <f t="shared" ca="1" si="35"/>
        <v>25.366145620569185</v>
      </c>
      <c r="T150" s="31">
        <f t="shared" ca="1" si="44"/>
        <v>2106.3704858457254</v>
      </c>
    </row>
    <row r="151" spans="1:20">
      <c r="A151" s="198">
        <f ca="1">'PRICE_IOF Ñ USAR'!A151</f>
        <v>133</v>
      </c>
      <c r="B151" s="197">
        <f ca="1">'PRICE_IOF Ñ USAR'!B151</f>
        <v>48770</v>
      </c>
      <c r="C151" s="196">
        <f t="shared" ca="1" si="36"/>
        <v>874.41891542398685</v>
      </c>
      <c r="D151" s="21">
        <f t="shared" ca="1" si="42"/>
        <v>1231.9515704217386</v>
      </c>
      <c r="E151" s="196">
        <f t="shared" ca="1" si="37"/>
        <v>133033.36047824324</v>
      </c>
      <c r="F151" s="178">
        <f t="shared" ca="1" si="38"/>
        <v>28.12063367267012</v>
      </c>
      <c r="G151" s="178">
        <f t="shared" ca="1" si="39"/>
        <v>26.319999999999997</v>
      </c>
      <c r="H151" s="177">
        <f t="shared" ca="1" si="40"/>
        <v>25</v>
      </c>
      <c r="I151" s="196"/>
      <c r="J151" s="9" t="str">
        <f t="shared" ca="1" si="30"/>
        <v/>
      </c>
      <c r="K151" s="9" t="str">
        <f t="shared" ca="1" si="31"/>
        <v/>
      </c>
      <c r="L151" s="9">
        <f t="shared" ca="1" si="32"/>
        <v>7</v>
      </c>
      <c r="N151" s="176">
        <f t="shared" ca="1" si="41"/>
        <v>30</v>
      </c>
      <c r="O151" s="176">
        <f t="shared" ca="1" si="43"/>
        <v>4042</v>
      </c>
      <c r="P151" s="175">
        <f t="shared" ca="1" si="33"/>
        <v>847.5157240417368</v>
      </c>
      <c r="Q151" s="11">
        <f t="shared" ca="1" si="34"/>
        <v>2.9930000000000002E-2</v>
      </c>
      <c r="R151" s="12">
        <f t="shared" ca="1" si="35"/>
        <v>25.366145620569185</v>
      </c>
      <c r="T151" s="31">
        <f t="shared" ca="1" si="44"/>
        <v>2106.3704858457254</v>
      </c>
    </row>
    <row r="152" spans="1:20">
      <c r="A152" s="198">
        <f ca="1">'PRICE_IOF Ñ USAR'!A152</f>
        <v>134</v>
      </c>
      <c r="B152" s="197">
        <f ca="1">'PRICE_IOF Ñ USAR'!B152</f>
        <v>48801</v>
      </c>
      <c r="C152" s="196">
        <f t="shared" ca="1" si="36"/>
        <v>882.46356944588774</v>
      </c>
      <c r="D152" s="21">
        <f t="shared" ca="1" si="42"/>
        <v>1223.9069163998377</v>
      </c>
      <c r="E152" s="196">
        <f t="shared" ca="1" si="37"/>
        <v>132150.89690879735</v>
      </c>
      <c r="F152" s="178">
        <f t="shared" ca="1" si="38"/>
        <v>27.937005700431079</v>
      </c>
      <c r="G152" s="178">
        <f t="shared" ca="1" si="39"/>
        <v>26.319999999999997</v>
      </c>
      <c r="H152" s="177">
        <f t="shared" ca="1" si="40"/>
        <v>25</v>
      </c>
      <c r="I152" s="196"/>
      <c r="J152" s="9" t="str">
        <f t="shared" ca="1" si="30"/>
        <v/>
      </c>
      <c r="K152" s="9" t="str">
        <f t="shared" ca="1" si="31"/>
        <v/>
      </c>
      <c r="L152" s="9">
        <f t="shared" ca="1" si="32"/>
        <v>8</v>
      </c>
      <c r="N152" s="176">
        <f t="shared" ca="1" si="41"/>
        <v>31</v>
      </c>
      <c r="O152" s="176">
        <f t="shared" ca="1" si="43"/>
        <v>4073</v>
      </c>
      <c r="P152" s="175">
        <f t="shared" ca="1" si="33"/>
        <v>847.5157240417368</v>
      </c>
      <c r="Q152" s="11">
        <f t="shared" ca="1" si="34"/>
        <v>2.9930000000000002E-2</v>
      </c>
      <c r="R152" s="12">
        <f t="shared" ca="1" si="35"/>
        <v>25.366145620569185</v>
      </c>
      <c r="T152" s="31">
        <f t="shared" ca="1" si="44"/>
        <v>2106.3704858457254</v>
      </c>
    </row>
    <row r="153" spans="1:20">
      <c r="A153" s="198">
        <f ca="1">'PRICE_IOF Ñ USAR'!A153</f>
        <v>135</v>
      </c>
      <c r="B153" s="197">
        <f ca="1">'PRICE_IOF Ñ USAR'!B153</f>
        <v>48832</v>
      </c>
      <c r="C153" s="196">
        <f t="shared" ca="1" si="36"/>
        <v>890.58223428478982</v>
      </c>
      <c r="D153" s="21">
        <f t="shared" ca="1" si="42"/>
        <v>1215.7882515609356</v>
      </c>
      <c r="E153" s="196">
        <f t="shared" ca="1" si="37"/>
        <v>131260.31467451257</v>
      </c>
      <c r="F153" s="178">
        <f t="shared" ca="1" si="38"/>
        <v>27.751688350847445</v>
      </c>
      <c r="G153" s="178">
        <f t="shared" ca="1" si="39"/>
        <v>26.319999999999997</v>
      </c>
      <c r="H153" s="177">
        <f t="shared" ca="1" si="40"/>
        <v>25</v>
      </c>
      <c r="I153" s="196"/>
      <c r="J153" s="9" t="str">
        <f t="shared" ca="1" si="30"/>
        <v/>
      </c>
      <c r="K153" s="9" t="str">
        <f t="shared" ca="1" si="31"/>
        <v/>
      </c>
      <c r="L153" s="9">
        <f t="shared" ca="1" si="32"/>
        <v>9</v>
      </c>
      <c r="N153" s="176">
        <f t="shared" ca="1" si="41"/>
        <v>31</v>
      </c>
      <c r="O153" s="176">
        <f t="shared" ca="1" si="43"/>
        <v>4104</v>
      </c>
      <c r="P153" s="175">
        <f t="shared" ca="1" si="33"/>
        <v>847.5157240417368</v>
      </c>
      <c r="Q153" s="11">
        <f t="shared" ca="1" si="34"/>
        <v>2.9930000000000002E-2</v>
      </c>
      <c r="R153" s="12">
        <f t="shared" ca="1" si="35"/>
        <v>25.366145620569185</v>
      </c>
      <c r="T153" s="31">
        <f t="shared" ca="1" si="44"/>
        <v>2106.3704858457254</v>
      </c>
    </row>
    <row r="154" spans="1:20">
      <c r="A154" s="198">
        <f ca="1">'PRICE_IOF Ñ USAR'!A154</f>
        <v>136</v>
      </c>
      <c r="B154" s="197">
        <f ca="1">'PRICE_IOF Ñ USAR'!B154</f>
        <v>48862</v>
      </c>
      <c r="C154" s="196">
        <f t="shared" ca="1" si="36"/>
        <v>898.77559084020982</v>
      </c>
      <c r="D154" s="21">
        <f t="shared" ca="1" si="42"/>
        <v>1207.5948950055156</v>
      </c>
      <c r="E154" s="196">
        <f t="shared" ca="1" si="37"/>
        <v>130361.53908367237</v>
      </c>
      <c r="F154" s="178">
        <f t="shared" ca="1" si="38"/>
        <v>27.564666081647641</v>
      </c>
      <c r="G154" s="178">
        <f t="shared" ca="1" si="39"/>
        <v>26.319999999999997</v>
      </c>
      <c r="H154" s="177">
        <f t="shared" ca="1" si="40"/>
        <v>25</v>
      </c>
      <c r="I154" s="196"/>
      <c r="J154" s="9" t="str">
        <f t="shared" ca="1" si="30"/>
        <v/>
      </c>
      <c r="K154" s="9" t="str">
        <f t="shared" ca="1" si="31"/>
        <v/>
      </c>
      <c r="L154" s="9">
        <f t="shared" ca="1" si="32"/>
        <v>10</v>
      </c>
      <c r="N154" s="176">
        <f t="shared" ca="1" si="41"/>
        <v>30</v>
      </c>
      <c r="O154" s="176">
        <f t="shared" ca="1" si="43"/>
        <v>4134</v>
      </c>
      <c r="P154" s="175">
        <f t="shared" ca="1" si="33"/>
        <v>847.5157240417368</v>
      </c>
      <c r="Q154" s="11">
        <f t="shared" ca="1" si="34"/>
        <v>2.9930000000000002E-2</v>
      </c>
      <c r="R154" s="12">
        <f t="shared" ca="1" si="35"/>
        <v>25.366145620569185</v>
      </c>
      <c r="T154" s="31">
        <f t="shared" ca="1" si="44"/>
        <v>2106.3704858457254</v>
      </c>
    </row>
    <row r="155" spans="1:20">
      <c r="A155" s="198">
        <f ca="1">'PRICE_IOF Ñ USAR'!A155</f>
        <v>137</v>
      </c>
      <c r="B155" s="197">
        <f ca="1">'PRICE_IOF Ñ USAR'!B155</f>
        <v>48893</v>
      </c>
      <c r="C155" s="196">
        <f t="shared" ca="1" si="36"/>
        <v>907.04432627593974</v>
      </c>
      <c r="D155" s="21">
        <f t="shared" ca="1" si="42"/>
        <v>1199.3261595697857</v>
      </c>
      <c r="E155" s="196">
        <f t="shared" ca="1" si="37"/>
        <v>129454.49475739643</v>
      </c>
      <c r="F155" s="178">
        <f t="shared" ca="1" si="38"/>
        <v>27.375923207571198</v>
      </c>
      <c r="G155" s="178">
        <f t="shared" ca="1" si="39"/>
        <v>26.319999999999997</v>
      </c>
      <c r="H155" s="177">
        <f t="shared" ca="1" si="40"/>
        <v>25</v>
      </c>
      <c r="I155" s="196"/>
      <c r="J155" s="9" t="str">
        <f t="shared" ca="1" si="30"/>
        <v/>
      </c>
      <c r="K155" s="9" t="str">
        <f t="shared" ca="1" si="31"/>
        <v/>
      </c>
      <c r="L155" s="9">
        <f t="shared" ca="1" si="32"/>
        <v>11</v>
      </c>
      <c r="N155" s="176">
        <f t="shared" ca="1" si="41"/>
        <v>31</v>
      </c>
      <c r="O155" s="176">
        <f t="shared" ca="1" si="43"/>
        <v>4165</v>
      </c>
      <c r="P155" s="175">
        <f t="shared" ca="1" si="33"/>
        <v>847.5157240417368</v>
      </c>
      <c r="Q155" s="11">
        <f t="shared" ca="1" si="34"/>
        <v>2.9930000000000002E-2</v>
      </c>
      <c r="R155" s="12">
        <f t="shared" ca="1" si="35"/>
        <v>25.366145620569185</v>
      </c>
      <c r="T155" s="31">
        <f t="shared" ca="1" si="44"/>
        <v>2106.3704858457254</v>
      </c>
    </row>
    <row r="156" spans="1:20">
      <c r="A156" s="198">
        <f ca="1">'PRICE_IOF Ñ USAR'!A156</f>
        <v>138</v>
      </c>
      <c r="B156" s="197">
        <f ca="1">'PRICE_IOF Ñ USAR'!B156</f>
        <v>48923</v>
      </c>
      <c r="C156" s="196">
        <f t="shared" ca="1" si="36"/>
        <v>915.38913407767836</v>
      </c>
      <c r="D156" s="21">
        <f t="shared" ca="1" si="42"/>
        <v>1190.981351768047</v>
      </c>
      <c r="E156" s="196">
        <f t="shared" ca="1" si="37"/>
        <v>128539.10562331876</v>
      </c>
      <c r="F156" s="178">
        <f t="shared" ca="1" si="38"/>
        <v>27.185443899053251</v>
      </c>
      <c r="G156" s="178">
        <f t="shared" ca="1" si="39"/>
        <v>26.319999999999997</v>
      </c>
      <c r="H156" s="177">
        <f t="shared" ca="1" si="40"/>
        <v>25</v>
      </c>
      <c r="I156" s="196"/>
      <c r="J156" s="9" t="str">
        <f t="shared" ca="1" si="30"/>
        <v/>
      </c>
      <c r="K156" s="9" t="str">
        <f t="shared" ca="1" si="31"/>
        <v/>
      </c>
      <c r="L156" s="9">
        <f t="shared" ca="1" si="32"/>
        <v>12</v>
      </c>
      <c r="N156" s="176">
        <f t="shared" ca="1" si="41"/>
        <v>30</v>
      </c>
      <c r="O156" s="176">
        <f t="shared" ca="1" si="43"/>
        <v>4195</v>
      </c>
      <c r="P156" s="175">
        <f t="shared" ca="1" si="33"/>
        <v>847.5157240417368</v>
      </c>
      <c r="Q156" s="11">
        <f t="shared" ca="1" si="34"/>
        <v>2.9930000000000002E-2</v>
      </c>
      <c r="R156" s="12">
        <f t="shared" ca="1" si="35"/>
        <v>25.366145620569185</v>
      </c>
      <c r="T156" s="31">
        <f t="shared" ca="1" si="44"/>
        <v>2106.3704858457254</v>
      </c>
    </row>
    <row r="157" spans="1:20">
      <c r="A157" s="198">
        <f ca="1">'PRICE_IOF Ñ USAR'!A157</f>
        <v>139</v>
      </c>
      <c r="B157" s="197">
        <f ca="1">'PRICE_IOF Ñ USAR'!B157</f>
        <v>48954</v>
      </c>
      <c r="C157" s="196">
        <f t="shared" ca="1" si="36"/>
        <v>923.81071411119296</v>
      </c>
      <c r="D157" s="21">
        <f t="shared" ca="1" si="42"/>
        <v>1182.5597717345324</v>
      </c>
      <c r="E157" s="196">
        <f t="shared" ca="1" si="37"/>
        <v>127615.29490920756</v>
      </c>
      <c r="F157" s="178">
        <f t="shared" ca="1" si="38"/>
        <v>26.99321218089694</v>
      </c>
      <c r="G157" s="178">
        <f t="shared" ca="1" si="39"/>
        <v>26.319999999999997</v>
      </c>
      <c r="H157" s="177">
        <f t="shared" ca="1" si="40"/>
        <v>25</v>
      </c>
      <c r="I157" s="196"/>
      <c r="J157" s="9" t="str">
        <f t="shared" ca="1" si="30"/>
        <v/>
      </c>
      <c r="K157" s="9" t="str">
        <f t="shared" ca="1" si="31"/>
        <v/>
      </c>
      <c r="L157" s="9">
        <f t="shared" ca="1" si="32"/>
        <v>1</v>
      </c>
      <c r="N157" s="176">
        <f t="shared" ca="1" si="41"/>
        <v>31</v>
      </c>
      <c r="O157" s="176">
        <f t="shared" ca="1" si="43"/>
        <v>4226</v>
      </c>
      <c r="P157" s="175">
        <f t="shared" ca="1" si="33"/>
        <v>847.5157240417368</v>
      </c>
      <c r="Q157" s="11">
        <f t="shared" ca="1" si="34"/>
        <v>2.9930000000000002E-2</v>
      </c>
      <c r="R157" s="12">
        <f t="shared" ca="1" si="35"/>
        <v>25.366145620569185</v>
      </c>
      <c r="T157" s="31">
        <f t="shared" ca="1" si="44"/>
        <v>2106.3704858457254</v>
      </c>
    </row>
    <row r="158" spans="1:20">
      <c r="A158" s="198">
        <f ca="1">'PRICE_IOF Ñ USAR'!A158</f>
        <v>140</v>
      </c>
      <c r="B158" s="197">
        <f ca="1">'PRICE_IOF Ñ USAR'!B158</f>
        <v>48985</v>
      </c>
      <c r="C158" s="196">
        <f t="shared" ca="1" si="36"/>
        <v>932.30977268101583</v>
      </c>
      <c r="D158" s="21">
        <f t="shared" ca="1" si="42"/>
        <v>1174.0607131647096</v>
      </c>
      <c r="E158" s="196">
        <f t="shared" ca="1" si="37"/>
        <v>126682.98513652653</v>
      </c>
      <c r="F158" s="178">
        <f t="shared" ca="1" si="38"/>
        <v>26.799211930933588</v>
      </c>
      <c r="G158" s="178">
        <f t="shared" ca="1" si="39"/>
        <v>26.319999999999997</v>
      </c>
      <c r="H158" s="177">
        <f t="shared" ca="1" si="40"/>
        <v>25</v>
      </c>
      <c r="I158" s="196"/>
      <c r="J158" s="9" t="str">
        <f t="shared" ca="1" si="30"/>
        <v/>
      </c>
      <c r="K158" s="9" t="str">
        <f t="shared" ca="1" si="31"/>
        <v/>
      </c>
      <c r="L158" s="9">
        <f t="shared" ca="1" si="32"/>
        <v>2</v>
      </c>
      <c r="N158" s="176">
        <f t="shared" ca="1" si="41"/>
        <v>31</v>
      </c>
      <c r="O158" s="176">
        <f t="shared" ca="1" si="43"/>
        <v>4257</v>
      </c>
      <c r="P158" s="175">
        <f t="shared" ca="1" si="33"/>
        <v>847.5157240417368</v>
      </c>
      <c r="Q158" s="11">
        <f t="shared" ca="1" si="34"/>
        <v>2.9930000000000002E-2</v>
      </c>
      <c r="R158" s="12">
        <f t="shared" ca="1" si="35"/>
        <v>25.366145620569185</v>
      </c>
      <c r="T158" s="31">
        <f t="shared" ca="1" si="44"/>
        <v>2106.3704858457254</v>
      </c>
    </row>
    <row r="159" spans="1:20">
      <c r="A159" s="198">
        <f ca="1">'PRICE_IOF Ñ USAR'!A159</f>
        <v>141</v>
      </c>
      <c r="B159" s="197">
        <f ca="1">'PRICE_IOF Ñ USAR'!B159</f>
        <v>49013</v>
      </c>
      <c r="C159" s="196">
        <f t="shared" ca="1" si="36"/>
        <v>940.88702258968124</v>
      </c>
      <c r="D159" s="21">
        <f t="shared" ca="1" si="42"/>
        <v>1165.4834632560442</v>
      </c>
      <c r="E159" s="196">
        <f t="shared" ca="1" si="37"/>
        <v>125742.09811393685</v>
      </c>
      <c r="F159" s="178">
        <f t="shared" ca="1" si="38"/>
        <v>26.603426878670575</v>
      </c>
      <c r="G159" s="178">
        <f t="shared" ca="1" si="39"/>
        <v>26.319999999999997</v>
      </c>
      <c r="H159" s="177">
        <f t="shared" ca="1" si="40"/>
        <v>25</v>
      </c>
      <c r="I159" s="196"/>
      <c r="J159" s="9" t="str">
        <f t="shared" ca="1" si="30"/>
        <v/>
      </c>
      <c r="K159" s="9" t="str">
        <f t="shared" ca="1" si="31"/>
        <v/>
      </c>
      <c r="L159" s="9">
        <f t="shared" ca="1" si="32"/>
        <v>3</v>
      </c>
      <c r="N159" s="176">
        <f t="shared" ca="1" si="41"/>
        <v>28</v>
      </c>
      <c r="O159" s="176">
        <f t="shared" ca="1" si="43"/>
        <v>4285</v>
      </c>
      <c r="P159" s="175">
        <f t="shared" ca="1" si="33"/>
        <v>847.5157240417368</v>
      </c>
      <c r="Q159" s="11">
        <f t="shared" ca="1" si="34"/>
        <v>2.9930000000000002E-2</v>
      </c>
      <c r="R159" s="12">
        <f t="shared" ca="1" si="35"/>
        <v>25.366145620569185</v>
      </c>
      <c r="T159" s="31">
        <f t="shared" ca="1" si="44"/>
        <v>2106.3704858457254</v>
      </c>
    </row>
    <row r="160" spans="1:20">
      <c r="A160" s="198">
        <f ca="1">'PRICE_IOF Ñ USAR'!A160</f>
        <v>142</v>
      </c>
      <c r="B160" s="197">
        <f ca="1">'PRICE_IOF Ñ USAR'!B160</f>
        <v>49044</v>
      </c>
      <c r="C160" s="196">
        <f t="shared" ca="1" si="36"/>
        <v>949.54318319750632</v>
      </c>
      <c r="D160" s="21">
        <f t="shared" ca="1" si="42"/>
        <v>1156.8273026482191</v>
      </c>
      <c r="E160" s="196">
        <f t="shared" ca="1" si="37"/>
        <v>124792.55493073935</v>
      </c>
      <c r="F160" s="178">
        <f t="shared" ca="1" si="38"/>
        <v>26.405840603926741</v>
      </c>
      <c r="G160" s="178">
        <f t="shared" ca="1" si="39"/>
        <v>26.319999999999997</v>
      </c>
      <c r="H160" s="177">
        <f t="shared" ca="1" si="40"/>
        <v>25</v>
      </c>
      <c r="I160" s="196"/>
      <c r="J160" s="9" t="str">
        <f t="shared" ca="1" si="30"/>
        <v/>
      </c>
      <c r="K160" s="9" t="str">
        <f t="shared" ca="1" si="31"/>
        <v/>
      </c>
      <c r="L160" s="9">
        <f t="shared" ca="1" si="32"/>
        <v>4</v>
      </c>
      <c r="N160" s="176">
        <f t="shared" ca="1" si="41"/>
        <v>31</v>
      </c>
      <c r="O160" s="176">
        <f t="shared" ca="1" si="43"/>
        <v>4316</v>
      </c>
      <c r="P160" s="175">
        <f t="shared" ca="1" si="33"/>
        <v>847.5157240417368</v>
      </c>
      <c r="Q160" s="11">
        <f t="shared" ca="1" si="34"/>
        <v>2.9930000000000002E-2</v>
      </c>
      <c r="R160" s="12">
        <f t="shared" ca="1" si="35"/>
        <v>25.366145620569185</v>
      </c>
      <c r="T160" s="31">
        <f t="shared" ca="1" si="44"/>
        <v>2106.3704858457254</v>
      </c>
    </row>
    <row r="161" spans="1:20">
      <c r="A161" s="198">
        <f ca="1">'PRICE_IOF Ñ USAR'!A161</f>
        <v>143</v>
      </c>
      <c r="B161" s="197">
        <f ca="1">'PRICE_IOF Ñ USAR'!B161</f>
        <v>49074</v>
      </c>
      <c r="C161" s="196">
        <f t="shared" ca="1" si="36"/>
        <v>958.27898048292332</v>
      </c>
      <c r="D161" s="21">
        <f t="shared" ca="1" si="42"/>
        <v>1148.0915053628021</v>
      </c>
      <c r="E161" s="196">
        <f t="shared" ca="1" si="37"/>
        <v>123834.27595025643</v>
      </c>
      <c r="F161" s="178">
        <f t="shared" ca="1" si="38"/>
        <v>26.206436535455264</v>
      </c>
      <c r="G161" s="178">
        <f t="shared" ca="1" si="39"/>
        <v>26.319999999999997</v>
      </c>
      <c r="H161" s="177">
        <f t="shared" ca="1" si="40"/>
        <v>25</v>
      </c>
      <c r="I161" s="196"/>
      <c r="J161" s="9" t="str">
        <f t="shared" ca="1" si="30"/>
        <v/>
      </c>
      <c r="K161" s="9" t="str">
        <f t="shared" ca="1" si="31"/>
        <v/>
      </c>
      <c r="L161" s="9">
        <f t="shared" ca="1" si="32"/>
        <v>5</v>
      </c>
      <c r="N161" s="176">
        <f t="shared" ca="1" si="41"/>
        <v>30</v>
      </c>
      <c r="O161" s="176">
        <f t="shared" ca="1" si="43"/>
        <v>4346</v>
      </c>
      <c r="P161" s="175">
        <f t="shared" ca="1" si="33"/>
        <v>847.5157240417368</v>
      </c>
      <c r="Q161" s="11">
        <f t="shared" ca="1" si="34"/>
        <v>2.9930000000000002E-2</v>
      </c>
      <c r="R161" s="12">
        <f t="shared" ca="1" si="35"/>
        <v>25.366145620569185</v>
      </c>
      <c r="T161" s="31">
        <f t="shared" ca="1" si="44"/>
        <v>2106.3704858457254</v>
      </c>
    </row>
    <row r="162" spans="1:20">
      <c r="A162" s="198">
        <f ca="1">'PRICE_IOF Ñ USAR'!A162</f>
        <v>144</v>
      </c>
      <c r="B162" s="197">
        <f ca="1">'PRICE_IOF Ñ USAR'!B162</f>
        <v>49105</v>
      </c>
      <c r="C162" s="196">
        <f t="shared" ca="1" si="36"/>
        <v>967.09514710336634</v>
      </c>
      <c r="D162" s="21">
        <f t="shared" ca="1" si="42"/>
        <v>1139.2753387423591</v>
      </c>
      <c r="E162" s="196">
        <f t="shared" ca="1" si="37"/>
        <v>122867.18080315307</v>
      </c>
      <c r="F162" s="178">
        <f t="shared" ca="1" si="38"/>
        <v>26.00519794955385</v>
      </c>
      <c r="G162" s="178">
        <f t="shared" ca="1" si="39"/>
        <v>26.319999999999997</v>
      </c>
      <c r="H162" s="177">
        <f t="shared" ca="1" si="40"/>
        <v>25</v>
      </c>
      <c r="I162" s="196"/>
      <c r="J162" s="9" t="str">
        <f t="shared" ca="1" si="30"/>
        <v/>
      </c>
      <c r="K162" s="9" t="str">
        <f t="shared" ca="1" si="31"/>
        <v/>
      </c>
      <c r="L162" s="9">
        <f t="shared" ca="1" si="32"/>
        <v>6</v>
      </c>
      <c r="N162" s="176">
        <f t="shared" ca="1" si="41"/>
        <v>31</v>
      </c>
      <c r="O162" s="176">
        <f t="shared" ca="1" si="43"/>
        <v>4377</v>
      </c>
      <c r="P162" s="175">
        <f t="shared" ca="1" si="33"/>
        <v>847.5157240417368</v>
      </c>
      <c r="Q162" s="11">
        <f t="shared" ca="1" si="34"/>
        <v>2.9930000000000002E-2</v>
      </c>
      <c r="R162" s="12">
        <f t="shared" ca="1" si="35"/>
        <v>25.366145620569185</v>
      </c>
      <c r="T162" s="31">
        <f t="shared" ca="1" si="44"/>
        <v>2106.3704858457254</v>
      </c>
    </row>
    <row r="163" spans="1:20">
      <c r="A163" s="198">
        <f ca="1">'PRICE_IOF Ñ USAR'!A163</f>
        <v>145</v>
      </c>
      <c r="B163" s="197">
        <f ca="1">'PRICE_IOF Ñ USAR'!B163</f>
        <v>49135</v>
      </c>
      <c r="C163" s="196">
        <f t="shared" ca="1" si="36"/>
        <v>975.99242245671712</v>
      </c>
      <c r="D163" s="21">
        <f t="shared" ca="1" si="42"/>
        <v>1130.3780633890083</v>
      </c>
      <c r="E163" s="196">
        <f t="shared" ca="1" si="37"/>
        <v>121891.18838069635</v>
      </c>
      <c r="F163" s="178">
        <f t="shared" ca="1" si="38"/>
        <v>25.802107968662146</v>
      </c>
      <c r="G163" s="178">
        <f t="shared" ca="1" si="39"/>
        <v>26.319999999999997</v>
      </c>
      <c r="H163" s="177">
        <f t="shared" ca="1" si="40"/>
        <v>25</v>
      </c>
      <c r="I163" s="196"/>
      <c r="J163" s="9" t="str">
        <f t="shared" ca="1" si="30"/>
        <v/>
      </c>
      <c r="K163" s="9" t="str">
        <f t="shared" ca="1" si="31"/>
        <v/>
      </c>
      <c r="L163" s="9">
        <f t="shared" ca="1" si="32"/>
        <v>7</v>
      </c>
      <c r="N163" s="176">
        <f t="shared" ca="1" si="41"/>
        <v>30</v>
      </c>
      <c r="O163" s="176">
        <f t="shared" ca="1" si="43"/>
        <v>4407</v>
      </c>
      <c r="P163" s="175">
        <f t="shared" ca="1" si="33"/>
        <v>847.5157240417368</v>
      </c>
      <c r="Q163" s="11">
        <f t="shared" ca="1" si="34"/>
        <v>2.9930000000000002E-2</v>
      </c>
      <c r="R163" s="12">
        <f t="shared" ca="1" si="35"/>
        <v>25.366145620569185</v>
      </c>
      <c r="T163" s="31">
        <f t="shared" ca="1" si="44"/>
        <v>2106.3704858457254</v>
      </c>
    </row>
    <row r="164" spans="1:20">
      <c r="A164" s="198">
        <f ca="1">'PRICE_IOF Ñ USAR'!A164</f>
        <v>146</v>
      </c>
      <c r="B164" s="197">
        <f ca="1">'PRICE_IOF Ñ USAR'!B164</f>
        <v>49166</v>
      </c>
      <c r="C164" s="196">
        <f t="shared" ca="1" si="36"/>
        <v>984.97155274331908</v>
      </c>
      <c r="D164" s="21">
        <f t="shared" ca="1" si="42"/>
        <v>1121.3989331024063</v>
      </c>
      <c r="E164" s="196">
        <f t="shared" ca="1" si="37"/>
        <v>120906.21682795303</v>
      </c>
      <c r="F164" s="178">
        <f t="shared" ca="1" si="38"/>
        <v>25.597149559946235</v>
      </c>
      <c r="G164" s="178">
        <f t="shared" ca="1" si="39"/>
        <v>26.319999999999997</v>
      </c>
      <c r="H164" s="177">
        <f t="shared" ca="1" si="40"/>
        <v>25</v>
      </c>
      <c r="I164" s="196"/>
      <c r="J164" s="9" t="str">
        <f t="shared" ca="1" si="30"/>
        <v/>
      </c>
      <c r="K164" s="9" t="str">
        <f t="shared" ca="1" si="31"/>
        <v/>
      </c>
      <c r="L164" s="9">
        <f t="shared" ca="1" si="32"/>
        <v>8</v>
      </c>
      <c r="N164" s="176">
        <f t="shared" ca="1" si="41"/>
        <v>31</v>
      </c>
      <c r="O164" s="176">
        <f t="shared" ca="1" si="43"/>
        <v>4438</v>
      </c>
      <c r="P164" s="175">
        <f t="shared" ca="1" si="33"/>
        <v>847.5157240417368</v>
      </c>
      <c r="Q164" s="11">
        <f t="shared" ca="1" si="34"/>
        <v>2.9930000000000002E-2</v>
      </c>
      <c r="R164" s="12">
        <f t="shared" ca="1" si="35"/>
        <v>25.366145620569185</v>
      </c>
      <c r="T164" s="31">
        <f t="shared" ca="1" si="44"/>
        <v>2106.3704858457254</v>
      </c>
    </row>
    <row r="165" spans="1:20">
      <c r="A165" s="198">
        <f ca="1">'PRICE_IOF Ñ USAR'!A165</f>
        <v>147</v>
      </c>
      <c r="B165" s="197">
        <f ca="1">'PRICE_IOF Ñ USAR'!B165</f>
        <v>49197</v>
      </c>
      <c r="C165" s="196">
        <f t="shared" ca="1" si="36"/>
        <v>994.03329102855764</v>
      </c>
      <c r="D165" s="21">
        <f t="shared" ca="1" si="42"/>
        <v>1112.3371948171678</v>
      </c>
      <c r="E165" s="196">
        <f t="shared" ca="1" si="37"/>
        <v>119912.18353692448</v>
      </c>
      <c r="F165" s="178">
        <f t="shared" ca="1" si="38"/>
        <v>25.390305533870137</v>
      </c>
      <c r="G165" s="178">
        <f t="shared" ca="1" si="39"/>
        <v>26.319999999999997</v>
      </c>
      <c r="H165" s="177">
        <f t="shared" ca="1" si="40"/>
        <v>25</v>
      </c>
      <c r="I165" s="196"/>
      <c r="J165" s="9" t="str">
        <f t="shared" ca="1" si="30"/>
        <v/>
      </c>
      <c r="K165" s="9" t="str">
        <f t="shared" ca="1" si="31"/>
        <v/>
      </c>
      <c r="L165" s="9">
        <f t="shared" ca="1" si="32"/>
        <v>9</v>
      </c>
      <c r="N165" s="176">
        <f t="shared" ca="1" si="41"/>
        <v>31</v>
      </c>
      <c r="O165" s="176">
        <f t="shared" ca="1" si="43"/>
        <v>4469</v>
      </c>
      <c r="P165" s="175">
        <f t="shared" ca="1" si="33"/>
        <v>847.5157240417368</v>
      </c>
      <c r="Q165" s="11">
        <f t="shared" ca="1" si="34"/>
        <v>2.9930000000000002E-2</v>
      </c>
      <c r="R165" s="12">
        <f t="shared" ca="1" si="35"/>
        <v>25.366145620569185</v>
      </c>
      <c r="T165" s="31">
        <f t="shared" ca="1" si="44"/>
        <v>2106.3704858457254</v>
      </c>
    </row>
    <row r="166" spans="1:20">
      <c r="A166" s="198">
        <f ca="1">'PRICE_IOF Ñ USAR'!A166</f>
        <v>148</v>
      </c>
      <c r="B166" s="197">
        <f ca="1">'PRICE_IOF Ñ USAR'!B166</f>
        <v>49227</v>
      </c>
      <c r="C166" s="196">
        <f t="shared" ca="1" si="36"/>
        <v>1003.1783973060201</v>
      </c>
      <c r="D166" s="21">
        <f t="shared" ca="1" si="42"/>
        <v>1103.1920885397053</v>
      </c>
      <c r="E166" s="196">
        <f t="shared" ca="1" si="37"/>
        <v>118909.00513961846</v>
      </c>
      <c r="F166" s="178">
        <f t="shared" ca="1" si="38"/>
        <v>25.181558542754143</v>
      </c>
      <c r="G166" s="178">
        <f t="shared" ca="1" si="39"/>
        <v>26.319999999999997</v>
      </c>
      <c r="H166" s="177">
        <f t="shared" ca="1" si="40"/>
        <v>25</v>
      </c>
      <c r="I166" s="196"/>
      <c r="J166" s="9" t="str">
        <f t="shared" ca="1" si="30"/>
        <v/>
      </c>
      <c r="K166" s="9" t="str">
        <f t="shared" ca="1" si="31"/>
        <v/>
      </c>
      <c r="L166" s="9">
        <f t="shared" ca="1" si="32"/>
        <v>10</v>
      </c>
      <c r="N166" s="176">
        <f t="shared" ca="1" si="41"/>
        <v>30</v>
      </c>
      <c r="O166" s="176">
        <f t="shared" ca="1" si="43"/>
        <v>4499</v>
      </c>
      <c r="P166" s="175">
        <f t="shared" ca="1" si="33"/>
        <v>847.5157240417368</v>
      </c>
      <c r="Q166" s="11">
        <f t="shared" ca="1" si="34"/>
        <v>2.9930000000000002E-2</v>
      </c>
      <c r="R166" s="12">
        <f t="shared" ca="1" si="35"/>
        <v>25.366145620569185</v>
      </c>
      <c r="T166" s="31">
        <f t="shared" ca="1" si="44"/>
        <v>2106.3704858457254</v>
      </c>
    </row>
    <row r="167" spans="1:20">
      <c r="A167" s="198">
        <f ca="1">'PRICE_IOF Ñ USAR'!A167</f>
        <v>149</v>
      </c>
      <c r="B167" s="197">
        <f ca="1">'PRICE_IOF Ñ USAR'!B167</f>
        <v>49258</v>
      </c>
      <c r="C167" s="196">
        <f t="shared" ca="1" si="36"/>
        <v>1012.4076385612357</v>
      </c>
      <c r="D167" s="21">
        <f t="shared" ca="1" si="42"/>
        <v>1093.9628472844897</v>
      </c>
      <c r="E167" s="196">
        <f t="shared" ca="1" si="37"/>
        <v>117896.59750105721</v>
      </c>
      <c r="F167" s="178">
        <f t="shared" ca="1" si="38"/>
        <v>24.970891079319877</v>
      </c>
      <c r="G167" s="178">
        <f t="shared" ca="1" si="39"/>
        <v>26.319999999999997</v>
      </c>
      <c r="H167" s="177">
        <f t="shared" ca="1" si="40"/>
        <v>25</v>
      </c>
      <c r="I167" s="196"/>
      <c r="J167" s="9" t="str">
        <f t="shared" ca="1" si="30"/>
        <v/>
      </c>
      <c r="K167" s="9" t="str">
        <f t="shared" ca="1" si="31"/>
        <v/>
      </c>
      <c r="L167" s="9">
        <f t="shared" ca="1" si="32"/>
        <v>11</v>
      </c>
      <c r="N167" s="176">
        <f t="shared" ca="1" si="41"/>
        <v>31</v>
      </c>
      <c r="O167" s="176">
        <f t="shared" ca="1" si="43"/>
        <v>4530</v>
      </c>
      <c r="P167" s="175">
        <f t="shared" ca="1" si="33"/>
        <v>847.5157240417368</v>
      </c>
      <c r="Q167" s="11">
        <f t="shared" ca="1" si="34"/>
        <v>2.9930000000000002E-2</v>
      </c>
      <c r="R167" s="12">
        <f t="shared" ca="1" si="35"/>
        <v>25.366145620569185</v>
      </c>
      <c r="T167" s="31">
        <f t="shared" ca="1" si="44"/>
        <v>2106.3704858457254</v>
      </c>
    </row>
    <row r="168" spans="1:20">
      <c r="A168" s="198">
        <f ca="1">'PRICE_IOF Ñ USAR'!A168</f>
        <v>150</v>
      </c>
      <c r="B168" s="197">
        <f ca="1">'PRICE_IOF Ñ USAR'!B168</f>
        <v>49288</v>
      </c>
      <c r="C168" s="196">
        <f t="shared" ca="1" si="36"/>
        <v>1021.721788835999</v>
      </c>
      <c r="D168" s="21">
        <f t="shared" ca="1" si="42"/>
        <v>1084.6486970097264</v>
      </c>
      <c r="E168" s="196">
        <f t="shared" ca="1" si="37"/>
        <v>116874.87571222121</v>
      </c>
      <c r="F168" s="178">
        <f t="shared" ca="1" si="38"/>
        <v>24.758285475222017</v>
      </c>
      <c r="G168" s="178">
        <f t="shared" ca="1" si="39"/>
        <v>26.319999999999997</v>
      </c>
      <c r="H168" s="177">
        <f t="shared" ca="1" si="40"/>
        <v>25</v>
      </c>
      <c r="I168" s="196"/>
      <c r="J168" s="9" t="str">
        <f t="shared" ca="1" si="30"/>
        <v/>
      </c>
      <c r="K168" s="9" t="str">
        <f t="shared" ca="1" si="31"/>
        <v/>
      </c>
      <c r="L168" s="9">
        <f t="shared" ca="1" si="32"/>
        <v>12</v>
      </c>
      <c r="N168" s="176">
        <f t="shared" ca="1" si="41"/>
        <v>30</v>
      </c>
      <c r="O168" s="176">
        <f t="shared" ca="1" si="43"/>
        <v>4560</v>
      </c>
      <c r="P168" s="175">
        <f t="shared" ca="1" si="33"/>
        <v>847.5157240417368</v>
      </c>
      <c r="Q168" s="11">
        <f t="shared" ca="1" si="34"/>
        <v>2.9930000000000002E-2</v>
      </c>
      <c r="R168" s="12">
        <f t="shared" ca="1" si="35"/>
        <v>25.366145620569185</v>
      </c>
      <c r="T168" s="31">
        <f t="shared" ca="1" si="44"/>
        <v>2106.3704858457254</v>
      </c>
    </row>
    <row r="169" spans="1:20">
      <c r="A169" s="198">
        <f ca="1">'PRICE_IOF Ñ USAR'!A169</f>
        <v>151</v>
      </c>
      <c r="B169" s="197">
        <f ca="1">'PRICE_IOF Ñ USAR'!B169</f>
        <v>49319</v>
      </c>
      <c r="C169" s="196">
        <f t="shared" ca="1" si="36"/>
        <v>1031.1216292932902</v>
      </c>
      <c r="D169" s="21">
        <f t="shared" ca="1" si="42"/>
        <v>1075.2488565524352</v>
      </c>
      <c r="E169" s="196">
        <f t="shared" ca="1" si="37"/>
        <v>115843.75408292792</v>
      </c>
      <c r="F169" s="178">
        <f t="shared" ca="1" si="38"/>
        <v>24.543723899566455</v>
      </c>
      <c r="G169" s="178">
        <f t="shared" ca="1" si="39"/>
        <v>26.319999999999997</v>
      </c>
      <c r="H169" s="177">
        <f t="shared" ca="1" si="40"/>
        <v>25</v>
      </c>
      <c r="I169" s="196"/>
      <c r="J169" s="9" t="str">
        <f t="shared" ca="1" si="30"/>
        <v/>
      </c>
      <c r="K169" s="9" t="str">
        <f t="shared" ca="1" si="31"/>
        <v/>
      </c>
      <c r="L169" s="9">
        <f t="shared" ca="1" si="32"/>
        <v>1</v>
      </c>
      <c r="N169" s="176">
        <f t="shared" ca="1" si="41"/>
        <v>31</v>
      </c>
      <c r="O169" s="176">
        <f t="shared" ca="1" si="43"/>
        <v>4591</v>
      </c>
      <c r="P169" s="175">
        <f t="shared" ca="1" si="33"/>
        <v>847.5157240417368</v>
      </c>
      <c r="Q169" s="11">
        <f t="shared" ca="1" si="34"/>
        <v>2.9930000000000002E-2</v>
      </c>
      <c r="R169" s="12">
        <f t="shared" ca="1" si="35"/>
        <v>25.366145620569185</v>
      </c>
      <c r="T169" s="31">
        <f t="shared" ca="1" si="44"/>
        <v>2106.3704858457254</v>
      </c>
    </row>
    <row r="170" spans="1:20">
      <c r="A170" s="198">
        <f ca="1">'PRICE_IOF Ñ USAR'!A170</f>
        <v>152</v>
      </c>
      <c r="B170" s="197">
        <f ca="1">'PRICE_IOF Ñ USAR'!B170</f>
        <v>49350</v>
      </c>
      <c r="C170" s="196">
        <f t="shared" ca="1" si="36"/>
        <v>1040.6079482827886</v>
      </c>
      <c r="D170" s="21">
        <f t="shared" ca="1" si="42"/>
        <v>1065.7625375629368</v>
      </c>
      <c r="E170" s="196">
        <f t="shared" ca="1" si="37"/>
        <v>114803.14613464513</v>
      </c>
      <c r="F170" s="178">
        <f t="shared" ca="1" si="38"/>
        <v>24.327188357414865</v>
      </c>
      <c r="G170" s="178">
        <f t="shared" ca="1" si="39"/>
        <v>26.319999999999997</v>
      </c>
      <c r="H170" s="177">
        <f t="shared" ca="1" si="40"/>
        <v>25</v>
      </c>
      <c r="I170" s="196"/>
      <c r="J170" s="9" t="str">
        <f t="shared" ca="1" si="30"/>
        <v/>
      </c>
      <c r="K170" s="9" t="str">
        <f t="shared" ca="1" si="31"/>
        <v/>
      </c>
      <c r="L170" s="9">
        <f t="shared" ca="1" si="32"/>
        <v>2</v>
      </c>
      <c r="N170" s="176">
        <f t="shared" ca="1" si="41"/>
        <v>31</v>
      </c>
      <c r="O170" s="176">
        <f t="shared" ca="1" si="43"/>
        <v>4622</v>
      </c>
      <c r="P170" s="175">
        <f t="shared" ca="1" si="33"/>
        <v>847.5157240417368</v>
      </c>
      <c r="Q170" s="11">
        <f t="shared" ca="1" si="34"/>
        <v>2.9930000000000002E-2</v>
      </c>
      <c r="R170" s="12">
        <f t="shared" ca="1" si="35"/>
        <v>25.366145620569185</v>
      </c>
      <c r="T170" s="31">
        <f t="shared" ca="1" si="44"/>
        <v>2106.3704858457254</v>
      </c>
    </row>
    <row r="171" spans="1:20">
      <c r="A171" s="198">
        <f ca="1">'PRICE_IOF Ñ USAR'!A171</f>
        <v>153</v>
      </c>
      <c r="B171" s="197">
        <f ca="1">'PRICE_IOF Ñ USAR'!B171</f>
        <v>49378</v>
      </c>
      <c r="C171" s="196">
        <f t="shared" ca="1" si="36"/>
        <v>1050.1815414069902</v>
      </c>
      <c r="D171" s="21">
        <f t="shared" ca="1" si="42"/>
        <v>1056.1889444387352</v>
      </c>
      <c r="E171" s="196">
        <f t="shared" ca="1" si="37"/>
        <v>113752.96459323814</v>
      </c>
      <c r="F171" s="178">
        <f t="shared" ca="1" si="38"/>
        <v>24.108660688275478</v>
      </c>
      <c r="G171" s="178">
        <f t="shared" ca="1" si="39"/>
        <v>26.319999999999997</v>
      </c>
      <c r="H171" s="177">
        <f t="shared" ca="1" si="40"/>
        <v>25</v>
      </c>
      <c r="I171" s="196"/>
      <c r="J171" s="9" t="str">
        <f t="shared" ca="1" si="30"/>
        <v/>
      </c>
      <c r="K171" s="9" t="str">
        <f t="shared" ca="1" si="31"/>
        <v/>
      </c>
      <c r="L171" s="9">
        <f t="shared" ca="1" si="32"/>
        <v>3</v>
      </c>
      <c r="N171" s="176">
        <f t="shared" ca="1" si="41"/>
        <v>28</v>
      </c>
      <c r="O171" s="176">
        <f t="shared" ca="1" si="43"/>
        <v>4650</v>
      </c>
      <c r="P171" s="175">
        <f t="shared" ca="1" si="33"/>
        <v>847.5157240417368</v>
      </c>
      <c r="Q171" s="11">
        <f t="shared" ca="1" si="34"/>
        <v>2.9930000000000002E-2</v>
      </c>
      <c r="R171" s="12">
        <f t="shared" ca="1" si="35"/>
        <v>25.366145620569185</v>
      </c>
      <c r="T171" s="31">
        <f t="shared" ca="1" si="44"/>
        <v>2106.3704858457254</v>
      </c>
    </row>
    <row r="172" spans="1:20">
      <c r="A172" s="198">
        <f ca="1">'PRICE_IOF Ñ USAR'!A172</f>
        <v>154</v>
      </c>
      <c r="B172" s="197">
        <f ca="1">'PRICE_IOF Ñ USAR'!B172</f>
        <v>49409</v>
      </c>
      <c r="C172" s="196">
        <f t="shared" ca="1" si="36"/>
        <v>1059.8432115879345</v>
      </c>
      <c r="D172" s="21">
        <f t="shared" ca="1" si="42"/>
        <v>1046.5272742577909</v>
      </c>
      <c r="E172" s="196">
        <f t="shared" ca="1" si="37"/>
        <v>112693.1213816502</v>
      </c>
      <c r="F172" s="178">
        <f t="shared" ca="1" si="38"/>
        <v>23.888122564580009</v>
      </c>
      <c r="G172" s="178">
        <f t="shared" ca="1" si="39"/>
        <v>26.319999999999997</v>
      </c>
      <c r="H172" s="177">
        <f t="shared" ca="1" si="40"/>
        <v>25</v>
      </c>
      <c r="I172" s="196"/>
      <c r="J172" s="9" t="str">
        <f t="shared" ca="1" si="30"/>
        <v/>
      </c>
      <c r="K172" s="9" t="str">
        <f t="shared" ca="1" si="31"/>
        <v/>
      </c>
      <c r="L172" s="9">
        <f t="shared" ca="1" si="32"/>
        <v>4</v>
      </c>
      <c r="N172" s="176">
        <f t="shared" ca="1" si="41"/>
        <v>31</v>
      </c>
      <c r="O172" s="176">
        <f t="shared" ca="1" si="43"/>
        <v>4681</v>
      </c>
      <c r="P172" s="175">
        <f t="shared" ca="1" si="33"/>
        <v>847.5157240417368</v>
      </c>
      <c r="Q172" s="11">
        <f t="shared" ca="1" si="34"/>
        <v>2.9930000000000002E-2</v>
      </c>
      <c r="R172" s="12">
        <f t="shared" ca="1" si="35"/>
        <v>25.366145620569185</v>
      </c>
      <c r="T172" s="31">
        <f t="shared" ca="1" si="44"/>
        <v>2106.3704858457254</v>
      </c>
    </row>
    <row r="173" spans="1:20">
      <c r="A173" s="198">
        <f ca="1">'PRICE_IOF Ñ USAR'!A173</f>
        <v>155</v>
      </c>
      <c r="B173" s="197">
        <f ca="1">'PRICE_IOF Ñ USAR'!B173</f>
        <v>49439</v>
      </c>
      <c r="C173" s="196">
        <f t="shared" ca="1" si="36"/>
        <v>1069.5937691345437</v>
      </c>
      <c r="D173" s="21">
        <f t="shared" ca="1" si="42"/>
        <v>1036.7767167111817</v>
      </c>
      <c r="E173" s="196">
        <f t="shared" ca="1" si="37"/>
        <v>111623.52761251565</v>
      </c>
      <c r="F173" s="178">
        <f t="shared" ca="1" si="38"/>
        <v>23.665555490146541</v>
      </c>
      <c r="G173" s="178">
        <f t="shared" ca="1" si="39"/>
        <v>26.319999999999997</v>
      </c>
      <c r="H173" s="177">
        <f t="shared" ca="1" si="40"/>
        <v>25</v>
      </c>
      <c r="I173" s="196"/>
      <c r="J173" s="9" t="str">
        <f t="shared" ca="1" si="30"/>
        <v/>
      </c>
      <c r="K173" s="9" t="str">
        <f t="shared" ca="1" si="31"/>
        <v/>
      </c>
      <c r="L173" s="9">
        <f t="shared" ca="1" si="32"/>
        <v>5</v>
      </c>
      <c r="N173" s="176">
        <f t="shared" ca="1" si="41"/>
        <v>30</v>
      </c>
      <c r="O173" s="176">
        <f t="shared" ca="1" si="43"/>
        <v>4711</v>
      </c>
      <c r="P173" s="175">
        <f t="shared" ca="1" si="33"/>
        <v>847.5157240417368</v>
      </c>
      <c r="Q173" s="11">
        <f t="shared" ca="1" si="34"/>
        <v>2.9930000000000002E-2</v>
      </c>
      <c r="R173" s="12">
        <f t="shared" ca="1" si="35"/>
        <v>25.366145620569185</v>
      </c>
      <c r="T173" s="31">
        <f t="shared" ca="1" si="44"/>
        <v>2106.3704858457254</v>
      </c>
    </row>
    <row r="174" spans="1:20">
      <c r="A174" s="198">
        <f ca="1">'PRICE_IOF Ñ USAR'!A174</f>
        <v>156</v>
      </c>
      <c r="B174" s="197">
        <f ca="1">'PRICE_IOF Ñ USAR'!B174</f>
        <v>49470</v>
      </c>
      <c r="C174" s="196">
        <f t="shared" ca="1" si="36"/>
        <v>1079.4340318105815</v>
      </c>
      <c r="D174" s="21">
        <f t="shared" ca="1" si="42"/>
        <v>1026.9364540351439</v>
      </c>
      <c r="E174" s="196">
        <f t="shared" ca="1" si="37"/>
        <v>110544.09358070507</v>
      </c>
      <c r="F174" s="178">
        <f t="shared" ca="1" si="38"/>
        <v>23.440940798628287</v>
      </c>
      <c r="G174" s="178">
        <f t="shared" ca="1" si="39"/>
        <v>26.319999999999997</v>
      </c>
      <c r="H174" s="177">
        <f t="shared" ca="1" si="40"/>
        <v>25</v>
      </c>
      <c r="I174" s="196"/>
      <c r="J174" s="9" t="str">
        <f t="shared" ca="1" si="30"/>
        <v/>
      </c>
      <c r="K174" s="9" t="str">
        <f t="shared" ca="1" si="31"/>
        <v/>
      </c>
      <c r="L174" s="9">
        <f t="shared" ca="1" si="32"/>
        <v>6</v>
      </c>
      <c r="N174" s="176">
        <f t="shared" ca="1" si="41"/>
        <v>31</v>
      </c>
      <c r="O174" s="176">
        <f t="shared" ca="1" si="43"/>
        <v>4742</v>
      </c>
      <c r="P174" s="175">
        <f t="shared" ca="1" si="33"/>
        <v>847.5157240417368</v>
      </c>
      <c r="Q174" s="11">
        <f t="shared" ca="1" si="34"/>
        <v>2.9930000000000002E-2</v>
      </c>
      <c r="R174" s="12">
        <f t="shared" ca="1" si="35"/>
        <v>25.366145620569185</v>
      </c>
      <c r="T174" s="31">
        <f t="shared" ca="1" si="44"/>
        <v>2106.3704858457254</v>
      </c>
    </row>
    <row r="175" spans="1:20">
      <c r="A175" s="198">
        <f ca="1">'PRICE_IOF Ñ USAR'!A175</f>
        <v>157</v>
      </c>
      <c r="B175" s="197">
        <f ca="1">'PRICE_IOF Ñ USAR'!B175</f>
        <v>49500</v>
      </c>
      <c r="C175" s="196">
        <f t="shared" ca="1" si="36"/>
        <v>1089.3648249032387</v>
      </c>
      <c r="D175" s="21">
        <f t="shared" ca="1" si="42"/>
        <v>1017.0056609424867</v>
      </c>
      <c r="E175" s="196">
        <f t="shared" ca="1" si="37"/>
        <v>109454.72875580183</v>
      </c>
      <c r="F175" s="178">
        <f t="shared" ca="1" si="38"/>
        <v>23.214259651948066</v>
      </c>
      <c r="G175" s="178">
        <f t="shared" ca="1" si="39"/>
        <v>26.319999999999997</v>
      </c>
      <c r="H175" s="177">
        <f t="shared" ca="1" si="40"/>
        <v>25</v>
      </c>
      <c r="I175" s="196"/>
      <c r="J175" s="9" t="str">
        <f t="shared" ca="1" si="30"/>
        <v/>
      </c>
      <c r="K175" s="9" t="str">
        <f t="shared" ca="1" si="31"/>
        <v/>
      </c>
      <c r="L175" s="9">
        <f t="shared" ca="1" si="32"/>
        <v>7</v>
      </c>
      <c r="N175" s="176">
        <f t="shared" ca="1" si="41"/>
        <v>30</v>
      </c>
      <c r="O175" s="176">
        <f t="shared" ca="1" si="43"/>
        <v>4772</v>
      </c>
      <c r="P175" s="175">
        <f t="shared" ca="1" si="33"/>
        <v>847.5157240417368</v>
      </c>
      <c r="Q175" s="11">
        <f t="shared" ca="1" si="34"/>
        <v>2.9930000000000002E-2</v>
      </c>
      <c r="R175" s="12">
        <f t="shared" ca="1" si="35"/>
        <v>25.366145620569185</v>
      </c>
      <c r="T175" s="31">
        <f t="shared" ca="1" si="44"/>
        <v>2106.3704858457254</v>
      </c>
    </row>
    <row r="176" spans="1:20">
      <c r="A176" s="198">
        <f ca="1">'PRICE_IOF Ñ USAR'!A176</f>
        <v>158</v>
      </c>
      <c r="B176" s="197">
        <f ca="1">'PRICE_IOF Ñ USAR'!B176</f>
        <v>49531</v>
      </c>
      <c r="C176" s="196">
        <f t="shared" ca="1" si="36"/>
        <v>1099.3869812923485</v>
      </c>
      <c r="D176" s="21">
        <f t="shared" ca="1" si="42"/>
        <v>1006.9835045533769</v>
      </c>
      <c r="E176" s="196">
        <f t="shared" ca="1" si="37"/>
        <v>108355.34177450948</v>
      </c>
      <c r="F176" s="178">
        <f t="shared" ca="1" si="38"/>
        <v>22.985493038718385</v>
      </c>
      <c r="G176" s="178">
        <f t="shared" ca="1" si="39"/>
        <v>26.319999999999997</v>
      </c>
      <c r="H176" s="177">
        <f t="shared" ca="1" si="40"/>
        <v>25</v>
      </c>
      <c r="I176" s="196"/>
      <c r="J176" s="9" t="str">
        <f t="shared" ca="1" si="30"/>
        <v/>
      </c>
      <c r="K176" s="9" t="str">
        <f t="shared" ca="1" si="31"/>
        <v/>
      </c>
      <c r="L176" s="9">
        <f t="shared" ca="1" si="32"/>
        <v>8</v>
      </c>
      <c r="N176" s="176">
        <f t="shared" ca="1" si="41"/>
        <v>31</v>
      </c>
      <c r="O176" s="176">
        <f t="shared" ca="1" si="43"/>
        <v>4803</v>
      </c>
      <c r="P176" s="175">
        <f t="shared" ca="1" si="33"/>
        <v>847.5157240417368</v>
      </c>
      <c r="Q176" s="11">
        <f t="shared" ca="1" si="34"/>
        <v>2.9930000000000002E-2</v>
      </c>
      <c r="R176" s="12">
        <f t="shared" ca="1" si="35"/>
        <v>25.366145620569185</v>
      </c>
      <c r="T176" s="31">
        <f t="shared" ca="1" si="44"/>
        <v>2106.3704858457254</v>
      </c>
    </row>
    <row r="177" spans="1:20">
      <c r="A177" s="198">
        <f ca="1">'PRICE_IOF Ñ USAR'!A177</f>
        <v>159</v>
      </c>
      <c r="B177" s="197">
        <f ca="1">'PRICE_IOF Ñ USAR'!B177</f>
        <v>49562</v>
      </c>
      <c r="C177" s="196">
        <f t="shared" ca="1" si="36"/>
        <v>1109.5013415202384</v>
      </c>
      <c r="D177" s="21">
        <f t="shared" ca="1" si="42"/>
        <v>996.86914432548713</v>
      </c>
      <c r="E177" s="196">
        <f t="shared" ca="1" si="37"/>
        <v>107245.84043298924</v>
      </c>
      <c r="F177" s="178">
        <f t="shared" ca="1" si="38"/>
        <v>22.754621772646992</v>
      </c>
      <c r="G177" s="178">
        <f t="shared" ca="1" si="39"/>
        <v>26.319999999999997</v>
      </c>
      <c r="H177" s="177">
        <f t="shared" ca="1" si="40"/>
        <v>25</v>
      </c>
      <c r="I177" s="196"/>
      <c r="J177" s="9" t="str">
        <f t="shared" ca="1" si="30"/>
        <v/>
      </c>
      <c r="K177" s="9" t="str">
        <f t="shared" ca="1" si="31"/>
        <v/>
      </c>
      <c r="L177" s="9">
        <f t="shared" ca="1" si="32"/>
        <v>9</v>
      </c>
      <c r="N177" s="176">
        <f t="shared" ca="1" si="41"/>
        <v>31</v>
      </c>
      <c r="O177" s="176">
        <f t="shared" ca="1" si="43"/>
        <v>4834</v>
      </c>
      <c r="P177" s="175">
        <f t="shared" ca="1" si="33"/>
        <v>847.5157240417368</v>
      </c>
      <c r="Q177" s="11">
        <f t="shared" ca="1" si="34"/>
        <v>2.9930000000000002E-2</v>
      </c>
      <c r="R177" s="12">
        <f t="shared" ca="1" si="35"/>
        <v>25.366145620569185</v>
      </c>
      <c r="T177" s="31">
        <f t="shared" ca="1" si="44"/>
        <v>2106.3704858457254</v>
      </c>
    </row>
    <row r="178" spans="1:20">
      <c r="A178" s="198">
        <f ca="1">'PRICE_IOF Ñ USAR'!A178</f>
        <v>160</v>
      </c>
      <c r="B178" s="197">
        <f ca="1">'PRICE_IOF Ñ USAR'!B178</f>
        <v>49592</v>
      </c>
      <c r="C178" s="196">
        <f t="shared" ca="1" si="36"/>
        <v>1119.7087538622245</v>
      </c>
      <c r="D178" s="21">
        <f t="shared" ca="1" si="42"/>
        <v>986.661731983501</v>
      </c>
      <c r="E178" s="196">
        <f t="shared" ca="1" si="37"/>
        <v>106126.13167912701</v>
      </c>
      <c r="F178" s="178">
        <f t="shared" ca="1" si="38"/>
        <v>22.521626490927741</v>
      </c>
      <c r="G178" s="178">
        <f t="shared" ca="1" si="39"/>
        <v>26.319999999999997</v>
      </c>
      <c r="H178" s="177">
        <f t="shared" ca="1" si="40"/>
        <v>25</v>
      </c>
      <c r="I178" s="196"/>
      <c r="J178" s="9" t="str">
        <f t="shared" ca="1" si="30"/>
        <v/>
      </c>
      <c r="K178" s="9" t="str">
        <f t="shared" ca="1" si="31"/>
        <v/>
      </c>
      <c r="L178" s="9">
        <f t="shared" ca="1" si="32"/>
        <v>10</v>
      </c>
      <c r="N178" s="176">
        <f t="shared" ca="1" si="41"/>
        <v>30</v>
      </c>
      <c r="O178" s="176">
        <f t="shared" ca="1" si="43"/>
        <v>4864</v>
      </c>
      <c r="P178" s="175">
        <f t="shared" ca="1" si="33"/>
        <v>847.5157240417368</v>
      </c>
      <c r="Q178" s="11">
        <f t="shared" ca="1" si="34"/>
        <v>2.9930000000000002E-2</v>
      </c>
      <c r="R178" s="12">
        <f t="shared" ca="1" si="35"/>
        <v>25.366145620569185</v>
      </c>
      <c r="T178" s="31">
        <f t="shared" ca="1" si="44"/>
        <v>2106.3704858457254</v>
      </c>
    </row>
    <row r="179" spans="1:20">
      <c r="A179" s="198">
        <f ca="1">'PRICE_IOF Ñ USAR'!A179</f>
        <v>161</v>
      </c>
      <c r="B179" s="197">
        <f ca="1">'PRICE_IOF Ñ USAR'!B179</f>
        <v>49623</v>
      </c>
      <c r="C179" s="196">
        <f t="shared" ca="1" si="36"/>
        <v>1130.0100743977569</v>
      </c>
      <c r="D179" s="21">
        <f t="shared" ca="1" si="42"/>
        <v>976.36041144796843</v>
      </c>
      <c r="E179" s="196">
        <f t="shared" ca="1" si="37"/>
        <v>104996.12160472925</v>
      </c>
      <c r="F179" s="178">
        <f t="shared" ca="1" si="38"/>
        <v>22.286487652616671</v>
      </c>
      <c r="G179" s="178">
        <f t="shared" ca="1" si="39"/>
        <v>26.319999999999997</v>
      </c>
      <c r="H179" s="177">
        <f t="shared" ca="1" si="40"/>
        <v>25</v>
      </c>
      <c r="I179" s="196"/>
      <c r="J179" s="9" t="str">
        <f t="shared" ca="1" si="30"/>
        <v/>
      </c>
      <c r="K179" s="9" t="str">
        <f t="shared" ca="1" si="31"/>
        <v/>
      </c>
      <c r="L179" s="9">
        <f t="shared" ca="1" si="32"/>
        <v>11</v>
      </c>
      <c r="N179" s="176">
        <f t="shared" ca="1" si="41"/>
        <v>31</v>
      </c>
      <c r="O179" s="176">
        <f t="shared" ca="1" si="43"/>
        <v>4895</v>
      </c>
      <c r="P179" s="175">
        <f t="shared" ca="1" si="33"/>
        <v>847.5157240417368</v>
      </c>
      <c r="Q179" s="11">
        <f t="shared" ca="1" si="34"/>
        <v>2.9930000000000002E-2</v>
      </c>
      <c r="R179" s="12">
        <f t="shared" ca="1" si="35"/>
        <v>25.366145620569185</v>
      </c>
      <c r="T179" s="31">
        <f t="shared" ca="1" si="44"/>
        <v>2106.3704858457254</v>
      </c>
    </row>
    <row r="180" spans="1:20">
      <c r="A180" s="198">
        <f ca="1">'PRICE_IOF Ñ USAR'!A180</f>
        <v>162</v>
      </c>
      <c r="B180" s="197">
        <f ca="1">'PRICE_IOF Ñ USAR'!B180</f>
        <v>49653</v>
      </c>
      <c r="C180" s="196">
        <f t="shared" ca="1" si="36"/>
        <v>1140.4061670822161</v>
      </c>
      <c r="D180" s="21">
        <f t="shared" ca="1" si="42"/>
        <v>965.96431876350914</v>
      </c>
      <c r="E180" s="196">
        <f t="shared" ca="1" si="37"/>
        <v>103855.71543764704</v>
      </c>
      <c r="F180" s="178">
        <f t="shared" ca="1" si="38"/>
        <v>22.049185536993143</v>
      </c>
      <c r="G180" s="178">
        <f t="shared" ca="1" si="39"/>
        <v>26.319999999999997</v>
      </c>
      <c r="H180" s="177">
        <f t="shared" ca="1" si="40"/>
        <v>25</v>
      </c>
      <c r="I180" s="196"/>
      <c r="J180" s="9" t="str">
        <f t="shared" ca="1" si="30"/>
        <v/>
      </c>
      <c r="K180" s="9" t="str">
        <f t="shared" ca="1" si="31"/>
        <v/>
      </c>
      <c r="L180" s="9">
        <f t="shared" ca="1" si="32"/>
        <v>12</v>
      </c>
      <c r="N180" s="176">
        <f t="shared" ca="1" si="41"/>
        <v>30</v>
      </c>
      <c r="O180" s="176">
        <f t="shared" ca="1" si="43"/>
        <v>4925</v>
      </c>
      <c r="P180" s="175">
        <f t="shared" ca="1" si="33"/>
        <v>847.5157240417368</v>
      </c>
      <c r="Q180" s="11">
        <f t="shared" ca="1" si="34"/>
        <v>2.9930000000000002E-2</v>
      </c>
      <c r="R180" s="12">
        <f t="shared" ca="1" si="35"/>
        <v>25.366145620569185</v>
      </c>
      <c r="T180" s="31">
        <f t="shared" ca="1" si="44"/>
        <v>2106.3704858457254</v>
      </c>
    </row>
    <row r="181" spans="1:20">
      <c r="A181" s="198">
        <f ca="1">'PRICE_IOF Ñ USAR'!A181</f>
        <v>163</v>
      </c>
      <c r="B181" s="197">
        <f ca="1">'PRICE_IOF Ñ USAR'!B181</f>
        <v>49684</v>
      </c>
      <c r="C181" s="196">
        <f t="shared" ca="1" si="36"/>
        <v>1150.8979038193725</v>
      </c>
      <c r="D181" s="21">
        <f t="shared" ca="1" si="42"/>
        <v>955.47258202635282</v>
      </c>
      <c r="E181" s="196">
        <f t="shared" ca="1" si="37"/>
        <v>102704.81753382766</v>
      </c>
      <c r="F181" s="178">
        <f t="shared" ca="1" si="38"/>
        <v>21.80970024190588</v>
      </c>
      <c r="G181" s="178">
        <f t="shared" ca="1" si="39"/>
        <v>26.319999999999997</v>
      </c>
      <c r="H181" s="177">
        <f t="shared" ca="1" si="40"/>
        <v>25</v>
      </c>
      <c r="I181" s="196"/>
      <c r="J181" s="9" t="str">
        <f t="shared" ca="1" si="30"/>
        <v/>
      </c>
      <c r="K181" s="9" t="str">
        <f t="shared" ca="1" si="31"/>
        <v/>
      </c>
      <c r="L181" s="9">
        <f t="shared" ca="1" si="32"/>
        <v>1</v>
      </c>
      <c r="N181" s="176">
        <f t="shared" ca="1" si="41"/>
        <v>31</v>
      </c>
      <c r="O181" s="176">
        <f t="shared" ca="1" si="43"/>
        <v>4956</v>
      </c>
      <c r="P181" s="175">
        <f t="shared" ca="1" si="33"/>
        <v>847.5157240417368</v>
      </c>
      <c r="Q181" s="11">
        <f t="shared" ca="1" si="34"/>
        <v>2.9930000000000002E-2</v>
      </c>
      <c r="R181" s="12">
        <f t="shared" ca="1" si="35"/>
        <v>25.366145620569185</v>
      </c>
      <c r="T181" s="31">
        <f t="shared" ca="1" si="44"/>
        <v>2106.3704858457254</v>
      </c>
    </row>
    <row r="182" spans="1:20">
      <c r="A182" s="198">
        <f ca="1">'PRICE_IOF Ñ USAR'!A182</f>
        <v>164</v>
      </c>
      <c r="B182" s="197">
        <f ca="1">'PRICE_IOF Ñ USAR'!B182</f>
        <v>49715</v>
      </c>
      <c r="C182" s="196">
        <f t="shared" ca="1" si="36"/>
        <v>1161.4861645345109</v>
      </c>
      <c r="D182" s="21">
        <f t="shared" ca="1" si="42"/>
        <v>944.88432131121453</v>
      </c>
      <c r="E182" s="196">
        <f t="shared" ca="1" si="37"/>
        <v>101543.33136929316</v>
      </c>
      <c r="F182" s="178">
        <f t="shared" ca="1" si="38"/>
        <v>21.568011682103812</v>
      </c>
      <c r="G182" s="178">
        <f t="shared" ca="1" si="39"/>
        <v>26.319999999999997</v>
      </c>
      <c r="H182" s="177">
        <f t="shared" ca="1" si="40"/>
        <v>25</v>
      </c>
      <c r="I182" s="196"/>
      <c r="J182" s="9" t="str">
        <f t="shared" ca="1" si="30"/>
        <v/>
      </c>
      <c r="K182" s="9" t="str">
        <f t="shared" ca="1" si="31"/>
        <v/>
      </c>
      <c r="L182" s="9">
        <f t="shared" ca="1" si="32"/>
        <v>2</v>
      </c>
      <c r="N182" s="176">
        <f t="shared" ca="1" si="41"/>
        <v>31</v>
      </c>
      <c r="O182" s="176">
        <f t="shared" ca="1" si="43"/>
        <v>4987</v>
      </c>
      <c r="P182" s="175">
        <f t="shared" ca="1" si="33"/>
        <v>847.5157240417368</v>
      </c>
      <c r="Q182" s="11">
        <f t="shared" ca="1" si="34"/>
        <v>2.9930000000000002E-2</v>
      </c>
      <c r="R182" s="12">
        <f t="shared" ca="1" si="35"/>
        <v>25.366145620569185</v>
      </c>
      <c r="T182" s="31">
        <f t="shared" ca="1" si="44"/>
        <v>2106.3704858457254</v>
      </c>
    </row>
    <row r="183" spans="1:20">
      <c r="A183" s="198">
        <f ca="1">'PRICE_IOF Ñ USAR'!A183</f>
        <v>165</v>
      </c>
      <c r="B183" s="197">
        <f ca="1">'PRICE_IOF Ñ USAR'!B183</f>
        <v>49744</v>
      </c>
      <c r="C183" s="196">
        <f t="shared" ca="1" si="36"/>
        <v>1172.1718372482283</v>
      </c>
      <c r="D183" s="21">
        <f t="shared" ca="1" si="42"/>
        <v>934.19864859749703</v>
      </c>
      <c r="E183" s="196">
        <f t="shared" ca="1" si="37"/>
        <v>100371.15953204493</v>
      </c>
      <c r="F183" s="178">
        <f t="shared" ca="1" si="38"/>
        <v>21.324099587551565</v>
      </c>
      <c r="G183" s="178">
        <f t="shared" ca="1" si="39"/>
        <v>26.319999999999997</v>
      </c>
      <c r="H183" s="177">
        <f t="shared" ca="1" si="40"/>
        <v>25</v>
      </c>
      <c r="I183" s="196"/>
      <c r="J183" s="9" t="str">
        <f t="shared" ca="1" si="30"/>
        <v/>
      </c>
      <c r="K183" s="9" t="str">
        <f t="shared" ca="1" si="31"/>
        <v/>
      </c>
      <c r="L183" s="9">
        <f t="shared" ca="1" si="32"/>
        <v>3</v>
      </c>
      <c r="N183" s="176">
        <f t="shared" ca="1" si="41"/>
        <v>29</v>
      </c>
      <c r="O183" s="176">
        <f t="shared" ca="1" si="43"/>
        <v>5016</v>
      </c>
      <c r="P183" s="175">
        <f t="shared" ca="1" si="33"/>
        <v>847.5157240417368</v>
      </c>
      <c r="Q183" s="11">
        <f t="shared" ca="1" si="34"/>
        <v>2.9930000000000002E-2</v>
      </c>
      <c r="R183" s="12">
        <f t="shared" ca="1" si="35"/>
        <v>25.366145620569185</v>
      </c>
      <c r="T183" s="31">
        <f t="shared" ca="1" si="44"/>
        <v>2106.3704858457254</v>
      </c>
    </row>
    <row r="184" spans="1:20">
      <c r="A184" s="198">
        <f ca="1">'PRICE_IOF Ñ USAR'!A184</f>
        <v>166</v>
      </c>
      <c r="B184" s="197">
        <f ca="1">'PRICE_IOF Ñ USAR'!B184</f>
        <v>49775</v>
      </c>
      <c r="C184" s="196">
        <f t="shared" ca="1" si="36"/>
        <v>1182.9558181509121</v>
      </c>
      <c r="D184" s="21">
        <f t="shared" ca="1" si="42"/>
        <v>923.41466769481326</v>
      </c>
      <c r="E184" s="196">
        <f t="shared" ca="1" si="37"/>
        <v>99188.203713894021</v>
      </c>
      <c r="F184" s="178">
        <f t="shared" ca="1" si="38"/>
        <v>21.077943501729436</v>
      </c>
      <c r="G184" s="178">
        <f t="shared" ca="1" si="39"/>
        <v>26.319999999999997</v>
      </c>
      <c r="H184" s="177">
        <f t="shared" ca="1" si="40"/>
        <v>25</v>
      </c>
      <c r="I184" s="196"/>
      <c r="J184" s="9" t="str">
        <f t="shared" ca="1" si="30"/>
        <v/>
      </c>
      <c r="K184" s="9" t="str">
        <f t="shared" ca="1" si="31"/>
        <v/>
      </c>
      <c r="L184" s="9">
        <f t="shared" ca="1" si="32"/>
        <v>4</v>
      </c>
      <c r="N184" s="176">
        <f t="shared" ca="1" si="41"/>
        <v>31</v>
      </c>
      <c r="O184" s="176">
        <f t="shared" ca="1" si="43"/>
        <v>5047</v>
      </c>
      <c r="P184" s="175">
        <f t="shared" ca="1" si="33"/>
        <v>847.5157240417368</v>
      </c>
      <c r="Q184" s="11">
        <f t="shared" ca="1" si="34"/>
        <v>2.9930000000000002E-2</v>
      </c>
      <c r="R184" s="12">
        <f t="shared" ca="1" si="35"/>
        <v>25.366145620569185</v>
      </c>
      <c r="T184" s="31">
        <f t="shared" ca="1" si="44"/>
        <v>2106.3704858457254</v>
      </c>
    </row>
    <row r="185" spans="1:20">
      <c r="A185" s="198">
        <f ca="1">'PRICE_IOF Ñ USAR'!A185</f>
        <v>167</v>
      </c>
      <c r="B185" s="197">
        <f ca="1">'PRICE_IOF Ñ USAR'!B185</f>
        <v>49805</v>
      </c>
      <c r="C185" s="196">
        <f t="shared" ca="1" si="36"/>
        <v>1193.8390116779005</v>
      </c>
      <c r="D185" s="21">
        <f t="shared" ca="1" si="42"/>
        <v>912.53147416782497</v>
      </c>
      <c r="E185" s="196">
        <f t="shared" ca="1" si="37"/>
        <v>97994.364702216117</v>
      </c>
      <c r="F185" s="178">
        <f t="shared" ca="1" si="38"/>
        <v>20.829522779917745</v>
      </c>
      <c r="G185" s="178">
        <f t="shared" ca="1" si="39"/>
        <v>26.319999999999997</v>
      </c>
      <c r="H185" s="177">
        <f t="shared" ca="1" si="40"/>
        <v>25</v>
      </c>
      <c r="I185" s="196"/>
      <c r="J185" s="9" t="str">
        <f t="shared" ca="1" si="30"/>
        <v/>
      </c>
      <c r="K185" s="9" t="str">
        <f t="shared" ca="1" si="31"/>
        <v/>
      </c>
      <c r="L185" s="9">
        <f t="shared" ca="1" si="32"/>
        <v>5</v>
      </c>
      <c r="N185" s="176">
        <f t="shared" ca="1" si="41"/>
        <v>30</v>
      </c>
      <c r="O185" s="176">
        <f t="shared" ca="1" si="43"/>
        <v>5077</v>
      </c>
      <c r="P185" s="175">
        <f t="shared" ca="1" si="33"/>
        <v>847.5157240417368</v>
      </c>
      <c r="Q185" s="11">
        <f t="shared" ca="1" si="34"/>
        <v>2.9930000000000002E-2</v>
      </c>
      <c r="R185" s="12">
        <f t="shared" ca="1" si="35"/>
        <v>25.366145620569185</v>
      </c>
      <c r="T185" s="31">
        <f t="shared" ca="1" si="44"/>
        <v>2106.3704858457254</v>
      </c>
    </row>
    <row r="186" spans="1:20">
      <c r="A186" s="198">
        <f ca="1">'PRICE_IOF Ñ USAR'!A186</f>
        <v>168</v>
      </c>
      <c r="B186" s="197">
        <f ca="1">'PRICE_IOF Ñ USAR'!B186</f>
        <v>49836</v>
      </c>
      <c r="C186" s="196">
        <f t="shared" ca="1" si="36"/>
        <v>1204.8223305853371</v>
      </c>
      <c r="D186" s="21">
        <f t="shared" ca="1" si="42"/>
        <v>901.54815526038828</v>
      </c>
      <c r="E186" s="196">
        <f t="shared" ca="1" si="37"/>
        <v>96789.542371630785</v>
      </c>
      <c r="F186" s="178">
        <f t="shared" ca="1" si="38"/>
        <v>20.578816587465386</v>
      </c>
      <c r="G186" s="178">
        <f t="shared" ca="1" si="39"/>
        <v>26.319999999999997</v>
      </c>
      <c r="H186" s="177">
        <f t="shared" ca="1" si="40"/>
        <v>25</v>
      </c>
      <c r="I186" s="196"/>
      <c r="J186" s="9" t="str">
        <f t="shared" ca="1" si="30"/>
        <v/>
      </c>
      <c r="K186" s="9" t="str">
        <f t="shared" ca="1" si="31"/>
        <v/>
      </c>
      <c r="L186" s="9">
        <f t="shared" ca="1" si="32"/>
        <v>6</v>
      </c>
      <c r="N186" s="176">
        <f t="shared" ca="1" si="41"/>
        <v>31</v>
      </c>
      <c r="O186" s="176">
        <f t="shared" ca="1" si="43"/>
        <v>5108</v>
      </c>
      <c r="P186" s="175">
        <f t="shared" ca="1" si="33"/>
        <v>847.5157240417368</v>
      </c>
      <c r="Q186" s="11">
        <f t="shared" ca="1" si="34"/>
        <v>2.9930000000000002E-2</v>
      </c>
      <c r="R186" s="12">
        <f t="shared" ca="1" si="35"/>
        <v>25.366145620569185</v>
      </c>
      <c r="T186" s="31">
        <f t="shared" ca="1" si="44"/>
        <v>2106.3704858457254</v>
      </c>
    </row>
    <row r="187" spans="1:20">
      <c r="A187" s="198">
        <f ca="1">'PRICE_IOF Ñ USAR'!A187</f>
        <v>169</v>
      </c>
      <c r="B187" s="197">
        <f ca="1">'PRICE_IOF Ñ USAR'!B187</f>
        <v>49866</v>
      </c>
      <c r="C187" s="196">
        <f t="shared" ca="1" si="36"/>
        <v>1215.9066960267223</v>
      </c>
      <c r="D187" s="21">
        <f t="shared" ca="1" si="42"/>
        <v>890.46378981900318</v>
      </c>
      <c r="E187" s="196">
        <f t="shared" ca="1" si="37"/>
        <v>95573.635675604062</v>
      </c>
      <c r="F187" s="178">
        <f t="shared" ca="1" si="38"/>
        <v>20.325803898042466</v>
      </c>
      <c r="G187" s="178">
        <f t="shared" ca="1" si="39"/>
        <v>26.319999999999997</v>
      </c>
      <c r="H187" s="177">
        <f t="shared" ca="1" si="40"/>
        <v>25</v>
      </c>
      <c r="I187" s="196"/>
      <c r="J187" s="9" t="str">
        <f t="shared" ca="1" si="30"/>
        <v/>
      </c>
      <c r="K187" s="9" t="str">
        <f t="shared" ca="1" si="31"/>
        <v/>
      </c>
      <c r="L187" s="9">
        <f t="shared" ca="1" si="32"/>
        <v>7</v>
      </c>
      <c r="N187" s="176">
        <f t="shared" ca="1" si="41"/>
        <v>30</v>
      </c>
      <c r="O187" s="176">
        <f t="shared" ca="1" si="43"/>
        <v>5138</v>
      </c>
      <c r="P187" s="175">
        <f t="shared" ca="1" si="33"/>
        <v>847.5157240417368</v>
      </c>
      <c r="Q187" s="11">
        <f t="shared" ca="1" si="34"/>
        <v>2.9930000000000002E-2</v>
      </c>
      <c r="R187" s="12">
        <f t="shared" ca="1" si="35"/>
        <v>25.366145620569185</v>
      </c>
      <c r="T187" s="31">
        <f t="shared" ca="1" si="44"/>
        <v>2106.3704858457254</v>
      </c>
    </row>
    <row r="188" spans="1:20">
      <c r="A188" s="198">
        <f ca="1">'PRICE_IOF Ñ USAR'!A188</f>
        <v>170</v>
      </c>
      <c r="B188" s="197">
        <f ca="1">'PRICE_IOF Ñ USAR'!B188</f>
        <v>49897</v>
      </c>
      <c r="C188" s="196">
        <f t="shared" ca="1" si="36"/>
        <v>1227.0930376301681</v>
      </c>
      <c r="D188" s="21">
        <f t="shared" ca="1" si="42"/>
        <v>879.27744821555734</v>
      </c>
      <c r="E188" s="196">
        <f t="shared" ca="1" si="37"/>
        <v>94346.542637973893</v>
      </c>
      <c r="F188" s="178">
        <f t="shared" ca="1" si="38"/>
        <v>20.070463491876854</v>
      </c>
      <c r="G188" s="178">
        <f t="shared" ca="1" si="39"/>
        <v>26.319999999999997</v>
      </c>
      <c r="H188" s="177">
        <f t="shared" ca="1" si="40"/>
        <v>25</v>
      </c>
      <c r="I188" s="196"/>
      <c r="J188" s="9" t="str">
        <f t="shared" ca="1" si="30"/>
        <v/>
      </c>
      <c r="K188" s="9" t="str">
        <f t="shared" ca="1" si="31"/>
        <v/>
      </c>
      <c r="L188" s="9">
        <f t="shared" ca="1" si="32"/>
        <v>8</v>
      </c>
      <c r="N188" s="176">
        <f t="shared" ca="1" si="41"/>
        <v>31</v>
      </c>
      <c r="O188" s="176">
        <f t="shared" ca="1" si="43"/>
        <v>5169</v>
      </c>
      <c r="P188" s="175">
        <f t="shared" ca="1" si="33"/>
        <v>847.5157240417368</v>
      </c>
      <c r="Q188" s="11">
        <f t="shared" ca="1" si="34"/>
        <v>2.9930000000000002E-2</v>
      </c>
      <c r="R188" s="12">
        <f t="shared" ca="1" si="35"/>
        <v>25.366145620569185</v>
      </c>
      <c r="T188" s="31">
        <f t="shared" ca="1" si="44"/>
        <v>2106.3704858457254</v>
      </c>
    </row>
    <row r="189" spans="1:20">
      <c r="A189" s="198">
        <f ca="1">'PRICE_IOF Ñ USAR'!A189</f>
        <v>171</v>
      </c>
      <c r="B189" s="197">
        <f ca="1">'PRICE_IOF Ñ USAR'!B189</f>
        <v>49928</v>
      </c>
      <c r="C189" s="196">
        <f t="shared" ca="1" si="36"/>
        <v>1238.3822935763656</v>
      </c>
      <c r="D189" s="21">
        <f t="shared" ca="1" si="42"/>
        <v>867.98819226935984</v>
      </c>
      <c r="E189" s="196">
        <f t="shared" ca="1" si="37"/>
        <v>93108.160344397533</v>
      </c>
      <c r="F189" s="178">
        <f t="shared" ca="1" si="38"/>
        <v>19.812773953974517</v>
      </c>
      <c r="G189" s="178">
        <f t="shared" ca="1" si="39"/>
        <v>26.319999999999997</v>
      </c>
      <c r="H189" s="177">
        <f t="shared" ca="1" si="40"/>
        <v>25</v>
      </c>
      <c r="I189" s="196"/>
      <c r="J189" s="9" t="str">
        <f t="shared" ca="1" si="30"/>
        <v/>
      </c>
      <c r="K189" s="9" t="str">
        <f t="shared" ca="1" si="31"/>
        <v/>
      </c>
      <c r="L189" s="9">
        <f t="shared" ca="1" si="32"/>
        <v>9</v>
      </c>
      <c r="N189" s="176">
        <f t="shared" ca="1" si="41"/>
        <v>31</v>
      </c>
      <c r="O189" s="176">
        <f t="shared" ca="1" si="43"/>
        <v>5200</v>
      </c>
      <c r="P189" s="175">
        <f t="shared" ca="1" si="33"/>
        <v>847.5157240417368</v>
      </c>
      <c r="Q189" s="11">
        <f t="shared" ca="1" si="34"/>
        <v>2.9930000000000002E-2</v>
      </c>
      <c r="R189" s="12">
        <f t="shared" ca="1" si="35"/>
        <v>25.366145620569185</v>
      </c>
      <c r="T189" s="31">
        <f t="shared" ca="1" si="44"/>
        <v>2106.3704858457254</v>
      </c>
    </row>
    <row r="190" spans="1:20">
      <c r="A190" s="198">
        <f ca="1">'PRICE_IOF Ñ USAR'!A190</f>
        <v>172</v>
      </c>
      <c r="B190" s="197">
        <f ca="1">'PRICE_IOF Ñ USAR'!B190</f>
        <v>49958</v>
      </c>
      <c r="C190" s="196">
        <f t="shared" ca="1" si="36"/>
        <v>1249.7754106772682</v>
      </c>
      <c r="D190" s="21">
        <f t="shared" ca="1" si="42"/>
        <v>856.59507516845724</v>
      </c>
      <c r="E190" s="196">
        <f t="shared" ca="1" si="37"/>
        <v>91858.38493372027</v>
      </c>
      <c r="F190" s="178">
        <f t="shared" ca="1" si="38"/>
        <v>19.552713672323481</v>
      </c>
      <c r="G190" s="178">
        <f t="shared" ca="1" si="39"/>
        <v>26.319999999999997</v>
      </c>
      <c r="H190" s="177">
        <f t="shared" ca="1" si="40"/>
        <v>25</v>
      </c>
      <c r="I190" s="196"/>
      <c r="J190" s="9" t="str">
        <f t="shared" ca="1" si="30"/>
        <v/>
      </c>
      <c r="K190" s="9" t="str">
        <f t="shared" ca="1" si="31"/>
        <v/>
      </c>
      <c r="L190" s="9">
        <f t="shared" ca="1" si="32"/>
        <v>10</v>
      </c>
      <c r="N190" s="176">
        <f t="shared" ca="1" si="41"/>
        <v>30</v>
      </c>
      <c r="O190" s="176">
        <f t="shared" ca="1" si="43"/>
        <v>5230</v>
      </c>
      <c r="P190" s="175">
        <f t="shared" ca="1" si="33"/>
        <v>847.5157240417368</v>
      </c>
      <c r="Q190" s="11">
        <f t="shared" ca="1" si="34"/>
        <v>2.9930000000000002E-2</v>
      </c>
      <c r="R190" s="12">
        <f t="shared" ca="1" si="35"/>
        <v>25.366145620569185</v>
      </c>
      <c r="T190" s="31">
        <f t="shared" ca="1" si="44"/>
        <v>2106.3704858457254</v>
      </c>
    </row>
    <row r="191" spans="1:20">
      <c r="A191" s="198">
        <f ca="1">'PRICE_IOF Ñ USAR'!A191</f>
        <v>173</v>
      </c>
      <c r="B191" s="197">
        <f ca="1">'PRICE_IOF Ñ USAR'!B191</f>
        <v>49989</v>
      </c>
      <c r="C191" s="196">
        <f t="shared" ca="1" si="36"/>
        <v>1261.2733444554988</v>
      </c>
      <c r="D191" s="21">
        <f t="shared" ca="1" si="42"/>
        <v>845.09714139022651</v>
      </c>
      <c r="E191" s="196">
        <f t="shared" ca="1" si="37"/>
        <v>90597.111589264765</v>
      </c>
      <c r="F191" s="178">
        <f t="shared" ca="1" si="38"/>
        <v>19.290260836081256</v>
      </c>
      <c r="G191" s="178">
        <f t="shared" ca="1" si="39"/>
        <v>26.319999999999997</v>
      </c>
      <c r="H191" s="177">
        <f t="shared" ca="1" si="40"/>
        <v>25</v>
      </c>
      <c r="I191" s="196"/>
      <c r="J191" s="9" t="str">
        <f t="shared" ca="1" si="30"/>
        <v/>
      </c>
      <c r="K191" s="9" t="str">
        <f t="shared" ca="1" si="31"/>
        <v/>
      </c>
      <c r="L191" s="9">
        <f t="shared" ca="1" si="32"/>
        <v>11</v>
      </c>
      <c r="N191" s="176">
        <f t="shared" ca="1" si="41"/>
        <v>31</v>
      </c>
      <c r="O191" s="176">
        <f t="shared" ca="1" si="43"/>
        <v>5261</v>
      </c>
      <c r="P191" s="175">
        <f t="shared" ca="1" si="33"/>
        <v>847.5157240417368</v>
      </c>
      <c r="Q191" s="11">
        <f t="shared" ca="1" si="34"/>
        <v>2.9930000000000002E-2</v>
      </c>
      <c r="R191" s="12">
        <f t="shared" ca="1" si="35"/>
        <v>25.366145620569185</v>
      </c>
      <c r="T191" s="31">
        <f t="shared" ca="1" si="44"/>
        <v>2106.3704858457254</v>
      </c>
    </row>
    <row r="192" spans="1:20">
      <c r="A192" s="198">
        <f ca="1">'PRICE_IOF Ñ USAR'!A192</f>
        <v>174</v>
      </c>
      <c r="B192" s="197">
        <f ca="1">'PRICE_IOF Ñ USAR'!B192</f>
        <v>50019</v>
      </c>
      <c r="C192" s="196">
        <f t="shared" ca="1" si="36"/>
        <v>1272.8770592244896</v>
      </c>
      <c r="D192" s="21">
        <f t="shared" ca="1" si="42"/>
        <v>833.49342662123581</v>
      </c>
      <c r="E192" s="196">
        <f t="shared" ca="1" si="37"/>
        <v>89324.234530040281</v>
      </c>
      <c r="F192" s="178">
        <f t="shared" ca="1" si="38"/>
        <v>19.025393433745602</v>
      </c>
      <c r="G192" s="178">
        <f t="shared" ca="1" si="39"/>
        <v>26.319999999999997</v>
      </c>
      <c r="H192" s="177">
        <f t="shared" ca="1" si="40"/>
        <v>25</v>
      </c>
      <c r="I192" s="196"/>
      <c r="J192" s="9" t="str">
        <f t="shared" ca="1" si="30"/>
        <v/>
      </c>
      <c r="K192" s="9" t="str">
        <f t="shared" ca="1" si="31"/>
        <v/>
      </c>
      <c r="L192" s="9">
        <f t="shared" ca="1" si="32"/>
        <v>12</v>
      </c>
      <c r="N192" s="176">
        <f t="shared" ca="1" si="41"/>
        <v>30</v>
      </c>
      <c r="O192" s="176">
        <f t="shared" ca="1" si="43"/>
        <v>5291</v>
      </c>
      <c r="P192" s="175">
        <f t="shared" ca="1" si="33"/>
        <v>847.5157240417368</v>
      </c>
      <c r="Q192" s="11">
        <f t="shared" ca="1" si="34"/>
        <v>2.9930000000000002E-2</v>
      </c>
      <c r="R192" s="12">
        <f t="shared" ca="1" si="35"/>
        <v>25.366145620569185</v>
      </c>
      <c r="T192" s="31">
        <f t="shared" ca="1" si="44"/>
        <v>2106.3704858457254</v>
      </c>
    </row>
    <row r="193" spans="1:20">
      <c r="A193" s="198">
        <f ca="1">'PRICE_IOF Ñ USAR'!A193</f>
        <v>175</v>
      </c>
      <c r="B193" s="197">
        <f ca="1">'PRICE_IOF Ñ USAR'!B193</f>
        <v>50050</v>
      </c>
      <c r="C193" s="196">
        <f t="shared" ca="1" si="36"/>
        <v>1284.5875281693548</v>
      </c>
      <c r="D193" s="21">
        <f t="shared" ca="1" si="42"/>
        <v>821.78295767637053</v>
      </c>
      <c r="E193" s="196">
        <f t="shared" ca="1" si="37"/>
        <v>88039.647001870922</v>
      </c>
      <c r="F193" s="178">
        <f t="shared" ca="1" si="38"/>
        <v>18.758089251308459</v>
      </c>
      <c r="G193" s="178">
        <f t="shared" ca="1" si="39"/>
        <v>26.319999999999997</v>
      </c>
      <c r="H193" s="177">
        <f t="shared" ca="1" si="40"/>
        <v>25</v>
      </c>
      <c r="I193" s="196"/>
      <c r="J193" s="9" t="str">
        <f t="shared" ca="1" si="30"/>
        <v/>
      </c>
      <c r="K193" s="9" t="str">
        <f t="shared" ca="1" si="31"/>
        <v/>
      </c>
      <c r="L193" s="9">
        <f t="shared" ca="1" si="32"/>
        <v>1</v>
      </c>
      <c r="N193" s="176">
        <f t="shared" ca="1" si="41"/>
        <v>31</v>
      </c>
      <c r="O193" s="176">
        <f t="shared" ca="1" si="43"/>
        <v>5322</v>
      </c>
      <c r="P193" s="175">
        <f t="shared" ca="1" si="33"/>
        <v>847.5157240417368</v>
      </c>
      <c r="Q193" s="11">
        <f t="shared" ca="1" si="34"/>
        <v>2.9930000000000002E-2</v>
      </c>
      <c r="R193" s="12">
        <f t="shared" ca="1" si="35"/>
        <v>25.366145620569185</v>
      </c>
      <c r="T193" s="31">
        <f t="shared" ca="1" si="44"/>
        <v>2106.3704858457254</v>
      </c>
    </row>
    <row r="194" spans="1:20">
      <c r="A194" s="198">
        <f ca="1">'PRICE_IOF Ñ USAR'!A194</f>
        <v>176</v>
      </c>
      <c r="B194" s="197">
        <f ca="1">'PRICE_IOF Ñ USAR'!B194</f>
        <v>50081</v>
      </c>
      <c r="C194" s="196">
        <f t="shared" ca="1" si="36"/>
        <v>1296.405733428513</v>
      </c>
      <c r="D194" s="21">
        <f t="shared" ca="1" si="42"/>
        <v>809.96475241721248</v>
      </c>
      <c r="E194" s="196">
        <f t="shared" ca="1" si="37"/>
        <v>86743.241268442405</v>
      </c>
      <c r="F194" s="178">
        <f t="shared" ca="1" si="38"/>
        <v>18.488325870392895</v>
      </c>
      <c r="G194" s="178">
        <f t="shared" ca="1" si="39"/>
        <v>26.319999999999997</v>
      </c>
      <c r="H194" s="177">
        <f t="shared" ca="1" si="40"/>
        <v>25</v>
      </c>
      <c r="I194" s="196"/>
      <c r="J194" s="9" t="str">
        <f t="shared" ca="1" si="30"/>
        <v/>
      </c>
      <c r="K194" s="9" t="str">
        <f t="shared" ca="1" si="31"/>
        <v/>
      </c>
      <c r="L194" s="9">
        <f t="shared" ca="1" si="32"/>
        <v>2</v>
      </c>
      <c r="N194" s="176">
        <f t="shared" ca="1" si="41"/>
        <v>31</v>
      </c>
      <c r="O194" s="176">
        <f t="shared" ca="1" si="43"/>
        <v>5353</v>
      </c>
      <c r="P194" s="175">
        <f t="shared" ca="1" si="33"/>
        <v>847.5157240417368</v>
      </c>
      <c r="Q194" s="11">
        <f t="shared" ca="1" si="34"/>
        <v>2.9930000000000002E-2</v>
      </c>
      <c r="R194" s="12">
        <f t="shared" ca="1" si="35"/>
        <v>25.366145620569185</v>
      </c>
      <c r="T194" s="31">
        <f t="shared" ca="1" si="44"/>
        <v>2106.3704858457254</v>
      </c>
    </row>
    <row r="195" spans="1:20">
      <c r="A195" s="198">
        <f ca="1">'PRICE_IOF Ñ USAR'!A195</f>
        <v>177</v>
      </c>
      <c r="B195" s="197">
        <f ca="1">'PRICE_IOF Ñ USAR'!B195</f>
        <v>50109</v>
      </c>
      <c r="C195" s="196">
        <f t="shared" ca="1" si="36"/>
        <v>1308.3326661760552</v>
      </c>
      <c r="D195" s="21">
        <f t="shared" ca="1" si="42"/>
        <v>798.03781966967017</v>
      </c>
      <c r="E195" s="196">
        <f t="shared" ca="1" si="37"/>
        <v>85434.908602266354</v>
      </c>
      <c r="F195" s="178">
        <f t="shared" ca="1" si="38"/>
        <v>18.216080666372907</v>
      </c>
      <c r="G195" s="178">
        <f t="shared" ca="1" si="39"/>
        <v>26.319999999999997</v>
      </c>
      <c r="H195" s="177">
        <f t="shared" ca="1" si="40"/>
        <v>25</v>
      </c>
      <c r="I195" s="196"/>
      <c r="J195" s="9" t="str">
        <f t="shared" ca="1" si="30"/>
        <v/>
      </c>
      <c r="K195" s="9" t="str">
        <f t="shared" ca="1" si="31"/>
        <v/>
      </c>
      <c r="L195" s="9">
        <f t="shared" ca="1" si="32"/>
        <v>3</v>
      </c>
      <c r="N195" s="176">
        <f t="shared" ca="1" si="41"/>
        <v>28</v>
      </c>
      <c r="O195" s="176">
        <f t="shared" ca="1" si="43"/>
        <v>5381</v>
      </c>
      <c r="P195" s="175">
        <f t="shared" ca="1" si="33"/>
        <v>847.5157240417368</v>
      </c>
      <c r="Q195" s="11">
        <f t="shared" ca="1" si="34"/>
        <v>2.9930000000000002E-2</v>
      </c>
      <c r="R195" s="12">
        <f t="shared" ca="1" si="35"/>
        <v>25.366145620569185</v>
      </c>
      <c r="T195" s="31">
        <f t="shared" ca="1" si="44"/>
        <v>2106.3704858457254</v>
      </c>
    </row>
    <row r="196" spans="1:20">
      <c r="A196" s="198">
        <f ca="1">'PRICE_IOF Ñ USAR'!A196</f>
        <v>178</v>
      </c>
      <c r="B196" s="197">
        <f ca="1">'PRICE_IOF Ñ USAR'!B196</f>
        <v>50140</v>
      </c>
      <c r="C196" s="196">
        <f t="shared" ca="1" si="36"/>
        <v>1320.369326704875</v>
      </c>
      <c r="D196" s="21">
        <f t="shared" ca="1" si="42"/>
        <v>786.0011591408504</v>
      </c>
      <c r="E196" s="196">
        <f t="shared" ca="1" si="37"/>
        <v>84114.539275561474</v>
      </c>
      <c r="F196" s="178">
        <f t="shared" ca="1" si="38"/>
        <v>17.941330806475936</v>
      </c>
      <c r="G196" s="178">
        <f t="shared" ca="1" si="39"/>
        <v>26.319999999999997</v>
      </c>
      <c r="H196" s="177">
        <f t="shared" ca="1" si="40"/>
        <v>25</v>
      </c>
      <c r="I196" s="196"/>
      <c r="J196" s="9" t="str">
        <f t="shared" ca="1" si="30"/>
        <v/>
      </c>
      <c r="K196" s="9" t="str">
        <f t="shared" ca="1" si="31"/>
        <v/>
      </c>
      <c r="L196" s="9">
        <f t="shared" ca="1" si="32"/>
        <v>4</v>
      </c>
      <c r="N196" s="176">
        <f t="shared" ca="1" si="41"/>
        <v>31</v>
      </c>
      <c r="O196" s="176">
        <f t="shared" ca="1" si="43"/>
        <v>5412</v>
      </c>
      <c r="P196" s="175">
        <f t="shared" ca="1" si="33"/>
        <v>847.5157240417368</v>
      </c>
      <c r="Q196" s="11">
        <f t="shared" ca="1" si="34"/>
        <v>2.9930000000000002E-2</v>
      </c>
      <c r="R196" s="12">
        <f t="shared" ca="1" si="35"/>
        <v>25.366145620569185</v>
      </c>
      <c r="T196" s="31">
        <f t="shared" ca="1" si="44"/>
        <v>2106.3704858457254</v>
      </c>
    </row>
    <row r="197" spans="1:20">
      <c r="A197" s="198">
        <f ca="1">'PRICE_IOF Ñ USAR'!A197</f>
        <v>179</v>
      </c>
      <c r="B197" s="197">
        <f ca="1">'PRICE_IOF Ñ USAR'!B197</f>
        <v>50170</v>
      </c>
      <c r="C197" s="196">
        <f t="shared" ca="1" si="36"/>
        <v>1332.5167245105599</v>
      </c>
      <c r="D197" s="21">
        <f t="shared" ca="1" si="42"/>
        <v>773.85376133516559</v>
      </c>
      <c r="E197" s="196">
        <f t="shared" ca="1" si="37"/>
        <v>82782.022551050919</v>
      </c>
      <c r="F197" s="178">
        <f t="shared" ca="1" si="38"/>
        <v>17.664053247867912</v>
      </c>
      <c r="G197" s="178">
        <f t="shared" ca="1" si="39"/>
        <v>26.319999999999997</v>
      </c>
      <c r="H197" s="177">
        <f t="shared" ca="1" si="40"/>
        <v>25</v>
      </c>
      <c r="I197" s="196"/>
      <c r="J197" s="9" t="str">
        <f t="shared" ca="1" si="30"/>
        <v/>
      </c>
      <c r="K197" s="9" t="str">
        <f t="shared" ca="1" si="31"/>
        <v/>
      </c>
      <c r="L197" s="9">
        <f t="shared" ca="1" si="32"/>
        <v>5</v>
      </c>
      <c r="N197" s="176">
        <f t="shared" ca="1" si="41"/>
        <v>30</v>
      </c>
      <c r="O197" s="176">
        <f t="shared" ca="1" si="43"/>
        <v>5442</v>
      </c>
      <c r="P197" s="175">
        <f t="shared" ca="1" si="33"/>
        <v>847.5157240417368</v>
      </c>
      <c r="Q197" s="11">
        <f t="shared" ca="1" si="34"/>
        <v>2.9930000000000002E-2</v>
      </c>
      <c r="R197" s="12">
        <f t="shared" ca="1" si="35"/>
        <v>25.366145620569185</v>
      </c>
      <c r="T197" s="31">
        <f t="shared" ca="1" si="44"/>
        <v>2106.3704858457254</v>
      </c>
    </row>
    <row r="198" spans="1:20">
      <c r="A198" s="198">
        <f ca="1">'PRICE_IOF Ñ USAR'!A198</f>
        <v>180</v>
      </c>
      <c r="B198" s="197">
        <f ca="1">'PRICE_IOF Ñ USAR'!B198</f>
        <v>50201</v>
      </c>
      <c r="C198" s="196">
        <f t="shared" ca="1" si="36"/>
        <v>1344.7758783760569</v>
      </c>
      <c r="D198" s="21">
        <f t="shared" ca="1" si="42"/>
        <v>761.5946074696684</v>
      </c>
      <c r="E198" s="196">
        <f t="shared" ca="1" si="37"/>
        <v>81437.246672674868</v>
      </c>
      <c r="F198" s="178">
        <f t="shared" ca="1" si="38"/>
        <v>17.384224735720693</v>
      </c>
      <c r="G198" s="178">
        <f t="shared" ca="1" si="39"/>
        <v>26.319999999999997</v>
      </c>
      <c r="H198" s="177">
        <f t="shared" ca="1" si="40"/>
        <v>25</v>
      </c>
      <c r="I198" s="196"/>
      <c r="J198" s="9" t="str">
        <f t="shared" ca="1" si="30"/>
        <v/>
      </c>
      <c r="K198" s="9" t="str">
        <f t="shared" ca="1" si="31"/>
        <v/>
      </c>
      <c r="L198" s="9">
        <f t="shared" ca="1" si="32"/>
        <v>6</v>
      </c>
      <c r="N198" s="176">
        <f t="shared" ca="1" si="41"/>
        <v>31</v>
      </c>
      <c r="O198" s="176">
        <f t="shared" ca="1" si="43"/>
        <v>5473</v>
      </c>
      <c r="P198" s="175">
        <f t="shared" ca="1" si="33"/>
        <v>847.5157240417368</v>
      </c>
      <c r="Q198" s="11">
        <f t="shared" ca="1" si="34"/>
        <v>2.9930000000000002E-2</v>
      </c>
      <c r="R198" s="12">
        <f t="shared" ca="1" si="35"/>
        <v>25.366145620569185</v>
      </c>
      <c r="T198" s="31">
        <f t="shared" ca="1" si="44"/>
        <v>2106.3704858457254</v>
      </c>
    </row>
    <row r="199" spans="1:20">
      <c r="A199" s="198">
        <f ca="1">'PRICE_IOF Ñ USAR'!A199</f>
        <v>181</v>
      </c>
      <c r="B199" s="197">
        <f ca="1">'PRICE_IOF Ñ USAR'!B199</f>
        <v>50231</v>
      </c>
      <c r="C199" s="196">
        <f t="shared" ca="1" si="36"/>
        <v>1357.1478164571167</v>
      </c>
      <c r="D199" s="21">
        <f t="shared" ca="1" si="42"/>
        <v>749.22266938860878</v>
      </c>
      <c r="E199" s="196">
        <f t="shared" ca="1" si="37"/>
        <v>80080.098856217752</v>
      </c>
      <c r="F199" s="178">
        <f t="shared" ca="1" si="38"/>
        <v>17.101821801261725</v>
      </c>
      <c r="G199" s="178">
        <f t="shared" ca="1" si="39"/>
        <v>26.319999999999997</v>
      </c>
      <c r="H199" s="177">
        <f t="shared" ca="1" si="40"/>
        <v>25</v>
      </c>
      <c r="I199" s="196"/>
      <c r="J199" s="9" t="str">
        <f t="shared" ca="1" si="30"/>
        <v/>
      </c>
      <c r="K199" s="9" t="str">
        <f t="shared" ca="1" si="31"/>
        <v/>
      </c>
      <c r="L199" s="9">
        <f t="shared" ca="1" si="32"/>
        <v>7</v>
      </c>
      <c r="N199" s="176">
        <f t="shared" ca="1" si="41"/>
        <v>30</v>
      </c>
      <c r="O199" s="176">
        <f t="shared" ca="1" si="43"/>
        <v>5503</v>
      </c>
      <c r="P199" s="175">
        <f t="shared" ca="1" si="33"/>
        <v>847.5157240417368</v>
      </c>
      <c r="Q199" s="11">
        <f t="shared" ca="1" si="34"/>
        <v>2.9930000000000002E-2</v>
      </c>
      <c r="R199" s="12">
        <f t="shared" ca="1" si="35"/>
        <v>25.366145620569185</v>
      </c>
      <c r="T199" s="31">
        <f t="shared" ca="1" si="44"/>
        <v>2106.3704858457254</v>
      </c>
    </row>
    <row r="200" spans="1:20">
      <c r="A200" s="198">
        <f ca="1">'PRICE_IOF Ñ USAR'!A200</f>
        <v>182</v>
      </c>
      <c r="B200" s="197">
        <f ca="1">'PRICE_IOF Ñ USAR'!B200</f>
        <v>50262</v>
      </c>
      <c r="C200" s="196">
        <f t="shared" ca="1" si="36"/>
        <v>1369.633576368522</v>
      </c>
      <c r="D200" s="21">
        <f t="shared" ca="1" si="42"/>
        <v>736.73690947720331</v>
      </c>
      <c r="E200" s="196">
        <f t="shared" ca="1" si="37"/>
        <v>78710.465279849232</v>
      </c>
      <c r="F200" s="178">
        <f t="shared" ca="1" si="38"/>
        <v>16.816820759805729</v>
      </c>
      <c r="G200" s="178">
        <f t="shared" ca="1" si="39"/>
        <v>26.319999999999997</v>
      </c>
      <c r="H200" s="177">
        <f t="shared" ca="1" si="40"/>
        <v>25</v>
      </c>
      <c r="I200" s="196"/>
      <c r="J200" s="9" t="str">
        <f t="shared" ca="1" si="30"/>
        <v/>
      </c>
      <c r="K200" s="9" t="str">
        <f t="shared" ca="1" si="31"/>
        <v/>
      </c>
      <c r="L200" s="9">
        <f t="shared" ca="1" si="32"/>
        <v>8</v>
      </c>
      <c r="N200" s="176">
        <f t="shared" ca="1" si="41"/>
        <v>31</v>
      </c>
      <c r="O200" s="176">
        <f t="shared" ca="1" si="43"/>
        <v>5534</v>
      </c>
      <c r="P200" s="175">
        <f t="shared" ca="1" si="33"/>
        <v>847.5157240417368</v>
      </c>
      <c r="Q200" s="11">
        <f t="shared" ca="1" si="34"/>
        <v>2.9930000000000002E-2</v>
      </c>
      <c r="R200" s="12">
        <f t="shared" ca="1" si="35"/>
        <v>25.366145620569185</v>
      </c>
      <c r="T200" s="31">
        <f t="shared" ca="1" si="44"/>
        <v>2106.3704858457254</v>
      </c>
    </row>
    <row r="201" spans="1:20">
      <c r="A201" s="198">
        <f ca="1">'PRICE_IOF Ñ USAR'!A201</f>
        <v>183</v>
      </c>
      <c r="B201" s="197">
        <f ca="1">'PRICE_IOF Ñ USAR'!B201</f>
        <v>50293</v>
      </c>
      <c r="C201" s="196">
        <f t="shared" ca="1" si="36"/>
        <v>1382.2342052711124</v>
      </c>
      <c r="D201" s="21">
        <f t="shared" ca="1" si="42"/>
        <v>724.1362805746129</v>
      </c>
      <c r="E201" s="196">
        <f t="shared" ca="1" si="37"/>
        <v>77328.231074578114</v>
      </c>
      <c r="F201" s="178">
        <f t="shared" ca="1" si="38"/>
        <v>16.52919770876834</v>
      </c>
      <c r="G201" s="178">
        <f t="shared" ca="1" si="39"/>
        <v>26.319999999999997</v>
      </c>
      <c r="H201" s="177">
        <f t="shared" ca="1" si="40"/>
        <v>25</v>
      </c>
      <c r="I201" s="196"/>
      <c r="J201" s="9" t="str">
        <f t="shared" ca="1" si="30"/>
        <v/>
      </c>
      <c r="K201" s="9" t="str">
        <f t="shared" ca="1" si="31"/>
        <v/>
      </c>
      <c r="L201" s="9">
        <f t="shared" ca="1" si="32"/>
        <v>9</v>
      </c>
      <c r="N201" s="176">
        <f t="shared" ca="1" si="41"/>
        <v>31</v>
      </c>
      <c r="O201" s="176">
        <f t="shared" ca="1" si="43"/>
        <v>5565</v>
      </c>
      <c r="P201" s="175">
        <f t="shared" ca="1" si="33"/>
        <v>847.5157240417368</v>
      </c>
      <c r="Q201" s="11">
        <f t="shared" ca="1" si="34"/>
        <v>2.9930000000000002E-2</v>
      </c>
      <c r="R201" s="12">
        <f t="shared" ca="1" si="35"/>
        <v>25.366145620569185</v>
      </c>
      <c r="T201" s="31">
        <f t="shared" ca="1" si="44"/>
        <v>2106.3704858457254</v>
      </c>
    </row>
    <row r="202" spans="1:20">
      <c r="A202" s="198">
        <f ca="1">'PRICE_IOF Ñ USAR'!A202</f>
        <v>184</v>
      </c>
      <c r="B202" s="197">
        <f ca="1">'PRICE_IOF Ñ USAR'!B202</f>
        <v>50323</v>
      </c>
      <c r="C202" s="196">
        <f t="shared" ca="1" si="36"/>
        <v>1394.9507599596068</v>
      </c>
      <c r="D202" s="21">
        <f t="shared" ca="1" si="42"/>
        <v>711.41972588611861</v>
      </c>
      <c r="E202" s="196">
        <f t="shared" ca="1" si="37"/>
        <v>75933.280314618503</v>
      </c>
      <c r="F202" s="178">
        <f t="shared" ca="1" si="38"/>
        <v>16.238928525661404</v>
      </c>
      <c r="G202" s="178">
        <f t="shared" ca="1" si="39"/>
        <v>26.319999999999997</v>
      </c>
      <c r="H202" s="177">
        <f t="shared" ca="1" si="40"/>
        <v>25</v>
      </c>
      <c r="I202" s="196"/>
      <c r="J202" s="9" t="str">
        <f t="shared" ca="1" si="30"/>
        <v/>
      </c>
      <c r="K202" s="9" t="str">
        <f t="shared" ca="1" si="31"/>
        <v/>
      </c>
      <c r="L202" s="9">
        <f t="shared" ca="1" si="32"/>
        <v>10</v>
      </c>
      <c r="N202" s="176">
        <f t="shared" ca="1" si="41"/>
        <v>30</v>
      </c>
      <c r="O202" s="176">
        <f t="shared" ca="1" si="43"/>
        <v>5595</v>
      </c>
      <c r="P202" s="175">
        <f t="shared" ca="1" si="33"/>
        <v>847.5157240417368</v>
      </c>
      <c r="Q202" s="11">
        <f t="shared" ca="1" si="34"/>
        <v>2.9930000000000002E-2</v>
      </c>
      <c r="R202" s="12">
        <f t="shared" ca="1" si="35"/>
        <v>25.366145620569185</v>
      </c>
      <c r="T202" s="31">
        <f t="shared" ca="1" si="44"/>
        <v>2106.3704858457254</v>
      </c>
    </row>
    <row r="203" spans="1:20">
      <c r="A203" s="198">
        <f ca="1">'PRICE_IOF Ñ USAR'!A203</f>
        <v>185</v>
      </c>
      <c r="B203" s="197">
        <f ca="1">'PRICE_IOF Ñ USAR'!B203</f>
        <v>50354</v>
      </c>
      <c r="C203" s="196">
        <f t="shared" ca="1" si="36"/>
        <v>1407.7843069512351</v>
      </c>
      <c r="D203" s="21">
        <f t="shared" ca="1" si="42"/>
        <v>698.58617889449022</v>
      </c>
      <c r="E203" s="196">
        <f t="shared" ca="1" si="37"/>
        <v>74525.496007667272</v>
      </c>
      <c r="F203" s="178">
        <f t="shared" ca="1" si="38"/>
        <v>15.945988866069886</v>
      </c>
      <c r="G203" s="178">
        <f t="shared" ca="1" si="39"/>
        <v>26.319999999999997</v>
      </c>
      <c r="H203" s="177">
        <f t="shared" ca="1" si="40"/>
        <v>25</v>
      </c>
      <c r="I203" s="196"/>
      <c r="J203" s="9" t="str">
        <f t="shared" ca="1" si="30"/>
        <v/>
      </c>
      <c r="K203" s="9" t="str">
        <f t="shared" ca="1" si="31"/>
        <v/>
      </c>
      <c r="L203" s="9">
        <f t="shared" ca="1" si="32"/>
        <v>11</v>
      </c>
      <c r="N203" s="176">
        <f t="shared" ca="1" si="41"/>
        <v>31</v>
      </c>
      <c r="O203" s="176">
        <f t="shared" ca="1" si="43"/>
        <v>5626</v>
      </c>
      <c r="P203" s="175">
        <f t="shared" ca="1" si="33"/>
        <v>847.5157240417368</v>
      </c>
      <c r="Q203" s="11">
        <f t="shared" ca="1" si="34"/>
        <v>2.9930000000000002E-2</v>
      </c>
      <c r="R203" s="12">
        <f t="shared" ca="1" si="35"/>
        <v>25.366145620569185</v>
      </c>
      <c r="T203" s="31">
        <f t="shared" ca="1" si="44"/>
        <v>2106.3704858457254</v>
      </c>
    </row>
    <row r="204" spans="1:20">
      <c r="A204" s="198">
        <f ca="1">'PRICE_IOF Ñ USAR'!A204</f>
        <v>186</v>
      </c>
      <c r="B204" s="197">
        <f ca="1">'PRICE_IOF Ñ USAR'!B204</f>
        <v>50384</v>
      </c>
      <c r="C204" s="196">
        <f t="shared" ca="1" si="36"/>
        <v>1420.7359225751866</v>
      </c>
      <c r="D204" s="21">
        <f t="shared" ca="1" si="42"/>
        <v>685.63456327053893</v>
      </c>
      <c r="E204" s="196">
        <f t="shared" ca="1" si="37"/>
        <v>73104.760085092086</v>
      </c>
      <c r="F204" s="178">
        <f t="shared" ca="1" si="38"/>
        <v>15.650354161610128</v>
      </c>
      <c r="G204" s="178">
        <f t="shared" ca="1" si="39"/>
        <v>26.319999999999997</v>
      </c>
      <c r="H204" s="177">
        <f t="shared" ca="1" si="40"/>
        <v>25</v>
      </c>
      <c r="I204" s="196"/>
      <c r="J204" s="9" t="str">
        <f t="shared" ca="1" si="30"/>
        <v/>
      </c>
      <c r="K204" s="9" t="str">
        <f t="shared" ca="1" si="31"/>
        <v/>
      </c>
      <c r="L204" s="9">
        <f t="shared" ca="1" si="32"/>
        <v>12</v>
      </c>
      <c r="N204" s="176">
        <f t="shared" ca="1" si="41"/>
        <v>30</v>
      </c>
      <c r="O204" s="176">
        <f t="shared" ca="1" si="43"/>
        <v>5656</v>
      </c>
      <c r="P204" s="175">
        <f t="shared" ca="1" si="33"/>
        <v>847.5157240417368</v>
      </c>
      <c r="Q204" s="11">
        <f t="shared" ca="1" si="34"/>
        <v>2.9930000000000002E-2</v>
      </c>
      <c r="R204" s="12">
        <f t="shared" ca="1" si="35"/>
        <v>25.366145620569185</v>
      </c>
      <c r="T204" s="31">
        <f t="shared" ca="1" si="44"/>
        <v>2106.3704858457254</v>
      </c>
    </row>
    <row r="205" spans="1:20">
      <c r="A205" s="198">
        <f ca="1">'PRICE_IOF Ñ USAR'!A205</f>
        <v>187</v>
      </c>
      <c r="B205" s="197">
        <f ca="1">'PRICE_IOF Ñ USAR'!B205</f>
        <v>50415</v>
      </c>
      <c r="C205" s="196">
        <f t="shared" ca="1" si="36"/>
        <v>1433.8066930628784</v>
      </c>
      <c r="D205" s="21">
        <f t="shared" ca="1" si="42"/>
        <v>672.56379278284714</v>
      </c>
      <c r="E205" s="196">
        <f t="shared" ca="1" si="37"/>
        <v>71670.953392029201</v>
      </c>
      <c r="F205" s="178">
        <f t="shared" ca="1" si="38"/>
        <v>15.351999617869339</v>
      </c>
      <c r="G205" s="178">
        <f t="shared" ca="1" si="39"/>
        <v>26.319999999999997</v>
      </c>
      <c r="H205" s="177">
        <f t="shared" ca="1" si="40"/>
        <v>25</v>
      </c>
      <c r="I205" s="196"/>
      <c r="J205" s="9" t="str">
        <f t="shared" ca="1" si="30"/>
        <v/>
      </c>
      <c r="K205" s="9" t="str">
        <f t="shared" ca="1" si="31"/>
        <v/>
      </c>
      <c r="L205" s="9">
        <f t="shared" ca="1" si="32"/>
        <v>1</v>
      </c>
      <c r="N205" s="176">
        <f t="shared" ca="1" si="41"/>
        <v>31</v>
      </c>
      <c r="O205" s="176">
        <f t="shared" ca="1" si="43"/>
        <v>5687</v>
      </c>
      <c r="P205" s="175">
        <f t="shared" ca="1" si="33"/>
        <v>847.5157240417368</v>
      </c>
      <c r="Q205" s="11">
        <f t="shared" ca="1" si="34"/>
        <v>2.9930000000000002E-2</v>
      </c>
      <c r="R205" s="12">
        <f t="shared" ca="1" si="35"/>
        <v>25.366145620569185</v>
      </c>
      <c r="T205" s="31">
        <f t="shared" ca="1" si="44"/>
        <v>2106.3704858457254</v>
      </c>
    </row>
    <row r="206" spans="1:20">
      <c r="A206" s="198">
        <f ca="1">'PRICE_IOF Ñ USAR'!A206</f>
        <v>188</v>
      </c>
      <c r="B206" s="197">
        <f ca="1">'PRICE_IOF Ñ USAR'!B206</f>
        <v>50446</v>
      </c>
      <c r="C206" s="196">
        <f t="shared" ca="1" si="36"/>
        <v>1446.9977146390568</v>
      </c>
      <c r="D206" s="21">
        <f t="shared" ca="1" si="42"/>
        <v>659.37277120666863</v>
      </c>
      <c r="E206" s="196">
        <f t="shared" ca="1" si="37"/>
        <v>70223.955677390142</v>
      </c>
      <c r="F206" s="178">
        <f t="shared" ca="1" si="38"/>
        <v>15.050900212326132</v>
      </c>
      <c r="G206" s="178">
        <f t="shared" ca="1" si="39"/>
        <v>26.319999999999997</v>
      </c>
      <c r="H206" s="177">
        <f t="shared" ca="1" si="40"/>
        <v>25</v>
      </c>
      <c r="I206" s="196"/>
      <c r="J206" s="9" t="str">
        <f t="shared" ca="1" si="30"/>
        <v/>
      </c>
      <c r="K206" s="9" t="str">
        <f t="shared" ca="1" si="31"/>
        <v/>
      </c>
      <c r="L206" s="9">
        <f t="shared" ca="1" si="32"/>
        <v>2</v>
      </c>
      <c r="N206" s="176">
        <f t="shared" ca="1" si="41"/>
        <v>31</v>
      </c>
      <c r="O206" s="176">
        <f t="shared" ca="1" si="43"/>
        <v>5718</v>
      </c>
      <c r="P206" s="175">
        <f t="shared" ca="1" si="33"/>
        <v>847.5157240417368</v>
      </c>
      <c r="Q206" s="11">
        <f t="shared" ca="1" si="34"/>
        <v>2.9930000000000002E-2</v>
      </c>
      <c r="R206" s="12">
        <f t="shared" ca="1" si="35"/>
        <v>25.366145620569185</v>
      </c>
      <c r="T206" s="31">
        <f t="shared" ca="1" si="44"/>
        <v>2106.3704858457254</v>
      </c>
    </row>
    <row r="207" spans="1:20">
      <c r="A207" s="198">
        <f ca="1">'PRICE_IOF Ñ USAR'!A207</f>
        <v>189</v>
      </c>
      <c r="B207" s="197">
        <f ca="1">'PRICE_IOF Ñ USAR'!B207</f>
        <v>50474</v>
      </c>
      <c r="C207" s="196">
        <f t="shared" ca="1" si="36"/>
        <v>1460.3100936137362</v>
      </c>
      <c r="D207" s="21">
        <f t="shared" ca="1" si="42"/>
        <v>646.06039223198934</v>
      </c>
      <c r="E207" s="196">
        <f t="shared" ca="1" si="37"/>
        <v>68763.645583776408</v>
      </c>
      <c r="F207" s="178">
        <f t="shared" ca="1" si="38"/>
        <v>14.747030692251931</v>
      </c>
      <c r="G207" s="178">
        <f t="shared" ca="1" si="39"/>
        <v>26.319999999999997</v>
      </c>
      <c r="H207" s="177">
        <f t="shared" ca="1" si="40"/>
        <v>25</v>
      </c>
      <c r="I207" s="196"/>
      <c r="J207" s="9" t="str">
        <f t="shared" ca="1" si="30"/>
        <v/>
      </c>
      <c r="K207" s="9" t="str">
        <f t="shared" ca="1" si="31"/>
        <v/>
      </c>
      <c r="L207" s="9">
        <f t="shared" ca="1" si="32"/>
        <v>3</v>
      </c>
      <c r="N207" s="176">
        <f t="shared" ca="1" si="41"/>
        <v>28</v>
      </c>
      <c r="O207" s="176">
        <f t="shared" ca="1" si="43"/>
        <v>5746</v>
      </c>
      <c r="P207" s="175">
        <f t="shared" ca="1" si="33"/>
        <v>847.5157240417368</v>
      </c>
      <c r="Q207" s="11">
        <f t="shared" ca="1" si="34"/>
        <v>2.9930000000000002E-2</v>
      </c>
      <c r="R207" s="12">
        <f t="shared" ca="1" si="35"/>
        <v>25.366145620569185</v>
      </c>
      <c r="T207" s="31">
        <f t="shared" ca="1" si="44"/>
        <v>2106.3704858457254</v>
      </c>
    </row>
    <row r="208" spans="1:20">
      <c r="A208" s="198">
        <f ca="1">'PRICE_IOF Ñ USAR'!A208</f>
        <v>190</v>
      </c>
      <c r="B208" s="197">
        <f ca="1">'PRICE_IOF Ñ USAR'!B208</f>
        <v>50505</v>
      </c>
      <c r="C208" s="196">
        <f t="shared" ca="1" si="36"/>
        <v>1473.7449464749825</v>
      </c>
      <c r="D208" s="21">
        <f t="shared" ca="1" si="42"/>
        <v>632.6255393707429</v>
      </c>
      <c r="E208" s="196">
        <f t="shared" ca="1" si="37"/>
        <v>67289.900637301427</v>
      </c>
      <c r="F208" s="178">
        <f t="shared" ca="1" si="38"/>
        <v>14.440365572593047</v>
      </c>
      <c r="G208" s="178">
        <f t="shared" ca="1" si="39"/>
        <v>26.319999999999997</v>
      </c>
      <c r="H208" s="177">
        <f t="shared" ca="1" si="40"/>
        <v>25</v>
      </c>
      <c r="I208" s="196"/>
      <c r="J208" s="9" t="str">
        <f t="shared" ca="1" si="30"/>
        <v/>
      </c>
      <c r="K208" s="9" t="str">
        <f t="shared" ca="1" si="31"/>
        <v/>
      </c>
      <c r="L208" s="9">
        <f t="shared" ca="1" si="32"/>
        <v>4</v>
      </c>
      <c r="N208" s="176">
        <f t="shared" ca="1" si="41"/>
        <v>31</v>
      </c>
      <c r="O208" s="176">
        <f t="shared" ca="1" si="43"/>
        <v>5777</v>
      </c>
      <c r="P208" s="175">
        <f t="shared" ca="1" si="33"/>
        <v>847.5157240417368</v>
      </c>
      <c r="Q208" s="11">
        <f t="shared" ca="1" si="34"/>
        <v>2.9930000000000002E-2</v>
      </c>
      <c r="R208" s="12">
        <f t="shared" ca="1" si="35"/>
        <v>25.366145620569185</v>
      </c>
      <c r="T208" s="31">
        <f t="shared" ca="1" si="44"/>
        <v>2106.3704858457254</v>
      </c>
    </row>
    <row r="209" spans="1:20">
      <c r="A209" s="198">
        <f ca="1">'PRICE_IOF Ñ USAR'!A209</f>
        <v>191</v>
      </c>
      <c r="B209" s="197">
        <f ca="1">'PRICE_IOF Ñ USAR'!B209</f>
        <v>50535</v>
      </c>
      <c r="C209" s="196">
        <f t="shared" ca="1" si="36"/>
        <v>1487.3033999825523</v>
      </c>
      <c r="D209" s="21">
        <f t="shared" ca="1" si="42"/>
        <v>619.06708586317313</v>
      </c>
      <c r="E209" s="196">
        <f t="shared" ca="1" si="37"/>
        <v>65802.597237318871</v>
      </c>
      <c r="F209" s="178">
        <f t="shared" ca="1" si="38"/>
        <v>14.1308791338333</v>
      </c>
      <c r="G209" s="178">
        <f t="shared" ca="1" si="39"/>
        <v>26.319999999999997</v>
      </c>
      <c r="H209" s="177">
        <f t="shared" ca="1" si="40"/>
        <v>25</v>
      </c>
      <c r="I209" s="196"/>
      <c r="J209" s="9" t="str">
        <f t="shared" ca="1" si="30"/>
        <v/>
      </c>
      <c r="K209" s="9" t="str">
        <f t="shared" ca="1" si="31"/>
        <v/>
      </c>
      <c r="L209" s="9">
        <f t="shared" ca="1" si="32"/>
        <v>5</v>
      </c>
      <c r="N209" s="176">
        <f t="shared" ca="1" si="41"/>
        <v>30</v>
      </c>
      <c r="O209" s="176">
        <f t="shared" ca="1" si="43"/>
        <v>5807</v>
      </c>
      <c r="P209" s="175">
        <f t="shared" ca="1" si="33"/>
        <v>847.5157240417368</v>
      </c>
      <c r="Q209" s="11">
        <f t="shared" ca="1" si="34"/>
        <v>2.9930000000000002E-2</v>
      </c>
      <c r="R209" s="12">
        <f t="shared" ca="1" si="35"/>
        <v>25.366145620569185</v>
      </c>
      <c r="T209" s="31">
        <f t="shared" ca="1" si="44"/>
        <v>2106.3704858457254</v>
      </c>
    </row>
    <row r="210" spans="1:20">
      <c r="A210" s="198">
        <f ca="1">'PRICE_IOF Ñ USAR'!A210</f>
        <v>192</v>
      </c>
      <c r="B210" s="197">
        <f ca="1">'PRICE_IOF Ñ USAR'!B210</f>
        <v>50566</v>
      </c>
      <c r="C210" s="196">
        <f t="shared" ca="1" si="36"/>
        <v>1500.9865912623918</v>
      </c>
      <c r="D210" s="21">
        <f t="shared" ca="1" si="42"/>
        <v>605.38389458333359</v>
      </c>
      <c r="E210" s="196">
        <f t="shared" ca="1" si="37"/>
        <v>64301.610646056477</v>
      </c>
      <c r="F210" s="178">
        <f t="shared" ca="1" si="38"/>
        <v>13.818545419836964</v>
      </c>
      <c r="G210" s="178">
        <f t="shared" ca="1" si="39"/>
        <v>26.319999999999997</v>
      </c>
      <c r="H210" s="177">
        <f t="shared" ca="1" si="40"/>
        <v>25</v>
      </c>
      <c r="I210" s="196"/>
      <c r="J210" s="9" t="str">
        <f t="shared" ref="J210:J273" ca="1" si="45">IF(A210="I","Carencia",IF(A210&lt;=$C$12,"Carencia",""))</f>
        <v/>
      </c>
      <c r="K210" s="9" t="str">
        <f t="shared" ref="K210:K273" ca="1" si="46">IF(L210=$C$13,"Pula","")</f>
        <v/>
      </c>
      <c r="L210" s="9">
        <f t="shared" ref="L210:L273" ca="1" si="47">IFERROR(MONTH(B210),"")</f>
        <v>6</v>
      </c>
      <c r="N210" s="176">
        <f t="shared" ca="1" si="41"/>
        <v>31</v>
      </c>
      <c r="O210" s="176">
        <f t="shared" ca="1" si="43"/>
        <v>5838</v>
      </c>
      <c r="P210" s="175">
        <f t="shared" ref="P210:P273" ca="1" si="48">IF(A210&lt;&gt;"",$E$18/($C$8-$C$12-$D$13),"")</f>
        <v>847.5157240417368</v>
      </c>
      <c r="Q210" s="11">
        <f t="shared" ref="Q210:Q273" ca="1" si="49">IF(OR(A210="",J210="Carencia",K210="Pula"),"",IF(AND($F$5="PF",O210&lt;365),$I$3*O210,IF(AND($F$5="PF",O210&gt;365),$I$3*365,IF(AND($F$5="PJ",O210&lt;365),$I$4*O210,IF(AND($F$5="PJ",O210&gt;365),$I$4*365)))))</f>
        <v>2.9930000000000002E-2</v>
      </c>
      <c r="R210" s="12">
        <f t="shared" ref="R210:R273" ca="1" si="50">IFERROR(Q210*P210,"")</f>
        <v>25.366145620569185</v>
      </c>
      <c r="T210" s="31">
        <f t="shared" ca="1" si="44"/>
        <v>2106.3704858457254</v>
      </c>
    </row>
    <row r="211" spans="1:20">
      <c r="A211" s="198">
        <f ca="1">'PRICE_IOF Ñ USAR'!A211</f>
        <v>193</v>
      </c>
      <c r="B211" s="197">
        <f ca="1">'PRICE_IOF Ñ USAR'!B211</f>
        <v>50596</v>
      </c>
      <c r="C211" s="196">
        <f t="shared" ref="C211:C274" ca="1" si="51">IFERROR(IF(OR(J211="Carencia",K211="Pula"),0,$I$12-D211),"")</f>
        <v>1514.7956679020058</v>
      </c>
      <c r="D211" s="21">
        <f t="shared" ca="1" si="42"/>
        <v>591.57481794371961</v>
      </c>
      <c r="E211" s="196">
        <f t="shared" ref="E211:E274" ca="1" si="52">IFERROR(IF(OR(J211="Carencia",K211="Pula"),E210+D211+SUM(F211:H211),(E210-C211)),"")</f>
        <v>62786.814978154471</v>
      </c>
      <c r="F211" s="178">
        <f t="shared" ref="F211:F274" ca="1" si="53">IFERROR(IF(OR(AND(DAY(B211)=DAY(B210),MONTH(B211)&lt;&gt;MONTH(B210)),MONTH(B211)&lt;&gt;MONTH(B210)),E210*$I$7,""),"")</f>
        <v>13.50333823567186</v>
      </c>
      <c r="G211" s="178">
        <f t="shared" ref="G211:G274" ca="1" si="54">IFERROR(IF(OR(AND(DAY(B211)=DAY(B210),MONTH(B211)&lt;&gt;MONTH(B210)),MONTH(B211)&lt;&gt;MONTH(B210)),$C$11*$I$8,0),"")</f>
        <v>26.319999999999997</v>
      </c>
      <c r="H211" s="177">
        <f t="shared" ref="H211:H274" ca="1" si="55">IFERROR(IF(OR(AND(DAY(B211)=DAY(B210),MONTH(B211)&lt;&gt;MONTH(B210)),MONTH(B211)&lt;&gt;MONTH(B210)),$I$10,0),"")</f>
        <v>25</v>
      </c>
      <c r="I211" s="196"/>
      <c r="J211" s="9" t="str">
        <f t="shared" ca="1" si="45"/>
        <v/>
      </c>
      <c r="K211" s="9" t="str">
        <f t="shared" ca="1" si="46"/>
        <v/>
      </c>
      <c r="L211" s="9">
        <f t="shared" ca="1" si="47"/>
        <v>7</v>
      </c>
      <c r="N211" s="176">
        <f t="shared" ref="N211:N274" ca="1" si="56">IFERROR(B211-B210,"")</f>
        <v>30</v>
      </c>
      <c r="O211" s="176">
        <f t="shared" ca="1" si="43"/>
        <v>5868</v>
      </c>
      <c r="P211" s="175">
        <f t="shared" ca="1" si="48"/>
        <v>847.5157240417368</v>
      </c>
      <c r="Q211" s="11">
        <f t="shared" ca="1" si="49"/>
        <v>2.9930000000000002E-2</v>
      </c>
      <c r="R211" s="12">
        <f t="shared" ca="1" si="50"/>
        <v>25.366145620569185</v>
      </c>
      <c r="T211" s="31">
        <f t="shared" ca="1" si="44"/>
        <v>2106.3704858457254</v>
      </c>
    </row>
    <row r="212" spans="1:20">
      <c r="A212" s="198">
        <f ca="1">'PRICE_IOF Ñ USAR'!A212</f>
        <v>194</v>
      </c>
      <c r="B212" s="197">
        <f ca="1">'PRICE_IOF Ñ USAR'!B212</f>
        <v>50627</v>
      </c>
      <c r="C212" s="196">
        <f t="shared" ca="1" si="51"/>
        <v>1528.7317880467044</v>
      </c>
      <c r="D212" s="21">
        <f t="shared" ref="D212:D275" ca="1" si="57">IFERROR(IF(DAY(B212)=DAY(B211),IF(K212="Pula",0,($C$9)*E211),IF(AND(K212="Pula",J212=""),0,IF(AND($F$3=30,OR(AND(DAY(B211)=28,MONTH(B211)=2),AND(DAY(B211)=29,MONTH(B211)=2))),$C$9*E211,$C$9*E211))),"")</f>
        <v>577.63869779902109</v>
      </c>
      <c r="E212" s="196">
        <f t="shared" ca="1" si="52"/>
        <v>61258.083190107769</v>
      </c>
      <c r="F212" s="178">
        <f t="shared" ca="1" si="53"/>
        <v>13.185231145412439</v>
      </c>
      <c r="G212" s="178">
        <f t="shared" ca="1" si="54"/>
        <v>26.319999999999997</v>
      </c>
      <c r="H212" s="177">
        <f t="shared" ca="1" si="55"/>
        <v>25</v>
      </c>
      <c r="I212" s="196"/>
      <c r="J212" s="9" t="str">
        <f t="shared" ca="1" si="45"/>
        <v/>
      </c>
      <c r="K212" s="9" t="str">
        <f t="shared" ca="1" si="46"/>
        <v/>
      </c>
      <c r="L212" s="9">
        <f t="shared" ca="1" si="47"/>
        <v>8</v>
      </c>
      <c r="N212" s="176">
        <f t="shared" ca="1" si="56"/>
        <v>31</v>
      </c>
      <c r="O212" s="176">
        <f t="shared" ref="O212:O275" ca="1" si="58">IFERROR(N212+O211,"")</f>
        <v>5899</v>
      </c>
      <c r="P212" s="175">
        <f t="shared" ca="1" si="48"/>
        <v>847.5157240417368</v>
      </c>
      <c r="Q212" s="11">
        <f t="shared" ca="1" si="49"/>
        <v>2.9930000000000002E-2</v>
      </c>
      <c r="R212" s="12">
        <f t="shared" ca="1" si="50"/>
        <v>25.366145620569185</v>
      </c>
      <c r="T212" s="31">
        <f t="shared" ref="T212:T275" ca="1" si="59">IFERROR(IF(OR(J212="Carencia",K212="Pula"),0,C212+D212),"")</f>
        <v>2106.3704858457254</v>
      </c>
    </row>
    <row r="213" spans="1:20">
      <c r="A213" s="198">
        <f ca="1">'PRICE_IOF Ñ USAR'!A213</f>
        <v>195</v>
      </c>
      <c r="B213" s="197">
        <f ca="1">'PRICE_IOF Ñ USAR'!B213</f>
        <v>50658</v>
      </c>
      <c r="C213" s="196">
        <f t="shared" ca="1" si="51"/>
        <v>1542.7961204967339</v>
      </c>
      <c r="D213" s="21">
        <f t="shared" ca="1" si="57"/>
        <v>563.57436534899148</v>
      </c>
      <c r="E213" s="196">
        <f t="shared" ca="1" si="52"/>
        <v>59715.287069611033</v>
      </c>
      <c r="F213" s="178">
        <f t="shared" ca="1" si="53"/>
        <v>12.864197469922631</v>
      </c>
      <c r="G213" s="178">
        <f t="shared" ca="1" si="54"/>
        <v>26.319999999999997</v>
      </c>
      <c r="H213" s="177">
        <f t="shared" ca="1" si="55"/>
        <v>25</v>
      </c>
      <c r="I213" s="196"/>
      <c r="J213" s="9" t="str">
        <f t="shared" ca="1" si="45"/>
        <v/>
      </c>
      <c r="K213" s="9" t="str">
        <f t="shared" ca="1" si="46"/>
        <v/>
      </c>
      <c r="L213" s="9">
        <f t="shared" ca="1" si="47"/>
        <v>9</v>
      </c>
      <c r="N213" s="176">
        <f t="shared" ca="1" si="56"/>
        <v>31</v>
      </c>
      <c r="O213" s="176">
        <f t="shared" ca="1" si="58"/>
        <v>5930</v>
      </c>
      <c r="P213" s="175">
        <f t="shared" ca="1" si="48"/>
        <v>847.5157240417368</v>
      </c>
      <c r="Q213" s="11">
        <f t="shared" ca="1" si="49"/>
        <v>2.9930000000000002E-2</v>
      </c>
      <c r="R213" s="12">
        <f t="shared" ca="1" si="50"/>
        <v>25.366145620569185</v>
      </c>
      <c r="T213" s="31">
        <f t="shared" ca="1" si="59"/>
        <v>2106.3704858457254</v>
      </c>
    </row>
    <row r="214" spans="1:20">
      <c r="A214" s="198">
        <f ca="1">'PRICE_IOF Ñ USAR'!A214</f>
        <v>196</v>
      </c>
      <c r="B214" s="197">
        <f ca="1">'PRICE_IOF Ñ USAR'!B214</f>
        <v>50688</v>
      </c>
      <c r="C214" s="196">
        <f t="shared" ca="1" si="51"/>
        <v>1556.9898448053038</v>
      </c>
      <c r="D214" s="21">
        <f t="shared" ca="1" si="57"/>
        <v>549.38064104042155</v>
      </c>
      <c r="E214" s="196">
        <f t="shared" ca="1" si="52"/>
        <v>58158.297224805727</v>
      </c>
      <c r="F214" s="178">
        <f t="shared" ca="1" si="53"/>
        <v>12.540210284618318</v>
      </c>
      <c r="G214" s="178">
        <f t="shared" ca="1" si="54"/>
        <v>26.319999999999997</v>
      </c>
      <c r="H214" s="177">
        <f t="shared" ca="1" si="55"/>
        <v>25</v>
      </c>
      <c r="I214" s="196"/>
      <c r="J214" s="9" t="str">
        <f t="shared" ca="1" si="45"/>
        <v/>
      </c>
      <c r="K214" s="9" t="str">
        <f t="shared" ca="1" si="46"/>
        <v/>
      </c>
      <c r="L214" s="9">
        <f t="shared" ca="1" si="47"/>
        <v>10</v>
      </c>
      <c r="N214" s="176">
        <f t="shared" ca="1" si="56"/>
        <v>30</v>
      </c>
      <c r="O214" s="176">
        <f t="shared" ca="1" si="58"/>
        <v>5960</v>
      </c>
      <c r="P214" s="175">
        <f t="shared" ca="1" si="48"/>
        <v>847.5157240417368</v>
      </c>
      <c r="Q214" s="11">
        <f t="shared" ca="1" si="49"/>
        <v>2.9930000000000002E-2</v>
      </c>
      <c r="R214" s="12">
        <f t="shared" ca="1" si="50"/>
        <v>25.366145620569185</v>
      </c>
      <c r="T214" s="31">
        <f t="shared" ca="1" si="59"/>
        <v>2106.3704858457254</v>
      </c>
    </row>
    <row r="215" spans="1:20">
      <c r="A215" s="198">
        <f ca="1">'PRICE_IOF Ñ USAR'!A215</f>
        <v>197</v>
      </c>
      <c r="B215" s="197">
        <f ca="1">'PRICE_IOF Ñ USAR'!B215</f>
        <v>50719</v>
      </c>
      <c r="C215" s="196">
        <f t="shared" ca="1" si="51"/>
        <v>1571.3141513775126</v>
      </c>
      <c r="D215" s="21">
        <f t="shared" ca="1" si="57"/>
        <v>535.05633446821264</v>
      </c>
      <c r="E215" s="196">
        <f t="shared" ca="1" si="52"/>
        <v>56586.983073428215</v>
      </c>
      <c r="F215" s="178">
        <f t="shared" ca="1" si="53"/>
        <v>12.213242417209203</v>
      </c>
      <c r="G215" s="178">
        <f t="shared" ca="1" si="54"/>
        <v>26.319999999999997</v>
      </c>
      <c r="H215" s="177">
        <f t="shared" ca="1" si="55"/>
        <v>25</v>
      </c>
      <c r="I215" s="196"/>
      <c r="J215" s="9" t="str">
        <f t="shared" ca="1" si="45"/>
        <v/>
      </c>
      <c r="K215" s="9" t="str">
        <f t="shared" ca="1" si="46"/>
        <v/>
      </c>
      <c r="L215" s="9">
        <f t="shared" ca="1" si="47"/>
        <v>11</v>
      </c>
      <c r="N215" s="176">
        <f t="shared" ca="1" si="56"/>
        <v>31</v>
      </c>
      <c r="O215" s="176">
        <f t="shared" ca="1" si="58"/>
        <v>5991</v>
      </c>
      <c r="P215" s="175">
        <f t="shared" ca="1" si="48"/>
        <v>847.5157240417368</v>
      </c>
      <c r="Q215" s="11">
        <f t="shared" ca="1" si="49"/>
        <v>2.9930000000000002E-2</v>
      </c>
      <c r="R215" s="12">
        <f t="shared" ca="1" si="50"/>
        <v>25.366145620569185</v>
      </c>
      <c r="T215" s="31">
        <f t="shared" ca="1" si="59"/>
        <v>2106.3704858457254</v>
      </c>
    </row>
    <row r="216" spans="1:20">
      <c r="A216" s="198">
        <f ca="1">'PRICE_IOF Ñ USAR'!A216</f>
        <v>198</v>
      </c>
      <c r="B216" s="197">
        <f ca="1">'PRICE_IOF Ñ USAR'!B216</f>
        <v>50749</v>
      </c>
      <c r="C216" s="196">
        <f t="shared" ca="1" si="51"/>
        <v>1585.7702415701858</v>
      </c>
      <c r="D216" s="21">
        <f t="shared" ca="1" si="57"/>
        <v>520.60024427553958</v>
      </c>
      <c r="E216" s="196">
        <f t="shared" ca="1" si="52"/>
        <v>55001.212831858029</v>
      </c>
      <c r="F216" s="178">
        <f t="shared" ca="1" si="53"/>
        <v>11.883266445419926</v>
      </c>
      <c r="G216" s="178">
        <f t="shared" ca="1" si="54"/>
        <v>26.319999999999997</v>
      </c>
      <c r="H216" s="177">
        <f t="shared" ca="1" si="55"/>
        <v>25</v>
      </c>
      <c r="I216" s="196"/>
      <c r="J216" s="9" t="str">
        <f t="shared" ca="1" si="45"/>
        <v/>
      </c>
      <c r="K216" s="9" t="str">
        <f t="shared" ca="1" si="46"/>
        <v/>
      </c>
      <c r="L216" s="9">
        <f t="shared" ca="1" si="47"/>
        <v>12</v>
      </c>
      <c r="N216" s="176">
        <f t="shared" ca="1" si="56"/>
        <v>30</v>
      </c>
      <c r="O216" s="176">
        <f t="shared" ca="1" si="58"/>
        <v>6021</v>
      </c>
      <c r="P216" s="175">
        <f t="shared" ca="1" si="48"/>
        <v>847.5157240417368</v>
      </c>
      <c r="Q216" s="11">
        <f t="shared" ca="1" si="49"/>
        <v>2.9930000000000002E-2</v>
      </c>
      <c r="R216" s="12">
        <f t="shared" ca="1" si="50"/>
        <v>25.366145620569185</v>
      </c>
      <c r="T216" s="31">
        <f t="shared" ca="1" si="59"/>
        <v>2106.3704858457254</v>
      </c>
    </row>
    <row r="217" spans="1:20">
      <c r="A217" s="198">
        <f ca="1">'PRICE_IOF Ñ USAR'!A217</f>
        <v>199</v>
      </c>
      <c r="B217" s="197">
        <f ca="1">'PRICE_IOF Ñ USAR'!B217</f>
        <v>50780</v>
      </c>
      <c r="C217" s="196">
        <f t="shared" ca="1" si="51"/>
        <v>1600.3593277926316</v>
      </c>
      <c r="D217" s="21">
        <f t="shared" ca="1" si="57"/>
        <v>506.01115805309388</v>
      </c>
      <c r="E217" s="196">
        <f t="shared" ca="1" si="52"/>
        <v>53400.853504065395</v>
      </c>
      <c r="F217" s="178">
        <f t="shared" ca="1" si="53"/>
        <v>11.550254694690187</v>
      </c>
      <c r="G217" s="178">
        <f t="shared" ca="1" si="54"/>
        <v>26.319999999999997</v>
      </c>
      <c r="H217" s="177">
        <f t="shared" ca="1" si="55"/>
        <v>25</v>
      </c>
      <c r="I217" s="196"/>
      <c r="J217" s="9" t="str">
        <f t="shared" ca="1" si="45"/>
        <v/>
      </c>
      <c r="K217" s="9" t="str">
        <f t="shared" ca="1" si="46"/>
        <v/>
      </c>
      <c r="L217" s="9">
        <f t="shared" ca="1" si="47"/>
        <v>1</v>
      </c>
      <c r="N217" s="176">
        <f t="shared" ca="1" si="56"/>
        <v>31</v>
      </c>
      <c r="O217" s="176">
        <f t="shared" ca="1" si="58"/>
        <v>6052</v>
      </c>
      <c r="P217" s="175">
        <f t="shared" ca="1" si="48"/>
        <v>847.5157240417368</v>
      </c>
      <c r="Q217" s="11">
        <f t="shared" ca="1" si="49"/>
        <v>2.9930000000000002E-2</v>
      </c>
      <c r="R217" s="12">
        <f t="shared" ca="1" si="50"/>
        <v>25.366145620569185</v>
      </c>
      <c r="T217" s="31">
        <f t="shared" ca="1" si="59"/>
        <v>2106.3704858457254</v>
      </c>
    </row>
    <row r="218" spans="1:20">
      <c r="A218" s="198">
        <f ca="1">'PRICE_IOF Ñ USAR'!A218</f>
        <v>200</v>
      </c>
      <c r="B218" s="197">
        <f ca="1">'PRICE_IOF Ñ USAR'!B218</f>
        <v>50811</v>
      </c>
      <c r="C218" s="196">
        <f t="shared" ca="1" si="51"/>
        <v>1615.0826336083237</v>
      </c>
      <c r="D218" s="21">
        <f t="shared" ca="1" si="57"/>
        <v>491.28785223740164</v>
      </c>
      <c r="E218" s="196">
        <f t="shared" ca="1" si="52"/>
        <v>51785.770870457069</v>
      </c>
      <c r="F218" s="178">
        <f t="shared" ca="1" si="53"/>
        <v>11.214179235853733</v>
      </c>
      <c r="G218" s="178">
        <f t="shared" ca="1" si="54"/>
        <v>26.319999999999997</v>
      </c>
      <c r="H218" s="177">
        <f t="shared" ca="1" si="55"/>
        <v>25</v>
      </c>
      <c r="I218" s="196"/>
      <c r="J218" s="9" t="str">
        <f t="shared" ca="1" si="45"/>
        <v/>
      </c>
      <c r="K218" s="9" t="str">
        <f t="shared" ca="1" si="46"/>
        <v/>
      </c>
      <c r="L218" s="9">
        <f t="shared" ca="1" si="47"/>
        <v>2</v>
      </c>
      <c r="N218" s="176">
        <f t="shared" ca="1" si="56"/>
        <v>31</v>
      </c>
      <c r="O218" s="176">
        <f t="shared" ca="1" si="58"/>
        <v>6083</v>
      </c>
      <c r="P218" s="175">
        <f t="shared" ca="1" si="48"/>
        <v>847.5157240417368</v>
      </c>
      <c r="Q218" s="11">
        <f t="shared" ca="1" si="49"/>
        <v>2.9930000000000002E-2</v>
      </c>
      <c r="R218" s="12">
        <f t="shared" ca="1" si="50"/>
        <v>25.366145620569185</v>
      </c>
      <c r="T218" s="31">
        <f t="shared" ca="1" si="59"/>
        <v>2106.3704858457254</v>
      </c>
    </row>
    <row r="219" spans="1:20">
      <c r="A219" s="198">
        <f ca="1">'PRICE_IOF Ñ USAR'!A219</f>
        <v>201</v>
      </c>
      <c r="B219" s="197">
        <f ca="1">'PRICE_IOF Ñ USAR'!B219</f>
        <v>50839</v>
      </c>
      <c r="C219" s="196">
        <f t="shared" ca="1" si="51"/>
        <v>1629.9413938375203</v>
      </c>
      <c r="D219" s="21">
        <f t="shared" ca="1" si="57"/>
        <v>476.42909200820503</v>
      </c>
      <c r="E219" s="196">
        <f t="shared" ca="1" si="52"/>
        <v>50155.829476619547</v>
      </c>
      <c r="F219" s="178">
        <f t="shared" ca="1" si="53"/>
        <v>10.875011882795985</v>
      </c>
      <c r="G219" s="178">
        <f t="shared" ca="1" si="54"/>
        <v>26.319999999999997</v>
      </c>
      <c r="H219" s="177">
        <f t="shared" ca="1" si="55"/>
        <v>25</v>
      </c>
      <c r="I219" s="196"/>
      <c r="J219" s="9" t="str">
        <f t="shared" ca="1" si="45"/>
        <v/>
      </c>
      <c r="K219" s="9" t="str">
        <f t="shared" ca="1" si="46"/>
        <v/>
      </c>
      <c r="L219" s="9">
        <f t="shared" ca="1" si="47"/>
        <v>3</v>
      </c>
      <c r="N219" s="176">
        <f t="shared" ca="1" si="56"/>
        <v>28</v>
      </c>
      <c r="O219" s="176">
        <f t="shared" ca="1" si="58"/>
        <v>6111</v>
      </c>
      <c r="P219" s="175">
        <f t="shared" ca="1" si="48"/>
        <v>847.5157240417368</v>
      </c>
      <c r="Q219" s="11">
        <f t="shared" ca="1" si="49"/>
        <v>2.9930000000000002E-2</v>
      </c>
      <c r="R219" s="12">
        <f t="shared" ca="1" si="50"/>
        <v>25.366145620569185</v>
      </c>
      <c r="T219" s="31">
        <f t="shared" ca="1" si="59"/>
        <v>2106.3704858457254</v>
      </c>
    </row>
    <row r="220" spans="1:20">
      <c r="A220" s="198">
        <f ca="1">'PRICE_IOF Ñ USAR'!A220</f>
        <v>202</v>
      </c>
      <c r="B220" s="197">
        <f ca="1">'PRICE_IOF Ñ USAR'!B220</f>
        <v>50870</v>
      </c>
      <c r="C220" s="196">
        <f t="shared" ca="1" si="51"/>
        <v>1644.9368546608257</v>
      </c>
      <c r="D220" s="21">
        <f t="shared" ca="1" si="57"/>
        <v>461.43363118489981</v>
      </c>
      <c r="E220" s="196">
        <f t="shared" ca="1" si="52"/>
        <v>48510.892621958723</v>
      </c>
      <c r="F220" s="178">
        <f t="shared" ca="1" si="53"/>
        <v>10.532724190090105</v>
      </c>
      <c r="G220" s="178">
        <f t="shared" ca="1" si="54"/>
        <v>26.319999999999997</v>
      </c>
      <c r="H220" s="177">
        <f t="shared" ca="1" si="55"/>
        <v>25</v>
      </c>
      <c r="I220" s="196"/>
      <c r="J220" s="9" t="str">
        <f t="shared" ca="1" si="45"/>
        <v/>
      </c>
      <c r="K220" s="9" t="str">
        <f t="shared" ca="1" si="46"/>
        <v/>
      </c>
      <c r="L220" s="9">
        <f t="shared" ca="1" si="47"/>
        <v>4</v>
      </c>
      <c r="N220" s="176">
        <f t="shared" ca="1" si="56"/>
        <v>31</v>
      </c>
      <c r="O220" s="176">
        <f t="shared" ca="1" si="58"/>
        <v>6142</v>
      </c>
      <c r="P220" s="175">
        <f t="shared" ca="1" si="48"/>
        <v>847.5157240417368</v>
      </c>
      <c r="Q220" s="11">
        <f t="shared" ca="1" si="49"/>
        <v>2.9930000000000002E-2</v>
      </c>
      <c r="R220" s="12">
        <f t="shared" ca="1" si="50"/>
        <v>25.366145620569185</v>
      </c>
      <c r="T220" s="31">
        <f t="shared" ca="1" si="59"/>
        <v>2106.3704858457254</v>
      </c>
    </row>
    <row r="221" spans="1:20">
      <c r="A221" s="198">
        <f ca="1">'PRICE_IOF Ñ USAR'!A221</f>
        <v>203</v>
      </c>
      <c r="B221" s="197">
        <f ca="1">'PRICE_IOF Ñ USAR'!B221</f>
        <v>50900</v>
      </c>
      <c r="C221" s="196">
        <f t="shared" ca="1" si="51"/>
        <v>1660.0702737237052</v>
      </c>
      <c r="D221" s="21">
        <f t="shared" ca="1" si="57"/>
        <v>446.30021212202024</v>
      </c>
      <c r="E221" s="196">
        <f t="shared" ca="1" si="52"/>
        <v>46850.822348235015</v>
      </c>
      <c r="F221" s="178">
        <f t="shared" ca="1" si="53"/>
        <v>10.187287450611333</v>
      </c>
      <c r="G221" s="178">
        <f t="shared" ca="1" si="54"/>
        <v>26.319999999999997</v>
      </c>
      <c r="H221" s="177">
        <f t="shared" ca="1" si="55"/>
        <v>25</v>
      </c>
      <c r="I221" s="196"/>
      <c r="J221" s="9" t="str">
        <f t="shared" ca="1" si="45"/>
        <v/>
      </c>
      <c r="K221" s="9" t="str">
        <f t="shared" ca="1" si="46"/>
        <v/>
      </c>
      <c r="L221" s="9">
        <f t="shared" ca="1" si="47"/>
        <v>5</v>
      </c>
      <c r="N221" s="176">
        <f t="shared" ca="1" si="56"/>
        <v>30</v>
      </c>
      <c r="O221" s="176">
        <f t="shared" ca="1" si="58"/>
        <v>6172</v>
      </c>
      <c r="P221" s="175">
        <f t="shared" ca="1" si="48"/>
        <v>847.5157240417368</v>
      </c>
      <c r="Q221" s="11">
        <f t="shared" ca="1" si="49"/>
        <v>2.9930000000000002E-2</v>
      </c>
      <c r="R221" s="12">
        <f t="shared" ca="1" si="50"/>
        <v>25.366145620569185</v>
      </c>
      <c r="T221" s="31">
        <f t="shared" ca="1" si="59"/>
        <v>2106.3704858457254</v>
      </c>
    </row>
    <row r="222" spans="1:20">
      <c r="A222" s="198">
        <f ca="1">'PRICE_IOF Ñ USAR'!A222</f>
        <v>204</v>
      </c>
      <c r="B222" s="197">
        <f ca="1">'PRICE_IOF Ñ USAR'!B222</f>
        <v>50931</v>
      </c>
      <c r="C222" s="196">
        <f t="shared" ca="1" si="51"/>
        <v>1675.3429202419634</v>
      </c>
      <c r="D222" s="21">
        <f t="shared" ca="1" si="57"/>
        <v>431.02756560376213</v>
      </c>
      <c r="E222" s="196">
        <f t="shared" ca="1" si="52"/>
        <v>45175.47942799305</v>
      </c>
      <c r="F222" s="178">
        <f t="shared" ca="1" si="53"/>
        <v>9.8386726931293538</v>
      </c>
      <c r="G222" s="178">
        <f t="shared" ca="1" si="54"/>
        <v>26.319999999999997</v>
      </c>
      <c r="H222" s="177">
        <f t="shared" ca="1" si="55"/>
        <v>25</v>
      </c>
      <c r="I222" s="196"/>
      <c r="J222" s="9" t="str">
        <f t="shared" ca="1" si="45"/>
        <v/>
      </c>
      <c r="K222" s="9" t="str">
        <f t="shared" ca="1" si="46"/>
        <v/>
      </c>
      <c r="L222" s="9">
        <f t="shared" ca="1" si="47"/>
        <v>6</v>
      </c>
      <c r="N222" s="176">
        <f t="shared" ca="1" si="56"/>
        <v>31</v>
      </c>
      <c r="O222" s="176">
        <f t="shared" ca="1" si="58"/>
        <v>6203</v>
      </c>
      <c r="P222" s="175">
        <f t="shared" ca="1" si="48"/>
        <v>847.5157240417368</v>
      </c>
      <c r="Q222" s="11">
        <f t="shared" ca="1" si="49"/>
        <v>2.9930000000000002E-2</v>
      </c>
      <c r="R222" s="12">
        <f t="shared" ca="1" si="50"/>
        <v>25.366145620569185</v>
      </c>
      <c r="T222" s="31">
        <f t="shared" ca="1" si="59"/>
        <v>2106.3704858457254</v>
      </c>
    </row>
    <row r="223" spans="1:20">
      <c r="A223" s="198">
        <f ca="1">'PRICE_IOF Ñ USAR'!A223</f>
        <v>205</v>
      </c>
      <c r="B223" s="197">
        <f ca="1">'PRICE_IOF Ñ USAR'!B223</f>
        <v>50961</v>
      </c>
      <c r="C223" s="196">
        <f t="shared" ca="1" si="51"/>
        <v>1690.7560751081894</v>
      </c>
      <c r="D223" s="21">
        <f t="shared" ca="1" si="57"/>
        <v>415.61441073753605</v>
      </c>
      <c r="E223" s="196">
        <f t="shared" ca="1" si="52"/>
        <v>43484.723352884859</v>
      </c>
      <c r="F223" s="178">
        <f t="shared" ca="1" si="53"/>
        <v>9.4868506798785415</v>
      </c>
      <c r="G223" s="178">
        <f t="shared" ca="1" si="54"/>
        <v>26.319999999999997</v>
      </c>
      <c r="H223" s="177">
        <f t="shared" ca="1" si="55"/>
        <v>25</v>
      </c>
      <c r="I223" s="196"/>
      <c r="J223" s="9" t="str">
        <f t="shared" ca="1" si="45"/>
        <v/>
      </c>
      <c r="K223" s="9" t="str">
        <f t="shared" ca="1" si="46"/>
        <v/>
      </c>
      <c r="L223" s="9">
        <f t="shared" ca="1" si="47"/>
        <v>7</v>
      </c>
      <c r="N223" s="176">
        <f t="shared" ca="1" si="56"/>
        <v>30</v>
      </c>
      <c r="O223" s="176">
        <f t="shared" ca="1" si="58"/>
        <v>6233</v>
      </c>
      <c r="P223" s="175">
        <f t="shared" ca="1" si="48"/>
        <v>847.5157240417368</v>
      </c>
      <c r="Q223" s="11">
        <f t="shared" ca="1" si="49"/>
        <v>2.9930000000000002E-2</v>
      </c>
      <c r="R223" s="12">
        <f t="shared" ca="1" si="50"/>
        <v>25.366145620569185</v>
      </c>
      <c r="T223" s="31">
        <f t="shared" ca="1" si="59"/>
        <v>2106.3704858457254</v>
      </c>
    </row>
    <row r="224" spans="1:20">
      <c r="A224" s="198">
        <f ca="1">'PRICE_IOF Ñ USAR'!A224</f>
        <v>206</v>
      </c>
      <c r="B224" s="197">
        <f ca="1">'PRICE_IOF Ñ USAR'!B224</f>
        <v>50992</v>
      </c>
      <c r="C224" s="196">
        <f t="shared" ca="1" si="51"/>
        <v>1706.3110309991848</v>
      </c>
      <c r="D224" s="21">
        <f t="shared" ca="1" si="57"/>
        <v>400.05945484654069</v>
      </c>
      <c r="E224" s="196">
        <f t="shared" ca="1" si="52"/>
        <v>41778.412321885677</v>
      </c>
      <c r="F224" s="178">
        <f t="shared" ca="1" si="53"/>
        <v>9.1317919041058211</v>
      </c>
      <c r="G224" s="178">
        <f t="shared" ca="1" si="54"/>
        <v>26.319999999999997</v>
      </c>
      <c r="H224" s="177">
        <f t="shared" ca="1" si="55"/>
        <v>25</v>
      </c>
      <c r="I224" s="196"/>
      <c r="J224" s="9" t="str">
        <f t="shared" ca="1" si="45"/>
        <v/>
      </c>
      <c r="K224" s="9" t="str">
        <f t="shared" ca="1" si="46"/>
        <v/>
      </c>
      <c r="L224" s="9">
        <f t="shared" ca="1" si="47"/>
        <v>8</v>
      </c>
      <c r="N224" s="176">
        <f t="shared" ca="1" si="56"/>
        <v>31</v>
      </c>
      <c r="O224" s="176">
        <f t="shared" ca="1" si="58"/>
        <v>6264</v>
      </c>
      <c r="P224" s="175">
        <f t="shared" ca="1" si="48"/>
        <v>847.5157240417368</v>
      </c>
      <c r="Q224" s="11">
        <f t="shared" ca="1" si="49"/>
        <v>2.9930000000000002E-2</v>
      </c>
      <c r="R224" s="12">
        <f t="shared" ca="1" si="50"/>
        <v>25.366145620569185</v>
      </c>
      <c r="T224" s="31">
        <f t="shared" ca="1" si="59"/>
        <v>2106.3704858457254</v>
      </c>
    </row>
    <row r="225" spans="1:20">
      <c r="A225" s="198">
        <f ca="1">'PRICE_IOF Ñ USAR'!A225</f>
        <v>207</v>
      </c>
      <c r="B225" s="197">
        <f ca="1">'PRICE_IOF Ñ USAR'!B225</f>
        <v>51023</v>
      </c>
      <c r="C225" s="196">
        <f t="shared" ca="1" si="51"/>
        <v>1722.0090924843771</v>
      </c>
      <c r="D225" s="21">
        <f t="shared" ca="1" si="57"/>
        <v>384.36139336134823</v>
      </c>
      <c r="E225" s="196">
        <f t="shared" ca="1" si="52"/>
        <v>40056.403229401301</v>
      </c>
      <c r="F225" s="178">
        <f t="shared" ca="1" si="53"/>
        <v>8.7734665875959923</v>
      </c>
      <c r="G225" s="178">
        <f t="shared" ca="1" si="54"/>
        <v>26.319999999999997</v>
      </c>
      <c r="H225" s="177">
        <f t="shared" ca="1" si="55"/>
        <v>25</v>
      </c>
      <c r="I225" s="196"/>
      <c r="J225" s="9" t="str">
        <f t="shared" ca="1" si="45"/>
        <v/>
      </c>
      <c r="K225" s="9" t="str">
        <f t="shared" ca="1" si="46"/>
        <v/>
      </c>
      <c r="L225" s="9">
        <f t="shared" ca="1" si="47"/>
        <v>9</v>
      </c>
      <c r="N225" s="176">
        <f t="shared" ca="1" si="56"/>
        <v>31</v>
      </c>
      <c r="O225" s="176">
        <f t="shared" ca="1" si="58"/>
        <v>6295</v>
      </c>
      <c r="P225" s="175">
        <f t="shared" ca="1" si="48"/>
        <v>847.5157240417368</v>
      </c>
      <c r="Q225" s="11">
        <f t="shared" ca="1" si="49"/>
        <v>2.9930000000000002E-2</v>
      </c>
      <c r="R225" s="12">
        <f t="shared" ca="1" si="50"/>
        <v>25.366145620569185</v>
      </c>
      <c r="T225" s="31">
        <f t="shared" ca="1" si="59"/>
        <v>2106.3704858457254</v>
      </c>
    </row>
    <row r="226" spans="1:20">
      <c r="A226" s="198">
        <f ca="1">'PRICE_IOF Ñ USAR'!A226</f>
        <v>208</v>
      </c>
      <c r="B226" s="197">
        <f ca="1">'PRICE_IOF Ñ USAR'!B226</f>
        <v>51053</v>
      </c>
      <c r="C226" s="196">
        <f t="shared" ca="1" si="51"/>
        <v>1737.8515761352335</v>
      </c>
      <c r="D226" s="21">
        <f t="shared" ca="1" si="57"/>
        <v>368.51890971049198</v>
      </c>
      <c r="E226" s="196">
        <f t="shared" ca="1" si="52"/>
        <v>38318.551653266069</v>
      </c>
      <c r="F226" s="178">
        <f t="shared" ca="1" si="53"/>
        <v>8.4118446781742744</v>
      </c>
      <c r="G226" s="178">
        <f t="shared" ca="1" si="54"/>
        <v>26.319999999999997</v>
      </c>
      <c r="H226" s="177">
        <f t="shared" ca="1" si="55"/>
        <v>25</v>
      </c>
      <c r="I226" s="196"/>
      <c r="J226" s="9" t="str">
        <f t="shared" ca="1" si="45"/>
        <v/>
      </c>
      <c r="K226" s="9" t="str">
        <f t="shared" ca="1" si="46"/>
        <v/>
      </c>
      <c r="L226" s="9">
        <f t="shared" ca="1" si="47"/>
        <v>10</v>
      </c>
      <c r="N226" s="176">
        <f t="shared" ca="1" si="56"/>
        <v>30</v>
      </c>
      <c r="O226" s="176">
        <f t="shared" ca="1" si="58"/>
        <v>6325</v>
      </c>
      <c r="P226" s="175">
        <f t="shared" ca="1" si="48"/>
        <v>847.5157240417368</v>
      </c>
      <c r="Q226" s="11">
        <f t="shared" ca="1" si="49"/>
        <v>2.9930000000000002E-2</v>
      </c>
      <c r="R226" s="12">
        <f t="shared" ca="1" si="50"/>
        <v>25.366145620569185</v>
      </c>
      <c r="T226" s="31">
        <f t="shared" ca="1" si="59"/>
        <v>2106.3704858457254</v>
      </c>
    </row>
    <row r="227" spans="1:20">
      <c r="A227" s="198">
        <f ca="1">'PRICE_IOF Ñ USAR'!A227</f>
        <v>209</v>
      </c>
      <c r="B227" s="197">
        <f ca="1">'PRICE_IOF Ñ USAR'!B227</f>
        <v>51084</v>
      </c>
      <c r="C227" s="196">
        <f t="shared" ca="1" si="51"/>
        <v>1753.8398106356776</v>
      </c>
      <c r="D227" s="21">
        <f t="shared" ca="1" si="57"/>
        <v>352.53067521004783</v>
      </c>
      <c r="E227" s="196">
        <f t="shared" ca="1" si="52"/>
        <v>36564.711842630393</v>
      </c>
      <c r="F227" s="178">
        <f t="shared" ca="1" si="53"/>
        <v>8.0468958471858745</v>
      </c>
      <c r="G227" s="178">
        <f t="shared" ca="1" si="54"/>
        <v>26.319999999999997</v>
      </c>
      <c r="H227" s="177">
        <f t="shared" ca="1" si="55"/>
        <v>25</v>
      </c>
      <c r="I227" s="196"/>
      <c r="J227" s="9" t="str">
        <f t="shared" ca="1" si="45"/>
        <v/>
      </c>
      <c r="K227" s="9" t="str">
        <f t="shared" ca="1" si="46"/>
        <v/>
      </c>
      <c r="L227" s="9">
        <f t="shared" ca="1" si="47"/>
        <v>11</v>
      </c>
      <c r="N227" s="176">
        <f t="shared" ca="1" si="56"/>
        <v>31</v>
      </c>
      <c r="O227" s="176">
        <f t="shared" ca="1" si="58"/>
        <v>6356</v>
      </c>
      <c r="P227" s="175">
        <f t="shared" ca="1" si="48"/>
        <v>847.5157240417368</v>
      </c>
      <c r="Q227" s="11">
        <f t="shared" ca="1" si="49"/>
        <v>2.9930000000000002E-2</v>
      </c>
      <c r="R227" s="12">
        <f t="shared" ca="1" si="50"/>
        <v>25.366145620569185</v>
      </c>
      <c r="T227" s="31">
        <f t="shared" ca="1" si="59"/>
        <v>2106.3704858457254</v>
      </c>
    </row>
    <row r="228" spans="1:20">
      <c r="A228" s="198">
        <f ca="1">'PRICE_IOF Ñ USAR'!A228</f>
        <v>210</v>
      </c>
      <c r="B228" s="197">
        <f ca="1">'PRICE_IOF Ñ USAR'!B228</f>
        <v>51114</v>
      </c>
      <c r="C228" s="196">
        <f t="shared" ca="1" si="51"/>
        <v>1769.9751368935258</v>
      </c>
      <c r="D228" s="21">
        <f t="shared" ca="1" si="57"/>
        <v>336.39534895219964</v>
      </c>
      <c r="E228" s="196">
        <f t="shared" ca="1" si="52"/>
        <v>34794.736705736868</v>
      </c>
      <c r="F228" s="178">
        <f t="shared" ca="1" si="53"/>
        <v>7.678589486952383</v>
      </c>
      <c r="G228" s="178">
        <f t="shared" ca="1" si="54"/>
        <v>26.319999999999997</v>
      </c>
      <c r="H228" s="177">
        <f t="shared" ca="1" si="55"/>
        <v>25</v>
      </c>
      <c r="I228" s="196"/>
      <c r="J228" s="9" t="str">
        <f t="shared" ca="1" si="45"/>
        <v/>
      </c>
      <c r="K228" s="9" t="str">
        <f t="shared" ca="1" si="46"/>
        <v/>
      </c>
      <c r="L228" s="9">
        <f t="shared" ca="1" si="47"/>
        <v>12</v>
      </c>
      <c r="N228" s="176">
        <f t="shared" ca="1" si="56"/>
        <v>30</v>
      </c>
      <c r="O228" s="176">
        <f t="shared" ca="1" si="58"/>
        <v>6386</v>
      </c>
      <c r="P228" s="175">
        <f t="shared" ca="1" si="48"/>
        <v>847.5157240417368</v>
      </c>
      <c r="Q228" s="11">
        <f t="shared" ca="1" si="49"/>
        <v>2.9930000000000002E-2</v>
      </c>
      <c r="R228" s="12">
        <f t="shared" ca="1" si="50"/>
        <v>25.366145620569185</v>
      </c>
      <c r="T228" s="31">
        <f t="shared" ca="1" si="59"/>
        <v>2106.3704858457254</v>
      </c>
    </row>
    <row r="229" spans="1:20">
      <c r="A229" s="198">
        <f ca="1">'PRICE_IOF Ñ USAR'!A229</f>
        <v>211</v>
      </c>
      <c r="B229" s="197">
        <f ca="1">'PRICE_IOF Ñ USAR'!B229</f>
        <v>51145</v>
      </c>
      <c r="C229" s="196">
        <f t="shared" ca="1" si="51"/>
        <v>1786.2589081529463</v>
      </c>
      <c r="D229" s="21">
        <f t="shared" ca="1" si="57"/>
        <v>320.11157769277918</v>
      </c>
      <c r="E229" s="196">
        <f t="shared" ca="1" si="52"/>
        <v>33008.477797583924</v>
      </c>
      <c r="F229" s="178">
        <f t="shared" ca="1" si="53"/>
        <v>7.3068947082047426</v>
      </c>
      <c r="G229" s="178">
        <f t="shared" ca="1" si="54"/>
        <v>26.319999999999997</v>
      </c>
      <c r="H229" s="177">
        <f t="shared" ca="1" si="55"/>
        <v>25</v>
      </c>
      <c r="I229" s="196"/>
      <c r="J229" s="9" t="str">
        <f t="shared" ca="1" si="45"/>
        <v/>
      </c>
      <c r="K229" s="9" t="str">
        <f t="shared" ca="1" si="46"/>
        <v/>
      </c>
      <c r="L229" s="9">
        <f t="shared" ca="1" si="47"/>
        <v>1</v>
      </c>
      <c r="N229" s="176">
        <f t="shared" ca="1" si="56"/>
        <v>31</v>
      </c>
      <c r="O229" s="176">
        <f t="shared" ca="1" si="58"/>
        <v>6417</v>
      </c>
      <c r="P229" s="175">
        <f t="shared" ca="1" si="48"/>
        <v>847.5157240417368</v>
      </c>
      <c r="Q229" s="11">
        <f t="shared" ca="1" si="49"/>
        <v>2.9930000000000002E-2</v>
      </c>
      <c r="R229" s="12">
        <f t="shared" ca="1" si="50"/>
        <v>25.366145620569185</v>
      </c>
      <c r="T229" s="31">
        <f t="shared" ca="1" si="59"/>
        <v>2106.3704858457254</v>
      </c>
    </row>
    <row r="230" spans="1:20">
      <c r="A230" s="198">
        <f ca="1">'PRICE_IOF Ñ USAR'!A230</f>
        <v>212</v>
      </c>
      <c r="B230" s="197">
        <f ca="1">'PRICE_IOF Ñ USAR'!B230</f>
        <v>51176</v>
      </c>
      <c r="C230" s="196">
        <f t="shared" ca="1" si="51"/>
        <v>1802.6924901079533</v>
      </c>
      <c r="D230" s="21">
        <f t="shared" ca="1" si="57"/>
        <v>303.67799573777211</v>
      </c>
      <c r="E230" s="196">
        <f t="shared" ca="1" si="52"/>
        <v>31205.78530747597</v>
      </c>
      <c r="F230" s="178">
        <f t="shared" ca="1" si="53"/>
        <v>6.9317803374926248</v>
      </c>
      <c r="G230" s="178">
        <f t="shared" ca="1" si="54"/>
        <v>26.319999999999997</v>
      </c>
      <c r="H230" s="177">
        <f t="shared" ca="1" si="55"/>
        <v>25</v>
      </c>
      <c r="I230" s="196"/>
      <c r="J230" s="9" t="str">
        <f t="shared" ca="1" si="45"/>
        <v/>
      </c>
      <c r="K230" s="9" t="str">
        <f t="shared" ca="1" si="46"/>
        <v/>
      </c>
      <c r="L230" s="9">
        <f t="shared" ca="1" si="47"/>
        <v>2</v>
      </c>
      <c r="N230" s="176">
        <f t="shared" ca="1" si="56"/>
        <v>31</v>
      </c>
      <c r="O230" s="176">
        <f t="shared" ca="1" si="58"/>
        <v>6448</v>
      </c>
      <c r="P230" s="175">
        <f t="shared" ca="1" si="48"/>
        <v>847.5157240417368</v>
      </c>
      <c r="Q230" s="11">
        <f t="shared" ca="1" si="49"/>
        <v>2.9930000000000002E-2</v>
      </c>
      <c r="R230" s="12">
        <f t="shared" ca="1" si="50"/>
        <v>25.366145620569185</v>
      </c>
      <c r="T230" s="31">
        <f t="shared" ca="1" si="59"/>
        <v>2106.3704858457254</v>
      </c>
    </row>
    <row r="231" spans="1:20">
      <c r="A231" s="198">
        <f ca="1">'PRICE_IOF Ñ USAR'!A231</f>
        <v>213</v>
      </c>
      <c r="B231" s="197">
        <f ca="1">'PRICE_IOF Ñ USAR'!B231</f>
        <v>51205</v>
      </c>
      <c r="C231" s="196">
        <f t="shared" ca="1" si="51"/>
        <v>1819.2772610169463</v>
      </c>
      <c r="D231" s="21">
        <f t="shared" ca="1" si="57"/>
        <v>287.09322482877894</v>
      </c>
      <c r="E231" s="196">
        <f t="shared" ca="1" si="52"/>
        <v>29386.508046459025</v>
      </c>
      <c r="F231" s="178">
        <f t="shared" ca="1" si="53"/>
        <v>6.5532149145699536</v>
      </c>
      <c r="G231" s="178">
        <f t="shared" ca="1" si="54"/>
        <v>26.319999999999997</v>
      </c>
      <c r="H231" s="177">
        <f t="shared" ca="1" si="55"/>
        <v>25</v>
      </c>
      <c r="I231" s="196"/>
      <c r="J231" s="9" t="str">
        <f t="shared" ca="1" si="45"/>
        <v/>
      </c>
      <c r="K231" s="9" t="str">
        <f t="shared" ca="1" si="46"/>
        <v/>
      </c>
      <c r="L231" s="9">
        <f t="shared" ca="1" si="47"/>
        <v>3</v>
      </c>
      <c r="N231" s="176">
        <f t="shared" ca="1" si="56"/>
        <v>29</v>
      </c>
      <c r="O231" s="176">
        <f t="shared" ca="1" si="58"/>
        <v>6477</v>
      </c>
      <c r="P231" s="175">
        <f t="shared" ca="1" si="48"/>
        <v>847.5157240417368</v>
      </c>
      <c r="Q231" s="11">
        <f t="shared" ca="1" si="49"/>
        <v>2.9930000000000002E-2</v>
      </c>
      <c r="R231" s="12">
        <f t="shared" ca="1" si="50"/>
        <v>25.366145620569185</v>
      </c>
      <c r="T231" s="31">
        <f t="shared" ca="1" si="59"/>
        <v>2106.3704858457254</v>
      </c>
    </row>
    <row r="232" spans="1:20">
      <c r="A232" s="198">
        <f ca="1">'PRICE_IOF Ñ USAR'!A232</f>
        <v>214</v>
      </c>
      <c r="B232" s="197">
        <f ca="1">'PRICE_IOF Ñ USAR'!B232</f>
        <v>51236</v>
      </c>
      <c r="C232" s="196">
        <f t="shared" ca="1" si="51"/>
        <v>1836.0146118183025</v>
      </c>
      <c r="D232" s="21">
        <f t="shared" ca="1" si="57"/>
        <v>270.355874027423</v>
      </c>
      <c r="E232" s="196">
        <f t="shared" ca="1" si="52"/>
        <v>27550.493434640721</v>
      </c>
      <c r="F232" s="178">
        <f t="shared" ca="1" si="53"/>
        <v>6.1711666897563955</v>
      </c>
      <c r="G232" s="178">
        <f t="shared" ca="1" si="54"/>
        <v>26.319999999999997</v>
      </c>
      <c r="H232" s="177">
        <f t="shared" ca="1" si="55"/>
        <v>25</v>
      </c>
      <c r="I232" s="196"/>
      <c r="J232" s="9" t="str">
        <f t="shared" ca="1" si="45"/>
        <v/>
      </c>
      <c r="K232" s="9" t="str">
        <f t="shared" ca="1" si="46"/>
        <v/>
      </c>
      <c r="L232" s="9">
        <f t="shared" ca="1" si="47"/>
        <v>4</v>
      </c>
      <c r="N232" s="176">
        <f t="shared" ca="1" si="56"/>
        <v>31</v>
      </c>
      <c r="O232" s="176">
        <f t="shared" ca="1" si="58"/>
        <v>6508</v>
      </c>
      <c r="P232" s="175">
        <f t="shared" ca="1" si="48"/>
        <v>847.5157240417368</v>
      </c>
      <c r="Q232" s="11">
        <f t="shared" ca="1" si="49"/>
        <v>2.9930000000000002E-2</v>
      </c>
      <c r="R232" s="12">
        <f t="shared" ca="1" si="50"/>
        <v>25.366145620569185</v>
      </c>
      <c r="T232" s="31">
        <f t="shared" ca="1" si="59"/>
        <v>2106.3704858457254</v>
      </c>
    </row>
    <row r="233" spans="1:20">
      <c r="A233" s="198">
        <f ca="1">'PRICE_IOF Ñ USAR'!A233</f>
        <v>215</v>
      </c>
      <c r="B233" s="197">
        <f ca="1">'PRICE_IOF Ñ USAR'!B233</f>
        <v>51266</v>
      </c>
      <c r="C233" s="196">
        <f t="shared" ca="1" si="51"/>
        <v>1852.9059462470309</v>
      </c>
      <c r="D233" s="21">
        <f t="shared" ca="1" si="57"/>
        <v>253.46453959869461</v>
      </c>
      <c r="E233" s="196">
        <f t="shared" ca="1" si="52"/>
        <v>25697.587488393689</v>
      </c>
      <c r="F233" s="178">
        <f t="shared" ca="1" si="53"/>
        <v>5.7856036212745519</v>
      </c>
      <c r="G233" s="178">
        <f t="shared" ca="1" si="54"/>
        <v>26.319999999999997</v>
      </c>
      <c r="H233" s="177">
        <f t="shared" ca="1" si="55"/>
        <v>25</v>
      </c>
      <c r="I233" s="196"/>
      <c r="J233" s="9" t="str">
        <f t="shared" ca="1" si="45"/>
        <v/>
      </c>
      <c r="K233" s="9" t="str">
        <f t="shared" ca="1" si="46"/>
        <v/>
      </c>
      <c r="L233" s="9">
        <f t="shared" ca="1" si="47"/>
        <v>5</v>
      </c>
      <c r="N233" s="176">
        <f t="shared" ca="1" si="56"/>
        <v>30</v>
      </c>
      <c r="O233" s="176">
        <f t="shared" ca="1" si="58"/>
        <v>6538</v>
      </c>
      <c r="P233" s="175">
        <f t="shared" ca="1" si="48"/>
        <v>847.5157240417368</v>
      </c>
      <c r="Q233" s="11">
        <f t="shared" ca="1" si="49"/>
        <v>2.9930000000000002E-2</v>
      </c>
      <c r="R233" s="12">
        <f t="shared" ca="1" si="50"/>
        <v>25.366145620569185</v>
      </c>
      <c r="T233" s="31">
        <f t="shared" ca="1" si="59"/>
        <v>2106.3704858457254</v>
      </c>
    </row>
    <row r="234" spans="1:20">
      <c r="A234" s="198">
        <f ca="1">'PRICE_IOF Ñ USAR'!A234</f>
        <v>216</v>
      </c>
      <c r="B234" s="197">
        <f ca="1">'PRICE_IOF Ñ USAR'!B234</f>
        <v>51297</v>
      </c>
      <c r="C234" s="196">
        <f t="shared" ca="1" si="51"/>
        <v>1869.9526809525034</v>
      </c>
      <c r="D234" s="21">
        <f t="shared" ca="1" si="57"/>
        <v>236.41780489322193</v>
      </c>
      <c r="E234" s="196">
        <f t="shared" ca="1" si="52"/>
        <v>23827.634807441184</v>
      </c>
      <c r="F234" s="178">
        <f t="shared" ca="1" si="53"/>
        <v>5.3964933725626745</v>
      </c>
      <c r="G234" s="178">
        <f t="shared" ca="1" si="54"/>
        <v>26.319999999999997</v>
      </c>
      <c r="H234" s="177">
        <f t="shared" ca="1" si="55"/>
        <v>25</v>
      </c>
      <c r="I234" s="196"/>
      <c r="J234" s="9" t="str">
        <f t="shared" ca="1" si="45"/>
        <v/>
      </c>
      <c r="K234" s="9" t="str">
        <f t="shared" ca="1" si="46"/>
        <v/>
      </c>
      <c r="L234" s="9">
        <f t="shared" ca="1" si="47"/>
        <v>6</v>
      </c>
      <c r="N234" s="176">
        <f t="shared" ca="1" si="56"/>
        <v>31</v>
      </c>
      <c r="O234" s="176">
        <f t="shared" ca="1" si="58"/>
        <v>6569</v>
      </c>
      <c r="P234" s="175">
        <f t="shared" ca="1" si="48"/>
        <v>847.5157240417368</v>
      </c>
      <c r="Q234" s="11">
        <f t="shared" ca="1" si="49"/>
        <v>2.9930000000000002E-2</v>
      </c>
      <c r="R234" s="12">
        <f t="shared" ca="1" si="50"/>
        <v>25.366145620569185</v>
      </c>
      <c r="T234" s="31">
        <f t="shared" ca="1" si="59"/>
        <v>2106.3704858457254</v>
      </c>
    </row>
    <row r="235" spans="1:20">
      <c r="A235" s="198">
        <f ca="1">'PRICE_IOF Ñ USAR'!A235</f>
        <v>217</v>
      </c>
      <c r="B235" s="197">
        <f ca="1">'PRICE_IOF Ñ USAR'!B235</f>
        <v>51327</v>
      </c>
      <c r="C235" s="196">
        <f t="shared" ca="1" si="51"/>
        <v>1887.1562456172664</v>
      </c>
      <c r="D235" s="21">
        <f t="shared" ca="1" si="57"/>
        <v>219.21424022845889</v>
      </c>
      <c r="E235" s="196">
        <f t="shared" ca="1" si="52"/>
        <v>21940.478561823918</v>
      </c>
      <c r="F235" s="178">
        <f t="shared" ca="1" si="53"/>
        <v>5.0038033095626488</v>
      </c>
      <c r="G235" s="178">
        <f t="shared" ca="1" si="54"/>
        <v>26.319999999999997</v>
      </c>
      <c r="H235" s="177">
        <f t="shared" ca="1" si="55"/>
        <v>25</v>
      </c>
      <c r="I235" s="196"/>
      <c r="J235" s="9" t="str">
        <f t="shared" ca="1" si="45"/>
        <v/>
      </c>
      <c r="K235" s="9" t="str">
        <f t="shared" ca="1" si="46"/>
        <v/>
      </c>
      <c r="L235" s="9">
        <f t="shared" ca="1" si="47"/>
        <v>7</v>
      </c>
      <c r="N235" s="176">
        <f t="shared" ca="1" si="56"/>
        <v>30</v>
      </c>
      <c r="O235" s="176">
        <f t="shared" ca="1" si="58"/>
        <v>6599</v>
      </c>
      <c r="P235" s="175">
        <f t="shared" ca="1" si="48"/>
        <v>847.5157240417368</v>
      </c>
      <c r="Q235" s="11">
        <f t="shared" ca="1" si="49"/>
        <v>2.9930000000000002E-2</v>
      </c>
      <c r="R235" s="12">
        <f t="shared" ca="1" si="50"/>
        <v>25.366145620569185</v>
      </c>
      <c r="T235" s="31">
        <f t="shared" ca="1" si="59"/>
        <v>2106.3704858457254</v>
      </c>
    </row>
    <row r="236" spans="1:20">
      <c r="A236" s="198">
        <f ca="1">'PRICE_IOF Ñ USAR'!A236</f>
        <v>218</v>
      </c>
      <c r="B236" s="197">
        <f ca="1">'PRICE_IOF Ñ USAR'!B236</f>
        <v>51358</v>
      </c>
      <c r="C236" s="196">
        <f t="shared" ca="1" si="51"/>
        <v>1904.5180830769455</v>
      </c>
      <c r="D236" s="21">
        <f t="shared" ca="1" si="57"/>
        <v>201.85240276878005</v>
      </c>
      <c r="E236" s="196">
        <f t="shared" ca="1" si="52"/>
        <v>20035.960478746973</v>
      </c>
      <c r="F236" s="178">
        <f t="shared" ca="1" si="53"/>
        <v>4.6075004979830227</v>
      </c>
      <c r="G236" s="178">
        <f t="shared" ca="1" si="54"/>
        <v>26.319999999999997</v>
      </c>
      <c r="H236" s="177">
        <f t="shared" ca="1" si="55"/>
        <v>25</v>
      </c>
      <c r="I236" s="196"/>
      <c r="J236" s="9" t="str">
        <f t="shared" ca="1" si="45"/>
        <v/>
      </c>
      <c r="K236" s="9" t="str">
        <f t="shared" ca="1" si="46"/>
        <v/>
      </c>
      <c r="L236" s="9">
        <f t="shared" ca="1" si="47"/>
        <v>8</v>
      </c>
      <c r="N236" s="176">
        <f t="shared" ca="1" si="56"/>
        <v>31</v>
      </c>
      <c r="O236" s="176">
        <f t="shared" ca="1" si="58"/>
        <v>6630</v>
      </c>
      <c r="P236" s="175">
        <f t="shared" ca="1" si="48"/>
        <v>847.5157240417368</v>
      </c>
      <c r="Q236" s="11">
        <f t="shared" ca="1" si="49"/>
        <v>2.9930000000000002E-2</v>
      </c>
      <c r="R236" s="12">
        <f t="shared" ca="1" si="50"/>
        <v>25.366145620569185</v>
      </c>
      <c r="T236" s="31">
        <f t="shared" ca="1" si="59"/>
        <v>2106.3704858457254</v>
      </c>
    </row>
    <row r="237" spans="1:20">
      <c r="A237" s="198">
        <f ca="1">'PRICE_IOF Ñ USAR'!A237</f>
        <v>219</v>
      </c>
      <c r="B237" s="197">
        <f ca="1">'PRICE_IOF Ñ USAR'!B237</f>
        <v>51389</v>
      </c>
      <c r="C237" s="196">
        <f t="shared" ca="1" si="51"/>
        <v>1922.0396494412532</v>
      </c>
      <c r="D237" s="21">
        <f t="shared" ca="1" si="57"/>
        <v>184.33083640447214</v>
      </c>
      <c r="E237" s="196">
        <f t="shared" ca="1" si="52"/>
        <v>18113.92082930572</v>
      </c>
      <c r="F237" s="178">
        <f t="shared" ca="1" si="53"/>
        <v>4.2075517005368646</v>
      </c>
      <c r="G237" s="178">
        <f t="shared" ca="1" si="54"/>
        <v>26.319999999999997</v>
      </c>
      <c r="H237" s="177">
        <f t="shared" ca="1" si="55"/>
        <v>25</v>
      </c>
      <c r="I237" s="196"/>
      <c r="J237" s="9" t="str">
        <f t="shared" ca="1" si="45"/>
        <v/>
      </c>
      <c r="K237" s="9" t="str">
        <f t="shared" ca="1" si="46"/>
        <v/>
      </c>
      <c r="L237" s="9">
        <f t="shared" ca="1" si="47"/>
        <v>9</v>
      </c>
      <c r="N237" s="176">
        <f t="shared" ca="1" si="56"/>
        <v>31</v>
      </c>
      <c r="O237" s="176">
        <f t="shared" ca="1" si="58"/>
        <v>6661</v>
      </c>
      <c r="P237" s="175">
        <f t="shared" ca="1" si="48"/>
        <v>847.5157240417368</v>
      </c>
      <c r="Q237" s="11">
        <f t="shared" ca="1" si="49"/>
        <v>2.9930000000000002E-2</v>
      </c>
      <c r="R237" s="12">
        <f t="shared" ca="1" si="50"/>
        <v>25.366145620569185</v>
      </c>
      <c r="T237" s="31">
        <f t="shared" ca="1" si="59"/>
        <v>2106.3704858457254</v>
      </c>
    </row>
    <row r="238" spans="1:20">
      <c r="A238" s="198">
        <f ca="1">'PRICE_IOF Ñ USAR'!A238</f>
        <v>220</v>
      </c>
      <c r="B238" s="197">
        <f ca="1">'PRICE_IOF Ñ USAR'!B238</f>
        <v>51419</v>
      </c>
      <c r="C238" s="196">
        <f t="shared" ca="1" si="51"/>
        <v>1939.7224142161128</v>
      </c>
      <c r="D238" s="21">
        <f t="shared" ca="1" si="57"/>
        <v>166.64807162961262</v>
      </c>
      <c r="E238" s="196">
        <f t="shared" ca="1" si="52"/>
        <v>16174.198415089608</v>
      </c>
      <c r="F238" s="178">
        <f t="shared" ca="1" si="53"/>
        <v>3.8039233741542016</v>
      </c>
      <c r="G238" s="178">
        <f t="shared" ca="1" si="54"/>
        <v>26.319999999999997</v>
      </c>
      <c r="H238" s="177">
        <f t="shared" ca="1" si="55"/>
        <v>25</v>
      </c>
      <c r="I238" s="196"/>
      <c r="J238" s="9" t="str">
        <f t="shared" ca="1" si="45"/>
        <v/>
      </c>
      <c r="K238" s="9" t="str">
        <f t="shared" ca="1" si="46"/>
        <v/>
      </c>
      <c r="L238" s="9">
        <f t="shared" ca="1" si="47"/>
        <v>10</v>
      </c>
      <c r="N238" s="176">
        <f t="shared" ca="1" si="56"/>
        <v>30</v>
      </c>
      <c r="O238" s="176">
        <f t="shared" ca="1" si="58"/>
        <v>6691</v>
      </c>
      <c r="P238" s="175">
        <f t="shared" ca="1" si="48"/>
        <v>847.5157240417368</v>
      </c>
      <c r="Q238" s="11">
        <f t="shared" ca="1" si="49"/>
        <v>2.9930000000000002E-2</v>
      </c>
      <c r="R238" s="12">
        <f t="shared" ca="1" si="50"/>
        <v>25.366145620569185</v>
      </c>
      <c r="T238" s="31">
        <f t="shared" ca="1" si="59"/>
        <v>2106.3704858457254</v>
      </c>
    </row>
    <row r="239" spans="1:20">
      <c r="A239" s="198">
        <f ca="1">'PRICE_IOF Ñ USAR'!A239</f>
        <v>221</v>
      </c>
      <c r="B239" s="197">
        <f ca="1">'PRICE_IOF Ñ USAR'!B239</f>
        <v>51450</v>
      </c>
      <c r="C239" s="196">
        <f t="shared" ca="1" si="51"/>
        <v>1957.567860426901</v>
      </c>
      <c r="D239" s="21">
        <f t="shared" ca="1" si="57"/>
        <v>148.80262541882439</v>
      </c>
      <c r="E239" s="196">
        <f t="shared" ca="1" si="52"/>
        <v>14216.630554662706</v>
      </c>
      <c r="F239" s="178">
        <f t="shared" ca="1" si="53"/>
        <v>3.3965816671688178</v>
      </c>
      <c r="G239" s="178">
        <f t="shared" ca="1" si="54"/>
        <v>26.319999999999997</v>
      </c>
      <c r="H239" s="177">
        <f t="shared" ca="1" si="55"/>
        <v>25</v>
      </c>
      <c r="I239" s="196"/>
      <c r="J239" s="9" t="str">
        <f t="shared" ca="1" si="45"/>
        <v/>
      </c>
      <c r="K239" s="9" t="str">
        <f t="shared" ca="1" si="46"/>
        <v/>
      </c>
      <c r="L239" s="9">
        <f t="shared" ca="1" si="47"/>
        <v>11</v>
      </c>
      <c r="N239" s="176">
        <f t="shared" ca="1" si="56"/>
        <v>31</v>
      </c>
      <c r="O239" s="176">
        <f t="shared" ca="1" si="58"/>
        <v>6722</v>
      </c>
      <c r="P239" s="175">
        <f t="shared" ca="1" si="48"/>
        <v>847.5157240417368</v>
      </c>
      <c r="Q239" s="11">
        <f t="shared" ca="1" si="49"/>
        <v>2.9930000000000002E-2</v>
      </c>
      <c r="R239" s="12">
        <f t="shared" ca="1" si="50"/>
        <v>25.366145620569185</v>
      </c>
      <c r="T239" s="31">
        <f t="shared" ca="1" si="59"/>
        <v>2106.3704858457254</v>
      </c>
    </row>
    <row r="240" spans="1:20">
      <c r="A240" s="198">
        <f ca="1">'PRICE_IOF Ñ USAR'!A240</f>
        <v>222</v>
      </c>
      <c r="B240" s="197">
        <f ca="1">'PRICE_IOF Ñ USAR'!B240</f>
        <v>51480</v>
      </c>
      <c r="C240" s="196">
        <f t="shared" ca="1" si="51"/>
        <v>1975.5774847428286</v>
      </c>
      <c r="D240" s="21">
        <f t="shared" ca="1" si="57"/>
        <v>130.79300110289691</v>
      </c>
      <c r="E240" s="196">
        <f t="shared" ca="1" si="52"/>
        <v>12241.053069919877</v>
      </c>
      <c r="F240" s="178">
        <f t="shared" ca="1" si="53"/>
        <v>2.9854924164791683</v>
      </c>
      <c r="G240" s="178">
        <f t="shared" ca="1" si="54"/>
        <v>26.319999999999997</v>
      </c>
      <c r="H240" s="177">
        <f t="shared" ca="1" si="55"/>
        <v>25</v>
      </c>
      <c r="I240" s="196"/>
      <c r="J240" s="9" t="str">
        <f t="shared" ca="1" si="45"/>
        <v/>
      </c>
      <c r="K240" s="9" t="str">
        <f t="shared" ca="1" si="46"/>
        <v/>
      </c>
      <c r="L240" s="9">
        <f t="shared" ca="1" si="47"/>
        <v>12</v>
      </c>
      <c r="N240" s="176">
        <f t="shared" ca="1" si="56"/>
        <v>30</v>
      </c>
      <c r="O240" s="176">
        <f t="shared" ca="1" si="58"/>
        <v>6752</v>
      </c>
      <c r="P240" s="175">
        <f t="shared" ca="1" si="48"/>
        <v>847.5157240417368</v>
      </c>
      <c r="Q240" s="11">
        <f t="shared" ca="1" si="49"/>
        <v>2.9930000000000002E-2</v>
      </c>
      <c r="R240" s="12">
        <f t="shared" ca="1" si="50"/>
        <v>25.366145620569185</v>
      </c>
      <c r="T240" s="31">
        <f t="shared" ca="1" si="59"/>
        <v>2106.3704858457254</v>
      </c>
    </row>
    <row r="241" spans="1:20">
      <c r="A241" s="198">
        <f ca="1">'PRICE_IOF Ñ USAR'!A241</f>
        <v>223</v>
      </c>
      <c r="B241" s="197">
        <f ca="1">'PRICE_IOF Ñ USAR'!B241</f>
        <v>51511</v>
      </c>
      <c r="C241" s="196">
        <f t="shared" ca="1" si="51"/>
        <v>1993.7527976024626</v>
      </c>
      <c r="D241" s="21">
        <f t="shared" ca="1" si="57"/>
        <v>112.61768824326286</v>
      </c>
      <c r="E241" s="196">
        <f t="shared" ca="1" si="52"/>
        <v>10247.300272317414</v>
      </c>
      <c r="F241" s="178">
        <f t="shared" ca="1" si="53"/>
        <v>2.5706211446831744</v>
      </c>
      <c r="G241" s="178">
        <f t="shared" ca="1" si="54"/>
        <v>26.319999999999997</v>
      </c>
      <c r="H241" s="177">
        <f t="shared" ca="1" si="55"/>
        <v>25</v>
      </c>
      <c r="I241" s="196"/>
      <c r="J241" s="9" t="str">
        <f t="shared" ca="1" si="45"/>
        <v/>
      </c>
      <c r="K241" s="9" t="str">
        <f t="shared" ca="1" si="46"/>
        <v/>
      </c>
      <c r="L241" s="9">
        <f t="shared" ca="1" si="47"/>
        <v>1</v>
      </c>
      <c r="N241" s="176">
        <f t="shared" ca="1" si="56"/>
        <v>31</v>
      </c>
      <c r="O241" s="176">
        <f t="shared" ca="1" si="58"/>
        <v>6783</v>
      </c>
      <c r="P241" s="175">
        <f t="shared" ca="1" si="48"/>
        <v>847.5157240417368</v>
      </c>
      <c r="Q241" s="11">
        <f t="shared" ca="1" si="49"/>
        <v>2.9930000000000002E-2</v>
      </c>
      <c r="R241" s="12">
        <f t="shared" ca="1" si="50"/>
        <v>25.366145620569185</v>
      </c>
      <c r="T241" s="31">
        <f t="shared" ca="1" si="59"/>
        <v>2106.3704858457254</v>
      </c>
    </row>
    <row r="242" spans="1:20">
      <c r="A242" s="198">
        <f ca="1">'PRICE_IOF Ñ USAR'!A242</f>
        <v>224</v>
      </c>
      <c r="B242" s="197">
        <f ca="1">'PRICE_IOF Ñ USAR'!B242</f>
        <v>51542</v>
      </c>
      <c r="C242" s="196">
        <f t="shared" ca="1" si="51"/>
        <v>2012.0953233404052</v>
      </c>
      <c r="D242" s="21">
        <f t="shared" ca="1" si="57"/>
        <v>94.27516250532021</v>
      </c>
      <c r="E242" s="196">
        <f t="shared" ca="1" si="52"/>
        <v>8235.2049489770088</v>
      </c>
      <c r="F242" s="178">
        <f t="shared" ca="1" si="53"/>
        <v>2.1519330571866568</v>
      </c>
      <c r="G242" s="178">
        <f t="shared" ca="1" si="54"/>
        <v>26.319999999999997</v>
      </c>
      <c r="H242" s="177">
        <f t="shared" ca="1" si="55"/>
        <v>25</v>
      </c>
      <c r="I242" s="196"/>
      <c r="J242" s="9" t="str">
        <f t="shared" ca="1" si="45"/>
        <v/>
      </c>
      <c r="K242" s="9" t="str">
        <f t="shared" ca="1" si="46"/>
        <v/>
      </c>
      <c r="L242" s="9">
        <f t="shared" ca="1" si="47"/>
        <v>2</v>
      </c>
      <c r="N242" s="176">
        <f t="shared" ca="1" si="56"/>
        <v>31</v>
      </c>
      <c r="O242" s="176">
        <f t="shared" ca="1" si="58"/>
        <v>6814</v>
      </c>
      <c r="P242" s="175">
        <f t="shared" ca="1" si="48"/>
        <v>847.5157240417368</v>
      </c>
      <c r="Q242" s="11">
        <f t="shared" ca="1" si="49"/>
        <v>2.9930000000000002E-2</v>
      </c>
      <c r="R242" s="12">
        <f t="shared" ca="1" si="50"/>
        <v>25.366145620569185</v>
      </c>
      <c r="T242" s="31">
        <f t="shared" ca="1" si="59"/>
        <v>2106.3704858457254</v>
      </c>
    </row>
    <row r="243" spans="1:20">
      <c r="A243" s="198">
        <f ca="1">'PRICE_IOF Ñ USAR'!A243</f>
        <v>225</v>
      </c>
      <c r="B243" s="197">
        <f ca="1">'PRICE_IOF Ñ USAR'!B243</f>
        <v>51570</v>
      </c>
      <c r="C243" s="196">
        <f t="shared" ca="1" si="51"/>
        <v>2030.6066003151368</v>
      </c>
      <c r="D243" s="21">
        <f t="shared" ca="1" si="57"/>
        <v>75.763885530588482</v>
      </c>
      <c r="E243" s="196">
        <f t="shared" ca="1" si="52"/>
        <v>6204.5983486618716</v>
      </c>
      <c r="F243" s="178">
        <f t="shared" ca="1" si="53"/>
        <v>1.729393039285172</v>
      </c>
      <c r="G243" s="178">
        <f t="shared" ca="1" si="54"/>
        <v>26.319999999999997</v>
      </c>
      <c r="H243" s="177">
        <f t="shared" ca="1" si="55"/>
        <v>25</v>
      </c>
      <c r="I243" s="196"/>
      <c r="J243" s="9" t="str">
        <f t="shared" ca="1" si="45"/>
        <v/>
      </c>
      <c r="K243" s="9" t="str">
        <f t="shared" ca="1" si="46"/>
        <v/>
      </c>
      <c r="L243" s="9">
        <f t="shared" ca="1" si="47"/>
        <v>3</v>
      </c>
      <c r="N243" s="176">
        <f t="shared" ca="1" si="56"/>
        <v>28</v>
      </c>
      <c r="O243" s="176">
        <f t="shared" ca="1" si="58"/>
        <v>6842</v>
      </c>
      <c r="P243" s="175">
        <f t="shared" ca="1" si="48"/>
        <v>847.5157240417368</v>
      </c>
      <c r="Q243" s="11">
        <f t="shared" ca="1" si="49"/>
        <v>2.9930000000000002E-2</v>
      </c>
      <c r="R243" s="12">
        <f t="shared" ca="1" si="50"/>
        <v>25.366145620569185</v>
      </c>
      <c r="T243" s="31">
        <f t="shared" ca="1" si="59"/>
        <v>2106.3704858457254</v>
      </c>
    </row>
    <row r="244" spans="1:20">
      <c r="A244" s="198">
        <f ca="1">'PRICE_IOF Ñ USAR'!A244</f>
        <v>226</v>
      </c>
      <c r="B244" s="197">
        <f ca="1">'PRICE_IOF Ñ USAR'!B244</f>
        <v>51601</v>
      </c>
      <c r="C244" s="196">
        <f t="shared" ca="1" si="51"/>
        <v>2049.2881810380363</v>
      </c>
      <c r="D244" s="21">
        <f t="shared" ca="1" si="57"/>
        <v>57.082304807689219</v>
      </c>
      <c r="E244" s="196">
        <f t="shared" ca="1" si="52"/>
        <v>4155.3101676238348</v>
      </c>
      <c r="F244" s="178">
        <f t="shared" ca="1" si="53"/>
        <v>1.302965653218993</v>
      </c>
      <c r="G244" s="178">
        <f t="shared" ca="1" si="54"/>
        <v>26.319999999999997</v>
      </c>
      <c r="H244" s="177">
        <f t="shared" ca="1" si="55"/>
        <v>25</v>
      </c>
      <c r="I244" s="196"/>
      <c r="J244" s="9" t="str">
        <f t="shared" ca="1" si="45"/>
        <v/>
      </c>
      <c r="K244" s="9" t="str">
        <f t="shared" ca="1" si="46"/>
        <v/>
      </c>
      <c r="L244" s="9">
        <f t="shared" ca="1" si="47"/>
        <v>4</v>
      </c>
      <c r="N244" s="176">
        <f t="shared" ca="1" si="56"/>
        <v>31</v>
      </c>
      <c r="O244" s="176">
        <f t="shared" ca="1" si="58"/>
        <v>6873</v>
      </c>
      <c r="P244" s="175">
        <f t="shared" ca="1" si="48"/>
        <v>847.5157240417368</v>
      </c>
      <c r="Q244" s="11">
        <f t="shared" ca="1" si="49"/>
        <v>2.9930000000000002E-2</v>
      </c>
      <c r="R244" s="12">
        <f t="shared" ca="1" si="50"/>
        <v>25.366145620569185</v>
      </c>
      <c r="T244" s="31">
        <f t="shared" ca="1" si="59"/>
        <v>2106.3704858457254</v>
      </c>
    </row>
    <row r="245" spans="1:20">
      <c r="A245" s="198">
        <f ca="1">'PRICE_IOF Ñ USAR'!A245</f>
        <v>227</v>
      </c>
      <c r="B245" s="197">
        <f ca="1">'PRICE_IOF Ñ USAR'!B245</f>
        <v>51631</v>
      </c>
      <c r="C245" s="196">
        <f t="shared" ca="1" si="51"/>
        <v>2068.141632303586</v>
      </c>
      <c r="D245" s="21">
        <f t="shared" ca="1" si="57"/>
        <v>38.228853542139277</v>
      </c>
      <c r="E245" s="196">
        <f t="shared" ca="1" si="52"/>
        <v>2087.1685353202488</v>
      </c>
      <c r="F245" s="178">
        <f t="shared" ca="1" si="53"/>
        <v>0.87261513520100531</v>
      </c>
      <c r="G245" s="178">
        <f t="shared" ca="1" si="54"/>
        <v>26.319999999999997</v>
      </c>
      <c r="H245" s="177">
        <f t="shared" ca="1" si="55"/>
        <v>25</v>
      </c>
      <c r="I245" s="196"/>
      <c r="J245" s="9" t="str">
        <f t="shared" ca="1" si="45"/>
        <v/>
      </c>
      <c r="K245" s="9" t="str">
        <f t="shared" ca="1" si="46"/>
        <v/>
      </c>
      <c r="L245" s="9">
        <f t="shared" ca="1" si="47"/>
        <v>5</v>
      </c>
      <c r="N245" s="176">
        <f t="shared" ca="1" si="56"/>
        <v>30</v>
      </c>
      <c r="O245" s="176">
        <f t="shared" ca="1" si="58"/>
        <v>6903</v>
      </c>
      <c r="P245" s="175">
        <f t="shared" ca="1" si="48"/>
        <v>847.5157240417368</v>
      </c>
      <c r="Q245" s="11">
        <f t="shared" ca="1" si="49"/>
        <v>2.9930000000000002E-2</v>
      </c>
      <c r="R245" s="12">
        <f t="shared" ca="1" si="50"/>
        <v>25.366145620569185</v>
      </c>
      <c r="T245" s="31">
        <f t="shared" ca="1" si="59"/>
        <v>2106.3704858457254</v>
      </c>
    </row>
    <row r="246" spans="1:20">
      <c r="A246" s="198">
        <f ca="1">'PRICE_IOF Ñ USAR'!A246</f>
        <v>228</v>
      </c>
      <c r="B246" s="197">
        <f ca="1">'PRICE_IOF Ñ USAR'!B246</f>
        <v>51662</v>
      </c>
      <c r="C246" s="196">
        <f t="shared" ca="1" si="51"/>
        <v>2087.168535320779</v>
      </c>
      <c r="D246" s="21">
        <f t="shared" ca="1" si="57"/>
        <v>19.201950524946287</v>
      </c>
      <c r="E246" s="196">
        <f t="shared" ca="1" si="52"/>
        <v>-5.3023541113361716E-10</v>
      </c>
      <c r="F246" s="178">
        <f t="shared" ca="1" si="53"/>
        <v>0.43830539241725225</v>
      </c>
      <c r="G246" s="178">
        <f t="shared" ca="1" si="54"/>
        <v>26.319999999999997</v>
      </c>
      <c r="H246" s="177">
        <f t="shared" ca="1" si="55"/>
        <v>25</v>
      </c>
      <c r="I246" s="196"/>
      <c r="J246" s="9" t="str">
        <f t="shared" ca="1" si="45"/>
        <v/>
      </c>
      <c r="K246" s="9" t="str">
        <f t="shared" ca="1" si="46"/>
        <v/>
      </c>
      <c r="L246" s="9">
        <f t="shared" ca="1" si="47"/>
        <v>6</v>
      </c>
      <c r="N246" s="176">
        <f t="shared" ca="1" si="56"/>
        <v>31</v>
      </c>
      <c r="O246" s="176">
        <f t="shared" ca="1" si="58"/>
        <v>6934</v>
      </c>
      <c r="P246" s="175">
        <f t="shared" ca="1" si="48"/>
        <v>847.5157240417368</v>
      </c>
      <c r="Q246" s="11">
        <f t="shared" ca="1" si="49"/>
        <v>2.9930000000000002E-2</v>
      </c>
      <c r="R246" s="12">
        <f t="shared" ca="1" si="50"/>
        <v>25.366145620569185</v>
      </c>
      <c r="T246" s="31">
        <f t="shared" ca="1" si="59"/>
        <v>2106.3704858457254</v>
      </c>
    </row>
    <row r="247" spans="1:20">
      <c r="A247" s="198" t="str">
        <f ca="1">'PRICE_IOF Ñ USAR'!A247</f>
        <v/>
      </c>
      <c r="B247" s="197" t="str">
        <f ca="1">'PRICE_IOF Ñ USAR'!B247</f>
        <v/>
      </c>
      <c r="C247" s="196" t="str">
        <f t="shared" ca="1" si="51"/>
        <v/>
      </c>
      <c r="D247" s="21" t="str">
        <f t="shared" ca="1" si="57"/>
        <v/>
      </c>
      <c r="E247" s="196" t="str">
        <f t="shared" ca="1" si="52"/>
        <v/>
      </c>
      <c r="F247" s="178" t="str">
        <f t="shared" ca="1" si="53"/>
        <v/>
      </c>
      <c r="G247" s="178" t="str">
        <f t="shared" ca="1" si="54"/>
        <v/>
      </c>
      <c r="H247" s="177" t="str">
        <f t="shared" ca="1" si="55"/>
        <v/>
      </c>
      <c r="I247" s="196"/>
      <c r="J247" s="9" t="str">
        <f t="shared" ca="1" si="45"/>
        <v/>
      </c>
      <c r="K247" s="9" t="str">
        <f t="shared" ca="1" si="46"/>
        <v/>
      </c>
      <c r="L247" s="9" t="str">
        <f t="shared" ca="1" si="47"/>
        <v/>
      </c>
      <c r="N247" s="176" t="str">
        <f t="shared" ca="1" si="56"/>
        <v/>
      </c>
      <c r="O247" s="176" t="str">
        <f t="shared" ca="1" si="58"/>
        <v/>
      </c>
      <c r="P247" s="175" t="str">
        <f t="shared" ca="1" si="48"/>
        <v/>
      </c>
      <c r="Q247" s="11" t="str">
        <f t="shared" ca="1" si="49"/>
        <v/>
      </c>
      <c r="R247" s="12" t="str">
        <f t="shared" ca="1" si="50"/>
        <v/>
      </c>
      <c r="T247" s="31" t="str">
        <f t="shared" ca="1" si="59"/>
        <v/>
      </c>
    </row>
    <row r="248" spans="1:20">
      <c r="A248" s="198" t="str">
        <f ca="1">'PRICE_IOF Ñ USAR'!A248</f>
        <v/>
      </c>
      <c r="B248" s="197" t="str">
        <f ca="1">'PRICE_IOF Ñ USAR'!B248</f>
        <v/>
      </c>
      <c r="C248" s="196" t="str">
        <f t="shared" ca="1" si="51"/>
        <v/>
      </c>
      <c r="D248" s="21" t="str">
        <f t="shared" ca="1" si="57"/>
        <v/>
      </c>
      <c r="E248" s="196" t="str">
        <f t="shared" ca="1" si="52"/>
        <v/>
      </c>
      <c r="F248" s="178" t="str">
        <f t="shared" ca="1" si="53"/>
        <v/>
      </c>
      <c r="G248" s="178" t="str">
        <f t="shared" ca="1" si="54"/>
        <v/>
      </c>
      <c r="H248" s="177" t="str">
        <f t="shared" ca="1" si="55"/>
        <v/>
      </c>
      <c r="I248" s="196"/>
      <c r="J248" s="9" t="str">
        <f t="shared" ca="1" si="45"/>
        <v/>
      </c>
      <c r="K248" s="9" t="str">
        <f t="shared" ca="1" si="46"/>
        <v/>
      </c>
      <c r="L248" s="9" t="str">
        <f t="shared" ca="1" si="47"/>
        <v/>
      </c>
      <c r="N248" s="176" t="str">
        <f t="shared" ca="1" si="56"/>
        <v/>
      </c>
      <c r="O248" s="176" t="str">
        <f t="shared" ca="1" si="58"/>
        <v/>
      </c>
      <c r="P248" s="175" t="str">
        <f t="shared" ca="1" si="48"/>
        <v/>
      </c>
      <c r="Q248" s="11" t="str">
        <f t="shared" ca="1" si="49"/>
        <v/>
      </c>
      <c r="R248" s="12" t="str">
        <f t="shared" ca="1" si="50"/>
        <v/>
      </c>
      <c r="T248" s="31" t="str">
        <f t="shared" ca="1" si="59"/>
        <v/>
      </c>
    </row>
    <row r="249" spans="1:20">
      <c r="A249" s="198" t="str">
        <f ca="1">'PRICE_IOF Ñ USAR'!A249</f>
        <v/>
      </c>
      <c r="B249" s="197" t="str">
        <f ca="1">'PRICE_IOF Ñ USAR'!B249</f>
        <v/>
      </c>
      <c r="C249" s="196" t="str">
        <f t="shared" ca="1" si="51"/>
        <v/>
      </c>
      <c r="D249" s="21" t="str">
        <f t="shared" ca="1" si="57"/>
        <v/>
      </c>
      <c r="E249" s="196" t="str">
        <f t="shared" ca="1" si="52"/>
        <v/>
      </c>
      <c r="F249" s="178" t="str">
        <f t="shared" ca="1" si="53"/>
        <v/>
      </c>
      <c r="G249" s="178" t="str">
        <f t="shared" ca="1" si="54"/>
        <v/>
      </c>
      <c r="H249" s="177" t="str">
        <f t="shared" ca="1" si="55"/>
        <v/>
      </c>
      <c r="I249" s="196"/>
      <c r="J249" s="9" t="str">
        <f t="shared" ca="1" si="45"/>
        <v/>
      </c>
      <c r="K249" s="9" t="str">
        <f t="shared" ca="1" si="46"/>
        <v/>
      </c>
      <c r="L249" s="9" t="str">
        <f t="shared" ca="1" si="47"/>
        <v/>
      </c>
      <c r="N249" s="176" t="str">
        <f t="shared" ca="1" si="56"/>
        <v/>
      </c>
      <c r="O249" s="176" t="str">
        <f t="shared" ca="1" si="58"/>
        <v/>
      </c>
      <c r="P249" s="175" t="str">
        <f t="shared" ca="1" si="48"/>
        <v/>
      </c>
      <c r="Q249" s="11" t="str">
        <f t="shared" ca="1" si="49"/>
        <v/>
      </c>
      <c r="R249" s="12" t="str">
        <f t="shared" ca="1" si="50"/>
        <v/>
      </c>
      <c r="T249" s="31" t="str">
        <f t="shared" ca="1" si="59"/>
        <v/>
      </c>
    </row>
    <row r="250" spans="1:20">
      <c r="A250" s="198" t="str">
        <f ca="1">'PRICE_IOF Ñ USAR'!A250</f>
        <v/>
      </c>
      <c r="B250" s="197" t="str">
        <f ca="1">'PRICE_IOF Ñ USAR'!B250</f>
        <v/>
      </c>
      <c r="C250" s="196" t="str">
        <f t="shared" ca="1" si="51"/>
        <v/>
      </c>
      <c r="D250" s="21" t="str">
        <f t="shared" ca="1" si="57"/>
        <v/>
      </c>
      <c r="E250" s="196" t="str">
        <f t="shared" ca="1" si="52"/>
        <v/>
      </c>
      <c r="F250" s="178" t="str">
        <f t="shared" ca="1" si="53"/>
        <v/>
      </c>
      <c r="G250" s="178" t="str">
        <f t="shared" ca="1" si="54"/>
        <v/>
      </c>
      <c r="H250" s="177" t="str">
        <f t="shared" ca="1" si="55"/>
        <v/>
      </c>
      <c r="I250" s="196"/>
      <c r="J250" s="9" t="str">
        <f t="shared" ca="1" si="45"/>
        <v/>
      </c>
      <c r="K250" s="9" t="str">
        <f t="shared" ca="1" si="46"/>
        <v/>
      </c>
      <c r="L250" s="9" t="str">
        <f t="shared" ca="1" si="47"/>
        <v/>
      </c>
      <c r="N250" s="176" t="str">
        <f t="shared" ca="1" si="56"/>
        <v/>
      </c>
      <c r="O250" s="176" t="str">
        <f t="shared" ca="1" si="58"/>
        <v/>
      </c>
      <c r="P250" s="175" t="str">
        <f t="shared" ca="1" si="48"/>
        <v/>
      </c>
      <c r="Q250" s="11" t="str">
        <f t="shared" ca="1" si="49"/>
        <v/>
      </c>
      <c r="R250" s="12" t="str">
        <f t="shared" ca="1" si="50"/>
        <v/>
      </c>
      <c r="T250" s="31" t="str">
        <f t="shared" ca="1" si="59"/>
        <v/>
      </c>
    </row>
    <row r="251" spans="1:20">
      <c r="A251" s="198" t="str">
        <f ca="1">'PRICE_IOF Ñ USAR'!A251</f>
        <v/>
      </c>
      <c r="B251" s="197" t="str">
        <f ca="1">'PRICE_IOF Ñ USAR'!B251</f>
        <v/>
      </c>
      <c r="C251" s="196" t="str">
        <f t="shared" ca="1" si="51"/>
        <v/>
      </c>
      <c r="D251" s="21" t="str">
        <f t="shared" ca="1" si="57"/>
        <v/>
      </c>
      <c r="E251" s="196" t="str">
        <f t="shared" ca="1" si="52"/>
        <v/>
      </c>
      <c r="F251" s="178" t="str">
        <f t="shared" ca="1" si="53"/>
        <v/>
      </c>
      <c r="G251" s="178" t="str">
        <f t="shared" ca="1" si="54"/>
        <v/>
      </c>
      <c r="H251" s="177" t="str">
        <f t="shared" ca="1" si="55"/>
        <v/>
      </c>
      <c r="I251" s="196"/>
      <c r="J251" s="9" t="str">
        <f t="shared" ca="1" si="45"/>
        <v/>
      </c>
      <c r="K251" s="9" t="str">
        <f t="shared" ca="1" si="46"/>
        <v/>
      </c>
      <c r="L251" s="9" t="str">
        <f t="shared" ca="1" si="47"/>
        <v/>
      </c>
      <c r="N251" s="176" t="str">
        <f t="shared" ca="1" si="56"/>
        <v/>
      </c>
      <c r="O251" s="176" t="str">
        <f t="shared" ca="1" si="58"/>
        <v/>
      </c>
      <c r="P251" s="175" t="str">
        <f t="shared" ca="1" si="48"/>
        <v/>
      </c>
      <c r="Q251" s="11" t="str">
        <f t="shared" ca="1" si="49"/>
        <v/>
      </c>
      <c r="R251" s="12" t="str">
        <f t="shared" ca="1" si="50"/>
        <v/>
      </c>
      <c r="T251" s="31" t="str">
        <f t="shared" ca="1" si="59"/>
        <v/>
      </c>
    </row>
    <row r="252" spans="1:20">
      <c r="A252" s="198" t="str">
        <f ca="1">'PRICE_IOF Ñ USAR'!A252</f>
        <v/>
      </c>
      <c r="B252" s="197" t="str">
        <f ca="1">'PRICE_IOF Ñ USAR'!B252</f>
        <v/>
      </c>
      <c r="C252" s="196" t="str">
        <f t="shared" ca="1" si="51"/>
        <v/>
      </c>
      <c r="D252" s="21" t="str">
        <f t="shared" ca="1" si="57"/>
        <v/>
      </c>
      <c r="E252" s="196" t="str">
        <f t="shared" ca="1" si="52"/>
        <v/>
      </c>
      <c r="F252" s="178" t="str">
        <f t="shared" ca="1" si="53"/>
        <v/>
      </c>
      <c r="G252" s="178" t="str">
        <f t="shared" ca="1" si="54"/>
        <v/>
      </c>
      <c r="H252" s="177" t="str">
        <f t="shared" ca="1" si="55"/>
        <v/>
      </c>
      <c r="I252" s="196"/>
      <c r="J252" s="9" t="str">
        <f t="shared" ca="1" si="45"/>
        <v/>
      </c>
      <c r="K252" s="9" t="str">
        <f t="shared" ca="1" si="46"/>
        <v/>
      </c>
      <c r="L252" s="9" t="str">
        <f t="shared" ca="1" si="47"/>
        <v/>
      </c>
      <c r="N252" s="176" t="str">
        <f t="shared" ca="1" si="56"/>
        <v/>
      </c>
      <c r="O252" s="176" t="str">
        <f t="shared" ca="1" si="58"/>
        <v/>
      </c>
      <c r="P252" s="175" t="str">
        <f t="shared" ca="1" si="48"/>
        <v/>
      </c>
      <c r="Q252" s="11" t="str">
        <f t="shared" ca="1" si="49"/>
        <v/>
      </c>
      <c r="R252" s="12" t="str">
        <f t="shared" ca="1" si="50"/>
        <v/>
      </c>
      <c r="T252" s="31" t="str">
        <f t="shared" ca="1" si="59"/>
        <v/>
      </c>
    </row>
    <row r="253" spans="1:20">
      <c r="A253" s="198" t="str">
        <f ca="1">'PRICE_IOF Ñ USAR'!A253</f>
        <v/>
      </c>
      <c r="B253" s="197" t="str">
        <f ca="1">'PRICE_IOF Ñ USAR'!B253</f>
        <v/>
      </c>
      <c r="C253" s="196" t="str">
        <f t="shared" ca="1" si="51"/>
        <v/>
      </c>
      <c r="D253" s="21" t="str">
        <f t="shared" ca="1" si="57"/>
        <v/>
      </c>
      <c r="E253" s="196" t="str">
        <f t="shared" ca="1" si="52"/>
        <v/>
      </c>
      <c r="F253" s="178" t="str">
        <f t="shared" ca="1" si="53"/>
        <v/>
      </c>
      <c r="G253" s="178" t="str">
        <f t="shared" ca="1" si="54"/>
        <v/>
      </c>
      <c r="H253" s="177" t="str">
        <f t="shared" ca="1" si="55"/>
        <v/>
      </c>
      <c r="I253" s="196"/>
      <c r="J253" s="9" t="str">
        <f t="shared" ca="1" si="45"/>
        <v/>
      </c>
      <c r="K253" s="9" t="str">
        <f t="shared" ca="1" si="46"/>
        <v/>
      </c>
      <c r="L253" s="9" t="str">
        <f t="shared" ca="1" si="47"/>
        <v/>
      </c>
      <c r="N253" s="176" t="str">
        <f t="shared" ca="1" si="56"/>
        <v/>
      </c>
      <c r="O253" s="176" t="str">
        <f t="shared" ca="1" si="58"/>
        <v/>
      </c>
      <c r="P253" s="175" t="str">
        <f t="shared" ca="1" si="48"/>
        <v/>
      </c>
      <c r="Q253" s="11" t="str">
        <f t="shared" ca="1" si="49"/>
        <v/>
      </c>
      <c r="R253" s="12" t="str">
        <f t="shared" ca="1" si="50"/>
        <v/>
      </c>
      <c r="T253" s="31" t="str">
        <f t="shared" ca="1" si="59"/>
        <v/>
      </c>
    </row>
    <row r="254" spans="1:20">
      <c r="A254" s="198" t="str">
        <f ca="1">'PRICE_IOF Ñ USAR'!A254</f>
        <v/>
      </c>
      <c r="B254" s="197" t="str">
        <f ca="1">'PRICE_IOF Ñ USAR'!B254</f>
        <v/>
      </c>
      <c r="C254" s="196" t="str">
        <f t="shared" ca="1" si="51"/>
        <v/>
      </c>
      <c r="D254" s="21" t="str">
        <f t="shared" ca="1" si="57"/>
        <v/>
      </c>
      <c r="E254" s="196" t="str">
        <f t="shared" ca="1" si="52"/>
        <v/>
      </c>
      <c r="F254" s="178" t="str">
        <f t="shared" ca="1" si="53"/>
        <v/>
      </c>
      <c r="G254" s="178" t="str">
        <f t="shared" ca="1" si="54"/>
        <v/>
      </c>
      <c r="H254" s="177" t="str">
        <f t="shared" ca="1" si="55"/>
        <v/>
      </c>
      <c r="I254" s="196"/>
      <c r="J254" s="9" t="str">
        <f t="shared" ca="1" si="45"/>
        <v/>
      </c>
      <c r="K254" s="9" t="str">
        <f t="shared" ca="1" si="46"/>
        <v/>
      </c>
      <c r="L254" s="9" t="str">
        <f t="shared" ca="1" si="47"/>
        <v/>
      </c>
      <c r="N254" s="176" t="str">
        <f t="shared" ca="1" si="56"/>
        <v/>
      </c>
      <c r="O254" s="176" t="str">
        <f t="shared" ca="1" si="58"/>
        <v/>
      </c>
      <c r="P254" s="175" t="str">
        <f t="shared" ca="1" si="48"/>
        <v/>
      </c>
      <c r="Q254" s="11" t="str">
        <f t="shared" ca="1" si="49"/>
        <v/>
      </c>
      <c r="R254" s="12" t="str">
        <f t="shared" ca="1" si="50"/>
        <v/>
      </c>
      <c r="T254" s="31" t="str">
        <f t="shared" ca="1" si="59"/>
        <v/>
      </c>
    </row>
    <row r="255" spans="1:20">
      <c r="A255" s="198" t="str">
        <f ca="1">'PRICE_IOF Ñ USAR'!A255</f>
        <v/>
      </c>
      <c r="B255" s="197" t="str">
        <f ca="1">'PRICE_IOF Ñ USAR'!B255</f>
        <v/>
      </c>
      <c r="C255" s="196" t="str">
        <f t="shared" ca="1" si="51"/>
        <v/>
      </c>
      <c r="D255" s="21" t="str">
        <f t="shared" ca="1" si="57"/>
        <v/>
      </c>
      <c r="E255" s="196" t="str">
        <f t="shared" ca="1" si="52"/>
        <v/>
      </c>
      <c r="F255" s="178" t="str">
        <f t="shared" ca="1" si="53"/>
        <v/>
      </c>
      <c r="G255" s="178" t="str">
        <f t="shared" ca="1" si="54"/>
        <v/>
      </c>
      <c r="H255" s="177" t="str">
        <f t="shared" ca="1" si="55"/>
        <v/>
      </c>
      <c r="I255" s="196"/>
      <c r="J255" s="9" t="str">
        <f t="shared" ca="1" si="45"/>
        <v/>
      </c>
      <c r="K255" s="9" t="str">
        <f t="shared" ca="1" si="46"/>
        <v/>
      </c>
      <c r="L255" s="9" t="str">
        <f t="shared" ca="1" si="47"/>
        <v/>
      </c>
      <c r="N255" s="176" t="str">
        <f t="shared" ca="1" si="56"/>
        <v/>
      </c>
      <c r="O255" s="176" t="str">
        <f t="shared" ca="1" si="58"/>
        <v/>
      </c>
      <c r="P255" s="175" t="str">
        <f t="shared" ca="1" si="48"/>
        <v/>
      </c>
      <c r="Q255" s="11" t="str">
        <f t="shared" ca="1" si="49"/>
        <v/>
      </c>
      <c r="R255" s="12" t="str">
        <f t="shared" ca="1" si="50"/>
        <v/>
      </c>
      <c r="T255" s="31" t="str">
        <f t="shared" ca="1" si="59"/>
        <v/>
      </c>
    </row>
    <row r="256" spans="1:20">
      <c r="A256" s="198" t="str">
        <f ca="1">'PRICE_IOF Ñ USAR'!A256</f>
        <v/>
      </c>
      <c r="B256" s="197" t="str">
        <f ca="1">'PRICE_IOF Ñ USAR'!B256</f>
        <v/>
      </c>
      <c r="C256" s="196" t="str">
        <f t="shared" ca="1" si="51"/>
        <v/>
      </c>
      <c r="D256" s="21" t="str">
        <f t="shared" ca="1" si="57"/>
        <v/>
      </c>
      <c r="E256" s="196" t="str">
        <f t="shared" ca="1" si="52"/>
        <v/>
      </c>
      <c r="F256" s="178" t="str">
        <f t="shared" ca="1" si="53"/>
        <v/>
      </c>
      <c r="G256" s="178" t="str">
        <f t="shared" ca="1" si="54"/>
        <v/>
      </c>
      <c r="H256" s="177" t="str">
        <f t="shared" ca="1" si="55"/>
        <v/>
      </c>
      <c r="I256" s="196"/>
      <c r="J256" s="9" t="str">
        <f t="shared" ca="1" si="45"/>
        <v/>
      </c>
      <c r="K256" s="9" t="str">
        <f t="shared" ca="1" si="46"/>
        <v/>
      </c>
      <c r="L256" s="9" t="str">
        <f t="shared" ca="1" si="47"/>
        <v/>
      </c>
      <c r="N256" s="176" t="str">
        <f t="shared" ca="1" si="56"/>
        <v/>
      </c>
      <c r="O256" s="176" t="str">
        <f t="shared" ca="1" si="58"/>
        <v/>
      </c>
      <c r="P256" s="175" t="str">
        <f t="shared" ca="1" si="48"/>
        <v/>
      </c>
      <c r="Q256" s="11" t="str">
        <f t="shared" ca="1" si="49"/>
        <v/>
      </c>
      <c r="R256" s="12" t="str">
        <f t="shared" ca="1" si="50"/>
        <v/>
      </c>
      <c r="T256" s="31" t="str">
        <f t="shared" ca="1" si="59"/>
        <v/>
      </c>
    </row>
    <row r="257" spans="1:20">
      <c r="A257" s="198" t="str">
        <f ca="1">'PRICE_IOF Ñ USAR'!A257</f>
        <v/>
      </c>
      <c r="B257" s="197" t="str">
        <f ca="1">'PRICE_IOF Ñ USAR'!B257</f>
        <v/>
      </c>
      <c r="C257" s="196" t="str">
        <f t="shared" ca="1" si="51"/>
        <v/>
      </c>
      <c r="D257" s="21" t="str">
        <f t="shared" ca="1" si="57"/>
        <v/>
      </c>
      <c r="E257" s="196" t="str">
        <f t="shared" ca="1" si="52"/>
        <v/>
      </c>
      <c r="F257" s="178" t="str">
        <f t="shared" ca="1" si="53"/>
        <v/>
      </c>
      <c r="G257" s="178" t="str">
        <f t="shared" ca="1" si="54"/>
        <v/>
      </c>
      <c r="H257" s="177" t="str">
        <f t="shared" ca="1" si="55"/>
        <v/>
      </c>
      <c r="I257" s="196"/>
      <c r="J257" s="9" t="str">
        <f t="shared" ca="1" si="45"/>
        <v/>
      </c>
      <c r="K257" s="9" t="str">
        <f t="shared" ca="1" si="46"/>
        <v/>
      </c>
      <c r="L257" s="9" t="str">
        <f t="shared" ca="1" si="47"/>
        <v/>
      </c>
      <c r="N257" s="176" t="str">
        <f t="shared" ca="1" si="56"/>
        <v/>
      </c>
      <c r="O257" s="176" t="str">
        <f t="shared" ca="1" si="58"/>
        <v/>
      </c>
      <c r="P257" s="175" t="str">
        <f t="shared" ca="1" si="48"/>
        <v/>
      </c>
      <c r="Q257" s="11" t="str">
        <f t="shared" ca="1" si="49"/>
        <v/>
      </c>
      <c r="R257" s="12" t="str">
        <f t="shared" ca="1" si="50"/>
        <v/>
      </c>
      <c r="T257" s="31" t="str">
        <f t="shared" ca="1" si="59"/>
        <v/>
      </c>
    </row>
    <row r="258" spans="1:20">
      <c r="A258" s="198" t="str">
        <f ca="1">'PRICE_IOF Ñ USAR'!A258</f>
        <v/>
      </c>
      <c r="B258" s="197" t="str">
        <f ca="1">'PRICE_IOF Ñ USAR'!B258</f>
        <v/>
      </c>
      <c r="C258" s="196" t="str">
        <f t="shared" ca="1" si="51"/>
        <v/>
      </c>
      <c r="D258" s="21" t="str">
        <f t="shared" ca="1" si="57"/>
        <v/>
      </c>
      <c r="E258" s="196" t="str">
        <f t="shared" ca="1" si="52"/>
        <v/>
      </c>
      <c r="F258" s="178" t="str">
        <f t="shared" ca="1" si="53"/>
        <v/>
      </c>
      <c r="G258" s="178" t="str">
        <f t="shared" ca="1" si="54"/>
        <v/>
      </c>
      <c r="H258" s="177" t="str">
        <f t="shared" ca="1" si="55"/>
        <v/>
      </c>
      <c r="I258" s="196"/>
      <c r="J258" s="9" t="str">
        <f t="shared" ca="1" si="45"/>
        <v/>
      </c>
      <c r="K258" s="9" t="str">
        <f t="shared" ca="1" si="46"/>
        <v/>
      </c>
      <c r="L258" s="9" t="str">
        <f t="shared" ca="1" si="47"/>
        <v/>
      </c>
      <c r="N258" s="176" t="str">
        <f t="shared" ca="1" si="56"/>
        <v/>
      </c>
      <c r="O258" s="176" t="str">
        <f t="shared" ca="1" si="58"/>
        <v/>
      </c>
      <c r="P258" s="175" t="str">
        <f t="shared" ca="1" si="48"/>
        <v/>
      </c>
      <c r="Q258" s="11" t="str">
        <f t="shared" ca="1" si="49"/>
        <v/>
      </c>
      <c r="R258" s="12" t="str">
        <f t="shared" ca="1" si="50"/>
        <v/>
      </c>
      <c r="T258" s="31" t="str">
        <f t="shared" ca="1" si="59"/>
        <v/>
      </c>
    </row>
    <row r="259" spans="1:20">
      <c r="A259" s="198" t="str">
        <f ca="1">'PRICE_IOF Ñ USAR'!A259</f>
        <v/>
      </c>
      <c r="B259" s="197" t="str">
        <f ca="1">'PRICE_IOF Ñ USAR'!B259</f>
        <v/>
      </c>
      <c r="C259" s="196" t="str">
        <f t="shared" ca="1" si="51"/>
        <v/>
      </c>
      <c r="D259" s="21" t="str">
        <f t="shared" ca="1" si="57"/>
        <v/>
      </c>
      <c r="E259" s="196" t="str">
        <f t="shared" ca="1" si="52"/>
        <v/>
      </c>
      <c r="F259" s="178" t="str">
        <f t="shared" ca="1" si="53"/>
        <v/>
      </c>
      <c r="G259" s="178" t="str">
        <f t="shared" ca="1" si="54"/>
        <v/>
      </c>
      <c r="H259" s="177" t="str">
        <f t="shared" ca="1" si="55"/>
        <v/>
      </c>
      <c r="I259" s="196"/>
      <c r="J259" s="9" t="str">
        <f t="shared" ca="1" si="45"/>
        <v/>
      </c>
      <c r="K259" s="9" t="str">
        <f t="shared" ca="1" si="46"/>
        <v/>
      </c>
      <c r="L259" s="9" t="str">
        <f t="shared" ca="1" si="47"/>
        <v/>
      </c>
      <c r="N259" s="176" t="str">
        <f t="shared" ca="1" si="56"/>
        <v/>
      </c>
      <c r="O259" s="176" t="str">
        <f t="shared" ca="1" si="58"/>
        <v/>
      </c>
      <c r="P259" s="175" t="str">
        <f t="shared" ca="1" si="48"/>
        <v/>
      </c>
      <c r="Q259" s="11" t="str">
        <f t="shared" ca="1" si="49"/>
        <v/>
      </c>
      <c r="R259" s="12" t="str">
        <f t="shared" ca="1" si="50"/>
        <v/>
      </c>
      <c r="T259" s="31" t="str">
        <f t="shared" ca="1" si="59"/>
        <v/>
      </c>
    </row>
    <row r="260" spans="1:20">
      <c r="A260" s="198" t="str">
        <f ca="1">'PRICE_IOF Ñ USAR'!A260</f>
        <v/>
      </c>
      <c r="B260" s="197" t="str">
        <f ca="1">'PRICE_IOF Ñ USAR'!B260</f>
        <v/>
      </c>
      <c r="C260" s="196" t="str">
        <f t="shared" ca="1" si="51"/>
        <v/>
      </c>
      <c r="D260" s="21" t="str">
        <f t="shared" ca="1" si="57"/>
        <v/>
      </c>
      <c r="E260" s="196" t="str">
        <f t="shared" ca="1" si="52"/>
        <v/>
      </c>
      <c r="F260" s="178" t="str">
        <f t="shared" ca="1" si="53"/>
        <v/>
      </c>
      <c r="G260" s="178" t="str">
        <f t="shared" ca="1" si="54"/>
        <v/>
      </c>
      <c r="H260" s="177" t="str">
        <f t="shared" ca="1" si="55"/>
        <v/>
      </c>
      <c r="I260" s="196"/>
      <c r="J260" s="9" t="str">
        <f t="shared" ca="1" si="45"/>
        <v/>
      </c>
      <c r="K260" s="9" t="str">
        <f t="shared" ca="1" si="46"/>
        <v/>
      </c>
      <c r="L260" s="9" t="str">
        <f t="shared" ca="1" si="47"/>
        <v/>
      </c>
      <c r="N260" s="176" t="str">
        <f t="shared" ca="1" si="56"/>
        <v/>
      </c>
      <c r="O260" s="176" t="str">
        <f t="shared" ca="1" si="58"/>
        <v/>
      </c>
      <c r="P260" s="175" t="str">
        <f t="shared" ca="1" si="48"/>
        <v/>
      </c>
      <c r="Q260" s="11" t="str">
        <f t="shared" ca="1" si="49"/>
        <v/>
      </c>
      <c r="R260" s="12" t="str">
        <f t="shared" ca="1" si="50"/>
        <v/>
      </c>
      <c r="T260" s="31" t="str">
        <f t="shared" ca="1" si="59"/>
        <v/>
      </c>
    </row>
    <row r="261" spans="1:20">
      <c r="A261" s="198" t="str">
        <f ca="1">'PRICE_IOF Ñ USAR'!A261</f>
        <v/>
      </c>
      <c r="B261" s="197" t="str">
        <f ca="1">'PRICE_IOF Ñ USAR'!B261</f>
        <v/>
      </c>
      <c r="C261" s="196" t="str">
        <f t="shared" ca="1" si="51"/>
        <v/>
      </c>
      <c r="D261" s="21" t="str">
        <f t="shared" ca="1" si="57"/>
        <v/>
      </c>
      <c r="E261" s="196" t="str">
        <f t="shared" ca="1" si="52"/>
        <v/>
      </c>
      <c r="F261" s="178" t="str">
        <f t="shared" ca="1" si="53"/>
        <v/>
      </c>
      <c r="G261" s="178" t="str">
        <f t="shared" ca="1" si="54"/>
        <v/>
      </c>
      <c r="H261" s="177" t="str">
        <f t="shared" ca="1" si="55"/>
        <v/>
      </c>
      <c r="I261" s="196"/>
      <c r="J261" s="9" t="str">
        <f t="shared" ca="1" si="45"/>
        <v/>
      </c>
      <c r="K261" s="9" t="str">
        <f t="shared" ca="1" si="46"/>
        <v/>
      </c>
      <c r="L261" s="9" t="str">
        <f t="shared" ca="1" si="47"/>
        <v/>
      </c>
      <c r="N261" s="176" t="str">
        <f t="shared" ca="1" si="56"/>
        <v/>
      </c>
      <c r="O261" s="176" t="str">
        <f t="shared" ca="1" si="58"/>
        <v/>
      </c>
      <c r="P261" s="175" t="str">
        <f t="shared" ca="1" si="48"/>
        <v/>
      </c>
      <c r="Q261" s="11" t="str">
        <f t="shared" ca="1" si="49"/>
        <v/>
      </c>
      <c r="R261" s="12" t="str">
        <f t="shared" ca="1" si="50"/>
        <v/>
      </c>
      <c r="T261" s="31" t="str">
        <f t="shared" ca="1" si="59"/>
        <v/>
      </c>
    </row>
    <row r="262" spans="1:20">
      <c r="A262" s="198" t="str">
        <f ca="1">'PRICE_IOF Ñ USAR'!A262</f>
        <v/>
      </c>
      <c r="B262" s="197" t="str">
        <f ca="1">'PRICE_IOF Ñ USAR'!B262</f>
        <v/>
      </c>
      <c r="C262" s="196" t="str">
        <f t="shared" ca="1" si="51"/>
        <v/>
      </c>
      <c r="D262" s="21" t="str">
        <f t="shared" ca="1" si="57"/>
        <v/>
      </c>
      <c r="E262" s="196" t="str">
        <f t="shared" ca="1" si="52"/>
        <v/>
      </c>
      <c r="F262" s="178" t="str">
        <f t="shared" ca="1" si="53"/>
        <v/>
      </c>
      <c r="G262" s="178" t="str">
        <f t="shared" ca="1" si="54"/>
        <v/>
      </c>
      <c r="H262" s="177" t="str">
        <f t="shared" ca="1" si="55"/>
        <v/>
      </c>
      <c r="I262" s="196"/>
      <c r="J262" s="9" t="str">
        <f t="shared" ca="1" si="45"/>
        <v/>
      </c>
      <c r="K262" s="9" t="str">
        <f t="shared" ca="1" si="46"/>
        <v/>
      </c>
      <c r="L262" s="9" t="str">
        <f t="shared" ca="1" si="47"/>
        <v/>
      </c>
      <c r="N262" s="176" t="str">
        <f t="shared" ca="1" si="56"/>
        <v/>
      </c>
      <c r="O262" s="176" t="str">
        <f t="shared" ca="1" si="58"/>
        <v/>
      </c>
      <c r="P262" s="175" t="str">
        <f t="shared" ca="1" si="48"/>
        <v/>
      </c>
      <c r="Q262" s="11" t="str">
        <f t="shared" ca="1" si="49"/>
        <v/>
      </c>
      <c r="R262" s="12" t="str">
        <f t="shared" ca="1" si="50"/>
        <v/>
      </c>
      <c r="T262" s="31" t="str">
        <f t="shared" ca="1" si="59"/>
        <v/>
      </c>
    </row>
    <row r="263" spans="1:20">
      <c r="A263" s="198" t="str">
        <f ca="1">'PRICE_IOF Ñ USAR'!A263</f>
        <v/>
      </c>
      <c r="B263" s="197" t="str">
        <f ca="1">'PRICE_IOF Ñ USAR'!B263</f>
        <v/>
      </c>
      <c r="C263" s="196" t="str">
        <f t="shared" ca="1" si="51"/>
        <v/>
      </c>
      <c r="D263" s="21" t="str">
        <f t="shared" ca="1" si="57"/>
        <v/>
      </c>
      <c r="E263" s="196" t="str">
        <f t="shared" ca="1" si="52"/>
        <v/>
      </c>
      <c r="F263" s="178" t="str">
        <f t="shared" ca="1" si="53"/>
        <v/>
      </c>
      <c r="G263" s="178" t="str">
        <f t="shared" ca="1" si="54"/>
        <v/>
      </c>
      <c r="H263" s="177" t="str">
        <f t="shared" ca="1" si="55"/>
        <v/>
      </c>
      <c r="I263" s="196"/>
      <c r="J263" s="9" t="str">
        <f t="shared" ca="1" si="45"/>
        <v/>
      </c>
      <c r="K263" s="9" t="str">
        <f t="shared" ca="1" si="46"/>
        <v/>
      </c>
      <c r="L263" s="9" t="str">
        <f t="shared" ca="1" si="47"/>
        <v/>
      </c>
      <c r="N263" s="176" t="str">
        <f t="shared" ca="1" si="56"/>
        <v/>
      </c>
      <c r="O263" s="176" t="str">
        <f t="shared" ca="1" si="58"/>
        <v/>
      </c>
      <c r="P263" s="175" t="str">
        <f t="shared" ca="1" si="48"/>
        <v/>
      </c>
      <c r="Q263" s="11" t="str">
        <f t="shared" ca="1" si="49"/>
        <v/>
      </c>
      <c r="R263" s="12" t="str">
        <f t="shared" ca="1" si="50"/>
        <v/>
      </c>
      <c r="T263" s="31" t="str">
        <f t="shared" ca="1" si="59"/>
        <v/>
      </c>
    </row>
    <row r="264" spans="1:20">
      <c r="A264" s="198" t="str">
        <f ca="1">'PRICE_IOF Ñ USAR'!A264</f>
        <v/>
      </c>
      <c r="B264" s="197" t="str">
        <f ca="1">'PRICE_IOF Ñ USAR'!B264</f>
        <v/>
      </c>
      <c r="C264" s="196" t="str">
        <f t="shared" ca="1" si="51"/>
        <v/>
      </c>
      <c r="D264" s="21" t="str">
        <f t="shared" ca="1" si="57"/>
        <v/>
      </c>
      <c r="E264" s="196" t="str">
        <f t="shared" ca="1" si="52"/>
        <v/>
      </c>
      <c r="F264" s="178" t="str">
        <f t="shared" ca="1" si="53"/>
        <v/>
      </c>
      <c r="G264" s="178" t="str">
        <f t="shared" ca="1" si="54"/>
        <v/>
      </c>
      <c r="H264" s="177" t="str">
        <f t="shared" ca="1" si="55"/>
        <v/>
      </c>
      <c r="I264" s="196"/>
      <c r="J264" s="9" t="str">
        <f t="shared" ca="1" si="45"/>
        <v/>
      </c>
      <c r="K264" s="9" t="str">
        <f t="shared" ca="1" si="46"/>
        <v/>
      </c>
      <c r="L264" s="9" t="str">
        <f t="shared" ca="1" si="47"/>
        <v/>
      </c>
      <c r="N264" s="176" t="str">
        <f t="shared" ca="1" si="56"/>
        <v/>
      </c>
      <c r="O264" s="176" t="str">
        <f t="shared" ca="1" si="58"/>
        <v/>
      </c>
      <c r="P264" s="175" t="str">
        <f t="shared" ca="1" si="48"/>
        <v/>
      </c>
      <c r="Q264" s="11" t="str">
        <f t="shared" ca="1" si="49"/>
        <v/>
      </c>
      <c r="R264" s="12" t="str">
        <f t="shared" ca="1" si="50"/>
        <v/>
      </c>
      <c r="T264" s="31" t="str">
        <f t="shared" ca="1" si="59"/>
        <v/>
      </c>
    </row>
    <row r="265" spans="1:20">
      <c r="A265" s="198" t="str">
        <f ca="1">'PRICE_IOF Ñ USAR'!A265</f>
        <v/>
      </c>
      <c r="B265" s="197" t="str">
        <f ca="1">'PRICE_IOF Ñ USAR'!B265</f>
        <v/>
      </c>
      <c r="C265" s="196" t="str">
        <f t="shared" ca="1" si="51"/>
        <v/>
      </c>
      <c r="D265" s="21" t="str">
        <f t="shared" ca="1" si="57"/>
        <v/>
      </c>
      <c r="E265" s="196" t="str">
        <f t="shared" ca="1" si="52"/>
        <v/>
      </c>
      <c r="F265" s="178" t="str">
        <f t="shared" ca="1" si="53"/>
        <v/>
      </c>
      <c r="G265" s="178" t="str">
        <f t="shared" ca="1" si="54"/>
        <v/>
      </c>
      <c r="H265" s="177" t="str">
        <f t="shared" ca="1" si="55"/>
        <v/>
      </c>
      <c r="I265" s="196"/>
      <c r="J265" s="9" t="str">
        <f t="shared" ca="1" si="45"/>
        <v/>
      </c>
      <c r="K265" s="9" t="str">
        <f t="shared" ca="1" si="46"/>
        <v/>
      </c>
      <c r="L265" s="9" t="str">
        <f t="shared" ca="1" si="47"/>
        <v/>
      </c>
      <c r="N265" s="176" t="str">
        <f t="shared" ca="1" si="56"/>
        <v/>
      </c>
      <c r="O265" s="176" t="str">
        <f t="shared" ca="1" si="58"/>
        <v/>
      </c>
      <c r="P265" s="175" t="str">
        <f t="shared" ca="1" si="48"/>
        <v/>
      </c>
      <c r="Q265" s="11" t="str">
        <f t="shared" ca="1" si="49"/>
        <v/>
      </c>
      <c r="R265" s="12" t="str">
        <f t="shared" ca="1" si="50"/>
        <v/>
      </c>
      <c r="T265" s="31" t="str">
        <f t="shared" ca="1" si="59"/>
        <v/>
      </c>
    </row>
    <row r="266" spans="1:20">
      <c r="A266" s="198" t="str">
        <f ca="1">'PRICE_IOF Ñ USAR'!A266</f>
        <v/>
      </c>
      <c r="B266" s="197" t="str">
        <f ca="1">'PRICE_IOF Ñ USAR'!B266</f>
        <v/>
      </c>
      <c r="C266" s="196" t="str">
        <f t="shared" ca="1" si="51"/>
        <v/>
      </c>
      <c r="D266" s="21" t="str">
        <f t="shared" ca="1" si="57"/>
        <v/>
      </c>
      <c r="E266" s="196" t="str">
        <f t="shared" ca="1" si="52"/>
        <v/>
      </c>
      <c r="F266" s="178" t="str">
        <f t="shared" ca="1" si="53"/>
        <v/>
      </c>
      <c r="G266" s="178" t="str">
        <f t="shared" ca="1" si="54"/>
        <v/>
      </c>
      <c r="H266" s="177" t="str">
        <f t="shared" ca="1" si="55"/>
        <v/>
      </c>
      <c r="I266" s="196"/>
      <c r="J266" s="9" t="str">
        <f t="shared" ca="1" si="45"/>
        <v/>
      </c>
      <c r="K266" s="9" t="str">
        <f t="shared" ca="1" si="46"/>
        <v/>
      </c>
      <c r="L266" s="9" t="str">
        <f t="shared" ca="1" si="47"/>
        <v/>
      </c>
      <c r="N266" s="176" t="str">
        <f t="shared" ca="1" si="56"/>
        <v/>
      </c>
      <c r="O266" s="176" t="str">
        <f t="shared" ca="1" si="58"/>
        <v/>
      </c>
      <c r="P266" s="175" t="str">
        <f t="shared" ca="1" si="48"/>
        <v/>
      </c>
      <c r="Q266" s="11" t="str">
        <f t="shared" ca="1" si="49"/>
        <v/>
      </c>
      <c r="R266" s="12" t="str">
        <f t="shared" ca="1" si="50"/>
        <v/>
      </c>
      <c r="T266" s="31" t="str">
        <f t="shared" ca="1" si="59"/>
        <v/>
      </c>
    </row>
    <row r="267" spans="1:20">
      <c r="A267" s="198" t="str">
        <f ca="1">'PRICE_IOF Ñ USAR'!A267</f>
        <v/>
      </c>
      <c r="B267" s="197" t="str">
        <f ca="1">'PRICE_IOF Ñ USAR'!B267</f>
        <v/>
      </c>
      <c r="C267" s="196" t="str">
        <f t="shared" ca="1" si="51"/>
        <v/>
      </c>
      <c r="D267" s="21" t="str">
        <f t="shared" ca="1" si="57"/>
        <v/>
      </c>
      <c r="E267" s="196" t="str">
        <f t="shared" ca="1" si="52"/>
        <v/>
      </c>
      <c r="F267" s="178" t="str">
        <f t="shared" ca="1" si="53"/>
        <v/>
      </c>
      <c r="G267" s="178" t="str">
        <f t="shared" ca="1" si="54"/>
        <v/>
      </c>
      <c r="H267" s="177" t="str">
        <f t="shared" ca="1" si="55"/>
        <v/>
      </c>
      <c r="I267" s="196"/>
      <c r="J267" s="9" t="str">
        <f t="shared" ca="1" si="45"/>
        <v/>
      </c>
      <c r="K267" s="9" t="str">
        <f t="shared" ca="1" si="46"/>
        <v/>
      </c>
      <c r="L267" s="9" t="str">
        <f t="shared" ca="1" si="47"/>
        <v/>
      </c>
      <c r="N267" s="176" t="str">
        <f t="shared" ca="1" si="56"/>
        <v/>
      </c>
      <c r="O267" s="176" t="str">
        <f t="shared" ca="1" si="58"/>
        <v/>
      </c>
      <c r="P267" s="175" t="str">
        <f t="shared" ca="1" si="48"/>
        <v/>
      </c>
      <c r="Q267" s="11" t="str">
        <f t="shared" ca="1" si="49"/>
        <v/>
      </c>
      <c r="R267" s="12" t="str">
        <f t="shared" ca="1" si="50"/>
        <v/>
      </c>
      <c r="T267" s="31" t="str">
        <f t="shared" ca="1" si="59"/>
        <v/>
      </c>
    </row>
    <row r="268" spans="1:20">
      <c r="A268" s="198" t="str">
        <f ca="1">'PRICE_IOF Ñ USAR'!A268</f>
        <v/>
      </c>
      <c r="B268" s="197" t="str">
        <f ca="1">'PRICE_IOF Ñ USAR'!B268</f>
        <v/>
      </c>
      <c r="C268" s="196" t="str">
        <f t="shared" ca="1" si="51"/>
        <v/>
      </c>
      <c r="D268" s="21" t="str">
        <f t="shared" ca="1" si="57"/>
        <v/>
      </c>
      <c r="E268" s="196" t="str">
        <f t="shared" ca="1" si="52"/>
        <v/>
      </c>
      <c r="F268" s="178" t="str">
        <f t="shared" ca="1" si="53"/>
        <v/>
      </c>
      <c r="G268" s="178" t="str">
        <f t="shared" ca="1" si="54"/>
        <v/>
      </c>
      <c r="H268" s="177" t="str">
        <f t="shared" ca="1" si="55"/>
        <v/>
      </c>
      <c r="I268" s="196"/>
      <c r="J268" s="9" t="str">
        <f t="shared" ca="1" si="45"/>
        <v/>
      </c>
      <c r="K268" s="9" t="str">
        <f t="shared" ca="1" si="46"/>
        <v/>
      </c>
      <c r="L268" s="9" t="str">
        <f t="shared" ca="1" si="47"/>
        <v/>
      </c>
      <c r="N268" s="176" t="str">
        <f t="shared" ca="1" si="56"/>
        <v/>
      </c>
      <c r="O268" s="176" t="str">
        <f t="shared" ca="1" si="58"/>
        <v/>
      </c>
      <c r="P268" s="175" t="str">
        <f t="shared" ca="1" si="48"/>
        <v/>
      </c>
      <c r="Q268" s="11" t="str">
        <f t="shared" ca="1" si="49"/>
        <v/>
      </c>
      <c r="R268" s="12" t="str">
        <f t="shared" ca="1" si="50"/>
        <v/>
      </c>
      <c r="T268" s="31" t="str">
        <f t="shared" ca="1" si="59"/>
        <v/>
      </c>
    </row>
    <row r="269" spans="1:20">
      <c r="A269" s="198" t="str">
        <f ca="1">'PRICE_IOF Ñ USAR'!A269</f>
        <v/>
      </c>
      <c r="B269" s="197" t="str">
        <f ca="1">'PRICE_IOF Ñ USAR'!B269</f>
        <v/>
      </c>
      <c r="C269" s="196" t="str">
        <f t="shared" ca="1" si="51"/>
        <v/>
      </c>
      <c r="D269" s="21" t="str">
        <f t="shared" ca="1" si="57"/>
        <v/>
      </c>
      <c r="E269" s="196" t="str">
        <f t="shared" ca="1" si="52"/>
        <v/>
      </c>
      <c r="F269" s="178" t="str">
        <f t="shared" ca="1" si="53"/>
        <v/>
      </c>
      <c r="G269" s="178" t="str">
        <f t="shared" ca="1" si="54"/>
        <v/>
      </c>
      <c r="H269" s="177" t="str">
        <f t="shared" ca="1" si="55"/>
        <v/>
      </c>
      <c r="I269" s="196"/>
      <c r="J269" s="9" t="str">
        <f t="shared" ca="1" si="45"/>
        <v/>
      </c>
      <c r="K269" s="9" t="str">
        <f t="shared" ca="1" si="46"/>
        <v/>
      </c>
      <c r="L269" s="9" t="str">
        <f t="shared" ca="1" si="47"/>
        <v/>
      </c>
      <c r="N269" s="176" t="str">
        <f t="shared" ca="1" si="56"/>
        <v/>
      </c>
      <c r="O269" s="176" t="str">
        <f t="shared" ca="1" si="58"/>
        <v/>
      </c>
      <c r="P269" s="175" t="str">
        <f t="shared" ca="1" si="48"/>
        <v/>
      </c>
      <c r="Q269" s="11" t="str">
        <f t="shared" ca="1" si="49"/>
        <v/>
      </c>
      <c r="R269" s="12" t="str">
        <f t="shared" ca="1" si="50"/>
        <v/>
      </c>
      <c r="T269" s="31" t="str">
        <f t="shared" ca="1" si="59"/>
        <v/>
      </c>
    </row>
    <row r="270" spans="1:20">
      <c r="A270" s="198" t="str">
        <f ca="1">'PRICE_IOF Ñ USAR'!A270</f>
        <v/>
      </c>
      <c r="B270" s="197" t="str">
        <f ca="1">'PRICE_IOF Ñ USAR'!B270</f>
        <v/>
      </c>
      <c r="C270" s="196" t="str">
        <f t="shared" ca="1" si="51"/>
        <v/>
      </c>
      <c r="D270" s="21" t="str">
        <f t="shared" ca="1" si="57"/>
        <v/>
      </c>
      <c r="E270" s="196" t="str">
        <f t="shared" ca="1" si="52"/>
        <v/>
      </c>
      <c r="F270" s="178" t="str">
        <f t="shared" ca="1" si="53"/>
        <v/>
      </c>
      <c r="G270" s="178" t="str">
        <f t="shared" ca="1" si="54"/>
        <v/>
      </c>
      <c r="H270" s="177" t="str">
        <f t="shared" ca="1" si="55"/>
        <v/>
      </c>
      <c r="I270" s="196"/>
      <c r="J270" s="9" t="str">
        <f t="shared" ca="1" si="45"/>
        <v/>
      </c>
      <c r="K270" s="9" t="str">
        <f t="shared" ca="1" si="46"/>
        <v/>
      </c>
      <c r="L270" s="9" t="str">
        <f t="shared" ca="1" si="47"/>
        <v/>
      </c>
      <c r="N270" s="176" t="str">
        <f t="shared" ca="1" si="56"/>
        <v/>
      </c>
      <c r="O270" s="176" t="str">
        <f t="shared" ca="1" si="58"/>
        <v/>
      </c>
      <c r="P270" s="175" t="str">
        <f t="shared" ca="1" si="48"/>
        <v/>
      </c>
      <c r="Q270" s="11" t="str">
        <f t="shared" ca="1" si="49"/>
        <v/>
      </c>
      <c r="R270" s="12" t="str">
        <f t="shared" ca="1" si="50"/>
        <v/>
      </c>
      <c r="T270" s="31" t="str">
        <f t="shared" ca="1" si="59"/>
        <v/>
      </c>
    </row>
    <row r="271" spans="1:20">
      <c r="A271" s="198" t="str">
        <f ca="1">'PRICE_IOF Ñ USAR'!A271</f>
        <v/>
      </c>
      <c r="B271" s="197" t="str">
        <f ca="1">'PRICE_IOF Ñ USAR'!B271</f>
        <v/>
      </c>
      <c r="C271" s="196" t="str">
        <f t="shared" ca="1" si="51"/>
        <v/>
      </c>
      <c r="D271" s="21" t="str">
        <f t="shared" ca="1" si="57"/>
        <v/>
      </c>
      <c r="E271" s="196" t="str">
        <f t="shared" ca="1" si="52"/>
        <v/>
      </c>
      <c r="F271" s="178" t="str">
        <f t="shared" ca="1" si="53"/>
        <v/>
      </c>
      <c r="G271" s="178" t="str">
        <f t="shared" ca="1" si="54"/>
        <v/>
      </c>
      <c r="H271" s="177" t="str">
        <f t="shared" ca="1" si="55"/>
        <v/>
      </c>
      <c r="I271" s="196"/>
      <c r="J271" s="9" t="str">
        <f t="shared" ca="1" si="45"/>
        <v/>
      </c>
      <c r="K271" s="9" t="str">
        <f t="shared" ca="1" si="46"/>
        <v/>
      </c>
      <c r="L271" s="9" t="str">
        <f t="shared" ca="1" si="47"/>
        <v/>
      </c>
      <c r="N271" s="176" t="str">
        <f t="shared" ca="1" si="56"/>
        <v/>
      </c>
      <c r="O271" s="176" t="str">
        <f t="shared" ca="1" si="58"/>
        <v/>
      </c>
      <c r="P271" s="175" t="str">
        <f t="shared" ca="1" si="48"/>
        <v/>
      </c>
      <c r="Q271" s="11" t="str">
        <f t="shared" ca="1" si="49"/>
        <v/>
      </c>
      <c r="R271" s="12" t="str">
        <f t="shared" ca="1" si="50"/>
        <v/>
      </c>
      <c r="T271" s="31" t="str">
        <f t="shared" ca="1" si="59"/>
        <v/>
      </c>
    </row>
    <row r="272" spans="1:20">
      <c r="A272" s="198" t="str">
        <f ca="1">'PRICE_IOF Ñ USAR'!A272</f>
        <v/>
      </c>
      <c r="B272" s="197" t="str">
        <f ca="1">'PRICE_IOF Ñ USAR'!B272</f>
        <v/>
      </c>
      <c r="C272" s="196" t="str">
        <f t="shared" ca="1" si="51"/>
        <v/>
      </c>
      <c r="D272" s="21" t="str">
        <f t="shared" ca="1" si="57"/>
        <v/>
      </c>
      <c r="E272" s="196" t="str">
        <f t="shared" ca="1" si="52"/>
        <v/>
      </c>
      <c r="F272" s="178" t="str">
        <f t="shared" ca="1" si="53"/>
        <v/>
      </c>
      <c r="G272" s="178" t="str">
        <f t="shared" ca="1" si="54"/>
        <v/>
      </c>
      <c r="H272" s="177" t="str">
        <f t="shared" ca="1" si="55"/>
        <v/>
      </c>
      <c r="I272" s="196"/>
      <c r="J272" s="9" t="str">
        <f t="shared" ca="1" si="45"/>
        <v/>
      </c>
      <c r="K272" s="9" t="str">
        <f t="shared" ca="1" si="46"/>
        <v/>
      </c>
      <c r="L272" s="9" t="str">
        <f t="shared" ca="1" si="47"/>
        <v/>
      </c>
      <c r="N272" s="176" t="str">
        <f t="shared" ca="1" si="56"/>
        <v/>
      </c>
      <c r="O272" s="176" t="str">
        <f t="shared" ca="1" si="58"/>
        <v/>
      </c>
      <c r="P272" s="175" t="str">
        <f t="shared" ca="1" si="48"/>
        <v/>
      </c>
      <c r="Q272" s="11" t="str">
        <f t="shared" ca="1" si="49"/>
        <v/>
      </c>
      <c r="R272" s="12" t="str">
        <f t="shared" ca="1" si="50"/>
        <v/>
      </c>
      <c r="T272" s="31" t="str">
        <f t="shared" ca="1" si="59"/>
        <v/>
      </c>
    </row>
    <row r="273" spans="1:20">
      <c r="A273" s="198" t="str">
        <f ca="1">'PRICE_IOF Ñ USAR'!A273</f>
        <v/>
      </c>
      <c r="B273" s="197" t="str">
        <f ca="1">'PRICE_IOF Ñ USAR'!B273</f>
        <v/>
      </c>
      <c r="C273" s="196" t="str">
        <f t="shared" ca="1" si="51"/>
        <v/>
      </c>
      <c r="D273" s="21" t="str">
        <f t="shared" ca="1" si="57"/>
        <v/>
      </c>
      <c r="E273" s="196" t="str">
        <f t="shared" ca="1" si="52"/>
        <v/>
      </c>
      <c r="F273" s="178" t="str">
        <f t="shared" ca="1" si="53"/>
        <v/>
      </c>
      <c r="G273" s="178" t="str">
        <f t="shared" ca="1" si="54"/>
        <v/>
      </c>
      <c r="H273" s="177" t="str">
        <f t="shared" ca="1" si="55"/>
        <v/>
      </c>
      <c r="I273" s="196"/>
      <c r="J273" s="9" t="str">
        <f t="shared" ca="1" si="45"/>
        <v/>
      </c>
      <c r="K273" s="9" t="str">
        <f t="shared" ca="1" si="46"/>
        <v/>
      </c>
      <c r="L273" s="9" t="str">
        <f t="shared" ca="1" si="47"/>
        <v/>
      </c>
      <c r="N273" s="176" t="str">
        <f t="shared" ca="1" si="56"/>
        <v/>
      </c>
      <c r="O273" s="176" t="str">
        <f t="shared" ca="1" si="58"/>
        <v/>
      </c>
      <c r="P273" s="175" t="str">
        <f t="shared" ca="1" si="48"/>
        <v/>
      </c>
      <c r="Q273" s="11" t="str">
        <f t="shared" ca="1" si="49"/>
        <v/>
      </c>
      <c r="R273" s="12" t="str">
        <f t="shared" ca="1" si="50"/>
        <v/>
      </c>
      <c r="T273" s="31" t="str">
        <f t="shared" ca="1" si="59"/>
        <v/>
      </c>
    </row>
    <row r="274" spans="1:20">
      <c r="A274" s="198" t="str">
        <f ca="1">'PRICE_IOF Ñ USAR'!A274</f>
        <v/>
      </c>
      <c r="B274" s="197" t="str">
        <f ca="1">'PRICE_IOF Ñ USAR'!B274</f>
        <v/>
      </c>
      <c r="C274" s="196" t="str">
        <f t="shared" ca="1" si="51"/>
        <v/>
      </c>
      <c r="D274" s="21" t="str">
        <f t="shared" ca="1" si="57"/>
        <v/>
      </c>
      <c r="E274" s="196" t="str">
        <f t="shared" ca="1" si="52"/>
        <v/>
      </c>
      <c r="F274" s="178" t="str">
        <f t="shared" ca="1" si="53"/>
        <v/>
      </c>
      <c r="G274" s="178" t="str">
        <f t="shared" ca="1" si="54"/>
        <v/>
      </c>
      <c r="H274" s="177" t="str">
        <f t="shared" ca="1" si="55"/>
        <v/>
      </c>
      <c r="I274" s="196"/>
      <c r="J274" s="9" t="str">
        <f t="shared" ref="J274:J339" ca="1" si="60">IF(A274="I","Carencia",IF(A274&lt;=$C$12,"Carencia",""))</f>
        <v/>
      </c>
      <c r="K274" s="9" t="str">
        <f t="shared" ref="K274:K337" ca="1" si="61">IF(L274=$C$13,"Pula","")</f>
        <v/>
      </c>
      <c r="L274" s="9" t="str">
        <f t="shared" ref="L274:L339" ca="1" si="62">IFERROR(MONTH(B274),"")</f>
        <v/>
      </c>
      <c r="N274" s="176" t="str">
        <f t="shared" ca="1" si="56"/>
        <v/>
      </c>
      <c r="O274" s="176" t="str">
        <f t="shared" ca="1" si="58"/>
        <v/>
      </c>
      <c r="P274" s="175" t="str">
        <f t="shared" ref="P274:P339" ca="1" si="63">IF(A274&lt;&gt;"",$E$18/($C$8-$C$12-$D$13),"")</f>
        <v/>
      </c>
      <c r="Q274" s="11" t="str">
        <f t="shared" ref="Q274:Q339" ca="1" si="64">IF(OR(A274="",J274="Carencia",K274="Pula"),"",IF(AND($F$5="PF",O274&lt;365),$I$3*O274,IF(AND($F$5="PF",O274&gt;365),$I$3*365,IF(AND($F$5="PJ",O274&lt;365),$I$4*O274,IF(AND($F$5="PJ",O274&gt;365),$I$4*365)))))</f>
        <v/>
      </c>
      <c r="R274" s="12" t="str">
        <f t="shared" ref="R274:R337" ca="1" si="65">IFERROR(Q274*P274,"")</f>
        <v/>
      </c>
      <c r="T274" s="31" t="str">
        <f t="shared" ca="1" si="59"/>
        <v/>
      </c>
    </row>
    <row r="275" spans="1:20">
      <c r="A275" s="198" t="str">
        <f ca="1">'PRICE_IOF Ñ USAR'!A275</f>
        <v/>
      </c>
      <c r="B275" s="197" t="str">
        <f ca="1">'PRICE_IOF Ñ USAR'!B275</f>
        <v/>
      </c>
      <c r="C275" s="196" t="str">
        <f t="shared" ref="C275:C338" ca="1" si="66">IFERROR(IF(OR(J275="Carencia",K275="Pula"),0,$I$12-D275),"")</f>
        <v/>
      </c>
      <c r="D275" s="21" t="str">
        <f t="shared" ca="1" si="57"/>
        <v/>
      </c>
      <c r="E275" s="196" t="str">
        <f t="shared" ref="E275:E338" ca="1" si="67">IFERROR(IF(OR(J275="Carencia",K275="Pula"),E274+D275+SUM(F275:H275),(E274-C275)),"")</f>
        <v/>
      </c>
      <c r="F275" s="178" t="str">
        <f t="shared" ref="F275:F339" ca="1" si="68">IFERROR(IF(OR(AND(DAY(B275)=DAY(B274),MONTH(B275)&lt;&gt;MONTH(B274)),MONTH(B275)&lt;&gt;MONTH(B274)),E274*$I$7,""),"")</f>
        <v/>
      </c>
      <c r="G275" s="178" t="str">
        <f t="shared" ref="G275:G339" ca="1" si="69">IFERROR(IF(OR(AND(DAY(B275)=DAY(B274),MONTH(B275)&lt;&gt;MONTH(B274)),MONTH(B275)&lt;&gt;MONTH(B274)),$C$11*$I$8,0),"")</f>
        <v/>
      </c>
      <c r="H275" s="177" t="str">
        <f t="shared" ref="H275:H339" ca="1" si="70">IFERROR(IF(OR(AND(DAY(B275)=DAY(B274),MONTH(B275)&lt;&gt;MONTH(B274)),MONTH(B275)&lt;&gt;MONTH(B274)),$I$10,0),"")</f>
        <v/>
      </c>
      <c r="I275" s="196"/>
      <c r="J275" s="9" t="str">
        <f t="shared" ca="1" si="60"/>
        <v/>
      </c>
      <c r="K275" s="9" t="str">
        <f t="shared" ca="1" si="61"/>
        <v/>
      </c>
      <c r="L275" s="9" t="str">
        <f t="shared" ca="1" si="62"/>
        <v/>
      </c>
      <c r="N275" s="176" t="str">
        <f t="shared" ref="N275:N339" ca="1" si="71">IFERROR(B275-B274,"")</f>
        <v/>
      </c>
      <c r="O275" s="176" t="str">
        <f t="shared" ca="1" si="58"/>
        <v/>
      </c>
      <c r="P275" s="175" t="str">
        <f t="shared" ca="1" si="63"/>
        <v/>
      </c>
      <c r="Q275" s="11" t="str">
        <f t="shared" ca="1" si="64"/>
        <v/>
      </c>
      <c r="R275" s="12" t="str">
        <f t="shared" ca="1" si="65"/>
        <v/>
      </c>
      <c r="T275" s="31" t="str">
        <f t="shared" ca="1" si="59"/>
        <v/>
      </c>
    </row>
    <row r="276" spans="1:20">
      <c r="A276" s="198" t="str">
        <f ca="1">'PRICE_IOF Ñ USAR'!A276</f>
        <v/>
      </c>
      <c r="B276" s="197" t="str">
        <f ca="1">'PRICE_IOF Ñ USAR'!B276</f>
        <v/>
      </c>
      <c r="C276" s="196" t="str">
        <f t="shared" ca="1" si="66"/>
        <v/>
      </c>
      <c r="D276" s="21" t="str">
        <f t="shared" ref="D276:D339" ca="1" si="72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ca="1" si="67"/>
        <v/>
      </c>
      <c r="F276" s="178" t="str">
        <f t="shared" ca="1" si="68"/>
        <v/>
      </c>
      <c r="G276" s="178" t="str">
        <f t="shared" ca="1" si="69"/>
        <v/>
      </c>
      <c r="H276" s="177" t="str">
        <f t="shared" ca="1" si="70"/>
        <v/>
      </c>
      <c r="I276" s="196"/>
      <c r="J276" s="9" t="str">
        <f t="shared" ca="1" si="60"/>
        <v/>
      </c>
      <c r="K276" s="9" t="str">
        <f t="shared" ca="1" si="61"/>
        <v/>
      </c>
      <c r="L276" s="9" t="str">
        <f t="shared" ca="1" si="62"/>
        <v/>
      </c>
      <c r="N276" s="176" t="str">
        <f t="shared" ca="1" si="71"/>
        <v/>
      </c>
      <c r="O276" s="176" t="str">
        <f t="shared" ref="O276:O339" ca="1" si="73">IFERROR(N276+O275,"")</f>
        <v/>
      </c>
      <c r="P276" s="175" t="str">
        <f t="shared" ca="1" si="63"/>
        <v/>
      </c>
      <c r="Q276" s="11" t="str">
        <f t="shared" ca="1" si="64"/>
        <v/>
      </c>
      <c r="R276" s="12" t="str">
        <f t="shared" ca="1" si="65"/>
        <v/>
      </c>
      <c r="T276" s="31" t="str">
        <f t="shared" ref="T276:T339" ca="1" si="74">IFERROR(IF(OR(J276="Carencia",K276="Pula"),0,C276+D276),"")</f>
        <v/>
      </c>
    </row>
    <row r="277" spans="1:20">
      <c r="A277" s="198" t="str">
        <f ca="1">'PRICE_IOF Ñ USAR'!A277</f>
        <v/>
      </c>
      <c r="B277" s="197" t="str">
        <f ca="1">'PRICE_IOF Ñ USAR'!B277</f>
        <v/>
      </c>
      <c r="C277" s="196" t="str">
        <f t="shared" ca="1" si="66"/>
        <v/>
      </c>
      <c r="D277" s="21" t="str">
        <f t="shared" ca="1" si="72"/>
        <v/>
      </c>
      <c r="E277" s="196" t="str">
        <f t="shared" ca="1" si="67"/>
        <v/>
      </c>
      <c r="F277" s="178" t="str">
        <f t="shared" ca="1" si="68"/>
        <v/>
      </c>
      <c r="G277" s="178" t="str">
        <f t="shared" ca="1" si="69"/>
        <v/>
      </c>
      <c r="H277" s="177" t="str">
        <f t="shared" ca="1" si="70"/>
        <v/>
      </c>
      <c r="I277" s="196"/>
      <c r="J277" s="9" t="str">
        <f t="shared" ca="1" si="60"/>
        <v/>
      </c>
      <c r="K277" s="9" t="str">
        <f t="shared" ca="1" si="61"/>
        <v/>
      </c>
      <c r="L277" s="9" t="str">
        <f t="shared" ca="1" si="62"/>
        <v/>
      </c>
      <c r="N277" s="176" t="str">
        <f t="shared" ca="1" si="71"/>
        <v/>
      </c>
      <c r="O277" s="176" t="str">
        <f t="shared" ca="1" si="73"/>
        <v/>
      </c>
      <c r="P277" s="175" t="str">
        <f t="shared" ca="1" si="63"/>
        <v/>
      </c>
      <c r="Q277" s="11" t="str">
        <f t="shared" ca="1" si="64"/>
        <v/>
      </c>
      <c r="R277" s="12" t="str">
        <f t="shared" ca="1" si="65"/>
        <v/>
      </c>
      <c r="T277" s="31" t="str">
        <f t="shared" ca="1" si="74"/>
        <v/>
      </c>
    </row>
    <row r="278" spans="1:20">
      <c r="A278" s="198" t="str">
        <f ca="1">'PRICE_IOF Ñ USAR'!A278</f>
        <v/>
      </c>
      <c r="B278" s="197" t="str">
        <f ca="1">'PRICE_IOF Ñ USAR'!B278</f>
        <v/>
      </c>
      <c r="C278" s="196" t="str">
        <f t="shared" ca="1" si="66"/>
        <v/>
      </c>
      <c r="D278" s="21" t="str">
        <f t="shared" ca="1" si="72"/>
        <v/>
      </c>
      <c r="E278" s="196" t="str">
        <f t="shared" ca="1" si="67"/>
        <v/>
      </c>
      <c r="F278" s="178" t="str">
        <f t="shared" ca="1" si="68"/>
        <v/>
      </c>
      <c r="G278" s="178" t="str">
        <f t="shared" ca="1" si="69"/>
        <v/>
      </c>
      <c r="H278" s="177" t="str">
        <f t="shared" ca="1" si="70"/>
        <v/>
      </c>
      <c r="I278" s="196"/>
      <c r="J278" s="9" t="str">
        <f t="shared" ca="1" si="60"/>
        <v/>
      </c>
      <c r="K278" s="9" t="str">
        <f t="shared" ca="1" si="61"/>
        <v/>
      </c>
      <c r="L278" s="9" t="str">
        <f t="shared" ca="1" si="62"/>
        <v/>
      </c>
      <c r="N278" s="176" t="str">
        <f t="shared" ca="1" si="71"/>
        <v/>
      </c>
      <c r="O278" s="176" t="str">
        <f t="shared" ca="1" si="73"/>
        <v/>
      </c>
      <c r="P278" s="175" t="str">
        <f t="shared" ca="1" si="63"/>
        <v/>
      </c>
      <c r="Q278" s="11" t="str">
        <f t="shared" ca="1" si="64"/>
        <v/>
      </c>
      <c r="R278" s="12" t="str">
        <f t="shared" ca="1" si="65"/>
        <v/>
      </c>
      <c r="T278" s="31" t="str">
        <f t="shared" ca="1" si="74"/>
        <v/>
      </c>
    </row>
    <row r="279" spans="1:20">
      <c r="A279" s="198" t="str">
        <f ca="1">'PRICE_IOF Ñ USAR'!A279</f>
        <v/>
      </c>
      <c r="B279" s="197" t="str">
        <f ca="1">'PRICE_IOF Ñ USAR'!B279</f>
        <v/>
      </c>
      <c r="C279" s="196" t="str">
        <f t="shared" ca="1" si="66"/>
        <v/>
      </c>
      <c r="D279" s="21" t="str">
        <f t="shared" ca="1" si="72"/>
        <v/>
      </c>
      <c r="E279" s="196" t="str">
        <f t="shared" ca="1" si="67"/>
        <v/>
      </c>
      <c r="F279" s="178" t="str">
        <f t="shared" ca="1" si="68"/>
        <v/>
      </c>
      <c r="G279" s="178" t="str">
        <f t="shared" ca="1" si="69"/>
        <v/>
      </c>
      <c r="H279" s="177" t="str">
        <f t="shared" ca="1" si="70"/>
        <v/>
      </c>
      <c r="I279" s="196"/>
      <c r="J279" s="9" t="str">
        <f t="shared" ca="1" si="60"/>
        <v/>
      </c>
      <c r="K279" s="9" t="str">
        <f t="shared" ca="1" si="61"/>
        <v/>
      </c>
      <c r="L279" s="9" t="str">
        <f t="shared" ca="1" si="62"/>
        <v/>
      </c>
      <c r="N279" s="176" t="str">
        <f t="shared" ca="1" si="71"/>
        <v/>
      </c>
      <c r="O279" s="176" t="str">
        <f t="shared" ca="1" si="73"/>
        <v/>
      </c>
      <c r="P279" s="175" t="str">
        <f t="shared" ca="1" si="63"/>
        <v/>
      </c>
      <c r="Q279" s="11" t="str">
        <f t="shared" ca="1" si="64"/>
        <v/>
      </c>
      <c r="R279" s="12" t="str">
        <f t="shared" ca="1" si="65"/>
        <v/>
      </c>
      <c r="T279" s="31" t="str">
        <f t="shared" ca="1" si="74"/>
        <v/>
      </c>
    </row>
    <row r="280" spans="1:20">
      <c r="A280" s="198" t="str">
        <f ca="1">'PRICE_IOF Ñ USAR'!A280</f>
        <v/>
      </c>
      <c r="B280" s="197" t="str">
        <f ca="1">'PRICE_IOF Ñ USAR'!B280</f>
        <v/>
      </c>
      <c r="C280" s="196" t="str">
        <f t="shared" ca="1" si="66"/>
        <v/>
      </c>
      <c r="D280" s="21" t="str">
        <f t="shared" ca="1" si="72"/>
        <v/>
      </c>
      <c r="E280" s="196" t="str">
        <f t="shared" ca="1" si="67"/>
        <v/>
      </c>
      <c r="F280" s="178" t="str">
        <f t="shared" ca="1" si="68"/>
        <v/>
      </c>
      <c r="G280" s="178" t="str">
        <f t="shared" ca="1" si="69"/>
        <v/>
      </c>
      <c r="H280" s="177" t="str">
        <f t="shared" ca="1" si="70"/>
        <v/>
      </c>
      <c r="I280" s="196"/>
      <c r="J280" s="9" t="str">
        <f t="shared" ca="1" si="60"/>
        <v/>
      </c>
      <c r="K280" s="9" t="str">
        <f t="shared" ca="1" si="61"/>
        <v/>
      </c>
      <c r="L280" s="9" t="str">
        <f t="shared" ca="1" si="62"/>
        <v/>
      </c>
      <c r="N280" s="176" t="str">
        <f t="shared" ca="1" si="71"/>
        <v/>
      </c>
      <c r="O280" s="176" t="str">
        <f t="shared" ca="1" si="73"/>
        <v/>
      </c>
      <c r="P280" s="175" t="str">
        <f t="shared" ca="1" si="63"/>
        <v/>
      </c>
      <c r="Q280" s="11" t="str">
        <f t="shared" ca="1" si="64"/>
        <v/>
      </c>
      <c r="R280" s="12" t="str">
        <f t="shared" ca="1" si="65"/>
        <v/>
      </c>
      <c r="T280" s="31" t="str">
        <f t="shared" ca="1" si="74"/>
        <v/>
      </c>
    </row>
    <row r="281" spans="1:20">
      <c r="A281" s="198" t="str">
        <f ca="1">'PRICE_IOF Ñ USAR'!A281</f>
        <v/>
      </c>
      <c r="B281" s="197" t="str">
        <f ca="1">'PRICE_IOF Ñ USAR'!B281</f>
        <v/>
      </c>
      <c r="C281" s="196" t="str">
        <f t="shared" ca="1" si="66"/>
        <v/>
      </c>
      <c r="D281" s="21" t="str">
        <f t="shared" ca="1" si="72"/>
        <v/>
      </c>
      <c r="E281" s="196" t="str">
        <f t="shared" ca="1" si="67"/>
        <v/>
      </c>
      <c r="F281" s="178" t="str">
        <f t="shared" ca="1" si="68"/>
        <v/>
      </c>
      <c r="G281" s="178" t="str">
        <f t="shared" ca="1" si="69"/>
        <v/>
      </c>
      <c r="H281" s="177" t="str">
        <f t="shared" ca="1" si="70"/>
        <v/>
      </c>
      <c r="I281" s="196"/>
      <c r="J281" s="9" t="str">
        <f t="shared" ca="1" si="60"/>
        <v/>
      </c>
      <c r="K281" s="9" t="str">
        <f t="shared" ca="1" si="61"/>
        <v/>
      </c>
      <c r="L281" s="9" t="str">
        <f t="shared" ca="1" si="62"/>
        <v/>
      </c>
      <c r="N281" s="176" t="str">
        <f t="shared" ca="1" si="71"/>
        <v/>
      </c>
      <c r="O281" s="176" t="str">
        <f t="shared" ca="1" si="73"/>
        <v/>
      </c>
      <c r="P281" s="175" t="str">
        <f t="shared" ca="1" si="63"/>
        <v/>
      </c>
      <c r="Q281" s="11" t="str">
        <f t="shared" ca="1" si="64"/>
        <v/>
      </c>
      <c r="R281" s="12" t="str">
        <f t="shared" ca="1" si="65"/>
        <v/>
      </c>
      <c r="T281" s="31" t="str">
        <f t="shared" ca="1" si="74"/>
        <v/>
      </c>
    </row>
    <row r="282" spans="1:20">
      <c r="A282" s="198" t="str">
        <f ca="1">'PRICE_IOF Ñ USAR'!A282</f>
        <v/>
      </c>
      <c r="B282" s="197" t="str">
        <f ca="1">'PRICE_IOF Ñ USAR'!B282</f>
        <v/>
      </c>
      <c r="C282" s="196" t="str">
        <f t="shared" ca="1" si="66"/>
        <v/>
      </c>
      <c r="D282" s="21" t="str">
        <f t="shared" ca="1" si="72"/>
        <v/>
      </c>
      <c r="E282" s="196" t="str">
        <f t="shared" ca="1" si="67"/>
        <v/>
      </c>
      <c r="F282" s="178" t="str">
        <f t="shared" ca="1" si="68"/>
        <v/>
      </c>
      <c r="G282" s="178" t="str">
        <f t="shared" ca="1" si="69"/>
        <v/>
      </c>
      <c r="H282" s="177" t="str">
        <f t="shared" ca="1" si="70"/>
        <v/>
      </c>
      <c r="I282" s="196"/>
      <c r="J282" s="9" t="str">
        <f t="shared" ca="1" si="60"/>
        <v/>
      </c>
      <c r="K282" s="9" t="str">
        <f t="shared" ca="1" si="61"/>
        <v/>
      </c>
      <c r="L282" s="9" t="str">
        <f t="shared" ca="1" si="62"/>
        <v/>
      </c>
      <c r="N282" s="176" t="str">
        <f t="shared" ca="1" si="71"/>
        <v/>
      </c>
      <c r="O282" s="176" t="str">
        <f t="shared" ca="1" si="73"/>
        <v/>
      </c>
      <c r="P282" s="175" t="str">
        <f t="shared" ca="1" si="63"/>
        <v/>
      </c>
      <c r="Q282" s="11" t="str">
        <f t="shared" ca="1" si="64"/>
        <v/>
      </c>
      <c r="R282" s="12" t="str">
        <f t="shared" ca="1" si="65"/>
        <v/>
      </c>
      <c r="T282" s="31" t="str">
        <f t="shared" ca="1" si="74"/>
        <v/>
      </c>
    </row>
    <row r="283" spans="1:20">
      <c r="A283" s="198" t="str">
        <f ca="1">'PRICE_IOF Ñ USAR'!A283</f>
        <v/>
      </c>
      <c r="B283" s="197" t="str">
        <f ca="1">'PRICE_IOF Ñ USAR'!B283</f>
        <v/>
      </c>
      <c r="C283" s="196" t="str">
        <f t="shared" ca="1" si="66"/>
        <v/>
      </c>
      <c r="D283" s="21" t="str">
        <f t="shared" ca="1" si="72"/>
        <v/>
      </c>
      <c r="E283" s="196" t="str">
        <f t="shared" ca="1" si="67"/>
        <v/>
      </c>
      <c r="F283" s="178" t="str">
        <f t="shared" ca="1" si="68"/>
        <v/>
      </c>
      <c r="G283" s="178" t="str">
        <f t="shared" ca="1" si="69"/>
        <v/>
      </c>
      <c r="H283" s="177" t="str">
        <f t="shared" ca="1" si="70"/>
        <v/>
      </c>
      <c r="I283" s="196"/>
      <c r="J283" s="9" t="str">
        <f t="shared" ca="1" si="60"/>
        <v/>
      </c>
      <c r="K283" s="9" t="str">
        <f t="shared" ca="1" si="61"/>
        <v/>
      </c>
      <c r="L283" s="9" t="str">
        <f t="shared" ca="1" si="62"/>
        <v/>
      </c>
      <c r="N283" s="176" t="str">
        <f t="shared" ca="1" si="71"/>
        <v/>
      </c>
      <c r="O283" s="176" t="str">
        <f t="shared" ca="1" si="73"/>
        <v/>
      </c>
      <c r="P283" s="175" t="str">
        <f t="shared" ca="1" si="63"/>
        <v/>
      </c>
      <c r="Q283" s="11" t="str">
        <f t="shared" ca="1" si="64"/>
        <v/>
      </c>
      <c r="R283" s="12" t="str">
        <f t="shared" ca="1" si="65"/>
        <v/>
      </c>
      <c r="T283" s="31" t="str">
        <f t="shared" ca="1" si="74"/>
        <v/>
      </c>
    </row>
    <row r="284" spans="1:20">
      <c r="A284" s="198" t="str">
        <f ca="1">'PRICE_IOF Ñ USAR'!A284</f>
        <v/>
      </c>
      <c r="B284" s="197" t="str">
        <f ca="1">'PRICE_IOF Ñ USAR'!B284</f>
        <v/>
      </c>
      <c r="C284" s="196" t="str">
        <f t="shared" ca="1" si="66"/>
        <v/>
      </c>
      <c r="D284" s="21" t="str">
        <f t="shared" ca="1" si="72"/>
        <v/>
      </c>
      <c r="E284" s="196" t="str">
        <f t="shared" ca="1" si="67"/>
        <v/>
      </c>
      <c r="F284" s="178" t="str">
        <f t="shared" ca="1" si="68"/>
        <v/>
      </c>
      <c r="G284" s="178" t="str">
        <f t="shared" ca="1" si="69"/>
        <v/>
      </c>
      <c r="H284" s="177" t="str">
        <f t="shared" ca="1" si="70"/>
        <v/>
      </c>
      <c r="I284" s="196"/>
      <c r="J284" s="9" t="str">
        <f t="shared" ca="1" si="60"/>
        <v/>
      </c>
      <c r="K284" s="9" t="str">
        <f t="shared" ca="1" si="61"/>
        <v/>
      </c>
      <c r="L284" s="9" t="str">
        <f t="shared" ca="1" si="62"/>
        <v/>
      </c>
      <c r="N284" s="176" t="str">
        <f t="shared" ca="1" si="71"/>
        <v/>
      </c>
      <c r="O284" s="176" t="str">
        <f t="shared" ca="1" si="73"/>
        <v/>
      </c>
      <c r="P284" s="175" t="str">
        <f t="shared" ca="1" si="63"/>
        <v/>
      </c>
      <c r="Q284" s="11" t="str">
        <f t="shared" ca="1" si="64"/>
        <v/>
      </c>
      <c r="R284" s="12" t="str">
        <f t="shared" ca="1" si="65"/>
        <v/>
      </c>
      <c r="T284" s="31" t="str">
        <f t="shared" ca="1" si="74"/>
        <v/>
      </c>
    </row>
    <row r="285" spans="1:20">
      <c r="A285" s="198" t="str">
        <f ca="1">'PRICE_IOF Ñ USAR'!A285</f>
        <v/>
      </c>
      <c r="B285" s="197" t="str">
        <f ca="1">'PRICE_IOF Ñ USAR'!B285</f>
        <v/>
      </c>
      <c r="C285" s="196" t="str">
        <f t="shared" ca="1" si="66"/>
        <v/>
      </c>
      <c r="D285" s="21" t="str">
        <f t="shared" ca="1" si="72"/>
        <v/>
      </c>
      <c r="E285" s="196" t="str">
        <f t="shared" ca="1" si="67"/>
        <v/>
      </c>
      <c r="F285" s="178" t="str">
        <f t="shared" ca="1" si="68"/>
        <v/>
      </c>
      <c r="G285" s="178" t="str">
        <f t="shared" ca="1" si="69"/>
        <v/>
      </c>
      <c r="H285" s="177" t="str">
        <f t="shared" ca="1" si="70"/>
        <v/>
      </c>
      <c r="I285" s="196"/>
      <c r="J285" s="9" t="str">
        <f t="shared" ca="1" si="60"/>
        <v/>
      </c>
      <c r="K285" s="9" t="str">
        <f t="shared" ca="1" si="61"/>
        <v/>
      </c>
      <c r="L285" s="9" t="str">
        <f t="shared" ca="1" si="62"/>
        <v/>
      </c>
      <c r="N285" s="176" t="str">
        <f t="shared" ca="1" si="71"/>
        <v/>
      </c>
      <c r="O285" s="176" t="str">
        <f t="shared" ca="1" si="73"/>
        <v/>
      </c>
      <c r="P285" s="175" t="str">
        <f t="shared" ca="1" si="63"/>
        <v/>
      </c>
      <c r="Q285" s="11" t="str">
        <f t="shared" ca="1" si="64"/>
        <v/>
      </c>
      <c r="R285" s="12" t="str">
        <f t="shared" ca="1" si="65"/>
        <v/>
      </c>
      <c r="T285" s="31" t="str">
        <f t="shared" ca="1" si="74"/>
        <v/>
      </c>
    </row>
    <row r="286" spans="1:20">
      <c r="A286" s="198" t="str">
        <f ca="1">'PRICE_IOF Ñ USAR'!A286</f>
        <v/>
      </c>
      <c r="B286" s="197" t="str">
        <f ca="1">'PRICE_IOF Ñ USAR'!B286</f>
        <v/>
      </c>
      <c r="C286" s="196" t="str">
        <f t="shared" ca="1" si="66"/>
        <v/>
      </c>
      <c r="D286" s="21" t="str">
        <f t="shared" ca="1" si="72"/>
        <v/>
      </c>
      <c r="E286" s="196" t="str">
        <f t="shared" ca="1" si="67"/>
        <v/>
      </c>
      <c r="F286" s="178" t="str">
        <f t="shared" ca="1" si="68"/>
        <v/>
      </c>
      <c r="G286" s="178" t="str">
        <f t="shared" ca="1" si="69"/>
        <v/>
      </c>
      <c r="H286" s="177" t="str">
        <f t="shared" ca="1" si="70"/>
        <v/>
      </c>
      <c r="I286" s="196"/>
      <c r="J286" s="9" t="str">
        <f t="shared" ca="1" si="60"/>
        <v/>
      </c>
      <c r="K286" s="9" t="str">
        <f t="shared" ca="1" si="61"/>
        <v/>
      </c>
      <c r="L286" s="9" t="str">
        <f t="shared" ca="1" si="62"/>
        <v/>
      </c>
      <c r="N286" s="176" t="str">
        <f t="shared" ca="1" si="71"/>
        <v/>
      </c>
      <c r="O286" s="176" t="str">
        <f t="shared" ca="1" si="73"/>
        <v/>
      </c>
      <c r="P286" s="175" t="str">
        <f t="shared" ca="1" si="63"/>
        <v/>
      </c>
      <c r="Q286" s="11" t="str">
        <f t="shared" ca="1" si="64"/>
        <v/>
      </c>
      <c r="R286" s="12" t="str">
        <f t="shared" ca="1" si="65"/>
        <v/>
      </c>
      <c r="T286" s="31" t="str">
        <f t="shared" ca="1" si="74"/>
        <v/>
      </c>
    </row>
    <row r="287" spans="1:20">
      <c r="A287" s="198" t="str">
        <f ca="1">'PRICE_IOF Ñ USAR'!A287</f>
        <v/>
      </c>
      <c r="B287" s="197" t="str">
        <f ca="1">'PRICE_IOF Ñ USAR'!B287</f>
        <v/>
      </c>
      <c r="C287" s="196" t="str">
        <f t="shared" ca="1" si="66"/>
        <v/>
      </c>
      <c r="D287" s="21" t="str">
        <f t="shared" ca="1" si="72"/>
        <v/>
      </c>
      <c r="E287" s="196" t="str">
        <f t="shared" ca="1" si="67"/>
        <v/>
      </c>
      <c r="F287" s="178" t="str">
        <f t="shared" ca="1" si="68"/>
        <v/>
      </c>
      <c r="G287" s="178" t="str">
        <f t="shared" ca="1" si="69"/>
        <v/>
      </c>
      <c r="H287" s="177" t="str">
        <f t="shared" ca="1" si="70"/>
        <v/>
      </c>
      <c r="I287" s="196"/>
      <c r="J287" s="9" t="str">
        <f t="shared" ca="1" si="60"/>
        <v/>
      </c>
      <c r="K287" s="9" t="str">
        <f t="shared" ca="1" si="61"/>
        <v/>
      </c>
      <c r="L287" s="9" t="str">
        <f t="shared" ca="1" si="62"/>
        <v/>
      </c>
      <c r="N287" s="176" t="str">
        <f t="shared" ca="1" si="71"/>
        <v/>
      </c>
      <c r="O287" s="176" t="str">
        <f t="shared" ca="1" si="73"/>
        <v/>
      </c>
      <c r="P287" s="175" t="str">
        <f t="shared" ca="1" si="63"/>
        <v/>
      </c>
      <c r="Q287" s="11" t="str">
        <f t="shared" ca="1" si="64"/>
        <v/>
      </c>
      <c r="R287" s="12" t="str">
        <f t="shared" ca="1" si="65"/>
        <v/>
      </c>
      <c r="T287" s="31" t="str">
        <f t="shared" ca="1" si="74"/>
        <v/>
      </c>
    </row>
    <row r="288" spans="1:20">
      <c r="A288" s="198" t="str">
        <f ca="1">'PRICE_IOF Ñ USAR'!A288</f>
        <v/>
      </c>
      <c r="B288" s="197" t="str">
        <f ca="1">'PRICE_IOF Ñ USAR'!B288</f>
        <v/>
      </c>
      <c r="C288" s="196" t="str">
        <f t="shared" ca="1" si="66"/>
        <v/>
      </c>
      <c r="D288" s="21" t="str">
        <f t="shared" ca="1" si="72"/>
        <v/>
      </c>
      <c r="E288" s="196" t="str">
        <f t="shared" ca="1" si="67"/>
        <v/>
      </c>
      <c r="F288" s="178" t="str">
        <f t="shared" ca="1" si="68"/>
        <v/>
      </c>
      <c r="G288" s="178" t="str">
        <f t="shared" ca="1" si="69"/>
        <v/>
      </c>
      <c r="H288" s="177" t="str">
        <f t="shared" ca="1" si="70"/>
        <v/>
      </c>
      <c r="I288" s="196"/>
      <c r="J288" s="9" t="str">
        <f t="shared" ca="1" si="60"/>
        <v/>
      </c>
      <c r="K288" s="9" t="str">
        <f t="shared" ca="1" si="61"/>
        <v/>
      </c>
      <c r="L288" s="9" t="str">
        <f t="shared" ca="1" si="62"/>
        <v/>
      </c>
      <c r="N288" s="176" t="str">
        <f t="shared" ca="1" si="71"/>
        <v/>
      </c>
      <c r="O288" s="176" t="str">
        <f t="shared" ca="1" si="73"/>
        <v/>
      </c>
      <c r="P288" s="175" t="str">
        <f t="shared" ca="1" si="63"/>
        <v/>
      </c>
      <c r="Q288" s="11" t="str">
        <f t="shared" ca="1" si="64"/>
        <v/>
      </c>
      <c r="R288" s="12" t="str">
        <f t="shared" ca="1" si="65"/>
        <v/>
      </c>
      <c r="T288" s="31" t="str">
        <f t="shared" ca="1" si="74"/>
        <v/>
      </c>
    </row>
    <row r="289" spans="1:20">
      <c r="A289" s="198" t="str">
        <f ca="1">'PRICE_IOF Ñ USAR'!A289</f>
        <v/>
      </c>
      <c r="B289" s="197" t="str">
        <f ca="1">'PRICE_IOF Ñ USAR'!B289</f>
        <v/>
      </c>
      <c r="C289" s="196" t="str">
        <f t="shared" ca="1" si="66"/>
        <v/>
      </c>
      <c r="D289" s="21" t="str">
        <f t="shared" ca="1" si="72"/>
        <v/>
      </c>
      <c r="E289" s="196" t="str">
        <f t="shared" ca="1" si="67"/>
        <v/>
      </c>
      <c r="F289" s="178" t="str">
        <f t="shared" ca="1" si="68"/>
        <v/>
      </c>
      <c r="G289" s="178" t="str">
        <f t="shared" ca="1" si="69"/>
        <v/>
      </c>
      <c r="H289" s="177" t="str">
        <f t="shared" ca="1" si="70"/>
        <v/>
      </c>
      <c r="I289" s="196"/>
      <c r="J289" s="9" t="str">
        <f t="shared" ca="1" si="60"/>
        <v/>
      </c>
      <c r="K289" s="9" t="str">
        <f t="shared" ca="1" si="61"/>
        <v/>
      </c>
      <c r="L289" s="9" t="str">
        <f t="shared" ca="1" si="62"/>
        <v/>
      </c>
      <c r="N289" s="176" t="str">
        <f t="shared" ca="1" si="71"/>
        <v/>
      </c>
      <c r="O289" s="176" t="str">
        <f t="shared" ca="1" si="73"/>
        <v/>
      </c>
      <c r="P289" s="175" t="str">
        <f t="shared" ca="1" si="63"/>
        <v/>
      </c>
      <c r="Q289" s="11" t="str">
        <f t="shared" ca="1" si="64"/>
        <v/>
      </c>
      <c r="R289" s="12" t="str">
        <f t="shared" ca="1" si="65"/>
        <v/>
      </c>
      <c r="T289" s="31" t="str">
        <f t="shared" ca="1" si="74"/>
        <v/>
      </c>
    </row>
    <row r="290" spans="1:20">
      <c r="A290" s="198" t="str">
        <f ca="1">'PRICE_IOF Ñ USAR'!A290</f>
        <v/>
      </c>
      <c r="B290" s="197" t="str">
        <f ca="1">'PRICE_IOF Ñ USAR'!B290</f>
        <v/>
      </c>
      <c r="C290" s="196" t="str">
        <f t="shared" ca="1" si="66"/>
        <v/>
      </c>
      <c r="D290" s="21" t="str">
        <f t="shared" ca="1" si="72"/>
        <v/>
      </c>
      <c r="E290" s="196" t="str">
        <f t="shared" ca="1" si="67"/>
        <v/>
      </c>
      <c r="F290" s="178" t="str">
        <f t="shared" ca="1" si="68"/>
        <v/>
      </c>
      <c r="G290" s="178" t="str">
        <f t="shared" ca="1" si="69"/>
        <v/>
      </c>
      <c r="H290" s="177" t="str">
        <f t="shared" ca="1" si="70"/>
        <v/>
      </c>
      <c r="I290" s="196"/>
      <c r="J290" s="9" t="str">
        <f t="shared" ca="1" si="60"/>
        <v/>
      </c>
      <c r="K290" s="9" t="str">
        <f t="shared" ca="1" si="61"/>
        <v/>
      </c>
      <c r="L290" s="9" t="str">
        <f t="shared" ca="1" si="62"/>
        <v/>
      </c>
      <c r="N290" s="176" t="str">
        <f t="shared" ca="1" si="71"/>
        <v/>
      </c>
      <c r="O290" s="176" t="str">
        <f t="shared" ca="1" si="73"/>
        <v/>
      </c>
      <c r="P290" s="175" t="str">
        <f t="shared" ca="1" si="63"/>
        <v/>
      </c>
      <c r="Q290" s="11" t="str">
        <f t="shared" ca="1" si="64"/>
        <v/>
      </c>
      <c r="R290" s="12" t="str">
        <f t="shared" ca="1" si="65"/>
        <v/>
      </c>
      <c r="T290" s="31" t="str">
        <f t="shared" ca="1" si="74"/>
        <v/>
      </c>
    </row>
    <row r="291" spans="1:20">
      <c r="A291" s="198" t="str">
        <f ca="1">'PRICE_IOF Ñ USAR'!A291</f>
        <v/>
      </c>
      <c r="B291" s="197" t="str">
        <f ca="1">'PRICE_IOF Ñ USAR'!B291</f>
        <v/>
      </c>
      <c r="C291" s="196" t="str">
        <f t="shared" ca="1" si="66"/>
        <v/>
      </c>
      <c r="D291" s="21" t="str">
        <f t="shared" ca="1" si="72"/>
        <v/>
      </c>
      <c r="E291" s="196" t="str">
        <f t="shared" ca="1" si="67"/>
        <v/>
      </c>
      <c r="F291" s="178" t="str">
        <f t="shared" ca="1" si="68"/>
        <v/>
      </c>
      <c r="G291" s="178" t="str">
        <f t="shared" ca="1" si="69"/>
        <v/>
      </c>
      <c r="H291" s="177" t="str">
        <f t="shared" ca="1" si="70"/>
        <v/>
      </c>
      <c r="I291" s="196"/>
      <c r="J291" s="9" t="str">
        <f t="shared" ca="1" si="60"/>
        <v/>
      </c>
      <c r="K291" s="9" t="str">
        <f t="shared" ca="1" si="61"/>
        <v/>
      </c>
      <c r="L291" s="9" t="str">
        <f t="shared" ca="1" si="62"/>
        <v/>
      </c>
      <c r="N291" s="176" t="str">
        <f t="shared" ca="1" si="71"/>
        <v/>
      </c>
      <c r="O291" s="176" t="str">
        <f t="shared" ca="1" si="73"/>
        <v/>
      </c>
      <c r="P291" s="175" t="str">
        <f t="shared" ca="1" si="63"/>
        <v/>
      </c>
      <c r="Q291" s="11" t="str">
        <f t="shared" ca="1" si="64"/>
        <v/>
      </c>
      <c r="R291" s="12" t="str">
        <f t="shared" ca="1" si="65"/>
        <v/>
      </c>
      <c r="T291" s="31" t="str">
        <f t="shared" ca="1" si="74"/>
        <v/>
      </c>
    </row>
    <row r="292" spans="1:20">
      <c r="A292" s="198" t="str">
        <f ca="1">'PRICE_IOF Ñ USAR'!A292</f>
        <v/>
      </c>
      <c r="B292" s="197" t="str">
        <f ca="1">'PRICE_IOF Ñ USAR'!B292</f>
        <v/>
      </c>
      <c r="C292" s="196" t="str">
        <f t="shared" ca="1" si="66"/>
        <v/>
      </c>
      <c r="D292" s="21" t="str">
        <f t="shared" ca="1" si="72"/>
        <v/>
      </c>
      <c r="E292" s="196" t="str">
        <f t="shared" ca="1" si="67"/>
        <v/>
      </c>
      <c r="F292" s="178" t="str">
        <f t="shared" ca="1" si="68"/>
        <v/>
      </c>
      <c r="G292" s="178" t="str">
        <f t="shared" ca="1" si="69"/>
        <v/>
      </c>
      <c r="H292" s="177" t="str">
        <f t="shared" ca="1" si="70"/>
        <v/>
      </c>
      <c r="I292" s="196"/>
      <c r="J292" s="9" t="str">
        <f t="shared" ca="1" si="60"/>
        <v/>
      </c>
      <c r="K292" s="9" t="str">
        <f t="shared" ca="1" si="61"/>
        <v/>
      </c>
      <c r="L292" s="9" t="str">
        <f t="shared" ca="1" si="62"/>
        <v/>
      </c>
      <c r="N292" s="176" t="str">
        <f t="shared" ca="1" si="71"/>
        <v/>
      </c>
      <c r="O292" s="176" t="str">
        <f t="shared" ca="1" si="73"/>
        <v/>
      </c>
      <c r="P292" s="175" t="str">
        <f t="shared" ca="1" si="63"/>
        <v/>
      </c>
      <c r="Q292" s="11" t="str">
        <f t="shared" ca="1" si="64"/>
        <v/>
      </c>
      <c r="R292" s="12" t="str">
        <f t="shared" ca="1" si="65"/>
        <v/>
      </c>
      <c r="T292" s="31" t="str">
        <f t="shared" ca="1" si="74"/>
        <v/>
      </c>
    </row>
    <row r="293" spans="1:20">
      <c r="A293" s="198" t="str">
        <f ca="1">'PRICE_IOF Ñ USAR'!A293</f>
        <v/>
      </c>
      <c r="B293" s="197" t="str">
        <f ca="1">'PRICE_IOF Ñ USAR'!B293</f>
        <v/>
      </c>
      <c r="C293" s="196" t="str">
        <f t="shared" ca="1" si="66"/>
        <v/>
      </c>
      <c r="D293" s="21" t="str">
        <f t="shared" ca="1" si="72"/>
        <v/>
      </c>
      <c r="E293" s="196" t="str">
        <f t="shared" ca="1" si="67"/>
        <v/>
      </c>
      <c r="F293" s="178" t="str">
        <f t="shared" ca="1" si="68"/>
        <v/>
      </c>
      <c r="G293" s="178" t="str">
        <f t="shared" ca="1" si="69"/>
        <v/>
      </c>
      <c r="H293" s="177" t="str">
        <f t="shared" ca="1" si="70"/>
        <v/>
      </c>
      <c r="I293" s="196"/>
      <c r="J293" s="9" t="str">
        <f t="shared" ca="1" si="60"/>
        <v/>
      </c>
      <c r="K293" s="9" t="str">
        <f t="shared" ca="1" si="61"/>
        <v/>
      </c>
      <c r="L293" s="9" t="str">
        <f t="shared" ca="1" si="62"/>
        <v/>
      </c>
      <c r="N293" s="176" t="str">
        <f t="shared" ca="1" si="71"/>
        <v/>
      </c>
      <c r="O293" s="176" t="str">
        <f t="shared" ca="1" si="73"/>
        <v/>
      </c>
      <c r="P293" s="175" t="str">
        <f t="shared" ca="1" si="63"/>
        <v/>
      </c>
      <c r="Q293" s="11" t="str">
        <f t="shared" ca="1" si="64"/>
        <v/>
      </c>
      <c r="R293" s="12" t="str">
        <f t="shared" ca="1" si="65"/>
        <v/>
      </c>
      <c r="T293" s="31" t="str">
        <f t="shared" ca="1" si="74"/>
        <v/>
      </c>
    </row>
    <row r="294" spans="1:20">
      <c r="A294" s="198" t="str">
        <f ca="1">'PRICE_IOF Ñ USAR'!A294</f>
        <v/>
      </c>
      <c r="B294" s="197" t="str">
        <f ca="1">'PRICE_IOF Ñ USAR'!B294</f>
        <v/>
      </c>
      <c r="C294" s="196" t="str">
        <f t="shared" ca="1" si="66"/>
        <v/>
      </c>
      <c r="D294" s="21" t="str">
        <f t="shared" ca="1" si="72"/>
        <v/>
      </c>
      <c r="E294" s="196" t="str">
        <f t="shared" ca="1" si="67"/>
        <v/>
      </c>
      <c r="F294" s="178" t="str">
        <f t="shared" ca="1" si="68"/>
        <v/>
      </c>
      <c r="G294" s="178" t="str">
        <f t="shared" ca="1" si="69"/>
        <v/>
      </c>
      <c r="H294" s="177" t="str">
        <f t="shared" ca="1" si="70"/>
        <v/>
      </c>
      <c r="I294" s="196"/>
      <c r="J294" s="9" t="str">
        <f t="shared" ca="1" si="60"/>
        <v/>
      </c>
      <c r="K294" s="9" t="str">
        <f t="shared" ca="1" si="61"/>
        <v/>
      </c>
      <c r="L294" s="9" t="str">
        <f t="shared" ca="1" si="62"/>
        <v/>
      </c>
      <c r="N294" s="176" t="str">
        <f t="shared" ca="1" si="71"/>
        <v/>
      </c>
      <c r="O294" s="176" t="str">
        <f t="shared" ca="1" si="73"/>
        <v/>
      </c>
      <c r="P294" s="175" t="str">
        <f t="shared" ca="1" si="63"/>
        <v/>
      </c>
      <c r="Q294" s="11" t="str">
        <f t="shared" ca="1" si="64"/>
        <v/>
      </c>
      <c r="R294" s="12" t="str">
        <f t="shared" ca="1" si="65"/>
        <v/>
      </c>
      <c r="T294" s="31" t="str">
        <f t="shared" ca="1" si="74"/>
        <v/>
      </c>
    </row>
    <row r="295" spans="1:20">
      <c r="A295" s="198" t="str">
        <f ca="1">'PRICE_IOF Ñ USAR'!A295</f>
        <v/>
      </c>
      <c r="B295" s="197" t="str">
        <f ca="1">'PRICE_IOF Ñ USAR'!B295</f>
        <v/>
      </c>
      <c r="C295" s="196" t="str">
        <f t="shared" ca="1" si="66"/>
        <v/>
      </c>
      <c r="D295" s="21" t="str">
        <f t="shared" ca="1" si="72"/>
        <v/>
      </c>
      <c r="E295" s="196" t="str">
        <f t="shared" ca="1" si="67"/>
        <v/>
      </c>
      <c r="F295" s="178" t="str">
        <f t="shared" ca="1" si="68"/>
        <v/>
      </c>
      <c r="G295" s="178" t="str">
        <f t="shared" ca="1" si="69"/>
        <v/>
      </c>
      <c r="H295" s="177" t="str">
        <f t="shared" ca="1" si="70"/>
        <v/>
      </c>
      <c r="I295" s="196"/>
      <c r="J295" s="9" t="str">
        <f t="shared" ca="1" si="60"/>
        <v/>
      </c>
      <c r="K295" s="9" t="str">
        <f t="shared" ca="1" si="61"/>
        <v/>
      </c>
      <c r="L295" s="9" t="str">
        <f t="shared" ca="1" si="62"/>
        <v/>
      </c>
      <c r="N295" s="176" t="str">
        <f t="shared" ca="1" si="71"/>
        <v/>
      </c>
      <c r="O295" s="176" t="str">
        <f t="shared" ca="1" si="73"/>
        <v/>
      </c>
      <c r="P295" s="175" t="str">
        <f t="shared" ca="1" si="63"/>
        <v/>
      </c>
      <c r="Q295" s="11" t="str">
        <f t="shared" ca="1" si="64"/>
        <v/>
      </c>
      <c r="R295" s="12" t="str">
        <f t="shared" ca="1" si="65"/>
        <v/>
      </c>
      <c r="T295" s="31" t="str">
        <f t="shared" ca="1" si="74"/>
        <v/>
      </c>
    </row>
    <row r="296" spans="1:20">
      <c r="A296" s="198" t="str">
        <f ca="1">'PRICE_IOF Ñ USAR'!A296</f>
        <v/>
      </c>
      <c r="B296" s="197" t="str">
        <f ca="1">'PRICE_IOF Ñ USAR'!B296</f>
        <v/>
      </c>
      <c r="C296" s="196" t="str">
        <f t="shared" ca="1" si="66"/>
        <v/>
      </c>
      <c r="D296" s="21" t="str">
        <f t="shared" ca="1" si="72"/>
        <v/>
      </c>
      <c r="E296" s="196" t="str">
        <f t="shared" ca="1" si="67"/>
        <v/>
      </c>
      <c r="F296" s="178" t="str">
        <f t="shared" ca="1" si="68"/>
        <v/>
      </c>
      <c r="G296" s="178" t="str">
        <f t="shared" ca="1" si="69"/>
        <v/>
      </c>
      <c r="H296" s="177" t="str">
        <f t="shared" ca="1" si="70"/>
        <v/>
      </c>
      <c r="I296" s="196"/>
      <c r="J296" s="9" t="str">
        <f t="shared" ca="1" si="60"/>
        <v/>
      </c>
      <c r="K296" s="9" t="str">
        <f t="shared" ca="1" si="61"/>
        <v/>
      </c>
      <c r="L296" s="9" t="str">
        <f t="shared" ca="1" si="62"/>
        <v/>
      </c>
      <c r="N296" s="176" t="str">
        <f t="shared" ca="1" si="71"/>
        <v/>
      </c>
      <c r="O296" s="176" t="str">
        <f t="shared" ca="1" si="73"/>
        <v/>
      </c>
      <c r="P296" s="175" t="str">
        <f t="shared" ca="1" si="63"/>
        <v/>
      </c>
      <c r="Q296" s="11" t="str">
        <f t="shared" ca="1" si="64"/>
        <v/>
      </c>
      <c r="R296" s="12" t="str">
        <f t="shared" ca="1" si="65"/>
        <v/>
      </c>
      <c r="T296" s="31" t="str">
        <f t="shared" ca="1" si="74"/>
        <v/>
      </c>
    </row>
    <row r="297" spans="1:20">
      <c r="A297" s="198" t="str">
        <f ca="1">'PRICE_IOF Ñ USAR'!A297</f>
        <v/>
      </c>
      <c r="B297" s="197" t="str">
        <f ca="1">'PRICE_IOF Ñ USAR'!B297</f>
        <v/>
      </c>
      <c r="C297" s="196" t="str">
        <f t="shared" ca="1" si="66"/>
        <v/>
      </c>
      <c r="D297" s="21" t="str">
        <f t="shared" ca="1" si="72"/>
        <v/>
      </c>
      <c r="E297" s="196" t="str">
        <f t="shared" ca="1" si="67"/>
        <v/>
      </c>
      <c r="F297" s="178" t="str">
        <f t="shared" ca="1" si="68"/>
        <v/>
      </c>
      <c r="G297" s="178" t="str">
        <f t="shared" ca="1" si="69"/>
        <v/>
      </c>
      <c r="H297" s="177" t="str">
        <f t="shared" ca="1" si="70"/>
        <v/>
      </c>
      <c r="I297" s="196"/>
      <c r="J297" s="9" t="str">
        <f t="shared" ca="1" si="60"/>
        <v/>
      </c>
      <c r="K297" s="9" t="str">
        <f t="shared" ca="1" si="61"/>
        <v/>
      </c>
      <c r="L297" s="9" t="str">
        <f t="shared" ca="1" si="62"/>
        <v/>
      </c>
      <c r="N297" s="176" t="str">
        <f t="shared" ca="1" si="71"/>
        <v/>
      </c>
      <c r="O297" s="176" t="str">
        <f t="shared" ca="1" si="73"/>
        <v/>
      </c>
      <c r="P297" s="175" t="str">
        <f t="shared" ca="1" si="63"/>
        <v/>
      </c>
      <c r="Q297" s="11" t="str">
        <f t="shared" ca="1" si="64"/>
        <v/>
      </c>
      <c r="R297" s="12" t="str">
        <f t="shared" ca="1" si="65"/>
        <v/>
      </c>
      <c r="T297" s="31" t="str">
        <f t="shared" ca="1" si="74"/>
        <v/>
      </c>
    </row>
    <row r="298" spans="1:20">
      <c r="A298" s="198" t="str">
        <f ca="1">'PRICE_IOF Ñ USAR'!A298</f>
        <v/>
      </c>
      <c r="B298" s="197" t="str">
        <f ca="1">'PRICE_IOF Ñ USAR'!B298</f>
        <v/>
      </c>
      <c r="C298" s="196" t="str">
        <f t="shared" ca="1" si="66"/>
        <v/>
      </c>
      <c r="D298" s="21" t="str">
        <f t="shared" ca="1" si="72"/>
        <v/>
      </c>
      <c r="E298" s="196" t="str">
        <f t="shared" ca="1" si="67"/>
        <v/>
      </c>
      <c r="F298" s="178" t="str">
        <f t="shared" ca="1" si="68"/>
        <v/>
      </c>
      <c r="G298" s="178" t="str">
        <f t="shared" ca="1" si="69"/>
        <v/>
      </c>
      <c r="H298" s="177" t="str">
        <f t="shared" ca="1" si="70"/>
        <v/>
      </c>
      <c r="I298" s="196"/>
      <c r="J298" s="9" t="str">
        <f t="shared" ca="1" si="60"/>
        <v/>
      </c>
      <c r="K298" s="9" t="str">
        <f t="shared" ca="1" si="61"/>
        <v/>
      </c>
      <c r="L298" s="9" t="str">
        <f t="shared" ca="1" si="62"/>
        <v/>
      </c>
      <c r="N298" s="176" t="str">
        <f t="shared" ca="1" si="71"/>
        <v/>
      </c>
      <c r="O298" s="176" t="str">
        <f t="shared" ca="1" si="73"/>
        <v/>
      </c>
      <c r="P298" s="175" t="str">
        <f t="shared" ca="1" si="63"/>
        <v/>
      </c>
      <c r="Q298" s="11" t="str">
        <f t="shared" ca="1" si="64"/>
        <v/>
      </c>
      <c r="R298" s="12" t="str">
        <f t="shared" ca="1" si="65"/>
        <v/>
      </c>
      <c r="T298" s="31" t="str">
        <f t="shared" ca="1" si="74"/>
        <v/>
      </c>
    </row>
    <row r="299" spans="1:20">
      <c r="A299" s="198" t="str">
        <f ca="1">'PRICE_IOF Ñ USAR'!A299</f>
        <v/>
      </c>
      <c r="B299" s="197" t="str">
        <f ca="1">'PRICE_IOF Ñ USAR'!B299</f>
        <v/>
      </c>
      <c r="C299" s="196" t="str">
        <f t="shared" ca="1" si="66"/>
        <v/>
      </c>
      <c r="D299" s="21" t="str">
        <f t="shared" ca="1" si="72"/>
        <v/>
      </c>
      <c r="E299" s="196" t="str">
        <f t="shared" ca="1" si="67"/>
        <v/>
      </c>
      <c r="F299" s="178" t="str">
        <f t="shared" ca="1" si="68"/>
        <v/>
      </c>
      <c r="G299" s="178" t="str">
        <f t="shared" ca="1" si="69"/>
        <v/>
      </c>
      <c r="H299" s="177" t="str">
        <f t="shared" ca="1" si="70"/>
        <v/>
      </c>
      <c r="I299" s="196"/>
      <c r="J299" s="9" t="str">
        <f t="shared" ca="1" si="60"/>
        <v/>
      </c>
      <c r="K299" s="9" t="str">
        <f t="shared" ca="1" si="61"/>
        <v/>
      </c>
      <c r="L299" s="9" t="str">
        <f t="shared" ca="1" si="62"/>
        <v/>
      </c>
      <c r="N299" s="176" t="str">
        <f t="shared" ca="1" si="71"/>
        <v/>
      </c>
      <c r="O299" s="176" t="str">
        <f t="shared" ca="1" si="73"/>
        <v/>
      </c>
      <c r="P299" s="175" t="str">
        <f t="shared" ca="1" si="63"/>
        <v/>
      </c>
      <c r="Q299" s="11" t="str">
        <f t="shared" ca="1" si="64"/>
        <v/>
      </c>
      <c r="R299" s="12" t="str">
        <f t="shared" ca="1" si="65"/>
        <v/>
      </c>
      <c r="T299" s="31" t="str">
        <f t="shared" ca="1" si="74"/>
        <v/>
      </c>
    </row>
    <row r="300" spans="1:20">
      <c r="A300" s="198" t="str">
        <f ca="1">'PRICE_IOF Ñ USAR'!A300</f>
        <v/>
      </c>
      <c r="B300" s="197" t="str">
        <f ca="1">'PRICE_IOF Ñ USAR'!B300</f>
        <v/>
      </c>
      <c r="C300" s="196" t="str">
        <f t="shared" ca="1" si="66"/>
        <v/>
      </c>
      <c r="D300" s="21" t="str">
        <f t="shared" ca="1" si="72"/>
        <v/>
      </c>
      <c r="E300" s="196" t="str">
        <f t="shared" ca="1" si="67"/>
        <v/>
      </c>
      <c r="F300" s="178" t="str">
        <f t="shared" ca="1" si="68"/>
        <v/>
      </c>
      <c r="G300" s="178" t="str">
        <f t="shared" ca="1" si="69"/>
        <v/>
      </c>
      <c r="H300" s="177" t="str">
        <f t="shared" ca="1" si="70"/>
        <v/>
      </c>
      <c r="I300" s="196"/>
      <c r="J300" s="9" t="str">
        <f t="shared" ca="1" si="60"/>
        <v/>
      </c>
      <c r="K300" s="9" t="str">
        <f t="shared" ca="1" si="61"/>
        <v/>
      </c>
      <c r="L300" s="9" t="str">
        <f t="shared" ca="1" si="62"/>
        <v/>
      </c>
      <c r="N300" s="176" t="str">
        <f t="shared" ca="1" si="71"/>
        <v/>
      </c>
      <c r="O300" s="176" t="str">
        <f t="shared" ca="1" si="73"/>
        <v/>
      </c>
      <c r="P300" s="175" t="str">
        <f t="shared" ca="1" si="63"/>
        <v/>
      </c>
      <c r="Q300" s="11" t="str">
        <f t="shared" ca="1" si="64"/>
        <v/>
      </c>
      <c r="R300" s="12" t="str">
        <f t="shared" ca="1" si="65"/>
        <v/>
      </c>
      <c r="T300" s="31" t="str">
        <f t="shared" ca="1" si="74"/>
        <v/>
      </c>
    </row>
    <row r="301" spans="1:20">
      <c r="A301" s="198" t="str">
        <f ca="1">'PRICE_IOF Ñ USAR'!A301</f>
        <v/>
      </c>
      <c r="B301" s="197" t="str">
        <f ca="1">'PRICE_IOF Ñ USAR'!B301</f>
        <v/>
      </c>
      <c r="C301" s="196" t="str">
        <f t="shared" ca="1" si="66"/>
        <v/>
      </c>
      <c r="D301" s="21" t="str">
        <f t="shared" ca="1" si="72"/>
        <v/>
      </c>
      <c r="E301" s="196" t="str">
        <f t="shared" ca="1" si="67"/>
        <v/>
      </c>
      <c r="F301" s="178" t="str">
        <f t="shared" ca="1" si="68"/>
        <v/>
      </c>
      <c r="G301" s="178" t="str">
        <f t="shared" ca="1" si="69"/>
        <v/>
      </c>
      <c r="H301" s="177" t="str">
        <f t="shared" ca="1" si="70"/>
        <v/>
      </c>
      <c r="I301" s="196"/>
      <c r="J301" s="9" t="str">
        <f t="shared" ca="1" si="60"/>
        <v/>
      </c>
      <c r="K301" s="9" t="str">
        <f t="shared" ca="1" si="61"/>
        <v/>
      </c>
      <c r="L301" s="9" t="str">
        <f t="shared" ca="1" si="62"/>
        <v/>
      </c>
      <c r="N301" s="176" t="str">
        <f t="shared" ca="1" si="71"/>
        <v/>
      </c>
      <c r="O301" s="176" t="str">
        <f t="shared" ca="1" si="73"/>
        <v/>
      </c>
      <c r="P301" s="175" t="str">
        <f t="shared" ca="1" si="63"/>
        <v/>
      </c>
      <c r="Q301" s="11" t="str">
        <f t="shared" ca="1" si="64"/>
        <v/>
      </c>
      <c r="R301" s="12" t="str">
        <f t="shared" ca="1" si="65"/>
        <v/>
      </c>
      <c r="T301" s="31" t="str">
        <f t="shared" ca="1" si="74"/>
        <v/>
      </c>
    </row>
    <row r="302" spans="1:20">
      <c r="A302" s="198" t="str">
        <f ca="1">'PRICE_IOF Ñ USAR'!A302</f>
        <v/>
      </c>
      <c r="B302" s="197" t="str">
        <f ca="1">'PRICE_IOF Ñ USAR'!B302</f>
        <v/>
      </c>
      <c r="C302" s="196" t="str">
        <f t="shared" ca="1" si="66"/>
        <v/>
      </c>
      <c r="D302" s="21" t="str">
        <f t="shared" ca="1" si="72"/>
        <v/>
      </c>
      <c r="E302" s="196" t="str">
        <f t="shared" ca="1" si="67"/>
        <v/>
      </c>
      <c r="F302" s="178" t="str">
        <f t="shared" ca="1" si="68"/>
        <v/>
      </c>
      <c r="G302" s="178" t="str">
        <f t="shared" ca="1" si="69"/>
        <v/>
      </c>
      <c r="H302" s="177" t="str">
        <f t="shared" ca="1" si="70"/>
        <v/>
      </c>
      <c r="I302" s="196"/>
      <c r="J302" s="9" t="str">
        <f t="shared" ca="1" si="60"/>
        <v/>
      </c>
      <c r="K302" s="9" t="str">
        <f t="shared" ca="1" si="61"/>
        <v/>
      </c>
      <c r="L302" s="9" t="str">
        <f t="shared" ca="1" si="62"/>
        <v/>
      </c>
      <c r="N302" s="176" t="str">
        <f t="shared" ca="1" si="71"/>
        <v/>
      </c>
      <c r="O302" s="176" t="str">
        <f t="shared" ca="1" si="73"/>
        <v/>
      </c>
      <c r="P302" s="175" t="str">
        <f t="shared" ca="1" si="63"/>
        <v/>
      </c>
      <c r="Q302" s="11" t="str">
        <f t="shared" ca="1" si="64"/>
        <v/>
      </c>
      <c r="R302" s="12" t="str">
        <f t="shared" ca="1" si="65"/>
        <v/>
      </c>
      <c r="T302" s="31" t="str">
        <f t="shared" ca="1" si="74"/>
        <v/>
      </c>
    </row>
    <row r="303" spans="1:20">
      <c r="A303" s="198" t="str">
        <f ca="1">'PRICE_IOF Ñ USAR'!A303</f>
        <v/>
      </c>
      <c r="B303" s="197" t="str">
        <f ca="1">'PRICE_IOF Ñ USAR'!B303</f>
        <v/>
      </c>
      <c r="C303" s="196" t="str">
        <f t="shared" ca="1" si="66"/>
        <v/>
      </c>
      <c r="D303" s="21" t="str">
        <f t="shared" ca="1" si="72"/>
        <v/>
      </c>
      <c r="E303" s="196" t="str">
        <f t="shared" ca="1" si="67"/>
        <v/>
      </c>
      <c r="F303" s="178" t="str">
        <f t="shared" ca="1" si="68"/>
        <v/>
      </c>
      <c r="G303" s="178" t="str">
        <f t="shared" ca="1" si="69"/>
        <v/>
      </c>
      <c r="H303" s="177" t="str">
        <f t="shared" ca="1" si="70"/>
        <v/>
      </c>
      <c r="I303" s="196"/>
      <c r="J303" s="9" t="str">
        <f t="shared" ca="1" si="60"/>
        <v/>
      </c>
      <c r="K303" s="9" t="str">
        <f t="shared" ca="1" si="61"/>
        <v/>
      </c>
      <c r="L303" s="9" t="str">
        <f t="shared" ca="1" si="62"/>
        <v/>
      </c>
      <c r="N303" s="176" t="str">
        <f t="shared" ca="1" si="71"/>
        <v/>
      </c>
      <c r="O303" s="176" t="str">
        <f t="shared" ca="1" si="73"/>
        <v/>
      </c>
      <c r="P303" s="175" t="str">
        <f t="shared" ca="1" si="63"/>
        <v/>
      </c>
      <c r="Q303" s="11" t="str">
        <f t="shared" ca="1" si="64"/>
        <v/>
      </c>
      <c r="R303" s="12" t="str">
        <f t="shared" ca="1" si="65"/>
        <v/>
      </c>
      <c r="T303" s="31" t="str">
        <f t="shared" ca="1" si="74"/>
        <v/>
      </c>
    </row>
    <row r="304" spans="1:20">
      <c r="A304" s="198" t="str">
        <f ca="1">'PRICE_IOF Ñ USAR'!A304</f>
        <v/>
      </c>
      <c r="B304" s="197" t="str">
        <f ca="1">'PRICE_IOF Ñ USAR'!B304</f>
        <v/>
      </c>
      <c r="C304" s="196" t="str">
        <f t="shared" ca="1" si="66"/>
        <v/>
      </c>
      <c r="D304" s="21" t="str">
        <f t="shared" ca="1" si="72"/>
        <v/>
      </c>
      <c r="E304" s="196" t="str">
        <f t="shared" ca="1" si="67"/>
        <v/>
      </c>
      <c r="F304" s="178" t="str">
        <f t="shared" ca="1" si="68"/>
        <v/>
      </c>
      <c r="G304" s="178" t="str">
        <f t="shared" ca="1" si="69"/>
        <v/>
      </c>
      <c r="H304" s="177" t="str">
        <f t="shared" ca="1" si="70"/>
        <v/>
      </c>
      <c r="I304" s="196"/>
      <c r="J304" s="9" t="str">
        <f t="shared" ca="1" si="60"/>
        <v/>
      </c>
      <c r="K304" s="9" t="str">
        <f t="shared" ca="1" si="61"/>
        <v/>
      </c>
      <c r="L304" s="9" t="str">
        <f t="shared" ca="1" si="62"/>
        <v/>
      </c>
      <c r="N304" s="176" t="str">
        <f t="shared" ca="1" si="71"/>
        <v/>
      </c>
      <c r="O304" s="176" t="str">
        <f t="shared" ca="1" si="73"/>
        <v/>
      </c>
      <c r="P304" s="175" t="str">
        <f t="shared" ca="1" si="63"/>
        <v/>
      </c>
      <c r="Q304" s="11" t="str">
        <f t="shared" ca="1" si="64"/>
        <v/>
      </c>
      <c r="R304" s="12" t="str">
        <f t="shared" ca="1" si="65"/>
        <v/>
      </c>
      <c r="T304" s="31" t="str">
        <f t="shared" ca="1" si="74"/>
        <v/>
      </c>
    </row>
    <row r="305" spans="1:20">
      <c r="A305" s="198" t="str">
        <f ca="1">'PRICE_IOF Ñ USAR'!A305</f>
        <v/>
      </c>
      <c r="B305" s="197" t="str">
        <f ca="1">'PRICE_IOF Ñ USAR'!B305</f>
        <v/>
      </c>
      <c r="C305" s="196" t="str">
        <f t="shared" ca="1" si="66"/>
        <v/>
      </c>
      <c r="D305" s="21" t="str">
        <f t="shared" ca="1" si="72"/>
        <v/>
      </c>
      <c r="E305" s="196" t="str">
        <f t="shared" ca="1" si="67"/>
        <v/>
      </c>
      <c r="F305" s="178" t="str">
        <f t="shared" ca="1" si="68"/>
        <v/>
      </c>
      <c r="G305" s="178" t="str">
        <f t="shared" ca="1" si="69"/>
        <v/>
      </c>
      <c r="H305" s="177" t="str">
        <f t="shared" ca="1" si="70"/>
        <v/>
      </c>
      <c r="I305" s="196"/>
      <c r="J305" s="9" t="str">
        <f t="shared" ca="1" si="60"/>
        <v/>
      </c>
      <c r="K305" s="9" t="str">
        <f t="shared" ca="1" si="61"/>
        <v/>
      </c>
      <c r="L305" s="9" t="str">
        <f t="shared" ca="1" si="62"/>
        <v/>
      </c>
      <c r="N305" s="176" t="str">
        <f t="shared" ca="1" si="71"/>
        <v/>
      </c>
      <c r="O305" s="176" t="str">
        <f t="shared" ca="1" si="73"/>
        <v/>
      </c>
      <c r="P305" s="175" t="str">
        <f t="shared" ca="1" si="63"/>
        <v/>
      </c>
      <c r="Q305" s="11" t="str">
        <f t="shared" ca="1" si="64"/>
        <v/>
      </c>
      <c r="R305" s="12" t="str">
        <f t="shared" ca="1" si="65"/>
        <v/>
      </c>
      <c r="T305" s="31" t="str">
        <f t="shared" ca="1" si="74"/>
        <v/>
      </c>
    </row>
    <row r="306" spans="1:20">
      <c r="A306" s="198" t="str">
        <f ca="1">'PRICE_IOF Ñ USAR'!A306</f>
        <v/>
      </c>
      <c r="B306" s="197" t="str">
        <f ca="1">'PRICE_IOF Ñ USAR'!B306</f>
        <v/>
      </c>
      <c r="C306" s="196" t="str">
        <f t="shared" ca="1" si="66"/>
        <v/>
      </c>
      <c r="D306" s="21" t="str">
        <f t="shared" ca="1" si="72"/>
        <v/>
      </c>
      <c r="E306" s="196" t="str">
        <f t="shared" ca="1" si="67"/>
        <v/>
      </c>
      <c r="F306" s="178" t="str">
        <f t="shared" ca="1" si="68"/>
        <v/>
      </c>
      <c r="G306" s="178" t="str">
        <f t="shared" ca="1" si="69"/>
        <v/>
      </c>
      <c r="H306" s="177" t="str">
        <f t="shared" ca="1" si="70"/>
        <v/>
      </c>
      <c r="I306" s="196"/>
      <c r="J306" s="9" t="str">
        <f t="shared" ca="1" si="60"/>
        <v/>
      </c>
      <c r="K306" s="9" t="str">
        <f t="shared" ca="1" si="61"/>
        <v/>
      </c>
      <c r="L306" s="9" t="str">
        <f t="shared" ca="1" si="62"/>
        <v/>
      </c>
      <c r="N306" s="176" t="str">
        <f t="shared" ca="1" si="71"/>
        <v/>
      </c>
      <c r="O306" s="176" t="str">
        <f t="shared" ca="1" si="73"/>
        <v/>
      </c>
      <c r="P306" s="175" t="str">
        <f t="shared" ca="1" si="63"/>
        <v/>
      </c>
      <c r="Q306" s="11" t="str">
        <f t="shared" ca="1" si="64"/>
        <v/>
      </c>
      <c r="R306" s="12" t="str">
        <f t="shared" ca="1" si="65"/>
        <v/>
      </c>
      <c r="T306" s="31" t="str">
        <f t="shared" ca="1" si="74"/>
        <v/>
      </c>
    </row>
    <row r="307" spans="1:20">
      <c r="A307" s="198" t="str">
        <f ca="1">'PRICE_IOF Ñ USAR'!A307</f>
        <v/>
      </c>
      <c r="B307" s="197" t="str">
        <f ca="1">'PRICE_IOF Ñ USAR'!B307</f>
        <v/>
      </c>
      <c r="C307" s="196" t="str">
        <f t="shared" ca="1" si="66"/>
        <v/>
      </c>
      <c r="D307" s="21" t="str">
        <f t="shared" ca="1" si="72"/>
        <v/>
      </c>
      <c r="E307" s="196" t="str">
        <f t="shared" ca="1" si="67"/>
        <v/>
      </c>
      <c r="F307" s="178" t="str">
        <f t="shared" ca="1" si="68"/>
        <v/>
      </c>
      <c r="G307" s="178" t="str">
        <f t="shared" ca="1" si="69"/>
        <v/>
      </c>
      <c r="H307" s="177" t="str">
        <f t="shared" ca="1" si="70"/>
        <v/>
      </c>
      <c r="I307" s="196"/>
      <c r="J307" s="9" t="str">
        <f t="shared" ca="1" si="60"/>
        <v/>
      </c>
      <c r="K307" s="9" t="str">
        <f t="shared" ca="1" si="61"/>
        <v/>
      </c>
      <c r="L307" s="9" t="str">
        <f t="shared" ca="1" si="62"/>
        <v/>
      </c>
      <c r="N307" s="176" t="str">
        <f t="shared" ca="1" si="71"/>
        <v/>
      </c>
      <c r="O307" s="176" t="str">
        <f t="shared" ca="1" si="73"/>
        <v/>
      </c>
      <c r="P307" s="175" t="str">
        <f t="shared" ca="1" si="63"/>
        <v/>
      </c>
      <c r="Q307" s="11" t="str">
        <f t="shared" ca="1" si="64"/>
        <v/>
      </c>
      <c r="R307" s="12" t="str">
        <f t="shared" ca="1" si="65"/>
        <v/>
      </c>
      <c r="T307" s="31" t="str">
        <f t="shared" ca="1" si="74"/>
        <v/>
      </c>
    </row>
    <row r="308" spans="1:20">
      <c r="A308" s="198" t="str">
        <f ca="1">'PRICE_IOF Ñ USAR'!A308</f>
        <v/>
      </c>
      <c r="B308" s="197" t="str">
        <f ca="1">'PRICE_IOF Ñ USAR'!B308</f>
        <v/>
      </c>
      <c r="C308" s="196" t="str">
        <f t="shared" ca="1" si="66"/>
        <v/>
      </c>
      <c r="D308" s="21" t="str">
        <f t="shared" ca="1" si="72"/>
        <v/>
      </c>
      <c r="E308" s="196" t="str">
        <f t="shared" ca="1" si="67"/>
        <v/>
      </c>
      <c r="F308" s="178" t="str">
        <f t="shared" ca="1" si="68"/>
        <v/>
      </c>
      <c r="G308" s="178" t="str">
        <f t="shared" ca="1" si="69"/>
        <v/>
      </c>
      <c r="H308" s="177" t="str">
        <f t="shared" ca="1" si="70"/>
        <v/>
      </c>
      <c r="I308" s="196"/>
      <c r="J308" s="9" t="str">
        <f t="shared" ca="1" si="60"/>
        <v/>
      </c>
      <c r="K308" s="9" t="str">
        <f t="shared" ca="1" si="61"/>
        <v/>
      </c>
      <c r="L308" s="9" t="str">
        <f t="shared" ca="1" si="62"/>
        <v/>
      </c>
      <c r="N308" s="176" t="str">
        <f t="shared" ca="1" si="71"/>
        <v/>
      </c>
      <c r="O308" s="176" t="str">
        <f t="shared" ca="1" si="73"/>
        <v/>
      </c>
      <c r="P308" s="175" t="str">
        <f t="shared" ca="1" si="63"/>
        <v/>
      </c>
      <c r="Q308" s="11" t="str">
        <f t="shared" ca="1" si="64"/>
        <v/>
      </c>
      <c r="R308" s="12" t="str">
        <f t="shared" ca="1" si="65"/>
        <v/>
      </c>
      <c r="T308" s="31" t="str">
        <f t="shared" ca="1" si="74"/>
        <v/>
      </c>
    </row>
    <row r="309" spans="1:20">
      <c r="A309" s="198" t="str">
        <f ca="1">'PRICE_IOF Ñ USAR'!A309</f>
        <v/>
      </c>
      <c r="B309" s="197" t="str">
        <f ca="1">'PRICE_IOF Ñ USAR'!B309</f>
        <v/>
      </c>
      <c r="C309" s="196" t="str">
        <f t="shared" ca="1" si="66"/>
        <v/>
      </c>
      <c r="D309" s="21" t="str">
        <f t="shared" ca="1" si="72"/>
        <v/>
      </c>
      <c r="E309" s="196" t="str">
        <f t="shared" ca="1" si="67"/>
        <v/>
      </c>
      <c r="F309" s="178" t="str">
        <f t="shared" ca="1" si="68"/>
        <v/>
      </c>
      <c r="G309" s="178" t="str">
        <f t="shared" ca="1" si="69"/>
        <v/>
      </c>
      <c r="H309" s="177" t="str">
        <f t="shared" ca="1" si="70"/>
        <v/>
      </c>
      <c r="I309" s="196"/>
      <c r="J309" s="9" t="str">
        <f t="shared" ca="1" si="60"/>
        <v/>
      </c>
      <c r="K309" s="9" t="str">
        <f t="shared" ca="1" si="61"/>
        <v/>
      </c>
      <c r="L309" s="9" t="str">
        <f t="shared" ca="1" si="62"/>
        <v/>
      </c>
      <c r="N309" s="176" t="str">
        <f t="shared" ca="1" si="71"/>
        <v/>
      </c>
      <c r="O309" s="176" t="str">
        <f t="shared" ca="1" si="73"/>
        <v/>
      </c>
      <c r="P309" s="175" t="str">
        <f t="shared" ca="1" si="63"/>
        <v/>
      </c>
      <c r="Q309" s="11" t="str">
        <f t="shared" ca="1" si="64"/>
        <v/>
      </c>
      <c r="R309" s="12" t="str">
        <f t="shared" ca="1" si="65"/>
        <v/>
      </c>
      <c r="T309" s="31" t="str">
        <f t="shared" ca="1" si="74"/>
        <v/>
      </c>
    </row>
    <row r="310" spans="1:20">
      <c r="A310" s="198" t="str">
        <f ca="1">'PRICE_IOF Ñ USAR'!A310</f>
        <v/>
      </c>
      <c r="B310" s="197" t="str">
        <f ca="1">'PRICE_IOF Ñ USAR'!B310</f>
        <v/>
      </c>
      <c r="C310" s="196" t="str">
        <f t="shared" ca="1" si="66"/>
        <v/>
      </c>
      <c r="D310" s="21" t="str">
        <f t="shared" ca="1" si="72"/>
        <v/>
      </c>
      <c r="E310" s="196" t="str">
        <f t="shared" ca="1" si="67"/>
        <v/>
      </c>
      <c r="F310" s="178" t="str">
        <f t="shared" ca="1" si="68"/>
        <v/>
      </c>
      <c r="G310" s="178" t="str">
        <f t="shared" ca="1" si="69"/>
        <v/>
      </c>
      <c r="H310" s="177" t="str">
        <f t="shared" ca="1" si="70"/>
        <v/>
      </c>
      <c r="I310" s="196"/>
      <c r="J310" s="9" t="str">
        <f t="shared" ca="1" si="60"/>
        <v/>
      </c>
      <c r="K310" s="9" t="str">
        <f t="shared" ca="1" si="61"/>
        <v/>
      </c>
      <c r="L310" s="9" t="str">
        <f t="shared" ca="1" si="62"/>
        <v/>
      </c>
      <c r="N310" s="176" t="str">
        <f t="shared" ca="1" si="71"/>
        <v/>
      </c>
      <c r="O310" s="176" t="str">
        <f t="shared" ca="1" si="73"/>
        <v/>
      </c>
      <c r="P310" s="175" t="str">
        <f t="shared" ca="1" si="63"/>
        <v/>
      </c>
      <c r="Q310" s="11" t="str">
        <f t="shared" ca="1" si="64"/>
        <v/>
      </c>
      <c r="R310" s="12" t="str">
        <f t="shared" ca="1" si="65"/>
        <v/>
      </c>
      <c r="T310" s="31" t="str">
        <f t="shared" ca="1" si="74"/>
        <v/>
      </c>
    </row>
    <row r="311" spans="1:20">
      <c r="A311" s="198" t="str">
        <f ca="1">'PRICE_IOF Ñ USAR'!A311</f>
        <v/>
      </c>
      <c r="B311" s="197" t="str">
        <f ca="1">'PRICE_IOF Ñ USAR'!B311</f>
        <v/>
      </c>
      <c r="C311" s="196" t="str">
        <f t="shared" ca="1" si="66"/>
        <v/>
      </c>
      <c r="D311" s="21" t="str">
        <f t="shared" ca="1" si="72"/>
        <v/>
      </c>
      <c r="E311" s="196" t="str">
        <f t="shared" ca="1" si="67"/>
        <v/>
      </c>
      <c r="F311" s="178" t="str">
        <f t="shared" ca="1" si="68"/>
        <v/>
      </c>
      <c r="G311" s="178" t="str">
        <f t="shared" ca="1" si="69"/>
        <v/>
      </c>
      <c r="H311" s="177" t="str">
        <f t="shared" ca="1" si="70"/>
        <v/>
      </c>
      <c r="I311" s="196"/>
      <c r="J311" s="9" t="str">
        <f t="shared" ca="1" si="60"/>
        <v/>
      </c>
      <c r="K311" s="9" t="str">
        <f t="shared" ca="1" si="61"/>
        <v/>
      </c>
      <c r="L311" s="9" t="str">
        <f t="shared" ca="1" si="62"/>
        <v/>
      </c>
      <c r="N311" s="176" t="str">
        <f t="shared" ca="1" si="71"/>
        <v/>
      </c>
      <c r="O311" s="176" t="str">
        <f t="shared" ca="1" si="73"/>
        <v/>
      </c>
      <c r="P311" s="175" t="str">
        <f t="shared" ca="1" si="63"/>
        <v/>
      </c>
      <c r="Q311" s="11" t="str">
        <f t="shared" ca="1" si="64"/>
        <v/>
      </c>
      <c r="R311" s="12" t="str">
        <f t="shared" ca="1" si="65"/>
        <v/>
      </c>
      <c r="T311" s="31" t="str">
        <f t="shared" ca="1" si="74"/>
        <v/>
      </c>
    </row>
    <row r="312" spans="1:20">
      <c r="A312" s="198" t="str">
        <f ca="1">'PRICE_IOF Ñ USAR'!A312</f>
        <v/>
      </c>
      <c r="B312" s="197" t="str">
        <f ca="1">'PRICE_IOF Ñ USAR'!B312</f>
        <v/>
      </c>
      <c r="C312" s="196" t="str">
        <f t="shared" ca="1" si="66"/>
        <v/>
      </c>
      <c r="D312" s="21" t="str">
        <f t="shared" ca="1" si="72"/>
        <v/>
      </c>
      <c r="E312" s="196" t="str">
        <f t="shared" ca="1" si="67"/>
        <v/>
      </c>
      <c r="F312" s="178" t="str">
        <f t="shared" ca="1" si="68"/>
        <v/>
      </c>
      <c r="G312" s="178" t="str">
        <f t="shared" ca="1" si="69"/>
        <v/>
      </c>
      <c r="H312" s="177" t="str">
        <f t="shared" ca="1" si="70"/>
        <v/>
      </c>
      <c r="I312" s="196"/>
      <c r="J312" s="9" t="str">
        <f t="shared" ca="1" si="60"/>
        <v/>
      </c>
      <c r="K312" s="9" t="str">
        <f t="shared" ca="1" si="61"/>
        <v/>
      </c>
      <c r="L312" s="9" t="str">
        <f t="shared" ca="1" si="62"/>
        <v/>
      </c>
      <c r="N312" s="176" t="str">
        <f t="shared" ca="1" si="71"/>
        <v/>
      </c>
      <c r="O312" s="176" t="str">
        <f t="shared" ca="1" si="73"/>
        <v/>
      </c>
      <c r="P312" s="175" t="str">
        <f t="shared" ca="1" si="63"/>
        <v/>
      </c>
      <c r="Q312" s="11" t="str">
        <f t="shared" ca="1" si="64"/>
        <v/>
      </c>
      <c r="R312" s="12" t="str">
        <f t="shared" ca="1" si="65"/>
        <v/>
      </c>
      <c r="T312" s="31" t="str">
        <f t="shared" ca="1" si="74"/>
        <v/>
      </c>
    </row>
    <row r="313" spans="1:20">
      <c r="A313" s="198" t="str">
        <f ca="1">'PRICE_IOF Ñ USAR'!A313</f>
        <v/>
      </c>
      <c r="B313" s="197" t="str">
        <f ca="1">'PRICE_IOF Ñ USAR'!B313</f>
        <v/>
      </c>
      <c r="C313" s="196" t="str">
        <f t="shared" ca="1" si="66"/>
        <v/>
      </c>
      <c r="D313" s="21" t="str">
        <f t="shared" ca="1" si="72"/>
        <v/>
      </c>
      <c r="E313" s="196" t="str">
        <f t="shared" ca="1" si="67"/>
        <v/>
      </c>
      <c r="F313" s="178" t="str">
        <f t="shared" ca="1" si="68"/>
        <v/>
      </c>
      <c r="G313" s="178" t="str">
        <f t="shared" ca="1" si="69"/>
        <v/>
      </c>
      <c r="H313" s="177" t="str">
        <f t="shared" ca="1" si="70"/>
        <v/>
      </c>
      <c r="I313" s="196"/>
      <c r="J313" s="9" t="str">
        <f t="shared" ca="1" si="60"/>
        <v/>
      </c>
      <c r="K313" s="9" t="str">
        <f t="shared" ca="1" si="61"/>
        <v/>
      </c>
      <c r="L313" s="9" t="str">
        <f t="shared" ca="1" si="62"/>
        <v/>
      </c>
      <c r="N313" s="176" t="str">
        <f t="shared" ca="1" si="71"/>
        <v/>
      </c>
      <c r="O313" s="176" t="str">
        <f t="shared" ca="1" si="73"/>
        <v/>
      </c>
      <c r="P313" s="175" t="str">
        <f t="shared" ca="1" si="63"/>
        <v/>
      </c>
      <c r="Q313" s="11" t="str">
        <f t="shared" ca="1" si="64"/>
        <v/>
      </c>
      <c r="R313" s="12" t="str">
        <f t="shared" ca="1" si="65"/>
        <v/>
      </c>
      <c r="T313" s="31" t="str">
        <f t="shared" ca="1" si="74"/>
        <v/>
      </c>
    </row>
    <row r="314" spans="1:20">
      <c r="A314" s="198" t="str">
        <f ca="1">'PRICE_IOF Ñ USAR'!A314</f>
        <v/>
      </c>
      <c r="B314" s="197" t="str">
        <f ca="1">'PRICE_IOF Ñ USAR'!B314</f>
        <v/>
      </c>
      <c r="C314" s="196" t="str">
        <f t="shared" ca="1" si="66"/>
        <v/>
      </c>
      <c r="D314" s="21" t="str">
        <f t="shared" ca="1" si="72"/>
        <v/>
      </c>
      <c r="E314" s="196" t="str">
        <f t="shared" ca="1" si="67"/>
        <v/>
      </c>
      <c r="F314" s="178" t="str">
        <f t="shared" ca="1" si="68"/>
        <v/>
      </c>
      <c r="G314" s="178" t="str">
        <f t="shared" ca="1" si="69"/>
        <v/>
      </c>
      <c r="H314" s="177" t="str">
        <f t="shared" ca="1" si="70"/>
        <v/>
      </c>
      <c r="I314" s="196"/>
      <c r="J314" s="9" t="str">
        <f t="shared" ca="1" si="60"/>
        <v/>
      </c>
      <c r="K314" s="9" t="str">
        <f t="shared" ca="1" si="61"/>
        <v/>
      </c>
      <c r="L314" s="9" t="str">
        <f t="shared" ca="1" si="62"/>
        <v/>
      </c>
      <c r="N314" s="176" t="str">
        <f t="shared" ca="1" si="71"/>
        <v/>
      </c>
      <c r="O314" s="176" t="str">
        <f t="shared" ca="1" si="73"/>
        <v/>
      </c>
      <c r="P314" s="175" t="str">
        <f t="shared" ca="1" si="63"/>
        <v/>
      </c>
      <c r="Q314" s="11" t="str">
        <f t="shared" ca="1" si="64"/>
        <v/>
      </c>
      <c r="R314" s="12" t="str">
        <f t="shared" ca="1" si="65"/>
        <v/>
      </c>
      <c r="T314" s="31" t="str">
        <f t="shared" ca="1" si="74"/>
        <v/>
      </c>
    </row>
    <row r="315" spans="1:20">
      <c r="A315" s="198" t="str">
        <f ca="1">'PRICE_IOF Ñ USAR'!A315</f>
        <v/>
      </c>
      <c r="B315" s="197" t="str">
        <f ca="1">'PRICE_IOF Ñ USAR'!B315</f>
        <v/>
      </c>
      <c r="C315" s="196" t="str">
        <f t="shared" ca="1" si="66"/>
        <v/>
      </c>
      <c r="D315" s="21" t="str">
        <f t="shared" ca="1" si="72"/>
        <v/>
      </c>
      <c r="E315" s="196" t="str">
        <f t="shared" ca="1" si="67"/>
        <v/>
      </c>
      <c r="F315" s="178" t="str">
        <f t="shared" ca="1" si="68"/>
        <v/>
      </c>
      <c r="G315" s="178" t="str">
        <f t="shared" ca="1" si="69"/>
        <v/>
      </c>
      <c r="H315" s="177" t="str">
        <f t="shared" ca="1" si="70"/>
        <v/>
      </c>
      <c r="I315" s="196"/>
      <c r="J315" s="9" t="str">
        <f t="shared" ca="1" si="60"/>
        <v/>
      </c>
      <c r="K315" s="9" t="str">
        <f t="shared" ca="1" si="61"/>
        <v/>
      </c>
      <c r="L315" s="9" t="str">
        <f t="shared" ca="1" si="62"/>
        <v/>
      </c>
      <c r="N315" s="176" t="str">
        <f t="shared" ca="1" si="71"/>
        <v/>
      </c>
      <c r="O315" s="176" t="str">
        <f t="shared" ca="1" si="73"/>
        <v/>
      </c>
      <c r="P315" s="175" t="str">
        <f t="shared" ca="1" si="63"/>
        <v/>
      </c>
      <c r="Q315" s="11" t="str">
        <f t="shared" ca="1" si="64"/>
        <v/>
      </c>
      <c r="R315" s="12" t="str">
        <f t="shared" ca="1" si="65"/>
        <v/>
      </c>
      <c r="T315" s="31" t="str">
        <f t="shared" ca="1" si="74"/>
        <v/>
      </c>
    </row>
    <row r="316" spans="1:20">
      <c r="A316" s="198" t="str">
        <f ca="1">'PRICE_IOF Ñ USAR'!A316</f>
        <v/>
      </c>
      <c r="B316" s="197" t="str">
        <f ca="1">'PRICE_IOF Ñ USAR'!B316</f>
        <v/>
      </c>
      <c r="C316" s="196" t="str">
        <f t="shared" ca="1" si="66"/>
        <v/>
      </c>
      <c r="D316" s="21" t="str">
        <f t="shared" ca="1" si="72"/>
        <v/>
      </c>
      <c r="E316" s="196" t="str">
        <f t="shared" ca="1" si="67"/>
        <v/>
      </c>
      <c r="F316" s="178" t="str">
        <f t="shared" ca="1" si="68"/>
        <v/>
      </c>
      <c r="G316" s="178" t="str">
        <f t="shared" ca="1" si="69"/>
        <v/>
      </c>
      <c r="H316" s="177" t="str">
        <f t="shared" ca="1" si="70"/>
        <v/>
      </c>
      <c r="I316" s="196"/>
      <c r="J316" s="9" t="str">
        <f t="shared" ca="1" si="60"/>
        <v/>
      </c>
      <c r="K316" s="9" t="str">
        <f t="shared" ca="1" si="61"/>
        <v/>
      </c>
      <c r="L316" s="9" t="str">
        <f t="shared" ca="1" si="62"/>
        <v/>
      </c>
      <c r="N316" s="176" t="str">
        <f t="shared" ca="1" si="71"/>
        <v/>
      </c>
      <c r="O316" s="176" t="str">
        <f t="shared" ca="1" si="73"/>
        <v/>
      </c>
      <c r="P316" s="175" t="str">
        <f t="shared" ca="1" si="63"/>
        <v/>
      </c>
      <c r="Q316" s="11" t="str">
        <f t="shared" ca="1" si="64"/>
        <v/>
      </c>
      <c r="R316" s="12" t="str">
        <f t="shared" ca="1" si="65"/>
        <v/>
      </c>
      <c r="T316" s="31" t="str">
        <f t="shared" ca="1" si="74"/>
        <v/>
      </c>
    </row>
    <row r="317" spans="1:20">
      <c r="A317" s="198" t="str">
        <f ca="1">'PRICE_IOF Ñ USAR'!A317</f>
        <v/>
      </c>
      <c r="B317" s="197" t="str">
        <f ca="1">'PRICE_IOF Ñ USAR'!B317</f>
        <v/>
      </c>
      <c r="C317" s="196" t="str">
        <f t="shared" ca="1" si="66"/>
        <v/>
      </c>
      <c r="D317" s="21" t="str">
        <f t="shared" ca="1" si="72"/>
        <v/>
      </c>
      <c r="E317" s="196" t="str">
        <f t="shared" ca="1" si="67"/>
        <v/>
      </c>
      <c r="F317" s="178" t="str">
        <f t="shared" ca="1" si="68"/>
        <v/>
      </c>
      <c r="G317" s="178" t="str">
        <f t="shared" ca="1" si="69"/>
        <v/>
      </c>
      <c r="H317" s="177" t="str">
        <f t="shared" ca="1" si="70"/>
        <v/>
      </c>
      <c r="I317" s="196"/>
      <c r="J317" s="9" t="str">
        <f t="shared" ca="1" si="60"/>
        <v/>
      </c>
      <c r="K317" s="9" t="str">
        <f t="shared" ca="1" si="61"/>
        <v/>
      </c>
      <c r="L317" s="9" t="str">
        <f t="shared" ca="1" si="62"/>
        <v/>
      </c>
      <c r="N317" s="176" t="str">
        <f t="shared" ca="1" si="71"/>
        <v/>
      </c>
      <c r="O317" s="176" t="str">
        <f t="shared" ca="1" si="73"/>
        <v/>
      </c>
      <c r="P317" s="175" t="str">
        <f t="shared" ca="1" si="63"/>
        <v/>
      </c>
      <c r="Q317" s="11" t="str">
        <f t="shared" ca="1" si="64"/>
        <v/>
      </c>
      <c r="R317" s="12" t="str">
        <f t="shared" ca="1" si="65"/>
        <v/>
      </c>
      <c r="T317" s="31" t="str">
        <f t="shared" ca="1" si="74"/>
        <v/>
      </c>
    </row>
    <row r="318" spans="1:20">
      <c r="A318" s="198" t="str">
        <f ca="1">'PRICE_IOF Ñ USAR'!A318</f>
        <v/>
      </c>
      <c r="B318" s="197" t="str">
        <f ca="1">'PRICE_IOF Ñ USAR'!B318</f>
        <v/>
      </c>
      <c r="C318" s="196" t="str">
        <f t="shared" ca="1" si="66"/>
        <v/>
      </c>
      <c r="D318" s="21" t="str">
        <f t="shared" ca="1" si="72"/>
        <v/>
      </c>
      <c r="E318" s="196" t="str">
        <f t="shared" ca="1" si="67"/>
        <v/>
      </c>
      <c r="F318" s="178" t="str">
        <f t="shared" ca="1" si="68"/>
        <v/>
      </c>
      <c r="G318" s="178" t="str">
        <f t="shared" ca="1" si="69"/>
        <v/>
      </c>
      <c r="H318" s="177" t="str">
        <f t="shared" ca="1" si="70"/>
        <v/>
      </c>
      <c r="I318" s="196"/>
      <c r="J318" s="9" t="str">
        <f t="shared" ca="1" si="60"/>
        <v/>
      </c>
      <c r="K318" s="9" t="str">
        <f t="shared" ca="1" si="61"/>
        <v/>
      </c>
      <c r="L318" s="9" t="str">
        <f t="shared" ca="1" si="62"/>
        <v/>
      </c>
      <c r="N318" s="176" t="str">
        <f t="shared" ca="1" si="71"/>
        <v/>
      </c>
      <c r="O318" s="176" t="str">
        <f t="shared" ca="1" si="73"/>
        <v/>
      </c>
      <c r="P318" s="175" t="str">
        <f t="shared" ca="1" si="63"/>
        <v/>
      </c>
      <c r="Q318" s="11" t="str">
        <f t="shared" ca="1" si="64"/>
        <v/>
      </c>
      <c r="R318" s="12" t="str">
        <f t="shared" ca="1" si="65"/>
        <v/>
      </c>
      <c r="T318" s="31" t="str">
        <f t="shared" ca="1" si="74"/>
        <v/>
      </c>
    </row>
    <row r="319" spans="1:20">
      <c r="A319" s="198" t="str">
        <f ca="1">'PRICE_IOF Ñ USAR'!A319</f>
        <v/>
      </c>
      <c r="B319" s="197" t="str">
        <f ca="1">'PRICE_IOF Ñ USAR'!B319</f>
        <v/>
      </c>
      <c r="C319" s="196" t="str">
        <f t="shared" ca="1" si="66"/>
        <v/>
      </c>
      <c r="D319" s="21" t="str">
        <f t="shared" ca="1" si="72"/>
        <v/>
      </c>
      <c r="E319" s="196" t="str">
        <f t="shared" ca="1" si="67"/>
        <v/>
      </c>
      <c r="F319" s="178" t="str">
        <f t="shared" ca="1" si="68"/>
        <v/>
      </c>
      <c r="G319" s="178" t="str">
        <f t="shared" ca="1" si="69"/>
        <v/>
      </c>
      <c r="H319" s="177" t="str">
        <f t="shared" ca="1" si="70"/>
        <v/>
      </c>
      <c r="I319" s="196"/>
      <c r="J319" s="9" t="str">
        <f t="shared" ca="1" si="60"/>
        <v/>
      </c>
      <c r="K319" s="9" t="str">
        <f t="shared" ca="1" si="61"/>
        <v/>
      </c>
      <c r="L319" s="9" t="str">
        <f t="shared" ca="1" si="62"/>
        <v/>
      </c>
      <c r="N319" s="176" t="str">
        <f t="shared" ca="1" si="71"/>
        <v/>
      </c>
      <c r="O319" s="176" t="str">
        <f t="shared" ca="1" si="73"/>
        <v/>
      </c>
      <c r="P319" s="175" t="str">
        <f t="shared" ca="1" si="63"/>
        <v/>
      </c>
      <c r="Q319" s="11" t="str">
        <f t="shared" ca="1" si="64"/>
        <v/>
      </c>
      <c r="R319" s="12" t="str">
        <f t="shared" ca="1" si="65"/>
        <v/>
      </c>
      <c r="T319" s="31" t="str">
        <f t="shared" ca="1" si="74"/>
        <v/>
      </c>
    </row>
    <row r="320" spans="1:20">
      <c r="A320" s="198" t="str">
        <f ca="1">'PRICE_IOF Ñ USAR'!A320</f>
        <v/>
      </c>
      <c r="B320" s="197" t="str">
        <f ca="1">'PRICE_IOF Ñ USAR'!B320</f>
        <v/>
      </c>
      <c r="C320" s="196" t="str">
        <f t="shared" ca="1" si="66"/>
        <v/>
      </c>
      <c r="D320" s="21" t="str">
        <f t="shared" ca="1" si="72"/>
        <v/>
      </c>
      <c r="E320" s="196" t="str">
        <f t="shared" ca="1" si="67"/>
        <v/>
      </c>
      <c r="F320" s="178" t="str">
        <f t="shared" ca="1" si="68"/>
        <v/>
      </c>
      <c r="G320" s="178" t="str">
        <f t="shared" ca="1" si="69"/>
        <v/>
      </c>
      <c r="H320" s="177" t="str">
        <f t="shared" ca="1" si="70"/>
        <v/>
      </c>
      <c r="I320" s="196"/>
      <c r="J320" s="9" t="str">
        <f t="shared" ca="1" si="60"/>
        <v/>
      </c>
      <c r="K320" s="9" t="str">
        <f t="shared" ca="1" si="61"/>
        <v/>
      </c>
      <c r="L320" s="9" t="str">
        <f t="shared" ca="1" si="62"/>
        <v/>
      </c>
      <c r="N320" s="176" t="str">
        <f t="shared" ca="1" si="71"/>
        <v/>
      </c>
      <c r="O320" s="176" t="str">
        <f t="shared" ca="1" si="73"/>
        <v/>
      </c>
      <c r="P320" s="175" t="str">
        <f t="shared" ca="1" si="63"/>
        <v/>
      </c>
      <c r="Q320" s="11" t="str">
        <f t="shared" ca="1" si="64"/>
        <v/>
      </c>
      <c r="R320" s="12" t="str">
        <f t="shared" ca="1" si="65"/>
        <v/>
      </c>
      <c r="T320" s="31" t="str">
        <f t="shared" ca="1" si="74"/>
        <v/>
      </c>
    </row>
    <row r="321" spans="1:20">
      <c r="A321" s="198" t="str">
        <f ca="1">'PRICE_IOF Ñ USAR'!A321</f>
        <v/>
      </c>
      <c r="B321" s="197" t="str">
        <f ca="1">'PRICE_IOF Ñ USAR'!B321</f>
        <v/>
      </c>
      <c r="C321" s="196" t="str">
        <f t="shared" ca="1" si="66"/>
        <v/>
      </c>
      <c r="D321" s="21" t="str">
        <f t="shared" ca="1" si="72"/>
        <v/>
      </c>
      <c r="E321" s="196" t="str">
        <f t="shared" ca="1" si="67"/>
        <v/>
      </c>
      <c r="F321" s="178" t="str">
        <f t="shared" ca="1" si="68"/>
        <v/>
      </c>
      <c r="G321" s="178" t="str">
        <f t="shared" ca="1" si="69"/>
        <v/>
      </c>
      <c r="H321" s="177" t="str">
        <f t="shared" ca="1" si="70"/>
        <v/>
      </c>
      <c r="I321" s="196"/>
      <c r="J321" s="9" t="str">
        <f t="shared" ca="1" si="60"/>
        <v/>
      </c>
      <c r="K321" s="9" t="str">
        <f t="shared" ca="1" si="61"/>
        <v/>
      </c>
      <c r="L321" s="9" t="str">
        <f t="shared" ca="1" si="62"/>
        <v/>
      </c>
      <c r="N321" s="176" t="str">
        <f t="shared" ca="1" si="71"/>
        <v/>
      </c>
      <c r="O321" s="176" t="str">
        <f t="shared" ca="1" si="73"/>
        <v/>
      </c>
      <c r="P321" s="175" t="str">
        <f t="shared" ca="1" si="63"/>
        <v/>
      </c>
      <c r="Q321" s="11" t="str">
        <f t="shared" ca="1" si="64"/>
        <v/>
      </c>
      <c r="R321" s="12" t="str">
        <f t="shared" ca="1" si="65"/>
        <v/>
      </c>
      <c r="T321" s="31" t="str">
        <f t="shared" ca="1" si="74"/>
        <v/>
      </c>
    </row>
    <row r="322" spans="1:20">
      <c r="A322" s="198" t="str">
        <f ca="1">'PRICE_IOF Ñ USAR'!A322</f>
        <v/>
      </c>
      <c r="B322" s="197" t="str">
        <f ca="1">'PRICE_IOF Ñ USAR'!B322</f>
        <v/>
      </c>
      <c r="C322" s="196" t="str">
        <f t="shared" ca="1" si="66"/>
        <v/>
      </c>
      <c r="D322" s="21" t="str">
        <f t="shared" ca="1" si="72"/>
        <v/>
      </c>
      <c r="E322" s="196" t="str">
        <f t="shared" ca="1" si="67"/>
        <v/>
      </c>
      <c r="F322" s="178" t="str">
        <f t="shared" ca="1" si="68"/>
        <v/>
      </c>
      <c r="G322" s="178" t="str">
        <f t="shared" ca="1" si="69"/>
        <v/>
      </c>
      <c r="H322" s="177" t="str">
        <f t="shared" ca="1" si="70"/>
        <v/>
      </c>
      <c r="I322" s="196"/>
      <c r="J322" s="9" t="str">
        <f t="shared" ca="1" si="60"/>
        <v/>
      </c>
      <c r="K322" s="9" t="str">
        <f t="shared" ca="1" si="61"/>
        <v/>
      </c>
      <c r="L322" s="9" t="str">
        <f t="shared" ca="1" si="62"/>
        <v/>
      </c>
      <c r="N322" s="176" t="str">
        <f t="shared" ca="1" si="71"/>
        <v/>
      </c>
      <c r="O322" s="176" t="str">
        <f t="shared" ca="1" si="73"/>
        <v/>
      </c>
      <c r="P322" s="175" t="str">
        <f t="shared" ca="1" si="63"/>
        <v/>
      </c>
      <c r="Q322" s="11" t="str">
        <f t="shared" ca="1" si="64"/>
        <v/>
      </c>
      <c r="R322" s="12" t="str">
        <f t="shared" ca="1" si="65"/>
        <v/>
      </c>
      <c r="T322" s="31" t="str">
        <f t="shared" ca="1" si="74"/>
        <v/>
      </c>
    </row>
    <row r="323" spans="1:20">
      <c r="A323" s="198" t="str">
        <f ca="1">'PRICE_IOF Ñ USAR'!A323</f>
        <v/>
      </c>
      <c r="B323" s="197" t="str">
        <f ca="1">'PRICE_IOF Ñ USAR'!B323</f>
        <v/>
      </c>
      <c r="C323" s="196" t="str">
        <f t="shared" ca="1" si="66"/>
        <v/>
      </c>
      <c r="D323" s="21" t="str">
        <f t="shared" ca="1" si="72"/>
        <v/>
      </c>
      <c r="E323" s="196" t="str">
        <f t="shared" ca="1" si="67"/>
        <v/>
      </c>
      <c r="F323" s="178" t="str">
        <f t="shared" ca="1" si="68"/>
        <v/>
      </c>
      <c r="G323" s="178" t="str">
        <f t="shared" ca="1" si="69"/>
        <v/>
      </c>
      <c r="H323" s="177" t="str">
        <f t="shared" ca="1" si="70"/>
        <v/>
      </c>
      <c r="I323" s="196"/>
      <c r="J323" s="9" t="str">
        <f t="shared" ca="1" si="60"/>
        <v/>
      </c>
      <c r="K323" s="9" t="str">
        <f t="shared" ca="1" si="61"/>
        <v/>
      </c>
      <c r="L323" s="9" t="str">
        <f t="shared" ca="1" si="62"/>
        <v/>
      </c>
      <c r="N323" s="176" t="str">
        <f t="shared" ca="1" si="71"/>
        <v/>
      </c>
      <c r="O323" s="176" t="str">
        <f t="shared" ca="1" si="73"/>
        <v/>
      </c>
      <c r="P323" s="175" t="str">
        <f t="shared" ca="1" si="63"/>
        <v/>
      </c>
      <c r="Q323" s="11" t="str">
        <f t="shared" ca="1" si="64"/>
        <v/>
      </c>
      <c r="R323" s="12" t="str">
        <f t="shared" ca="1" si="65"/>
        <v/>
      </c>
      <c r="T323" s="31" t="str">
        <f t="shared" ca="1" si="74"/>
        <v/>
      </c>
    </row>
    <row r="324" spans="1:20">
      <c r="A324" s="198" t="str">
        <f ca="1">'PRICE_IOF Ñ USAR'!A324</f>
        <v/>
      </c>
      <c r="B324" s="197" t="str">
        <f ca="1">'PRICE_IOF Ñ USAR'!B324</f>
        <v/>
      </c>
      <c r="C324" s="196" t="str">
        <f t="shared" ca="1" si="66"/>
        <v/>
      </c>
      <c r="D324" s="21" t="str">
        <f t="shared" ca="1" si="72"/>
        <v/>
      </c>
      <c r="E324" s="196" t="str">
        <f t="shared" ca="1" si="67"/>
        <v/>
      </c>
      <c r="F324" s="178" t="str">
        <f t="shared" ca="1" si="68"/>
        <v/>
      </c>
      <c r="G324" s="178" t="str">
        <f t="shared" ca="1" si="69"/>
        <v/>
      </c>
      <c r="H324" s="177" t="str">
        <f t="shared" ca="1" si="70"/>
        <v/>
      </c>
      <c r="I324" s="196"/>
      <c r="J324" s="9" t="str">
        <f t="shared" ca="1" si="60"/>
        <v/>
      </c>
      <c r="K324" s="9" t="str">
        <f t="shared" ca="1" si="61"/>
        <v/>
      </c>
      <c r="L324" s="9" t="str">
        <f t="shared" ca="1" si="62"/>
        <v/>
      </c>
      <c r="N324" s="176" t="str">
        <f t="shared" ca="1" si="71"/>
        <v/>
      </c>
      <c r="O324" s="176" t="str">
        <f t="shared" ca="1" si="73"/>
        <v/>
      </c>
      <c r="P324" s="175" t="str">
        <f t="shared" ca="1" si="63"/>
        <v/>
      </c>
      <c r="Q324" s="11" t="str">
        <f t="shared" ca="1" si="64"/>
        <v/>
      </c>
      <c r="R324" s="12" t="str">
        <f t="shared" ca="1" si="65"/>
        <v/>
      </c>
      <c r="T324" s="31" t="str">
        <f t="shared" ca="1" si="74"/>
        <v/>
      </c>
    </row>
    <row r="325" spans="1:20">
      <c r="A325" s="198" t="str">
        <f ca="1">'PRICE_IOF Ñ USAR'!A325</f>
        <v/>
      </c>
      <c r="B325" s="197" t="str">
        <f ca="1">'PRICE_IOF Ñ USAR'!B325</f>
        <v/>
      </c>
      <c r="C325" s="196" t="str">
        <f t="shared" ca="1" si="66"/>
        <v/>
      </c>
      <c r="D325" s="21" t="str">
        <f t="shared" ca="1" si="72"/>
        <v/>
      </c>
      <c r="E325" s="196" t="str">
        <f t="shared" ca="1" si="67"/>
        <v/>
      </c>
      <c r="F325" s="178" t="str">
        <f t="shared" ca="1" si="68"/>
        <v/>
      </c>
      <c r="G325" s="178" t="str">
        <f t="shared" ca="1" si="69"/>
        <v/>
      </c>
      <c r="H325" s="177" t="str">
        <f t="shared" ca="1" si="70"/>
        <v/>
      </c>
      <c r="I325" s="196"/>
      <c r="J325" s="9" t="str">
        <f t="shared" ca="1" si="60"/>
        <v/>
      </c>
      <c r="K325" s="9" t="str">
        <f t="shared" ca="1" si="61"/>
        <v/>
      </c>
      <c r="L325" s="9" t="str">
        <f t="shared" ca="1" si="62"/>
        <v/>
      </c>
      <c r="N325" s="176" t="str">
        <f t="shared" ca="1" si="71"/>
        <v/>
      </c>
      <c r="O325" s="176" t="str">
        <f t="shared" ca="1" si="73"/>
        <v/>
      </c>
      <c r="P325" s="175" t="str">
        <f t="shared" ca="1" si="63"/>
        <v/>
      </c>
      <c r="Q325" s="11" t="str">
        <f t="shared" ca="1" si="64"/>
        <v/>
      </c>
      <c r="R325" s="12" t="str">
        <f t="shared" ca="1" si="65"/>
        <v/>
      </c>
      <c r="T325" s="31" t="str">
        <f t="shared" ca="1" si="74"/>
        <v/>
      </c>
    </row>
    <row r="326" spans="1:20">
      <c r="A326" s="198" t="str">
        <f ca="1">'PRICE_IOF Ñ USAR'!A326</f>
        <v/>
      </c>
      <c r="B326" s="197" t="str">
        <f ca="1">'PRICE_IOF Ñ USAR'!B326</f>
        <v/>
      </c>
      <c r="C326" s="196" t="str">
        <f t="shared" ca="1" si="66"/>
        <v/>
      </c>
      <c r="D326" s="21" t="str">
        <f t="shared" ca="1" si="72"/>
        <v/>
      </c>
      <c r="E326" s="196" t="str">
        <f t="shared" ca="1" si="67"/>
        <v/>
      </c>
      <c r="F326" s="178" t="str">
        <f t="shared" ca="1" si="68"/>
        <v/>
      </c>
      <c r="G326" s="178" t="str">
        <f t="shared" ca="1" si="69"/>
        <v/>
      </c>
      <c r="H326" s="177" t="str">
        <f t="shared" ca="1" si="70"/>
        <v/>
      </c>
      <c r="I326" s="196"/>
      <c r="J326" s="9" t="str">
        <f t="shared" ca="1" si="60"/>
        <v/>
      </c>
      <c r="K326" s="9" t="str">
        <f t="shared" ca="1" si="61"/>
        <v/>
      </c>
      <c r="L326" s="9" t="str">
        <f t="shared" ca="1" si="62"/>
        <v/>
      </c>
      <c r="N326" s="176" t="str">
        <f t="shared" ca="1" si="71"/>
        <v/>
      </c>
      <c r="O326" s="176" t="str">
        <f t="shared" ca="1" si="73"/>
        <v/>
      </c>
      <c r="P326" s="175" t="str">
        <f t="shared" ca="1" si="63"/>
        <v/>
      </c>
      <c r="Q326" s="11" t="str">
        <f t="shared" ca="1" si="64"/>
        <v/>
      </c>
      <c r="R326" s="12" t="str">
        <f t="shared" ca="1" si="65"/>
        <v/>
      </c>
      <c r="T326" s="31" t="str">
        <f t="shared" ca="1" si="74"/>
        <v/>
      </c>
    </row>
    <row r="327" spans="1:20">
      <c r="A327" s="198" t="str">
        <f ca="1">'PRICE_IOF Ñ USAR'!A327</f>
        <v/>
      </c>
      <c r="B327" s="197" t="str">
        <f ca="1">'PRICE_IOF Ñ USAR'!B327</f>
        <v/>
      </c>
      <c r="C327" s="196" t="str">
        <f t="shared" ca="1" si="66"/>
        <v/>
      </c>
      <c r="D327" s="21" t="str">
        <f t="shared" ca="1" si="72"/>
        <v/>
      </c>
      <c r="E327" s="196" t="str">
        <f t="shared" ca="1" si="67"/>
        <v/>
      </c>
      <c r="F327" s="178" t="str">
        <f t="shared" ca="1" si="68"/>
        <v/>
      </c>
      <c r="G327" s="178" t="str">
        <f t="shared" ca="1" si="69"/>
        <v/>
      </c>
      <c r="H327" s="177" t="str">
        <f t="shared" ca="1" si="70"/>
        <v/>
      </c>
      <c r="I327" s="196"/>
      <c r="J327" s="9" t="str">
        <f t="shared" ca="1" si="60"/>
        <v/>
      </c>
      <c r="K327" s="9" t="str">
        <f t="shared" ca="1" si="61"/>
        <v/>
      </c>
      <c r="L327" s="9" t="str">
        <f t="shared" ca="1" si="62"/>
        <v/>
      </c>
      <c r="N327" s="176" t="str">
        <f t="shared" ca="1" si="71"/>
        <v/>
      </c>
      <c r="O327" s="176" t="str">
        <f t="shared" ca="1" si="73"/>
        <v/>
      </c>
      <c r="P327" s="175" t="str">
        <f t="shared" ca="1" si="63"/>
        <v/>
      </c>
      <c r="Q327" s="11" t="str">
        <f t="shared" ca="1" si="64"/>
        <v/>
      </c>
      <c r="R327" s="12" t="str">
        <f t="shared" ca="1" si="65"/>
        <v/>
      </c>
      <c r="T327" s="31" t="str">
        <f t="shared" ca="1" si="74"/>
        <v/>
      </c>
    </row>
    <row r="328" spans="1:20">
      <c r="A328" s="198" t="str">
        <f ca="1">'PRICE_IOF Ñ USAR'!A328</f>
        <v/>
      </c>
      <c r="B328" s="197" t="str">
        <f ca="1">'PRICE_IOF Ñ USAR'!B328</f>
        <v/>
      </c>
      <c r="C328" s="196" t="str">
        <f t="shared" ca="1" si="66"/>
        <v/>
      </c>
      <c r="D328" s="21" t="str">
        <f t="shared" ca="1" si="72"/>
        <v/>
      </c>
      <c r="E328" s="196" t="str">
        <f t="shared" ca="1" si="67"/>
        <v/>
      </c>
      <c r="F328" s="178" t="str">
        <f t="shared" ca="1" si="68"/>
        <v/>
      </c>
      <c r="G328" s="178" t="str">
        <f t="shared" ca="1" si="69"/>
        <v/>
      </c>
      <c r="H328" s="177" t="str">
        <f t="shared" ca="1" si="70"/>
        <v/>
      </c>
      <c r="I328" s="196"/>
      <c r="J328" s="9" t="str">
        <f t="shared" ca="1" si="60"/>
        <v/>
      </c>
      <c r="K328" s="9" t="str">
        <f t="shared" ca="1" si="61"/>
        <v/>
      </c>
      <c r="L328" s="9" t="str">
        <f t="shared" ca="1" si="62"/>
        <v/>
      </c>
      <c r="N328" s="176" t="str">
        <f t="shared" ca="1" si="71"/>
        <v/>
      </c>
      <c r="O328" s="176" t="str">
        <f t="shared" ca="1" si="73"/>
        <v/>
      </c>
      <c r="P328" s="175" t="str">
        <f t="shared" ca="1" si="63"/>
        <v/>
      </c>
      <c r="Q328" s="11" t="str">
        <f t="shared" ca="1" si="64"/>
        <v/>
      </c>
      <c r="R328" s="12" t="str">
        <f t="shared" ca="1" si="65"/>
        <v/>
      </c>
      <c r="T328" s="31" t="str">
        <f t="shared" ca="1" si="74"/>
        <v/>
      </c>
    </row>
    <row r="329" spans="1:20">
      <c r="A329" s="198" t="str">
        <f ca="1">'PRICE_IOF Ñ USAR'!A329</f>
        <v/>
      </c>
      <c r="B329" s="197" t="str">
        <f ca="1">'PRICE_IOF Ñ USAR'!B329</f>
        <v/>
      </c>
      <c r="C329" s="196" t="str">
        <f t="shared" ca="1" si="66"/>
        <v/>
      </c>
      <c r="D329" s="21" t="str">
        <f t="shared" ca="1" si="72"/>
        <v/>
      </c>
      <c r="E329" s="196" t="str">
        <f t="shared" ca="1" si="67"/>
        <v/>
      </c>
      <c r="F329" s="178" t="str">
        <f t="shared" ca="1" si="68"/>
        <v/>
      </c>
      <c r="G329" s="178" t="str">
        <f t="shared" ca="1" si="69"/>
        <v/>
      </c>
      <c r="H329" s="177" t="str">
        <f t="shared" ca="1" si="70"/>
        <v/>
      </c>
      <c r="I329" s="196"/>
      <c r="J329" s="9" t="str">
        <f t="shared" ca="1" si="60"/>
        <v/>
      </c>
      <c r="K329" s="9" t="str">
        <f t="shared" ca="1" si="61"/>
        <v/>
      </c>
      <c r="L329" s="9" t="str">
        <f t="shared" ca="1" si="62"/>
        <v/>
      </c>
      <c r="N329" s="176" t="str">
        <f t="shared" ca="1" si="71"/>
        <v/>
      </c>
      <c r="O329" s="176" t="str">
        <f t="shared" ca="1" si="73"/>
        <v/>
      </c>
      <c r="P329" s="175" t="str">
        <f t="shared" ca="1" si="63"/>
        <v/>
      </c>
      <c r="Q329" s="11" t="str">
        <f t="shared" ca="1" si="64"/>
        <v/>
      </c>
      <c r="R329" s="12" t="str">
        <f t="shared" ca="1" si="65"/>
        <v/>
      </c>
      <c r="T329" s="31" t="str">
        <f t="shared" ca="1" si="74"/>
        <v/>
      </c>
    </row>
    <row r="330" spans="1:20">
      <c r="A330" s="198" t="str">
        <f ca="1">'PRICE_IOF Ñ USAR'!A330</f>
        <v/>
      </c>
      <c r="B330" s="197" t="str">
        <f ca="1">'PRICE_IOF Ñ USAR'!B330</f>
        <v/>
      </c>
      <c r="C330" s="196" t="str">
        <f t="shared" ca="1" si="66"/>
        <v/>
      </c>
      <c r="D330" s="21" t="str">
        <f t="shared" ca="1" si="72"/>
        <v/>
      </c>
      <c r="E330" s="196" t="str">
        <f t="shared" ca="1" si="67"/>
        <v/>
      </c>
      <c r="F330" s="178" t="str">
        <f t="shared" ca="1" si="68"/>
        <v/>
      </c>
      <c r="G330" s="178" t="str">
        <f t="shared" ca="1" si="69"/>
        <v/>
      </c>
      <c r="H330" s="177" t="str">
        <f t="shared" ca="1" si="70"/>
        <v/>
      </c>
      <c r="I330" s="196"/>
      <c r="J330" s="9" t="str">
        <f t="shared" ca="1" si="60"/>
        <v/>
      </c>
      <c r="K330" s="9" t="str">
        <f t="shared" ca="1" si="61"/>
        <v/>
      </c>
      <c r="L330" s="9" t="str">
        <f t="shared" ca="1" si="62"/>
        <v/>
      </c>
      <c r="N330" s="176" t="str">
        <f t="shared" ca="1" si="71"/>
        <v/>
      </c>
      <c r="O330" s="176" t="str">
        <f t="shared" ca="1" si="73"/>
        <v/>
      </c>
      <c r="P330" s="175" t="str">
        <f t="shared" ca="1" si="63"/>
        <v/>
      </c>
      <c r="Q330" s="11" t="str">
        <f t="shared" ca="1" si="64"/>
        <v/>
      </c>
      <c r="R330" s="12" t="str">
        <f t="shared" ca="1" si="65"/>
        <v/>
      </c>
      <c r="T330" s="31" t="str">
        <f t="shared" ca="1" si="74"/>
        <v/>
      </c>
    </row>
    <row r="331" spans="1:20">
      <c r="A331" s="198" t="str">
        <f ca="1">'PRICE_IOF Ñ USAR'!A331</f>
        <v/>
      </c>
      <c r="B331" s="197" t="str">
        <f ca="1">'PRICE_IOF Ñ USAR'!B331</f>
        <v/>
      </c>
      <c r="C331" s="196" t="str">
        <f t="shared" ca="1" si="66"/>
        <v/>
      </c>
      <c r="D331" s="21" t="str">
        <f t="shared" ca="1" si="72"/>
        <v/>
      </c>
      <c r="E331" s="196" t="str">
        <f t="shared" ca="1" si="67"/>
        <v/>
      </c>
      <c r="F331" s="178" t="str">
        <f t="shared" ca="1" si="68"/>
        <v/>
      </c>
      <c r="G331" s="178" t="str">
        <f t="shared" ca="1" si="69"/>
        <v/>
      </c>
      <c r="H331" s="177" t="str">
        <f t="shared" ca="1" si="70"/>
        <v/>
      </c>
      <c r="I331" s="196"/>
      <c r="J331" s="9" t="str">
        <f t="shared" ca="1" si="60"/>
        <v/>
      </c>
      <c r="K331" s="9" t="str">
        <f t="shared" ca="1" si="61"/>
        <v/>
      </c>
      <c r="L331" s="9" t="str">
        <f t="shared" ca="1" si="62"/>
        <v/>
      </c>
      <c r="N331" s="176" t="str">
        <f t="shared" ca="1" si="71"/>
        <v/>
      </c>
      <c r="O331" s="176" t="str">
        <f t="shared" ca="1" si="73"/>
        <v/>
      </c>
      <c r="P331" s="175" t="str">
        <f t="shared" ca="1" si="63"/>
        <v/>
      </c>
      <c r="Q331" s="11" t="str">
        <f t="shared" ca="1" si="64"/>
        <v/>
      </c>
      <c r="R331" s="12" t="str">
        <f t="shared" ca="1" si="65"/>
        <v/>
      </c>
      <c r="T331" s="31" t="str">
        <f t="shared" ca="1" si="74"/>
        <v/>
      </c>
    </row>
    <row r="332" spans="1:20">
      <c r="A332" s="198" t="str">
        <f ca="1">'PRICE_IOF Ñ USAR'!A332</f>
        <v/>
      </c>
      <c r="B332" s="197" t="str">
        <f ca="1">'PRICE_IOF Ñ USAR'!B332</f>
        <v/>
      </c>
      <c r="C332" s="196" t="str">
        <f t="shared" ca="1" si="66"/>
        <v/>
      </c>
      <c r="D332" s="21" t="str">
        <f t="shared" ca="1" si="72"/>
        <v/>
      </c>
      <c r="E332" s="196" t="str">
        <f t="shared" ca="1" si="67"/>
        <v/>
      </c>
      <c r="F332" s="178" t="str">
        <f t="shared" ca="1" si="68"/>
        <v/>
      </c>
      <c r="G332" s="178" t="str">
        <f t="shared" ca="1" si="69"/>
        <v/>
      </c>
      <c r="H332" s="177" t="str">
        <f t="shared" ca="1" si="70"/>
        <v/>
      </c>
      <c r="I332" s="196"/>
      <c r="J332" s="9" t="str">
        <f t="shared" ca="1" si="60"/>
        <v/>
      </c>
      <c r="K332" s="9" t="str">
        <f t="shared" ca="1" si="61"/>
        <v/>
      </c>
      <c r="L332" s="9" t="str">
        <f t="shared" ca="1" si="62"/>
        <v/>
      </c>
      <c r="N332" s="176" t="str">
        <f t="shared" ca="1" si="71"/>
        <v/>
      </c>
      <c r="O332" s="176" t="str">
        <f t="shared" ca="1" si="73"/>
        <v/>
      </c>
      <c r="P332" s="175" t="str">
        <f t="shared" ca="1" si="63"/>
        <v/>
      </c>
      <c r="Q332" s="11" t="str">
        <f t="shared" ca="1" si="64"/>
        <v/>
      </c>
      <c r="R332" s="12" t="str">
        <f t="shared" ca="1" si="65"/>
        <v/>
      </c>
      <c r="T332" s="31" t="str">
        <f t="shared" ca="1" si="74"/>
        <v/>
      </c>
    </row>
    <row r="333" spans="1:20">
      <c r="A333" s="198" t="str">
        <f ca="1">'PRICE_IOF Ñ USAR'!A333</f>
        <v/>
      </c>
      <c r="B333" s="197" t="str">
        <f ca="1">'PRICE_IOF Ñ USAR'!B333</f>
        <v/>
      </c>
      <c r="C333" s="196" t="str">
        <f t="shared" ca="1" si="66"/>
        <v/>
      </c>
      <c r="D333" s="21" t="str">
        <f t="shared" ca="1" si="72"/>
        <v/>
      </c>
      <c r="E333" s="196" t="str">
        <f t="shared" ca="1" si="67"/>
        <v/>
      </c>
      <c r="F333" s="178" t="str">
        <f t="shared" ca="1" si="68"/>
        <v/>
      </c>
      <c r="G333" s="178" t="str">
        <f t="shared" ca="1" si="69"/>
        <v/>
      </c>
      <c r="H333" s="177" t="str">
        <f t="shared" ca="1" si="70"/>
        <v/>
      </c>
      <c r="I333" s="196"/>
      <c r="J333" s="9" t="str">
        <f t="shared" ca="1" si="60"/>
        <v/>
      </c>
      <c r="K333" s="9" t="str">
        <f t="shared" ca="1" si="61"/>
        <v/>
      </c>
      <c r="L333" s="9" t="str">
        <f t="shared" ca="1" si="62"/>
        <v/>
      </c>
      <c r="N333" s="176" t="str">
        <f t="shared" ca="1" si="71"/>
        <v/>
      </c>
      <c r="O333" s="176" t="str">
        <f t="shared" ca="1" si="73"/>
        <v/>
      </c>
      <c r="P333" s="175" t="str">
        <f t="shared" ca="1" si="63"/>
        <v/>
      </c>
      <c r="Q333" s="11" t="str">
        <f t="shared" ca="1" si="64"/>
        <v/>
      </c>
      <c r="R333" s="12" t="str">
        <f t="shared" ca="1" si="65"/>
        <v/>
      </c>
      <c r="T333" s="31" t="str">
        <f t="shared" ca="1" si="74"/>
        <v/>
      </c>
    </row>
    <row r="334" spans="1:20">
      <c r="A334" s="198" t="str">
        <f ca="1">'PRICE_IOF Ñ USAR'!A334</f>
        <v/>
      </c>
      <c r="B334" s="197" t="str">
        <f ca="1">'PRICE_IOF Ñ USAR'!B334</f>
        <v/>
      </c>
      <c r="C334" s="196" t="str">
        <f t="shared" ca="1" si="66"/>
        <v/>
      </c>
      <c r="D334" s="21" t="str">
        <f t="shared" ca="1" si="72"/>
        <v/>
      </c>
      <c r="E334" s="196" t="str">
        <f t="shared" ca="1" si="67"/>
        <v/>
      </c>
      <c r="F334" s="178" t="str">
        <f t="shared" ca="1" si="68"/>
        <v/>
      </c>
      <c r="G334" s="178" t="str">
        <f t="shared" ca="1" si="69"/>
        <v/>
      </c>
      <c r="H334" s="177" t="str">
        <f t="shared" ca="1" si="70"/>
        <v/>
      </c>
      <c r="I334" s="196"/>
      <c r="J334" s="9" t="str">
        <f t="shared" ca="1" si="60"/>
        <v/>
      </c>
      <c r="K334" s="9" t="str">
        <f t="shared" ca="1" si="61"/>
        <v/>
      </c>
      <c r="L334" s="9" t="str">
        <f t="shared" ca="1" si="62"/>
        <v/>
      </c>
      <c r="N334" s="176" t="str">
        <f t="shared" ca="1" si="71"/>
        <v/>
      </c>
      <c r="O334" s="176" t="str">
        <f t="shared" ca="1" si="73"/>
        <v/>
      </c>
      <c r="P334" s="175" t="str">
        <f t="shared" ca="1" si="63"/>
        <v/>
      </c>
      <c r="Q334" s="11" t="str">
        <f t="shared" ca="1" si="64"/>
        <v/>
      </c>
      <c r="R334" s="12" t="str">
        <f t="shared" ca="1" si="65"/>
        <v/>
      </c>
      <c r="T334" s="31" t="str">
        <f t="shared" ca="1" si="74"/>
        <v/>
      </c>
    </row>
    <row r="335" spans="1:20">
      <c r="A335" s="198" t="str">
        <f ca="1">'PRICE_IOF Ñ USAR'!A335</f>
        <v/>
      </c>
      <c r="B335" s="197" t="str">
        <f ca="1">'PRICE_IOF Ñ USAR'!B335</f>
        <v/>
      </c>
      <c r="C335" s="196" t="str">
        <f t="shared" ca="1" si="66"/>
        <v/>
      </c>
      <c r="D335" s="21" t="str">
        <f t="shared" ca="1" si="72"/>
        <v/>
      </c>
      <c r="E335" s="196" t="str">
        <f t="shared" ca="1" si="67"/>
        <v/>
      </c>
      <c r="F335" s="178" t="str">
        <f t="shared" ca="1" si="68"/>
        <v/>
      </c>
      <c r="G335" s="178" t="str">
        <f t="shared" ca="1" si="69"/>
        <v/>
      </c>
      <c r="H335" s="177" t="str">
        <f t="shared" ca="1" si="70"/>
        <v/>
      </c>
      <c r="I335" s="196"/>
      <c r="J335" s="9" t="str">
        <f t="shared" ca="1" si="60"/>
        <v/>
      </c>
      <c r="K335" s="9" t="str">
        <f t="shared" ca="1" si="61"/>
        <v/>
      </c>
      <c r="L335" s="9" t="str">
        <f t="shared" ca="1" si="62"/>
        <v/>
      </c>
      <c r="N335" s="176" t="str">
        <f t="shared" ca="1" si="71"/>
        <v/>
      </c>
      <c r="O335" s="176" t="str">
        <f t="shared" ca="1" si="73"/>
        <v/>
      </c>
      <c r="P335" s="175" t="str">
        <f t="shared" ca="1" si="63"/>
        <v/>
      </c>
      <c r="Q335" s="11" t="str">
        <f t="shared" ca="1" si="64"/>
        <v/>
      </c>
      <c r="R335" s="12" t="str">
        <f t="shared" ca="1" si="65"/>
        <v/>
      </c>
      <c r="T335" s="31" t="str">
        <f t="shared" ca="1" si="74"/>
        <v/>
      </c>
    </row>
    <row r="336" spans="1:20">
      <c r="A336" s="198" t="str">
        <f ca="1">'PRICE_IOF Ñ USAR'!A336</f>
        <v/>
      </c>
      <c r="B336" s="197" t="str">
        <f ca="1">'PRICE_IOF Ñ USAR'!B336</f>
        <v/>
      </c>
      <c r="C336" s="196" t="str">
        <f t="shared" ca="1" si="66"/>
        <v/>
      </c>
      <c r="D336" s="21" t="str">
        <f t="shared" ca="1" si="72"/>
        <v/>
      </c>
      <c r="E336" s="196" t="str">
        <f t="shared" ca="1" si="67"/>
        <v/>
      </c>
      <c r="F336" s="178" t="str">
        <f t="shared" ca="1" si="68"/>
        <v/>
      </c>
      <c r="G336" s="178" t="str">
        <f t="shared" ca="1" si="69"/>
        <v/>
      </c>
      <c r="H336" s="177" t="str">
        <f t="shared" ca="1" si="70"/>
        <v/>
      </c>
      <c r="I336" s="196"/>
      <c r="J336" s="9" t="str">
        <f t="shared" ca="1" si="60"/>
        <v/>
      </c>
      <c r="K336" s="9" t="str">
        <f t="shared" ca="1" si="61"/>
        <v/>
      </c>
      <c r="L336" s="9" t="str">
        <f t="shared" ca="1" si="62"/>
        <v/>
      </c>
      <c r="N336" s="176" t="str">
        <f t="shared" ca="1" si="71"/>
        <v/>
      </c>
      <c r="O336" s="176" t="str">
        <f t="shared" ca="1" si="73"/>
        <v/>
      </c>
      <c r="P336" s="175" t="str">
        <f t="shared" ca="1" si="63"/>
        <v/>
      </c>
      <c r="Q336" s="11" t="str">
        <f t="shared" ca="1" si="64"/>
        <v/>
      </c>
      <c r="R336" s="12" t="str">
        <f t="shared" ca="1" si="65"/>
        <v/>
      </c>
      <c r="T336" s="31" t="str">
        <f t="shared" ca="1" si="74"/>
        <v/>
      </c>
    </row>
    <row r="337" spans="1:20">
      <c r="A337" s="198" t="str">
        <f ca="1">'PRICE_IOF Ñ USAR'!A337</f>
        <v/>
      </c>
      <c r="B337" s="197" t="str">
        <f ca="1">'PRICE_IOF Ñ USAR'!B337</f>
        <v/>
      </c>
      <c r="C337" s="196" t="str">
        <f t="shared" ca="1" si="66"/>
        <v/>
      </c>
      <c r="D337" s="21" t="str">
        <f t="shared" ca="1" si="72"/>
        <v/>
      </c>
      <c r="E337" s="196" t="str">
        <f t="shared" ca="1" si="67"/>
        <v/>
      </c>
      <c r="F337" s="178" t="str">
        <f t="shared" ca="1" si="68"/>
        <v/>
      </c>
      <c r="G337" s="178" t="str">
        <f t="shared" ca="1" si="69"/>
        <v/>
      </c>
      <c r="H337" s="177" t="str">
        <f t="shared" ca="1" si="70"/>
        <v/>
      </c>
      <c r="I337" s="196"/>
      <c r="J337" s="9" t="str">
        <f t="shared" ca="1" si="60"/>
        <v/>
      </c>
      <c r="K337" s="9" t="str">
        <f t="shared" ca="1" si="61"/>
        <v/>
      </c>
      <c r="L337" s="9" t="str">
        <f t="shared" ca="1" si="62"/>
        <v/>
      </c>
      <c r="N337" s="176" t="str">
        <f t="shared" ca="1" si="71"/>
        <v/>
      </c>
      <c r="O337" s="176" t="str">
        <f t="shared" ca="1" si="73"/>
        <v/>
      </c>
      <c r="P337" s="175" t="str">
        <f t="shared" ca="1" si="63"/>
        <v/>
      </c>
      <c r="Q337" s="11" t="str">
        <f t="shared" ca="1" si="64"/>
        <v/>
      </c>
      <c r="R337" s="12" t="str">
        <f t="shared" ca="1" si="65"/>
        <v/>
      </c>
      <c r="T337" s="31" t="str">
        <f t="shared" ca="1" si="74"/>
        <v/>
      </c>
    </row>
    <row r="338" spans="1:20">
      <c r="A338" s="198" t="str">
        <f ca="1">'PRICE_IOF Ñ USAR'!A338</f>
        <v/>
      </c>
      <c r="B338" s="197" t="str">
        <f ca="1">'PRICE_IOF Ñ USAR'!B338</f>
        <v/>
      </c>
      <c r="C338" s="196" t="str">
        <f t="shared" ca="1" si="66"/>
        <v/>
      </c>
      <c r="D338" s="21" t="str">
        <f t="shared" ca="1" si="72"/>
        <v/>
      </c>
      <c r="E338" s="196" t="str">
        <f t="shared" ca="1" si="67"/>
        <v/>
      </c>
      <c r="F338" s="178" t="str">
        <f t="shared" ca="1" si="68"/>
        <v/>
      </c>
      <c r="G338" s="178" t="str">
        <f t="shared" ca="1" si="69"/>
        <v/>
      </c>
      <c r="H338" s="177" t="str">
        <f t="shared" ca="1" si="70"/>
        <v/>
      </c>
      <c r="I338" s="196"/>
      <c r="J338" s="9" t="str">
        <f t="shared" ca="1" si="60"/>
        <v/>
      </c>
      <c r="K338" s="9" t="str">
        <f ca="1">IF(L338=$C$13,"Pula","")</f>
        <v/>
      </c>
      <c r="L338" s="9" t="str">
        <f t="shared" ca="1" si="62"/>
        <v/>
      </c>
      <c r="N338" s="176" t="str">
        <f t="shared" ca="1" si="71"/>
        <v/>
      </c>
      <c r="O338" s="176" t="str">
        <f t="shared" ca="1" si="73"/>
        <v/>
      </c>
      <c r="P338" s="175" t="str">
        <f t="shared" ca="1" si="63"/>
        <v/>
      </c>
      <c r="Q338" s="11" t="str">
        <f t="shared" ca="1" si="64"/>
        <v/>
      </c>
      <c r="R338" s="12" t="str">
        <f ca="1">IFERROR(Q338*P338,"")</f>
        <v/>
      </c>
      <c r="T338" s="31" t="str">
        <f t="shared" ca="1" si="74"/>
        <v/>
      </c>
    </row>
    <row r="339" spans="1:20">
      <c r="A339" s="198" t="str">
        <f ca="1">'PRICE_IOF Ñ USAR'!A339</f>
        <v/>
      </c>
      <c r="B339" s="197" t="str">
        <f ca="1">'PRICE_IOF Ñ USAR'!B339</f>
        <v/>
      </c>
      <c r="C339" s="196" t="str">
        <f ca="1">IFERROR(IF(OR(J339="Carencia",K339="Pula"),0,$I$12-D339),"")</f>
        <v/>
      </c>
      <c r="D339" s="21" t="str">
        <f t="shared" ca="1" si="72"/>
        <v/>
      </c>
      <c r="E339" s="196" t="str">
        <f ca="1">IFERROR(IF(OR(J339="Carencia",K339="Pula"),E338+D339+SUM(F339:H339),(E338-C339)),"")</f>
        <v/>
      </c>
      <c r="F339" s="178" t="str">
        <f t="shared" ca="1" si="68"/>
        <v/>
      </c>
      <c r="G339" s="178" t="str">
        <f t="shared" ca="1" si="69"/>
        <v/>
      </c>
      <c r="H339" s="177" t="str">
        <f t="shared" ca="1" si="70"/>
        <v/>
      </c>
      <c r="I339" s="196"/>
      <c r="J339" s="9" t="str">
        <f t="shared" ca="1" si="60"/>
        <v/>
      </c>
      <c r="K339" s="9" t="str">
        <f ca="1">IF(L339=$C$13,"Pula","")</f>
        <v/>
      </c>
      <c r="L339" s="9" t="str">
        <f t="shared" ca="1" si="62"/>
        <v/>
      </c>
      <c r="N339" s="176" t="str">
        <f t="shared" ca="1" si="71"/>
        <v/>
      </c>
      <c r="O339" s="176" t="str">
        <f t="shared" ca="1" si="73"/>
        <v/>
      </c>
      <c r="P339" s="175" t="str">
        <f t="shared" ca="1" si="63"/>
        <v/>
      </c>
      <c r="Q339" s="11" t="str">
        <f t="shared" ca="1" si="64"/>
        <v/>
      </c>
      <c r="R339" s="12" t="str">
        <f ca="1">IFERROR(Q339*P339,"")</f>
        <v/>
      </c>
      <c r="T339" s="31" t="str">
        <f t="shared" ca="1" si="74"/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62D35-38FF-4ED2-83AA-012030F297FB}">
  <sheetPr codeName="Planilha2">
    <tabColor theme="2" tint="-0.749992370372631"/>
  </sheetPr>
  <dimension ref="A2:R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5.2851562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0.5703125" bestFit="1" customWidth="1"/>
    <col min="13" max="13" width="16.28515625" bestFit="1" customWidth="1"/>
    <col min="15" max="15" width="10.42578125" customWidth="1"/>
    <col min="16" max="16" width="18.5703125" bestFit="1" customWidth="1"/>
    <col min="18" max="18" width="13.42578125" bestFit="1" customWidth="1"/>
  </cols>
  <sheetData>
    <row r="2" spans="2:18">
      <c r="B2" s="1" t="s">
        <v>0</v>
      </c>
      <c r="C2" s="32">
        <f>SUM(C5:C7)</f>
        <v>179010.67</v>
      </c>
      <c r="E2" s="1" t="s">
        <v>25</v>
      </c>
      <c r="F2" s="42">
        <f ca="1">PRICE_CORR!F2</f>
        <v>44728</v>
      </c>
      <c r="H2" s="174" t="s">
        <v>37</v>
      </c>
      <c r="I2" s="18" t="s">
        <v>30</v>
      </c>
    </row>
    <row r="3" spans="2:18">
      <c r="B3" s="3" t="s">
        <v>1</v>
      </c>
      <c r="C3" s="33" t="s">
        <v>2</v>
      </c>
      <c r="E3" s="3" t="s">
        <v>31</v>
      </c>
      <c r="F3" s="202">
        <f>PRICE_CORR!F3</f>
        <v>10</v>
      </c>
      <c r="H3" s="3" t="s">
        <v>24</v>
      </c>
      <c r="I3" s="16">
        <v>8.2000000000000001E-5</v>
      </c>
    </row>
    <row r="4" spans="2:18">
      <c r="B4" s="5" t="s">
        <v>44</v>
      </c>
      <c r="C4" s="26">
        <f ca="1">C2*R15/(C2-R15)</f>
        <v>27715.964096495194</v>
      </c>
      <c r="D4" s="10"/>
      <c r="E4" s="5" t="s">
        <v>32</v>
      </c>
      <c r="F4" s="26">
        <f ca="1">C4</f>
        <v>27715.964096495194</v>
      </c>
      <c r="H4" s="7" t="s">
        <v>36</v>
      </c>
      <c r="I4" s="17">
        <v>4.1E-5</v>
      </c>
    </row>
    <row r="5" spans="2:18">
      <c r="B5" s="3" t="s">
        <v>4</v>
      </c>
      <c r="C5" s="34">
        <f>PRICE_CORR!C5</f>
        <v>6768</v>
      </c>
      <c r="E5" s="15" t="s">
        <v>23</v>
      </c>
      <c r="F5" s="203" t="str">
        <f>PRICE_CORR!F5</f>
        <v>PF</v>
      </c>
    </row>
    <row r="6" spans="2:18">
      <c r="B6" s="5" t="s">
        <v>5</v>
      </c>
      <c r="C6" s="35">
        <f>PRICE_CORR!C6</f>
        <v>3042.67</v>
      </c>
      <c r="H6" s="174" t="s">
        <v>39</v>
      </c>
      <c r="I6" s="18" t="s">
        <v>30</v>
      </c>
    </row>
    <row r="7" spans="2:18">
      <c r="B7" s="3" t="s">
        <v>6</v>
      </c>
      <c r="C7" s="35">
        <f>PRICE_CORR!C7</f>
        <v>169200</v>
      </c>
      <c r="H7" s="3" t="s">
        <v>27</v>
      </c>
      <c r="I7" s="16">
        <v>2.1000000000000001E-4</v>
      </c>
      <c r="M7" s="61"/>
    </row>
    <row r="8" spans="2:18">
      <c r="B8" s="5" t="s">
        <v>7</v>
      </c>
      <c r="C8" s="37">
        <f ca="1">PRICE_CORR!C8</f>
        <v>228</v>
      </c>
      <c r="H8" s="7" t="s">
        <v>28</v>
      </c>
      <c r="I8" s="17">
        <v>6.9999999999999994E-5</v>
      </c>
      <c r="M8" s="31">
        <f>2478478.98-82250-46228.98</f>
        <v>2350000</v>
      </c>
    </row>
    <row r="9" spans="2:18">
      <c r="B9" s="3" t="s">
        <v>8</v>
      </c>
      <c r="C9" s="38">
        <f>PRICE_CORR!D9</f>
        <v>9.2000000162188317E-3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</row>
    <row r="11" spans="2:18">
      <c r="B11" s="3" t="s">
        <v>10</v>
      </c>
      <c r="C11" s="39">
        <f>PRICE_CORR!C11</f>
        <v>376000</v>
      </c>
      <c r="E11" s="13"/>
    </row>
    <row r="12" spans="2:18">
      <c r="B12" s="5" t="s">
        <v>11</v>
      </c>
      <c r="C12" s="40">
        <f>PRICE_CORR!C12</f>
        <v>6</v>
      </c>
      <c r="H12" s="1255" t="s">
        <v>48</v>
      </c>
      <c r="I12" s="1256"/>
    </row>
    <row r="13" spans="2:18">
      <c r="B13" s="3" t="s">
        <v>12</v>
      </c>
      <c r="C13" s="202">
        <f>PRICE_CORR!C13</f>
        <v>0</v>
      </c>
      <c r="D13" s="19">
        <f ca="1">COUNTIF($L$18:$L$339,C13)</f>
        <v>0</v>
      </c>
      <c r="F13" s="61"/>
      <c r="H13" s="3" t="s">
        <v>48</v>
      </c>
      <c r="I13" s="202">
        <f>PRICE_CORR!L3</f>
        <v>2728.8981088749802</v>
      </c>
      <c r="P13" t="s">
        <v>41</v>
      </c>
      <c r="R13" s="13">
        <f ca="1">SUM(R18:R339)</f>
        <v>23319.8275840391</v>
      </c>
    </row>
    <row r="14" spans="2:18">
      <c r="B14" s="7" t="s">
        <v>13</v>
      </c>
      <c r="C14" s="41"/>
      <c r="H14" s="7" t="s">
        <v>51</v>
      </c>
      <c r="I14" s="64">
        <f ca="1">IF(A19="I",0,1)</f>
        <v>1</v>
      </c>
      <c r="P14" s="22" t="s">
        <v>42</v>
      </c>
      <c r="Q14" s="22"/>
      <c r="R14" s="23">
        <f>E18*0.38%</f>
        <v>680.24054599999999</v>
      </c>
    </row>
    <row r="15" spans="2:18">
      <c r="F15" s="27"/>
      <c r="P15" t="s">
        <v>43</v>
      </c>
      <c r="R15" s="13">
        <f ca="1">R13+R14</f>
        <v>24000.068130039101</v>
      </c>
    </row>
    <row r="16" spans="2:18">
      <c r="F16" s="27"/>
    </row>
    <row r="17" spans="1:18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</row>
    <row r="18" spans="1:18">
      <c r="A18" s="129">
        <v>0</v>
      </c>
      <c r="B18" s="201">
        <f ca="1">F2</f>
        <v>44728</v>
      </c>
      <c r="C18" s="200"/>
      <c r="D18" s="200"/>
      <c r="E18" s="199">
        <f>C2</f>
        <v>179010.67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ca="1" si="1">IF(L18=$C$13,"Pula","")</f>
        <v/>
      </c>
      <c r="L18" s="9">
        <f t="shared" ref="L18:L81" ca="1" si="2">IFERROR(MONTH(B18),"")</f>
        <v>6</v>
      </c>
      <c r="N18" s="9"/>
      <c r="O18" s="9"/>
      <c r="P18" s="175">
        <f t="shared" ref="P18:P81" si="3">IF(A18&lt;&gt;"",C18,"")</f>
        <v>0</v>
      </c>
      <c r="Q18" s="11" t="str">
        <f t="shared" ref="Q18:Q81" ca="1" si="4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ca="1" si="5">IFERROR(Q18*P18,"")</f>
        <v/>
      </c>
    </row>
    <row r="19" spans="1:18">
      <c r="A19" s="198">
        <f ca="1">IF(AND(DAY(F2)&gt;F3,C12&gt;0),1,"I")</f>
        <v>1</v>
      </c>
      <c r="B19" s="197">
        <f ca="1">IF(DAY(F2)=F3,F2,IF(DAY(F2)&lt;F3,IF(DAY(EOMONTH(F2,0))&lt;F3,EOMONTH(F2,0),DATE(YEAR(F2),MONTH(F2),F3)),DATE(YEAR(F2),MONTH(F2)+1,F3)))</f>
        <v>44752</v>
      </c>
      <c r="C19" s="196">
        <f t="shared" ref="C19:C82" ca="1" si="6">IFERROR(IF(OR(J19="Carencia",K19="Pula"),0,$I$13-D19),"")</f>
        <v>0</v>
      </c>
      <c r="D19" s="21">
        <f ca="1">IFERROR(IF(DAY(B19)=DAY(B18),IF(K19="Pula",0,IF(B19=B18,0,($C$9)*E18)),IF(AND($C$12=0,F3&lt;DAY(F2)),($C$9)*E18,((1+$C$9)^(N19/_xlfn.DAYS(EDATE(B18,1),B18))-1)*E18)),"")</f>
        <v>1316.3108546219128</v>
      </c>
      <c r="E19" s="196">
        <f t="shared" ref="E19:E82" ca="1" si="7">IFERROR(IF(OR(J19="Carencia",K19="Pula"),E18,(E18-C19)),"")</f>
        <v>179010.67</v>
      </c>
      <c r="F19" s="178">
        <f ca="1">IFERROR(IF(OR(AND(DAY(B19)=DAY(B18),MONTH(B19)&lt;&gt;MONTH(B18)),MONTH(B19)&lt;&gt;MONTH(B18)),IF(K19="Pula",0,E18*$I$7),0),0)</f>
        <v>37.592240700000005</v>
      </c>
      <c r="G19" s="178">
        <f ca="1">IFERROR(IF(OR(AND(DAY(B19)=DAY(B18),MONTH(B19)&lt;&gt;MONTH(B18)),MONTH(B19)&lt;&gt;MONTH(B18)),IF(K19="Pula",0,$C$11*$I$8),0),0)</f>
        <v>26.319999999999997</v>
      </c>
      <c r="H19" s="177">
        <f ca="1">IFERROR(IF(OR(AND(DAY(B19)=DAY(B18),MONTH(B19)&lt;&gt;MONTH(B18)),MONTH(B19)&lt;&gt;MONTH(B18)),IF(K19="Pula",0,$I$10),0),0)</f>
        <v>25</v>
      </c>
      <c r="I19" s="196"/>
      <c r="J19" s="9" t="str">
        <f t="shared" ca="1" si="0"/>
        <v>Carencia</v>
      </c>
      <c r="K19" s="9" t="str">
        <f t="shared" ca="1" si="1"/>
        <v/>
      </c>
      <c r="L19" s="9">
        <f t="shared" ca="1" si="2"/>
        <v>7</v>
      </c>
      <c r="N19" s="176">
        <f t="shared" ref="N19:N82" ca="1" si="8">IFERROR(B19-B18,"")</f>
        <v>24</v>
      </c>
      <c r="O19" s="176">
        <f ca="1">N19</f>
        <v>24</v>
      </c>
      <c r="P19" s="175">
        <f t="shared" ca="1" si="3"/>
        <v>0</v>
      </c>
      <c r="Q19" s="11" t="str">
        <f t="shared" ca="1" si="4"/>
        <v/>
      </c>
      <c r="R19" s="12" t="str">
        <f t="shared" ca="1" si="5"/>
        <v/>
      </c>
    </row>
    <row r="20" spans="1:18">
      <c r="A20" s="198">
        <f ca="1">IFERROR(A19+1,1)</f>
        <v>2</v>
      </c>
      <c r="B20" s="197">
        <f ca="1">IF(A20&lt;&gt;"",IF(DAY(EOMONTH($F$2,0))&lt;$F$3,IF(MONTH($F$2)=2,DATE(YEAR(B19),3,F3),EOMONTH(B19,1)),EDATE($B$19,A20-$I$14)),"")</f>
        <v>44783</v>
      </c>
      <c r="C20" s="196">
        <f t="shared" ca="1" si="6"/>
        <v>0</v>
      </c>
      <c r="D20" s="21">
        <f t="shared" ref="D20:D83" ca="1" si="9">IFERROR(IF(DAY(B20)=DAY(B19),IF(K20="Pula",0,($C$9)*E19),IF(AND(K20="Pula",J20=""),0,IF(AND($F$3=30,OR(AND(DAY(B19)=28,MONTH(B19)=2),AND(DAY(B19)=29,MONTH(B19)=2))),$C$9*E19,$C$9*E19))),"")</f>
        <v>1646.898166903344</v>
      </c>
      <c r="E20" s="196">
        <f t="shared" ca="1" si="7"/>
        <v>179010.67</v>
      </c>
      <c r="F20" s="178">
        <f t="shared" ref="F20:F83" ca="1" si="10">IFERROR(IF(OR(AND(DAY(B20)=DAY(B19),MONTH(B20)&lt;&gt;MONTH(B19)),MONTH(B20)&lt;&gt;MONTH(B19)),IF(K20="Pula",0,E19*$I$7),0),0)</f>
        <v>37.592240700000005</v>
      </c>
      <c r="G20" s="178">
        <f t="shared" ref="G20:G83" ca="1" si="11">IFERROR(IF(OR(AND(DAY(B20)=DAY(B19),MONTH(B20)&lt;&gt;MONTH(B19)),MONTH(B20)&lt;&gt;MONTH(B19)),IF(K20="Pula",0,$C$11*$I$8),0),0)</f>
        <v>26.319999999999997</v>
      </c>
      <c r="H20" s="177">
        <f t="shared" ref="H20:H83" ca="1" si="12">IFERROR(IF(OR(AND(DAY(B20)=DAY(B19),MONTH(B20)&lt;&gt;MONTH(B19)),MONTH(B20)&lt;&gt;MONTH(B19)),IF(K20="Pula",0,$I$10),0),0)</f>
        <v>25</v>
      </c>
      <c r="I20" s="196"/>
      <c r="J20" s="9" t="str">
        <f t="shared" ca="1" si="0"/>
        <v>Carencia</v>
      </c>
      <c r="K20" s="9" t="str">
        <f t="shared" ca="1" si="1"/>
        <v/>
      </c>
      <c r="L20" s="9">
        <f t="shared" ca="1" si="2"/>
        <v>8</v>
      </c>
      <c r="N20" s="176">
        <f t="shared" ca="1" si="8"/>
        <v>31</v>
      </c>
      <c r="O20" s="176">
        <f t="shared" ref="O20:O83" ca="1" si="13">IFERROR(N20+O19,"")</f>
        <v>55</v>
      </c>
      <c r="P20" s="175">
        <f t="shared" ca="1" si="3"/>
        <v>0</v>
      </c>
      <c r="Q20" s="11" t="str">
        <f t="shared" ca="1" si="4"/>
        <v/>
      </c>
      <c r="R20" s="12" t="str">
        <f t="shared" ca="1" si="5"/>
        <v/>
      </c>
    </row>
    <row r="21" spans="1:18">
      <c r="A21" s="198">
        <f t="shared" ref="A21:A84" ca="1" si="14">IF(A20&gt;=$C$8,"",A20+1)</f>
        <v>3</v>
      </c>
      <c r="B21" s="197">
        <f t="shared" ref="B21:B84" ca="1" si="15">IF(A21&lt;&gt;"",IF(DAY(EOMONTH($F$2,0))&lt;$F$3,IF(AND(MONTH($F$2)=2,$F$3&lt;&gt;31),IF(AND(MONTH($F$2)=2,$F$3&lt;&gt;31,MONTH(B20)=2),DATE(YEAR(B20),MONTH(B20)+1,$F$3),EDATE(B20,1)),EOMONTH(B20,1)),EDATE($B$19,A21-$I$14)),"")</f>
        <v>44814</v>
      </c>
      <c r="C21" s="196">
        <f t="shared" ca="1" si="6"/>
        <v>0</v>
      </c>
      <c r="D21" s="21">
        <f t="shared" ca="1" si="9"/>
        <v>1646.898166903344</v>
      </c>
      <c r="E21" s="196">
        <f t="shared" ca="1" si="7"/>
        <v>179010.67</v>
      </c>
      <c r="F21" s="178">
        <f t="shared" ca="1" si="10"/>
        <v>37.592240700000005</v>
      </c>
      <c r="G21" s="178">
        <f t="shared" ca="1" si="11"/>
        <v>26.319999999999997</v>
      </c>
      <c r="H21" s="177">
        <f t="shared" ca="1" si="12"/>
        <v>25</v>
      </c>
      <c r="I21" s="196"/>
      <c r="J21" s="9" t="str">
        <f t="shared" ca="1" si="0"/>
        <v>Carencia</v>
      </c>
      <c r="K21" s="9" t="str">
        <f t="shared" ca="1" si="1"/>
        <v/>
      </c>
      <c r="L21" s="9">
        <f t="shared" ca="1" si="2"/>
        <v>9</v>
      </c>
      <c r="N21" s="176">
        <f t="shared" ca="1" si="8"/>
        <v>31</v>
      </c>
      <c r="O21" s="176">
        <f t="shared" ca="1" si="13"/>
        <v>86</v>
      </c>
      <c r="P21" s="175">
        <f t="shared" ca="1" si="3"/>
        <v>0</v>
      </c>
      <c r="Q21" s="11" t="str">
        <f t="shared" ca="1" si="4"/>
        <v/>
      </c>
      <c r="R21" s="12" t="str">
        <f t="shared" ca="1" si="5"/>
        <v/>
      </c>
    </row>
    <row r="22" spans="1:18">
      <c r="A22" s="198">
        <f t="shared" ca="1" si="14"/>
        <v>4</v>
      </c>
      <c r="B22" s="197">
        <f t="shared" ca="1" si="15"/>
        <v>44844</v>
      </c>
      <c r="C22" s="196">
        <f t="shared" ca="1" si="6"/>
        <v>0</v>
      </c>
      <c r="D22" s="21">
        <f t="shared" ca="1" si="9"/>
        <v>1646.898166903344</v>
      </c>
      <c r="E22" s="196">
        <f t="shared" ca="1" si="7"/>
        <v>179010.67</v>
      </c>
      <c r="F22" s="178">
        <f t="shared" ca="1" si="10"/>
        <v>37.592240700000005</v>
      </c>
      <c r="G22" s="178">
        <f t="shared" ca="1" si="11"/>
        <v>26.319999999999997</v>
      </c>
      <c r="H22" s="177">
        <f t="shared" ca="1" si="12"/>
        <v>25</v>
      </c>
      <c r="I22" s="196"/>
      <c r="J22" s="9" t="str">
        <f t="shared" ca="1" si="0"/>
        <v>Carencia</v>
      </c>
      <c r="K22" s="9" t="str">
        <f t="shared" ca="1" si="1"/>
        <v/>
      </c>
      <c r="L22" s="9">
        <f t="shared" ca="1" si="2"/>
        <v>10</v>
      </c>
      <c r="N22" s="176">
        <f t="shared" ca="1" si="8"/>
        <v>30</v>
      </c>
      <c r="O22" s="176">
        <f t="shared" ca="1" si="13"/>
        <v>116</v>
      </c>
      <c r="P22" s="175">
        <f t="shared" ca="1" si="3"/>
        <v>0</v>
      </c>
      <c r="Q22" s="11" t="str">
        <f t="shared" ca="1" si="4"/>
        <v/>
      </c>
      <c r="R22" s="12" t="str">
        <f t="shared" ca="1" si="5"/>
        <v/>
      </c>
    </row>
    <row r="23" spans="1:18">
      <c r="A23" s="198">
        <f t="shared" ca="1" si="14"/>
        <v>5</v>
      </c>
      <c r="B23" s="197">
        <f t="shared" ca="1" si="15"/>
        <v>44875</v>
      </c>
      <c r="C23" s="196">
        <f t="shared" ca="1" si="6"/>
        <v>0</v>
      </c>
      <c r="D23" s="21">
        <f t="shared" ca="1" si="9"/>
        <v>1646.898166903344</v>
      </c>
      <c r="E23" s="196">
        <f t="shared" ca="1" si="7"/>
        <v>179010.67</v>
      </c>
      <c r="F23" s="178">
        <f t="shared" ca="1" si="10"/>
        <v>37.592240700000005</v>
      </c>
      <c r="G23" s="178">
        <f t="shared" ca="1" si="11"/>
        <v>26.319999999999997</v>
      </c>
      <c r="H23" s="177">
        <f t="shared" ca="1" si="12"/>
        <v>25</v>
      </c>
      <c r="I23" s="196"/>
      <c r="J23" s="9" t="str">
        <f t="shared" ca="1" si="0"/>
        <v>Carencia</v>
      </c>
      <c r="K23" s="9" t="str">
        <f t="shared" ca="1" si="1"/>
        <v/>
      </c>
      <c r="L23" s="9">
        <f t="shared" ca="1" si="2"/>
        <v>11</v>
      </c>
      <c r="N23" s="176">
        <f t="shared" ca="1" si="8"/>
        <v>31</v>
      </c>
      <c r="O23" s="176">
        <f t="shared" ca="1" si="13"/>
        <v>147</v>
      </c>
      <c r="P23" s="175">
        <f t="shared" ca="1" si="3"/>
        <v>0</v>
      </c>
      <c r="Q23" s="11" t="str">
        <f t="shared" ca="1" si="4"/>
        <v/>
      </c>
      <c r="R23" s="12" t="str">
        <f t="shared" ca="1" si="5"/>
        <v/>
      </c>
    </row>
    <row r="24" spans="1:18">
      <c r="A24" s="198">
        <f t="shared" ca="1" si="14"/>
        <v>6</v>
      </c>
      <c r="B24" s="197">
        <f t="shared" ca="1" si="15"/>
        <v>44905</v>
      </c>
      <c r="C24" s="196">
        <f t="shared" ca="1" si="6"/>
        <v>0</v>
      </c>
      <c r="D24" s="21">
        <f t="shared" ca="1" si="9"/>
        <v>1646.898166903344</v>
      </c>
      <c r="E24" s="196">
        <f t="shared" ca="1" si="7"/>
        <v>179010.67</v>
      </c>
      <c r="F24" s="178">
        <f t="shared" ca="1" si="10"/>
        <v>37.592240700000005</v>
      </c>
      <c r="G24" s="178">
        <f t="shared" ca="1" si="11"/>
        <v>26.319999999999997</v>
      </c>
      <c r="H24" s="177">
        <f t="shared" ca="1" si="12"/>
        <v>25</v>
      </c>
      <c r="I24" s="196"/>
      <c r="J24" s="9" t="str">
        <f t="shared" ca="1" si="0"/>
        <v>Carencia</v>
      </c>
      <c r="K24" s="9" t="str">
        <f t="shared" ca="1" si="1"/>
        <v/>
      </c>
      <c r="L24" s="9">
        <f t="shared" ca="1" si="2"/>
        <v>12</v>
      </c>
      <c r="N24" s="176">
        <f t="shared" ca="1" si="8"/>
        <v>30</v>
      </c>
      <c r="O24" s="176">
        <f t="shared" ca="1" si="13"/>
        <v>177</v>
      </c>
      <c r="P24" s="175">
        <f t="shared" ca="1" si="3"/>
        <v>0</v>
      </c>
      <c r="Q24" s="11" t="str">
        <f t="shared" ca="1" si="4"/>
        <v/>
      </c>
      <c r="R24" s="12" t="str">
        <f t="shared" ca="1" si="5"/>
        <v/>
      </c>
    </row>
    <row r="25" spans="1:18">
      <c r="A25" s="198">
        <f t="shared" ca="1" si="14"/>
        <v>7</v>
      </c>
      <c r="B25" s="197">
        <f t="shared" ca="1" si="15"/>
        <v>44936</v>
      </c>
      <c r="C25" s="196">
        <f t="shared" ca="1" si="6"/>
        <v>1081.9999419716362</v>
      </c>
      <c r="D25" s="21">
        <f t="shared" ca="1" si="9"/>
        <v>1646.898166903344</v>
      </c>
      <c r="E25" s="196">
        <f t="shared" ca="1" si="7"/>
        <v>177928.67005802837</v>
      </c>
      <c r="F25" s="178">
        <f t="shared" ca="1" si="10"/>
        <v>37.592240700000005</v>
      </c>
      <c r="G25" s="178">
        <f t="shared" ca="1" si="11"/>
        <v>26.319999999999997</v>
      </c>
      <c r="H25" s="177">
        <f t="shared" ca="1" si="12"/>
        <v>25</v>
      </c>
      <c r="I25" s="196"/>
      <c r="J25" s="9" t="str">
        <f t="shared" ca="1" si="0"/>
        <v/>
      </c>
      <c r="K25" s="9" t="str">
        <f t="shared" ca="1" si="1"/>
        <v/>
      </c>
      <c r="L25" s="9">
        <f t="shared" ca="1" si="2"/>
        <v>1</v>
      </c>
      <c r="N25" s="176">
        <f t="shared" ca="1" si="8"/>
        <v>31</v>
      </c>
      <c r="O25" s="176">
        <f t="shared" ca="1" si="13"/>
        <v>208</v>
      </c>
      <c r="P25" s="175">
        <f t="shared" ca="1" si="3"/>
        <v>1081.9999419716362</v>
      </c>
      <c r="Q25" s="11">
        <f t="shared" ca="1" si="4"/>
        <v>1.7056000000000002E-2</v>
      </c>
      <c r="R25" s="12">
        <f t="shared" ca="1" si="5"/>
        <v>18.454591010268228</v>
      </c>
    </row>
    <row r="26" spans="1:18">
      <c r="A26" s="198">
        <f t="shared" ca="1" si="14"/>
        <v>8</v>
      </c>
      <c r="B26" s="197">
        <f t="shared" ca="1" si="15"/>
        <v>44967</v>
      </c>
      <c r="C26" s="196">
        <f t="shared" ca="1" si="6"/>
        <v>1091.9543414553241</v>
      </c>
      <c r="D26" s="21">
        <f t="shared" ca="1" si="9"/>
        <v>1636.9437674196561</v>
      </c>
      <c r="E26" s="196">
        <f t="shared" ca="1" si="7"/>
        <v>176836.71571657303</v>
      </c>
      <c r="F26" s="178">
        <f t="shared" ca="1" si="10"/>
        <v>37.365020712185959</v>
      </c>
      <c r="G26" s="178">
        <f t="shared" ca="1" si="11"/>
        <v>26.319999999999997</v>
      </c>
      <c r="H26" s="177">
        <f t="shared" ca="1" si="12"/>
        <v>25</v>
      </c>
      <c r="I26" s="196"/>
      <c r="J26" s="9" t="str">
        <f t="shared" ca="1" si="0"/>
        <v/>
      </c>
      <c r="K26" s="9" t="str">
        <f t="shared" ca="1" si="1"/>
        <v/>
      </c>
      <c r="L26" s="9">
        <f t="shared" ca="1" si="2"/>
        <v>2</v>
      </c>
      <c r="N26" s="176">
        <f t="shared" ca="1" si="8"/>
        <v>31</v>
      </c>
      <c r="O26" s="176">
        <f t="shared" ca="1" si="13"/>
        <v>239</v>
      </c>
      <c r="P26" s="175">
        <f t="shared" ca="1" si="3"/>
        <v>1091.9543414553241</v>
      </c>
      <c r="Q26" s="11">
        <f t="shared" ca="1" si="4"/>
        <v>1.9598000000000001E-2</v>
      </c>
      <c r="R26" s="12">
        <f t="shared" ca="1" si="5"/>
        <v>21.400121183841442</v>
      </c>
    </row>
    <row r="27" spans="1:18">
      <c r="A27" s="198">
        <f t="shared" ca="1" si="14"/>
        <v>9</v>
      </c>
      <c r="B27" s="197">
        <f t="shared" ca="1" si="15"/>
        <v>44995</v>
      </c>
      <c r="C27" s="196">
        <f t="shared" ca="1" si="6"/>
        <v>1102.0003214144233</v>
      </c>
      <c r="D27" s="21">
        <f t="shared" ca="1" si="9"/>
        <v>1626.8977874605569</v>
      </c>
      <c r="E27" s="196">
        <f t="shared" ca="1" si="7"/>
        <v>175734.71539515862</v>
      </c>
      <c r="F27" s="178">
        <f t="shared" ca="1" si="10"/>
        <v>37.135710300480341</v>
      </c>
      <c r="G27" s="178">
        <f t="shared" ca="1" si="11"/>
        <v>26.319999999999997</v>
      </c>
      <c r="H27" s="177">
        <f t="shared" ca="1" si="12"/>
        <v>25</v>
      </c>
      <c r="I27" s="196"/>
      <c r="J27" s="9" t="str">
        <f t="shared" ca="1" si="0"/>
        <v/>
      </c>
      <c r="K27" s="9" t="str">
        <f t="shared" ca="1" si="1"/>
        <v/>
      </c>
      <c r="L27" s="9">
        <f t="shared" ca="1" si="2"/>
        <v>3</v>
      </c>
      <c r="N27" s="176">
        <f t="shared" ca="1" si="8"/>
        <v>28</v>
      </c>
      <c r="O27" s="176">
        <f t="shared" ca="1" si="13"/>
        <v>267</v>
      </c>
      <c r="P27" s="175">
        <f t="shared" ca="1" si="3"/>
        <v>1102.0003214144233</v>
      </c>
      <c r="Q27" s="11">
        <f t="shared" ca="1" si="4"/>
        <v>2.1894E-2</v>
      </c>
      <c r="R27" s="12">
        <f t="shared" ca="1" si="5"/>
        <v>24.127195037047382</v>
      </c>
    </row>
    <row r="28" spans="1:18">
      <c r="A28" s="198">
        <f t="shared" ca="1" si="14"/>
        <v>10</v>
      </c>
      <c r="B28" s="197">
        <f t="shared" ca="1" si="15"/>
        <v>45026</v>
      </c>
      <c r="C28" s="196">
        <f t="shared" ca="1" si="6"/>
        <v>1112.1387243893091</v>
      </c>
      <c r="D28" s="21">
        <f t="shared" ca="1" si="9"/>
        <v>1616.759384485671</v>
      </c>
      <c r="E28" s="196">
        <f t="shared" ca="1" si="7"/>
        <v>174622.57667076931</v>
      </c>
      <c r="F28" s="178">
        <f t="shared" ca="1" si="10"/>
        <v>36.904290232983314</v>
      </c>
      <c r="G28" s="178">
        <f t="shared" ca="1" si="11"/>
        <v>26.319999999999997</v>
      </c>
      <c r="H28" s="177">
        <f t="shared" ca="1" si="12"/>
        <v>25</v>
      </c>
      <c r="I28" s="196"/>
      <c r="J28" s="9" t="str">
        <f t="shared" ca="1" si="0"/>
        <v/>
      </c>
      <c r="K28" s="9" t="str">
        <f t="shared" ca="1" si="1"/>
        <v/>
      </c>
      <c r="L28" s="9">
        <f t="shared" ca="1" si="2"/>
        <v>4</v>
      </c>
      <c r="N28" s="176">
        <f t="shared" ca="1" si="8"/>
        <v>31</v>
      </c>
      <c r="O28" s="176">
        <f t="shared" ca="1" si="13"/>
        <v>298</v>
      </c>
      <c r="P28" s="175">
        <f t="shared" ca="1" si="3"/>
        <v>1112.1387243893091</v>
      </c>
      <c r="Q28" s="11">
        <f t="shared" ca="1" si="4"/>
        <v>2.4435999999999999E-2</v>
      </c>
      <c r="R28" s="12">
        <f t="shared" ca="1" si="5"/>
        <v>27.176221869177159</v>
      </c>
    </row>
    <row r="29" spans="1:18">
      <c r="A29" s="198">
        <f t="shared" ca="1" si="14"/>
        <v>11</v>
      </c>
      <c r="B29" s="197">
        <f t="shared" ca="1" si="15"/>
        <v>45056</v>
      </c>
      <c r="C29" s="196">
        <f t="shared" ca="1" si="6"/>
        <v>1122.3704006717282</v>
      </c>
      <c r="D29" s="21">
        <f t="shared" ca="1" si="9"/>
        <v>1606.5277082032519</v>
      </c>
      <c r="E29" s="196">
        <f t="shared" ca="1" si="7"/>
        <v>173500.20627009758</v>
      </c>
      <c r="F29" s="178">
        <f t="shared" ca="1" si="10"/>
        <v>36.670741100861555</v>
      </c>
      <c r="G29" s="178">
        <f t="shared" ca="1" si="11"/>
        <v>26.319999999999997</v>
      </c>
      <c r="H29" s="177">
        <f t="shared" ca="1" si="12"/>
        <v>25</v>
      </c>
      <c r="I29" s="196"/>
      <c r="J29" s="9" t="str">
        <f t="shared" ca="1" si="0"/>
        <v/>
      </c>
      <c r="K29" s="9" t="str">
        <f t="shared" ca="1" si="1"/>
        <v/>
      </c>
      <c r="L29" s="9">
        <f t="shared" ca="1" si="2"/>
        <v>5</v>
      </c>
      <c r="N29" s="176">
        <f t="shared" ca="1" si="8"/>
        <v>30</v>
      </c>
      <c r="O29" s="176">
        <f t="shared" ca="1" si="13"/>
        <v>328</v>
      </c>
      <c r="P29" s="175">
        <f t="shared" ca="1" si="3"/>
        <v>1122.3704006717282</v>
      </c>
      <c r="Q29" s="11">
        <f t="shared" ca="1" si="4"/>
        <v>2.6896E-2</v>
      </c>
      <c r="R29" s="12">
        <f t="shared" ca="1" si="5"/>
        <v>30.187274296466803</v>
      </c>
    </row>
    <row r="30" spans="1:18">
      <c r="A30" s="198">
        <f t="shared" ca="1" si="14"/>
        <v>12</v>
      </c>
      <c r="B30" s="197">
        <f t="shared" ca="1" si="15"/>
        <v>45087</v>
      </c>
      <c r="C30" s="196">
        <f t="shared" ca="1" si="6"/>
        <v>1132.6962083761118</v>
      </c>
      <c r="D30" s="21">
        <f t="shared" ca="1" si="9"/>
        <v>1596.2019004988683</v>
      </c>
      <c r="E30" s="196">
        <f t="shared" ca="1" si="7"/>
        <v>172367.51006172146</v>
      </c>
      <c r="F30" s="178">
        <f t="shared" ca="1" si="10"/>
        <v>36.435043316720495</v>
      </c>
      <c r="G30" s="178">
        <f t="shared" ca="1" si="11"/>
        <v>26.319999999999997</v>
      </c>
      <c r="H30" s="177">
        <f t="shared" ca="1" si="12"/>
        <v>25</v>
      </c>
      <c r="I30" s="196"/>
      <c r="J30" s="9" t="str">
        <f t="shared" ca="1" si="0"/>
        <v/>
      </c>
      <c r="K30" s="9" t="str">
        <f t="shared" ca="1" si="1"/>
        <v/>
      </c>
      <c r="L30" s="9">
        <f t="shared" ca="1" si="2"/>
        <v>6</v>
      </c>
      <c r="N30" s="176">
        <f t="shared" ca="1" si="8"/>
        <v>31</v>
      </c>
      <c r="O30" s="176">
        <f t="shared" ca="1" si="13"/>
        <v>359</v>
      </c>
      <c r="P30" s="175">
        <f t="shared" ca="1" si="3"/>
        <v>1132.6962083761118</v>
      </c>
      <c r="Q30" s="11">
        <f t="shared" ca="1" si="4"/>
        <v>2.9437999999999999E-2</v>
      </c>
      <c r="R30" s="12">
        <f t="shared" ca="1" si="5"/>
        <v>33.344310982175976</v>
      </c>
    </row>
    <row r="31" spans="1:18">
      <c r="A31" s="198">
        <f t="shared" ca="1" si="14"/>
        <v>13</v>
      </c>
      <c r="B31" s="197">
        <f t="shared" ca="1" si="15"/>
        <v>45117</v>
      </c>
      <c r="C31" s="196">
        <f t="shared" ca="1" si="6"/>
        <v>1143.1170135115431</v>
      </c>
      <c r="D31" s="21">
        <f t="shared" ca="1" si="9"/>
        <v>1585.7810953634371</v>
      </c>
      <c r="E31" s="196">
        <f t="shared" ca="1" si="7"/>
        <v>171224.39304820992</v>
      </c>
      <c r="F31" s="178">
        <f t="shared" ca="1" si="10"/>
        <v>36.197177112961512</v>
      </c>
      <c r="G31" s="178">
        <f t="shared" ca="1" si="11"/>
        <v>26.319999999999997</v>
      </c>
      <c r="H31" s="177">
        <f t="shared" ca="1" si="12"/>
        <v>25</v>
      </c>
      <c r="I31" s="196"/>
      <c r="J31" s="9" t="str">
        <f t="shared" ca="1" si="0"/>
        <v/>
      </c>
      <c r="K31" s="9" t="str">
        <f t="shared" ca="1" si="1"/>
        <v/>
      </c>
      <c r="L31" s="9">
        <f t="shared" ca="1" si="2"/>
        <v>7</v>
      </c>
      <c r="N31" s="176">
        <f t="shared" ca="1" si="8"/>
        <v>30</v>
      </c>
      <c r="O31" s="176">
        <f t="shared" ca="1" si="13"/>
        <v>389</v>
      </c>
      <c r="P31" s="175">
        <f t="shared" ca="1" si="3"/>
        <v>1143.1170135115431</v>
      </c>
      <c r="Q31" s="11">
        <f t="shared" ca="1" si="4"/>
        <v>2.9930000000000002E-2</v>
      </c>
      <c r="R31" s="12">
        <f t="shared" ca="1" si="5"/>
        <v>34.213492214400489</v>
      </c>
    </row>
    <row r="32" spans="1:18">
      <c r="A32" s="198">
        <f t="shared" ca="1" si="14"/>
        <v>14</v>
      </c>
      <c r="B32" s="197">
        <f t="shared" ca="1" si="15"/>
        <v>45148</v>
      </c>
      <c r="C32" s="196">
        <f t="shared" ca="1" si="6"/>
        <v>1153.6336900543893</v>
      </c>
      <c r="D32" s="21">
        <f t="shared" ca="1" si="9"/>
        <v>1575.2644188205909</v>
      </c>
      <c r="E32" s="196">
        <f t="shared" ca="1" si="7"/>
        <v>170070.75935815554</v>
      </c>
      <c r="F32" s="178">
        <f t="shared" ca="1" si="10"/>
        <v>35.957122540124082</v>
      </c>
      <c r="G32" s="178">
        <f t="shared" ca="1" si="11"/>
        <v>26.319999999999997</v>
      </c>
      <c r="H32" s="177">
        <f t="shared" ca="1" si="12"/>
        <v>25</v>
      </c>
      <c r="I32" s="196"/>
      <c r="J32" s="9" t="str">
        <f t="shared" ca="1" si="0"/>
        <v/>
      </c>
      <c r="K32" s="9" t="str">
        <f t="shared" ca="1" si="1"/>
        <v/>
      </c>
      <c r="L32" s="9">
        <f t="shared" ca="1" si="2"/>
        <v>8</v>
      </c>
      <c r="N32" s="176">
        <f t="shared" ca="1" si="8"/>
        <v>31</v>
      </c>
      <c r="O32" s="176">
        <f t="shared" ca="1" si="13"/>
        <v>420</v>
      </c>
      <c r="P32" s="175">
        <f t="shared" ca="1" si="3"/>
        <v>1153.6336900543893</v>
      </c>
      <c r="Q32" s="11">
        <f t="shared" ca="1" si="4"/>
        <v>2.9930000000000002E-2</v>
      </c>
      <c r="R32" s="12">
        <f t="shared" ca="1" si="5"/>
        <v>34.528256343327875</v>
      </c>
    </row>
    <row r="33" spans="1:18">
      <c r="A33" s="198">
        <f t="shared" ca="1" si="14"/>
        <v>15</v>
      </c>
      <c r="B33" s="197">
        <f t="shared" ca="1" si="15"/>
        <v>45179</v>
      </c>
      <c r="C33" s="196">
        <f t="shared" ca="1" si="6"/>
        <v>1164.2471200216003</v>
      </c>
      <c r="D33" s="21">
        <f t="shared" ca="1" si="9"/>
        <v>1564.6509888533799</v>
      </c>
      <c r="E33" s="196">
        <f t="shared" ca="1" si="7"/>
        <v>168906.51223813393</v>
      </c>
      <c r="F33" s="178">
        <f t="shared" ca="1" si="10"/>
        <v>35.714859465212662</v>
      </c>
      <c r="G33" s="178">
        <f t="shared" ca="1" si="11"/>
        <v>26.319999999999997</v>
      </c>
      <c r="H33" s="177">
        <f t="shared" ca="1" si="12"/>
        <v>25</v>
      </c>
      <c r="I33" s="196"/>
      <c r="J33" s="9" t="str">
        <f t="shared" ca="1" si="0"/>
        <v/>
      </c>
      <c r="K33" s="9" t="str">
        <f t="shared" ca="1" si="1"/>
        <v/>
      </c>
      <c r="L33" s="9">
        <f t="shared" ca="1" si="2"/>
        <v>9</v>
      </c>
      <c r="N33" s="176">
        <f t="shared" ca="1" si="8"/>
        <v>31</v>
      </c>
      <c r="O33" s="176">
        <f t="shared" ca="1" si="13"/>
        <v>451</v>
      </c>
      <c r="P33" s="175">
        <f t="shared" ca="1" si="3"/>
        <v>1164.2471200216003</v>
      </c>
      <c r="Q33" s="11">
        <f t="shared" ca="1" si="4"/>
        <v>2.9930000000000002E-2</v>
      </c>
      <c r="R33" s="12">
        <f t="shared" ca="1" si="5"/>
        <v>34.845916302246501</v>
      </c>
    </row>
    <row r="34" spans="1:18">
      <c r="A34" s="198">
        <f t="shared" ca="1" si="14"/>
        <v>16</v>
      </c>
      <c r="B34" s="197">
        <f t="shared" ca="1" si="15"/>
        <v>45209</v>
      </c>
      <c r="C34" s="196">
        <f t="shared" ca="1" si="6"/>
        <v>1174.9581935446818</v>
      </c>
      <c r="D34" s="21">
        <f t="shared" ca="1" si="9"/>
        <v>1553.9399153302984</v>
      </c>
      <c r="E34" s="196">
        <f t="shared" ca="1" si="7"/>
        <v>167731.55404458925</v>
      </c>
      <c r="F34" s="178">
        <f t="shared" ca="1" si="10"/>
        <v>35.470367570008129</v>
      </c>
      <c r="G34" s="178">
        <f t="shared" ca="1" si="11"/>
        <v>26.319999999999997</v>
      </c>
      <c r="H34" s="177">
        <f t="shared" ca="1" si="12"/>
        <v>25</v>
      </c>
      <c r="I34" s="196"/>
      <c r="J34" s="9" t="str">
        <f t="shared" ca="1" si="0"/>
        <v/>
      </c>
      <c r="K34" s="9" t="str">
        <f t="shared" ca="1" si="1"/>
        <v/>
      </c>
      <c r="L34" s="9">
        <f t="shared" ca="1" si="2"/>
        <v>10</v>
      </c>
      <c r="N34" s="176">
        <f t="shared" ca="1" si="8"/>
        <v>30</v>
      </c>
      <c r="O34" s="176">
        <f t="shared" ca="1" si="13"/>
        <v>481</v>
      </c>
      <c r="P34" s="175">
        <f t="shared" ca="1" si="3"/>
        <v>1174.9581935446818</v>
      </c>
      <c r="Q34" s="11">
        <f t="shared" ca="1" si="4"/>
        <v>2.9930000000000002E-2</v>
      </c>
      <c r="R34" s="12">
        <f t="shared" ca="1" si="5"/>
        <v>35.166498732792327</v>
      </c>
    </row>
    <row r="35" spans="1:18">
      <c r="A35" s="198">
        <f t="shared" ca="1" si="14"/>
        <v>17</v>
      </c>
      <c r="B35" s="197">
        <f t="shared" ca="1" si="15"/>
        <v>45240</v>
      </c>
      <c r="C35" s="196">
        <f t="shared" ca="1" si="6"/>
        <v>1185.7678089443491</v>
      </c>
      <c r="D35" s="21">
        <f t="shared" ca="1" si="9"/>
        <v>1543.1302999306311</v>
      </c>
      <c r="E35" s="196">
        <f t="shared" ca="1" si="7"/>
        <v>166545.78623564492</v>
      </c>
      <c r="F35" s="178">
        <f t="shared" ca="1" si="10"/>
        <v>35.223626349363748</v>
      </c>
      <c r="G35" s="178">
        <f t="shared" ca="1" si="11"/>
        <v>26.319999999999997</v>
      </c>
      <c r="H35" s="177">
        <f t="shared" ca="1" si="12"/>
        <v>25</v>
      </c>
      <c r="I35" s="196"/>
      <c r="J35" s="9" t="str">
        <f t="shared" ca="1" si="0"/>
        <v/>
      </c>
      <c r="K35" s="9" t="str">
        <f t="shared" ca="1" si="1"/>
        <v/>
      </c>
      <c r="L35" s="9">
        <f t="shared" ca="1" si="2"/>
        <v>11</v>
      </c>
      <c r="N35" s="176">
        <f t="shared" ca="1" si="8"/>
        <v>31</v>
      </c>
      <c r="O35" s="176">
        <f t="shared" ca="1" si="13"/>
        <v>512</v>
      </c>
      <c r="P35" s="175">
        <f t="shared" ca="1" si="3"/>
        <v>1185.7678089443491</v>
      </c>
      <c r="Q35" s="11">
        <f t="shared" ca="1" si="4"/>
        <v>2.9930000000000002E-2</v>
      </c>
      <c r="R35" s="12">
        <f t="shared" ca="1" si="5"/>
        <v>35.490030521704369</v>
      </c>
    </row>
    <row r="36" spans="1:18">
      <c r="A36" s="198">
        <f t="shared" ca="1" si="14"/>
        <v>18</v>
      </c>
      <c r="B36" s="197">
        <f t="shared" ca="1" si="15"/>
        <v>45270</v>
      </c>
      <c r="C36" s="196">
        <f t="shared" ca="1" si="6"/>
        <v>1196.6768728058689</v>
      </c>
      <c r="D36" s="21">
        <f t="shared" ca="1" si="9"/>
        <v>1532.2212360691112</v>
      </c>
      <c r="E36" s="196">
        <f t="shared" ca="1" si="7"/>
        <v>165349.10936283905</v>
      </c>
      <c r="F36" s="178">
        <f t="shared" ca="1" si="10"/>
        <v>34.974615109485434</v>
      </c>
      <c r="G36" s="178">
        <f t="shared" ca="1" si="11"/>
        <v>26.319999999999997</v>
      </c>
      <c r="H36" s="177">
        <f t="shared" ca="1" si="12"/>
        <v>25</v>
      </c>
      <c r="I36" s="196"/>
      <c r="J36" s="9" t="str">
        <f t="shared" ca="1" si="0"/>
        <v/>
      </c>
      <c r="K36" s="9" t="str">
        <f t="shared" ca="1" si="1"/>
        <v/>
      </c>
      <c r="L36" s="9">
        <f t="shared" ca="1" si="2"/>
        <v>12</v>
      </c>
      <c r="N36" s="176">
        <f t="shared" ca="1" si="8"/>
        <v>30</v>
      </c>
      <c r="O36" s="176">
        <f t="shared" ca="1" si="13"/>
        <v>542</v>
      </c>
      <c r="P36" s="175">
        <f t="shared" ca="1" si="3"/>
        <v>1196.6768728058689</v>
      </c>
      <c r="Q36" s="11">
        <f t="shared" ca="1" si="4"/>
        <v>2.9930000000000002E-2</v>
      </c>
      <c r="R36" s="12">
        <f t="shared" ca="1" si="5"/>
        <v>35.816538803079659</v>
      </c>
    </row>
    <row r="37" spans="1:18">
      <c r="A37" s="198">
        <f t="shared" ca="1" si="14"/>
        <v>19</v>
      </c>
      <c r="B37" s="197">
        <f t="shared" ca="1" si="15"/>
        <v>45301</v>
      </c>
      <c r="C37" s="196">
        <f t="shared" ca="1" si="6"/>
        <v>1207.6863000550916</v>
      </c>
      <c r="D37" s="21">
        <f t="shared" ca="1" si="9"/>
        <v>1521.2118088198886</v>
      </c>
      <c r="E37" s="196">
        <f t="shared" ca="1" si="7"/>
        <v>164141.42306278396</v>
      </c>
      <c r="F37" s="178">
        <f t="shared" ca="1" si="10"/>
        <v>34.723312966196204</v>
      </c>
      <c r="G37" s="178">
        <f t="shared" ca="1" si="11"/>
        <v>26.319999999999997</v>
      </c>
      <c r="H37" s="177">
        <f t="shared" ca="1" si="12"/>
        <v>25</v>
      </c>
      <c r="I37" s="196"/>
      <c r="J37" s="9" t="str">
        <f t="shared" ca="1" si="0"/>
        <v/>
      </c>
      <c r="K37" s="9" t="str">
        <f t="shared" ca="1" si="1"/>
        <v/>
      </c>
      <c r="L37" s="9">
        <f t="shared" ca="1" si="2"/>
        <v>1</v>
      </c>
      <c r="N37" s="176">
        <f t="shared" ca="1" si="8"/>
        <v>31</v>
      </c>
      <c r="O37" s="176">
        <f t="shared" ca="1" si="13"/>
        <v>573</v>
      </c>
      <c r="P37" s="175">
        <f t="shared" ca="1" si="3"/>
        <v>1207.6863000550916</v>
      </c>
      <c r="Q37" s="11">
        <f t="shared" ca="1" si="4"/>
        <v>2.9930000000000002E-2</v>
      </c>
      <c r="R37" s="12">
        <f t="shared" ca="1" si="5"/>
        <v>36.146050960648893</v>
      </c>
    </row>
    <row r="38" spans="1:18">
      <c r="A38" s="198">
        <f t="shared" ca="1" si="14"/>
        <v>20</v>
      </c>
      <c r="B38" s="197">
        <f t="shared" ca="1" si="15"/>
        <v>45332</v>
      </c>
      <c r="C38" s="196">
        <f t="shared" ca="1" si="6"/>
        <v>1218.7970140351856</v>
      </c>
      <c r="D38" s="21">
        <f t="shared" ca="1" si="9"/>
        <v>1510.1010948397945</v>
      </c>
      <c r="E38" s="196">
        <f t="shared" ca="1" si="7"/>
        <v>162922.62604874876</v>
      </c>
      <c r="F38" s="178">
        <f t="shared" ca="1" si="10"/>
        <v>34.469698843184631</v>
      </c>
      <c r="G38" s="178">
        <f t="shared" ca="1" si="11"/>
        <v>26.319999999999997</v>
      </c>
      <c r="H38" s="177">
        <f t="shared" ca="1" si="12"/>
        <v>25</v>
      </c>
      <c r="I38" s="196"/>
      <c r="J38" s="9" t="str">
        <f t="shared" ca="1" si="0"/>
        <v/>
      </c>
      <c r="K38" s="9" t="str">
        <f t="shared" ca="1" si="1"/>
        <v/>
      </c>
      <c r="L38" s="9">
        <f t="shared" ca="1" si="2"/>
        <v>2</v>
      </c>
      <c r="N38" s="176">
        <f t="shared" ca="1" si="8"/>
        <v>31</v>
      </c>
      <c r="O38" s="176">
        <f t="shared" ca="1" si="13"/>
        <v>604</v>
      </c>
      <c r="P38" s="175">
        <f t="shared" ca="1" si="3"/>
        <v>1218.7970140351856</v>
      </c>
      <c r="Q38" s="11">
        <f t="shared" ca="1" si="4"/>
        <v>2.9930000000000002E-2</v>
      </c>
      <c r="R38" s="12">
        <f t="shared" ca="1" si="5"/>
        <v>36.478594630073104</v>
      </c>
    </row>
    <row r="39" spans="1:18">
      <c r="A39" s="198">
        <f t="shared" ca="1" si="14"/>
        <v>21</v>
      </c>
      <c r="B39" s="197">
        <f t="shared" ca="1" si="15"/>
        <v>45361</v>
      </c>
      <c r="C39" s="196">
        <f t="shared" ca="1" si="6"/>
        <v>1230.0099465840769</v>
      </c>
      <c r="D39" s="21">
        <f t="shared" ca="1" si="9"/>
        <v>1498.8881622909032</v>
      </c>
      <c r="E39" s="196">
        <f t="shared" ca="1" si="7"/>
        <v>161692.61610216467</v>
      </c>
      <c r="F39" s="178">
        <f t="shared" ca="1" si="10"/>
        <v>34.213751470237241</v>
      </c>
      <c r="G39" s="178">
        <f t="shared" ca="1" si="11"/>
        <v>26.319999999999997</v>
      </c>
      <c r="H39" s="177">
        <f t="shared" ca="1" si="12"/>
        <v>25</v>
      </c>
      <c r="I39" s="196"/>
      <c r="J39" s="9" t="str">
        <f t="shared" ca="1" si="0"/>
        <v/>
      </c>
      <c r="K39" s="9" t="str">
        <f t="shared" ca="1" si="1"/>
        <v/>
      </c>
      <c r="L39" s="9">
        <f t="shared" ca="1" si="2"/>
        <v>3</v>
      </c>
      <c r="N39" s="176">
        <f t="shared" ca="1" si="8"/>
        <v>29</v>
      </c>
      <c r="O39" s="176">
        <f t="shared" ca="1" si="13"/>
        <v>633</v>
      </c>
      <c r="P39" s="175">
        <f t="shared" ca="1" si="3"/>
        <v>1230.0099465840769</v>
      </c>
      <c r="Q39" s="11">
        <f t="shared" ca="1" si="4"/>
        <v>2.9930000000000002E-2</v>
      </c>
      <c r="R39" s="12">
        <f t="shared" ca="1" si="5"/>
        <v>36.814197701261428</v>
      </c>
    </row>
    <row r="40" spans="1:18">
      <c r="A40" s="198">
        <f t="shared" ca="1" si="14"/>
        <v>22</v>
      </c>
      <c r="B40" s="197">
        <f t="shared" ca="1" si="15"/>
        <v>45392</v>
      </c>
      <c r="C40" s="196">
        <f t="shared" ca="1" si="6"/>
        <v>1241.3260381125999</v>
      </c>
      <c r="D40" s="21">
        <f t="shared" ca="1" si="9"/>
        <v>1487.5720707623802</v>
      </c>
      <c r="E40" s="196">
        <f t="shared" ca="1" si="7"/>
        <v>160451.29006405207</v>
      </c>
      <c r="F40" s="178">
        <f t="shared" ca="1" si="10"/>
        <v>33.955449381454585</v>
      </c>
      <c r="G40" s="178">
        <f t="shared" ca="1" si="11"/>
        <v>26.319999999999997</v>
      </c>
      <c r="H40" s="177">
        <f t="shared" ca="1" si="12"/>
        <v>25</v>
      </c>
      <c r="I40" s="196"/>
      <c r="J40" s="9" t="str">
        <f t="shared" ca="1" si="0"/>
        <v/>
      </c>
      <c r="K40" s="9" t="str">
        <f t="shared" ca="1" si="1"/>
        <v/>
      </c>
      <c r="L40" s="9">
        <f t="shared" ca="1" si="2"/>
        <v>4</v>
      </c>
      <c r="N40" s="176">
        <f t="shared" ca="1" si="8"/>
        <v>31</v>
      </c>
      <c r="O40" s="176">
        <f t="shared" ca="1" si="13"/>
        <v>664</v>
      </c>
      <c r="P40" s="175">
        <f t="shared" ca="1" si="3"/>
        <v>1241.3260381125999</v>
      </c>
      <c r="Q40" s="11">
        <f t="shared" ca="1" si="4"/>
        <v>2.9930000000000002E-2</v>
      </c>
      <c r="R40" s="12">
        <f t="shared" ca="1" si="5"/>
        <v>37.152888320710119</v>
      </c>
    </row>
    <row r="41" spans="1:18">
      <c r="A41" s="198">
        <f t="shared" ca="1" si="14"/>
        <v>23</v>
      </c>
      <c r="B41" s="197">
        <f t="shared" ca="1" si="15"/>
        <v>45422</v>
      </c>
      <c r="C41" s="196">
        <f t="shared" ca="1" si="6"/>
        <v>1252.7462376833687</v>
      </c>
      <c r="D41" s="21">
        <f t="shared" ca="1" si="9"/>
        <v>1476.1518711916115</v>
      </c>
      <c r="E41" s="196">
        <f t="shared" ca="1" si="7"/>
        <v>159198.5438263687</v>
      </c>
      <c r="F41" s="178">
        <f t="shared" ca="1" si="10"/>
        <v>33.694770913450938</v>
      </c>
      <c r="G41" s="178">
        <f t="shared" ca="1" si="11"/>
        <v>26.319999999999997</v>
      </c>
      <c r="H41" s="177">
        <f t="shared" ca="1" si="12"/>
        <v>25</v>
      </c>
      <c r="I41" s="196"/>
      <c r="J41" s="9" t="str">
        <f t="shared" ca="1" si="0"/>
        <v/>
      </c>
      <c r="K41" s="9" t="str">
        <f t="shared" ca="1" si="1"/>
        <v/>
      </c>
      <c r="L41" s="9">
        <f t="shared" ca="1" si="2"/>
        <v>5</v>
      </c>
      <c r="N41" s="176">
        <f t="shared" ca="1" si="8"/>
        <v>30</v>
      </c>
      <c r="O41" s="176">
        <f t="shared" ca="1" si="13"/>
        <v>694</v>
      </c>
      <c r="P41" s="175">
        <f t="shared" ca="1" si="3"/>
        <v>1252.7462376833687</v>
      </c>
      <c r="Q41" s="11">
        <f t="shared" ca="1" si="4"/>
        <v>2.9930000000000002E-2</v>
      </c>
      <c r="R41" s="12">
        <f t="shared" ca="1" si="5"/>
        <v>37.494694893863226</v>
      </c>
    </row>
    <row r="42" spans="1:18">
      <c r="A42" s="198">
        <f t="shared" ca="1" si="14"/>
        <v>24</v>
      </c>
      <c r="B42" s="197">
        <f t="shared" ca="1" si="15"/>
        <v>45453</v>
      </c>
      <c r="C42" s="196">
        <f t="shared" ca="1" si="6"/>
        <v>1264.2715030903737</v>
      </c>
      <c r="D42" s="21">
        <f t="shared" ca="1" si="9"/>
        <v>1464.6266057846065</v>
      </c>
      <c r="E42" s="196">
        <f t="shared" ca="1" si="7"/>
        <v>157934.27232327833</v>
      </c>
      <c r="F42" s="178">
        <f t="shared" ca="1" si="10"/>
        <v>33.431694203537425</v>
      </c>
      <c r="G42" s="178">
        <f t="shared" ca="1" si="11"/>
        <v>26.319999999999997</v>
      </c>
      <c r="H42" s="177">
        <f t="shared" ca="1" si="12"/>
        <v>25</v>
      </c>
      <c r="I42" s="196"/>
      <c r="J42" s="9" t="str">
        <f t="shared" ca="1" si="0"/>
        <v/>
      </c>
      <c r="K42" s="9" t="str">
        <f t="shared" ca="1" si="1"/>
        <v/>
      </c>
      <c r="L42" s="9">
        <f t="shared" ca="1" si="2"/>
        <v>6</v>
      </c>
      <c r="N42" s="176">
        <f t="shared" ca="1" si="8"/>
        <v>31</v>
      </c>
      <c r="O42" s="176">
        <f t="shared" ca="1" si="13"/>
        <v>725</v>
      </c>
      <c r="P42" s="175">
        <f t="shared" ca="1" si="3"/>
        <v>1264.2715030903737</v>
      </c>
      <c r="Q42" s="11">
        <f t="shared" ca="1" si="4"/>
        <v>2.9930000000000002E-2</v>
      </c>
      <c r="R42" s="12">
        <f t="shared" ca="1" si="5"/>
        <v>37.839646087494884</v>
      </c>
    </row>
    <row r="43" spans="1:18">
      <c r="A43" s="198">
        <f t="shared" ca="1" si="14"/>
        <v>25</v>
      </c>
      <c r="B43" s="197">
        <f t="shared" ca="1" si="15"/>
        <v>45483</v>
      </c>
      <c r="C43" s="196">
        <f t="shared" ca="1" si="6"/>
        <v>1275.9028009393101</v>
      </c>
      <c r="D43" s="21">
        <f t="shared" ca="1" si="9"/>
        <v>1452.9953079356701</v>
      </c>
      <c r="E43" s="196">
        <f t="shared" ca="1" si="7"/>
        <v>156658.36952233902</v>
      </c>
      <c r="F43" s="178">
        <f t="shared" ca="1" si="10"/>
        <v>33.16619718788845</v>
      </c>
      <c r="G43" s="178">
        <f t="shared" ca="1" si="11"/>
        <v>26.319999999999997</v>
      </c>
      <c r="H43" s="177">
        <f t="shared" ca="1" si="12"/>
        <v>25</v>
      </c>
      <c r="I43" s="196"/>
      <c r="J43" s="9" t="str">
        <f t="shared" ca="1" si="0"/>
        <v/>
      </c>
      <c r="K43" s="9" t="str">
        <f t="shared" ca="1" si="1"/>
        <v/>
      </c>
      <c r="L43" s="9">
        <f t="shared" ca="1" si="2"/>
        <v>7</v>
      </c>
      <c r="N43" s="176">
        <f t="shared" ca="1" si="8"/>
        <v>30</v>
      </c>
      <c r="O43" s="176">
        <f t="shared" ca="1" si="13"/>
        <v>755</v>
      </c>
      <c r="P43" s="175">
        <f t="shared" ca="1" si="3"/>
        <v>1275.9028009393101</v>
      </c>
      <c r="Q43" s="11">
        <f t="shared" ca="1" si="4"/>
        <v>2.9930000000000002E-2</v>
      </c>
      <c r="R43" s="12">
        <f t="shared" ca="1" si="5"/>
        <v>38.18777083211355</v>
      </c>
    </row>
    <row r="44" spans="1:18">
      <c r="A44" s="198">
        <f t="shared" ca="1" si="14"/>
        <v>26</v>
      </c>
      <c r="B44" s="197">
        <f t="shared" ca="1" si="15"/>
        <v>45514</v>
      </c>
      <c r="C44" s="196">
        <f t="shared" ca="1" si="6"/>
        <v>1287.6411067286454</v>
      </c>
      <c r="D44" s="21">
        <f t="shared" ca="1" si="9"/>
        <v>1441.2570021463348</v>
      </c>
      <c r="E44" s="196">
        <f t="shared" ca="1" si="7"/>
        <v>155370.72841561039</v>
      </c>
      <c r="F44" s="178">
        <f t="shared" ca="1" si="10"/>
        <v>32.898257599691199</v>
      </c>
      <c r="G44" s="178">
        <f t="shared" ca="1" si="11"/>
        <v>26.319999999999997</v>
      </c>
      <c r="H44" s="177">
        <f t="shared" ca="1" si="12"/>
        <v>25</v>
      </c>
      <c r="I44" s="196"/>
      <c r="J44" s="9" t="str">
        <f t="shared" ca="1" si="0"/>
        <v/>
      </c>
      <c r="K44" s="9" t="str">
        <f t="shared" ca="1" si="1"/>
        <v/>
      </c>
      <c r="L44" s="9">
        <f t="shared" ca="1" si="2"/>
        <v>8</v>
      </c>
      <c r="N44" s="176">
        <f t="shared" ca="1" si="8"/>
        <v>31</v>
      </c>
      <c r="O44" s="176">
        <f t="shared" ca="1" si="13"/>
        <v>786</v>
      </c>
      <c r="P44" s="175">
        <f t="shared" ca="1" si="3"/>
        <v>1287.6411067286454</v>
      </c>
      <c r="Q44" s="11">
        <f t="shared" ca="1" si="4"/>
        <v>2.9930000000000002E-2</v>
      </c>
      <c r="R44" s="12">
        <f t="shared" ca="1" si="5"/>
        <v>38.539098324388355</v>
      </c>
    </row>
    <row r="45" spans="1:18">
      <c r="A45" s="198">
        <f t="shared" ca="1" si="14"/>
        <v>27</v>
      </c>
      <c r="B45" s="197">
        <f t="shared" ca="1" si="15"/>
        <v>45545</v>
      </c>
      <c r="C45" s="196">
        <f t="shared" ca="1" si="6"/>
        <v>1299.4874049314328</v>
      </c>
      <c r="D45" s="21">
        <f t="shared" ca="1" si="9"/>
        <v>1429.4107039435473</v>
      </c>
      <c r="E45" s="196">
        <f t="shared" ca="1" si="7"/>
        <v>154071.24101067896</v>
      </c>
      <c r="F45" s="178">
        <f t="shared" ca="1" si="10"/>
        <v>32.62785296727818</v>
      </c>
      <c r="G45" s="178">
        <f t="shared" ca="1" si="11"/>
        <v>26.319999999999997</v>
      </c>
      <c r="H45" s="177">
        <f t="shared" ca="1" si="12"/>
        <v>25</v>
      </c>
      <c r="I45" s="196"/>
      <c r="J45" s="9" t="str">
        <f t="shared" ca="1" si="0"/>
        <v/>
      </c>
      <c r="K45" s="9" t="str">
        <f t="shared" ca="1" si="1"/>
        <v/>
      </c>
      <c r="L45" s="9">
        <f t="shared" ca="1" si="2"/>
        <v>9</v>
      </c>
      <c r="N45" s="176">
        <f t="shared" ca="1" si="8"/>
        <v>31</v>
      </c>
      <c r="O45" s="176">
        <f t="shared" ca="1" si="13"/>
        <v>817</v>
      </c>
      <c r="P45" s="175">
        <f t="shared" ca="1" si="3"/>
        <v>1299.4874049314328</v>
      </c>
      <c r="Q45" s="11">
        <f t="shared" ca="1" si="4"/>
        <v>2.9930000000000002E-2</v>
      </c>
      <c r="R45" s="12">
        <f t="shared" ca="1" si="5"/>
        <v>38.893658029597788</v>
      </c>
    </row>
    <row r="46" spans="1:18">
      <c r="A46" s="198">
        <f t="shared" ca="1" si="14"/>
        <v>28</v>
      </c>
      <c r="B46" s="197">
        <f t="shared" ca="1" si="15"/>
        <v>45575</v>
      </c>
      <c r="C46" s="196">
        <f t="shared" ca="1" si="6"/>
        <v>1311.4426890778782</v>
      </c>
      <c r="D46" s="21">
        <f t="shared" ca="1" si="9"/>
        <v>1417.455419797102</v>
      </c>
      <c r="E46" s="196">
        <f t="shared" ca="1" si="7"/>
        <v>152759.79832160109</v>
      </c>
      <c r="F46" s="178">
        <f t="shared" ca="1" si="10"/>
        <v>32.354960612242586</v>
      </c>
      <c r="G46" s="178">
        <f t="shared" ca="1" si="11"/>
        <v>26.319999999999997</v>
      </c>
      <c r="H46" s="177">
        <f t="shared" ca="1" si="12"/>
        <v>25</v>
      </c>
      <c r="I46" s="196"/>
      <c r="J46" s="9" t="str">
        <f t="shared" ca="1" si="0"/>
        <v/>
      </c>
      <c r="K46" s="9" t="str">
        <f t="shared" ca="1" si="1"/>
        <v/>
      </c>
      <c r="L46" s="9">
        <f t="shared" ca="1" si="2"/>
        <v>10</v>
      </c>
      <c r="N46" s="176">
        <f t="shared" ca="1" si="8"/>
        <v>30</v>
      </c>
      <c r="O46" s="176">
        <f t="shared" ca="1" si="13"/>
        <v>847</v>
      </c>
      <c r="P46" s="175">
        <f t="shared" ca="1" si="3"/>
        <v>1311.4426890778782</v>
      </c>
      <c r="Q46" s="11">
        <f t="shared" ca="1" si="4"/>
        <v>2.9930000000000002E-2</v>
      </c>
      <c r="R46" s="12">
        <f t="shared" ca="1" si="5"/>
        <v>39.251479684100893</v>
      </c>
    </row>
    <row r="47" spans="1:18">
      <c r="A47" s="198">
        <f t="shared" ca="1" si="14"/>
        <v>29</v>
      </c>
      <c r="B47" s="197">
        <f t="shared" ca="1" si="15"/>
        <v>45606</v>
      </c>
      <c r="C47" s="196">
        <f t="shared" ca="1" si="6"/>
        <v>1323.5079618386646</v>
      </c>
      <c r="D47" s="21">
        <f t="shared" ca="1" si="9"/>
        <v>1405.3901470363155</v>
      </c>
      <c r="E47" s="196">
        <f t="shared" ca="1" si="7"/>
        <v>151436.29035976244</v>
      </c>
      <c r="F47" s="178">
        <f t="shared" ca="1" si="10"/>
        <v>32.079557647536234</v>
      </c>
      <c r="G47" s="178">
        <f t="shared" ca="1" si="11"/>
        <v>26.319999999999997</v>
      </c>
      <c r="H47" s="177">
        <f t="shared" ca="1" si="12"/>
        <v>25</v>
      </c>
      <c r="I47" s="196"/>
      <c r="J47" s="9" t="str">
        <f t="shared" ca="1" si="0"/>
        <v/>
      </c>
      <c r="K47" s="9" t="str">
        <f t="shared" ca="1" si="1"/>
        <v/>
      </c>
      <c r="L47" s="9">
        <f t="shared" ca="1" si="2"/>
        <v>11</v>
      </c>
      <c r="N47" s="176">
        <f t="shared" ca="1" si="8"/>
        <v>31</v>
      </c>
      <c r="O47" s="176">
        <f t="shared" ca="1" si="13"/>
        <v>878</v>
      </c>
      <c r="P47" s="175">
        <f t="shared" ca="1" si="3"/>
        <v>1323.5079618386646</v>
      </c>
      <c r="Q47" s="11">
        <f t="shared" ca="1" si="4"/>
        <v>2.9930000000000002E-2</v>
      </c>
      <c r="R47" s="12">
        <f t="shared" ca="1" si="5"/>
        <v>39.612593297831232</v>
      </c>
    </row>
    <row r="48" spans="1:18">
      <c r="A48" s="198">
        <f t="shared" ca="1" si="14"/>
        <v>30</v>
      </c>
      <c r="B48" s="197">
        <f t="shared" ca="1" si="15"/>
        <v>45636</v>
      </c>
      <c r="C48" s="196">
        <f t="shared" ca="1" si="6"/>
        <v>1335.6842351090461</v>
      </c>
      <c r="D48" s="21">
        <f t="shared" ca="1" si="9"/>
        <v>1393.2138737659341</v>
      </c>
      <c r="E48" s="196">
        <f t="shared" ca="1" si="7"/>
        <v>150100.60612465339</v>
      </c>
      <c r="F48" s="178">
        <f t="shared" ca="1" si="10"/>
        <v>31.801620975550115</v>
      </c>
      <c r="G48" s="178">
        <f t="shared" ca="1" si="11"/>
        <v>26.319999999999997</v>
      </c>
      <c r="H48" s="177">
        <f t="shared" ca="1" si="12"/>
        <v>25</v>
      </c>
      <c r="I48" s="196"/>
      <c r="J48" s="9" t="str">
        <f t="shared" ca="1" si="0"/>
        <v/>
      </c>
      <c r="K48" s="9" t="str">
        <f t="shared" ca="1" si="1"/>
        <v/>
      </c>
      <c r="L48" s="9">
        <f t="shared" ca="1" si="2"/>
        <v>12</v>
      </c>
      <c r="N48" s="176">
        <f t="shared" ca="1" si="8"/>
        <v>30</v>
      </c>
      <c r="O48" s="176">
        <f t="shared" ca="1" si="13"/>
        <v>908</v>
      </c>
      <c r="P48" s="175">
        <f t="shared" ca="1" si="3"/>
        <v>1335.6842351090461</v>
      </c>
      <c r="Q48" s="11">
        <f t="shared" ca="1" si="4"/>
        <v>2.9930000000000002E-2</v>
      </c>
      <c r="R48" s="12">
        <f t="shared" ca="1" si="5"/>
        <v>39.977029156813749</v>
      </c>
    </row>
    <row r="49" spans="1:18">
      <c r="A49" s="198">
        <f t="shared" ca="1" si="14"/>
        <v>31</v>
      </c>
      <c r="B49" s="197">
        <f t="shared" ca="1" si="15"/>
        <v>45667</v>
      </c>
      <c r="C49" s="196">
        <f t="shared" ca="1" si="6"/>
        <v>1347.9725300937125</v>
      </c>
      <c r="D49" s="21">
        <f t="shared" ca="1" si="9"/>
        <v>1380.9255787812676</v>
      </c>
      <c r="E49" s="196">
        <f t="shared" ca="1" si="7"/>
        <v>148752.63359455968</v>
      </c>
      <c r="F49" s="178">
        <f t="shared" ca="1" si="10"/>
        <v>31.521127286177215</v>
      </c>
      <c r="G49" s="178">
        <f t="shared" ca="1" si="11"/>
        <v>26.319999999999997</v>
      </c>
      <c r="H49" s="177">
        <f t="shared" ca="1" si="12"/>
        <v>25</v>
      </c>
      <c r="I49" s="196"/>
      <c r="J49" s="9" t="str">
        <f t="shared" ca="1" si="0"/>
        <v/>
      </c>
      <c r="K49" s="9" t="str">
        <f t="shared" ca="1" si="1"/>
        <v/>
      </c>
      <c r="L49" s="9">
        <f t="shared" ca="1" si="2"/>
        <v>1</v>
      </c>
      <c r="N49" s="176">
        <f t="shared" ca="1" si="8"/>
        <v>31</v>
      </c>
      <c r="O49" s="176">
        <f t="shared" ca="1" si="13"/>
        <v>939</v>
      </c>
      <c r="P49" s="175">
        <f t="shared" ca="1" si="3"/>
        <v>1347.9725300937125</v>
      </c>
      <c r="Q49" s="11">
        <f t="shared" ca="1" si="4"/>
        <v>2.9930000000000002E-2</v>
      </c>
      <c r="R49" s="12">
        <f t="shared" ca="1" si="5"/>
        <v>40.344817825704816</v>
      </c>
    </row>
    <row r="50" spans="1:18">
      <c r="A50" s="198">
        <f t="shared" ca="1" si="14"/>
        <v>32</v>
      </c>
      <c r="B50" s="197">
        <f t="shared" ca="1" si="15"/>
        <v>45698</v>
      </c>
      <c r="C50" s="196">
        <f t="shared" ca="1" si="6"/>
        <v>1360.3738773924372</v>
      </c>
      <c r="D50" s="21">
        <f t="shared" ca="1" si="9"/>
        <v>1368.524231482543</v>
      </c>
      <c r="E50" s="196">
        <f t="shared" ca="1" si="7"/>
        <v>147392.25971716724</v>
      </c>
      <c r="F50" s="178">
        <f t="shared" ca="1" si="10"/>
        <v>31.238053054857534</v>
      </c>
      <c r="G50" s="178">
        <f t="shared" ca="1" si="11"/>
        <v>26.319999999999997</v>
      </c>
      <c r="H50" s="177">
        <f t="shared" ca="1" si="12"/>
        <v>25</v>
      </c>
      <c r="I50" s="196"/>
      <c r="J50" s="9" t="str">
        <f t="shared" ca="1" si="0"/>
        <v/>
      </c>
      <c r="K50" s="9" t="str">
        <f t="shared" ca="1" si="1"/>
        <v/>
      </c>
      <c r="L50" s="9">
        <f t="shared" ca="1" si="2"/>
        <v>2</v>
      </c>
      <c r="N50" s="176">
        <f t="shared" ca="1" si="8"/>
        <v>31</v>
      </c>
      <c r="O50" s="176">
        <f t="shared" ca="1" si="13"/>
        <v>970</v>
      </c>
      <c r="P50" s="175">
        <f t="shared" ca="1" si="3"/>
        <v>1360.3738773924372</v>
      </c>
      <c r="Q50" s="11">
        <f t="shared" ca="1" si="4"/>
        <v>2.9930000000000002E-2</v>
      </c>
      <c r="R50" s="12">
        <f t="shared" ca="1" si="5"/>
        <v>40.715990150355644</v>
      </c>
    </row>
    <row r="51" spans="1:18">
      <c r="A51" s="198">
        <f t="shared" ca="1" si="14"/>
        <v>33</v>
      </c>
      <c r="B51" s="197">
        <f t="shared" ca="1" si="15"/>
        <v>45726</v>
      </c>
      <c r="C51" s="196">
        <f t="shared" ca="1" si="6"/>
        <v>1372.8893170865113</v>
      </c>
      <c r="D51" s="21">
        <f t="shared" ca="1" si="9"/>
        <v>1356.0087917884689</v>
      </c>
      <c r="E51" s="196">
        <f t="shared" ca="1" si="7"/>
        <v>146019.37040008072</v>
      </c>
      <c r="F51" s="178">
        <f t="shared" ca="1" si="10"/>
        <v>30.952374540605121</v>
      </c>
      <c r="G51" s="178">
        <f t="shared" ca="1" si="11"/>
        <v>26.319999999999997</v>
      </c>
      <c r="H51" s="177">
        <f t="shared" ca="1" si="12"/>
        <v>25</v>
      </c>
      <c r="I51" s="196"/>
      <c r="J51" s="9" t="str">
        <f t="shared" ca="1" si="0"/>
        <v/>
      </c>
      <c r="K51" s="9" t="str">
        <f t="shared" ca="1" si="1"/>
        <v/>
      </c>
      <c r="L51" s="9">
        <f t="shared" ca="1" si="2"/>
        <v>3</v>
      </c>
      <c r="N51" s="176">
        <f t="shared" ca="1" si="8"/>
        <v>28</v>
      </c>
      <c r="O51" s="176">
        <f t="shared" ca="1" si="13"/>
        <v>998</v>
      </c>
      <c r="P51" s="175">
        <f t="shared" ca="1" si="3"/>
        <v>1372.8893170865113</v>
      </c>
      <c r="Q51" s="11">
        <f t="shared" ca="1" si="4"/>
        <v>2.9930000000000002E-2</v>
      </c>
      <c r="R51" s="12">
        <f t="shared" ca="1" si="5"/>
        <v>41.090577260399286</v>
      </c>
    </row>
    <row r="52" spans="1:18">
      <c r="A52" s="198">
        <f t="shared" ca="1" si="14"/>
        <v>34</v>
      </c>
      <c r="B52" s="197">
        <f t="shared" ca="1" si="15"/>
        <v>45757</v>
      </c>
      <c r="C52" s="196">
        <f t="shared" ca="1" si="6"/>
        <v>1385.519898825974</v>
      </c>
      <c r="D52" s="21">
        <f t="shared" ca="1" si="9"/>
        <v>1343.3782100490062</v>
      </c>
      <c r="E52" s="196">
        <f t="shared" ca="1" si="7"/>
        <v>144633.85050125475</v>
      </c>
      <c r="F52" s="178">
        <f t="shared" ca="1" si="10"/>
        <v>30.664067784016954</v>
      </c>
      <c r="G52" s="178">
        <f t="shared" ca="1" si="11"/>
        <v>26.319999999999997</v>
      </c>
      <c r="H52" s="177">
        <f t="shared" ca="1" si="12"/>
        <v>25</v>
      </c>
      <c r="I52" s="196"/>
      <c r="J52" s="9" t="str">
        <f t="shared" ca="1" si="0"/>
        <v/>
      </c>
      <c r="K52" s="9" t="str">
        <f t="shared" ca="1" si="1"/>
        <v/>
      </c>
      <c r="L52" s="9">
        <f t="shared" ca="1" si="2"/>
        <v>4</v>
      </c>
      <c r="N52" s="176">
        <f t="shared" ca="1" si="8"/>
        <v>31</v>
      </c>
      <c r="O52" s="176">
        <f t="shared" ca="1" si="13"/>
        <v>1029</v>
      </c>
      <c r="P52" s="175">
        <f t="shared" ca="1" si="3"/>
        <v>1385.519898825974</v>
      </c>
      <c r="Q52" s="11">
        <f t="shared" ca="1" si="4"/>
        <v>2.9930000000000002E-2</v>
      </c>
      <c r="R52" s="12">
        <f t="shared" ca="1" si="5"/>
        <v>41.468610571861404</v>
      </c>
    </row>
    <row r="53" spans="1:18">
      <c r="A53" s="198">
        <f t="shared" ca="1" si="14"/>
        <v>35</v>
      </c>
      <c r="B53" s="197">
        <f t="shared" ca="1" si="15"/>
        <v>45787</v>
      </c>
      <c r="C53" s="196">
        <f t="shared" ca="1" si="6"/>
        <v>1398.2666819176443</v>
      </c>
      <c r="D53" s="21">
        <f t="shared" ca="1" si="9"/>
        <v>1330.6314269573359</v>
      </c>
      <c r="E53" s="196">
        <f t="shared" ca="1" si="7"/>
        <v>143235.5838193371</v>
      </c>
      <c r="F53" s="178">
        <f t="shared" ca="1" si="10"/>
        <v>30.3731086052635</v>
      </c>
      <c r="G53" s="178">
        <f t="shared" ca="1" si="11"/>
        <v>26.319999999999997</v>
      </c>
      <c r="H53" s="177">
        <f t="shared" ca="1" si="12"/>
        <v>25</v>
      </c>
      <c r="I53" s="196"/>
      <c r="J53" s="9" t="str">
        <f t="shared" ca="1" si="0"/>
        <v/>
      </c>
      <c r="K53" s="9" t="str">
        <f t="shared" ca="1" si="1"/>
        <v/>
      </c>
      <c r="L53" s="9">
        <f t="shared" ca="1" si="2"/>
        <v>5</v>
      </c>
      <c r="N53" s="176">
        <f t="shared" ca="1" si="8"/>
        <v>30</v>
      </c>
      <c r="O53" s="176">
        <f t="shared" ca="1" si="13"/>
        <v>1059</v>
      </c>
      <c r="P53" s="175">
        <f t="shared" ca="1" si="3"/>
        <v>1398.2666819176443</v>
      </c>
      <c r="Q53" s="11">
        <f t="shared" ca="1" si="4"/>
        <v>2.9930000000000002E-2</v>
      </c>
      <c r="R53" s="12">
        <f t="shared" ca="1" si="5"/>
        <v>41.850121789795097</v>
      </c>
    </row>
    <row r="54" spans="1:18">
      <c r="A54" s="198">
        <f t="shared" ca="1" si="14"/>
        <v>36</v>
      </c>
      <c r="B54" s="197">
        <f t="shared" ca="1" si="15"/>
        <v>45818</v>
      </c>
      <c r="C54" s="196">
        <f t="shared" ca="1" si="6"/>
        <v>1411.1307354139649</v>
      </c>
      <c r="D54" s="21">
        <f t="shared" ca="1" si="9"/>
        <v>1317.7673734610153</v>
      </c>
      <c r="E54" s="196">
        <f t="shared" ca="1" si="7"/>
        <v>141824.45308392314</v>
      </c>
      <c r="F54" s="178">
        <f t="shared" ca="1" si="10"/>
        <v>30.079472602060793</v>
      </c>
      <c r="G54" s="178">
        <f t="shared" ca="1" si="11"/>
        <v>26.319999999999997</v>
      </c>
      <c r="H54" s="177">
        <f t="shared" ca="1" si="12"/>
        <v>25</v>
      </c>
      <c r="I54" s="196"/>
      <c r="J54" s="9" t="str">
        <f t="shared" ca="1" si="0"/>
        <v/>
      </c>
      <c r="K54" s="9" t="str">
        <f t="shared" ca="1" si="1"/>
        <v/>
      </c>
      <c r="L54" s="9">
        <f t="shared" ca="1" si="2"/>
        <v>6</v>
      </c>
      <c r="N54" s="176">
        <f t="shared" ca="1" si="8"/>
        <v>31</v>
      </c>
      <c r="O54" s="176">
        <f t="shared" ca="1" si="13"/>
        <v>1090</v>
      </c>
      <c r="P54" s="175">
        <f t="shared" ca="1" si="3"/>
        <v>1411.1307354139649</v>
      </c>
      <c r="Q54" s="11">
        <f t="shared" ca="1" si="4"/>
        <v>2.9930000000000002E-2</v>
      </c>
      <c r="R54" s="12">
        <f t="shared" ca="1" si="5"/>
        <v>42.23514291093997</v>
      </c>
    </row>
    <row r="55" spans="1:18">
      <c r="A55" s="198">
        <f t="shared" ca="1" si="14"/>
        <v>37</v>
      </c>
      <c r="B55" s="197">
        <f t="shared" ca="1" si="15"/>
        <v>45848</v>
      </c>
      <c r="C55" s="196">
        <f t="shared" ca="1" si="6"/>
        <v>1424.1131382026604</v>
      </c>
      <c r="D55" s="21">
        <f t="shared" ca="1" si="9"/>
        <v>1304.7849706723198</v>
      </c>
      <c r="E55" s="196">
        <f t="shared" ca="1" si="7"/>
        <v>140400.33994572048</v>
      </c>
      <c r="F55" s="178">
        <f t="shared" ca="1" si="10"/>
        <v>29.783135147623863</v>
      </c>
      <c r="G55" s="178">
        <f t="shared" ca="1" si="11"/>
        <v>26.319999999999997</v>
      </c>
      <c r="H55" s="177">
        <f t="shared" ca="1" si="12"/>
        <v>25</v>
      </c>
      <c r="I55" s="196"/>
      <c r="J55" s="9" t="str">
        <f t="shared" ca="1" si="0"/>
        <v/>
      </c>
      <c r="K55" s="9" t="str">
        <f t="shared" ca="1" si="1"/>
        <v/>
      </c>
      <c r="L55" s="9">
        <f t="shared" ca="1" si="2"/>
        <v>7</v>
      </c>
      <c r="N55" s="176">
        <f t="shared" ca="1" si="8"/>
        <v>30</v>
      </c>
      <c r="O55" s="176">
        <f t="shared" ca="1" si="13"/>
        <v>1120</v>
      </c>
      <c r="P55" s="175">
        <f t="shared" ca="1" si="3"/>
        <v>1424.1131382026604</v>
      </c>
      <c r="Q55" s="11">
        <f t="shared" ca="1" si="4"/>
        <v>2.9930000000000002E-2</v>
      </c>
      <c r="R55" s="12">
        <f t="shared" ca="1" si="5"/>
        <v>42.623706226405631</v>
      </c>
    </row>
    <row r="56" spans="1:18">
      <c r="A56" s="198">
        <f t="shared" ca="1" si="14"/>
        <v>38</v>
      </c>
      <c r="B56" s="197">
        <f t="shared" ca="1" si="15"/>
        <v>45879</v>
      </c>
      <c r="C56" s="196">
        <f t="shared" ca="1" si="6"/>
        <v>1437.2149790972223</v>
      </c>
      <c r="D56" s="21">
        <f t="shared" ca="1" si="9"/>
        <v>1291.6831297777578</v>
      </c>
      <c r="E56" s="196">
        <f t="shared" ca="1" si="7"/>
        <v>138963.12496662326</v>
      </c>
      <c r="F56" s="178">
        <f t="shared" ca="1" si="10"/>
        <v>29.484071388601301</v>
      </c>
      <c r="G56" s="178">
        <f t="shared" ca="1" si="11"/>
        <v>26.319999999999997</v>
      </c>
      <c r="H56" s="177">
        <f t="shared" ca="1" si="12"/>
        <v>25</v>
      </c>
      <c r="I56" s="196"/>
      <c r="J56" s="9" t="str">
        <f t="shared" ca="1" si="0"/>
        <v/>
      </c>
      <c r="K56" s="9" t="str">
        <f t="shared" ca="1" si="1"/>
        <v/>
      </c>
      <c r="L56" s="9">
        <f t="shared" ca="1" si="2"/>
        <v>8</v>
      </c>
      <c r="N56" s="176">
        <f t="shared" ca="1" si="8"/>
        <v>31</v>
      </c>
      <c r="O56" s="176">
        <f t="shared" ca="1" si="13"/>
        <v>1151</v>
      </c>
      <c r="P56" s="175">
        <f t="shared" ca="1" si="3"/>
        <v>1437.2149790972223</v>
      </c>
      <c r="Q56" s="11">
        <f t="shared" ca="1" si="4"/>
        <v>2.9930000000000002E-2</v>
      </c>
      <c r="R56" s="12">
        <f t="shared" ca="1" si="5"/>
        <v>43.01584432437987</v>
      </c>
    </row>
    <row r="57" spans="1:18">
      <c r="A57" s="198">
        <f t="shared" ca="1" si="14"/>
        <v>39</v>
      </c>
      <c r="B57" s="197">
        <f t="shared" ca="1" si="15"/>
        <v>45910</v>
      </c>
      <c r="C57" s="196">
        <f t="shared" ca="1" si="6"/>
        <v>1450.4373569282266</v>
      </c>
      <c r="D57" s="21">
        <f t="shared" ca="1" si="9"/>
        <v>1278.4607519467536</v>
      </c>
      <c r="E57" s="196">
        <f t="shared" ca="1" si="7"/>
        <v>137512.68760969504</v>
      </c>
      <c r="F57" s="178">
        <f t="shared" ca="1" si="10"/>
        <v>29.182256242990885</v>
      </c>
      <c r="G57" s="178">
        <f t="shared" ca="1" si="11"/>
        <v>26.319999999999997</v>
      </c>
      <c r="H57" s="177">
        <f t="shared" ca="1" si="12"/>
        <v>25</v>
      </c>
      <c r="I57" s="196"/>
      <c r="J57" s="9" t="str">
        <f t="shared" ca="1" si="0"/>
        <v/>
      </c>
      <c r="K57" s="9" t="str">
        <f t="shared" ca="1" si="1"/>
        <v/>
      </c>
      <c r="L57" s="9">
        <f t="shared" ca="1" si="2"/>
        <v>9</v>
      </c>
      <c r="N57" s="176">
        <f t="shared" ca="1" si="8"/>
        <v>31</v>
      </c>
      <c r="O57" s="176">
        <f t="shared" ca="1" si="13"/>
        <v>1182</v>
      </c>
      <c r="P57" s="175">
        <f t="shared" ca="1" si="3"/>
        <v>1450.4373569282266</v>
      </c>
      <c r="Q57" s="11">
        <f t="shared" ca="1" si="4"/>
        <v>2.9930000000000002E-2</v>
      </c>
      <c r="R57" s="12">
        <f t="shared" ca="1" si="5"/>
        <v>43.411590092861822</v>
      </c>
    </row>
    <row r="58" spans="1:18">
      <c r="A58" s="198">
        <f t="shared" ca="1" si="14"/>
        <v>40</v>
      </c>
      <c r="B58" s="197">
        <f t="shared" ca="1" si="15"/>
        <v>45940</v>
      </c>
      <c r="C58" s="196">
        <f t="shared" ca="1" si="6"/>
        <v>1463.7813806354907</v>
      </c>
      <c r="D58" s="21">
        <f t="shared" ca="1" si="9"/>
        <v>1265.1167282394895</v>
      </c>
      <c r="E58" s="196">
        <f t="shared" ca="1" si="7"/>
        <v>136048.90622905956</v>
      </c>
      <c r="F58" s="178">
        <f t="shared" ca="1" si="10"/>
        <v>28.877664398035961</v>
      </c>
      <c r="G58" s="178">
        <f t="shared" ca="1" si="11"/>
        <v>26.319999999999997</v>
      </c>
      <c r="H58" s="177">
        <f t="shared" ca="1" si="12"/>
        <v>25</v>
      </c>
      <c r="I58" s="196"/>
      <c r="J58" s="9" t="str">
        <f t="shared" ca="1" si="0"/>
        <v/>
      </c>
      <c r="K58" s="9" t="str">
        <f t="shared" ca="1" si="1"/>
        <v/>
      </c>
      <c r="L58" s="9">
        <f t="shared" ca="1" si="2"/>
        <v>10</v>
      </c>
      <c r="N58" s="176">
        <f t="shared" ca="1" si="8"/>
        <v>30</v>
      </c>
      <c r="O58" s="176">
        <f t="shared" ca="1" si="13"/>
        <v>1212</v>
      </c>
      <c r="P58" s="175">
        <f t="shared" ca="1" si="3"/>
        <v>1463.7813806354907</v>
      </c>
      <c r="Q58" s="11">
        <f t="shared" ca="1" si="4"/>
        <v>2.9930000000000002E-2</v>
      </c>
      <c r="R58" s="12">
        <f t="shared" ca="1" si="5"/>
        <v>43.810976722420236</v>
      </c>
    </row>
    <row r="59" spans="1:18">
      <c r="A59" s="198">
        <f t="shared" ca="1" si="14"/>
        <v>41</v>
      </c>
      <c r="B59" s="197">
        <f t="shared" ca="1" si="15"/>
        <v>45971</v>
      </c>
      <c r="C59" s="196">
        <f t="shared" ca="1" si="6"/>
        <v>1477.2481693610778</v>
      </c>
      <c r="D59" s="21">
        <f t="shared" ca="1" si="9"/>
        <v>1251.6499395139024</v>
      </c>
      <c r="E59" s="196">
        <f t="shared" ca="1" si="7"/>
        <v>134571.65805969847</v>
      </c>
      <c r="F59" s="178">
        <f t="shared" ca="1" si="10"/>
        <v>28.570270308102508</v>
      </c>
      <c r="G59" s="178">
        <f t="shared" ca="1" si="11"/>
        <v>26.319999999999997</v>
      </c>
      <c r="H59" s="177">
        <f t="shared" ca="1" si="12"/>
        <v>25</v>
      </c>
      <c r="I59" s="196"/>
      <c r="J59" s="9" t="str">
        <f t="shared" ca="1" si="0"/>
        <v/>
      </c>
      <c r="K59" s="9" t="str">
        <f t="shared" ca="1" si="1"/>
        <v/>
      </c>
      <c r="L59" s="9">
        <f t="shared" ca="1" si="2"/>
        <v>11</v>
      </c>
      <c r="N59" s="176">
        <f t="shared" ca="1" si="8"/>
        <v>31</v>
      </c>
      <c r="O59" s="176">
        <f t="shared" ca="1" si="13"/>
        <v>1243</v>
      </c>
      <c r="P59" s="175">
        <f t="shared" ca="1" si="3"/>
        <v>1477.2481693610778</v>
      </c>
      <c r="Q59" s="11">
        <f t="shared" ca="1" si="4"/>
        <v>2.9930000000000002E-2</v>
      </c>
      <c r="R59" s="12">
        <f t="shared" ca="1" si="5"/>
        <v>44.21403770897706</v>
      </c>
    </row>
    <row r="60" spans="1:18">
      <c r="A60" s="198">
        <f t="shared" ca="1" si="14"/>
        <v>42</v>
      </c>
      <c r="B60" s="197">
        <f t="shared" ca="1" si="15"/>
        <v>46001</v>
      </c>
      <c r="C60" s="196">
        <f t="shared" ca="1" si="6"/>
        <v>1490.8388525431592</v>
      </c>
      <c r="D60" s="21">
        <f t="shared" ca="1" si="9"/>
        <v>1238.059256331821</v>
      </c>
      <c r="E60" s="196">
        <f t="shared" ca="1" si="7"/>
        <v>133080.81920715532</v>
      </c>
      <c r="F60" s="178">
        <f t="shared" ca="1" si="10"/>
        <v>28.260048192536679</v>
      </c>
      <c r="G60" s="178">
        <f t="shared" ca="1" si="11"/>
        <v>26.319999999999997</v>
      </c>
      <c r="H60" s="177">
        <f t="shared" ca="1" si="12"/>
        <v>25</v>
      </c>
      <c r="I60" s="196"/>
      <c r="J60" s="9" t="str">
        <f t="shared" ca="1" si="0"/>
        <v/>
      </c>
      <c r="K60" s="9" t="str">
        <f t="shared" ca="1" si="1"/>
        <v/>
      </c>
      <c r="L60" s="9">
        <f t="shared" ca="1" si="2"/>
        <v>12</v>
      </c>
      <c r="N60" s="176">
        <f t="shared" ca="1" si="8"/>
        <v>30</v>
      </c>
      <c r="O60" s="176">
        <f t="shared" ca="1" si="13"/>
        <v>1273</v>
      </c>
      <c r="P60" s="175">
        <f t="shared" ca="1" si="3"/>
        <v>1490.8388525431592</v>
      </c>
      <c r="Q60" s="11">
        <f t="shared" ca="1" si="4"/>
        <v>2.9930000000000002E-2</v>
      </c>
      <c r="R60" s="12">
        <f t="shared" ca="1" si="5"/>
        <v>44.62080685661676</v>
      </c>
    </row>
    <row r="61" spans="1:18">
      <c r="A61" s="198">
        <f t="shared" ca="1" si="14"/>
        <v>43</v>
      </c>
      <c r="B61" s="197">
        <f t="shared" ca="1" si="15"/>
        <v>46032</v>
      </c>
      <c r="C61" s="196">
        <f t="shared" ca="1" si="6"/>
        <v>1504.5545700107357</v>
      </c>
      <c r="D61" s="21">
        <f t="shared" ca="1" si="9"/>
        <v>1224.3435388642445</v>
      </c>
      <c r="E61" s="196">
        <f t="shared" ca="1" si="7"/>
        <v>131576.26463714457</v>
      </c>
      <c r="F61" s="178">
        <f t="shared" ca="1" si="10"/>
        <v>27.946972033502618</v>
      </c>
      <c r="G61" s="178">
        <f t="shared" ca="1" si="11"/>
        <v>26.319999999999997</v>
      </c>
      <c r="H61" s="177">
        <f t="shared" ca="1" si="12"/>
        <v>25</v>
      </c>
      <c r="I61" s="196"/>
      <c r="J61" s="9" t="str">
        <f t="shared" ca="1" si="0"/>
        <v/>
      </c>
      <c r="K61" s="9" t="str">
        <f t="shared" ca="1" si="1"/>
        <v/>
      </c>
      <c r="L61" s="9">
        <f t="shared" ca="1" si="2"/>
        <v>1</v>
      </c>
      <c r="N61" s="176">
        <f t="shared" ca="1" si="8"/>
        <v>31</v>
      </c>
      <c r="O61" s="176">
        <f t="shared" ca="1" si="13"/>
        <v>1304</v>
      </c>
      <c r="P61" s="175">
        <f t="shared" ca="1" si="3"/>
        <v>1504.5545700107357</v>
      </c>
      <c r="Q61" s="11">
        <f t="shared" ca="1" si="4"/>
        <v>2.9930000000000002E-2</v>
      </c>
      <c r="R61" s="12">
        <f t="shared" ca="1" si="5"/>
        <v>45.031318280421324</v>
      </c>
    </row>
    <row r="62" spans="1:18">
      <c r="A62" s="198">
        <f t="shared" ca="1" si="14"/>
        <v>44</v>
      </c>
      <c r="B62" s="197">
        <f t="shared" ca="1" si="15"/>
        <v>46063</v>
      </c>
      <c r="C62" s="196">
        <f t="shared" ca="1" si="6"/>
        <v>1518.3964720792369</v>
      </c>
      <c r="D62" s="21">
        <f t="shared" ca="1" si="9"/>
        <v>1210.5016367957433</v>
      </c>
      <c r="E62" s="196">
        <f t="shared" ca="1" si="7"/>
        <v>130057.86816506533</v>
      </c>
      <c r="F62" s="178">
        <f t="shared" ca="1" si="10"/>
        <v>27.631015573800362</v>
      </c>
      <c r="G62" s="178">
        <f t="shared" ca="1" si="11"/>
        <v>26.319999999999997</v>
      </c>
      <c r="H62" s="177">
        <f t="shared" ca="1" si="12"/>
        <v>25</v>
      </c>
      <c r="I62" s="196"/>
      <c r="J62" s="9" t="str">
        <f t="shared" ca="1" si="0"/>
        <v/>
      </c>
      <c r="K62" s="9" t="str">
        <f t="shared" ca="1" si="1"/>
        <v/>
      </c>
      <c r="L62" s="9">
        <f t="shared" ca="1" si="2"/>
        <v>2</v>
      </c>
      <c r="N62" s="176">
        <f t="shared" ca="1" si="8"/>
        <v>31</v>
      </c>
      <c r="O62" s="176">
        <f t="shared" ca="1" si="13"/>
        <v>1335</v>
      </c>
      <c r="P62" s="175">
        <f t="shared" ca="1" si="3"/>
        <v>1518.3964720792369</v>
      </c>
      <c r="Q62" s="11">
        <f t="shared" ca="1" si="4"/>
        <v>2.9930000000000002E-2</v>
      </c>
      <c r="R62" s="12">
        <f t="shared" ca="1" si="5"/>
        <v>45.44560640933156</v>
      </c>
    </row>
    <row r="63" spans="1:18">
      <c r="A63" s="198">
        <f t="shared" ca="1" si="14"/>
        <v>45</v>
      </c>
      <c r="B63" s="197">
        <f t="shared" ca="1" si="15"/>
        <v>46091</v>
      </c>
      <c r="C63" s="196">
        <f t="shared" ca="1" si="6"/>
        <v>1532.3657196469924</v>
      </c>
      <c r="D63" s="21">
        <f t="shared" ca="1" si="9"/>
        <v>1196.5323892279878</v>
      </c>
      <c r="E63" s="196">
        <f t="shared" ca="1" si="7"/>
        <v>128525.50244541834</v>
      </c>
      <c r="F63" s="178">
        <f t="shared" ca="1" si="10"/>
        <v>27.31215231466372</v>
      </c>
      <c r="G63" s="178">
        <f t="shared" ca="1" si="11"/>
        <v>26.319999999999997</v>
      </c>
      <c r="H63" s="177">
        <f t="shared" ca="1" si="12"/>
        <v>25</v>
      </c>
      <c r="I63" s="196"/>
      <c r="J63" s="9" t="str">
        <f t="shared" ca="1" si="0"/>
        <v/>
      </c>
      <c r="K63" s="9" t="str">
        <f t="shared" ca="1" si="1"/>
        <v/>
      </c>
      <c r="L63" s="9">
        <f t="shared" ca="1" si="2"/>
        <v>3</v>
      </c>
      <c r="N63" s="176">
        <f t="shared" ca="1" si="8"/>
        <v>28</v>
      </c>
      <c r="O63" s="176">
        <f t="shared" ca="1" si="13"/>
        <v>1363</v>
      </c>
      <c r="P63" s="175">
        <f t="shared" ca="1" si="3"/>
        <v>1532.3657196469924</v>
      </c>
      <c r="Q63" s="11">
        <f t="shared" ca="1" si="4"/>
        <v>2.9930000000000002E-2</v>
      </c>
      <c r="R63" s="12">
        <f t="shared" ca="1" si="5"/>
        <v>45.863705989034486</v>
      </c>
    </row>
    <row r="64" spans="1:18">
      <c r="A64" s="198">
        <f t="shared" ca="1" si="14"/>
        <v>46</v>
      </c>
      <c r="B64" s="197">
        <f t="shared" ca="1" si="15"/>
        <v>46122</v>
      </c>
      <c r="C64" s="196">
        <f t="shared" ca="1" si="6"/>
        <v>1546.463484292598</v>
      </c>
      <c r="D64" s="21">
        <f t="shared" ca="1" si="9"/>
        <v>1182.4346245823822</v>
      </c>
      <c r="E64" s="196">
        <f t="shared" ca="1" si="7"/>
        <v>126979.03896112574</v>
      </c>
      <c r="F64" s="178">
        <f t="shared" ca="1" si="10"/>
        <v>26.990355513537853</v>
      </c>
      <c r="G64" s="178">
        <f t="shared" ca="1" si="11"/>
        <v>26.319999999999997</v>
      </c>
      <c r="H64" s="177">
        <f t="shared" ca="1" si="12"/>
        <v>25</v>
      </c>
      <c r="I64" s="196"/>
      <c r="J64" s="9" t="str">
        <f t="shared" ca="1" si="0"/>
        <v/>
      </c>
      <c r="K64" s="9" t="str">
        <f t="shared" ca="1" si="1"/>
        <v/>
      </c>
      <c r="L64" s="9">
        <f t="shared" ca="1" si="2"/>
        <v>4</v>
      </c>
      <c r="N64" s="176">
        <f t="shared" ca="1" si="8"/>
        <v>31</v>
      </c>
      <c r="O64" s="176">
        <f t="shared" ca="1" si="13"/>
        <v>1394</v>
      </c>
      <c r="P64" s="175">
        <f t="shared" ca="1" si="3"/>
        <v>1546.463484292598</v>
      </c>
      <c r="Q64" s="11">
        <f t="shared" ca="1" si="4"/>
        <v>2.9930000000000002E-2</v>
      </c>
      <c r="R64" s="12">
        <f t="shared" ca="1" si="5"/>
        <v>46.285652084877462</v>
      </c>
    </row>
    <row r="65" spans="1:18">
      <c r="A65" s="198">
        <f t="shared" ca="1" si="14"/>
        <v>47</v>
      </c>
      <c r="B65" s="197">
        <f t="shared" ca="1" si="15"/>
        <v>46152</v>
      </c>
      <c r="C65" s="196">
        <f t="shared" ca="1" si="6"/>
        <v>1560.6909483731718</v>
      </c>
      <c r="D65" s="21">
        <f t="shared" ca="1" si="9"/>
        <v>1168.2071605018084</v>
      </c>
      <c r="E65" s="196">
        <f t="shared" ca="1" si="7"/>
        <v>125418.34801275257</v>
      </c>
      <c r="F65" s="178">
        <f t="shared" ca="1" si="10"/>
        <v>26.665598181836408</v>
      </c>
      <c r="G65" s="178">
        <f t="shared" ca="1" si="11"/>
        <v>26.319999999999997</v>
      </c>
      <c r="H65" s="177">
        <f t="shared" ca="1" si="12"/>
        <v>25</v>
      </c>
      <c r="I65" s="196"/>
      <c r="J65" s="9" t="str">
        <f t="shared" ca="1" si="0"/>
        <v/>
      </c>
      <c r="K65" s="9" t="str">
        <f t="shared" ca="1" si="1"/>
        <v/>
      </c>
      <c r="L65" s="9">
        <f t="shared" ca="1" si="2"/>
        <v>5</v>
      </c>
      <c r="N65" s="176">
        <f t="shared" ca="1" si="8"/>
        <v>30</v>
      </c>
      <c r="O65" s="176">
        <f t="shared" ca="1" si="13"/>
        <v>1424</v>
      </c>
      <c r="P65" s="175">
        <f t="shared" ca="1" si="3"/>
        <v>1560.6909483731718</v>
      </c>
      <c r="Q65" s="11">
        <f t="shared" ca="1" si="4"/>
        <v>2.9930000000000002E-2</v>
      </c>
      <c r="R65" s="12">
        <f t="shared" ca="1" si="5"/>
        <v>46.711480084809033</v>
      </c>
    </row>
    <row r="66" spans="1:18">
      <c r="A66" s="198">
        <f t="shared" ca="1" si="14"/>
        <v>48</v>
      </c>
      <c r="B66" s="197">
        <f t="shared" ca="1" si="15"/>
        <v>46183</v>
      </c>
      <c r="C66" s="196">
        <f t="shared" ca="1" si="6"/>
        <v>1575.0493051235173</v>
      </c>
      <c r="D66" s="21">
        <f t="shared" ca="1" si="9"/>
        <v>1153.8488037514628</v>
      </c>
      <c r="E66" s="196">
        <f t="shared" ca="1" si="7"/>
        <v>123843.29870762904</v>
      </c>
      <c r="F66" s="178">
        <f t="shared" ca="1" si="10"/>
        <v>26.337853082678041</v>
      </c>
      <c r="G66" s="178">
        <f t="shared" ca="1" si="11"/>
        <v>26.319999999999997</v>
      </c>
      <c r="H66" s="177">
        <f t="shared" ca="1" si="12"/>
        <v>25</v>
      </c>
      <c r="I66" s="196"/>
      <c r="J66" s="9" t="str">
        <f t="shared" ca="1" si="0"/>
        <v/>
      </c>
      <c r="K66" s="9" t="str">
        <f t="shared" ca="1" si="1"/>
        <v/>
      </c>
      <c r="L66" s="9">
        <f t="shared" ca="1" si="2"/>
        <v>6</v>
      </c>
      <c r="N66" s="176">
        <f t="shared" ca="1" si="8"/>
        <v>31</v>
      </c>
      <c r="O66" s="176">
        <f t="shared" ca="1" si="13"/>
        <v>1455</v>
      </c>
      <c r="P66" s="175">
        <f t="shared" ca="1" si="3"/>
        <v>1575.0493051235173</v>
      </c>
      <c r="Q66" s="11">
        <f t="shared" ca="1" si="4"/>
        <v>2.9930000000000002E-2</v>
      </c>
      <c r="R66" s="12">
        <f t="shared" ca="1" si="5"/>
        <v>47.14122570234688</v>
      </c>
    </row>
    <row r="67" spans="1:18">
      <c r="A67" s="198">
        <f t="shared" ca="1" si="14"/>
        <v>49</v>
      </c>
      <c r="B67" s="197">
        <f t="shared" ca="1" si="15"/>
        <v>46213</v>
      </c>
      <c r="C67" s="196">
        <f t="shared" ca="1" si="6"/>
        <v>1589.5397587561993</v>
      </c>
      <c r="D67" s="21">
        <f t="shared" ca="1" si="9"/>
        <v>1139.3583501187809</v>
      </c>
      <c r="E67" s="196">
        <f t="shared" ca="1" si="7"/>
        <v>122253.75894887284</v>
      </c>
      <c r="F67" s="178">
        <f t="shared" ca="1" si="10"/>
        <v>26.0070927286021</v>
      </c>
      <c r="G67" s="178">
        <f t="shared" ca="1" si="11"/>
        <v>26.319999999999997</v>
      </c>
      <c r="H67" s="177">
        <f t="shared" ca="1" si="12"/>
        <v>25</v>
      </c>
      <c r="I67" s="196"/>
      <c r="J67" s="9" t="str">
        <f t="shared" ca="1" si="0"/>
        <v/>
      </c>
      <c r="K67" s="9" t="str">
        <f t="shared" ca="1" si="1"/>
        <v/>
      </c>
      <c r="L67" s="9">
        <f t="shared" ca="1" si="2"/>
        <v>7</v>
      </c>
      <c r="N67" s="176">
        <f t="shared" ca="1" si="8"/>
        <v>30</v>
      </c>
      <c r="O67" s="176">
        <f t="shared" ca="1" si="13"/>
        <v>1485</v>
      </c>
      <c r="P67" s="175">
        <f t="shared" ca="1" si="3"/>
        <v>1589.5397587561993</v>
      </c>
      <c r="Q67" s="11">
        <f t="shared" ca="1" si="4"/>
        <v>2.9930000000000002E-2</v>
      </c>
      <c r="R67" s="12">
        <f t="shared" ca="1" si="5"/>
        <v>47.574924979573048</v>
      </c>
    </row>
    <row r="68" spans="1:18">
      <c r="A68" s="198">
        <f t="shared" ca="1" si="14"/>
        <v>50</v>
      </c>
      <c r="B68" s="197">
        <f t="shared" ca="1" si="15"/>
        <v>46244</v>
      </c>
      <c r="C68" s="196">
        <f t="shared" ca="1" si="6"/>
        <v>1604.1635245625368</v>
      </c>
      <c r="D68" s="21">
        <f t="shared" ca="1" si="9"/>
        <v>1124.7345843124433</v>
      </c>
      <c r="E68" s="196">
        <f t="shared" ca="1" si="7"/>
        <v>120649.5954243103</v>
      </c>
      <c r="F68" s="178">
        <f t="shared" ca="1" si="10"/>
        <v>25.673289379263299</v>
      </c>
      <c r="G68" s="178">
        <f t="shared" ca="1" si="11"/>
        <v>26.319999999999997</v>
      </c>
      <c r="H68" s="177">
        <f t="shared" ca="1" si="12"/>
        <v>25</v>
      </c>
      <c r="I68" s="196"/>
      <c r="J68" s="9" t="str">
        <f t="shared" ca="1" si="0"/>
        <v/>
      </c>
      <c r="K68" s="9" t="str">
        <f t="shared" ca="1" si="1"/>
        <v/>
      </c>
      <c r="L68" s="9">
        <f t="shared" ca="1" si="2"/>
        <v>8</v>
      </c>
      <c r="N68" s="176">
        <f t="shared" ca="1" si="8"/>
        <v>31</v>
      </c>
      <c r="O68" s="176">
        <f t="shared" ca="1" si="13"/>
        <v>1516</v>
      </c>
      <c r="P68" s="175">
        <f t="shared" ca="1" si="3"/>
        <v>1604.1635245625368</v>
      </c>
      <c r="Q68" s="11">
        <f t="shared" ca="1" si="4"/>
        <v>2.9930000000000002E-2</v>
      </c>
      <c r="R68" s="12">
        <f t="shared" ca="1" si="5"/>
        <v>48.012614290156733</v>
      </c>
    </row>
    <row r="69" spans="1:18">
      <c r="A69" s="198">
        <f t="shared" ca="1" si="14"/>
        <v>51</v>
      </c>
      <c r="B69" s="197">
        <f t="shared" ca="1" si="15"/>
        <v>46275</v>
      </c>
      <c r="C69" s="196">
        <f t="shared" ca="1" si="6"/>
        <v>1618.92182901453</v>
      </c>
      <c r="D69" s="21">
        <f t="shared" ca="1" si="9"/>
        <v>1109.9762798604502</v>
      </c>
      <c r="E69" s="196">
        <f t="shared" ca="1" si="7"/>
        <v>119030.67359529577</v>
      </c>
      <c r="F69" s="178">
        <f t="shared" ca="1" si="10"/>
        <v>25.336415039105166</v>
      </c>
      <c r="G69" s="178">
        <f t="shared" ca="1" si="11"/>
        <v>26.319999999999997</v>
      </c>
      <c r="H69" s="177">
        <f t="shared" ca="1" si="12"/>
        <v>25</v>
      </c>
      <c r="I69" s="196"/>
      <c r="J69" s="9" t="str">
        <f t="shared" ca="1" si="0"/>
        <v/>
      </c>
      <c r="K69" s="9" t="str">
        <f t="shared" ca="1" si="1"/>
        <v/>
      </c>
      <c r="L69" s="9">
        <f t="shared" ca="1" si="2"/>
        <v>9</v>
      </c>
      <c r="N69" s="176">
        <f t="shared" ca="1" si="8"/>
        <v>31</v>
      </c>
      <c r="O69" s="176">
        <f t="shared" ca="1" si="13"/>
        <v>1547</v>
      </c>
      <c r="P69" s="175">
        <f t="shared" ca="1" si="3"/>
        <v>1618.92182901453</v>
      </c>
      <c r="Q69" s="11">
        <f t="shared" ca="1" si="4"/>
        <v>2.9930000000000002E-2</v>
      </c>
      <c r="R69" s="12">
        <f t="shared" ca="1" si="5"/>
        <v>48.454330342404887</v>
      </c>
    </row>
    <row r="70" spans="1:18">
      <c r="A70" s="198">
        <f t="shared" ca="1" si="14"/>
        <v>52</v>
      </c>
      <c r="B70" s="197">
        <f t="shared" ca="1" si="15"/>
        <v>46305</v>
      </c>
      <c r="C70" s="196">
        <f t="shared" ca="1" si="6"/>
        <v>1633.8159098677206</v>
      </c>
      <c r="D70" s="21">
        <f t="shared" ca="1" si="9"/>
        <v>1095.0821990072595</v>
      </c>
      <c r="E70" s="196">
        <f t="shared" ca="1" si="7"/>
        <v>117396.85768542805</v>
      </c>
      <c r="F70" s="178">
        <f t="shared" ca="1" si="10"/>
        <v>24.996441455012111</v>
      </c>
      <c r="G70" s="178">
        <f t="shared" ca="1" si="11"/>
        <v>26.319999999999997</v>
      </c>
      <c r="H70" s="177">
        <f t="shared" ca="1" si="12"/>
        <v>25</v>
      </c>
      <c r="I70" s="196"/>
      <c r="J70" s="9" t="str">
        <f t="shared" ca="1" si="0"/>
        <v/>
      </c>
      <c r="K70" s="9" t="str">
        <f t="shared" ca="1" si="1"/>
        <v/>
      </c>
      <c r="L70" s="9">
        <f t="shared" ca="1" si="2"/>
        <v>10</v>
      </c>
      <c r="N70" s="176">
        <f t="shared" ca="1" si="8"/>
        <v>30</v>
      </c>
      <c r="O70" s="176">
        <f t="shared" ca="1" si="13"/>
        <v>1577</v>
      </c>
      <c r="P70" s="175">
        <f t="shared" ca="1" si="3"/>
        <v>1633.8159098677206</v>
      </c>
      <c r="Q70" s="11">
        <f t="shared" ca="1" si="4"/>
        <v>2.9930000000000002E-2</v>
      </c>
      <c r="R70" s="12">
        <f t="shared" ca="1" si="5"/>
        <v>48.900110182340882</v>
      </c>
    </row>
    <row r="71" spans="1:18">
      <c r="A71" s="198">
        <f t="shared" ca="1" si="14"/>
        <v>53</v>
      </c>
      <c r="B71" s="197">
        <f t="shared" ca="1" si="15"/>
        <v>46336</v>
      </c>
      <c r="C71" s="196">
        <f t="shared" ca="1" si="6"/>
        <v>1648.8470162650021</v>
      </c>
      <c r="D71" s="21">
        <f t="shared" ca="1" si="9"/>
        <v>1080.051092609978</v>
      </c>
      <c r="E71" s="196">
        <f t="shared" ca="1" si="7"/>
        <v>115748.01066916305</v>
      </c>
      <c r="F71" s="178">
        <f t="shared" ca="1" si="10"/>
        <v>24.653340113939894</v>
      </c>
      <c r="G71" s="178">
        <f t="shared" ca="1" si="11"/>
        <v>26.319999999999997</v>
      </c>
      <c r="H71" s="177">
        <f t="shared" ca="1" si="12"/>
        <v>25</v>
      </c>
      <c r="I71" s="196"/>
      <c r="J71" s="9" t="str">
        <f t="shared" ca="1" si="0"/>
        <v/>
      </c>
      <c r="K71" s="9" t="str">
        <f t="shared" ca="1" si="1"/>
        <v/>
      </c>
      <c r="L71" s="9">
        <f t="shared" ca="1" si="2"/>
        <v>11</v>
      </c>
      <c r="N71" s="176">
        <f t="shared" ca="1" si="8"/>
        <v>31</v>
      </c>
      <c r="O71" s="176">
        <f t="shared" ca="1" si="13"/>
        <v>1608</v>
      </c>
      <c r="P71" s="175">
        <f t="shared" ca="1" si="3"/>
        <v>1648.8470162650021</v>
      </c>
      <c r="Q71" s="11">
        <f t="shared" ca="1" si="4"/>
        <v>2.9930000000000002E-2</v>
      </c>
      <c r="R71" s="12">
        <f t="shared" ca="1" si="5"/>
        <v>49.349991196811516</v>
      </c>
    </row>
    <row r="72" spans="1:18">
      <c r="A72" s="198">
        <f t="shared" ca="1" si="14"/>
        <v>54</v>
      </c>
      <c r="B72" s="197">
        <f t="shared" ca="1" si="15"/>
        <v>46366</v>
      </c>
      <c r="C72" s="196">
        <f t="shared" ca="1" si="6"/>
        <v>1664.0164088413826</v>
      </c>
      <c r="D72" s="21">
        <f t="shared" ca="1" si="9"/>
        <v>1064.8817000335976</v>
      </c>
      <c r="E72" s="196">
        <f t="shared" ca="1" si="7"/>
        <v>114083.99426032166</v>
      </c>
      <c r="F72" s="178">
        <f t="shared" ca="1" si="10"/>
        <v>24.307082240524242</v>
      </c>
      <c r="G72" s="178">
        <f t="shared" ca="1" si="11"/>
        <v>26.319999999999997</v>
      </c>
      <c r="H72" s="177">
        <f t="shared" ca="1" si="12"/>
        <v>25</v>
      </c>
      <c r="I72" s="196"/>
      <c r="J72" s="9" t="str">
        <f t="shared" ca="1" si="0"/>
        <v/>
      </c>
      <c r="K72" s="9" t="str">
        <f t="shared" ca="1" si="1"/>
        <v/>
      </c>
      <c r="L72" s="9">
        <f t="shared" ca="1" si="2"/>
        <v>12</v>
      </c>
      <c r="N72" s="176">
        <f t="shared" ca="1" si="8"/>
        <v>30</v>
      </c>
      <c r="O72" s="176">
        <f t="shared" ca="1" si="13"/>
        <v>1638</v>
      </c>
      <c r="P72" s="175">
        <f t="shared" ca="1" si="3"/>
        <v>1664.0164088413826</v>
      </c>
      <c r="Q72" s="11">
        <f t="shared" ca="1" si="4"/>
        <v>2.9930000000000002E-2</v>
      </c>
      <c r="R72" s="12">
        <f t="shared" ca="1" si="5"/>
        <v>49.804011116622583</v>
      </c>
    </row>
    <row r="73" spans="1:18">
      <c r="A73" s="198">
        <f t="shared" ca="1" si="14"/>
        <v>55</v>
      </c>
      <c r="B73" s="197">
        <f t="shared" ca="1" si="15"/>
        <v>46397</v>
      </c>
      <c r="C73" s="196">
        <f t="shared" ca="1" si="6"/>
        <v>1679.3253598297117</v>
      </c>
      <c r="D73" s="21">
        <f t="shared" ca="1" si="9"/>
        <v>1049.5727490452684</v>
      </c>
      <c r="E73" s="196">
        <f t="shared" ca="1" si="7"/>
        <v>112404.66890049195</v>
      </c>
      <c r="F73" s="178">
        <f t="shared" ca="1" si="10"/>
        <v>23.957638794667549</v>
      </c>
      <c r="G73" s="178">
        <f t="shared" ca="1" si="11"/>
        <v>26.319999999999997</v>
      </c>
      <c r="H73" s="177">
        <f t="shared" ca="1" si="12"/>
        <v>25</v>
      </c>
      <c r="I73" s="196"/>
      <c r="J73" s="9" t="str">
        <f t="shared" ca="1" si="0"/>
        <v/>
      </c>
      <c r="K73" s="9" t="str">
        <f t="shared" ca="1" si="1"/>
        <v/>
      </c>
      <c r="L73" s="9">
        <f t="shared" ca="1" si="2"/>
        <v>1</v>
      </c>
      <c r="N73" s="176">
        <f t="shared" ca="1" si="8"/>
        <v>31</v>
      </c>
      <c r="O73" s="176">
        <f t="shared" ca="1" si="13"/>
        <v>1669</v>
      </c>
      <c r="P73" s="175">
        <f t="shared" ca="1" si="3"/>
        <v>1679.3253598297117</v>
      </c>
      <c r="Q73" s="11">
        <f t="shared" ca="1" si="4"/>
        <v>2.9930000000000002E-2</v>
      </c>
      <c r="R73" s="12">
        <f t="shared" ca="1" si="5"/>
        <v>50.262208019703273</v>
      </c>
    </row>
    <row r="74" spans="1:18">
      <c r="A74" s="198">
        <f t="shared" ca="1" si="14"/>
        <v>56</v>
      </c>
      <c r="B74" s="197">
        <f t="shared" ca="1" si="15"/>
        <v>46428</v>
      </c>
      <c r="C74" s="196">
        <f t="shared" ca="1" si="6"/>
        <v>1694.7751531673819</v>
      </c>
      <c r="D74" s="21">
        <f t="shared" ca="1" si="9"/>
        <v>1034.1229557075983</v>
      </c>
      <c r="E74" s="196">
        <f t="shared" ca="1" si="7"/>
        <v>110709.89374732456</v>
      </c>
      <c r="F74" s="178">
        <f t="shared" ca="1" si="10"/>
        <v>23.60498046910331</v>
      </c>
      <c r="G74" s="178">
        <f t="shared" ca="1" si="11"/>
        <v>26.319999999999997</v>
      </c>
      <c r="H74" s="177">
        <f t="shared" ca="1" si="12"/>
        <v>25</v>
      </c>
      <c r="I74" s="196"/>
      <c r="J74" s="9" t="str">
        <f t="shared" ca="1" si="0"/>
        <v/>
      </c>
      <c r="K74" s="9" t="str">
        <f t="shared" ca="1" si="1"/>
        <v/>
      </c>
      <c r="L74" s="9">
        <f t="shared" ca="1" si="2"/>
        <v>2</v>
      </c>
      <c r="N74" s="176">
        <f t="shared" ca="1" si="8"/>
        <v>31</v>
      </c>
      <c r="O74" s="176">
        <f t="shared" ca="1" si="13"/>
        <v>1700</v>
      </c>
      <c r="P74" s="175">
        <f t="shared" ca="1" si="3"/>
        <v>1694.7751531673819</v>
      </c>
      <c r="Q74" s="11">
        <f t="shared" ca="1" si="4"/>
        <v>2.9930000000000002E-2</v>
      </c>
      <c r="R74" s="12">
        <f t="shared" ca="1" si="5"/>
        <v>50.724620334299743</v>
      </c>
    </row>
    <row r="75" spans="1:18">
      <c r="A75" s="198">
        <f t="shared" ca="1" si="14"/>
        <v>57</v>
      </c>
      <c r="B75" s="197">
        <f t="shared" ca="1" si="15"/>
        <v>46456</v>
      </c>
      <c r="C75" s="196">
        <f t="shared" ca="1" si="6"/>
        <v>1710.3670846040091</v>
      </c>
      <c r="D75" s="21">
        <f t="shared" ca="1" si="9"/>
        <v>1018.5310242709711</v>
      </c>
      <c r="E75" s="196">
        <f t="shared" ca="1" si="7"/>
        <v>108999.52666272056</v>
      </c>
      <c r="F75" s="178">
        <f t="shared" ca="1" si="10"/>
        <v>23.249077686938158</v>
      </c>
      <c r="G75" s="178">
        <f t="shared" ca="1" si="11"/>
        <v>26.319999999999997</v>
      </c>
      <c r="H75" s="177">
        <f t="shared" ca="1" si="12"/>
        <v>25</v>
      </c>
      <c r="I75" s="196"/>
      <c r="J75" s="9" t="str">
        <f t="shared" ca="1" si="0"/>
        <v/>
      </c>
      <c r="K75" s="9" t="str">
        <f t="shared" ca="1" si="1"/>
        <v/>
      </c>
      <c r="L75" s="9">
        <f t="shared" ca="1" si="2"/>
        <v>3</v>
      </c>
      <c r="N75" s="176">
        <f t="shared" ca="1" si="8"/>
        <v>28</v>
      </c>
      <c r="O75" s="176">
        <f t="shared" ca="1" si="13"/>
        <v>1728</v>
      </c>
      <c r="P75" s="175">
        <f t="shared" ca="1" si="3"/>
        <v>1710.3670846040091</v>
      </c>
      <c r="Q75" s="11">
        <f t="shared" ca="1" si="4"/>
        <v>2.9930000000000002E-2</v>
      </c>
      <c r="R75" s="12">
        <f t="shared" ca="1" si="5"/>
        <v>51.191286842197997</v>
      </c>
    </row>
    <row r="76" spans="1:18">
      <c r="A76" s="198">
        <f t="shared" ca="1" si="14"/>
        <v>58</v>
      </c>
      <c r="B76" s="197">
        <f t="shared" ca="1" si="15"/>
        <v>46487</v>
      </c>
      <c r="C76" s="196">
        <f t="shared" ca="1" si="6"/>
        <v>1726.102461810106</v>
      </c>
      <c r="D76" s="21">
        <f t="shared" ca="1" si="9"/>
        <v>1002.7956470648741</v>
      </c>
      <c r="E76" s="196">
        <f t="shared" ca="1" si="7"/>
        <v>107273.42420091045</v>
      </c>
      <c r="F76" s="178">
        <f t="shared" ca="1" si="10"/>
        <v>22.88990059917132</v>
      </c>
      <c r="G76" s="178">
        <f t="shared" ca="1" si="11"/>
        <v>26.319999999999997</v>
      </c>
      <c r="H76" s="177">
        <f t="shared" ca="1" si="12"/>
        <v>25</v>
      </c>
      <c r="I76" s="196"/>
      <c r="J76" s="9" t="str">
        <f t="shared" ca="1" si="0"/>
        <v/>
      </c>
      <c r="K76" s="9" t="str">
        <f t="shared" ca="1" si="1"/>
        <v/>
      </c>
      <c r="L76" s="9">
        <f t="shared" ca="1" si="2"/>
        <v>4</v>
      </c>
      <c r="N76" s="176">
        <f t="shared" ca="1" si="8"/>
        <v>31</v>
      </c>
      <c r="O76" s="176">
        <f t="shared" ca="1" si="13"/>
        <v>1759</v>
      </c>
      <c r="P76" s="175">
        <f t="shared" ca="1" si="3"/>
        <v>1726.102461810106</v>
      </c>
      <c r="Q76" s="11">
        <f t="shared" ca="1" si="4"/>
        <v>2.9930000000000002E-2</v>
      </c>
      <c r="R76" s="12">
        <f t="shared" ca="1" si="5"/>
        <v>51.662246681976477</v>
      </c>
    </row>
    <row r="77" spans="1:18">
      <c r="A77" s="198">
        <f t="shared" ca="1" si="14"/>
        <v>59</v>
      </c>
      <c r="B77" s="197">
        <f t="shared" ca="1" si="15"/>
        <v>46517</v>
      </c>
      <c r="C77" s="196">
        <f t="shared" ca="1" si="6"/>
        <v>1741.9826044867546</v>
      </c>
      <c r="D77" s="21">
        <f t="shared" ca="1" si="9"/>
        <v>986.91550438822571</v>
      </c>
      <c r="E77" s="196">
        <f t="shared" ca="1" si="7"/>
        <v>105531.4415964237</v>
      </c>
      <c r="F77" s="178">
        <f t="shared" ca="1" si="10"/>
        <v>22.527419082191194</v>
      </c>
      <c r="G77" s="178">
        <f t="shared" ca="1" si="11"/>
        <v>26.319999999999997</v>
      </c>
      <c r="H77" s="177">
        <f t="shared" ca="1" si="12"/>
        <v>25</v>
      </c>
      <c r="I77" s="196"/>
      <c r="J77" s="9" t="str">
        <f t="shared" ca="1" si="0"/>
        <v/>
      </c>
      <c r="K77" s="9" t="str">
        <f t="shared" ca="1" si="1"/>
        <v/>
      </c>
      <c r="L77" s="9">
        <f t="shared" ca="1" si="2"/>
        <v>5</v>
      </c>
      <c r="N77" s="176">
        <f t="shared" ca="1" si="8"/>
        <v>30</v>
      </c>
      <c r="O77" s="176">
        <f t="shared" ca="1" si="13"/>
        <v>1789</v>
      </c>
      <c r="P77" s="175">
        <f t="shared" ca="1" si="3"/>
        <v>1741.9826044867546</v>
      </c>
      <c r="Q77" s="11">
        <f t="shared" ca="1" si="4"/>
        <v>2.9930000000000002E-2</v>
      </c>
      <c r="R77" s="12">
        <f t="shared" ca="1" si="5"/>
        <v>52.13753935228857</v>
      </c>
    </row>
    <row r="78" spans="1:18">
      <c r="A78" s="198">
        <f t="shared" ca="1" si="14"/>
        <v>60</v>
      </c>
      <c r="B78" s="197">
        <f t="shared" ca="1" si="15"/>
        <v>46548</v>
      </c>
      <c r="C78" s="196">
        <f t="shared" ca="1" si="6"/>
        <v>1758.0088444762855</v>
      </c>
      <c r="D78" s="21">
        <f t="shared" ca="1" si="9"/>
        <v>970.88926439869476</v>
      </c>
      <c r="E78" s="196">
        <f t="shared" ca="1" si="7"/>
        <v>103773.43275194742</v>
      </c>
      <c r="F78" s="178">
        <f t="shared" ca="1" si="10"/>
        <v>22.161602735248977</v>
      </c>
      <c r="G78" s="178">
        <f t="shared" ca="1" si="11"/>
        <v>26.319999999999997</v>
      </c>
      <c r="H78" s="177">
        <f t="shared" ca="1" si="12"/>
        <v>25</v>
      </c>
      <c r="I78" s="196"/>
      <c r="J78" s="9" t="str">
        <f t="shared" ca="1" si="0"/>
        <v/>
      </c>
      <c r="K78" s="9" t="str">
        <f t="shared" ca="1" si="1"/>
        <v/>
      </c>
      <c r="L78" s="9">
        <f t="shared" ca="1" si="2"/>
        <v>6</v>
      </c>
      <c r="N78" s="176">
        <f t="shared" ca="1" si="8"/>
        <v>31</v>
      </c>
      <c r="O78" s="176">
        <f t="shared" ca="1" si="13"/>
        <v>1820</v>
      </c>
      <c r="P78" s="175">
        <f t="shared" ca="1" si="3"/>
        <v>1758.0088444762855</v>
      </c>
      <c r="Q78" s="11">
        <f t="shared" ca="1" si="4"/>
        <v>2.9930000000000002E-2</v>
      </c>
      <c r="R78" s="12">
        <f t="shared" ca="1" si="5"/>
        <v>52.617204715175227</v>
      </c>
    </row>
    <row r="79" spans="1:18">
      <c r="A79" s="198">
        <f t="shared" ca="1" si="14"/>
        <v>61</v>
      </c>
      <c r="B79" s="197">
        <f t="shared" ca="1" si="15"/>
        <v>46578</v>
      </c>
      <c r="C79" s="196">
        <f t="shared" ca="1" si="6"/>
        <v>1774.18252587398</v>
      </c>
      <c r="D79" s="21">
        <f t="shared" ca="1" si="9"/>
        <v>954.71558300100003</v>
      </c>
      <c r="E79" s="196">
        <f t="shared" ca="1" si="7"/>
        <v>101999.25022607343</v>
      </c>
      <c r="F79" s="178">
        <f t="shared" ca="1" si="10"/>
        <v>21.79242087790896</v>
      </c>
      <c r="G79" s="178">
        <f t="shared" ca="1" si="11"/>
        <v>26.319999999999997</v>
      </c>
      <c r="H79" s="177">
        <f t="shared" ca="1" si="12"/>
        <v>25</v>
      </c>
      <c r="I79" s="196"/>
      <c r="J79" s="9" t="str">
        <f t="shared" ca="1" si="0"/>
        <v/>
      </c>
      <c r="K79" s="9" t="str">
        <f t="shared" ca="1" si="1"/>
        <v/>
      </c>
      <c r="L79" s="9">
        <f t="shared" ca="1" si="2"/>
        <v>7</v>
      </c>
      <c r="N79" s="176">
        <f t="shared" ca="1" si="8"/>
        <v>30</v>
      </c>
      <c r="O79" s="176">
        <f t="shared" ca="1" si="13"/>
        <v>1850</v>
      </c>
      <c r="P79" s="175">
        <f t="shared" ca="1" si="3"/>
        <v>1774.18252587398</v>
      </c>
      <c r="Q79" s="11">
        <f t="shared" ca="1" si="4"/>
        <v>2.9930000000000002E-2</v>
      </c>
      <c r="R79" s="12">
        <f t="shared" ca="1" si="5"/>
        <v>53.101282999408227</v>
      </c>
    </row>
    <row r="80" spans="1:18">
      <c r="A80" s="198">
        <f t="shared" ca="1" si="14"/>
        <v>62</v>
      </c>
      <c r="B80" s="197">
        <f t="shared" ca="1" si="15"/>
        <v>46609</v>
      </c>
      <c r="C80" s="196">
        <f t="shared" ca="1" si="6"/>
        <v>1790.5050051407959</v>
      </c>
      <c r="D80" s="21">
        <f t="shared" ca="1" si="9"/>
        <v>938.39310373418425</v>
      </c>
      <c r="E80" s="196">
        <f t="shared" ca="1" si="7"/>
        <v>100208.74522093264</v>
      </c>
      <c r="F80" s="178">
        <f t="shared" ca="1" si="10"/>
        <v>21.419842547475422</v>
      </c>
      <c r="G80" s="178">
        <f t="shared" ca="1" si="11"/>
        <v>26.319999999999997</v>
      </c>
      <c r="H80" s="177">
        <f t="shared" ca="1" si="12"/>
        <v>25</v>
      </c>
      <c r="I80" s="196"/>
      <c r="J80" s="9" t="str">
        <f t="shared" ca="1" si="0"/>
        <v/>
      </c>
      <c r="K80" s="9" t="str">
        <f t="shared" ca="1" si="1"/>
        <v/>
      </c>
      <c r="L80" s="9">
        <f t="shared" ca="1" si="2"/>
        <v>8</v>
      </c>
      <c r="N80" s="176">
        <f t="shared" ca="1" si="8"/>
        <v>31</v>
      </c>
      <c r="O80" s="176">
        <f t="shared" ca="1" si="13"/>
        <v>1881</v>
      </c>
      <c r="P80" s="175">
        <f t="shared" ca="1" si="3"/>
        <v>1790.5050051407959</v>
      </c>
      <c r="Q80" s="11">
        <f t="shared" ca="1" si="4"/>
        <v>2.9930000000000002E-2</v>
      </c>
      <c r="R80" s="12">
        <f t="shared" ca="1" si="5"/>
        <v>53.589814803864023</v>
      </c>
    </row>
    <row r="81" spans="1:18">
      <c r="A81" s="198">
        <f t="shared" ca="1" si="14"/>
        <v>63</v>
      </c>
      <c r="B81" s="197">
        <f t="shared" ca="1" si="15"/>
        <v>46640</v>
      </c>
      <c r="C81" s="196">
        <f t="shared" ca="1" si="6"/>
        <v>1806.9776512171311</v>
      </c>
      <c r="D81" s="21">
        <f t="shared" ca="1" si="9"/>
        <v>921.92045765784906</v>
      </c>
      <c r="E81" s="196">
        <f t="shared" ca="1" si="7"/>
        <v>98401.767569715506</v>
      </c>
      <c r="F81" s="178">
        <f t="shared" ca="1" si="10"/>
        <v>21.043836496395855</v>
      </c>
      <c r="G81" s="178">
        <f t="shared" ca="1" si="11"/>
        <v>26.319999999999997</v>
      </c>
      <c r="H81" s="177">
        <f t="shared" ca="1" si="12"/>
        <v>25</v>
      </c>
      <c r="I81" s="196"/>
      <c r="J81" s="9" t="str">
        <f t="shared" ca="1" si="0"/>
        <v/>
      </c>
      <c r="K81" s="9" t="str">
        <f t="shared" ca="1" si="1"/>
        <v/>
      </c>
      <c r="L81" s="9">
        <f t="shared" ca="1" si="2"/>
        <v>9</v>
      </c>
      <c r="N81" s="176">
        <f t="shared" ca="1" si="8"/>
        <v>31</v>
      </c>
      <c r="O81" s="176">
        <f t="shared" ca="1" si="13"/>
        <v>1912</v>
      </c>
      <c r="P81" s="175">
        <f t="shared" ca="1" si="3"/>
        <v>1806.9776512171311</v>
      </c>
      <c r="Q81" s="11">
        <f t="shared" ca="1" si="4"/>
        <v>2.9930000000000002E-2</v>
      </c>
      <c r="R81" s="12">
        <f t="shared" ca="1" si="5"/>
        <v>54.082841100928739</v>
      </c>
    </row>
    <row r="82" spans="1:18">
      <c r="A82" s="198">
        <f t="shared" ca="1" si="14"/>
        <v>64</v>
      </c>
      <c r="B82" s="197">
        <f t="shared" ca="1" si="15"/>
        <v>46670</v>
      </c>
      <c r="C82" s="196">
        <f t="shared" ca="1" si="6"/>
        <v>1823.6018456376357</v>
      </c>
      <c r="D82" s="21">
        <f t="shared" ca="1" si="9"/>
        <v>905.29626323734442</v>
      </c>
      <c r="E82" s="196">
        <f t="shared" ca="1" si="7"/>
        <v>96578.165724077873</v>
      </c>
      <c r="F82" s="178">
        <f t="shared" ca="1" si="10"/>
        <v>20.664371189640256</v>
      </c>
      <c r="G82" s="178">
        <f t="shared" ca="1" si="11"/>
        <v>26.319999999999997</v>
      </c>
      <c r="H82" s="177">
        <f t="shared" ca="1" si="12"/>
        <v>25</v>
      </c>
      <c r="I82" s="196"/>
      <c r="J82" s="9" t="str">
        <f t="shared" ref="J82:J145" ca="1" si="16">IF(A82="I","Carencia",IF(A82&lt;=$C$12,"Carencia",""))</f>
        <v/>
      </c>
      <c r="K82" s="9" t="str">
        <f t="shared" ref="K82:K145" ca="1" si="17">IF(L82=$C$13,"Pula","")</f>
        <v/>
      </c>
      <c r="L82" s="9">
        <f t="shared" ref="L82:L145" ca="1" si="18">IFERROR(MONTH(B82),"")</f>
        <v>10</v>
      </c>
      <c r="N82" s="176">
        <f t="shared" ca="1" si="8"/>
        <v>30</v>
      </c>
      <c r="O82" s="176">
        <f t="shared" ca="1" si="13"/>
        <v>1942</v>
      </c>
      <c r="P82" s="175">
        <f t="shared" ref="P82:P145" ca="1" si="19">IF(A82&lt;&gt;"",C82,"")</f>
        <v>1823.6018456376357</v>
      </c>
      <c r="Q82" s="11">
        <f t="shared" ref="Q82:Q145" ca="1" si="20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ca="1" si="21">IFERROR(Q82*P82,"")</f>
        <v>54.580403239934441</v>
      </c>
    </row>
    <row r="83" spans="1:18">
      <c r="A83" s="198">
        <f t="shared" ca="1" si="14"/>
        <v>65</v>
      </c>
      <c r="B83" s="197">
        <f t="shared" ca="1" si="15"/>
        <v>46701</v>
      </c>
      <c r="C83" s="196">
        <f t="shared" ref="C83:C146" ca="1" si="22">IFERROR(IF(OR(J83="Carencia",K83="Pula"),0,$I$13-D83),"")</f>
        <v>1840.3789826470788</v>
      </c>
      <c r="D83" s="21">
        <f t="shared" ca="1" si="9"/>
        <v>888.51912622790144</v>
      </c>
      <c r="E83" s="196">
        <f t="shared" ref="E83:E146" ca="1" si="23">IFERROR(IF(OR(J83="Carencia",K83="Pula"),E82,(E82-C83)),"")</f>
        <v>94737.786741430798</v>
      </c>
      <c r="F83" s="178">
        <f t="shared" ca="1" si="10"/>
        <v>20.281414802056354</v>
      </c>
      <c r="G83" s="178">
        <f t="shared" ca="1" si="11"/>
        <v>26.319999999999997</v>
      </c>
      <c r="H83" s="177">
        <f t="shared" ca="1" si="12"/>
        <v>25</v>
      </c>
      <c r="I83" s="196"/>
      <c r="J83" s="9" t="str">
        <f t="shared" ca="1" si="16"/>
        <v/>
      </c>
      <c r="K83" s="9" t="str">
        <f t="shared" ca="1" si="17"/>
        <v/>
      </c>
      <c r="L83" s="9">
        <f t="shared" ca="1" si="18"/>
        <v>11</v>
      </c>
      <c r="N83" s="176">
        <f t="shared" ref="N83:N146" ca="1" si="24">IFERROR(B83-B82,"")</f>
        <v>31</v>
      </c>
      <c r="O83" s="176">
        <f t="shared" ca="1" si="13"/>
        <v>1973</v>
      </c>
      <c r="P83" s="175">
        <f t="shared" ca="1" si="19"/>
        <v>1840.3789826470788</v>
      </c>
      <c r="Q83" s="11">
        <f t="shared" ca="1" si="20"/>
        <v>2.9930000000000002E-2</v>
      </c>
      <c r="R83" s="12">
        <f t="shared" ca="1" si="21"/>
        <v>55.082542950627072</v>
      </c>
    </row>
    <row r="84" spans="1:18">
      <c r="A84" s="198">
        <f t="shared" ca="1" si="14"/>
        <v>66</v>
      </c>
      <c r="B84" s="197">
        <f t="shared" ca="1" si="15"/>
        <v>46731</v>
      </c>
      <c r="C84" s="196">
        <f t="shared" ca="1" si="22"/>
        <v>1857.3104693172804</v>
      </c>
      <c r="D84" s="21">
        <f t="shared" ref="D84:D147" ca="1" si="25">IFERROR(IF(DAY(B84)=DAY(B83),IF(K84="Pula",0,($C$9)*E83),IF(AND(K84="Pula",J84=""),0,IF(AND($F$3=30,OR(AND(DAY(B83)=28,MONTH(B83)=2),AND(DAY(B83)=29,MONTH(B83)=2))),$C$9*E83,$C$9*E83))),"")</f>
        <v>871.58763955769962</v>
      </c>
      <c r="E84" s="196">
        <f t="shared" ca="1" si="23"/>
        <v>92880.476272113519</v>
      </c>
      <c r="F84" s="178">
        <f t="shared" ref="F84:F147" ca="1" si="26">IFERROR(IF(OR(AND(DAY(B84)=DAY(B83),MONTH(B84)&lt;&gt;MONTH(B83)),MONTH(B84)&lt;&gt;MONTH(B83)),IF(K84="Pula",0,E83*$I$7),0),0)</f>
        <v>19.894935215700468</v>
      </c>
      <c r="G84" s="178">
        <f t="shared" ref="G84:G147" ca="1" si="27">IFERROR(IF(OR(AND(DAY(B84)=DAY(B83),MONTH(B84)&lt;&gt;MONTH(B83)),MONTH(B84)&lt;&gt;MONTH(B83)),IF(K84="Pula",0,$C$11*$I$8),0),0)</f>
        <v>26.319999999999997</v>
      </c>
      <c r="H84" s="177">
        <f t="shared" ref="H84:H147" ca="1" si="28">IFERROR(IF(OR(AND(DAY(B84)=DAY(B83),MONTH(B84)&lt;&gt;MONTH(B83)),MONTH(B84)&lt;&gt;MONTH(B83)),IF(K84="Pula",0,$I$10),0),0)</f>
        <v>25</v>
      </c>
      <c r="I84" s="196"/>
      <c r="J84" s="9" t="str">
        <f t="shared" ca="1" si="16"/>
        <v/>
      </c>
      <c r="K84" s="9" t="str">
        <f t="shared" ca="1" si="17"/>
        <v/>
      </c>
      <c r="L84" s="9">
        <f t="shared" ca="1" si="18"/>
        <v>12</v>
      </c>
      <c r="N84" s="176">
        <f t="shared" ca="1" si="24"/>
        <v>30</v>
      </c>
      <c r="O84" s="176">
        <f t="shared" ref="O84:O147" ca="1" si="29">IFERROR(N84+O83,"")</f>
        <v>2003</v>
      </c>
      <c r="P84" s="175">
        <f t="shared" ca="1" si="19"/>
        <v>1857.3104693172804</v>
      </c>
      <c r="Q84" s="11">
        <f t="shared" ca="1" si="20"/>
        <v>2.9930000000000002E-2</v>
      </c>
      <c r="R84" s="12">
        <f t="shared" ca="1" si="21"/>
        <v>55.589302346666209</v>
      </c>
    </row>
    <row r="85" spans="1:18">
      <c r="A85" s="198">
        <f t="shared" ref="A85:A148" ca="1" si="30">IF(A84&gt;=$C$8,"",A84+1)</f>
        <v>67</v>
      </c>
      <c r="B85" s="197">
        <f t="shared" ref="B85:B148" ca="1" si="31">IF(A85&lt;&gt;"",IF(DAY(EOMONTH($F$2,0))&lt;$F$3,IF(AND(MONTH($F$2)=2,$F$3&lt;&gt;31),IF(AND(MONTH($F$2)=2,$F$3&lt;&gt;31,MONTH(B84)=2),DATE(YEAR(B84),MONTH(B84)+1,$F$3),EDATE(B84,1)),EOMONTH(B84,1)),EDATE($B$19,A85-$I$14)),"")</f>
        <v>46762</v>
      </c>
      <c r="C85" s="196">
        <f t="shared" ca="1" si="22"/>
        <v>1874.3977256651228</v>
      </c>
      <c r="D85" s="21">
        <f t="shared" ca="1" si="25"/>
        <v>854.5003832098572</v>
      </c>
      <c r="E85" s="196">
        <f t="shared" ca="1" si="23"/>
        <v>91006.078546448392</v>
      </c>
      <c r="F85" s="178">
        <f t="shared" ca="1" si="26"/>
        <v>19.504900017143839</v>
      </c>
      <c r="G85" s="178">
        <f t="shared" ca="1" si="27"/>
        <v>26.319999999999997</v>
      </c>
      <c r="H85" s="177">
        <f t="shared" ca="1" si="28"/>
        <v>25</v>
      </c>
      <c r="I85" s="196"/>
      <c r="J85" s="9" t="str">
        <f t="shared" ca="1" si="16"/>
        <v/>
      </c>
      <c r="K85" s="9" t="str">
        <f t="shared" ca="1" si="17"/>
        <v/>
      </c>
      <c r="L85" s="9">
        <f t="shared" ca="1" si="18"/>
        <v>1</v>
      </c>
      <c r="N85" s="176">
        <f t="shared" ca="1" si="24"/>
        <v>31</v>
      </c>
      <c r="O85" s="176">
        <f t="shared" ca="1" si="29"/>
        <v>2034</v>
      </c>
      <c r="P85" s="175">
        <f t="shared" ca="1" si="19"/>
        <v>1874.3977256651228</v>
      </c>
      <c r="Q85" s="11">
        <f t="shared" ca="1" si="20"/>
        <v>2.9930000000000002E-2</v>
      </c>
      <c r="R85" s="12">
        <f t="shared" ca="1" si="21"/>
        <v>56.100723929157127</v>
      </c>
    </row>
    <row r="86" spans="1:18">
      <c r="A86" s="198">
        <f t="shared" ca="1" si="30"/>
        <v>68</v>
      </c>
      <c r="B86" s="197">
        <f t="shared" ca="1" si="31"/>
        <v>46793</v>
      </c>
      <c r="C86" s="196">
        <f t="shared" ca="1" si="22"/>
        <v>1891.6421847716426</v>
      </c>
      <c r="D86" s="21">
        <f t="shared" ca="1" si="25"/>
        <v>837.25592410333752</v>
      </c>
      <c r="E86" s="196">
        <f t="shared" ca="1" si="23"/>
        <v>89114.436361676751</v>
      </c>
      <c r="F86" s="178">
        <f t="shared" ca="1" si="26"/>
        <v>19.111276494754165</v>
      </c>
      <c r="G86" s="178">
        <f t="shared" ca="1" si="27"/>
        <v>26.319999999999997</v>
      </c>
      <c r="H86" s="177">
        <f t="shared" ca="1" si="28"/>
        <v>25</v>
      </c>
      <c r="I86" s="196"/>
      <c r="J86" s="9" t="str">
        <f t="shared" ca="1" si="16"/>
        <v/>
      </c>
      <c r="K86" s="9" t="str">
        <f t="shared" ca="1" si="17"/>
        <v/>
      </c>
      <c r="L86" s="9">
        <f t="shared" ca="1" si="18"/>
        <v>2</v>
      </c>
      <c r="N86" s="176">
        <f t="shared" ca="1" si="24"/>
        <v>31</v>
      </c>
      <c r="O86" s="176">
        <f t="shared" ca="1" si="29"/>
        <v>2065</v>
      </c>
      <c r="P86" s="175">
        <f t="shared" ca="1" si="19"/>
        <v>1891.6421847716426</v>
      </c>
      <c r="Q86" s="11">
        <f t="shared" ca="1" si="20"/>
        <v>2.9930000000000002E-2</v>
      </c>
      <c r="R86" s="12">
        <f t="shared" ca="1" si="21"/>
        <v>56.616850590215265</v>
      </c>
    </row>
    <row r="87" spans="1:18">
      <c r="A87" s="198">
        <f t="shared" ca="1" si="30"/>
        <v>69</v>
      </c>
      <c r="B87" s="197">
        <f t="shared" ca="1" si="31"/>
        <v>46822</v>
      </c>
      <c r="C87" s="196">
        <f t="shared" ca="1" si="22"/>
        <v>1909.0452929022219</v>
      </c>
      <c r="D87" s="21">
        <f t="shared" ca="1" si="25"/>
        <v>819.85281597275821</v>
      </c>
      <c r="E87" s="196">
        <f t="shared" ca="1" si="23"/>
        <v>87205.391068774523</v>
      </c>
      <c r="F87" s="178">
        <f t="shared" ca="1" si="26"/>
        <v>18.714031635952118</v>
      </c>
      <c r="G87" s="178">
        <f t="shared" ca="1" si="27"/>
        <v>26.319999999999997</v>
      </c>
      <c r="H87" s="177">
        <f t="shared" ca="1" si="28"/>
        <v>25</v>
      </c>
      <c r="I87" s="196"/>
      <c r="J87" s="9" t="str">
        <f t="shared" ca="1" si="16"/>
        <v/>
      </c>
      <c r="K87" s="9" t="str">
        <f t="shared" ca="1" si="17"/>
        <v/>
      </c>
      <c r="L87" s="9">
        <f t="shared" ca="1" si="18"/>
        <v>3</v>
      </c>
      <c r="N87" s="176">
        <f t="shared" ca="1" si="24"/>
        <v>29</v>
      </c>
      <c r="O87" s="176">
        <f t="shared" ca="1" si="29"/>
        <v>2094</v>
      </c>
      <c r="P87" s="175">
        <f t="shared" ca="1" si="19"/>
        <v>1909.0452929022219</v>
      </c>
      <c r="Q87" s="11">
        <f t="shared" ca="1" si="20"/>
        <v>2.9930000000000002E-2</v>
      </c>
      <c r="R87" s="12">
        <f t="shared" ca="1" si="21"/>
        <v>57.137725616563507</v>
      </c>
    </row>
    <row r="88" spans="1:18">
      <c r="A88" s="198">
        <f t="shared" ca="1" si="30"/>
        <v>70</v>
      </c>
      <c r="B88" s="197">
        <f t="shared" ca="1" si="31"/>
        <v>46853</v>
      </c>
      <c r="C88" s="196">
        <f t="shared" ca="1" si="22"/>
        <v>1926.6085096278848</v>
      </c>
      <c r="D88" s="21">
        <f t="shared" ca="1" si="25"/>
        <v>802.28959924709523</v>
      </c>
      <c r="E88" s="196">
        <f t="shared" ca="1" si="23"/>
        <v>85278.782559146639</v>
      </c>
      <c r="F88" s="178">
        <f t="shared" ca="1" si="26"/>
        <v>18.313132124442649</v>
      </c>
      <c r="G88" s="178">
        <f t="shared" ca="1" si="27"/>
        <v>26.319999999999997</v>
      </c>
      <c r="H88" s="177">
        <f t="shared" ca="1" si="28"/>
        <v>25</v>
      </c>
      <c r="I88" s="196"/>
      <c r="J88" s="9" t="str">
        <f t="shared" ca="1" si="16"/>
        <v/>
      </c>
      <c r="K88" s="9" t="str">
        <f t="shared" ca="1" si="17"/>
        <v/>
      </c>
      <c r="L88" s="9">
        <f t="shared" ca="1" si="18"/>
        <v>4</v>
      </c>
      <c r="N88" s="176">
        <f t="shared" ca="1" si="24"/>
        <v>31</v>
      </c>
      <c r="O88" s="176">
        <f t="shared" ca="1" si="29"/>
        <v>2125</v>
      </c>
      <c r="P88" s="175">
        <f t="shared" ca="1" si="19"/>
        <v>1926.6085096278848</v>
      </c>
      <c r="Q88" s="11">
        <f t="shared" ca="1" si="20"/>
        <v>2.9930000000000002E-2</v>
      </c>
      <c r="R88" s="12">
        <f t="shared" ca="1" si="21"/>
        <v>57.663392693162599</v>
      </c>
    </row>
    <row r="89" spans="1:18">
      <c r="A89" s="198">
        <f t="shared" ca="1" si="30"/>
        <v>71</v>
      </c>
      <c r="B89" s="197">
        <f t="shared" ca="1" si="31"/>
        <v>46883</v>
      </c>
      <c r="C89" s="196">
        <f t="shared" ca="1" si="22"/>
        <v>1944.3333079477088</v>
      </c>
      <c r="D89" s="21">
        <f t="shared" ca="1" si="25"/>
        <v>784.56480092727134</v>
      </c>
      <c r="E89" s="196">
        <f t="shared" ca="1" si="23"/>
        <v>83334.449251198937</v>
      </c>
      <c r="F89" s="178">
        <f t="shared" ca="1" si="26"/>
        <v>17.908544337420796</v>
      </c>
      <c r="G89" s="178">
        <f t="shared" ca="1" si="27"/>
        <v>26.319999999999997</v>
      </c>
      <c r="H89" s="177">
        <f t="shared" ca="1" si="28"/>
        <v>25</v>
      </c>
      <c r="I89" s="196"/>
      <c r="J89" s="9" t="str">
        <f t="shared" ca="1" si="16"/>
        <v/>
      </c>
      <c r="K89" s="9" t="str">
        <f t="shared" ca="1" si="17"/>
        <v/>
      </c>
      <c r="L89" s="9">
        <f t="shared" ca="1" si="18"/>
        <v>5</v>
      </c>
      <c r="N89" s="176">
        <f t="shared" ca="1" si="24"/>
        <v>30</v>
      </c>
      <c r="O89" s="176">
        <f t="shared" ca="1" si="29"/>
        <v>2155</v>
      </c>
      <c r="P89" s="175">
        <f t="shared" ca="1" si="19"/>
        <v>1944.3333079477088</v>
      </c>
      <c r="Q89" s="11">
        <f t="shared" ca="1" si="20"/>
        <v>2.9930000000000002E-2</v>
      </c>
      <c r="R89" s="12">
        <f t="shared" ca="1" si="21"/>
        <v>58.193895906874928</v>
      </c>
    </row>
    <row r="90" spans="1:18">
      <c r="A90" s="198">
        <f t="shared" ca="1" si="30"/>
        <v>72</v>
      </c>
      <c r="B90" s="197">
        <f t="shared" ca="1" si="31"/>
        <v>46914</v>
      </c>
      <c r="C90" s="196">
        <f t="shared" ca="1" si="22"/>
        <v>1962.2211744123624</v>
      </c>
      <c r="D90" s="21">
        <f t="shared" ca="1" si="25"/>
        <v>766.67693446261762</v>
      </c>
      <c r="E90" s="196">
        <f t="shared" ca="1" si="23"/>
        <v>81372.228076786574</v>
      </c>
      <c r="F90" s="178">
        <f t="shared" ca="1" si="26"/>
        <v>17.500234342751778</v>
      </c>
      <c r="G90" s="178">
        <f t="shared" ca="1" si="27"/>
        <v>26.319999999999997</v>
      </c>
      <c r="H90" s="177">
        <f t="shared" ca="1" si="28"/>
        <v>25</v>
      </c>
      <c r="I90" s="196"/>
      <c r="J90" s="9" t="str">
        <f t="shared" ca="1" si="16"/>
        <v/>
      </c>
      <c r="K90" s="9" t="str">
        <f t="shared" ca="1" si="17"/>
        <v/>
      </c>
      <c r="L90" s="9">
        <f t="shared" ca="1" si="18"/>
        <v>6</v>
      </c>
      <c r="N90" s="176">
        <f t="shared" ca="1" si="24"/>
        <v>31</v>
      </c>
      <c r="O90" s="176">
        <f t="shared" ca="1" si="29"/>
        <v>2186</v>
      </c>
      <c r="P90" s="175">
        <f t="shared" ca="1" si="19"/>
        <v>1962.2211744123624</v>
      </c>
      <c r="Q90" s="11">
        <f t="shared" ca="1" si="20"/>
        <v>2.9930000000000002E-2</v>
      </c>
      <c r="R90" s="12">
        <f t="shared" ca="1" si="21"/>
        <v>58.729279750162007</v>
      </c>
    </row>
    <row r="91" spans="1:18">
      <c r="A91" s="198">
        <f t="shared" ca="1" si="30"/>
        <v>73</v>
      </c>
      <c r="B91" s="197">
        <f t="shared" ca="1" si="31"/>
        <v>46944</v>
      </c>
      <c r="C91" s="196">
        <f t="shared" ca="1" si="22"/>
        <v>1980.2736092487812</v>
      </c>
      <c r="D91" s="21">
        <f t="shared" ca="1" si="25"/>
        <v>748.62449962619894</v>
      </c>
      <c r="E91" s="196">
        <f t="shared" ca="1" si="23"/>
        <v>79391.954467537798</v>
      </c>
      <c r="F91" s="178">
        <f t="shared" ca="1" si="26"/>
        <v>17.088167896125181</v>
      </c>
      <c r="G91" s="178">
        <f t="shared" ca="1" si="27"/>
        <v>26.319999999999997</v>
      </c>
      <c r="H91" s="177">
        <f t="shared" ca="1" si="28"/>
        <v>25</v>
      </c>
      <c r="I91" s="196"/>
      <c r="J91" s="9" t="str">
        <f t="shared" ca="1" si="16"/>
        <v/>
      </c>
      <c r="K91" s="9" t="str">
        <f t="shared" ca="1" si="17"/>
        <v/>
      </c>
      <c r="L91" s="9">
        <f t="shared" ca="1" si="18"/>
        <v>7</v>
      </c>
      <c r="N91" s="176">
        <f t="shared" ca="1" si="24"/>
        <v>30</v>
      </c>
      <c r="O91" s="176">
        <f t="shared" ca="1" si="29"/>
        <v>2216</v>
      </c>
      <c r="P91" s="175">
        <f t="shared" ca="1" si="19"/>
        <v>1980.2736092487812</v>
      </c>
      <c r="Q91" s="11">
        <f t="shared" ca="1" si="20"/>
        <v>2.9930000000000002E-2</v>
      </c>
      <c r="R91" s="12">
        <f t="shared" ca="1" si="21"/>
        <v>59.269589124816022</v>
      </c>
    </row>
    <row r="92" spans="1:18">
      <c r="A92" s="198">
        <f t="shared" ca="1" si="30"/>
        <v>74</v>
      </c>
      <c r="B92" s="197">
        <f t="shared" ca="1" si="31"/>
        <v>46975</v>
      </c>
      <c r="C92" s="196">
        <f t="shared" ca="1" si="22"/>
        <v>1998.4921264859877</v>
      </c>
      <c r="D92" s="21">
        <f t="shared" ca="1" si="25"/>
        <v>730.40598238899247</v>
      </c>
      <c r="E92" s="196">
        <f t="shared" ca="1" si="23"/>
        <v>77393.462341051811</v>
      </c>
      <c r="F92" s="178">
        <f t="shared" ca="1" si="26"/>
        <v>16.67231043818294</v>
      </c>
      <c r="G92" s="178">
        <f t="shared" ca="1" si="27"/>
        <v>26.319999999999997</v>
      </c>
      <c r="H92" s="177">
        <f t="shared" ca="1" si="28"/>
        <v>25</v>
      </c>
      <c r="I92" s="196"/>
      <c r="J92" s="9" t="str">
        <f t="shared" ca="1" si="16"/>
        <v/>
      </c>
      <c r="K92" s="9" t="str">
        <f t="shared" ca="1" si="17"/>
        <v/>
      </c>
      <c r="L92" s="9">
        <f t="shared" ca="1" si="18"/>
        <v>8</v>
      </c>
      <c r="N92" s="176">
        <f t="shared" ca="1" si="24"/>
        <v>31</v>
      </c>
      <c r="O92" s="176">
        <f t="shared" ca="1" si="29"/>
        <v>2247</v>
      </c>
      <c r="P92" s="175">
        <f t="shared" ca="1" si="19"/>
        <v>1998.4921264859877</v>
      </c>
      <c r="Q92" s="11">
        <f t="shared" ca="1" si="20"/>
        <v>2.9930000000000002E-2</v>
      </c>
      <c r="R92" s="12">
        <f t="shared" ca="1" si="21"/>
        <v>59.814869345725612</v>
      </c>
    </row>
    <row r="93" spans="1:18">
      <c r="A93" s="198">
        <f t="shared" ca="1" si="30"/>
        <v>75</v>
      </c>
      <c r="B93" s="197">
        <f t="shared" ca="1" si="31"/>
        <v>47006</v>
      </c>
      <c r="C93" s="196">
        <f t="shared" ca="1" si="22"/>
        <v>2016.8782540820721</v>
      </c>
      <c r="D93" s="21">
        <f t="shared" ca="1" si="25"/>
        <v>712.01985479290818</v>
      </c>
      <c r="E93" s="196">
        <f t="shared" ca="1" si="23"/>
        <v>75376.584086969742</v>
      </c>
      <c r="F93" s="178">
        <f t="shared" ca="1" si="26"/>
        <v>16.25262709162088</v>
      </c>
      <c r="G93" s="178">
        <f t="shared" ca="1" si="27"/>
        <v>26.319999999999997</v>
      </c>
      <c r="H93" s="177">
        <f t="shared" ca="1" si="28"/>
        <v>25</v>
      </c>
      <c r="I93" s="196"/>
      <c r="J93" s="9" t="str">
        <f t="shared" ca="1" si="16"/>
        <v/>
      </c>
      <c r="K93" s="9" t="str">
        <f t="shared" ca="1" si="17"/>
        <v/>
      </c>
      <c r="L93" s="9">
        <f t="shared" ca="1" si="18"/>
        <v>9</v>
      </c>
      <c r="N93" s="176">
        <f t="shared" ca="1" si="24"/>
        <v>31</v>
      </c>
      <c r="O93" s="176">
        <f t="shared" ca="1" si="29"/>
        <v>2278</v>
      </c>
      <c r="P93" s="175">
        <f t="shared" ca="1" si="19"/>
        <v>2016.8782540820721</v>
      </c>
      <c r="Q93" s="11">
        <f t="shared" ca="1" si="20"/>
        <v>2.9930000000000002E-2</v>
      </c>
      <c r="R93" s="12">
        <f t="shared" ca="1" si="21"/>
        <v>60.365166144676422</v>
      </c>
    </row>
    <row r="94" spans="1:18">
      <c r="A94" s="198">
        <f t="shared" ca="1" si="30"/>
        <v>76</v>
      </c>
      <c r="B94" s="197">
        <f t="shared" ca="1" si="31"/>
        <v>47036</v>
      </c>
      <c r="C94" s="196">
        <f t="shared" ca="1" si="22"/>
        <v>2035.4335340523385</v>
      </c>
      <c r="D94" s="21">
        <f t="shared" ca="1" si="25"/>
        <v>693.46457482264179</v>
      </c>
      <c r="E94" s="196">
        <f t="shared" ca="1" si="23"/>
        <v>73341.150552917403</v>
      </c>
      <c r="F94" s="178">
        <f t="shared" ca="1" si="26"/>
        <v>15.829082658263646</v>
      </c>
      <c r="G94" s="178">
        <f t="shared" ca="1" si="27"/>
        <v>26.319999999999997</v>
      </c>
      <c r="H94" s="177">
        <f t="shared" ca="1" si="28"/>
        <v>25</v>
      </c>
      <c r="I94" s="196"/>
      <c r="J94" s="9" t="str">
        <f t="shared" ca="1" si="16"/>
        <v/>
      </c>
      <c r="K94" s="9" t="str">
        <f t="shared" ca="1" si="17"/>
        <v/>
      </c>
      <c r="L94" s="9">
        <f t="shared" ca="1" si="18"/>
        <v>10</v>
      </c>
      <c r="N94" s="176">
        <f t="shared" ca="1" si="24"/>
        <v>30</v>
      </c>
      <c r="O94" s="176">
        <f t="shared" ca="1" si="29"/>
        <v>2308</v>
      </c>
      <c r="P94" s="175">
        <f t="shared" ca="1" si="19"/>
        <v>2035.4335340523385</v>
      </c>
      <c r="Q94" s="11">
        <f t="shared" ca="1" si="20"/>
        <v>2.9930000000000002E-2</v>
      </c>
      <c r="R94" s="12">
        <f t="shared" ca="1" si="21"/>
        <v>60.920525674186493</v>
      </c>
    </row>
    <row r="95" spans="1:18">
      <c r="A95" s="198">
        <f t="shared" ca="1" si="30"/>
        <v>77</v>
      </c>
      <c r="B95" s="197">
        <f t="shared" ca="1" si="31"/>
        <v>47067</v>
      </c>
      <c r="C95" s="196">
        <f t="shared" ca="1" si="22"/>
        <v>2054.1595225986321</v>
      </c>
      <c r="D95" s="21">
        <f t="shared" ca="1" si="25"/>
        <v>674.73858627634786</v>
      </c>
      <c r="E95" s="196">
        <f t="shared" ca="1" si="23"/>
        <v>71286.991030318764</v>
      </c>
      <c r="F95" s="178">
        <f t="shared" ca="1" si="26"/>
        <v>15.401641616112656</v>
      </c>
      <c r="G95" s="178">
        <f t="shared" ca="1" si="27"/>
        <v>26.319999999999997</v>
      </c>
      <c r="H95" s="177">
        <f t="shared" ca="1" si="28"/>
        <v>25</v>
      </c>
      <c r="I95" s="196"/>
      <c r="J95" s="9" t="str">
        <f t="shared" ca="1" si="16"/>
        <v/>
      </c>
      <c r="K95" s="9" t="str">
        <f t="shared" ca="1" si="17"/>
        <v/>
      </c>
      <c r="L95" s="9">
        <f t="shared" ca="1" si="18"/>
        <v>11</v>
      </c>
      <c r="N95" s="176">
        <f t="shared" ca="1" si="24"/>
        <v>31</v>
      </c>
      <c r="O95" s="176">
        <f t="shared" ca="1" si="29"/>
        <v>2339</v>
      </c>
      <c r="P95" s="175">
        <f t="shared" ca="1" si="19"/>
        <v>2054.1595225986321</v>
      </c>
      <c r="Q95" s="11">
        <f t="shared" ca="1" si="20"/>
        <v>2.9930000000000002E-2</v>
      </c>
      <c r="R95" s="12">
        <f t="shared" ca="1" si="21"/>
        <v>61.480994511377062</v>
      </c>
    </row>
    <row r="96" spans="1:18">
      <c r="A96" s="198">
        <f t="shared" ca="1" si="30"/>
        <v>78</v>
      </c>
      <c r="B96" s="197">
        <f t="shared" ca="1" si="31"/>
        <v>47097</v>
      </c>
      <c r="C96" s="196">
        <f t="shared" ca="1" si="22"/>
        <v>2073.0577902398559</v>
      </c>
      <c r="D96" s="21">
        <f t="shared" ca="1" si="25"/>
        <v>655.84031863512439</v>
      </c>
      <c r="E96" s="196">
        <f t="shared" ca="1" si="23"/>
        <v>69213.933240078914</v>
      </c>
      <c r="F96" s="178">
        <f t="shared" ca="1" si="26"/>
        <v>14.970268116366942</v>
      </c>
      <c r="G96" s="178">
        <f t="shared" ca="1" si="27"/>
        <v>26.319999999999997</v>
      </c>
      <c r="H96" s="177">
        <f t="shared" ca="1" si="28"/>
        <v>25</v>
      </c>
      <c r="I96" s="196"/>
      <c r="J96" s="9" t="str">
        <f t="shared" ca="1" si="16"/>
        <v/>
      </c>
      <c r="K96" s="9" t="str">
        <f t="shared" ca="1" si="17"/>
        <v/>
      </c>
      <c r="L96" s="9">
        <f t="shared" ca="1" si="18"/>
        <v>12</v>
      </c>
      <c r="N96" s="176">
        <f t="shared" ca="1" si="24"/>
        <v>30</v>
      </c>
      <c r="O96" s="176">
        <f t="shared" ca="1" si="29"/>
        <v>2369</v>
      </c>
      <c r="P96" s="175">
        <f t="shared" ca="1" si="19"/>
        <v>2073.0577902398559</v>
      </c>
      <c r="Q96" s="11">
        <f t="shared" ca="1" si="20"/>
        <v>2.9930000000000002E-2</v>
      </c>
      <c r="R96" s="12">
        <f t="shared" ca="1" si="21"/>
        <v>62.046619661878893</v>
      </c>
    </row>
    <row r="97" spans="1:18">
      <c r="A97" s="198">
        <f t="shared" ca="1" si="30"/>
        <v>79</v>
      </c>
      <c r="B97" s="197">
        <f t="shared" ca="1" si="31"/>
        <v>47128</v>
      </c>
      <c r="C97" s="196">
        <f t="shared" ca="1" si="22"/>
        <v>2092.1299219436851</v>
      </c>
      <c r="D97" s="21">
        <f t="shared" ca="1" si="25"/>
        <v>636.76818693129519</v>
      </c>
      <c r="E97" s="196">
        <f t="shared" ca="1" si="23"/>
        <v>67121.803318135222</v>
      </c>
      <c r="F97" s="178">
        <f t="shared" ca="1" si="26"/>
        <v>14.534925980416572</v>
      </c>
      <c r="G97" s="178">
        <f t="shared" ca="1" si="27"/>
        <v>26.319999999999997</v>
      </c>
      <c r="H97" s="177">
        <f t="shared" ca="1" si="28"/>
        <v>25</v>
      </c>
      <c r="I97" s="196"/>
      <c r="J97" s="9" t="str">
        <f t="shared" ca="1" si="16"/>
        <v/>
      </c>
      <c r="K97" s="9" t="str">
        <f t="shared" ca="1" si="17"/>
        <v/>
      </c>
      <c r="L97" s="9">
        <f t="shared" ca="1" si="18"/>
        <v>1</v>
      </c>
      <c r="N97" s="176">
        <f t="shared" ca="1" si="24"/>
        <v>31</v>
      </c>
      <c r="O97" s="176">
        <f t="shared" ca="1" si="29"/>
        <v>2400</v>
      </c>
      <c r="P97" s="175">
        <f t="shared" ca="1" si="19"/>
        <v>2092.1299219436851</v>
      </c>
      <c r="Q97" s="11">
        <f t="shared" ca="1" si="20"/>
        <v>2.9930000000000002E-2</v>
      </c>
      <c r="R97" s="12">
        <f t="shared" ca="1" si="21"/>
        <v>62.617448563774495</v>
      </c>
    </row>
    <row r="98" spans="1:18">
      <c r="A98" s="198">
        <f t="shared" ca="1" si="30"/>
        <v>80</v>
      </c>
      <c r="B98" s="197">
        <f t="shared" ca="1" si="31"/>
        <v>47159</v>
      </c>
      <c r="C98" s="196">
        <f t="shared" ca="1" si="22"/>
        <v>2111.3775172594987</v>
      </c>
      <c r="D98" s="21">
        <f t="shared" ca="1" si="25"/>
        <v>617.52059161548129</v>
      </c>
      <c r="E98" s="196">
        <f t="shared" ca="1" si="23"/>
        <v>65010.425800875724</v>
      </c>
      <c r="F98" s="178">
        <f t="shared" ca="1" si="26"/>
        <v>14.095578696808397</v>
      </c>
      <c r="G98" s="178">
        <f t="shared" ca="1" si="27"/>
        <v>26.319999999999997</v>
      </c>
      <c r="H98" s="177">
        <f t="shared" ca="1" si="28"/>
        <v>25</v>
      </c>
      <c r="I98" s="196"/>
      <c r="J98" s="9" t="str">
        <f t="shared" ca="1" si="16"/>
        <v/>
      </c>
      <c r="K98" s="9" t="str">
        <f t="shared" ca="1" si="17"/>
        <v/>
      </c>
      <c r="L98" s="9">
        <f t="shared" ca="1" si="18"/>
        <v>2</v>
      </c>
      <c r="N98" s="176">
        <f t="shared" ca="1" si="24"/>
        <v>31</v>
      </c>
      <c r="O98" s="176">
        <f t="shared" ca="1" si="29"/>
        <v>2431</v>
      </c>
      <c r="P98" s="175">
        <f t="shared" ca="1" si="19"/>
        <v>2111.3775172594987</v>
      </c>
      <c r="Q98" s="11">
        <f t="shared" ca="1" si="20"/>
        <v>2.9930000000000002E-2</v>
      </c>
      <c r="R98" s="12">
        <f t="shared" ca="1" si="21"/>
        <v>63.193529091576799</v>
      </c>
    </row>
    <row r="99" spans="1:18">
      <c r="A99" s="198">
        <f t="shared" ca="1" si="30"/>
        <v>81</v>
      </c>
      <c r="B99" s="197">
        <f t="shared" ca="1" si="31"/>
        <v>47187</v>
      </c>
      <c r="C99" s="196">
        <f t="shared" ca="1" si="22"/>
        <v>2130.8021904525303</v>
      </c>
      <c r="D99" s="21">
        <f t="shared" ca="1" si="25"/>
        <v>598.09591842244981</v>
      </c>
      <c r="E99" s="196">
        <f t="shared" ca="1" si="23"/>
        <v>62879.623610423194</v>
      </c>
      <c r="F99" s="178">
        <f t="shared" ca="1" si="26"/>
        <v>13.652189418183903</v>
      </c>
      <c r="G99" s="178">
        <f t="shared" ca="1" si="27"/>
        <v>26.319999999999997</v>
      </c>
      <c r="H99" s="177">
        <f t="shared" ca="1" si="28"/>
        <v>25</v>
      </c>
      <c r="I99" s="196"/>
      <c r="J99" s="9" t="str">
        <f t="shared" ca="1" si="16"/>
        <v/>
      </c>
      <c r="K99" s="9" t="str">
        <f t="shared" ca="1" si="17"/>
        <v/>
      </c>
      <c r="L99" s="9">
        <f t="shared" ca="1" si="18"/>
        <v>3</v>
      </c>
      <c r="N99" s="176">
        <f t="shared" ca="1" si="24"/>
        <v>28</v>
      </c>
      <c r="O99" s="176">
        <f t="shared" ca="1" si="29"/>
        <v>2459</v>
      </c>
      <c r="P99" s="175">
        <f t="shared" ca="1" si="19"/>
        <v>2130.8021904525303</v>
      </c>
      <c r="Q99" s="11">
        <f t="shared" ca="1" si="20"/>
        <v>2.9930000000000002E-2</v>
      </c>
      <c r="R99" s="12">
        <f t="shared" ca="1" si="21"/>
        <v>63.77490956024424</v>
      </c>
    </row>
    <row r="100" spans="1:18">
      <c r="A100" s="198">
        <f t="shared" ca="1" si="30"/>
        <v>82</v>
      </c>
      <c r="B100" s="197">
        <f t="shared" ca="1" si="31"/>
        <v>47218</v>
      </c>
      <c r="C100" s="196">
        <f t="shared" ca="1" si="22"/>
        <v>2150.4055706392528</v>
      </c>
      <c r="D100" s="21">
        <f t="shared" ca="1" si="25"/>
        <v>578.49253823572747</v>
      </c>
      <c r="E100" s="196">
        <f t="shared" ca="1" si="23"/>
        <v>60729.21803978394</v>
      </c>
      <c r="F100" s="178">
        <f t="shared" ca="1" si="26"/>
        <v>13.20472095818887</v>
      </c>
      <c r="G100" s="178">
        <f t="shared" ca="1" si="27"/>
        <v>26.319999999999997</v>
      </c>
      <c r="H100" s="177">
        <f t="shared" ca="1" si="28"/>
        <v>25</v>
      </c>
      <c r="I100" s="196"/>
      <c r="J100" s="9" t="str">
        <f t="shared" ca="1" si="16"/>
        <v/>
      </c>
      <c r="K100" s="9" t="str">
        <f t="shared" ca="1" si="17"/>
        <v/>
      </c>
      <c r="L100" s="9">
        <f t="shared" ca="1" si="18"/>
        <v>4</v>
      </c>
      <c r="N100" s="176">
        <f t="shared" ca="1" si="24"/>
        <v>31</v>
      </c>
      <c r="O100" s="176">
        <f t="shared" ca="1" si="29"/>
        <v>2490</v>
      </c>
      <c r="P100" s="175">
        <f t="shared" ca="1" si="19"/>
        <v>2150.4055706392528</v>
      </c>
      <c r="Q100" s="11">
        <f t="shared" ca="1" si="20"/>
        <v>2.9930000000000002E-2</v>
      </c>
      <c r="R100" s="12">
        <f t="shared" ca="1" si="21"/>
        <v>64.361638729232837</v>
      </c>
    </row>
    <row r="101" spans="1:18">
      <c r="A101" s="198">
        <f t="shared" ca="1" si="30"/>
        <v>83</v>
      </c>
      <c r="B101" s="197">
        <f t="shared" ca="1" si="31"/>
        <v>47248</v>
      </c>
      <c r="C101" s="196">
        <f t="shared" ca="1" si="22"/>
        <v>2170.189301924011</v>
      </c>
      <c r="D101" s="21">
        <f t="shared" ca="1" si="25"/>
        <v>558.70880695096923</v>
      </c>
      <c r="E101" s="196">
        <f t="shared" ca="1" si="23"/>
        <v>58559.028737859931</v>
      </c>
      <c r="F101" s="178">
        <f t="shared" ca="1" si="26"/>
        <v>12.753135788354628</v>
      </c>
      <c r="G101" s="178">
        <f t="shared" ca="1" si="27"/>
        <v>26.319999999999997</v>
      </c>
      <c r="H101" s="177">
        <f t="shared" ca="1" si="28"/>
        <v>25</v>
      </c>
      <c r="I101" s="196"/>
      <c r="J101" s="9" t="str">
        <f t="shared" ca="1" si="16"/>
        <v/>
      </c>
      <c r="K101" s="9" t="str">
        <f t="shared" ca="1" si="17"/>
        <v/>
      </c>
      <c r="L101" s="9">
        <f t="shared" ca="1" si="18"/>
        <v>5</v>
      </c>
      <c r="N101" s="176">
        <f t="shared" ca="1" si="24"/>
        <v>30</v>
      </c>
      <c r="O101" s="176">
        <f t="shared" ca="1" si="29"/>
        <v>2520</v>
      </c>
      <c r="P101" s="175">
        <f t="shared" ca="1" si="19"/>
        <v>2170.189301924011</v>
      </c>
      <c r="Q101" s="11">
        <f t="shared" ca="1" si="20"/>
        <v>2.9930000000000002E-2</v>
      </c>
      <c r="R101" s="12">
        <f t="shared" ca="1" si="21"/>
        <v>64.95376580658565</v>
      </c>
    </row>
    <row r="102" spans="1:18">
      <c r="A102" s="198">
        <f t="shared" ca="1" si="30"/>
        <v>84</v>
      </c>
      <c r="B102" s="197">
        <f t="shared" ca="1" si="31"/>
        <v>47279</v>
      </c>
      <c r="C102" s="196">
        <f t="shared" ca="1" si="22"/>
        <v>2190.1550435369099</v>
      </c>
      <c r="D102" s="21">
        <f t="shared" ca="1" si="25"/>
        <v>538.74306533807044</v>
      </c>
      <c r="E102" s="196">
        <f t="shared" ca="1" si="23"/>
        <v>56368.873694323018</v>
      </c>
      <c r="F102" s="178">
        <f t="shared" ca="1" si="26"/>
        <v>12.297396034950586</v>
      </c>
      <c r="G102" s="178">
        <f t="shared" ca="1" si="27"/>
        <v>26.319999999999997</v>
      </c>
      <c r="H102" s="177">
        <f t="shared" ca="1" si="28"/>
        <v>25</v>
      </c>
      <c r="I102" s="196"/>
      <c r="J102" s="9" t="str">
        <f t="shared" ca="1" si="16"/>
        <v/>
      </c>
      <c r="K102" s="9" t="str">
        <f t="shared" ca="1" si="17"/>
        <v/>
      </c>
      <c r="L102" s="9">
        <f t="shared" ca="1" si="18"/>
        <v>6</v>
      </c>
      <c r="N102" s="176">
        <f t="shared" ca="1" si="24"/>
        <v>31</v>
      </c>
      <c r="O102" s="176">
        <f t="shared" ca="1" si="29"/>
        <v>2551</v>
      </c>
      <c r="P102" s="175">
        <f t="shared" ca="1" si="19"/>
        <v>2190.1550435369099</v>
      </c>
      <c r="Q102" s="11">
        <f t="shared" ca="1" si="20"/>
        <v>2.9930000000000002E-2</v>
      </c>
      <c r="R102" s="12">
        <f t="shared" ca="1" si="21"/>
        <v>65.551340453059723</v>
      </c>
    </row>
    <row r="103" spans="1:18">
      <c r="A103" s="198">
        <f t="shared" ca="1" si="30"/>
        <v>85</v>
      </c>
      <c r="B103" s="197">
        <f t="shared" ca="1" si="31"/>
        <v>47309</v>
      </c>
      <c r="C103" s="196">
        <f t="shared" ca="1" si="22"/>
        <v>2210.3044699729712</v>
      </c>
      <c r="D103" s="21">
        <f t="shared" ca="1" si="25"/>
        <v>518.59363890200905</v>
      </c>
      <c r="E103" s="196">
        <f t="shared" ca="1" si="23"/>
        <v>54158.569224350045</v>
      </c>
      <c r="F103" s="178">
        <f t="shared" ca="1" si="26"/>
        <v>11.837463475807834</v>
      </c>
      <c r="G103" s="178">
        <f t="shared" ca="1" si="27"/>
        <v>26.319999999999997</v>
      </c>
      <c r="H103" s="177">
        <f t="shared" ca="1" si="28"/>
        <v>25</v>
      </c>
      <c r="I103" s="196"/>
      <c r="J103" s="9" t="str">
        <f t="shared" ca="1" si="16"/>
        <v/>
      </c>
      <c r="K103" s="9" t="str">
        <f t="shared" ca="1" si="17"/>
        <v/>
      </c>
      <c r="L103" s="9">
        <f t="shared" ca="1" si="18"/>
        <v>7</v>
      </c>
      <c r="N103" s="176">
        <f t="shared" ca="1" si="24"/>
        <v>30</v>
      </c>
      <c r="O103" s="176">
        <f t="shared" ca="1" si="29"/>
        <v>2581</v>
      </c>
      <c r="P103" s="175">
        <f t="shared" ca="1" si="19"/>
        <v>2210.3044699729712</v>
      </c>
      <c r="Q103" s="11">
        <f t="shared" ca="1" si="20"/>
        <v>2.9930000000000002E-2</v>
      </c>
      <c r="R103" s="12">
        <f t="shared" ca="1" si="21"/>
        <v>66.154412786291033</v>
      </c>
    </row>
    <row r="104" spans="1:18">
      <c r="A104" s="198">
        <f t="shared" ca="1" si="30"/>
        <v>86</v>
      </c>
      <c r="B104" s="197">
        <f t="shared" ca="1" si="31"/>
        <v>47340</v>
      </c>
      <c r="C104" s="196">
        <f t="shared" ca="1" si="22"/>
        <v>2230.6392711325711</v>
      </c>
      <c r="D104" s="21">
        <f t="shared" ca="1" si="25"/>
        <v>498.25883774240913</v>
      </c>
      <c r="E104" s="196">
        <f t="shared" ca="1" si="23"/>
        <v>51927.929953217477</v>
      </c>
      <c r="F104" s="178">
        <f t="shared" ca="1" si="26"/>
        <v>11.37329953711351</v>
      </c>
      <c r="G104" s="178">
        <f t="shared" ca="1" si="27"/>
        <v>26.319999999999997</v>
      </c>
      <c r="H104" s="177">
        <f t="shared" ca="1" si="28"/>
        <v>25</v>
      </c>
      <c r="I104" s="196"/>
      <c r="J104" s="9" t="str">
        <f t="shared" ca="1" si="16"/>
        <v/>
      </c>
      <c r="K104" s="9" t="str">
        <f t="shared" ca="1" si="17"/>
        <v/>
      </c>
      <c r="L104" s="9">
        <f t="shared" ca="1" si="18"/>
        <v>8</v>
      </c>
      <c r="N104" s="176">
        <f t="shared" ca="1" si="24"/>
        <v>31</v>
      </c>
      <c r="O104" s="176">
        <f t="shared" ca="1" si="29"/>
        <v>2612</v>
      </c>
      <c r="P104" s="175">
        <f t="shared" ca="1" si="19"/>
        <v>2230.6392711325711</v>
      </c>
      <c r="Q104" s="11">
        <f t="shared" ca="1" si="20"/>
        <v>2.9930000000000002E-2</v>
      </c>
      <c r="R104" s="12">
        <f t="shared" ca="1" si="21"/>
        <v>66.763033384997854</v>
      </c>
    </row>
    <row r="105" spans="1:18">
      <c r="A105" s="198">
        <f t="shared" ca="1" si="30"/>
        <v>87</v>
      </c>
      <c r="B105" s="197">
        <f t="shared" ca="1" si="31"/>
        <v>47371</v>
      </c>
      <c r="C105" s="196">
        <f t="shared" ca="1" si="22"/>
        <v>2251.1611524631689</v>
      </c>
      <c r="D105" s="21">
        <f t="shared" ca="1" si="25"/>
        <v>477.73695641181115</v>
      </c>
      <c r="E105" s="196">
        <f t="shared" ca="1" si="23"/>
        <v>49676.768800754311</v>
      </c>
      <c r="F105" s="178">
        <f t="shared" ca="1" si="26"/>
        <v>10.904865290175671</v>
      </c>
      <c r="G105" s="178">
        <f t="shared" ca="1" si="27"/>
        <v>26.319999999999997</v>
      </c>
      <c r="H105" s="177">
        <f t="shared" ca="1" si="28"/>
        <v>25</v>
      </c>
      <c r="I105" s="196"/>
      <c r="J105" s="9" t="str">
        <f t="shared" ca="1" si="16"/>
        <v/>
      </c>
      <c r="K105" s="9" t="str">
        <f t="shared" ca="1" si="17"/>
        <v/>
      </c>
      <c r="L105" s="9">
        <f t="shared" ca="1" si="18"/>
        <v>9</v>
      </c>
      <c r="N105" s="176">
        <f t="shared" ca="1" si="24"/>
        <v>31</v>
      </c>
      <c r="O105" s="176">
        <f t="shared" ca="1" si="29"/>
        <v>2643</v>
      </c>
      <c r="P105" s="175">
        <f t="shared" ca="1" si="19"/>
        <v>2251.1611524631689</v>
      </c>
      <c r="Q105" s="11">
        <f t="shared" ca="1" si="20"/>
        <v>2.9930000000000002E-2</v>
      </c>
      <c r="R105" s="12">
        <f t="shared" ca="1" si="21"/>
        <v>67.377253293222651</v>
      </c>
    </row>
    <row r="106" spans="1:18">
      <c r="A106" s="198">
        <f t="shared" ca="1" si="30"/>
        <v>88</v>
      </c>
      <c r="B106" s="197">
        <f t="shared" ca="1" si="31"/>
        <v>47401</v>
      </c>
      <c r="C106" s="196">
        <f t="shared" ca="1" si="22"/>
        <v>2271.8718351023413</v>
      </c>
      <c r="D106" s="21">
        <f t="shared" ca="1" si="25"/>
        <v>457.02627377263883</v>
      </c>
      <c r="E106" s="196">
        <f t="shared" ca="1" si="23"/>
        <v>47404.896965651969</v>
      </c>
      <c r="F106" s="178">
        <f t="shared" ca="1" si="26"/>
        <v>10.432121448158405</v>
      </c>
      <c r="G106" s="178">
        <f t="shared" ca="1" si="27"/>
        <v>26.319999999999997</v>
      </c>
      <c r="H106" s="177">
        <f t="shared" ca="1" si="28"/>
        <v>25</v>
      </c>
      <c r="I106" s="196"/>
      <c r="J106" s="9" t="str">
        <f t="shared" ca="1" si="16"/>
        <v/>
      </c>
      <c r="K106" s="9" t="str">
        <f t="shared" ca="1" si="17"/>
        <v/>
      </c>
      <c r="L106" s="9">
        <f t="shared" ca="1" si="18"/>
        <v>10</v>
      </c>
      <c r="N106" s="176">
        <f t="shared" ca="1" si="24"/>
        <v>30</v>
      </c>
      <c r="O106" s="176">
        <f t="shared" ca="1" si="29"/>
        <v>2673</v>
      </c>
      <c r="P106" s="175">
        <f t="shared" ca="1" si="19"/>
        <v>2271.8718351023413</v>
      </c>
      <c r="Q106" s="11">
        <f t="shared" ca="1" si="20"/>
        <v>2.9930000000000002E-2</v>
      </c>
      <c r="R106" s="12">
        <f t="shared" ca="1" si="21"/>
        <v>67.997124024613072</v>
      </c>
    </row>
    <row r="107" spans="1:18">
      <c r="A107" s="198">
        <f t="shared" ca="1" si="30"/>
        <v>89</v>
      </c>
      <c r="B107" s="197">
        <f t="shared" ca="1" si="31"/>
        <v>47432</v>
      </c>
      <c r="C107" s="196">
        <f t="shared" ca="1" si="22"/>
        <v>2292.7730560221298</v>
      </c>
      <c r="D107" s="21">
        <f t="shared" ca="1" si="25"/>
        <v>436.12505285285016</v>
      </c>
      <c r="E107" s="196">
        <f t="shared" ca="1" si="23"/>
        <v>45112.123909629838</v>
      </c>
      <c r="F107" s="178">
        <f t="shared" ca="1" si="26"/>
        <v>9.9550283627869138</v>
      </c>
      <c r="G107" s="178">
        <f t="shared" ca="1" si="27"/>
        <v>26.319999999999997</v>
      </c>
      <c r="H107" s="177">
        <f t="shared" ca="1" si="28"/>
        <v>25</v>
      </c>
      <c r="I107" s="196"/>
      <c r="J107" s="9" t="str">
        <f t="shared" ca="1" si="16"/>
        <v/>
      </c>
      <c r="K107" s="9" t="str">
        <f t="shared" ca="1" si="17"/>
        <v/>
      </c>
      <c r="L107" s="9">
        <f t="shared" ca="1" si="18"/>
        <v>11</v>
      </c>
      <c r="N107" s="176">
        <f t="shared" ca="1" si="24"/>
        <v>31</v>
      </c>
      <c r="O107" s="176">
        <f t="shared" ca="1" si="29"/>
        <v>2704</v>
      </c>
      <c r="P107" s="175">
        <f t="shared" ca="1" si="19"/>
        <v>2292.7730560221298</v>
      </c>
      <c r="Q107" s="11">
        <f t="shared" ca="1" si="20"/>
        <v>2.9930000000000002E-2</v>
      </c>
      <c r="R107" s="12">
        <f t="shared" ca="1" si="21"/>
        <v>68.622697566742346</v>
      </c>
    </row>
    <row r="108" spans="1:18">
      <c r="A108" s="198">
        <f t="shared" ca="1" si="30"/>
        <v>90</v>
      </c>
      <c r="B108" s="197">
        <f t="shared" ca="1" si="31"/>
        <v>47462</v>
      </c>
      <c r="C108" s="196">
        <f t="shared" ca="1" si="22"/>
        <v>2313.8665681747198</v>
      </c>
      <c r="D108" s="21">
        <f t="shared" ca="1" si="25"/>
        <v>415.03154070026045</v>
      </c>
      <c r="E108" s="196">
        <f t="shared" ca="1" si="23"/>
        <v>42798.257341455115</v>
      </c>
      <c r="F108" s="178">
        <f t="shared" ca="1" si="26"/>
        <v>9.4735460210222655</v>
      </c>
      <c r="G108" s="178">
        <f t="shared" ca="1" si="27"/>
        <v>26.319999999999997</v>
      </c>
      <c r="H108" s="177">
        <f t="shared" ca="1" si="28"/>
        <v>25</v>
      </c>
      <c r="I108" s="196"/>
      <c r="J108" s="9" t="str">
        <f t="shared" ca="1" si="16"/>
        <v/>
      </c>
      <c r="K108" s="9" t="str">
        <f t="shared" ca="1" si="17"/>
        <v/>
      </c>
      <c r="L108" s="9">
        <f t="shared" ca="1" si="18"/>
        <v>12</v>
      </c>
      <c r="N108" s="176">
        <f t="shared" ca="1" si="24"/>
        <v>30</v>
      </c>
      <c r="O108" s="176">
        <f t="shared" ca="1" si="29"/>
        <v>2734</v>
      </c>
      <c r="P108" s="175">
        <f t="shared" ca="1" si="19"/>
        <v>2313.8665681747198</v>
      </c>
      <c r="Q108" s="11">
        <f t="shared" ca="1" si="20"/>
        <v>2.9930000000000002E-2</v>
      </c>
      <c r="R108" s="12">
        <f t="shared" ca="1" si="21"/>
        <v>69.254026385469373</v>
      </c>
    </row>
    <row r="109" spans="1:18">
      <c r="A109" s="198">
        <f t="shared" ca="1" si="30"/>
        <v>91</v>
      </c>
      <c r="B109" s="197">
        <f t="shared" ca="1" si="31"/>
        <v>47493</v>
      </c>
      <c r="C109" s="196">
        <f t="shared" ca="1" si="22"/>
        <v>2335.1541406394554</v>
      </c>
      <c r="D109" s="21">
        <f t="shared" ca="1" si="25"/>
        <v>393.74396823552479</v>
      </c>
      <c r="E109" s="196">
        <f t="shared" ca="1" si="23"/>
        <v>40463.103200815662</v>
      </c>
      <c r="F109" s="178">
        <f t="shared" ca="1" si="26"/>
        <v>8.987634041705574</v>
      </c>
      <c r="G109" s="178">
        <f t="shared" ca="1" si="27"/>
        <v>26.319999999999997</v>
      </c>
      <c r="H109" s="177">
        <f t="shared" ca="1" si="28"/>
        <v>25</v>
      </c>
      <c r="I109" s="196"/>
      <c r="J109" s="9" t="str">
        <f t="shared" ca="1" si="16"/>
        <v/>
      </c>
      <c r="K109" s="9" t="str">
        <f t="shared" ca="1" si="17"/>
        <v/>
      </c>
      <c r="L109" s="9">
        <f t="shared" ca="1" si="18"/>
        <v>1</v>
      </c>
      <c r="N109" s="176">
        <f t="shared" ca="1" si="24"/>
        <v>31</v>
      </c>
      <c r="O109" s="176">
        <f t="shared" ca="1" si="29"/>
        <v>2765</v>
      </c>
      <c r="P109" s="175">
        <f t="shared" ca="1" si="19"/>
        <v>2335.1541406394554</v>
      </c>
      <c r="Q109" s="11">
        <f t="shared" ca="1" si="20"/>
        <v>2.9930000000000002E-2</v>
      </c>
      <c r="R109" s="12">
        <f t="shared" ca="1" si="21"/>
        <v>69.891163429338903</v>
      </c>
    </row>
    <row r="110" spans="1:18">
      <c r="A110" s="198">
        <f t="shared" ca="1" si="30"/>
        <v>92</v>
      </c>
      <c r="B110" s="197">
        <f t="shared" ca="1" si="31"/>
        <v>47524</v>
      </c>
      <c r="C110" s="196">
        <f t="shared" ca="1" si="22"/>
        <v>2356.6375587712118</v>
      </c>
      <c r="D110" s="21">
        <f t="shared" ca="1" si="25"/>
        <v>372.26055010376837</v>
      </c>
      <c r="E110" s="196">
        <f t="shared" ca="1" si="23"/>
        <v>38106.465642044452</v>
      </c>
      <c r="F110" s="178">
        <f t="shared" ca="1" si="26"/>
        <v>8.4972516721712896</v>
      </c>
      <c r="G110" s="178">
        <f t="shared" ca="1" si="27"/>
        <v>26.319999999999997</v>
      </c>
      <c r="H110" s="177">
        <f t="shared" ca="1" si="28"/>
        <v>25</v>
      </c>
      <c r="I110" s="196"/>
      <c r="J110" s="9" t="str">
        <f t="shared" ca="1" si="16"/>
        <v/>
      </c>
      <c r="K110" s="9" t="str">
        <f t="shared" ca="1" si="17"/>
        <v/>
      </c>
      <c r="L110" s="9">
        <f t="shared" ca="1" si="18"/>
        <v>2</v>
      </c>
      <c r="N110" s="176">
        <f t="shared" ca="1" si="24"/>
        <v>31</v>
      </c>
      <c r="O110" s="176">
        <f t="shared" ca="1" si="29"/>
        <v>2796</v>
      </c>
      <c r="P110" s="175">
        <f t="shared" ca="1" si="19"/>
        <v>2356.6375587712118</v>
      </c>
      <c r="Q110" s="11">
        <f t="shared" ca="1" si="20"/>
        <v>2.9930000000000002E-2</v>
      </c>
      <c r="R110" s="12">
        <f t="shared" ca="1" si="21"/>
        <v>70.534162134022381</v>
      </c>
    </row>
    <row r="111" spans="1:18">
      <c r="A111" s="198">
        <f t="shared" ca="1" si="30"/>
        <v>93</v>
      </c>
      <c r="B111" s="197">
        <f t="shared" ca="1" si="31"/>
        <v>47552</v>
      </c>
      <c r="C111" s="196">
        <f t="shared" ca="1" si="22"/>
        <v>2378.3186243501286</v>
      </c>
      <c r="D111" s="21">
        <f t="shared" ca="1" si="25"/>
        <v>350.5794845248513</v>
      </c>
      <c r="E111" s="196">
        <f t="shared" ca="1" si="23"/>
        <v>35728.147017694326</v>
      </c>
      <c r="F111" s="178">
        <f t="shared" ca="1" si="26"/>
        <v>8.0023577848293357</v>
      </c>
      <c r="G111" s="178">
        <f t="shared" ca="1" si="27"/>
        <v>26.319999999999997</v>
      </c>
      <c r="H111" s="177">
        <f t="shared" ca="1" si="28"/>
        <v>25</v>
      </c>
      <c r="I111" s="196"/>
      <c r="J111" s="9" t="str">
        <f t="shared" ca="1" si="16"/>
        <v/>
      </c>
      <c r="K111" s="9" t="str">
        <f t="shared" ca="1" si="17"/>
        <v/>
      </c>
      <c r="L111" s="9">
        <f t="shared" ca="1" si="18"/>
        <v>3</v>
      </c>
      <c r="N111" s="176">
        <f t="shared" ca="1" si="24"/>
        <v>28</v>
      </c>
      <c r="O111" s="176">
        <f t="shared" ca="1" si="29"/>
        <v>2824</v>
      </c>
      <c r="P111" s="175">
        <f t="shared" ca="1" si="19"/>
        <v>2378.3186243501286</v>
      </c>
      <c r="Q111" s="11">
        <f t="shared" ca="1" si="20"/>
        <v>2.9930000000000002E-2</v>
      </c>
      <c r="R111" s="12">
        <f t="shared" ca="1" si="21"/>
        <v>71.18307642679936</v>
      </c>
    </row>
    <row r="112" spans="1:18">
      <c r="A112" s="198">
        <f t="shared" ca="1" si="30"/>
        <v>94</v>
      </c>
      <c r="B112" s="197">
        <f t="shared" ca="1" si="31"/>
        <v>47583</v>
      </c>
      <c r="C112" s="196">
        <f t="shared" ca="1" si="22"/>
        <v>2400.1991557327237</v>
      </c>
      <c r="D112" s="21">
        <f t="shared" ca="1" si="25"/>
        <v>328.69895314225658</v>
      </c>
      <c r="E112" s="196">
        <f t="shared" ca="1" si="23"/>
        <v>33327.947861961598</v>
      </c>
      <c r="F112" s="178">
        <f t="shared" ca="1" si="26"/>
        <v>7.502910873715809</v>
      </c>
      <c r="G112" s="178">
        <f t="shared" ca="1" si="27"/>
        <v>26.319999999999997</v>
      </c>
      <c r="H112" s="177">
        <f t="shared" ca="1" si="28"/>
        <v>25</v>
      </c>
      <c r="I112" s="196"/>
      <c r="J112" s="9" t="str">
        <f t="shared" ca="1" si="16"/>
        <v/>
      </c>
      <c r="K112" s="9" t="str">
        <f t="shared" ca="1" si="17"/>
        <v/>
      </c>
      <c r="L112" s="9">
        <f t="shared" ca="1" si="18"/>
        <v>4</v>
      </c>
      <c r="N112" s="176">
        <f t="shared" ca="1" si="24"/>
        <v>31</v>
      </c>
      <c r="O112" s="176">
        <f t="shared" ca="1" si="29"/>
        <v>2855</v>
      </c>
      <c r="P112" s="175">
        <f t="shared" ca="1" si="19"/>
        <v>2400.1991557327237</v>
      </c>
      <c r="Q112" s="11">
        <f t="shared" ca="1" si="20"/>
        <v>2.9930000000000002E-2</v>
      </c>
      <c r="R112" s="12">
        <f t="shared" ca="1" si="21"/>
        <v>71.837960731080429</v>
      </c>
    </row>
    <row r="113" spans="1:18">
      <c r="A113" s="198">
        <f t="shared" ca="1" si="30"/>
        <v>95</v>
      </c>
      <c r="B113" s="197">
        <f t="shared" ca="1" si="31"/>
        <v>47613</v>
      </c>
      <c r="C113" s="196">
        <f t="shared" ca="1" si="22"/>
        <v>2422.2809880043933</v>
      </c>
      <c r="D113" s="21">
        <f t="shared" ca="1" si="25"/>
        <v>306.61712087058709</v>
      </c>
      <c r="E113" s="196">
        <f t="shared" ca="1" si="23"/>
        <v>30905.666873957205</v>
      </c>
      <c r="F113" s="178">
        <f t="shared" ca="1" si="26"/>
        <v>6.998869051011936</v>
      </c>
      <c r="G113" s="178">
        <f t="shared" ca="1" si="27"/>
        <v>26.319999999999997</v>
      </c>
      <c r="H113" s="177">
        <f t="shared" ca="1" si="28"/>
        <v>25</v>
      </c>
      <c r="I113" s="196"/>
      <c r="J113" s="9" t="str">
        <f t="shared" ca="1" si="16"/>
        <v/>
      </c>
      <c r="K113" s="9" t="str">
        <f t="shared" ca="1" si="17"/>
        <v/>
      </c>
      <c r="L113" s="9">
        <f t="shared" ca="1" si="18"/>
        <v>5</v>
      </c>
      <c r="N113" s="176">
        <f t="shared" ca="1" si="24"/>
        <v>30</v>
      </c>
      <c r="O113" s="176">
        <f t="shared" ca="1" si="29"/>
        <v>2885</v>
      </c>
      <c r="P113" s="175">
        <f t="shared" ca="1" si="19"/>
        <v>2422.2809880043933</v>
      </c>
      <c r="Q113" s="11">
        <f t="shared" ca="1" si="20"/>
        <v>2.9930000000000002E-2</v>
      </c>
      <c r="R113" s="12">
        <f t="shared" ca="1" si="21"/>
        <v>72.498869970971498</v>
      </c>
    </row>
    <row r="114" spans="1:18">
      <c r="A114" s="198">
        <f t="shared" ca="1" si="30"/>
        <v>96</v>
      </c>
      <c r="B114" s="197">
        <f t="shared" ca="1" si="31"/>
        <v>47644</v>
      </c>
      <c r="C114" s="196">
        <f t="shared" ca="1" si="22"/>
        <v>2444.5659731333199</v>
      </c>
      <c r="D114" s="21">
        <f t="shared" ca="1" si="25"/>
        <v>284.33213574166007</v>
      </c>
      <c r="E114" s="196">
        <f t="shared" ca="1" si="23"/>
        <v>28461.100900823883</v>
      </c>
      <c r="F114" s="178">
        <f t="shared" ca="1" si="26"/>
        <v>6.4901900435310136</v>
      </c>
      <c r="G114" s="178">
        <f t="shared" ca="1" si="27"/>
        <v>26.319999999999997</v>
      </c>
      <c r="H114" s="177">
        <f t="shared" ca="1" si="28"/>
        <v>25</v>
      </c>
      <c r="I114" s="196"/>
      <c r="J114" s="9" t="str">
        <f t="shared" ca="1" si="16"/>
        <v/>
      </c>
      <c r="K114" s="9" t="str">
        <f t="shared" ca="1" si="17"/>
        <v/>
      </c>
      <c r="L114" s="9">
        <f t="shared" ca="1" si="18"/>
        <v>6</v>
      </c>
      <c r="N114" s="176">
        <f t="shared" ca="1" si="24"/>
        <v>31</v>
      </c>
      <c r="O114" s="176">
        <f t="shared" ca="1" si="29"/>
        <v>2916</v>
      </c>
      <c r="P114" s="175">
        <f t="shared" ca="1" si="19"/>
        <v>2444.5659731333199</v>
      </c>
      <c r="Q114" s="11">
        <f t="shared" ca="1" si="20"/>
        <v>2.9930000000000002E-2</v>
      </c>
      <c r="R114" s="12">
        <f t="shared" ca="1" si="21"/>
        <v>73.165859575880262</v>
      </c>
    </row>
    <row r="115" spans="1:18">
      <c r="A115" s="198">
        <f t="shared" ca="1" si="30"/>
        <v>97</v>
      </c>
      <c r="B115" s="197">
        <f t="shared" ca="1" si="31"/>
        <v>47674</v>
      </c>
      <c r="C115" s="196">
        <f t="shared" ca="1" si="22"/>
        <v>2467.0559801257946</v>
      </c>
      <c r="D115" s="21">
        <f t="shared" ca="1" si="25"/>
        <v>261.84212874918552</v>
      </c>
      <c r="E115" s="196">
        <f t="shared" ca="1" si="23"/>
        <v>25994.044920698088</v>
      </c>
      <c r="F115" s="178">
        <f t="shared" ca="1" si="26"/>
        <v>5.9768311891730157</v>
      </c>
      <c r="G115" s="178">
        <f t="shared" ca="1" si="27"/>
        <v>26.319999999999997</v>
      </c>
      <c r="H115" s="177">
        <f t="shared" ca="1" si="28"/>
        <v>25</v>
      </c>
      <c r="I115" s="196"/>
      <c r="J115" s="9" t="str">
        <f t="shared" ca="1" si="16"/>
        <v/>
      </c>
      <c r="K115" s="9" t="str">
        <f t="shared" ca="1" si="17"/>
        <v/>
      </c>
      <c r="L115" s="9">
        <f t="shared" ca="1" si="18"/>
        <v>7</v>
      </c>
      <c r="N115" s="176">
        <f t="shared" ca="1" si="24"/>
        <v>30</v>
      </c>
      <c r="O115" s="176">
        <f t="shared" ca="1" si="29"/>
        <v>2946</v>
      </c>
      <c r="P115" s="175">
        <f t="shared" ca="1" si="19"/>
        <v>2467.0559801257946</v>
      </c>
      <c r="Q115" s="11">
        <f t="shared" ca="1" si="20"/>
        <v>2.9930000000000002E-2</v>
      </c>
      <c r="R115" s="12">
        <f t="shared" ca="1" si="21"/>
        <v>73.83898548516504</v>
      </c>
    </row>
    <row r="116" spans="1:18">
      <c r="A116" s="198">
        <f t="shared" ca="1" si="30"/>
        <v>98</v>
      </c>
      <c r="B116" s="197">
        <f t="shared" ca="1" si="31"/>
        <v>47705</v>
      </c>
      <c r="C116" s="196">
        <f t="shared" ca="1" si="22"/>
        <v>2489.7528951829645</v>
      </c>
      <c r="D116" s="21">
        <f t="shared" ca="1" si="25"/>
        <v>239.14521369201546</v>
      </c>
      <c r="E116" s="196">
        <f t="shared" ca="1" si="23"/>
        <v>23504.292025515126</v>
      </c>
      <c r="F116" s="178">
        <f t="shared" ca="1" si="26"/>
        <v>5.4587494333465987</v>
      </c>
      <c r="G116" s="178">
        <f t="shared" ca="1" si="27"/>
        <v>26.319999999999997</v>
      </c>
      <c r="H116" s="177">
        <f t="shared" ca="1" si="28"/>
        <v>25</v>
      </c>
      <c r="I116" s="196"/>
      <c r="J116" s="9" t="str">
        <f t="shared" ca="1" si="16"/>
        <v/>
      </c>
      <c r="K116" s="9" t="str">
        <f t="shared" ca="1" si="17"/>
        <v/>
      </c>
      <c r="L116" s="9">
        <f t="shared" ca="1" si="18"/>
        <v>8</v>
      </c>
      <c r="N116" s="176">
        <f t="shared" ca="1" si="24"/>
        <v>31</v>
      </c>
      <c r="O116" s="176">
        <f t="shared" ca="1" si="29"/>
        <v>2977</v>
      </c>
      <c r="P116" s="175">
        <f t="shared" ca="1" si="19"/>
        <v>2489.7528951829645</v>
      </c>
      <c r="Q116" s="11">
        <f t="shared" ca="1" si="20"/>
        <v>2.9930000000000002E-2</v>
      </c>
      <c r="R116" s="12">
        <f t="shared" ca="1" si="21"/>
        <v>74.518304152826133</v>
      </c>
    </row>
    <row r="117" spans="1:18">
      <c r="A117" s="198">
        <f t="shared" ca="1" si="30"/>
        <v>99</v>
      </c>
      <c r="B117" s="197">
        <f t="shared" ca="1" si="31"/>
        <v>47736</v>
      </c>
      <c r="C117" s="196">
        <f t="shared" ca="1" si="22"/>
        <v>2512.6586218590287</v>
      </c>
      <c r="D117" s="21">
        <f t="shared" ca="1" si="25"/>
        <v>216.23948701595131</v>
      </c>
      <c r="E117" s="196">
        <f t="shared" ca="1" si="23"/>
        <v>20991.633403656098</v>
      </c>
      <c r="F117" s="178">
        <f t="shared" ca="1" si="26"/>
        <v>4.9359013253581763</v>
      </c>
      <c r="G117" s="178">
        <f t="shared" ca="1" si="27"/>
        <v>26.319999999999997</v>
      </c>
      <c r="H117" s="177">
        <f t="shared" ca="1" si="28"/>
        <v>25</v>
      </c>
      <c r="I117" s="196"/>
      <c r="J117" s="9" t="str">
        <f t="shared" ca="1" si="16"/>
        <v/>
      </c>
      <c r="K117" s="9" t="str">
        <f t="shared" ca="1" si="17"/>
        <v/>
      </c>
      <c r="L117" s="9">
        <f t="shared" ca="1" si="18"/>
        <v>9</v>
      </c>
      <c r="N117" s="176">
        <f t="shared" ca="1" si="24"/>
        <v>31</v>
      </c>
      <c r="O117" s="176">
        <f t="shared" ca="1" si="29"/>
        <v>3008</v>
      </c>
      <c r="P117" s="175">
        <f t="shared" ca="1" si="19"/>
        <v>2512.6586218590287</v>
      </c>
      <c r="Q117" s="11">
        <f t="shared" ca="1" si="20"/>
        <v>2.9930000000000002E-2</v>
      </c>
      <c r="R117" s="12">
        <f t="shared" ca="1" si="21"/>
        <v>75.203872552240739</v>
      </c>
    </row>
    <row r="118" spans="1:18">
      <c r="A118" s="198">
        <f t="shared" ca="1" si="30"/>
        <v>100</v>
      </c>
      <c r="B118" s="197">
        <f t="shared" ca="1" si="31"/>
        <v>47766</v>
      </c>
      <c r="C118" s="196">
        <f t="shared" ca="1" si="22"/>
        <v>2535.7750812208842</v>
      </c>
      <c r="D118" s="21">
        <f t="shared" ca="1" si="25"/>
        <v>193.12302765409586</v>
      </c>
      <c r="E118" s="196">
        <f t="shared" ca="1" si="23"/>
        <v>18455.858322435215</v>
      </c>
      <c r="F118" s="178">
        <f t="shared" ca="1" si="26"/>
        <v>4.4082430147677805</v>
      </c>
      <c r="G118" s="178">
        <f t="shared" ca="1" si="27"/>
        <v>26.319999999999997</v>
      </c>
      <c r="H118" s="177">
        <f t="shared" ca="1" si="28"/>
        <v>25</v>
      </c>
      <c r="I118" s="196"/>
      <c r="J118" s="9" t="str">
        <f t="shared" ca="1" si="16"/>
        <v/>
      </c>
      <c r="K118" s="9" t="str">
        <f t="shared" ca="1" si="17"/>
        <v/>
      </c>
      <c r="L118" s="9">
        <f t="shared" ca="1" si="18"/>
        <v>10</v>
      </c>
      <c r="N118" s="176">
        <f t="shared" ca="1" si="24"/>
        <v>30</v>
      </c>
      <c r="O118" s="176">
        <f t="shared" ca="1" si="29"/>
        <v>3038</v>
      </c>
      <c r="P118" s="175">
        <f t="shared" ca="1" si="19"/>
        <v>2535.7750812208842</v>
      </c>
      <c r="Q118" s="11">
        <f t="shared" ca="1" si="20"/>
        <v>2.9930000000000002E-2</v>
      </c>
      <c r="R118" s="12">
        <f t="shared" ca="1" si="21"/>
        <v>75.895748180941069</v>
      </c>
    </row>
    <row r="119" spans="1:18">
      <c r="A119" s="198">
        <f t="shared" ca="1" si="30"/>
        <v>101</v>
      </c>
      <c r="B119" s="197">
        <f t="shared" ca="1" si="31"/>
        <v>47797</v>
      </c>
      <c r="C119" s="196">
        <f t="shared" ca="1" si="22"/>
        <v>2559.1042120092438</v>
      </c>
      <c r="D119" s="21">
        <f t="shared" ca="1" si="25"/>
        <v>169.79389686573643</v>
      </c>
      <c r="E119" s="196">
        <f t="shared" ca="1" si="23"/>
        <v>15896.754110425971</v>
      </c>
      <c r="F119" s="178">
        <f t="shared" ca="1" si="26"/>
        <v>3.8757302477113953</v>
      </c>
      <c r="G119" s="178">
        <f t="shared" ca="1" si="27"/>
        <v>26.319999999999997</v>
      </c>
      <c r="H119" s="177">
        <f t="shared" ca="1" si="28"/>
        <v>25</v>
      </c>
      <c r="I119" s="196"/>
      <c r="J119" s="9" t="str">
        <f t="shared" ca="1" si="16"/>
        <v/>
      </c>
      <c r="K119" s="9" t="str">
        <f t="shared" ca="1" si="17"/>
        <v/>
      </c>
      <c r="L119" s="9">
        <f t="shared" ca="1" si="18"/>
        <v>11</v>
      </c>
      <c r="N119" s="176">
        <f t="shared" ca="1" si="24"/>
        <v>31</v>
      </c>
      <c r="O119" s="176">
        <f t="shared" ca="1" si="29"/>
        <v>3069</v>
      </c>
      <c r="P119" s="175">
        <f t="shared" ca="1" si="19"/>
        <v>2559.1042120092438</v>
      </c>
      <c r="Q119" s="11">
        <f t="shared" ca="1" si="20"/>
        <v>2.9930000000000002E-2</v>
      </c>
      <c r="R119" s="12">
        <f t="shared" ca="1" si="21"/>
        <v>76.593989065436674</v>
      </c>
    </row>
    <row r="120" spans="1:18">
      <c r="A120" s="198">
        <f t="shared" ca="1" si="30"/>
        <v>102</v>
      </c>
      <c r="B120" s="197">
        <f t="shared" ca="1" si="31"/>
        <v>47827</v>
      </c>
      <c r="C120" s="196">
        <f t="shared" ca="1" si="22"/>
        <v>2582.6479708012344</v>
      </c>
      <c r="D120" s="21">
        <f t="shared" ca="1" si="25"/>
        <v>146.25013807374572</v>
      </c>
      <c r="E120" s="196">
        <f t="shared" ca="1" si="23"/>
        <v>13314.106139624737</v>
      </c>
      <c r="F120" s="178">
        <f t="shared" ca="1" si="26"/>
        <v>3.3383183631894542</v>
      </c>
      <c r="G120" s="178">
        <f t="shared" ca="1" si="27"/>
        <v>26.319999999999997</v>
      </c>
      <c r="H120" s="177">
        <f t="shared" ca="1" si="28"/>
        <v>25</v>
      </c>
      <c r="I120" s="196"/>
      <c r="J120" s="9" t="str">
        <f t="shared" ca="1" si="16"/>
        <v/>
      </c>
      <c r="K120" s="9" t="str">
        <f t="shared" ca="1" si="17"/>
        <v/>
      </c>
      <c r="L120" s="9">
        <f t="shared" ca="1" si="18"/>
        <v>12</v>
      </c>
      <c r="N120" s="176">
        <f t="shared" ca="1" si="24"/>
        <v>30</v>
      </c>
      <c r="O120" s="176">
        <f t="shared" ca="1" si="29"/>
        <v>3099</v>
      </c>
      <c r="P120" s="175">
        <f t="shared" ca="1" si="19"/>
        <v>2582.6479708012344</v>
      </c>
      <c r="Q120" s="11">
        <f t="shared" ca="1" si="20"/>
        <v>2.9930000000000002E-2</v>
      </c>
      <c r="R120" s="12">
        <f t="shared" ca="1" si="21"/>
        <v>77.298653766080946</v>
      </c>
    </row>
    <row r="121" spans="1:18">
      <c r="A121" s="198">
        <f t="shared" ca="1" si="30"/>
        <v>103</v>
      </c>
      <c r="B121" s="197">
        <f t="shared" ca="1" si="31"/>
        <v>47858</v>
      </c>
      <c r="C121" s="196">
        <f t="shared" ca="1" si="22"/>
        <v>2606.4083321744934</v>
      </c>
      <c r="D121" s="21">
        <f t="shared" ca="1" si="25"/>
        <v>122.48977670048683</v>
      </c>
      <c r="E121" s="196">
        <f t="shared" ca="1" si="23"/>
        <v>10707.697807450244</v>
      </c>
      <c r="F121" s="178">
        <f t="shared" ca="1" si="26"/>
        <v>2.7959622893211948</v>
      </c>
      <c r="G121" s="178">
        <f t="shared" ca="1" si="27"/>
        <v>26.319999999999997</v>
      </c>
      <c r="H121" s="177">
        <f t="shared" ca="1" si="28"/>
        <v>25</v>
      </c>
      <c r="I121" s="196"/>
      <c r="J121" s="9" t="str">
        <f t="shared" ca="1" si="16"/>
        <v/>
      </c>
      <c r="K121" s="9" t="str">
        <f t="shared" ca="1" si="17"/>
        <v/>
      </c>
      <c r="L121" s="9">
        <f t="shared" ca="1" si="18"/>
        <v>1</v>
      </c>
      <c r="N121" s="176">
        <f t="shared" ca="1" si="24"/>
        <v>31</v>
      </c>
      <c r="O121" s="176">
        <f t="shared" ca="1" si="29"/>
        <v>3130</v>
      </c>
      <c r="P121" s="175">
        <f t="shared" ca="1" si="19"/>
        <v>2606.4083321744934</v>
      </c>
      <c r="Q121" s="11">
        <f t="shared" ca="1" si="20"/>
        <v>2.9930000000000002E-2</v>
      </c>
      <c r="R121" s="12">
        <f t="shared" ca="1" si="21"/>
        <v>78.009801381982584</v>
      </c>
    </row>
    <row r="122" spans="1:18">
      <c r="A122" s="198">
        <f t="shared" ca="1" si="30"/>
        <v>104</v>
      </c>
      <c r="B122" s="197">
        <f t="shared" ca="1" si="31"/>
        <v>47889</v>
      </c>
      <c r="C122" s="196">
        <f t="shared" ca="1" si="22"/>
        <v>2630.3872888727715</v>
      </c>
      <c r="D122" s="21">
        <f t="shared" ca="1" si="25"/>
        <v>98.51082000220859</v>
      </c>
      <c r="E122" s="196">
        <f t="shared" ca="1" si="23"/>
        <v>8077.310518577473</v>
      </c>
      <c r="F122" s="178">
        <f t="shared" ca="1" si="26"/>
        <v>2.2486165395645514</v>
      </c>
      <c r="G122" s="178">
        <f t="shared" ca="1" si="27"/>
        <v>26.319999999999997</v>
      </c>
      <c r="H122" s="177">
        <f t="shared" ca="1" si="28"/>
        <v>25</v>
      </c>
      <c r="I122" s="196"/>
      <c r="J122" s="9" t="str">
        <f t="shared" ca="1" si="16"/>
        <v/>
      </c>
      <c r="K122" s="9" t="str">
        <f t="shared" ca="1" si="17"/>
        <v/>
      </c>
      <c r="L122" s="9">
        <f t="shared" ca="1" si="18"/>
        <v>2</v>
      </c>
      <c r="N122" s="176">
        <f t="shared" ca="1" si="24"/>
        <v>31</v>
      </c>
      <c r="O122" s="176">
        <f t="shared" ca="1" si="29"/>
        <v>3161</v>
      </c>
      <c r="P122" s="175">
        <f t="shared" ca="1" si="19"/>
        <v>2630.3872888727715</v>
      </c>
      <c r="Q122" s="11">
        <f t="shared" ca="1" si="20"/>
        <v>2.9930000000000002E-2</v>
      </c>
      <c r="R122" s="12">
        <f t="shared" ca="1" si="21"/>
        <v>78.727491555962061</v>
      </c>
    </row>
    <row r="123" spans="1:18">
      <c r="A123" s="198">
        <f t="shared" ca="1" si="30"/>
        <v>105</v>
      </c>
      <c r="B123" s="197">
        <f t="shared" ca="1" si="31"/>
        <v>47917</v>
      </c>
      <c r="C123" s="196">
        <f t="shared" ca="1" si="22"/>
        <v>2654.5868519730629</v>
      </c>
      <c r="D123" s="21">
        <f t="shared" ca="1" si="25"/>
        <v>74.311256901917289</v>
      </c>
      <c r="E123" s="196">
        <f t="shared" ca="1" si="23"/>
        <v>5422.72366660441</v>
      </c>
      <c r="F123" s="178">
        <f t="shared" ca="1" si="26"/>
        <v>1.6962352089012693</v>
      </c>
      <c r="G123" s="178">
        <f t="shared" ca="1" si="27"/>
        <v>26.319999999999997</v>
      </c>
      <c r="H123" s="177">
        <f t="shared" ca="1" si="28"/>
        <v>25</v>
      </c>
      <c r="I123" s="196"/>
      <c r="J123" s="9" t="str">
        <f t="shared" ca="1" si="16"/>
        <v/>
      </c>
      <c r="K123" s="9" t="str">
        <f t="shared" ca="1" si="17"/>
        <v/>
      </c>
      <c r="L123" s="9">
        <f t="shared" ca="1" si="18"/>
        <v>3</v>
      </c>
      <c r="N123" s="176">
        <f t="shared" ca="1" si="24"/>
        <v>28</v>
      </c>
      <c r="O123" s="176">
        <f t="shared" ca="1" si="29"/>
        <v>3189</v>
      </c>
      <c r="P123" s="175">
        <f t="shared" ca="1" si="19"/>
        <v>2654.5868519730629</v>
      </c>
      <c r="Q123" s="11">
        <f t="shared" ca="1" si="20"/>
        <v>2.9930000000000002E-2</v>
      </c>
      <c r="R123" s="12">
        <f t="shared" ca="1" si="21"/>
        <v>79.45178447955378</v>
      </c>
    </row>
    <row r="124" spans="1:18">
      <c r="A124" s="198">
        <f t="shared" ca="1" si="30"/>
        <v>106</v>
      </c>
      <c r="B124" s="197">
        <f t="shared" ca="1" si="31"/>
        <v>47948</v>
      </c>
      <c r="C124" s="196">
        <f t="shared" ca="1" si="22"/>
        <v>2679.0090510542695</v>
      </c>
      <c r="D124" s="21">
        <f t="shared" ca="1" si="25"/>
        <v>49.889057820710818</v>
      </c>
      <c r="E124" s="196">
        <f t="shared" ca="1" si="23"/>
        <v>2743.7146155501405</v>
      </c>
      <c r="F124" s="178">
        <f t="shared" ca="1" si="26"/>
        <v>1.1387719699869261</v>
      </c>
      <c r="G124" s="178">
        <f t="shared" ca="1" si="27"/>
        <v>26.319999999999997</v>
      </c>
      <c r="H124" s="177">
        <f t="shared" ca="1" si="28"/>
        <v>25</v>
      </c>
      <c r="I124" s="196"/>
      <c r="J124" s="9" t="str">
        <f t="shared" ca="1" si="16"/>
        <v/>
      </c>
      <c r="K124" s="9" t="str">
        <f t="shared" ca="1" si="17"/>
        <v/>
      </c>
      <c r="L124" s="9">
        <f t="shared" ca="1" si="18"/>
        <v>4</v>
      </c>
      <c r="N124" s="176">
        <f t="shared" ca="1" si="24"/>
        <v>31</v>
      </c>
      <c r="O124" s="176">
        <f t="shared" ca="1" si="29"/>
        <v>3220</v>
      </c>
      <c r="P124" s="175">
        <f t="shared" ca="1" si="19"/>
        <v>2679.0090510542695</v>
      </c>
      <c r="Q124" s="11">
        <f t="shared" ca="1" si="20"/>
        <v>2.9930000000000002E-2</v>
      </c>
      <c r="R124" s="12">
        <f t="shared" ca="1" si="21"/>
        <v>80.182740898054291</v>
      </c>
    </row>
    <row r="125" spans="1:18">
      <c r="A125" s="198">
        <f t="shared" ca="1" si="30"/>
        <v>107</v>
      </c>
      <c r="B125" s="197">
        <f t="shared" ca="1" si="31"/>
        <v>47978</v>
      </c>
      <c r="C125" s="196">
        <f t="shared" ca="1" si="22"/>
        <v>2703.6559343674189</v>
      </c>
      <c r="D125" s="21">
        <f t="shared" ca="1" si="25"/>
        <v>25.242174507561138</v>
      </c>
      <c r="E125" s="196">
        <f t="shared" ca="1" si="23"/>
        <v>40.058681182721557</v>
      </c>
      <c r="F125" s="178">
        <f t="shared" ca="1" si="26"/>
        <v>0.57618006926552956</v>
      </c>
      <c r="G125" s="178">
        <f t="shared" ca="1" si="27"/>
        <v>26.319999999999997</v>
      </c>
      <c r="H125" s="177">
        <f t="shared" ca="1" si="28"/>
        <v>25</v>
      </c>
      <c r="I125" s="196"/>
      <c r="J125" s="9" t="str">
        <f t="shared" ca="1" si="16"/>
        <v/>
      </c>
      <c r="K125" s="9" t="str">
        <f t="shared" ca="1" si="17"/>
        <v/>
      </c>
      <c r="L125" s="9">
        <f t="shared" ca="1" si="18"/>
        <v>5</v>
      </c>
      <c r="N125" s="176">
        <f t="shared" ca="1" si="24"/>
        <v>30</v>
      </c>
      <c r="O125" s="176">
        <f t="shared" ca="1" si="29"/>
        <v>3250</v>
      </c>
      <c r="P125" s="175">
        <f t="shared" ca="1" si="19"/>
        <v>2703.6559343674189</v>
      </c>
      <c r="Q125" s="11">
        <f t="shared" ca="1" si="20"/>
        <v>2.9930000000000002E-2</v>
      </c>
      <c r="R125" s="12">
        <f t="shared" ca="1" si="21"/>
        <v>80.920422115616859</v>
      </c>
    </row>
    <row r="126" spans="1:18">
      <c r="A126" s="198">
        <f t="shared" ca="1" si="30"/>
        <v>108</v>
      </c>
      <c r="B126" s="197">
        <f t="shared" ca="1" si="31"/>
        <v>48009</v>
      </c>
      <c r="C126" s="196">
        <f t="shared" ca="1" si="22"/>
        <v>2728.5295690074495</v>
      </c>
      <c r="D126" s="21">
        <f t="shared" ca="1" si="25"/>
        <v>0.36853986753074336</v>
      </c>
      <c r="E126" s="196">
        <f t="shared" ca="1" si="23"/>
        <v>-2688.4708878247279</v>
      </c>
      <c r="F126" s="178">
        <f t="shared" ca="1" si="26"/>
        <v>8.4123230483715266E-3</v>
      </c>
      <c r="G126" s="178">
        <f t="shared" ca="1" si="27"/>
        <v>26.319999999999997</v>
      </c>
      <c r="H126" s="177">
        <f t="shared" ca="1" si="28"/>
        <v>25</v>
      </c>
      <c r="I126" s="196"/>
      <c r="J126" s="9" t="str">
        <f t="shared" ca="1" si="16"/>
        <v/>
      </c>
      <c r="K126" s="9" t="str">
        <f t="shared" ca="1" si="17"/>
        <v/>
      </c>
      <c r="L126" s="9">
        <f t="shared" ca="1" si="18"/>
        <v>6</v>
      </c>
      <c r="N126" s="176">
        <f t="shared" ca="1" si="24"/>
        <v>31</v>
      </c>
      <c r="O126" s="176">
        <f t="shared" ca="1" si="29"/>
        <v>3281</v>
      </c>
      <c r="P126" s="175">
        <f t="shared" ca="1" si="19"/>
        <v>2728.5295690074495</v>
      </c>
      <c r="Q126" s="11">
        <f t="shared" ca="1" si="20"/>
        <v>2.9930000000000002E-2</v>
      </c>
      <c r="R126" s="12">
        <f t="shared" ca="1" si="21"/>
        <v>81.664890000392973</v>
      </c>
    </row>
    <row r="127" spans="1:18">
      <c r="A127" s="198">
        <f t="shared" ca="1" si="30"/>
        <v>109</v>
      </c>
      <c r="B127" s="197">
        <f t="shared" ca="1" si="31"/>
        <v>48039</v>
      </c>
      <c r="C127" s="196">
        <f t="shared" ca="1" si="22"/>
        <v>2753.6320410865715</v>
      </c>
      <c r="D127" s="21">
        <f t="shared" ca="1" si="25"/>
        <v>-24.733932211591355</v>
      </c>
      <c r="E127" s="196">
        <f t="shared" ca="1" si="23"/>
        <v>-5442.1029289112994</v>
      </c>
      <c r="F127" s="178">
        <f t="shared" ca="1" si="26"/>
        <v>-0.56457888644319287</v>
      </c>
      <c r="G127" s="178">
        <f t="shared" ca="1" si="27"/>
        <v>26.319999999999997</v>
      </c>
      <c r="H127" s="177">
        <f t="shared" ca="1" si="28"/>
        <v>25</v>
      </c>
      <c r="I127" s="196"/>
      <c r="J127" s="9" t="str">
        <f t="shared" ca="1" si="16"/>
        <v/>
      </c>
      <c r="K127" s="9" t="str">
        <f t="shared" ca="1" si="17"/>
        <v/>
      </c>
      <c r="L127" s="9">
        <f t="shared" ca="1" si="18"/>
        <v>7</v>
      </c>
      <c r="N127" s="176">
        <f t="shared" ca="1" si="24"/>
        <v>30</v>
      </c>
      <c r="O127" s="176">
        <f t="shared" ca="1" si="29"/>
        <v>3311</v>
      </c>
      <c r="P127" s="175">
        <f t="shared" ca="1" si="19"/>
        <v>2753.6320410865715</v>
      </c>
      <c r="Q127" s="11">
        <f t="shared" ca="1" si="20"/>
        <v>2.9930000000000002E-2</v>
      </c>
      <c r="R127" s="12">
        <f t="shared" ca="1" si="21"/>
        <v>82.41620698972109</v>
      </c>
    </row>
    <row r="128" spans="1:18">
      <c r="A128" s="198">
        <f t="shared" ca="1" si="30"/>
        <v>110</v>
      </c>
      <c r="B128" s="197">
        <f t="shared" ca="1" si="31"/>
        <v>48070</v>
      </c>
      <c r="C128" s="196">
        <f t="shared" ca="1" si="22"/>
        <v>2778.9654559092287</v>
      </c>
      <c r="D128" s="21">
        <f t="shared" ca="1" si="25"/>
        <v>-50.067347034248506</v>
      </c>
      <c r="E128" s="196">
        <f t="shared" ca="1" si="23"/>
        <v>-8221.0683848205281</v>
      </c>
      <c r="F128" s="178">
        <f t="shared" ca="1" si="26"/>
        <v>-1.1428416150713729</v>
      </c>
      <c r="G128" s="178">
        <f t="shared" ca="1" si="27"/>
        <v>26.319999999999997</v>
      </c>
      <c r="H128" s="177">
        <f t="shared" ca="1" si="28"/>
        <v>25</v>
      </c>
      <c r="I128" s="196"/>
      <c r="J128" s="9" t="str">
        <f t="shared" ca="1" si="16"/>
        <v/>
      </c>
      <c r="K128" s="9" t="str">
        <f t="shared" ca="1" si="17"/>
        <v/>
      </c>
      <c r="L128" s="9">
        <f t="shared" ca="1" si="18"/>
        <v>8</v>
      </c>
      <c r="N128" s="176">
        <f t="shared" ca="1" si="24"/>
        <v>31</v>
      </c>
      <c r="O128" s="176">
        <f t="shared" ca="1" si="29"/>
        <v>3342</v>
      </c>
      <c r="P128" s="175">
        <f t="shared" ca="1" si="19"/>
        <v>2778.9654559092287</v>
      </c>
      <c r="Q128" s="11">
        <f t="shared" ca="1" si="20"/>
        <v>2.9930000000000002E-2</v>
      </c>
      <c r="R128" s="12">
        <f t="shared" ca="1" si="21"/>
        <v>83.17443609536322</v>
      </c>
    </row>
    <row r="129" spans="1:18">
      <c r="A129" s="198">
        <f t="shared" ca="1" si="30"/>
        <v>111</v>
      </c>
      <c r="B129" s="197">
        <f t="shared" ca="1" si="31"/>
        <v>48101</v>
      </c>
      <c r="C129" s="196">
        <f t="shared" ca="1" si="22"/>
        <v>2804.5319381486652</v>
      </c>
      <c r="D129" s="21">
        <f t="shared" ca="1" si="25"/>
        <v>-75.633829273684981</v>
      </c>
      <c r="E129" s="196">
        <f t="shared" ca="1" si="23"/>
        <v>-11025.600322969192</v>
      </c>
      <c r="F129" s="178">
        <f t="shared" ca="1" si="26"/>
        <v>-1.7264243608123109</v>
      </c>
      <c r="G129" s="178">
        <f t="shared" ca="1" si="27"/>
        <v>26.319999999999997</v>
      </c>
      <c r="H129" s="177">
        <f t="shared" ca="1" si="28"/>
        <v>25</v>
      </c>
      <c r="I129" s="196"/>
      <c r="J129" s="9" t="str">
        <f t="shared" ca="1" si="16"/>
        <v/>
      </c>
      <c r="K129" s="9" t="str">
        <f t="shared" ca="1" si="17"/>
        <v/>
      </c>
      <c r="L129" s="9">
        <f t="shared" ca="1" si="18"/>
        <v>9</v>
      </c>
      <c r="N129" s="176">
        <f t="shared" ca="1" si="24"/>
        <v>31</v>
      </c>
      <c r="O129" s="176">
        <f t="shared" ca="1" si="29"/>
        <v>3373</v>
      </c>
      <c r="P129" s="175">
        <f t="shared" ca="1" si="19"/>
        <v>2804.5319381486652</v>
      </c>
      <c r="Q129" s="11">
        <f t="shared" ca="1" si="20"/>
        <v>2.9930000000000002E-2</v>
      </c>
      <c r="R129" s="12">
        <f t="shared" ca="1" si="21"/>
        <v>83.939640908789556</v>
      </c>
    </row>
    <row r="130" spans="1:18">
      <c r="A130" s="198">
        <f t="shared" ca="1" si="30"/>
        <v>112</v>
      </c>
      <c r="B130" s="197">
        <f t="shared" ca="1" si="31"/>
        <v>48131</v>
      </c>
      <c r="C130" s="196">
        <f t="shared" ca="1" si="22"/>
        <v>2830.3336320251192</v>
      </c>
      <c r="D130" s="21">
        <f t="shared" ca="1" si="25"/>
        <v>-101.43552315013892</v>
      </c>
      <c r="E130" s="196">
        <f t="shared" ca="1" si="23"/>
        <v>-13855.933954994311</v>
      </c>
      <c r="F130" s="178">
        <f t="shared" ca="1" si="26"/>
        <v>-2.3153760678235304</v>
      </c>
      <c r="G130" s="178">
        <f t="shared" ca="1" si="27"/>
        <v>26.319999999999997</v>
      </c>
      <c r="H130" s="177">
        <f t="shared" ca="1" si="28"/>
        <v>25</v>
      </c>
      <c r="I130" s="196"/>
      <c r="J130" s="9" t="str">
        <f t="shared" ca="1" si="16"/>
        <v/>
      </c>
      <c r="K130" s="9" t="str">
        <f t="shared" ca="1" si="17"/>
        <v/>
      </c>
      <c r="L130" s="9">
        <f t="shared" ca="1" si="18"/>
        <v>10</v>
      </c>
      <c r="N130" s="176">
        <f t="shared" ca="1" si="24"/>
        <v>30</v>
      </c>
      <c r="O130" s="176">
        <f t="shared" ca="1" si="29"/>
        <v>3403</v>
      </c>
      <c r="P130" s="175">
        <f t="shared" ca="1" si="19"/>
        <v>2830.3336320251192</v>
      </c>
      <c r="Q130" s="11">
        <f t="shared" ca="1" si="20"/>
        <v>2.9930000000000002E-2</v>
      </c>
      <c r="R130" s="12">
        <f t="shared" ca="1" si="21"/>
        <v>84.711885606511828</v>
      </c>
    </row>
    <row r="131" spans="1:18">
      <c r="A131" s="198">
        <f t="shared" ca="1" si="30"/>
        <v>113</v>
      </c>
      <c r="B131" s="197">
        <f t="shared" ca="1" si="31"/>
        <v>48162</v>
      </c>
      <c r="C131" s="196">
        <f t="shared" ca="1" si="22"/>
        <v>2856.3727014856549</v>
      </c>
      <c r="D131" s="21">
        <f t="shared" ca="1" si="25"/>
        <v>-127.47459261067472</v>
      </c>
      <c r="E131" s="196">
        <f t="shared" ca="1" si="23"/>
        <v>-16712.306656479966</v>
      </c>
      <c r="F131" s="178">
        <f t="shared" ca="1" si="26"/>
        <v>-2.9097461305488053</v>
      </c>
      <c r="G131" s="178">
        <f t="shared" ca="1" si="27"/>
        <v>26.319999999999997</v>
      </c>
      <c r="H131" s="177">
        <f t="shared" ca="1" si="28"/>
        <v>25</v>
      </c>
      <c r="I131" s="196"/>
      <c r="J131" s="9" t="str">
        <f t="shared" ca="1" si="16"/>
        <v/>
      </c>
      <c r="K131" s="9" t="str">
        <f t="shared" ca="1" si="17"/>
        <v/>
      </c>
      <c r="L131" s="9">
        <f t="shared" ca="1" si="18"/>
        <v>11</v>
      </c>
      <c r="N131" s="176">
        <f t="shared" ca="1" si="24"/>
        <v>31</v>
      </c>
      <c r="O131" s="176">
        <f t="shared" ca="1" si="29"/>
        <v>3434</v>
      </c>
      <c r="P131" s="175">
        <f t="shared" ca="1" si="19"/>
        <v>2856.3727014856549</v>
      </c>
      <c r="Q131" s="11">
        <f t="shared" ca="1" si="20"/>
        <v>2.9930000000000002E-2</v>
      </c>
      <c r="R131" s="12">
        <f t="shared" ca="1" si="21"/>
        <v>85.491234955465657</v>
      </c>
    </row>
    <row r="132" spans="1:18">
      <c r="A132" s="198">
        <f t="shared" ca="1" si="30"/>
        <v>114</v>
      </c>
      <c r="B132" s="197">
        <f t="shared" ca="1" si="31"/>
        <v>48192</v>
      </c>
      <c r="C132" s="196">
        <f t="shared" ca="1" si="22"/>
        <v>2882.65133038565</v>
      </c>
      <c r="D132" s="21">
        <f t="shared" ca="1" si="25"/>
        <v>-153.75322151066979</v>
      </c>
      <c r="E132" s="196">
        <f t="shared" ca="1" si="23"/>
        <v>-19594.957986865615</v>
      </c>
      <c r="F132" s="178">
        <f t="shared" ca="1" si="26"/>
        <v>-3.509584397860793</v>
      </c>
      <c r="G132" s="178">
        <f t="shared" ca="1" si="27"/>
        <v>26.319999999999997</v>
      </c>
      <c r="H132" s="177">
        <f t="shared" ca="1" si="28"/>
        <v>25</v>
      </c>
      <c r="I132" s="196"/>
      <c r="J132" s="9" t="str">
        <f t="shared" ca="1" si="16"/>
        <v/>
      </c>
      <c r="K132" s="9" t="str">
        <f t="shared" ca="1" si="17"/>
        <v/>
      </c>
      <c r="L132" s="9">
        <f t="shared" ca="1" si="18"/>
        <v>12</v>
      </c>
      <c r="N132" s="176">
        <f t="shared" ca="1" si="24"/>
        <v>30</v>
      </c>
      <c r="O132" s="176">
        <f t="shared" ca="1" si="29"/>
        <v>3464</v>
      </c>
      <c r="P132" s="175">
        <f t="shared" ca="1" si="19"/>
        <v>2882.65133038565</v>
      </c>
      <c r="Q132" s="11">
        <f t="shared" ca="1" si="20"/>
        <v>2.9930000000000002E-2</v>
      </c>
      <c r="R132" s="12">
        <f t="shared" ca="1" si="21"/>
        <v>86.277754318442504</v>
      </c>
    </row>
    <row r="133" spans="1:18">
      <c r="A133" s="198">
        <f t="shared" ca="1" si="30"/>
        <v>115</v>
      </c>
      <c r="B133" s="197">
        <f t="shared" ca="1" si="31"/>
        <v>48223</v>
      </c>
      <c r="C133" s="196">
        <f t="shared" ca="1" si="22"/>
        <v>2909.1717226719511</v>
      </c>
      <c r="D133" s="21">
        <f t="shared" ca="1" si="25"/>
        <v>-180.27361379697098</v>
      </c>
      <c r="E133" s="196">
        <f t="shared" ca="1" si="23"/>
        <v>-22504.129709537567</v>
      </c>
      <c r="F133" s="178">
        <f t="shared" ca="1" si="26"/>
        <v>-4.1149411772417794</v>
      </c>
      <c r="G133" s="178">
        <f t="shared" ca="1" si="27"/>
        <v>26.319999999999997</v>
      </c>
      <c r="H133" s="177">
        <f t="shared" ca="1" si="28"/>
        <v>25</v>
      </c>
      <c r="I133" s="196"/>
      <c r="J133" s="9" t="str">
        <f t="shared" ca="1" si="16"/>
        <v/>
      </c>
      <c r="K133" s="9" t="str">
        <f t="shared" ca="1" si="17"/>
        <v/>
      </c>
      <c r="L133" s="9">
        <f t="shared" ca="1" si="18"/>
        <v>1</v>
      </c>
      <c r="N133" s="176">
        <f t="shared" ca="1" si="24"/>
        <v>31</v>
      </c>
      <c r="O133" s="176">
        <f t="shared" ca="1" si="29"/>
        <v>3495</v>
      </c>
      <c r="P133" s="175">
        <f t="shared" ca="1" si="19"/>
        <v>2909.1717226719511</v>
      </c>
      <c r="Q133" s="11">
        <f t="shared" ca="1" si="20"/>
        <v>2.9930000000000002E-2</v>
      </c>
      <c r="R133" s="12">
        <f t="shared" ca="1" si="21"/>
        <v>87.071509659571504</v>
      </c>
    </row>
    <row r="134" spans="1:18">
      <c r="A134" s="198">
        <f t="shared" ca="1" si="30"/>
        <v>116</v>
      </c>
      <c r="B134" s="197">
        <f t="shared" ca="1" si="31"/>
        <v>48254</v>
      </c>
      <c r="C134" s="196">
        <f t="shared" ca="1" si="22"/>
        <v>2935.9361025677163</v>
      </c>
      <c r="D134" s="21">
        <f t="shared" ca="1" si="25"/>
        <v>-207.03799369273631</v>
      </c>
      <c r="E134" s="196">
        <f t="shared" ca="1" si="23"/>
        <v>-25440.065812105284</v>
      </c>
      <c r="F134" s="178">
        <f t="shared" ca="1" si="26"/>
        <v>-4.7258672390028895</v>
      </c>
      <c r="G134" s="178">
        <f t="shared" ca="1" si="27"/>
        <v>26.319999999999997</v>
      </c>
      <c r="H134" s="177">
        <f t="shared" ca="1" si="28"/>
        <v>25</v>
      </c>
      <c r="I134" s="196"/>
      <c r="J134" s="9" t="str">
        <f t="shared" ca="1" si="16"/>
        <v/>
      </c>
      <c r="K134" s="9" t="str">
        <f t="shared" ca="1" si="17"/>
        <v/>
      </c>
      <c r="L134" s="9">
        <f t="shared" ca="1" si="18"/>
        <v>2</v>
      </c>
      <c r="N134" s="176">
        <f t="shared" ca="1" si="24"/>
        <v>31</v>
      </c>
      <c r="O134" s="176">
        <f t="shared" ca="1" si="29"/>
        <v>3526</v>
      </c>
      <c r="P134" s="175">
        <f t="shared" ca="1" si="19"/>
        <v>2935.9361025677163</v>
      </c>
      <c r="Q134" s="11">
        <f t="shared" ca="1" si="20"/>
        <v>2.9930000000000002E-2</v>
      </c>
      <c r="R134" s="12">
        <f t="shared" ca="1" si="21"/>
        <v>87.872567549851752</v>
      </c>
    </row>
    <row r="135" spans="1:18">
      <c r="A135" s="198">
        <f t="shared" ca="1" si="30"/>
        <v>117</v>
      </c>
      <c r="B135" s="197">
        <f t="shared" ca="1" si="31"/>
        <v>48283</v>
      </c>
      <c r="C135" s="196">
        <f t="shared" ca="1" si="22"/>
        <v>2962.9467147589571</v>
      </c>
      <c r="D135" s="21">
        <f t="shared" ca="1" si="25"/>
        <v>-234.04860588397676</v>
      </c>
      <c r="E135" s="196">
        <f t="shared" ca="1" si="23"/>
        <v>-28403.01252686424</v>
      </c>
      <c r="F135" s="178">
        <f t="shared" ca="1" si="26"/>
        <v>-5.3424138205421094</v>
      </c>
      <c r="G135" s="178">
        <f t="shared" ca="1" si="27"/>
        <v>26.319999999999997</v>
      </c>
      <c r="H135" s="177">
        <f t="shared" ca="1" si="28"/>
        <v>25</v>
      </c>
      <c r="I135" s="196"/>
      <c r="J135" s="9" t="str">
        <f t="shared" ca="1" si="16"/>
        <v/>
      </c>
      <c r="K135" s="9" t="str">
        <f t="shared" ca="1" si="17"/>
        <v/>
      </c>
      <c r="L135" s="9">
        <f t="shared" ca="1" si="18"/>
        <v>3</v>
      </c>
      <c r="N135" s="176">
        <f t="shared" ca="1" si="24"/>
        <v>29</v>
      </c>
      <c r="O135" s="176">
        <f t="shared" ca="1" si="29"/>
        <v>3555</v>
      </c>
      <c r="P135" s="175">
        <f t="shared" ca="1" si="19"/>
        <v>2962.9467147589571</v>
      </c>
      <c r="Q135" s="11">
        <f t="shared" ca="1" si="20"/>
        <v>2.9930000000000002E-2</v>
      </c>
      <c r="R135" s="12">
        <f t="shared" ca="1" si="21"/>
        <v>88.680995172735592</v>
      </c>
    </row>
    <row r="136" spans="1:18">
      <c r="A136" s="198">
        <f t="shared" ca="1" si="30"/>
        <v>118</v>
      </c>
      <c r="B136" s="197">
        <f t="shared" ca="1" si="31"/>
        <v>48314</v>
      </c>
      <c r="C136" s="196">
        <f t="shared" ca="1" si="22"/>
        <v>2990.2058245827948</v>
      </c>
      <c r="D136" s="21">
        <f t="shared" ca="1" si="25"/>
        <v>-261.30771570781468</v>
      </c>
      <c r="E136" s="196">
        <f t="shared" ca="1" si="23"/>
        <v>-31393.218351447034</v>
      </c>
      <c r="F136" s="178">
        <f t="shared" ca="1" si="26"/>
        <v>-5.964632630641491</v>
      </c>
      <c r="G136" s="178">
        <f t="shared" ca="1" si="27"/>
        <v>26.319999999999997</v>
      </c>
      <c r="H136" s="177">
        <f t="shared" ca="1" si="28"/>
        <v>25</v>
      </c>
      <c r="I136" s="196"/>
      <c r="J136" s="9" t="str">
        <f t="shared" ca="1" si="16"/>
        <v/>
      </c>
      <c r="K136" s="9" t="str">
        <f t="shared" ca="1" si="17"/>
        <v/>
      </c>
      <c r="L136" s="9">
        <f t="shared" ca="1" si="18"/>
        <v>4</v>
      </c>
      <c r="N136" s="176">
        <f t="shared" ca="1" si="24"/>
        <v>31</v>
      </c>
      <c r="O136" s="176">
        <f t="shared" ca="1" si="29"/>
        <v>3586</v>
      </c>
      <c r="P136" s="175">
        <f t="shared" ca="1" si="19"/>
        <v>2990.2058245827948</v>
      </c>
      <c r="Q136" s="11">
        <f t="shared" ca="1" si="20"/>
        <v>2.9930000000000002E-2</v>
      </c>
      <c r="R136" s="12">
        <f t="shared" ca="1" si="21"/>
        <v>89.496860329763052</v>
      </c>
    </row>
    <row r="137" spans="1:18">
      <c r="A137" s="198">
        <f t="shared" ca="1" si="30"/>
        <v>119</v>
      </c>
      <c r="B137" s="197">
        <f t="shared" ca="1" si="31"/>
        <v>48344</v>
      </c>
      <c r="C137" s="196">
        <f t="shared" ca="1" si="22"/>
        <v>3017.7157182174542</v>
      </c>
      <c r="D137" s="21">
        <f t="shared" ca="1" si="25"/>
        <v>-288.81760934247404</v>
      </c>
      <c r="E137" s="196">
        <f t="shared" ca="1" si="23"/>
        <v>-34410.934069664487</v>
      </c>
      <c r="F137" s="178">
        <f t="shared" ca="1" si="26"/>
        <v>-6.5925758538038775</v>
      </c>
      <c r="G137" s="178">
        <f t="shared" ca="1" si="27"/>
        <v>26.319999999999997</v>
      </c>
      <c r="H137" s="177">
        <f t="shared" ca="1" si="28"/>
        <v>25</v>
      </c>
      <c r="I137" s="196"/>
      <c r="J137" s="9" t="str">
        <f t="shared" ca="1" si="16"/>
        <v/>
      </c>
      <c r="K137" s="9" t="str">
        <f t="shared" ca="1" si="17"/>
        <v/>
      </c>
      <c r="L137" s="9">
        <f t="shared" ca="1" si="18"/>
        <v>5</v>
      </c>
      <c r="N137" s="176">
        <f t="shared" ca="1" si="24"/>
        <v>30</v>
      </c>
      <c r="O137" s="176">
        <f t="shared" ca="1" si="29"/>
        <v>3616</v>
      </c>
      <c r="P137" s="175">
        <f t="shared" ca="1" si="19"/>
        <v>3017.7157182174542</v>
      </c>
      <c r="Q137" s="11">
        <f t="shared" ca="1" si="20"/>
        <v>2.9930000000000002E-2</v>
      </c>
      <c r="R137" s="12">
        <f t="shared" ca="1" si="21"/>
        <v>90.320231446248414</v>
      </c>
    </row>
    <row r="138" spans="1:18">
      <c r="A138" s="198">
        <f t="shared" ca="1" si="30"/>
        <v>120</v>
      </c>
      <c r="B138" s="197">
        <f t="shared" ca="1" si="31"/>
        <v>48375</v>
      </c>
      <c r="C138" s="196">
        <f t="shared" ca="1" si="22"/>
        <v>3045.4787028739984</v>
      </c>
      <c r="D138" s="21">
        <f t="shared" ca="1" si="25"/>
        <v>-316.58059399901845</v>
      </c>
      <c r="E138" s="196">
        <f t="shared" ca="1" si="23"/>
        <v>-37456.412772538482</v>
      </c>
      <c r="F138" s="178">
        <f t="shared" ca="1" si="26"/>
        <v>-7.2262961546295426</v>
      </c>
      <c r="G138" s="178">
        <f t="shared" ca="1" si="27"/>
        <v>26.319999999999997</v>
      </c>
      <c r="H138" s="177">
        <f t="shared" ca="1" si="28"/>
        <v>25</v>
      </c>
      <c r="I138" s="196"/>
      <c r="J138" s="9" t="str">
        <f t="shared" ca="1" si="16"/>
        <v/>
      </c>
      <c r="K138" s="9" t="str">
        <f t="shared" ca="1" si="17"/>
        <v/>
      </c>
      <c r="L138" s="9">
        <f t="shared" ca="1" si="18"/>
        <v>6</v>
      </c>
      <c r="N138" s="176">
        <f t="shared" ca="1" si="24"/>
        <v>31</v>
      </c>
      <c r="O138" s="176">
        <f t="shared" ca="1" si="29"/>
        <v>3647</v>
      </c>
      <c r="P138" s="175">
        <f t="shared" ca="1" si="19"/>
        <v>3045.4787028739984</v>
      </c>
      <c r="Q138" s="11">
        <f t="shared" ca="1" si="20"/>
        <v>2.9930000000000002E-2</v>
      </c>
      <c r="R138" s="12">
        <f t="shared" ca="1" si="21"/>
        <v>91.151177577018771</v>
      </c>
    </row>
    <row r="139" spans="1:18">
      <c r="A139" s="198">
        <f t="shared" ca="1" si="30"/>
        <v>121</v>
      </c>
      <c r="B139" s="197">
        <f t="shared" ca="1" si="31"/>
        <v>48405</v>
      </c>
      <c r="C139" s="196">
        <f t="shared" ca="1" si="22"/>
        <v>3073.4971069898334</v>
      </c>
      <c r="D139" s="21">
        <f t="shared" ca="1" si="25"/>
        <v>-344.59899811485332</v>
      </c>
      <c r="E139" s="196">
        <f t="shared" ca="1" si="23"/>
        <v>-40529.909879528313</v>
      </c>
      <c r="F139" s="178">
        <f t="shared" ca="1" si="26"/>
        <v>-7.8658466822330819</v>
      </c>
      <c r="G139" s="178">
        <f t="shared" ca="1" si="27"/>
        <v>26.319999999999997</v>
      </c>
      <c r="H139" s="177">
        <f t="shared" ca="1" si="28"/>
        <v>25</v>
      </c>
      <c r="I139" s="196"/>
      <c r="J139" s="9" t="str">
        <f t="shared" ca="1" si="16"/>
        <v/>
      </c>
      <c r="K139" s="9" t="str">
        <f t="shared" ca="1" si="17"/>
        <v/>
      </c>
      <c r="L139" s="9">
        <f t="shared" ca="1" si="18"/>
        <v>7</v>
      </c>
      <c r="N139" s="176">
        <f t="shared" ca="1" si="24"/>
        <v>30</v>
      </c>
      <c r="O139" s="176">
        <f t="shared" ca="1" si="29"/>
        <v>3677</v>
      </c>
      <c r="P139" s="175">
        <f t="shared" ca="1" si="19"/>
        <v>3073.4971069898334</v>
      </c>
      <c r="Q139" s="11">
        <f t="shared" ca="1" si="20"/>
        <v>2.9930000000000002E-2</v>
      </c>
      <c r="R139" s="12">
        <f t="shared" ca="1" si="21"/>
        <v>91.98976841220572</v>
      </c>
    </row>
    <row r="140" spans="1:18">
      <c r="A140" s="198">
        <f t="shared" ca="1" si="30"/>
        <v>122</v>
      </c>
      <c r="B140" s="197">
        <f t="shared" ca="1" si="31"/>
        <v>48436</v>
      </c>
      <c r="C140" s="196">
        <f t="shared" ca="1" si="22"/>
        <v>3101.7732804239886</v>
      </c>
      <c r="D140" s="21">
        <f t="shared" ca="1" si="25"/>
        <v>-372.87517154900826</v>
      </c>
      <c r="E140" s="196">
        <f t="shared" ca="1" si="23"/>
        <v>-43631.683159952299</v>
      </c>
      <c r="F140" s="178">
        <f t="shared" ca="1" si="26"/>
        <v>-8.5112810747009462</v>
      </c>
      <c r="G140" s="178">
        <f t="shared" ca="1" si="27"/>
        <v>26.319999999999997</v>
      </c>
      <c r="H140" s="177">
        <f t="shared" ca="1" si="28"/>
        <v>25</v>
      </c>
      <c r="I140" s="196"/>
      <c r="J140" s="9" t="str">
        <f t="shared" ca="1" si="16"/>
        <v/>
      </c>
      <c r="K140" s="9" t="str">
        <f t="shared" ca="1" si="17"/>
        <v/>
      </c>
      <c r="L140" s="9">
        <f t="shared" ca="1" si="18"/>
        <v>8</v>
      </c>
      <c r="N140" s="176">
        <f t="shared" ca="1" si="24"/>
        <v>31</v>
      </c>
      <c r="O140" s="176">
        <f t="shared" ca="1" si="29"/>
        <v>3708</v>
      </c>
      <c r="P140" s="175">
        <f t="shared" ca="1" si="19"/>
        <v>3101.7732804239886</v>
      </c>
      <c r="Q140" s="11">
        <f t="shared" ca="1" si="20"/>
        <v>2.9930000000000002E-2</v>
      </c>
      <c r="R140" s="12">
        <f t="shared" ca="1" si="21"/>
        <v>92.836074283089985</v>
      </c>
    </row>
    <row r="141" spans="1:18">
      <c r="A141" s="198">
        <f t="shared" ca="1" si="30"/>
        <v>123</v>
      </c>
      <c r="B141" s="197">
        <f t="shared" ca="1" si="31"/>
        <v>48467</v>
      </c>
      <c r="C141" s="196">
        <f t="shared" ca="1" si="22"/>
        <v>3130.3095946541962</v>
      </c>
      <c r="D141" s="21">
        <f t="shared" ca="1" si="25"/>
        <v>-401.41148577921609</v>
      </c>
      <c r="E141" s="196">
        <f t="shared" ca="1" si="23"/>
        <v>-46761.992754606494</v>
      </c>
      <c r="F141" s="178">
        <f t="shared" ca="1" si="26"/>
        <v>-9.162653463589983</v>
      </c>
      <c r="G141" s="178">
        <f t="shared" ca="1" si="27"/>
        <v>26.319999999999997</v>
      </c>
      <c r="H141" s="177">
        <f t="shared" ca="1" si="28"/>
        <v>25</v>
      </c>
      <c r="I141" s="196"/>
      <c r="J141" s="9" t="str">
        <f t="shared" ca="1" si="16"/>
        <v/>
      </c>
      <c r="K141" s="9" t="str">
        <f t="shared" ca="1" si="17"/>
        <v/>
      </c>
      <c r="L141" s="9">
        <f t="shared" ca="1" si="18"/>
        <v>9</v>
      </c>
      <c r="N141" s="176">
        <f t="shared" ca="1" si="24"/>
        <v>31</v>
      </c>
      <c r="O141" s="176">
        <f t="shared" ca="1" si="29"/>
        <v>3739</v>
      </c>
      <c r="P141" s="175">
        <f t="shared" ca="1" si="19"/>
        <v>3130.3095946541962</v>
      </c>
      <c r="Q141" s="11">
        <f t="shared" ca="1" si="20"/>
        <v>2.9930000000000002E-2</v>
      </c>
      <c r="R141" s="12">
        <f t="shared" ca="1" si="21"/>
        <v>93.690166168000104</v>
      </c>
    </row>
    <row r="142" spans="1:18">
      <c r="A142" s="198">
        <f t="shared" ca="1" si="30"/>
        <v>124</v>
      </c>
      <c r="B142" s="197">
        <f t="shared" ca="1" si="31"/>
        <v>48497</v>
      </c>
      <c r="C142" s="196">
        <f t="shared" ca="1" si="22"/>
        <v>3159.1084429757848</v>
      </c>
      <c r="D142" s="21">
        <f t="shared" ca="1" si="25"/>
        <v>-430.21033410080463</v>
      </c>
      <c r="E142" s="196">
        <f t="shared" ca="1" si="23"/>
        <v>-49921.101197582277</v>
      </c>
      <c r="F142" s="178">
        <f t="shared" ca="1" si="26"/>
        <v>-9.8200184784673645</v>
      </c>
      <c r="G142" s="178">
        <f t="shared" ca="1" si="27"/>
        <v>26.319999999999997</v>
      </c>
      <c r="H142" s="177">
        <f t="shared" ca="1" si="28"/>
        <v>25</v>
      </c>
      <c r="I142" s="196"/>
      <c r="J142" s="9" t="str">
        <f t="shared" ca="1" si="16"/>
        <v/>
      </c>
      <c r="K142" s="9" t="str">
        <f t="shared" ca="1" si="17"/>
        <v/>
      </c>
      <c r="L142" s="9">
        <f t="shared" ca="1" si="18"/>
        <v>10</v>
      </c>
      <c r="N142" s="176">
        <f t="shared" ca="1" si="24"/>
        <v>30</v>
      </c>
      <c r="O142" s="176">
        <f t="shared" ca="1" si="29"/>
        <v>3769</v>
      </c>
      <c r="P142" s="175">
        <f t="shared" ca="1" si="19"/>
        <v>3159.1084429757848</v>
      </c>
      <c r="Q142" s="11">
        <f t="shared" ca="1" si="20"/>
        <v>2.9930000000000002E-2</v>
      </c>
      <c r="R142" s="12">
        <f t="shared" ca="1" si="21"/>
        <v>94.55211569826524</v>
      </c>
    </row>
    <row r="143" spans="1:18">
      <c r="A143" s="198">
        <f t="shared" ca="1" si="30"/>
        <v>125</v>
      </c>
      <c r="B143" s="197">
        <f t="shared" ca="1" si="31"/>
        <v>48528</v>
      </c>
      <c r="C143" s="196">
        <f t="shared" ca="1" si="22"/>
        <v>3188.172240702399</v>
      </c>
      <c r="D143" s="21">
        <f t="shared" ca="1" si="25"/>
        <v>-459.2741318274189</v>
      </c>
      <c r="E143" s="196">
        <f t="shared" ca="1" si="23"/>
        <v>-53109.273438284676</v>
      </c>
      <c r="F143" s="178">
        <f t="shared" ca="1" si="26"/>
        <v>-10.483431251492279</v>
      </c>
      <c r="G143" s="178">
        <f t="shared" ca="1" si="27"/>
        <v>26.319999999999997</v>
      </c>
      <c r="H143" s="177">
        <f t="shared" ca="1" si="28"/>
        <v>25</v>
      </c>
      <c r="I143" s="196"/>
      <c r="J143" s="9" t="str">
        <f t="shared" ca="1" si="16"/>
        <v/>
      </c>
      <c r="K143" s="9" t="str">
        <f t="shared" ca="1" si="17"/>
        <v/>
      </c>
      <c r="L143" s="9">
        <f t="shared" ca="1" si="18"/>
        <v>11</v>
      </c>
      <c r="N143" s="176">
        <f t="shared" ca="1" si="24"/>
        <v>31</v>
      </c>
      <c r="O143" s="176">
        <f t="shared" ca="1" si="29"/>
        <v>3800</v>
      </c>
      <c r="P143" s="175">
        <f t="shared" ca="1" si="19"/>
        <v>3188.172240702399</v>
      </c>
      <c r="Q143" s="11">
        <f t="shared" ca="1" si="20"/>
        <v>2.9930000000000002E-2</v>
      </c>
      <c r="R143" s="12">
        <f t="shared" ca="1" si="21"/>
        <v>95.421995164222807</v>
      </c>
    </row>
    <row r="144" spans="1:18">
      <c r="A144" s="198">
        <f t="shared" ca="1" si="30"/>
        <v>126</v>
      </c>
      <c r="B144" s="197">
        <f t="shared" ca="1" si="31"/>
        <v>48558</v>
      </c>
      <c r="C144" s="196">
        <f t="shared" ca="1" si="22"/>
        <v>3217.5034253685694</v>
      </c>
      <c r="D144" s="21">
        <f t="shared" ca="1" si="25"/>
        <v>-488.60531649358938</v>
      </c>
      <c r="E144" s="196">
        <f t="shared" ca="1" si="23"/>
        <v>-56326.776863653242</v>
      </c>
      <c r="F144" s="178">
        <f t="shared" ca="1" si="26"/>
        <v>-11.152947422039782</v>
      </c>
      <c r="G144" s="178">
        <f t="shared" ca="1" si="27"/>
        <v>26.319999999999997</v>
      </c>
      <c r="H144" s="177">
        <f t="shared" ca="1" si="28"/>
        <v>25</v>
      </c>
      <c r="I144" s="196"/>
      <c r="J144" s="9" t="str">
        <f t="shared" ca="1" si="16"/>
        <v/>
      </c>
      <c r="K144" s="9" t="str">
        <f t="shared" ca="1" si="17"/>
        <v/>
      </c>
      <c r="L144" s="9">
        <f t="shared" ca="1" si="18"/>
        <v>12</v>
      </c>
      <c r="N144" s="176">
        <f t="shared" ca="1" si="24"/>
        <v>30</v>
      </c>
      <c r="O144" s="176">
        <f t="shared" ca="1" si="29"/>
        <v>3830</v>
      </c>
      <c r="P144" s="175">
        <f t="shared" ca="1" si="19"/>
        <v>3217.5034253685694</v>
      </c>
      <c r="Q144" s="11">
        <f t="shared" ca="1" si="20"/>
        <v>2.9930000000000002E-2</v>
      </c>
      <c r="R144" s="12">
        <f t="shared" ca="1" si="21"/>
        <v>96.299877521281289</v>
      </c>
    </row>
    <row r="145" spans="1:18">
      <c r="A145" s="198">
        <f t="shared" ca="1" si="30"/>
        <v>127</v>
      </c>
      <c r="B145" s="197">
        <f t="shared" ca="1" si="31"/>
        <v>48589</v>
      </c>
      <c r="C145" s="196">
        <f t="shared" ca="1" si="22"/>
        <v>3247.1044569341448</v>
      </c>
      <c r="D145" s="21">
        <f t="shared" ca="1" si="25"/>
        <v>-518.20634805916438</v>
      </c>
      <c r="E145" s="196">
        <f t="shared" ca="1" si="23"/>
        <v>-59573.881320587388</v>
      </c>
      <c r="F145" s="178">
        <f t="shared" ca="1" si="26"/>
        <v>-11.828623141367181</v>
      </c>
      <c r="G145" s="178">
        <f t="shared" ca="1" si="27"/>
        <v>26.319999999999997</v>
      </c>
      <c r="H145" s="177">
        <f t="shared" ca="1" si="28"/>
        <v>25</v>
      </c>
      <c r="I145" s="196"/>
      <c r="J145" s="9" t="str">
        <f t="shared" ca="1" si="16"/>
        <v/>
      </c>
      <c r="K145" s="9" t="str">
        <f t="shared" ca="1" si="17"/>
        <v/>
      </c>
      <c r="L145" s="9">
        <f t="shared" ca="1" si="18"/>
        <v>1</v>
      </c>
      <c r="N145" s="176">
        <f t="shared" ca="1" si="24"/>
        <v>31</v>
      </c>
      <c r="O145" s="176">
        <f t="shared" ca="1" si="29"/>
        <v>3861</v>
      </c>
      <c r="P145" s="175">
        <f t="shared" ca="1" si="19"/>
        <v>3247.1044569341448</v>
      </c>
      <c r="Q145" s="11">
        <f t="shared" ca="1" si="20"/>
        <v>2.9930000000000002E-2</v>
      </c>
      <c r="R145" s="12">
        <f t="shared" ca="1" si="21"/>
        <v>97.185836396038965</v>
      </c>
    </row>
    <row r="146" spans="1:18">
      <c r="A146" s="198">
        <f t="shared" ca="1" si="30"/>
        <v>128</v>
      </c>
      <c r="B146" s="197">
        <f t="shared" ca="1" si="31"/>
        <v>48620</v>
      </c>
      <c r="C146" s="196">
        <f t="shared" ca="1" si="22"/>
        <v>3276.9778179906029</v>
      </c>
      <c r="D146" s="21">
        <f t="shared" ca="1" si="25"/>
        <v>-548.07970911562268</v>
      </c>
      <c r="E146" s="196">
        <f t="shared" ca="1" si="23"/>
        <v>-62850.859138577995</v>
      </c>
      <c r="F146" s="178">
        <f t="shared" ca="1" si="26"/>
        <v>-12.510515077323353</v>
      </c>
      <c r="G146" s="178">
        <f t="shared" ca="1" si="27"/>
        <v>26.319999999999997</v>
      </c>
      <c r="H146" s="177">
        <f t="shared" ca="1" si="28"/>
        <v>25</v>
      </c>
      <c r="I146" s="196"/>
      <c r="J146" s="9" t="str">
        <f t="shared" ref="J146:J209" ca="1" si="32">IF(A146="I","Carencia",IF(A146&lt;=$C$12,"Carencia",""))</f>
        <v/>
      </c>
      <c r="K146" s="9" t="str">
        <f t="shared" ref="K146:K209" ca="1" si="33">IF(L146=$C$13,"Pula","")</f>
        <v/>
      </c>
      <c r="L146" s="9">
        <f t="shared" ref="L146:L209" ca="1" si="34">IFERROR(MONTH(B146),"")</f>
        <v>2</v>
      </c>
      <c r="N146" s="176">
        <f t="shared" ca="1" si="24"/>
        <v>31</v>
      </c>
      <c r="O146" s="176">
        <f t="shared" ca="1" si="29"/>
        <v>3892</v>
      </c>
      <c r="P146" s="175">
        <f t="shared" ref="P146:P209" ca="1" si="35">IF(A146&lt;&gt;"",C146,"")</f>
        <v>3276.9778179906029</v>
      </c>
      <c r="Q146" s="11">
        <f t="shared" ref="Q146:Q209" ca="1" si="36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ca="1" si="37">IFERROR(Q146*P146,"")</f>
        <v>98.079946092458755</v>
      </c>
    </row>
    <row r="147" spans="1:18">
      <c r="A147" s="198">
        <f t="shared" ca="1" si="30"/>
        <v>129</v>
      </c>
      <c r="B147" s="197">
        <f t="shared" ca="1" si="31"/>
        <v>48648</v>
      </c>
      <c r="C147" s="196">
        <f t="shared" ref="C147:C210" ca="1" si="38">IFERROR(IF(OR(J147="Carencia",K147="Pula"),0,$I$13-D147),"")</f>
        <v>3307.1260139692649</v>
      </c>
      <c r="D147" s="21">
        <f t="shared" ca="1" si="25"/>
        <v>-578.22790509428501</v>
      </c>
      <c r="E147" s="196">
        <f t="shared" ref="E147:E210" ca="1" si="39">IFERROR(IF(OR(J147="Carencia",K147="Pula"),E146,(E146-C147)),"")</f>
        <v>-66157.985152547262</v>
      </c>
      <c r="F147" s="178">
        <f t="shared" ca="1" si="26"/>
        <v>-13.198680419101379</v>
      </c>
      <c r="G147" s="178">
        <f t="shared" ca="1" si="27"/>
        <v>26.319999999999997</v>
      </c>
      <c r="H147" s="177">
        <f t="shared" ca="1" si="28"/>
        <v>25</v>
      </c>
      <c r="I147" s="196"/>
      <c r="J147" s="9" t="str">
        <f t="shared" ca="1" si="32"/>
        <v/>
      </c>
      <c r="K147" s="9" t="str">
        <f t="shared" ca="1" si="33"/>
        <v/>
      </c>
      <c r="L147" s="9">
        <f t="shared" ca="1" si="34"/>
        <v>3</v>
      </c>
      <c r="N147" s="176">
        <f t="shared" ref="N147:N210" ca="1" si="40">IFERROR(B147-B146,"")</f>
        <v>28</v>
      </c>
      <c r="O147" s="176">
        <f t="shared" ca="1" si="29"/>
        <v>3920</v>
      </c>
      <c r="P147" s="175">
        <f t="shared" ca="1" si="35"/>
        <v>3307.1260139692649</v>
      </c>
      <c r="Q147" s="11">
        <f t="shared" ca="1" si="36"/>
        <v>2.9930000000000002E-2</v>
      </c>
      <c r="R147" s="12">
        <f t="shared" ca="1" si="37"/>
        <v>98.982281598100101</v>
      </c>
    </row>
    <row r="148" spans="1:18">
      <c r="A148" s="198">
        <f t="shared" ca="1" si="30"/>
        <v>130</v>
      </c>
      <c r="B148" s="197">
        <f t="shared" ca="1" si="31"/>
        <v>48679</v>
      </c>
      <c r="C148" s="196">
        <f t="shared" ca="1" si="38"/>
        <v>3337.5515733514203</v>
      </c>
      <c r="D148" s="21">
        <f t="shared" ref="D148:D211" ca="1" si="41">IFERROR(IF(DAY(B148)=DAY(B147),IF(K148="Pula",0,($C$9)*E147),IF(AND(K148="Pula",J148=""),0,IF(AND($F$3=30,OR(AND(DAY(B147)=28,MONTH(B147)=2),AND(DAY(B147)=29,MONTH(B147)=2))),$C$9*E147,$C$9*E147))),"")</f>
        <v>-608.65346447644004</v>
      </c>
      <c r="E148" s="196">
        <f t="shared" ca="1" si="39"/>
        <v>-69495.536725898681</v>
      </c>
      <c r="F148" s="178">
        <f t="shared" ref="F148:F211" ca="1" si="42">IFERROR(IF(OR(AND(DAY(B148)=DAY(B147),MONTH(B148)&lt;&gt;MONTH(B147)),MONTH(B148)&lt;&gt;MONTH(B147)),IF(K148="Pula",0,E147*$I$7),0),0)</f>
        <v>-13.893176882034926</v>
      </c>
      <c r="G148" s="178">
        <f t="shared" ref="G148:G211" ca="1" si="43">IFERROR(IF(OR(AND(DAY(B148)=DAY(B147),MONTH(B148)&lt;&gt;MONTH(B147)),MONTH(B148)&lt;&gt;MONTH(B147)),IF(K148="Pula",0,$C$11*$I$8),0),0)</f>
        <v>26.319999999999997</v>
      </c>
      <c r="H148" s="177">
        <f t="shared" ref="H148:H211" ca="1" si="44">IFERROR(IF(OR(AND(DAY(B148)=DAY(B147),MONTH(B148)&lt;&gt;MONTH(B147)),MONTH(B148)&lt;&gt;MONTH(B147)),IF(K148="Pula",0,$I$10),0),0)</f>
        <v>25</v>
      </c>
      <c r="I148" s="196"/>
      <c r="J148" s="9" t="str">
        <f t="shared" ca="1" si="32"/>
        <v/>
      </c>
      <c r="K148" s="9" t="str">
        <f t="shared" ca="1" si="33"/>
        <v/>
      </c>
      <c r="L148" s="9">
        <f t="shared" ca="1" si="34"/>
        <v>4</v>
      </c>
      <c r="N148" s="176">
        <f t="shared" ca="1" si="40"/>
        <v>31</v>
      </c>
      <c r="O148" s="176">
        <f t="shared" ref="O148:O211" ca="1" si="45">IFERROR(N148+O147,"")</f>
        <v>3951</v>
      </c>
      <c r="P148" s="175">
        <f t="shared" ca="1" si="35"/>
        <v>3337.5515733514203</v>
      </c>
      <c r="Q148" s="11">
        <f t="shared" ca="1" si="36"/>
        <v>2.9930000000000002E-2</v>
      </c>
      <c r="R148" s="12">
        <f t="shared" ca="1" si="37"/>
        <v>99.892918590408016</v>
      </c>
    </row>
    <row r="149" spans="1:18">
      <c r="A149" s="198">
        <f t="shared" ref="A149:A212" ca="1" si="46">IF(A148&gt;=$C$8,"",A148+1)</f>
        <v>131</v>
      </c>
      <c r="B149" s="197">
        <f t="shared" ref="B149:B212" ca="1" si="47">IF(A149&lt;&gt;"",IF(DAY(EOMONTH($F$2,0))&lt;$F$3,IF(AND(MONTH($F$2)=2,$F$3&lt;&gt;31),IF(AND(MONTH($F$2)=2,$F$3&lt;&gt;31,MONTH(B148)=2),DATE(YEAR(B148),MONTH(B148)+1,$F$3),EDATE(B148,1)),EOMONTH(B148,1)),EDATE($B$19,A149-$I$14)),"")</f>
        <v>48709</v>
      </c>
      <c r="C149" s="196">
        <f t="shared" ca="1" si="38"/>
        <v>3368.2570478803846</v>
      </c>
      <c r="D149" s="21">
        <f t="shared" ca="1" si="41"/>
        <v>-639.3589390054043</v>
      </c>
      <c r="E149" s="196">
        <f t="shared" ca="1" si="39"/>
        <v>-72863.793773779063</v>
      </c>
      <c r="F149" s="178">
        <f t="shared" ca="1" si="42"/>
        <v>-14.594062712438724</v>
      </c>
      <c r="G149" s="178">
        <f t="shared" ca="1" si="43"/>
        <v>26.319999999999997</v>
      </c>
      <c r="H149" s="177">
        <f t="shared" ca="1" si="44"/>
        <v>25</v>
      </c>
      <c r="I149" s="196"/>
      <c r="J149" s="9" t="str">
        <f t="shared" ca="1" si="32"/>
        <v/>
      </c>
      <c r="K149" s="9" t="str">
        <f t="shared" ca="1" si="33"/>
        <v/>
      </c>
      <c r="L149" s="9">
        <f t="shared" ca="1" si="34"/>
        <v>5</v>
      </c>
      <c r="N149" s="176">
        <f t="shared" ca="1" si="40"/>
        <v>30</v>
      </c>
      <c r="O149" s="176">
        <f t="shared" ca="1" si="45"/>
        <v>3981</v>
      </c>
      <c r="P149" s="175">
        <f t="shared" ca="1" si="35"/>
        <v>3368.2570478803846</v>
      </c>
      <c r="Q149" s="11">
        <f t="shared" ca="1" si="36"/>
        <v>2.9930000000000002E-2</v>
      </c>
      <c r="R149" s="12">
        <f t="shared" ca="1" si="37"/>
        <v>100.81193344305991</v>
      </c>
    </row>
    <row r="150" spans="1:18">
      <c r="A150" s="198">
        <f t="shared" ca="1" si="46"/>
        <v>132</v>
      </c>
      <c r="B150" s="197">
        <f t="shared" ca="1" si="47"/>
        <v>48740</v>
      </c>
      <c r="C150" s="196">
        <f t="shared" ca="1" si="38"/>
        <v>3399.2450127755133</v>
      </c>
      <c r="D150" s="21">
        <f t="shared" ca="1" si="41"/>
        <v>-670.34690390053299</v>
      </c>
      <c r="E150" s="196">
        <f t="shared" ca="1" si="39"/>
        <v>-76263.038786554578</v>
      </c>
      <c r="F150" s="178">
        <f t="shared" ca="1" si="42"/>
        <v>-15.301396692493604</v>
      </c>
      <c r="G150" s="178">
        <f t="shared" ca="1" si="43"/>
        <v>26.319999999999997</v>
      </c>
      <c r="H150" s="177">
        <f t="shared" ca="1" si="44"/>
        <v>25</v>
      </c>
      <c r="I150" s="196"/>
      <c r="J150" s="9" t="str">
        <f t="shared" ca="1" si="32"/>
        <v/>
      </c>
      <c r="K150" s="9" t="str">
        <f t="shared" ca="1" si="33"/>
        <v/>
      </c>
      <c r="L150" s="9">
        <f t="shared" ca="1" si="34"/>
        <v>6</v>
      </c>
      <c r="N150" s="176">
        <f t="shared" ca="1" si="40"/>
        <v>31</v>
      </c>
      <c r="O150" s="176">
        <f t="shared" ca="1" si="45"/>
        <v>4012</v>
      </c>
      <c r="P150" s="175">
        <f t="shared" ca="1" si="35"/>
        <v>3399.2450127755133</v>
      </c>
      <c r="Q150" s="11">
        <f t="shared" ca="1" si="36"/>
        <v>2.9930000000000002E-2</v>
      </c>
      <c r="R150" s="12">
        <f t="shared" ca="1" si="37"/>
        <v>101.73940323237112</v>
      </c>
    </row>
    <row r="151" spans="1:18">
      <c r="A151" s="198">
        <f t="shared" ca="1" si="46"/>
        <v>133</v>
      </c>
      <c r="B151" s="197">
        <f t="shared" ca="1" si="47"/>
        <v>48770</v>
      </c>
      <c r="C151" s="196">
        <f t="shared" ca="1" si="38"/>
        <v>3430.5180669481797</v>
      </c>
      <c r="D151" s="21">
        <f t="shared" ca="1" si="41"/>
        <v>-701.61995807319954</v>
      </c>
      <c r="E151" s="196">
        <f t="shared" ca="1" si="39"/>
        <v>-79693.556853502756</v>
      </c>
      <c r="F151" s="178">
        <f t="shared" ca="1" si="42"/>
        <v>-16.015238145176461</v>
      </c>
      <c r="G151" s="178">
        <f t="shared" ca="1" si="43"/>
        <v>26.319999999999997</v>
      </c>
      <c r="H151" s="177">
        <f t="shared" ca="1" si="44"/>
        <v>25</v>
      </c>
      <c r="I151" s="196"/>
      <c r="J151" s="9" t="str">
        <f t="shared" ca="1" si="32"/>
        <v/>
      </c>
      <c r="K151" s="9" t="str">
        <f t="shared" ca="1" si="33"/>
        <v/>
      </c>
      <c r="L151" s="9">
        <f t="shared" ca="1" si="34"/>
        <v>7</v>
      </c>
      <c r="N151" s="176">
        <f t="shared" ca="1" si="40"/>
        <v>30</v>
      </c>
      <c r="O151" s="176">
        <f t="shared" ca="1" si="45"/>
        <v>4042</v>
      </c>
      <c r="P151" s="175">
        <f t="shared" ca="1" si="35"/>
        <v>3430.5180669481797</v>
      </c>
      <c r="Q151" s="11">
        <f t="shared" ca="1" si="36"/>
        <v>2.9930000000000002E-2</v>
      </c>
      <c r="R151" s="12">
        <f t="shared" ca="1" si="37"/>
        <v>102.67540574375903</v>
      </c>
    </row>
    <row r="152" spans="1:18">
      <c r="A152" s="198">
        <f t="shared" ca="1" si="46"/>
        <v>134</v>
      </c>
      <c r="B152" s="197">
        <f t="shared" ca="1" si="47"/>
        <v>48801</v>
      </c>
      <c r="C152" s="196">
        <f t="shared" ca="1" si="38"/>
        <v>3462.0788332197417</v>
      </c>
      <c r="D152" s="21">
        <f t="shared" ca="1" si="41"/>
        <v>-733.18072434476176</v>
      </c>
      <c r="E152" s="196">
        <f t="shared" ca="1" si="39"/>
        <v>-83155.635686722497</v>
      </c>
      <c r="F152" s="178">
        <f t="shared" ca="1" si="42"/>
        <v>-16.735646939235579</v>
      </c>
      <c r="G152" s="178">
        <f t="shared" ca="1" si="43"/>
        <v>26.319999999999997</v>
      </c>
      <c r="H152" s="177">
        <f t="shared" ca="1" si="44"/>
        <v>25</v>
      </c>
      <c r="I152" s="196"/>
      <c r="J152" s="9" t="str">
        <f t="shared" ca="1" si="32"/>
        <v/>
      </c>
      <c r="K152" s="9" t="str">
        <f t="shared" ca="1" si="33"/>
        <v/>
      </c>
      <c r="L152" s="9">
        <f t="shared" ca="1" si="34"/>
        <v>8</v>
      </c>
      <c r="N152" s="176">
        <f t="shared" ca="1" si="40"/>
        <v>31</v>
      </c>
      <c r="O152" s="176">
        <f t="shared" ca="1" si="45"/>
        <v>4073</v>
      </c>
      <c r="P152" s="175">
        <f t="shared" ca="1" si="35"/>
        <v>3462.0788332197417</v>
      </c>
      <c r="Q152" s="11">
        <f t="shared" ca="1" si="36"/>
        <v>2.9930000000000002E-2</v>
      </c>
      <c r="R152" s="12">
        <f t="shared" ca="1" si="37"/>
        <v>103.62001947826687</v>
      </c>
    </row>
    <row r="153" spans="1:18">
      <c r="A153" s="198">
        <f t="shared" ca="1" si="46"/>
        <v>135</v>
      </c>
      <c r="B153" s="197">
        <f t="shared" ca="1" si="47"/>
        <v>48832</v>
      </c>
      <c r="C153" s="196">
        <f t="shared" ca="1" si="38"/>
        <v>3493.9299585415142</v>
      </c>
      <c r="D153" s="21">
        <f t="shared" ca="1" si="41"/>
        <v>-765.03184966653419</v>
      </c>
      <c r="E153" s="196">
        <f t="shared" ca="1" si="39"/>
        <v>-86649.565645264011</v>
      </c>
      <c r="F153" s="178">
        <f t="shared" ca="1" si="42"/>
        <v>-17.462683494211724</v>
      </c>
      <c r="G153" s="178">
        <f t="shared" ca="1" si="43"/>
        <v>26.319999999999997</v>
      </c>
      <c r="H153" s="177">
        <f t="shared" ca="1" si="44"/>
        <v>25</v>
      </c>
      <c r="I153" s="196"/>
      <c r="J153" s="9" t="str">
        <f t="shared" ca="1" si="32"/>
        <v/>
      </c>
      <c r="K153" s="9" t="str">
        <f t="shared" ca="1" si="33"/>
        <v/>
      </c>
      <c r="L153" s="9">
        <f t="shared" ca="1" si="34"/>
        <v>9</v>
      </c>
      <c r="N153" s="176">
        <f t="shared" ca="1" si="40"/>
        <v>31</v>
      </c>
      <c r="O153" s="176">
        <f t="shared" ca="1" si="45"/>
        <v>4104</v>
      </c>
      <c r="P153" s="175">
        <f t="shared" ca="1" si="35"/>
        <v>3493.9299585415142</v>
      </c>
      <c r="Q153" s="11">
        <f t="shared" ca="1" si="36"/>
        <v>2.9930000000000002E-2</v>
      </c>
      <c r="R153" s="12">
        <f t="shared" ca="1" si="37"/>
        <v>104.57332365914753</v>
      </c>
    </row>
    <row r="154" spans="1:18">
      <c r="A154" s="198">
        <f t="shared" ca="1" si="46"/>
        <v>136</v>
      </c>
      <c r="B154" s="197">
        <f t="shared" ca="1" si="47"/>
        <v>48862</v>
      </c>
      <c r="C154" s="196">
        <f t="shared" ca="1" si="38"/>
        <v>3526.0741142167635</v>
      </c>
      <c r="D154" s="21">
        <f t="shared" ca="1" si="41"/>
        <v>-797.17600534178359</v>
      </c>
      <c r="E154" s="196">
        <f t="shared" ca="1" si="39"/>
        <v>-90175.639759480779</v>
      </c>
      <c r="F154" s="178">
        <f t="shared" ca="1" si="42"/>
        <v>-18.196408785505444</v>
      </c>
      <c r="G154" s="178">
        <f t="shared" ca="1" si="43"/>
        <v>26.319999999999997</v>
      </c>
      <c r="H154" s="177">
        <f t="shared" ca="1" si="44"/>
        <v>25</v>
      </c>
      <c r="I154" s="196"/>
      <c r="J154" s="9" t="str">
        <f t="shared" ca="1" si="32"/>
        <v/>
      </c>
      <c r="K154" s="9" t="str">
        <f t="shared" ca="1" si="33"/>
        <v/>
      </c>
      <c r="L154" s="9">
        <f t="shared" ca="1" si="34"/>
        <v>10</v>
      </c>
      <c r="N154" s="176">
        <f t="shared" ca="1" si="40"/>
        <v>30</v>
      </c>
      <c r="O154" s="176">
        <f t="shared" ca="1" si="45"/>
        <v>4134</v>
      </c>
      <c r="P154" s="175">
        <f t="shared" ca="1" si="35"/>
        <v>3526.0741142167635</v>
      </c>
      <c r="Q154" s="11">
        <f t="shared" ca="1" si="36"/>
        <v>2.9930000000000002E-2</v>
      </c>
      <c r="R154" s="12">
        <f t="shared" ca="1" si="37"/>
        <v>105.53539823850774</v>
      </c>
    </row>
    <row r="155" spans="1:18">
      <c r="A155" s="198">
        <f t="shared" ca="1" si="46"/>
        <v>137</v>
      </c>
      <c r="B155" s="197">
        <f t="shared" ca="1" si="47"/>
        <v>48893</v>
      </c>
      <c r="C155" s="196">
        <f t="shared" ca="1" si="38"/>
        <v>3558.5139961247469</v>
      </c>
      <c r="D155" s="21">
        <f t="shared" ca="1" si="41"/>
        <v>-829.61588724976673</v>
      </c>
      <c r="E155" s="196">
        <f t="shared" ca="1" si="39"/>
        <v>-93734.153755605526</v>
      </c>
      <c r="F155" s="178">
        <f t="shared" ca="1" si="42"/>
        <v>-18.936884349490963</v>
      </c>
      <c r="G155" s="178">
        <f t="shared" ca="1" si="43"/>
        <v>26.319999999999997</v>
      </c>
      <c r="H155" s="177">
        <f t="shared" ca="1" si="44"/>
        <v>25</v>
      </c>
      <c r="I155" s="196"/>
      <c r="J155" s="9" t="str">
        <f t="shared" ca="1" si="32"/>
        <v/>
      </c>
      <c r="K155" s="9" t="str">
        <f t="shared" ca="1" si="33"/>
        <v/>
      </c>
      <c r="L155" s="9">
        <f t="shared" ca="1" si="34"/>
        <v>11</v>
      </c>
      <c r="N155" s="176">
        <f t="shared" ca="1" si="40"/>
        <v>31</v>
      </c>
      <c r="O155" s="176">
        <f t="shared" ca="1" si="45"/>
        <v>4165</v>
      </c>
      <c r="P155" s="175">
        <f t="shared" ca="1" si="35"/>
        <v>3558.5139961247469</v>
      </c>
      <c r="Q155" s="11">
        <f t="shared" ca="1" si="36"/>
        <v>2.9930000000000002E-2</v>
      </c>
      <c r="R155" s="12">
        <f t="shared" ca="1" si="37"/>
        <v>106.50632390401368</v>
      </c>
    </row>
    <row r="156" spans="1:18">
      <c r="A156" s="198">
        <f t="shared" ca="1" si="46"/>
        <v>138</v>
      </c>
      <c r="B156" s="197">
        <f t="shared" ca="1" si="47"/>
        <v>48923</v>
      </c>
      <c r="C156" s="196">
        <f t="shared" ca="1" si="38"/>
        <v>3591.2523249468095</v>
      </c>
      <c r="D156" s="21">
        <f t="shared" ca="1" si="41"/>
        <v>-862.35421607182934</v>
      </c>
      <c r="E156" s="196">
        <f t="shared" ca="1" si="39"/>
        <v>-97325.406080552333</v>
      </c>
      <c r="F156" s="178">
        <f t="shared" ca="1" si="42"/>
        <v>-19.684172288677161</v>
      </c>
      <c r="G156" s="178">
        <f t="shared" ca="1" si="43"/>
        <v>26.319999999999997</v>
      </c>
      <c r="H156" s="177">
        <f t="shared" ca="1" si="44"/>
        <v>25</v>
      </c>
      <c r="I156" s="196"/>
      <c r="J156" s="9" t="str">
        <f t="shared" ca="1" si="32"/>
        <v/>
      </c>
      <c r="K156" s="9" t="str">
        <f t="shared" ca="1" si="33"/>
        <v/>
      </c>
      <c r="L156" s="9">
        <f t="shared" ca="1" si="34"/>
        <v>12</v>
      </c>
      <c r="N156" s="176">
        <f t="shared" ca="1" si="40"/>
        <v>30</v>
      </c>
      <c r="O156" s="176">
        <f t="shared" ca="1" si="45"/>
        <v>4195</v>
      </c>
      <c r="P156" s="175">
        <f t="shared" ca="1" si="35"/>
        <v>3591.2523249468095</v>
      </c>
      <c r="Q156" s="11">
        <f t="shared" ca="1" si="36"/>
        <v>2.9930000000000002E-2</v>
      </c>
      <c r="R156" s="12">
        <f t="shared" ca="1" si="37"/>
        <v>107.48618208565802</v>
      </c>
    </row>
    <row r="157" spans="1:18">
      <c r="A157" s="198">
        <f t="shared" ca="1" si="46"/>
        <v>139</v>
      </c>
      <c r="B157" s="197">
        <f t="shared" ca="1" si="47"/>
        <v>48954</v>
      </c>
      <c r="C157" s="196">
        <f t="shared" ca="1" si="38"/>
        <v>3624.2918463945662</v>
      </c>
      <c r="D157" s="21">
        <f t="shared" ca="1" si="41"/>
        <v>-895.3937375195859</v>
      </c>
      <c r="E157" s="196">
        <f t="shared" ca="1" si="39"/>
        <v>-100949.6979269469</v>
      </c>
      <c r="F157" s="178">
        <f t="shared" ca="1" si="42"/>
        <v>-20.438335276915989</v>
      </c>
      <c r="G157" s="178">
        <f t="shared" ca="1" si="43"/>
        <v>26.319999999999997</v>
      </c>
      <c r="H157" s="177">
        <f t="shared" ca="1" si="44"/>
        <v>25</v>
      </c>
      <c r="I157" s="196"/>
      <c r="J157" s="9" t="str">
        <f t="shared" ca="1" si="32"/>
        <v/>
      </c>
      <c r="K157" s="9" t="str">
        <f t="shared" ca="1" si="33"/>
        <v/>
      </c>
      <c r="L157" s="9">
        <f t="shared" ca="1" si="34"/>
        <v>1</v>
      </c>
      <c r="N157" s="176">
        <f t="shared" ca="1" si="40"/>
        <v>31</v>
      </c>
      <c r="O157" s="176">
        <f t="shared" ca="1" si="45"/>
        <v>4226</v>
      </c>
      <c r="P157" s="175">
        <f t="shared" ca="1" si="35"/>
        <v>3624.2918463945662</v>
      </c>
      <c r="Q157" s="11">
        <f t="shared" ca="1" si="36"/>
        <v>2.9930000000000002E-2</v>
      </c>
      <c r="R157" s="12">
        <f t="shared" ca="1" si="37"/>
        <v>108.47505496258937</v>
      </c>
    </row>
    <row r="158" spans="1:18">
      <c r="A158" s="198">
        <f t="shared" ca="1" si="46"/>
        <v>140</v>
      </c>
      <c r="B158" s="197">
        <f t="shared" ca="1" si="47"/>
        <v>48985</v>
      </c>
      <c r="C158" s="196">
        <f t="shared" ca="1" si="38"/>
        <v>3657.6353314401777</v>
      </c>
      <c r="D158" s="21">
        <f t="shared" ca="1" si="41"/>
        <v>-928.73722256519761</v>
      </c>
      <c r="E158" s="196">
        <f t="shared" ca="1" si="39"/>
        <v>-104607.33325838708</v>
      </c>
      <c r="F158" s="178">
        <f t="shared" ca="1" si="42"/>
        <v>-21.19943656465885</v>
      </c>
      <c r="G158" s="178">
        <f t="shared" ca="1" si="43"/>
        <v>26.319999999999997</v>
      </c>
      <c r="H158" s="177">
        <f t="shared" ca="1" si="44"/>
        <v>25</v>
      </c>
      <c r="I158" s="196"/>
      <c r="J158" s="9" t="str">
        <f t="shared" ca="1" si="32"/>
        <v/>
      </c>
      <c r="K158" s="9" t="str">
        <f t="shared" ca="1" si="33"/>
        <v/>
      </c>
      <c r="L158" s="9">
        <f t="shared" ca="1" si="34"/>
        <v>2</v>
      </c>
      <c r="N158" s="176">
        <f t="shared" ca="1" si="40"/>
        <v>31</v>
      </c>
      <c r="O158" s="176">
        <f t="shared" ca="1" si="45"/>
        <v>4257</v>
      </c>
      <c r="P158" s="175">
        <f t="shared" ca="1" si="35"/>
        <v>3657.6353314401777</v>
      </c>
      <c r="Q158" s="11">
        <f t="shared" ca="1" si="36"/>
        <v>2.9930000000000002E-2</v>
      </c>
      <c r="R158" s="12">
        <f t="shared" ca="1" si="37"/>
        <v>109.47302547000453</v>
      </c>
    </row>
    <row r="159" spans="1:18">
      <c r="A159" s="198">
        <f t="shared" ca="1" si="46"/>
        <v>141</v>
      </c>
      <c r="B159" s="197">
        <f t="shared" ca="1" si="47"/>
        <v>49013</v>
      </c>
      <c r="C159" s="196">
        <f t="shared" ca="1" si="38"/>
        <v>3691.2855765487502</v>
      </c>
      <c r="D159" s="21">
        <f t="shared" ca="1" si="41"/>
        <v>-962.38746767376983</v>
      </c>
      <c r="E159" s="196">
        <f t="shared" ca="1" si="39"/>
        <v>-108298.61883493583</v>
      </c>
      <c r="F159" s="178">
        <f t="shared" ca="1" si="42"/>
        <v>-21.967539984261286</v>
      </c>
      <c r="G159" s="178">
        <f t="shared" ca="1" si="43"/>
        <v>26.319999999999997</v>
      </c>
      <c r="H159" s="177">
        <f t="shared" ca="1" si="44"/>
        <v>25</v>
      </c>
      <c r="I159" s="196"/>
      <c r="J159" s="9" t="str">
        <f t="shared" ca="1" si="32"/>
        <v/>
      </c>
      <c r="K159" s="9" t="str">
        <f t="shared" ca="1" si="33"/>
        <v/>
      </c>
      <c r="L159" s="9">
        <f t="shared" ca="1" si="34"/>
        <v>3</v>
      </c>
      <c r="N159" s="176">
        <f t="shared" ca="1" si="40"/>
        <v>28</v>
      </c>
      <c r="O159" s="176">
        <f t="shared" ca="1" si="45"/>
        <v>4285</v>
      </c>
      <c r="P159" s="175">
        <f t="shared" ca="1" si="35"/>
        <v>3691.2855765487502</v>
      </c>
      <c r="Q159" s="11">
        <f t="shared" ca="1" si="36"/>
        <v>2.9930000000000002E-2</v>
      </c>
      <c r="R159" s="12">
        <f t="shared" ca="1" si="37"/>
        <v>110.4801773061041</v>
      </c>
    </row>
    <row r="160" spans="1:18">
      <c r="A160" s="198">
        <f t="shared" ca="1" si="46"/>
        <v>142</v>
      </c>
      <c r="B160" s="197">
        <f t="shared" ca="1" si="47"/>
        <v>49044</v>
      </c>
      <c r="C160" s="196">
        <f t="shared" ca="1" si="38"/>
        <v>3725.245403912867</v>
      </c>
      <c r="D160" s="21">
        <f t="shared" ca="1" si="41"/>
        <v>-996.34729503788662</v>
      </c>
      <c r="E160" s="196">
        <f t="shared" ca="1" si="39"/>
        <v>-112023.86423884869</v>
      </c>
      <c r="F160" s="178">
        <f t="shared" ca="1" si="42"/>
        <v>-22.742709955336526</v>
      </c>
      <c r="G160" s="178">
        <f t="shared" ca="1" si="43"/>
        <v>26.319999999999997</v>
      </c>
      <c r="H160" s="177">
        <f t="shared" ca="1" si="44"/>
        <v>25</v>
      </c>
      <c r="I160" s="196"/>
      <c r="J160" s="9" t="str">
        <f t="shared" ca="1" si="32"/>
        <v/>
      </c>
      <c r="K160" s="9" t="str">
        <f t="shared" ca="1" si="33"/>
        <v/>
      </c>
      <c r="L160" s="9">
        <f t="shared" ca="1" si="34"/>
        <v>4</v>
      </c>
      <c r="N160" s="176">
        <f t="shared" ca="1" si="40"/>
        <v>31</v>
      </c>
      <c r="O160" s="176">
        <f t="shared" ca="1" si="45"/>
        <v>4316</v>
      </c>
      <c r="P160" s="175">
        <f t="shared" ca="1" si="35"/>
        <v>3725.245403912867</v>
      </c>
      <c r="Q160" s="11">
        <f t="shared" ca="1" si="36"/>
        <v>2.9930000000000002E-2</v>
      </c>
      <c r="R160" s="12">
        <f t="shared" ca="1" si="37"/>
        <v>111.49659493911211</v>
      </c>
    </row>
    <row r="161" spans="1:18">
      <c r="A161" s="198">
        <f t="shared" ca="1" si="46"/>
        <v>143</v>
      </c>
      <c r="B161" s="197">
        <f t="shared" ca="1" si="47"/>
        <v>49074</v>
      </c>
      <c r="C161" s="196">
        <f t="shared" ca="1" si="38"/>
        <v>3759.5176616892841</v>
      </c>
      <c r="D161" s="21">
        <f t="shared" ca="1" si="41"/>
        <v>-1030.6195528143041</v>
      </c>
      <c r="E161" s="196">
        <f t="shared" ca="1" si="39"/>
        <v>-115783.38190053798</v>
      </c>
      <c r="F161" s="178">
        <f t="shared" ca="1" si="42"/>
        <v>-23.525011490158228</v>
      </c>
      <c r="G161" s="178">
        <f t="shared" ca="1" si="43"/>
        <v>26.319999999999997</v>
      </c>
      <c r="H161" s="177">
        <f t="shared" ca="1" si="44"/>
        <v>25</v>
      </c>
      <c r="I161" s="196"/>
      <c r="J161" s="9" t="str">
        <f t="shared" ca="1" si="32"/>
        <v/>
      </c>
      <c r="K161" s="9" t="str">
        <f t="shared" ca="1" si="33"/>
        <v/>
      </c>
      <c r="L161" s="9">
        <f t="shared" ca="1" si="34"/>
        <v>5</v>
      </c>
      <c r="N161" s="176">
        <f t="shared" ca="1" si="40"/>
        <v>30</v>
      </c>
      <c r="O161" s="176">
        <f t="shared" ca="1" si="45"/>
        <v>4346</v>
      </c>
      <c r="P161" s="175">
        <f t="shared" ca="1" si="35"/>
        <v>3759.5176616892841</v>
      </c>
      <c r="Q161" s="11">
        <f t="shared" ca="1" si="36"/>
        <v>2.9930000000000002E-2</v>
      </c>
      <c r="R161" s="12">
        <f t="shared" ca="1" si="37"/>
        <v>112.52236361436027</v>
      </c>
    </row>
    <row r="162" spans="1:18">
      <c r="A162" s="198">
        <f t="shared" ca="1" si="46"/>
        <v>144</v>
      </c>
      <c r="B162" s="197">
        <f t="shared" ca="1" si="47"/>
        <v>49105</v>
      </c>
      <c r="C162" s="196">
        <f t="shared" ca="1" si="38"/>
        <v>3794.1052242378009</v>
      </c>
      <c r="D162" s="21">
        <f t="shared" ca="1" si="41"/>
        <v>-1065.2071153628206</v>
      </c>
      <c r="E162" s="196">
        <f t="shared" ca="1" si="39"/>
        <v>-119577.48712477578</v>
      </c>
      <c r="F162" s="178">
        <f t="shared" ca="1" si="42"/>
        <v>-24.314510199112977</v>
      </c>
      <c r="G162" s="178">
        <f t="shared" ca="1" si="43"/>
        <v>26.319999999999997</v>
      </c>
      <c r="H162" s="177">
        <f t="shared" ca="1" si="44"/>
        <v>25</v>
      </c>
      <c r="I162" s="196"/>
      <c r="J162" s="9" t="str">
        <f t="shared" ca="1" si="32"/>
        <v/>
      </c>
      <c r="K162" s="9" t="str">
        <f t="shared" ca="1" si="33"/>
        <v/>
      </c>
      <c r="L162" s="9">
        <f t="shared" ca="1" si="34"/>
        <v>6</v>
      </c>
      <c r="N162" s="176">
        <f t="shared" ca="1" si="40"/>
        <v>31</v>
      </c>
      <c r="O162" s="176">
        <f t="shared" ca="1" si="45"/>
        <v>4377</v>
      </c>
      <c r="P162" s="175">
        <f t="shared" ca="1" si="35"/>
        <v>3794.1052242378009</v>
      </c>
      <c r="Q162" s="11">
        <f t="shared" ca="1" si="36"/>
        <v>2.9930000000000002E-2</v>
      </c>
      <c r="R162" s="12">
        <f t="shared" ca="1" si="37"/>
        <v>113.55756936143739</v>
      </c>
    </row>
    <row r="163" spans="1:18">
      <c r="A163" s="198">
        <f t="shared" ca="1" si="46"/>
        <v>145</v>
      </c>
      <c r="B163" s="197">
        <f t="shared" ca="1" si="47"/>
        <v>49135</v>
      </c>
      <c r="C163" s="196">
        <f t="shared" ca="1" si="38"/>
        <v>3829.0109923623245</v>
      </c>
      <c r="D163" s="21">
        <f t="shared" ca="1" si="41"/>
        <v>-1100.1128834873443</v>
      </c>
      <c r="E163" s="196">
        <f t="shared" ca="1" si="39"/>
        <v>-123406.49811713811</v>
      </c>
      <c r="F163" s="178">
        <f t="shared" ca="1" si="42"/>
        <v>-25.111272296202916</v>
      </c>
      <c r="G163" s="178">
        <f t="shared" ca="1" si="43"/>
        <v>26.319999999999997</v>
      </c>
      <c r="H163" s="177">
        <f t="shared" ca="1" si="44"/>
        <v>25</v>
      </c>
      <c r="I163" s="196"/>
      <c r="J163" s="9" t="str">
        <f t="shared" ca="1" si="32"/>
        <v/>
      </c>
      <c r="K163" s="9" t="str">
        <f t="shared" ca="1" si="33"/>
        <v/>
      </c>
      <c r="L163" s="9">
        <f t="shared" ca="1" si="34"/>
        <v>7</v>
      </c>
      <c r="N163" s="176">
        <f t="shared" ca="1" si="40"/>
        <v>30</v>
      </c>
      <c r="O163" s="176">
        <f t="shared" ca="1" si="45"/>
        <v>4407</v>
      </c>
      <c r="P163" s="175">
        <f t="shared" ca="1" si="35"/>
        <v>3829.0109923623245</v>
      </c>
      <c r="Q163" s="11">
        <f t="shared" ca="1" si="36"/>
        <v>2.9930000000000002E-2</v>
      </c>
      <c r="R163" s="12">
        <f t="shared" ca="1" si="37"/>
        <v>114.60229900140438</v>
      </c>
    </row>
    <row r="164" spans="1:18">
      <c r="A164" s="198">
        <f t="shared" ca="1" si="46"/>
        <v>146</v>
      </c>
      <c r="B164" s="197">
        <f t="shared" ca="1" si="47"/>
        <v>49166</v>
      </c>
      <c r="C164" s="196">
        <f t="shared" ca="1" si="38"/>
        <v>3864.2378935541601</v>
      </c>
      <c r="D164" s="21">
        <f t="shared" ca="1" si="41"/>
        <v>-1135.3397846791797</v>
      </c>
      <c r="E164" s="196">
        <f t="shared" ca="1" si="39"/>
        <v>-127270.73601069227</v>
      </c>
      <c r="F164" s="178">
        <f t="shared" ca="1" si="42"/>
        <v>-25.915364604599002</v>
      </c>
      <c r="G164" s="178">
        <f t="shared" ca="1" si="43"/>
        <v>26.319999999999997</v>
      </c>
      <c r="H164" s="177">
        <f t="shared" ca="1" si="44"/>
        <v>25</v>
      </c>
      <c r="I164" s="196"/>
      <c r="J164" s="9" t="str">
        <f t="shared" ca="1" si="32"/>
        <v/>
      </c>
      <c r="K164" s="9" t="str">
        <f t="shared" ca="1" si="33"/>
        <v/>
      </c>
      <c r="L164" s="9">
        <f t="shared" ca="1" si="34"/>
        <v>8</v>
      </c>
      <c r="N164" s="176">
        <f t="shared" ca="1" si="40"/>
        <v>31</v>
      </c>
      <c r="O164" s="176">
        <f t="shared" ca="1" si="45"/>
        <v>4438</v>
      </c>
      <c r="P164" s="175">
        <f t="shared" ca="1" si="35"/>
        <v>3864.2378935541601</v>
      </c>
      <c r="Q164" s="11">
        <f t="shared" ca="1" si="36"/>
        <v>2.9930000000000002E-2</v>
      </c>
      <c r="R164" s="12">
        <f t="shared" ca="1" si="37"/>
        <v>115.65664015407602</v>
      </c>
    </row>
    <row r="165" spans="1:18">
      <c r="A165" s="198">
        <f t="shared" ca="1" si="46"/>
        <v>147</v>
      </c>
      <c r="B165" s="197">
        <f t="shared" ca="1" si="47"/>
        <v>49197</v>
      </c>
      <c r="C165" s="196">
        <f t="shared" ca="1" si="38"/>
        <v>3899.7888822375317</v>
      </c>
      <c r="D165" s="21">
        <f t="shared" ca="1" si="41"/>
        <v>-1170.8907733625515</v>
      </c>
      <c r="E165" s="196">
        <f t="shared" ca="1" si="39"/>
        <v>-131170.5248929298</v>
      </c>
      <c r="F165" s="178">
        <f t="shared" ca="1" si="42"/>
        <v>-26.726854562245379</v>
      </c>
      <c r="G165" s="178">
        <f t="shared" ca="1" si="43"/>
        <v>26.319999999999997</v>
      </c>
      <c r="H165" s="177">
        <f t="shared" ca="1" si="44"/>
        <v>25</v>
      </c>
      <c r="I165" s="196"/>
      <c r="J165" s="9" t="str">
        <f t="shared" ca="1" si="32"/>
        <v/>
      </c>
      <c r="K165" s="9" t="str">
        <f t="shared" ca="1" si="33"/>
        <v/>
      </c>
      <c r="L165" s="9">
        <f t="shared" ca="1" si="34"/>
        <v>9</v>
      </c>
      <c r="N165" s="176">
        <f t="shared" ca="1" si="40"/>
        <v>31</v>
      </c>
      <c r="O165" s="176">
        <f t="shared" ca="1" si="45"/>
        <v>4469</v>
      </c>
      <c r="P165" s="175">
        <f t="shared" ca="1" si="35"/>
        <v>3899.7888822375317</v>
      </c>
      <c r="Q165" s="11">
        <f t="shared" ca="1" si="36"/>
        <v>2.9930000000000002E-2</v>
      </c>
      <c r="R165" s="12">
        <f t="shared" ca="1" si="37"/>
        <v>116.72068124536933</v>
      </c>
    </row>
    <row r="166" spans="1:18">
      <c r="A166" s="198">
        <f t="shared" ca="1" si="46"/>
        <v>148</v>
      </c>
      <c r="B166" s="197">
        <f t="shared" ca="1" si="47"/>
        <v>49227</v>
      </c>
      <c r="C166" s="196">
        <f t="shared" ca="1" si="38"/>
        <v>3935.6669400173669</v>
      </c>
      <c r="D166" s="21">
        <f t="shared" ca="1" si="41"/>
        <v>-1206.7688311423867</v>
      </c>
      <c r="E166" s="196">
        <f t="shared" ca="1" si="39"/>
        <v>-135106.19183294717</v>
      </c>
      <c r="F166" s="178">
        <f t="shared" ca="1" si="42"/>
        <v>-27.545810227515258</v>
      </c>
      <c r="G166" s="178">
        <f t="shared" ca="1" si="43"/>
        <v>26.319999999999997</v>
      </c>
      <c r="H166" s="177">
        <f t="shared" ca="1" si="44"/>
        <v>25</v>
      </c>
      <c r="I166" s="196"/>
      <c r="J166" s="9" t="str">
        <f t="shared" ca="1" si="32"/>
        <v/>
      </c>
      <c r="K166" s="9" t="str">
        <f t="shared" ca="1" si="33"/>
        <v/>
      </c>
      <c r="L166" s="9">
        <f t="shared" ca="1" si="34"/>
        <v>10</v>
      </c>
      <c r="N166" s="176">
        <f t="shared" ca="1" si="40"/>
        <v>30</v>
      </c>
      <c r="O166" s="176">
        <f t="shared" ca="1" si="45"/>
        <v>4499</v>
      </c>
      <c r="P166" s="175">
        <f t="shared" ca="1" si="35"/>
        <v>3935.6669400173669</v>
      </c>
      <c r="Q166" s="11">
        <f t="shared" ca="1" si="36"/>
        <v>2.9930000000000002E-2</v>
      </c>
      <c r="R166" s="12">
        <f t="shared" ca="1" si="37"/>
        <v>117.7945115147198</v>
      </c>
    </row>
    <row r="167" spans="1:18">
      <c r="A167" s="198">
        <f t="shared" ca="1" si="46"/>
        <v>149</v>
      </c>
      <c r="B167" s="197">
        <f t="shared" ca="1" si="47"/>
        <v>49258</v>
      </c>
      <c r="C167" s="196">
        <f t="shared" ca="1" si="38"/>
        <v>3971.8750759293589</v>
      </c>
      <c r="D167" s="21">
        <f t="shared" ca="1" si="41"/>
        <v>-1242.9769670543785</v>
      </c>
      <c r="E167" s="196">
        <f t="shared" ca="1" si="39"/>
        <v>-139078.06690887653</v>
      </c>
      <c r="F167" s="178">
        <f t="shared" ca="1" si="42"/>
        <v>-28.372300284918907</v>
      </c>
      <c r="G167" s="178">
        <f t="shared" ca="1" si="43"/>
        <v>26.319999999999997</v>
      </c>
      <c r="H167" s="177">
        <f t="shared" ca="1" si="44"/>
        <v>25</v>
      </c>
      <c r="I167" s="196"/>
      <c r="J167" s="9" t="str">
        <f t="shared" ca="1" si="32"/>
        <v/>
      </c>
      <c r="K167" s="9" t="str">
        <f t="shared" ca="1" si="33"/>
        <v/>
      </c>
      <c r="L167" s="9">
        <f t="shared" ca="1" si="34"/>
        <v>11</v>
      </c>
      <c r="N167" s="176">
        <f t="shared" ca="1" si="40"/>
        <v>31</v>
      </c>
      <c r="O167" s="176">
        <f t="shared" ca="1" si="45"/>
        <v>4530</v>
      </c>
      <c r="P167" s="175">
        <f t="shared" ca="1" si="35"/>
        <v>3971.8750759293589</v>
      </c>
      <c r="Q167" s="11">
        <f t="shared" ca="1" si="36"/>
        <v>2.9930000000000002E-2</v>
      </c>
      <c r="R167" s="12">
        <f t="shared" ca="1" si="37"/>
        <v>118.87822102256573</v>
      </c>
    </row>
    <row r="168" spans="1:18">
      <c r="A168" s="198">
        <f t="shared" ca="1" si="46"/>
        <v>150</v>
      </c>
      <c r="B168" s="197">
        <f t="shared" ca="1" si="47"/>
        <v>49288</v>
      </c>
      <c r="C168" s="196">
        <f t="shared" ca="1" si="38"/>
        <v>4008.4163266923279</v>
      </c>
      <c r="D168" s="21">
        <f t="shared" ca="1" si="41"/>
        <v>-1279.5182178173477</v>
      </c>
      <c r="E168" s="196">
        <f t="shared" ca="1" si="39"/>
        <v>-143086.48323556886</v>
      </c>
      <c r="F168" s="178">
        <f t="shared" ca="1" si="42"/>
        <v>-29.206394050864073</v>
      </c>
      <c r="G168" s="178">
        <f t="shared" ca="1" si="43"/>
        <v>26.319999999999997</v>
      </c>
      <c r="H168" s="177">
        <f t="shared" ca="1" si="44"/>
        <v>25</v>
      </c>
      <c r="I168" s="196"/>
      <c r="J168" s="9" t="str">
        <f t="shared" ca="1" si="32"/>
        <v/>
      </c>
      <c r="K168" s="9" t="str">
        <f t="shared" ca="1" si="33"/>
        <v/>
      </c>
      <c r="L168" s="9">
        <f t="shared" ca="1" si="34"/>
        <v>12</v>
      </c>
      <c r="N168" s="176">
        <f t="shared" ca="1" si="40"/>
        <v>30</v>
      </c>
      <c r="O168" s="176">
        <f t="shared" ca="1" si="45"/>
        <v>4560</v>
      </c>
      <c r="P168" s="175">
        <f t="shared" ca="1" si="35"/>
        <v>4008.4163266923279</v>
      </c>
      <c r="Q168" s="11">
        <f t="shared" ca="1" si="36"/>
        <v>2.9930000000000002E-2</v>
      </c>
      <c r="R168" s="12">
        <f t="shared" ca="1" si="37"/>
        <v>119.97190065790139</v>
      </c>
    </row>
    <row r="169" spans="1:18">
      <c r="A169" s="198">
        <f t="shared" ca="1" si="46"/>
        <v>151</v>
      </c>
      <c r="B169" s="197">
        <f t="shared" ca="1" si="47"/>
        <v>49319</v>
      </c>
      <c r="C169" s="196">
        <f t="shared" ca="1" si="38"/>
        <v>4045.2937569629094</v>
      </c>
      <c r="D169" s="21">
        <f t="shared" ca="1" si="41"/>
        <v>-1316.395648087929</v>
      </c>
      <c r="E169" s="196">
        <f t="shared" ca="1" si="39"/>
        <v>-147131.77699253176</v>
      </c>
      <c r="F169" s="178">
        <f t="shared" ca="1" si="42"/>
        <v>-30.04816147946946</v>
      </c>
      <c r="G169" s="178">
        <f t="shared" ca="1" si="43"/>
        <v>26.319999999999997</v>
      </c>
      <c r="H169" s="177">
        <f t="shared" ca="1" si="44"/>
        <v>25</v>
      </c>
      <c r="I169" s="196"/>
      <c r="J169" s="9" t="str">
        <f t="shared" ca="1" si="32"/>
        <v/>
      </c>
      <c r="K169" s="9" t="str">
        <f t="shared" ca="1" si="33"/>
        <v/>
      </c>
      <c r="L169" s="9">
        <f t="shared" ca="1" si="34"/>
        <v>1</v>
      </c>
      <c r="N169" s="176">
        <f t="shared" ca="1" si="40"/>
        <v>31</v>
      </c>
      <c r="O169" s="176">
        <f t="shared" ca="1" si="45"/>
        <v>4591</v>
      </c>
      <c r="P169" s="175">
        <f t="shared" ca="1" si="35"/>
        <v>4045.2937569629094</v>
      </c>
      <c r="Q169" s="11">
        <f t="shared" ca="1" si="36"/>
        <v>2.9930000000000002E-2</v>
      </c>
      <c r="R169" s="12">
        <f t="shared" ca="1" si="37"/>
        <v>121.07564214589988</v>
      </c>
    </row>
    <row r="170" spans="1:18">
      <c r="A170" s="198">
        <f t="shared" ca="1" si="46"/>
        <v>152</v>
      </c>
      <c r="B170" s="197">
        <f t="shared" ca="1" si="47"/>
        <v>49350</v>
      </c>
      <c r="C170" s="196">
        <f t="shared" ca="1" si="38"/>
        <v>4082.5104595925777</v>
      </c>
      <c r="D170" s="21">
        <f t="shared" ca="1" si="41"/>
        <v>-1353.6123507175976</v>
      </c>
      <c r="E170" s="196">
        <f t="shared" ca="1" si="39"/>
        <v>-151214.28745212432</v>
      </c>
      <c r="F170" s="178">
        <f t="shared" ca="1" si="42"/>
        <v>-30.89767316843167</v>
      </c>
      <c r="G170" s="178">
        <f t="shared" ca="1" si="43"/>
        <v>26.319999999999997</v>
      </c>
      <c r="H170" s="177">
        <f t="shared" ca="1" si="44"/>
        <v>25</v>
      </c>
      <c r="I170" s="196"/>
      <c r="J170" s="9" t="str">
        <f t="shared" ca="1" si="32"/>
        <v/>
      </c>
      <c r="K170" s="9" t="str">
        <f t="shared" ca="1" si="33"/>
        <v/>
      </c>
      <c r="L170" s="9">
        <f t="shared" ca="1" si="34"/>
        <v>2</v>
      </c>
      <c r="N170" s="176">
        <f t="shared" ca="1" si="40"/>
        <v>31</v>
      </c>
      <c r="O170" s="176">
        <f t="shared" ca="1" si="45"/>
        <v>4622</v>
      </c>
      <c r="P170" s="175">
        <f t="shared" ca="1" si="35"/>
        <v>4082.5104595925777</v>
      </c>
      <c r="Q170" s="11">
        <f t="shared" ca="1" si="36"/>
        <v>2.9930000000000002E-2</v>
      </c>
      <c r="R170" s="12">
        <f t="shared" ca="1" si="37"/>
        <v>122.18953805560585</v>
      </c>
    </row>
    <row r="171" spans="1:18">
      <c r="A171" s="198">
        <f t="shared" ca="1" si="46"/>
        <v>153</v>
      </c>
      <c r="B171" s="197">
        <f t="shared" ca="1" si="47"/>
        <v>49378</v>
      </c>
      <c r="C171" s="196">
        <f t="shared" ca="1" si="38"/>
        <v>4120.069555887043</v>
      </c>
      <c r="D171" s="21">
        <f t="shared" ca="1" si="41"/>
        <v>-1391.1714470120628</v>
      </c>
      <c r="E171" s="196">
        <f t="shared" ca="1" si="39"/>
        <v>-155334.35700801137</v>
      </c>
      <c r="F171" s="178">
        <f t="shared" ca="1" si="42"/>
        <v>-31.75500036494611</v>
      </c>
      <c r="G171" s="178">
        <f t="shared" ca="1" si="43"/>
        <v>26.319999999999997</v>
      </c>
      <c r="H171" s="177">
        <f t="shared" ca="1" si="44"/>
        <v>25</v>
      </c>
      <c r="I171" s="196"/>
      <c r="J171" s="9" t="str">
        <f t="shared" ca="1" si="32"/>
        <v/>
      </c>
      <c r="K171" s="9" t="str">
        <f t="shared" ca="1" si="33"/>
        <v/>
      </c>
      <c r="L171" s="9">
        <f t="shared" ca="1" si="34"/>
        <v>3</v>
      </c>
      <c r="N171" s="176">
        <f t="shared" ca="1" si="40"/>
        <v>28</v>
      </c>
      <c r="O171" s="176">
        <f t="shared" ca="1" si="45"/>
        <v>4650</v>
      </c>
      <c r="P171" s="175">
        <f t="shared" ca="1" si="35"/>
        <v>4120.069555887043</v>
      </c>
      <c r="Q171" s="11">
        <f t="shared" ca="1" si="36"/>
        <v>2.9930000000000002E-2</v>
      </c>
      <c r="R171" s="12">
        <f t="shared" ca="1" si="37"/>
        <v>123.3136818076992</v>
      </c>
    </row>
    <row r="172" spans="1:18">
      <c r="A172" s="198">
        <f t="shared" ca="1" si="46"/>
        <v>154</v>
      </c>
      <c r="B172" s="197">
        <f t="shared" ca="1" si="47"/>
        <v>49409</v>
      </c>
      <c r="C172" s="196">
        <f t="shared" ca="1" si="38"/>
        <v>4157.9741958680261</v>
      </c>
      <c r="D172" s="21">
        <f t="shared" ca="1" si="41"/>
        <v>-1429.0760869930464</v>
      </c>
      <c r="E172" s="196">
        <f t="shared" ca="1" si="39"/>
        <v>-159492.33120387941</v>
      </c>
      <c r="F172" s="178">
        <f t="shared" ca="1" si="42"/>
        <v>-32.620214971682387</v>
      </c>
      <c r="G172" s="178">
        <f t="shared" ca="1" si="43"/>
        <v>26.319999999999997</v>
      </c>
      <c r="H172" s="177">
        <f t="shared" ca="1" si="44"/>
        <v>25</v>
      </c>
      <c r="I172" s="196"/>
      <c r="J172" s="9" t="str">
        <f t="shared" ca="1" si="32"/>
        <v/>
      </c>
      <c r="K172" s="9" t="str">
        <f t="shared" ca="1" si="33"/>
        <v/>
      </c>
      <c r="L172" s="9">
        <f t="shared" ca="1" si="34"/>
        <v>4</v>
      </c>
      <c r="N172" s="176">
        <f t="shared" ca="1" si="40"/>
        <v>31</v>
      </c>
      <c r="O172" s="176">
        <f t="shared" ca="1" si="45"/>
        <v>4681</v>
      </c>
      <c r="P172" s="175">
        <f t="shared" ca="1" si="35"/>
        <v>4157.9741958680261</v>
      </c>
      <c r="Q172" s="11">
        <f t="shared" ca="1" si="36"/>
        <v>2.9930000000000002E-2</v>
      </c>
      <c r="R172" s="12">
        <f t="shared" ca="1" si="37"/>
        <v>124.44816768233002</v>
      </c>
    </row>
    <row r="173" spans="1:18">
      <c r="A173" s="198">
        <f t="shared" ca="1" si="46"/>
        <v>155</v>
      </c>
      <c r="B173" s="197">
        <f t="shared" ca="1" si="47"/>
        <v>49439</v>
      </c>
      <c r="C173" s="196">
        <f t="shared" ca="1" si="38"/>
        <v>4196.22755853745</v>
      </c>
      <c r="D173" s="21">
        <f t="shared" ca="1" si="41"/>
        <v>-1467.3294496624699</v>
      </c>
      <c r="E173" s="196">
        <f t="shared" ca="1" si="39"/>
        <v>-163688.55876241685</v>
      </c>
      <c r="F173" s="178">
        <f t="shared" ca="1" si="42"/>
        <v>-33.493389552814676</v>
      </c>
      <c r="G173" s="178">
        <f t="shared" ca="1" si="43"/>
        <v>26.319999999999997</v>
      </c>
      <c r="H173" s="177">
        <f t="shared" ca="1" si="44"/>
        <v>25</v>
      </c>
      <c r="I173" s="196"/>
      <c r="J173" s="9" t="str">
        <f t="shared" ca="1" si="32"/>
        <v/>
      </c>
      <c r="K173" s="9" t="str">
        <f t="shared" ca="1" si="33"/>
        <v/>
      </c>
      <c r="L173" s="9">
        <f t="shared" ca="1" si="34"/>
        <v>5</v>
      </c>
      <c r="N173" s="176">
        <f t="shared" ca="1" si="40"/>
        <v>30</v>
      </c>
      <c r="O173" s="176">
        <f t="shared" ca="1" si="45"/>
        <v>4711</v>
      </c>
      <c r="P173" s="175">
        <f t="shared" ca="1" si="35"/>
        <v>4196.22755853745</v>
      </c>
      <c r="Q173" s="11">
        <f t="shared" ca="1" si="36"/>
        <v>2.9930000000000002E-2</v>
      </c>
      <c r="R173" s="12">
        <f t="shared" ca="1" si="37"/>
        <v>125.59309082702589</v>
      </c>
    </row>
    <row r="174" spans="1:18">
      <c r="A174" s="198">
        <f t="shared" ca="1" si="46"/>
        <v>156</v>
      </c>
      <c r="B174" s="197">
        <f t="shared" ca="1" si="47"/>
        <v>49470</v>
      </c>
      <c r="C174" s="196">
        <f t="shared" ca="1" si="38"/>
        <v>4234.8328521440526</v>
      </c>
      <c r="D174" s="21">
        <f t="shared" ca="1" si="41"/>
        <v>-1505.9347432690722</v>
      </c>
      <c r="E174" s="196">
        <f t="shared" ca="1" si="39"/>
        <v>-167923.39161456091</v>
      </c>
      <c r="F174" s="178">
        <f t="shared" ca="1" si="42"/>
        <v>-34.374597340107542</v>
      </c>
      <c r="G174" s="178">
        <f t="shared" ca="1" si="43"/>
        <v>26.319999999999997</v>
      </c>
      <c r="H174" s="177">
        <f t="shared" ca="1" si="44"/>
        <v>25</v>
      </c>
      <c r="I174" s="196"/>
      <c r="J174" s="9" t="str">
        <f t="shared" ca="1" si="32"/>
        <v/>
      </c>
      <c r="K174" s="9" t="str">
        <f t="shared" ca="1" si="33"/>
        <v/>
      </c>
      <c r="L174" s="9">
        <f t="shared" ca="1" si="34"/>
        <v>6</v>
      </c>
      <c r="N174" s="176">
        <f t="shared" ca="1" si="40"/>
        <v>31</v>
      </c>
      <c r="O174" s="176">
        <f t="shared" ca="1" si="45"/>
        <v>4742</v>
      </c>
      <c r="P174" s="175">
        <f t="shared" ca="1" si="35"/>
        <v>4234.8328521440526</v>
      </c>
      <c r="Q174" s="11">
        <f t="shared" ca="1" si="36"/>
        <v>2.9930000000000002E-2</v>
      </c>
      <c r="R174" s="12">
        <f t="shared" ca="1" si="37"/>
        <v>126.7485472646715</v>
      </c>
    </row>
    <row r="175" spans="1:18">
      <c r="A175" s="198">
        <f t="shared" ca="1" si="46"/>
        <v>157</v>
      </c>
      <c r="B175" s="197">
        <f t="shared" ca="1" si="47"/>
        <v>49500</v>
      </c>
      <c r="C175" s="196">
        <f t="shared" ca="1" si="38"/>
        <v>4273.7933144524613</v>
      </c>
      <c r="D175" s="21">
        <f t="shared" ca="1" si="41"/>
        <v>-1544.8952055774816</v>
      </c>
      <c r="E175" s="196">
        <f t="shared" ca="1" si="39"/>
        <v>-172197.18492901337</v>
      </c>
      <c r="F175" s="178">
        <f t="shared" ca="1" si="42"/>
        <v>-35.263912239057795</v>
      </c>
      <c r="G175" s="178">
        <f t="shared" ca="1" si="43"/>
        <v>26.319999999999997</v>
      </c>
      <c r="H175" s="177">
        <f t="shared" ca="1" si="44"/>
        <v>25</v>
      </c>
      <c r="I175" s="196"/>
      <c r="J175" s="9" t="str">
        <f t="shared" ca="1" si="32"/>
        <v/>
      </c>
      <c r="K175" s="9" t="str">
        <f t="shared" ca="1" si="33"/>
        <v/>
      </c>
      <c r="L175" s="9">
        <f t="shared" ca="1" si="34"/>
        <v>7</v>
      </c>
      <c r="N175" s="176">
        <f t="shared" ca="1" si="40"/>
        <v>30</v>
      </c>
      <c r="O175" s="176">
        <f t="shared" ca="1" si="45"/>
        <v>4772</v>
      </c>
      <c r="P175" s="175">
        <f t="shared" ca="1" si="35"/>
        <v>4273.7933144524613</v>
      </c>
      <c r="Q175" s="11">
        <f t="shared" ca="1" si="36"/>
        <v>2.9930000000000002E-2</v>
      </c>
      <c r="R175" s="12">
        <f t="shared" ca="1" si="37"/>
        <v>127.91463390156217</v>
      </c>
    </row>
    <row r="176" spans="1:18">
      <c r="A176" s="198">
        <f t="shared" ca="1" si="46"/>
        <v>158</v>
      </c>
      <c r="B176" s="197">
        <f t="shared" ca="1" si="47"/>
        <v>49531</v>
      </c>
      <c r="C176" s="196">
        <f t="shared" ca="1" si="38"/>
        <v>4313.1122130147405</v>
      </c>
      <c r="D176" s="21">
        <f t="shared" ca="1" si="41"/>
        <v>-1584.2141041397601</v>
      </c>
      <c r="E176" s="196">
        <f t="shared" ca="1" si="39"/>
        <v>-176510.29714202811</v>
      </c>
      <c r="F176" s="178">
        <f t="shared" ca="1" si="42"/>
        <v>-36.161408835092807</v>
      </c>
      <c r="G176" s="178">
        <f t="shared" ca="1" si="43"/>
        <v>26.319999999999997</v>
      </c>
      <c r="H176" s="177">
        <f t="shared" ca="1" si="44"/>
        <v>25</v>
      </c>
      <c r="I176" s="196"/>
      <c r="J176" s="9" t="str">
        <f t="shared" ca="1" si="32"/>
        <v/>
      </c>
      <c r="K176" s="9" t="str">
        <f t="shared" ca="1" si="33"/>
        <v/>
      </c>
      <c r="L176" s="9">
        <f t="shared" ca="1" si="34"/>
        <v>8</v>
      </c>
      <c r="N176" s="176">
        <f t="shared" ca="1" si="40"/>
        <v>31</v>
      </c>
      <c r="O176" s="176">
        <f t="shared" ca="1" si="45"/>
        <v>4803</v>
      </c>
      <c r="P176" s="175">
        <f t="shared" ca="1" si="35"/>
        <v>4313.1122130147405</v>
      </c>
      <c r="Q176" s="11">
        <f t="shared" ca="1" si="36"/>
        <v>2.9930000000000002E-2</v>
      </c>
      <c r="R176" s="12">
        <f t="shared" ca="1" si="37"/>
        <v>129.09144853553119</v>
      </c>
    </row>
    <row r="177" spans="1:18">
      <c r="A177" s="198">
        <f t="shared" ca="1" si="46"/>
        <v>159</v>
      </c>
      <c r="B177" s="197">
        <f t="shared" ca="1" si="47"/>
        <v>49562</v>
      </c>
      <c r="C177" s="196">
        <f t="shared" ca="1" si="38"/>
        <v>4352.79284544443</v>
      </c>
      <c r="D177" s="21">
        <f t="shared" ca="1" si="41"/>
        <v>-1623.8947365694494</v>
      </c>
      <c r="E177" s="196">
        <f t="shared" ca="1" si="39"/>
        <v>-180863.08998747254</v>
      </c>
      <c r="F177" s="178">
        <f t="shared" ca="1" si="42"/>
        <v>-37.067162399825904</v>
      </c>
      <c r="G177" s="178">
        <f t="shared" ca="1" si="43"/>
        <v>26.319999999999997</v>
      </c>
      <c r="H177" s="177">
        <f t="shared" ca="1" si="44"/>
        <v>25</v>
      </c>
      <c r="I177" s="196"/>
      <c r="J177" s="9" t="str">
        <f t="shared" ca="1" si="32"/>
        <v/>
      </c>
      <c r="K177" s="9" t="str">
        <f t="shared" ca="1" si="33"/>
        <v/>
      </c>
      <c r="L177" s="9">
        <f t="shared" ca="1" si="34"/>
        <v>9</v>
      </c>
      <c r="N177" s="176">
        <f t="shared" ca="1" si="40"/>
        <v>31</v>
      </c>
      <c r="O177" s="176">
        <f t="shared" ca="1" si="45"/>
        <v>4834</v>
      </c>
      <c r="P177" s="175">
        <f t="shared" ca="1" si="35"/>
        <v>4352.79284544443</v>
      </c>
      <c r="Q177" s="11">
        <f t="shared" ca="1" si="36"/>
        <v>2.9930000000000002E-2</v>
      </c>
      <c r="R177" s="12">
        <f t="shared" ca="1" si="37"/>
        <v>130.27908986415179</v>
      </c>
    </row>
    <row r="178" spans="1:18">
      <c r="A178" s="198">
        <f t="shared" ca="1" si="46"/>
        <v>160</v>
      </c>
      <c r="B178" s="197">
        <f t="shared" ca="1" si="47"/>
        <v>49592</v>
      </c>
      <c r="C178" s="196">
        <f t="shared" ca="1" si="38"/>
        <v>4392.8385396931153</v>
      </c>
      <c r="D178" s="21">
        <f t="shared" ca="1" si="41"/>
        <v>-1663.9404308181354</v>
      </c>
      <c r="E178" s="196">
        <f t="shared" ca="1" si="39"/>
        <v>-185255.92852716567</v>
      </c>
      <c r="F178" s="178">
        <f t="shared" ca="1" si="42"/>
        <v>-37.981248897369234</v>
      </c>
      <c r="G178" s="178">
        <f t="shared" ca="1" si="43"/>
        <v>26.319999999999997</v>
      </c>
      <c r="H178" s="177">
        <f t="shared" ca="1" si="44"/>
        <v>25</v>
      </c>
      <c r="I178" s="196"/>
      <c r="J178" s="9" t="str">
        <f t="shared" ca="1" si="32"/>
        <v/>
      </c>
      <c r="K178" s="9" t="str">
        <f t="shared" ca="1" si="33"/>
        <v/>
      </c>
      <c r="L178" s="9">
        <f t="shared" ca="1" si="34"/>
        <v>10</v>
      </c>
      <c r="N178" s="176">
        <f t="shared" ca="1" si="40"/>
        <v>30</v>
      </c>
      <c r="O178" s="176">
        <f t="shared" ca="1" si="45"/>
        <v>4864</v>
      </c>
      <c r="P178" s="175">
        <f t="shared" ca="1" si="35"/>
        <v>4392.8385396931153</v>
      </c>
      <c r="Q178" s="11">
        <f t="shared" ca="1" si="36"/>
        <v>2.9930000000000002E-2</v>
      </c>
      <c r="R178" s="12">
        <f t="shared" ca="1" si="37"/>
        <v>131.47765749301496</v>
      </c>
    </row>
    <row r="179" spans="1:18">
      <c r="A179" s="198">
        <f t="shared" ca="1" si="46"/>
        <v>161</v>
      </c>
      <c r="B179" s="197">
        <f t="shared" ca="1" si="47"/>
        <v>49623</v>
      </c>
      <c r="C179" s="196">
        <f t="shared" ca="1" si="38"/>
        <v>4433.2526543295389</v>
      </c>
      <c r="D179" s="21">
        <f t="shared" ca="1" si="41"/>
        <v>-1704.3545454545588</v>
      </c>
      <c r="E179" s="196">
        <f t="shared" ca="1" si="39"/>
        <v>-189689.18118149519</v>
      </c>
      <c r="F179" s="178">
        <f t="shared" ca="1" si="42"/>
        <v>-38.903744990704794</v>
      </c>
      <c r="G179" s="178">
        <f t="shared" ca="1" si="43"/>
        <v>26.319999999999997</v>
      </c>
      <c r="H179" s="177">
        <f t="shared" ca="1" si="44"/>
        <v>25</v>
      </c>
      <c r="I179" s="196"/>
      <c r="J179" s="9" t="str">
        <f t="shared" ca="1" si="32"/>
        <v/>
      </c>
      <c r="K179" s="9" t="str">
        <f t="shared" ca="1" si="33"/>
        <v/>
      </c>
      <c r="L179" s="9">
        <f t="shared" ca="1" si="34"/>
        <v>11</v>
      </c>
      <c r="N179" s="176">
        <f t="shared" ca="1" si="40"/>
        <v>31</v>
      </c>
      <c r="O179" s="176">
        <f t="shared" ca="1" si="45"/>
        <v>4895</v>
      </c>
      <c r="P179" s="175">
        <f t="shared" ca="1" si="35"/>
        <v>4433.2526543295389</v>
      </c>
      <c r="Q179" s="11">
        <f t="shared" ca="1" si="36"/>
        <v>2.9930000000000002E-2</v>
      </c>
      <c r="R179" s="12">
        <f t="shared" ca="1" si="37"/>
        <v>132.6872519440831</v>
      </c>
    </row>
    <row r="180" spans="1:18">
      <c r="A180" s="198">
        <f t="shared" ca="1" si="46"/>
        <v>162</v>
      </c>
      <c r="B180" s="197">
        <f t="shared" ca="1" si="47"/>
        <v>49653</v>
      </c>
      <c r="C180" s="196">
        <f t="shared" ca="1" si="38"/>
        <v>4474.0385788212734</v>
      </c>
      <c r="D180" s="21">
        <f t="shared" ca="1" si="41"/>
        <v>-1745.1404699462928</v>
      </c>
      <c r="E180" s="196">
        <f t="shared" ca="1" si="39"/>
        <v>-194163.21976031648</v>
      </c>
      <c r="F180" s="178">
        <f t="shared" ca="1" si="42"/>
        <v>-39.834728048113995</v>
      </c>
      <c r="G180" s="178">
        <f t="shared" ca="1" si="43"/>
        <v>26.319999999999997</v>
      </c>
      <c r="H180" s="177">
        <f t="shared" ca="1" si="44"/>
        <v>25</v>
      </c>
      <c r="I180" s="196"/>
      <c r="J180" s="9" t="str">
        <f t="shared" ca="1" si="32"/>
        <v/>
      </c>
      <c r="K180" s="9" t="str">
        <f t="shared" ca="1" si="33"/>
        <v/>
      </c>
      <c r="L180" s="9">
        <f t="shared" ca="1" si="34"/>
        <v>12</v>
      </c>
      <c r="N180" s="176">
        <f t="shared" ca="1" si="40"/>
        <v>30</v>
      </c>
      <c r="O180" s="176">
        <f t="shared" ca="1" si="45"/>
        <v>4925</v>
      </c>
      <c r="P180" s="175">
        <f t="shared" ca="1" si="35"/>
        <v>4474.0385788212734</v>
      </c>
      <c r="Q180" s="11">
        <f t="shared" ca="1" si="36"/>
        <v>2.9930000000000002E-2</v>
      </c>
      <c r="R180" s="12">
        <f t="shared" ca="1" si="37"/>
        <v>133.90797466412073</v>
      </c>
    </row>
    <row r="181" spans="1:18">
      <c r="A181" s="198">
        <f t="shared" ca="1" si="46"/>
        <v>163</v>
      </c>
      <c r="B181" s="197">
        <f t="shared" ca="1" si="47"/>
        <v>49684</v>
      </c>
      <c r="C181" s="196">
        <f t="shared" ca="1" si="38"/>
        <v>4515.1997338189922</v>
      </c>
      <c r="D181" s="21">
        <f t="shared" ca="1" si="41"/>
        <v>-1786.3016249440122</v>
      </c>
      <c r="E181" s="196">
        <f t="shared" ca="1" si="39"/>
        <v>-198678.41949413548</v>
      </c>
      <c r="F181" s="178">
        <f t="shared" ca="1" si="42"/>
        <v>-40.774276149666463</v>
      </c>
      <c r="G181" s="178">
        <f t="shared" ca="1" si="43"/>
        <v>26.319999999999997</v>
      </c>
      <c r="H181" s="177">
        <f t="shared" ca="1" si="44"/>
        <v>25</v>
      </c>
      <c r="I181" s="196"/>
      <c r="J181" s="9" t="str">
        <f t="shared" ca="1" si="32"/>
        <v/>
      </c>
      <c r="K181" s="9" t="str">
        <f t="shared" ca="1" si="33"/>
        <v/>
      </c>
      <c r="L181" s="9">
        <f t="shared" ca="1" si="34"/>
        <v>1</v>
      </c>
      <c r="N181" s="176">
        <f t="shared" ca="1" si="40"/>
        <v>31</v>
      </c>
      <c r="O181" s="176">
        <f t="shared" ca="1" si="45"/>
        <v>4956</v>
      </c>
      <c r="P181" s="175">
        <f t="shared" ca="1" si="35"/>
        <v>4515.1997338189922</v>
      </c>
      <c r="Q181" s="11">
        <f t="shared" ca="1" si="36"/>
        <v>2.9930000000000002E-2</v>
      </c>
      <c r="R181" s="12">
        <f t="shared" ca="1" si="37"/>
        <v>135.13992803320244</v>
      </c>
    </row>
    <row r="182" spans="1:18">
      <c r="A182" s="198">
        <f t="shared" ca="1" si="46"/>
        <v>164</v>
      </c>
      <c r="B182" s="197">
        <f t="shared" ca="1" si="47"/>
        <v>49715</v>
      </c>
      <c r="C182" s="196">
        <f t="shared" ca="1" si="38"/>
        <v>4556.7395714433587</v>
      </c>
      <c r="D182" s="21">
        <f t="shared" ca="1" si="41"/>
        <v>-1827.8414625683783</v>
      </c>
      <c r="E182" s="196">
        <f t="shared" ca="1" si="39"/>
        <v>-203235.15906557883</v>
      </c>
      <c r="F182" s="178">
        <f t="shared" ca="1" si="42"/>
        <v>-41.722468093768455</v>
      </c>
      <c r="G182" s="178">
        <f t="shared" ca="1" si="43"/>
        <v>26.319999999999997</v>
      </c>
      <c r="H182" s="177">
        <f t="shared" ca="1" si="44"/>
        <v>25</v>
      </c>
      <c r="I182" s="196"/>
      <c r="J182" s="9" t="str">
        <f t="shared" ca="1" si="32"/>
        <v/>
      </c>
      <c r="K182" s="9" t="str">
        <f t="shared" ca="1" si="33"/>
        <v/>
      </c>
      <c r="L182" s="9">
        <f t="shared" ca="1" si="34"/>
        <v>2</v>
      </c>
      <c r="N182" s="176">
        <f t="shared" ca="1" si="40"/>
        <v>31</v>
      </c>
      <c r="O182" s="176">
        <f t="shared" ca="1" si="45"/>
        <v>4987</v>
      </c>
      <c r="P182" s="175">
        <f t="shared" ca="1" si="35"/>
        <v>4556.7395714433587</v>
      </c>
      <c r="Q182" s="11">
        <f t="shared" ca="1" si="36"/>
        <v>2.9930000000000002E-2</v>
      </c>
      <c r="R182" s="12">
        <f t="shared" ca="1" si="37"/>
        <v>136.38321537329975</v>
      </c>
    </row>
    <row r="183" spans="1:18">
      <c r="A183" s="198">
        <f t="shared" ca="1" si="46"/>
        <v>165</v>
      </c>
      <c r="B183" s="197">
        <f t="shared" ca="1" si="47"/>
        <v>49744</v>
      </c>
      <c r="C183" s="196">
        <f t="shared" ca="1" si="38"/>
        <v>4598.6615755745424</v>
      </c>
      <c r="D183" s="21">
        <f t="shared" ca="1" si="41"/>
        <v>-1869.7634666995621</v>
      </c>
      <c r="E183" s="196">
        <f t="shared" ca="1" si="39"/>
        <v>-207833.82064115338</v>
      </c>
      <c r="F183" s="178">
        <f t="shared" ca="1" si="42"/>
        <v>-42.67938340377156</v>
      </c>
      <c r="G183" s="178">
        <f t="shared" ca="1" si="43"/>
        <v>26.319999999999997</v>
      </c>
      <c r="H183" s="177">
        <f t="shared" ca="1" si="44"/>
        <v>25</v>
      </c>
      <c r="I183" s="196"/>
      <c r="J183" s="9" t="str">
        <f t="shared" ca="1" si="32"/>
        <v/>
      </c>
      <c r="K183" s="9" t="str">
        <f t="shared" ca="1" si="33"/>
        <v/>
      </c>
      <c r="L183" s="9">
        <f t="shared" ca="1" si="34"/>
        <v>3</v>
      </c>
      <c r="N183" s="176">
        <f t="shared" ca="1" si="40"/>
        <v>29</v>
      </c>
      <c r="O183" s="176">
        <f t="shared" ca="1" si="45"/>
        <v>5016</v>
      </c>
      <c r="P183" s="175">
        <f t="shared" ca="1" si="35"/>
        <v>4598.6615755745424</v>
      </c>
      <c r="Q183" s="11">
        <f t="shared" ca="1" si="36"/>
        <v>2.9930000000000002E-2</v>
      </c>
      <c r="R183" s="12">
        <f t="shared" ca="1" si="37"/>
        <v>137.63794095694607</v>
      </c>
    </row>
    <row r="184" spans="1:18">
      <c r="A184" s="198">
        <f t="shared" ca="1" si="46"/>
        <v>166</v>
      </c>
      <c r="B184" s="197">
        <f t="shared" ca="1" si="47"/>
        <v>49775</v>
      </c>
      <c r="C184" s="196">
        <f t="shared" ca="1" si="38"/>
        <v>4640.9692621444128</v>
      </c>
      <c r="D184" s="21">
        <f t="shared" ca="1" si="41"/>
        <v>-1912.0711532694329</v>
      </c>
      <c r="E184" s="196">
        <f t="shared" ca="1" si="39"/>
        <v>-212474.78990329779</v>
      </c>
      <c r="F184" s="178">
        <f t="shared" ca="1" si="42"/>
        <v>-43.64510233464221</v>
      </c>
      <c r="G184" s="178">
        <f t="shared" ca="1" si="43"/>
        <v>26.319999999999997</v>
      </c>
      <c r="H184" s="177">
        <f t="shared" ca="1" si="44"/>
        <v>25</v>
      </c>
      <c r="I184" s="196"/>
      <c r="J184" s="9" t="str">
        <f t="shared" ca="1" si="32"/>
        <v/>
      </c>
      <c r="K184" s="9" t="str">
        <f t="shared" ca="1" si="33"/>
        <v/>
      </c>
      <c r="L184" s="9">
        <f t="shared" ca="1" si="34"/>
        <v>4</v>
      </c>
      <c r="N184" s="176">
        <f t="shared" ca="1" si="40"/>
        <v>31</v>
      </c>
      <c r="O184" s="176">
        <f t="shared" ca="1" si="45"/>
        <v>5047</v>
      </c>
      <c r="P184" s="175">
        <f t="shared" ca="1" si="35"/>
        <v>4640.9692621444128</v>
      </c>
      <c r="Q184" s="11">
        <f t="shared" ca="1" si="36"/>
        <v>2.9930000000000002E-2</v>
      </c>
      <c r="R184" s="12">
        <f t="shared" ca="1" si="37"/>
        <v>138.90421001598227</v>
      </c>
    </row>
    <row r="185" spans="1:18">
      <c r="A185" s="198">
        <f t="shared" ca="1" si="46"/>
        <v>167</v>
      </c>
      <c r="B185" s="197">
        <f t="shared" ca="1" si="47"/>
        <v>49805</v>
      </c>
      <c r="C185" s="196">
        <f t="shared" ca="1" si="38"/>
        <v>4683.6661794314132</v>
      </c>
      <c r="D185" s="21">
        <f t="shared" ca="1" si="41"/>
        <v>-1954.7680705564326</v>
      </c>
      <c r="E185" s="196">
        <f t="shared" ca="1" si="39"/>
        <v>-217158.45608272922</v>
      </c>
      <c r="F185" s="178">
        <f t="shared" ca="1" si="42"/>
        <v>-44.619705879692539</v>
      </c>
      <c r="G185" s="178">
        <f t="shared" ca="1" si="43"/>
        <v>26.319999999999997</v>
      </c>
      <c r="H185" s="177">
        <f t="shared" ca="1" si="44"/>
        <v>25</v>
      </c>
      <c r="I185" s="196"/>
      <c r="J185" s="9" t="str">
        <f t="shared" ca="1" si="32"/>
        <v/>
      </c>
      <c r="K185" s="9" t="str">
        <f t="shared" ca="1" si="33"/>
        <v/>
      </c>
      <c r="L185" s="9">
        <f t="shared" ca="1" si="34"/>
        <v>5</v>
      </c>
      <c r="N185" s="176">
        <f t="shared" ca="1" si="40"/>
        <v>30</v>
      </c>
      <c r="O185" s="176">
        <f t="shared" ca="1" si="45"/>
        <v>5077</v>
      </c>
      <c r="P185" s="175">
        <f t="shared" ca="1" si="35"/>
        <v>4683.6661794314132</v>
      </c>
      <c r="Q185" s="11">
        <f t="shared" ca="1" si="36"/>
        <v>2.9930000000000002E-2</v>
      </c>
      <c r="R185" s="12">
        <f t="shared" ca="1" si="37"/>
        <v>140.18212875038219</v>
      </c>
    </row>
    <row r="186" spans="1:18">
      <c r="A186" s="198">
        <f t="shared" ca="1" si="46"/>
        <v>168</v>
      </c>
      <c r="B186" s="197">
        <f t="shared" ca="1" si="47"/>
        <v>49836</v>
      </c>
      <c r="C186" s="196">
        <f t="shared" ca="1" si="38"/>
        <v>4726.7559083581455</v>
      </c>
      <c r="D186" s="21">
        <f t="shared" ca="1" si="41"/>
        <v>-1997.8577994831653</v>
      </c>
      <c r="E186" s="196">
        <f t="shared" ca="1" si="39"/>
        <v>-221885.21199108736</v>
      </c>
      <c r="F186" s="178">
        <f t="shared" ca="1" si="42"/>
        <v>-45.603275777373135</v>
      </c>
      <c r="G186" s="178">
        <f t="shared" ca="1" si="43"/>
        <v>26.319999999999997</v>
      </c>
      <c r="H186" s="177">
        <f t="shared" ca="1" si="44"/>
        <v>25</v>
      </c>
      <c r="I186" s="196"/>
      <c r="J186" s="9" t="str">
        <f t="shared" ca="1" si="32"/>
        <v/>
      </c>
      <c r="K186" s="9" t="str">
        <f t="shared" ca="1" si="33"/>
        <v/>
      </c>
      <c r="L186" s="9">
        <f t="shared" ca="1" si="34"/>
        <v>6</v>
      </c>
      <c r="N186" s="176">
        <f t="shared" ca="1" si="40"/>
        <v>31</v>
      </c>
      <c r="O186" s="176">
        <f t="shared" ca="1" si="45"/>
        <v>5108</v>
      </c>
      <c r="P186" s="175">
        <f t="shared" ca="1" si="35"/>
        <v>4726.7559083581455</v>
      </c>
      <c r="Q186" s="11">
        <f t="shared" ca="1" si="36"/>
        <v>2.9930000000000002E-2</v>
      </c>
      <c r="R186" s="12">
        <f t="shared" ca="1" si="37"/>
        <v>141.47180433715931</v>
      </c>
    </row>
    <row r="187" spans="1:18">
      <c r="A187" s="198">
        <f t="shared" ca="1" si="46"/>
        <v>169</v>
      </c>
      <c r="B187" s="197">
        <f t="shared" ca="1" si="47"/>
        <v>49866</v>
      </c>
      <c r="C187" s="196">
        <f t="shared" ca="1" si="38"/>
        <v>4770.2420627917027</v>
      </c>
      <c r="D187" s="21">
        <f t="shared" ca="1" si="41"/>
        <v>-2041.3439539167225</v>
      </c>
      <c r="E187" s="196">
        <f t="shared" ca="1" si="39"/>
        <v>-226655.45405387908</v>
      </c>
      <c r="F187" s="178">
        <f t="shared" ca="1" si="42"/>
        <v>-46.595894518128347</v>
      </c>
      <c r="G187" s="178">
        <f t="shared" ca="1" si="43"/>
        <v>26.319999999999997</v>
      </c>
      <c r="H187" s="177">
        <f t="shared" ca="1" si="44"/>
        <v>25</v>
      </c>
      <c r="I187" s="196"/>
      <c r="J187" s="9" t="str">
        <f t="shared" ca="1" si="32"/>
        <v/>
      </c>
      <c r="K187" s="9" t="str">
        <f t="shared" ca="1" si="33"/>
        <v/>
      </c>
      <c r="L187" s="9">
        <f t="shared" ca="1" si="34"/>
        <v>7</v>
      </c>
      <c r="N187" s="176">
        <f t="shared" ca="1" si="40"/>
        <v>30</v>
      </c>
      <c r="O187" s="176">
        <f t="shared" ca="1" si="45"/>
        <v>5138</v>
      </c>
      <c r="P187" s="175">
        <f t="shared" ca="1" si="35"/>
        <v>4770.2420627917027</v>
      </c>
      <c r="Q187" s="11">
        <f t="shared" ca="1" si="36"/>
        <v>2.9930000000000002E-2</v>
      </c>
      <c r="R187" s="12">
        <f t="shared" ca="1" si="37"/>
        <v>142.77334493935567</v>
      </c>
    </row>
    <row r="188" spans="1:18">
      <c r="A188" s="198">
        <f t="shared" ca="1" si="46"/>
        <v>170</v>
      </c>
      <c r="B188" s="197">
        <f t="shared" ca="1" si="47"/>
        <v>49897</v>
      </c>
      <c r="C188" s="196">
        <f t="shared" ca="1" si="38"/>
        <v>4814.1282898467543</v>
      </c>
      <c r="D188" s="21">
        <f t="shared" ca="1" si="41"/>
        <v>-2085.2301809717742</v>
      </c>
      <c r="E188" s="196">
        <f t="shared" ca="1" si="39"/>
        <v>-231469.58234372584</v>
      </c>
      <c r="F188" s="178">
        <f t="shared" ca="1" si="42"/>
        <v>-47.597645351314611</v>
      </c>
      <c r="G188" s="178">
        <f t="shared" ca="1" si="43"/>
        <v>26.319999999999997</v>
      </c>
      <c r="H188" s="177">
        <f t="shared" ca="1" si="44"/>
        <v>25</v>
      </c>
      <c r="I188" s="196"/>
      <c r="J188" s="9" t="str">
        <f t="shared" ca="1" si="32"/>
        <v/>
      </c>
      <c r="K188" s="9" t="str">
        <f t="shared" ca="1" si="33"/>
        <v/>
      </c>
      <c r="L188" s="9">
        <f t="shared" ca="1" si="34"/>
        <v>8</v>
      </c>
      <c r="N188" s="176">
        <f t="shared" ca="1" si="40"/>
        <v>31</v>
      </c>
      <c r="O188" s="176">
        <f t="shared" ca="1" si="45"/>
        <v>5169</v>
      </c>
      <c r="P188" s="175">
        <f t="shared" ca="1" si="35"/>
        <v>4814.1282898467543</v>
      </c>
      <c r="Q188" s="11">
        <f t="shared" ca="1" si="36"/>
        <v>2.9930000000000002E-2</v>
      </c>
      <c r="R188" s="12">
        <f t="shared" ca="1" si="37"/>
        <v>144.08685971511338</v>
      </c>
    </row>
    <row r="189" spans="1:18">
      <c r="A189" s="198">
        <f t="shared" ca="1" si="46"/>
        <v>171</v>
      </c>
      <c r="B189" s="197">
        <f t="shared" ca="1" si="47"/>
        <v>49928</v>
      </c>
      <c r="C189" s="196">
        <f t="shared" ca="1" si="38"/>
        <v>4858.4182701914242</v>
      </c>
      <c r="D189" s="21">
        <f t="shared" ca="1" si="41"/>
        <v>-2129.520161316444</v>
      </c>
      <c r="E189" s="196">
        <f t="shared" ca="1" si="39"/>
        <v>-236328.00061391725</v>
      </c>
      <c r="F189" s="178">
        <f t="shared" ca="1" si="42"/>
        <v>-48.608612292182428</v>
      </c>
      <c r="G189" s="178">
        <f t="shared" ca="1" si="43"/>
        <v>26.319999999999997</v>
      </c>
      <c r="H189" s="177">
        <f t="shared" ca="1" si="44"/>
        <v>25</v>
      </c>
      <c r="I189" s="196"/>
      <c r="J189" s="9" t="str">
        <f t="shared" ca="1" si="32"/>
        <v/>
      </c>
      <c r="K189" s="9" t="str">
        <f t="shared" ca="1" si="33"/>
        <v/>
      </c>
      <c r="L189" s="9">
        <f t="shared" ca="1" si="34"/>
        <v>9</v>
      </c>
      <c r="N189" s="176">
        <f t="shared" ca="1" si="40"/>
        <v>31</v>
      </c>
      <c r="O189" s="176">
        <f t="shared" ca="1" si="45"/>
        <v>5200</v>
      </c>
      <c r="P189" s="175">
        <f t="shared" ca="1" si="35"/>
        <v>4858.4182701914242</v>
      </c>
      <c r="Q189" s="11">
        <f t="shared" ca="1" si="36"/>
        <v>2.9930000000000002E-2</v>
      </c>
      <c r="R189" s="12">
        <f t="shared" ca="1" si="37"/>
        <v>145.41245882682932</v>
      </c>
    </row>
    <row r="190" spans="1:18">
      <c r="A190" s="198">
        <f t="shared" ca="1" si="46"/>
        <v>172</v>
      </c>
      <c r="B190" s="197">
        <f t="shared" ca="1" si="47"/>
        <v>49958</v>
      </c>
      <c r="C190" s="196">
        <f t="shared" ca="1" si="38"/>
        <v>4903.1157183559826</v>
      </c>
      <c r="D190" s="21">
        <f t="shared" ca="1" si="41"/>
        <v>-2174.2176094810029</v>
      </c>
      <c r="E190" s="196">
        <f t="shared" ca="1" si="39"/>
        <v>-241231.11633227323</v>
      </c>
      <c r="F190" s="178">
        <f t="shared" ca="1" si="42"/>
        <v>-49.628880128922624</v>
      </c>
      <c r="G190" s="178">
        <f t="shared" ca="1" si="43"/>
        <v>26.319999999999997</v>
      </c>
      <c r="H190" s="177">
        <f t="shared" ca="1" si="44"/>
        <v>25</v>
      </c>
      <c r="I190" s="196"/>
      <c r="J190" s="9" t="str">
        <f t="shared" ca="1" si="32"/>
        <v/>
      </c>
      <c r="K190" s="9" t="str">
        <f t="shared" ca="1" si="33"/>
        <v/>
      </c>
      <c r="L190" s="9">
        <f t="shared" ca="1" si="34"/>
        <v>10</v>
      </c>
      <c r="N190" s="176">
        <f t="shared" ca="1" si="40"/>
        <v>30</v>
      </c>
      <c r="O190" s="176">
        <f t="shared" ca="1" si="45"/>
        <v>5230</v>
      </c>
      <c r="P190" s="175">
        <f t="shared" ca="1" si="35"/>
        <v>4903.1157183559826</v>
      </c>
      <c r="Q190" s="11">
        <f t="shared" ca="1" si="36"/>
        <v>2.9930000000000002E-2</v>
      </c>
      <c r="R190" s="12">
        <f t="shared" ca="1" si="37"/>
        <v>146.75025345039458</v>
      </c>
    </row>
    <row r="191" spans="1:18">
      <c r="A191" s="198">
        <f t="shared" ca="1" si="46"/>
        <v>173</v>
      </c>
      <c r="B191" s="197">
        <f t="shared" ca="1" si="47"/>
        <v>49989</v>
      </c>
      <c r="C191" s="196">
        <f t="shared" ca="1" si="38"/>
        <v>4948.2243830443804</v>
      </c>
      <c r="D191" s="21">
        <f t="shared" ca="1" si="41"/>
        <v>-2219.3262741694007</v>
      </c>
      <c r="E191" s="196">
        <f t="shared" ca="1" si="39"/>
        <v>-246179.34071531761</v>
      </c>
      <c r="F191" s="178">
        <f t="shared" ca="1" si="42"/>
        <v>-50.658534429777383</v>
      </c>
      <c r="G191" s="178">
        <f t="shared" ca="1" si="43"/>
        <v>26.319999999999997</v>
      </c>
      <c r="H191" s="177">
        <f t="shared" ca="1" si="44"/>
        <v>25</v>
      </c>
      <c r="I191" s="196"/>
      <c r="J191" s="9" t="str">
        <f t="shared" ca="1" si="32"/>
        <v/>
      </c>
      <c r="K191" s="9" t="str">
        <f t="shared" ca="1" si="33"/>
        <v/>
      </c>
      <c r="L191" s="9">
        <f t="shared" ca="1" si="34"/>
        <v>11</v>
      </c>
      <c r="N191" s="176">
        <f t="shared" ca="1" si="40"/>
        <v>31</v>
      </c>
      <c r="O191" s="176">
        <f t="shared" ca="1" si="45"/>
        <v>5261</v>
      </c>
      <c r="P191" s="175">
        <f t="shared" ca="1" si="35"/>
        <v>4948.2243830443804</v>
      </c>
      <c r="Q191" s="11">
        <f t="shared" ca="1" si="36"/>
        <v>2.9930000000000002E-2</v>
      </c>
      <c r="R191" s="12">
        <f t="shared" ca="1" si="37"/>
        <v>148.10035578451831</v>
      </c>
    </row>
    <row r="192" spans="1:18">
      <c r="A192" s="198">
        <f t="shared" ca="1" si="46"/>
        <v>174</v>
      </c>
      <c r="B192" s="197">
        <f t="shared" ca="1" si="47"/>
        <v>50019</v>
      </c>
      <c r="C192" s="196">
        <f t="shared" ca="1" si="38"/>
        <v>4993.7480474486438</v>
      </c>
      <c r="D192" s="21">
        <f t="shared" ca="1" si="41"/>
        <v>-2264.8499385736632</v>
      </c>
      <c r="E192" s="196">
        <f t="shared" ca="1" si="39"/>
        <v>-251173.08876276625</v>
      </c>
      <c r="F192" s="178">
        <f t="shared" ca="1" si="42"/>
        <v>-51.697661550216701</v>
      </c>
      <c r="G192" s="178">
        <f t="shared" ca="1" si="43"/>
        <v>26.319999999999997</v>
      </c>
      <c r="H192" s="177">
        <f t="shared" ca="1" si="44"/>
        <v>25</v>
      </c>
      <c r="I192" s="196"/>
      <c r="J192" s="9" t="str">
        <f t="shared" ca="1" si="32"/>
        <v/>
      </c>
      <c r="K192" s="9" t="str">
        <f t="shared" ca="1" si="33"/>
        <v/>
      </c>
      <c r="L192" s="9">
        <f t="shared" ca="1" si="34"/>
        <v>12</v>
      </c>
      <c r="N192" s="176">
        <f t="shared" ca="1" si="40"/>
        <v>30</v>
      </c>
      <c r="O192" s="176">
        <f t="shared" ca="1" si="45"/>
        <v>5291</v>
      </c>
      <c r="P192" s="175">
        <f t="shared" ca="1" si="35"/>
        <v>4993.7480474486438</v>
      </c>
      <c r="Q192" s="11">
        <f t="shared" ca="1" si="36"/>
        <v>2.9930000000000002E-2</v>
      </c>
      <c r="R192" s="12">
        <f t="shared" ca="1" si="37"/>
        <v>149.46287906013791</v>
      </c>
    </row>
    <row r="193" spans="1:18">
      <c r="A193" s="198">
        <f t="shared" ca="1" si="46"/>
        <v>175</v>
      </c>
      <c r="B193" s="197">
        <f t="shared" ca="1" si="47"/>
        <v>50050</v>
      </c>
      <c r="C193" s="196">
        <f t="shared" ca="1" si="38"/>
        <v>5039.6905295661636</v>
      </c>
      <c r="D193" s="21">
        <f t="shared" ca="1" si="41"/>
        <v>-2310.7924206911835</v>
      </c>
      <c r="E193" s="196">
        <f t="shared" ca="1" si="39"/>
        <v>-256212.77929233242</v>
      </c>
      <c r="F193" s="178">
        <f t="shared" ca="1" si="42"/>
        <v>-52.746348640180912</v>
      </c>
      <c r="G193" s="178">
        <f t="shared" ca="1" si="43"/>
        <v>26.319999999999997</v>
      </c>
      <c r="H193" s="177">
        <f t="shared" ca="1" si="44"/>
        <v>25</v>
      </c>
      <c r="I193" s="196"/>
      <c r="J193" s="9" t="str">
        <f t="shared" ca="1" si="32"/>
        <v/>
      </c>
      <c r="K193" s="9" t="str">
        <f t="shared" ca="1" si="33"/>
        <v/>
      </c>
      <c r="L193" s="9">
        <f t="shared" ca="1" si="34"/>
        <v>1</v>
      </c>
      <c r="N193" s="176">
        <f t="shared" ca="1" si="40"/>
        <v>31</v>
      </c>
      <c r="O193" s="176">
        <f t="shared" ca="1" si="45"/>
        <v>5322</v>
      </c>
      <c r="P193" s="175">
        <f t="shared" ca="1" si="35"/>
        <v>5039.6905295661636</v>
      </c>
      <c r="Q193" s="11">
        <f t="shared" ca="1" si="36"/>
        <v>2.9930000000000002E-2</v>
      </c>
      <c r="R193" s="12">
        <f t="shared" ca="1" si="37"/>
        <v>150.8379375499153</v>
      </c>
    </row>
    <row r="194" spans="1:18">
      <c r="A194" s="198">
        <f t="shared" ca="1" si="46"/>
        <v>176</v>
      </c>
      <c r="B194" s="197">
        <f t="shared" ca="1" si="47"/>
        <v>50081</v>
      </c>
      <c r="C194" s="196">
        <f t="shared" ca="1" si="38"/>
        <v>5086.055682519911</v>
      </c>
      <c r="D194" s="21">
        <f t="shared" ca="1" si="41"/>
        <v>-2357.1575736449304</v>
      </c>
      <c r="E194" s="196">
        <f t="shared" ca="1" si="39"/>
        <v>-261298.83497485233</v>
      </c>
      <c r="F194" s="178">
        <f t="shared" ca="1" si="42"/>
        <v>-53.804683651389809</v>
      </c>
      <c r="G194" s="178">
        <f t="shared" ca="1" si="43"/>
        <v>26.319999999999997</v>
      </c>
      <c r="H194" s="177">
        <f t="shared" ca="1" si="44"/>
        <v>25</v>
      </c>
      <c r="I194" s="196"/>
      <c r="J194" s="9" t="str">
        <f t="shared" ca="1" si="32"/>
        <v/>
      </c>
      <c r="K194" s="9" t="str">
        <f t="shared" ca="1" si="33"/>
        <v/>
      </c>
      <c r="L194" s="9">
        <f t="shared" ca="1" si="34"/>
        <v>2</v>
      </c>
      <c r="N194" s="176">
        <f t="shared" ca="1" si="40"/>
        <v>31</v>
      </c>
      <c r="O194" s="176">
        <f t="shared" ca="1" si="45"/>
        <v>5353</v>
      </c>
      <c r="P194" s="175">
        <f t="shared" ca="1" si="35"/>
        <v>5086.055682519911</v>
      </c>
      <c r="Q194" s="11">
        <f t="shared" ca="1" si="36"/>
        <v>2.9930000000000002E-2</v>
      </c>
      <c r="R194" s="12">
        <f t="shared" ca="1" si="37"/>
        <v>152.22564657782095</v>
      </c>
    </row>
    <row r="195" spans="1:18">
      <c r="A195" s="198">
        <f t="shared" ca="1" si="46"/>
        <v>177</v>
      </c>
      <c r="B195" s="197">
        <f t="shared" ca="1" si="47"/>
        <v>50109</v>
      </c>
      <c r="C195" s="196">
        <f t="shared" ca="1" si="38"/>
        <v>5132.8473948815836</v>
      </c>
      <c r="D195" s="21">
        <f t="shared" ca="1" si="41"/>
        <v>-2403.9492860066034</v>
      </c>
      <c r="E195" s="196">
        <f t="shared" ca="1" si="39"/>
        <v>-266431.68236973393</v>
      </c>
      <c r="F195" s="178">
        <f t="shared" ca="1" si="42"/>
        <v>-54.872755344718989</v>
      </c>
      <c r="G195" s="178">
        <f t="shared" ca="1" si="43"/>
        <v>26.319999999999997</v>
      </c>
      <c r="H195" s="177">
        <f t="shared" ca="1" si="44"/>
        <v>25</v>
      </c>
      <c r="I195" s="196"/>
      <c r="J195" s="9" t="str">
        <f t="shared" ca="1" si="32"/>
        <v/>
      </c>
      <c r="K195" s="9" t="str">
        <f t="shared" ca="1" si="33"/>
        <v/>
      </c>
      <c r="L195" s="9">
        <f t="shared" ca="1" si="34"/>
        <v>3</v>
      </c>
      <c r="N195" s="176">
        <f t="shared" ca="1" si="40"/>
        <v>28</v>
      </c>
      <c r="O195" s="176">
        <f t="shared" ca="1" si="45"/>
        <v>5381</v>
      </c>
      <c r="P195" s="175">
        <f t="shared" ca="1" si="35"/>
        <v>5132.8473948815836</v>
      </c>
      <c r="Q195" s="11">
        <f t="shared" ca="1" si="36"/>
        <v>2.9930000000000002E-2</v>
      </c>
      <c r="R195" s="12">
        <f t="shared" ca="1" si="37"/>
        <v>153.62612252880581</v>
      </c>
    </row>
    <row r="196" spans="1:18">
      <c r="A196" s="198">
        <f t="shared" ca="1" si="46"/>
        <v>178</v>
      </c>
      <c r="B196" s="197">
        <f t="shared" ca="1" si="47"/>
        <v>50140</v>
      </c>
      <c r="C196" s="196">
        <f t="shared" ca="1" si="38"/>
        <v>5180.069590997743</v>
      </c>
      <c r="D196" s="21">
        <f t="shared" ca="1" si="41"/>
        <v>-2451.1714821227629</v>
      </c>
      <c r="E196" s="196">
        <f t="shared" ca="1" si="39"/>
        <v>-271611.75196073169</v>
      </c>
      <c r="F196" s="178">
        <f t="shared" ca="1" si="42"/>
        <v>-55.950653297644131</v>
      </c>
      <c r="G196" s="178">
        <f t="shared" ca="1" si="43"/>
        <v>26.319999999999997</v>
      </c>
      <c r="H196" s="177">
        <f t="shared" ca="1" si="44"/>
        <v>25</v>
      </c>
      <c r="I196" s="196"/>
      <c r="J196" s="9" t="str">
        <f t="shared" ca="1" si="32"/>
        <v/>
      </c>
      <c r="K196" s="9" t="str">
        <f t="shared" ca="1" si="33"/>
        <v/>
      </c>
      <c r="L196" s="9">
        <f t="shared" ca="1" si="34"/>
        <v>4</v>
      </c>
      <c r="N196" s="176">
        <f t="shared" ca="1" si="40"/>
        <v>31</v>
      </c>
      <c r="O196" s="176">
        <f t="shared" ca="1" si="45"/>
        <v>5412</v>
      </c>
      <c r="P196" s="175">
        <f t="shared" ca="1" si="35"/>
        <v>5180.069590997743</v>
      </c>
      <c r="Q196" s="11">
        <f t="shared" ca="1" si="36"/>
        <v>2.9930000000000002E-2</v>
      </c>
      <c r="R196" s="12">
        <f t="shared" ca="1" si="37"/>
        <v>155.03948285856245</v>
      </c>
    </row>
    <row r="197" spans="1:18">
      <c r="A197" s="198">
        <f t="shared" ca="1" si="46"/>
        <v>179</v>
      </c>
      <c r="B197" s="197">
        <f t="shared" ca="1" si="47"/>
        <v>50170</v>
      </c>
      <c r="C197" s="196">
        <f t="shared" ca="1" si="38"/>
        <v>5227.7262313189367</v>
      </c>
      <c r="D197" s="21">
        <f t="shared" ca="1" si="41"/>
        <v>-2498.828122443957</v>
      </c>
      <c r="E197" s="196">
        <f t="shared" ca="1" si="39"/>
        <v>-276839.47819205065</v>
      </c>
      <c r="F197" s="178">
        <f t="shared" ca="1" si="42"/>
        <v>-57.038467911753656</v>
      </c>
      <c r="G197" s="178">
        <f t="shared" ca="1" si="43"/>
        <v>26.319999999999997</v>
      </c>
      <c r="H197" s="177">
        <f t="shared" ca="1" si="44"/>
        <v>25</v>
      </c>
      <c r="I197" s="196"/>
      <c r="J197" s="9" t="str">
        <f t="shared" ca="1" si="32"/>
        <v/>
      </c>
      <c r="K197" s="9" t="str">
        <f t="shared" ca="1" si="33"/>
        <v/>
      </c>
      <c r="L197" s="9">
        <f t="shared" ca="1" si="34"/>
        <v>5</v>
      </c>
      <c r="N197" s="176">
        <f t="shared" ca="1" si="40"/>
        <v>30</v>
      </c>
      <c r="O197" s="176">
        <f t="shared" ca="1" si="45"/>
        <v>5442</v>
      </c>
      <c r="P197" s="175">
        <f t="shared" ca="1" si="35"/>
        <v>5227.7262313189367</v>
      </c>
      <c r="Q197" s="11">
        <f t="shared" ca="1" si="36"/>
        <v>2.9930000000000002E-2</v>
      </c>
      <c r="R197" s="12">
        <f t="shared" ca="1" si="37"/>
        <v>156.46584610337578</v>
      </c>
    </row>
    <row r="198" spans="1:18">
      <c r="A198" s="198">
        <f t="shared" ca="1" si="46"/>
        <v>180</v>
      </c>
      <c r="B198" s="197">
        <f t="shared" ca="1" si="47"/>
        <v>50201</v>
      </c>
      <c r="C198" s="196">
        <f t="shared" ca="1" si="38"/>
        <v>5275.8213127318595</v>
      </c>
      <c r="D198" s="21">
        <f t="shared" ca="1" si="41"/>
        <v>-2546.9232038568789</v>
      </c>
      <c r="E198" s="196">
        <f t="shared" ca="1" si="39"/>
        <v>-282115.29950478254</v>
      </c>
      <c r="F198" s="178">
        <f t="shared" ca="1" si="42"/>
        <v>-58.136290420330639</v>
      </c>
      <c r="G198" s="178">
        <f t="shared" ca="1" si="43"/>
        <v>26.319999999999997</v>
      </c>
      <c r="H198" s="177">
        <f t="shared" ca="1" si="44"/>
        <v>25</v>
      </c>
      <c r="I198" s="196"/>
      <c r="J198" s="9" t="str">
        <f t="shared" ca="1" si="32"/>
        <v/>
      </c>
      <c r="K198" s="9" t="str">
        <f t="shared" ca="1" si="33"/>
        <v/>
      </c>
      <c r="L198" s="9">
        <f t="shared" ca="1" si="34"/>
        <v>6</v>
      </c>
      <c r="N198" s="176">
        <f t="shared" ca="1" si="40"/>
        <v>31</v>
      </c>
      <c r="O198" s="176">
        <f t="shared" ca="1" si="45"/>
        <v>5473</v>
      </c>
      <c r="P198" s="175">
        <f t="shared" ca="1" si="35"/>
        <v>5275.8213127318595</v>
      </c>
      <c r="Q198" s="11">
        <f t="shared" ca="1" si="36"/>
        <v>2.9930000000000002E-2</v>
      </c>
      <c r="R198" s="12">
        <f t="shared" ca="1" si="37"/>
        <v>157.90533189006456</v>
      </c>
    </row>
    <row r="199" spans="1:18">
      <c r="A199" s="198">
        <f t="shared" ca="1" si="46"/>
        <v>181</v>
      </c>
      <c r="B199" s="197">
        <f t="shared" ca="1" si="47"/>
        <v>50231</v>
      </c>
      <c r="C199" s="196">
        <f t="shared" ca="1" si="38"/>
        <v>5324.3588688945601</v>
      </c>
      <c r="D199" s="21">
        <f t="shared" ca="1" si="41"/>
        <v>-2595.46076001958</v>
      </c>
      <c r="E199" s="196">
        <f t="shared" ca="1" si="39"/>
        <v>-287439.65837367711</v>
      </c>
      <c r="F199" s="178">
        <f t="shared" ca="1" si="42"/>
        <v>-59.244212896004335</v>
      </c>
      <c r="G199" s="178">
        <f t="shared" ca="1" si="43"/>
        <v>26.319999999999997</v>
      </c>
      <c r="H199" s="177">
        <f t="shared" ca="1" si="44"/>
        <v>25</v>
      </c>
      <c r="I199" s="196"/>
      <c r="J199" s="9" t="str">
        <f t="shared" ca="1" si="32"/>
        <v/>
      </c>
      <c r="K199" s="9" t="str">
        <f t="shared" ca="1" si="33"/>
        <v/>
      </c>
      <c r="L199" s="9">
        <f t="shared" ca="1" si="34"/>
        <v>7</v>
      </c>
      <c r="N199" s="176">
        <f t="shared" ca="1" si="40"/>
        <v>30</v>
      </c>
      <c r="O199" s="176">
        <f t="shared" ca="1" si="45"/>
        <v>5503</v>
      </c>
      <c r="P199" s="175">
        <f t="shared" ca="1" si="35"/>
        <v>5324.3588688945601</v>
      </c>
      <c r="Q199" s="11">
        <f t="shared" ca="1" si="36"/>
        <v>2.9930000000000002E-2</v>
      </c>
      <c r="R199" s="12">
        <f t="shared" ca="1" si="37"/>
        <v>159.35806094601421</v>
      </c>
    </row>
    <row r="200" spans="1:18">
      <c r="A200" s="198">
        <f t="shared" ca="1" si="46"/>
        <v>182</v>
      </c>
      <c r="B200" s="197">
        <f t="shared" ca="1" si="47"/>
        <v>50262</v>
      </c>
      <c r="C200" s="196">
        <f t="shared" ca="1" si="38"/>
        <v>5373.3429705747449</v>
      </c>
      <c r="D200" s="21">
        <f t="shared" ca="1" si="41"/>
        <v>-2644.4448616997647</v>
      </c>
      <c r="E200" s="196">
        <f t="shared" ca="1" si="39"/>
        <v>-292813.00134425185</v>
      </c>
      <c r="F200" s="178">
        <f t="shared" ca="1" si="42"/>
        <v>-60.362328258472196</v>
      </c>
      <c r="G200" s="178">
        <f t="shared" ca="1" si="43"/>
        <v>26.319999999999997</v>
      </c>
      <c r="H200" s="177">
        <f t="shared" ca="1" si="44"/>
        <v>25</v>
      </c>
      <c r="I200" s="196"/>
      <c r="J200" s="9" t="str">
        <f t="shared" ca="1" si="32"/>
        <v/>
      </c>
      <c r="K200" s="9" t="str">
        <f t="shared" ca="1" si="33"/>
        <v/>
      </c>
      <c r="L200" s="9">
        <f t="shared" ca="1" si="34"/>
        <v>8</v>
      </c>
      <c r="N200" s="176">
        <f t="shared" ca="1" si="40"/>
        <v>31</v>
      </c>
      <c r="O200" s="176">
        <f t="shared" ca="1" si="45"/>
        <v>5534</v>
      </c>
      <c r="P200" s="175">
        <f t="shared" ca="1" si="35"/>
        <v>5373.3429705747449</v>
      </c>
      <c r="Q200" s="11">
        <f t="shared" ca="1" si="36"/>
        <v>2.9930000000000002E-2</v>
      </c>
      <c r="R200" s="12">
        <f t="shared" ca="1" si="37"/>
        <v>160.82415510930213</v>
      </c>
    </row>
    <row r="201" spans="1:18">
      <c r="A201" s="198">
        <f t="shared" ca="1" si="46"/>
        <v>183</v>
      </c>
      <c r="B201" s="197">
        <f t="shared" ca="1" si="47"/>
        <v>50293</v>
      </c>
      <c r="C201" s="196">
        <f t="shared" ca="1" si="38"/>
        <v>5422.7777259911818</v>
      </c>
      <c r="D201" s="21">
        <f t="shared" ca="1" si="41"/>
        <v>-2693.8796171162016</v>
      </c>
      <c r="E201" s="196">
        <f t="shared" ca="1" si="39"/>
        <v>-298235.77907024301</v>
      </c>
      <c r="F201" s="178">
        <f t="shared" ca="1" si="42"/>
        <v>-61.490730282292894</v>
      </c>
      <c r="G201" s="178">
        <f t="shared" ca="1" si="43"/>
        <v>26.319999999999997</v>
      </c>
      <c r="H201" s="177">
        <f t="shared" ca="1" si="44"/>
        <v>25</v>
      </c>
      <c r="I201" s="196"/>
      <c r="J201" s="9" t="str">
        <f t="shared" ca="1" si="32"/>
        <v/>
      </c>
      <c r="K201" s="9" t="str">
        <f t="shared" ca="1" si="33"/>
        <v/>
      </c>
      <c r="L201" s="9">
        <f t="shared" ca="1" si="34"/>
        <v>9</v>
      </c>
      <c r="N201" s="176">
        <f t="shared" ca="1" si="40"/>
        <v>31</v>
      </c>
      <c r="O201" s="176">
        <f t="shared" ca="1" si="45"/>
        <v>5565</v>
      </c>
      <c r="P201" s="175">
        <f t="shared" ca="1" si="35"/>
        <v>5422.7777259911818</v>
      </c>
      <c r="Q201" s="11">
        <f t="shared" ca="1" si="36"/>
        <v>2.9930000000000002E-2</v>
      </c>
      <c r="R201" s="12">
        <f t="shared" ca="1" si="37"/>
        <v>162.30373733891608</v>
      </c>
    </row>
    <row r="202" spans="1:18">
      <c r="A202" s="198">
        <f t="shared" ca="1" si="46"/>
        <v>184</v>
      </c>
      <c r="B202" s="197">
        <f t="shared" ca="1" si="47"/>
        <v>50323</v>
      </c>
      <c r="C202" s="196">
        <f t="shared" ca="1" si="38"/>
        <v>5472.6672811582521</v>
      </c>
      <c r="D202" s="21">
        <f t="shared" ca="1" si="41"/>
        <v>-2743.7691722832715</v>
      </c>
      <c r="E202" s="196">
        <f t="shared" ca="1" si="39"/>
        <v>-303708.44635140128</v>
      </c>
      <c r="F202" s="178">
        <f t="shared" ca="1" si="42"/>
        <v>-62.629513604751033</v>
      </c>
      <c r="G202" s="178">
        <f t="shared" ca="1" si="43"/>
        <v>26.319999999999997</v>
      </c>
      <c r="H202" s="177">
        <f t="shared" ca="1" si="44"/>
        <v>25</v>
      </c>
      <c r="I202" s="196"/>
      <c r="J202" s="9" t="str">
        <f t="shared" ca="1" si="32"/>
        <v/>
      </c>
      <c r="K202" s="9" t="str">
        <f t="shared" ca="1" si="33"/>
        <v/>
      </c>
      <c r="L202" s="9">
        <f t="shared" ca="1" si="34"/>
        <v>10</v>
      </c>
      <c r="N202" s="176">
        <f t="shared" ca="1" si="40"/>
        <v>30</v>
      </c>
      <c r="O202" s="176">
        <f t="shared" ca="1" si="45"/>
        <v>5595</v>
      </c>
      <c r="P202" s="175">
        <f t="shared" ca="1" si="35"/>
        <v>5472.6672811582521</v>
      </c>
      <c r="Q202" s="11">
        <f t="shared" ca="1" si="36"/>
        <v>2.9930000000000002E-2</v>
      </c>
      <c r="R202" s="12">
        <f t="shared" ca="1" si="37"/>
        <v>163.79693172506649</v>
      </c>
    </row>
    <row r="203" spans="1:18">
      <c r="A203" s="198">
        <f t="shared" ca="1" si="46"/>
        <v>185</v>
      </c>
      <c r="B203" s="197">
        <f t="shared" ca="1" si="47"/>
        <v>50354</v>
      </c>
      <c r="C203" s="196">
        <f t="shared" ca="1" si="38"/>
        <v>5523.0158202336679</v>
      </c>
      <c r="D203" s="21">
        <f t="shared" ca="1" si="41"/>
        <v>-2794.1177113586878</v>
      </c>
      <c r="E203" s="196">
        <f t="shared" ca="1" si="39"/>
        <v>-309231.46217163495</v>
      </c>
      <c r="F203" s="178">
        <f t="shared" ca="1" si="42"/>
        <v>-63.778773733794267</v>
      </c>
      <c r="G203" s="178">
        <f t="shared" ca="1" si="43"/>
        <v>26.319999999999997</v>
      </c>
      <c r="H203" s="177">
        <f t="shared" ca="1" si="44"/>
        <v>25</v>
      </c>
      <c r="I203" s="196"/>
      <c r="J203" s="9" t="str">
        <f t="shared" ca="1" si="32"/>
        <v/>
      </c>
      <c r="K203" s="9" t="str">
        <f t="shared" ca="1" si="33"/>
        <v/>
      </c>
      <c r="L203" s="9">
        <f t="shared" ca="1" si="34"/>
        <v>11</v>
      </c>
      <c r="N203" s="176">
        <f t="shared" ca="1" si="40"/>
        <v>31</v>
      </c>
      <c r="O203" s="176">
        <f t="shared" ca="1" si="45"/>
        <v>5626</v>
      </c>
      <c r="P203" s="175">
        <f t="shared" ca="1" si="35"/>
        <v>5523.0158202336679</v>
      </c>
      <c r="Q203" s="11">
        <f t="shared" ca="1" si="36"/>
        <v>2.9930000000000002E-2</v>
      </c>
      <c r="R203" s="12">
        <f t="shared" ca="1" si="37"/>
        <v>165.30386349959369</v>
      </c>
    </row>
    <row r="204" spans="1:18">
      <c r="A204" s="198">
        <f t="shared" ca="1" si="46"/>
        <v>186</v>
      </c>
      <c r="B204" s="197">
        <f t="shared" ca="1" si="47"/>
        <v>50384</v>
      </c>
      <c r="C204" s="196">
        <f t="shared" ca="1" si="38"/>
        <v>5573.8275658693947</v>
      </c>
      <c r="D204" s="21">
        <f t="shared" ca="1" si="41"/>
        <v>-2844.9294569944145</v>
      </c>
      <c r="E204" s="196">
        <f t="shared" ca="1" si="39"/>
        <v>-314805.28973750432</v>
      </c>
      <c r="F204" s="178">
        <f t="shared" ca="1" si="42"/>
        <v>-64.938607056043338</v>
      </c>
      <c r="G204" s="178">
        <f t="shared" ca="1" si="43"/>
        <v>26.319999999999997</v>
      </c>
      <c r="H204" s="177">
        <f t="shared" ca="1" si="44"/>
        <v>25</v>
      </c>
      <c r="I204" s="196"/>
      <c r="J204" s="9" t="str">
        <f t="shared" ca="1" si="32"/>
        <v/>
      </c>
      <c r="K204" s="9" t="str">
        <f t="shared" ca="1" si="33"/>
        <v/>
      </c>
      <c r="L204" s="9">
        <f t="shared" ca="1" si="34"/>
        <v>12</v>
      </c>
      <c r="N204" s="176">
        <f t="shared" ca="1" si="40"/>
        <v>30</v>
      </c>
      <c r="O204" s="176">
        <f t="shared" ca="1" si="45"/>
        <v>5656</v>
      </c>
      <c r="P204" s="175">
        <f t="shared" ca="1" si="35"/>
        <v>5573.8275658693947</v>
      </c>
      <c r="Q204" s="11">
        <f t="shared" ca="1" si="36"/>
        <v>2.9930000000000002E-2</v>
      </c>
      <c r="R204" s="12">
        <f t="shared" ca="1" si="37"/>
        <v>166.824659046471</v>
      </c>
    </row>
    <row r="205" spans="1:18">
      <c r="A205" s="198">
        <f t="shared" ca="1" si="46"/>
        <v>187</v>
      </c>
      <c r="B205" s="197">
        <f t="shared" ca="1" si="47"/>
        <v>50415</v>
      </c>
      <c r="C205" s="196">
        <f t="shared" ca="1" si="38"/>
        <v>5625.1067795657946</v>
      </c>
      <c r="D205" s="21">
        <f t="shared" ca="1" si="41"/>
        <v>-2896.208670690814</v>
      </c>
      <c r="E205" s="196">
        <f t="shared" ca="1" si="39"/>
        <v>-320430.39651707013</v>
      </c>
      <c r="F205" s="178">
        <f t="shared" ca="1" si="42"/>
        <v>-66.109110844875914</v>
      </c>
      <c r="G205" s="178">
        <f t="shared" ca="1" si="43"/>
        <v>26.319999999999997</v>
      </c>
      <c r="H205" s="177">
        <f t="shared" ca="1" si="44"/>
        <v>25</v>
      </c>
      <c r="I205" s="196"/>
      <c r="J205" s="9" t="str">
        <f t="shared" ca="1" si="32"/>
        <v/>
      </c>
      <c r="K205" s="9" t="str">
        <f t="shared" ca="1" si="33"/>
        <v/>
      </c>
      <c r="L205" s="9">
        <f t="shared" ca="1" si="34"/>
        <v>1</v>
      </c>
      <c r="N205" s="176">
        <f t="shared" ca="1" si="40"/>
        <v>31</v>
      </c>
      <c r="O205" s="176">
        <f t="shared" ca="1" si="45"/>
        <v>5687</v>
      </c>
      <c r="P205" s="175">
        <f t="shared" ca="1" si="35"/>
        <v>5625.1067795657946</v>
      </c>
      <c r="Q205" s="11">
        <f t="shared" ca="1" si="36"/>
        <v>2.9930000000000002E-2</v>
      </c>
      <c r="R205" s="12">
        <f t="shared" ca="1" si="37"/>
        <v>168.35944591240425</v>
      </c>
    </row>
    <row r="206" spans="1:18">
      <c r="A206" s="198">
        <f t="shared" ca="1" si="46"/>
        <v>188</v>
      </c>
      <c r="B206" s="197">
        <f t="shared" ca="1" si="47"/>
        <v>50446</v>
      </c>
      <c r="C206" s="196">
        <f t="shared" ca="1" si="38"/>
        <v>5676.8577620290325</v>
      </c>
      <c r="D206" s="21">
        <f t="shared" ca="1" si="41"/>
        <v>-2947.9596531540519</v>
      </c>
      <c r="E206" s="196">
        <f t="shared" ca="1" si="39"/>
        <v>-326107.25427909917</v>
      </c>
      <c r="F206" s="178">
        <f t="shared" ca="1" si="42"/>
        <v>-67.290383268584733</v>
      </c>
      <c r="G206" s="178">
        <f t="shared" ca="1" si="43"/>
        <v>26.319999999999997</v>
      </c>
      <c r="H206" s="177">
        <f t="shared" ca="1" si="44"/>
        <v>25</v>
      </c>
      <c r="I206" s="196"/>
      <c r="J206" s="9" t="str">
        <f t="shared" ca="1" si="32"/>
        <v/>
      </c>
      <c r="K206" s="9" t="str">
        <f t="shared" ca="1" si="33"/>
        <v/>
      </c>
      <c r="L206" s="9">
        <f t="shared" ca="1" si="34"/>
        <v>2</v>
      </c>
      <c r="N206" s="176">
        <f t="shared" ca="1" si="40"/>
        <v>31</v>
      </c>
      <c r="O206" s="176">
        <f t="shared" ca="1" si="45"/>
        <v>5718</v>
      </c>
      <c r="P206" s="175">
        <f t="shared" ca="1" si="35"/>
        <v>5676.8577620290325</v>
      </c>
      <c r="Q206" s="11">
        <f t="shared" ca="1" si="36"/>
        <v>2.9930000000000002E-2</v>
      </c>
      <c r="R206" s="12">
        <f t="shared" ca="1" si="37"/>
        <v>169.90835281752896</v>
      </c>
    </row>
    <row r="207" spans="1:18">
      <c r="A207" s="198">
        <f t="shared" ca="1" si="46"/>
        <v>189</v>
      </c>
      <c r="B207" s="197">
        <f t="shared" ca="1" si="47"/>
        <v>50474</v>
      </c>
      <c r="C207" s="196">
        <f t="shared" ca="1" si="38"/>
        <v>5729.0848535317709</v>
      </c>
      <c r="D207" s="21">
        <f t="shared" ca="1" si="41"/>
        <v>-3000.1867446567912</v>
      </c>
      <c r="E207" s="196">
        <f t="shared" ca="1" si="39"/>
        <v>-331836.33913263096</v>
      </c>
      <c r="F207" s="178">
        <f t="shared" ca="1" si="42"/>
        <v>-68.482523398610823</v>
      </c>
      <c r="G207" s="178">
        <f t="shared" ca="1" si="43"/>
        <v>26.319999999999997</v>
      </c>
      <c r="H207" s="177">
        <f t="shared" ca="1" si="44"/>
        <v>25</v>
      </c>
      <c r="I207" s="196"/>
      <c r="J207" s="9" t="str">
        <f t="shared" ca="1" si="32"/>
        <v/>
      </c>
      <c r="K207" s="9" t="str">
        <f t="shared" ca="1" si="33"/>
        <v/>
      </c>
      <c r="L207" s="9">
        <f t="shared" ca="1" si="34"/>
        <v>3</v>
      </c>
      <c r="N207" s="176">
        <f t="shared" ca="1" si="40"/>
        <v>28</v>
      </c>
      <c r="O207" s="176">
        <f t="shared" ca="1" si="45"/>
        <v>5746</v>
      </c>
      <c r="P207" s="175">
        <f t="shared" ca="1" si="35"/>
        <v>5729.0848535317709</v>
      </c>
      <c r="Q207" s="11">
        <f t="shared" ca="1" si="36"/>
        <v>2.9930000000000002E-2</v>
      </c>
      <c r="R207" s="12">
        <f t="shared" ca="1" si="37"/>
        <v>171.47150966620592</v>
      </c>
    </row>
    <row r="208" spans="1:18">
      <c r="A208" s="198">
        <f t="shared" ca="1" si="46"/>
        <v>190</v>
      </c>
      <c r="B208" s="197">
        <f t="shared" ca="1" si="47"/>
        <v>50505</v>
      </c>
      <c r="C208" s="196">
        <f t="shared" ca="1" si="38"/>
        <v>5781.7924342771821</v>
      </c>
      <c r="D208" s="21">
        <f t="shared" ca="1" si="41"/>
        <v>-3052.8943254022024</v>
      </c>
      <c r="E208" s="196">
        <f t="shared" ca="1" si="39"/>
        <v>-337618.13156690815</v>
      </c>
      <c r="F208" s="178">
        <f t="shared" ca="1" si="42"/>
        <v>-69.685631217852503</v>
      </c>
      <c r="G208" s="178">
        <f t="shared" ca="1" si="43"/>
        <v>26.319999999999997</v>
      </c>
      <c r="H208" s="177">
        <f t="shared" ca="1" si="44"/>
        <v>25</v>
      </c>
      <c r="I208" s="196"/>
      <c r="J208" s="9" t="str">
        <f t="shared" ca="1" si="32"/>
        <v/>
      </c>
      <c r="K208" s="9" t="str">
        <f t="shared" ca="1" si="33"/>
        <v/>
      </c>
      <c r="L208" s="9">
        <f t="shared" ca="1" si="34"/>
        <v>4</v>
      </c>
      <c r="N208" s="176">
        <f t="shared" ca="1" si="40"/>
        <v>31</v>
      </c>
      <c r="O208" s="176">
        <f t="shared" ca="1" si="45"/>
        <v>5777</v>
      </c>
      <c r="P208" s="175">
        <f t="shared" ca="1" si="35"/>
        <v>5781.7924342771821</v>
      </c>
      <c r="Q208" s="11">
        <f t="shared" ca="1" si="36"/>
        <v>2.9930000000000002E-2</v>
      </c>
      <c r="R208" s="12">
        <f t="shared" ca="1" si="37"/>
        <v>173.04904755791608</v>
      </c>
    </row>
    <row r="209" spans="1:18">
      <c r="A209" s="198">
        <f t="shared" ca="1" si="46"/>
        <v>191</v>
      </c>
      <c r="B209" s="197">
        <f t="shared" ca="1" si="47"/>
        <v>50535</v>
      </c>
      <c r="C209" s="196">
        <f t="shared" ca="1" si="38"/>
        <v>5834.9849247663069</v>
      </c>
      <c r="D209" s="21">
        <f t="shared" ca="1" si="41"/>
        <v>-3106.0868158913268</v>
      </c>
      <c r="E209" s="196">
        <f t="shared" ca="1" si="39"/>
        <v>-343453.11649167445</v>
      </c>
      <c r="F209" s="178">
        <f t="shared" ca="1" si="42"/>
        <v>-70.899807629050713</v>
      </c>
      <c r="G209" s="178">
        <f t="shared" ca="1" si="43"/>
        <v>26.319999999999997</v>
      </c>
      <c r="H209" s="177">
        <f t="shared" ca="1" si="44"/>
        <v>25</v>
      </c>
      <c r="I209" s="196"/>
      <c r="J209" s="9" t="str">
        <f t="shared" ca="1" si="32"/>
        <v/>
      </c>
      <c r="K209" s="9" t="str">
        <f t="shared" ca="1" si="33"/>
        <v/>
      </c>
      <c r="L209" s="9">
        <f t="shared" ca="1" si="34"/>
        <v>5</v>
      </c>
      <c r="N209" s="176">
        <f t="shared" ca="1" si="40"/>
        <v>30</v>
      </c>
      <c r="O209" s="176">
        <f t="shared" ca="1" si="45"/>
        <v>5807</v>
      </c>
      <c r="P209" s="175">
        <f t="shared" ca="1" si="35"/>
        <v>5834.9849247663069</v>
      </c>
      <c r="Q209" s="11">
        <f t="shared" ca="1" si="36"/>
        <v>2.9930000000000002E-2</v>
      </c>
      <c r="R209" s="12">
        <f t="shared" ca="1" si="37"/>
        <v>174.64109879825557</v>
      </c>
    </row>
    <row r="210" spans="1:18">
      <c r="A210" s="198">
        <f t="shared" ca="1" si="46"/>
        <v>192</v>
      </c>
      <c r="B210" s="197">
        <f t="shared" ca="1" si="47"/>
        <v>50566</v>
      </c>
      <c r="C210" s="196">
        <f t="shared" ca="1" si="38"/>
        <v>5888.6667861687929</v>
      </c>
      <c r="D210" s="21">
        <f t="shared" ca="1" si="41"/>
        <v>-3159.7686772938132</v>
      </c>
      <c r="E210" s="196">
        <f t="shared" ca="1" si="39"/>
        <v>-349341.78327784326</v>
      </c>
      <c r="F210" s="178">
        <f t="shared" ca="1" si="42"/>
        <v>-72.125154463251633</v>
      </c>
      <c r="G210" s="178">
        <f t="shared" ca="1" si="43"/>
        <v>26.319999999999997</v>
      </c>
      <c r="H210" s="177">
        <f t="shared" ca="1" si="44"/>
        <v>25</v>
      </c>
      <c r="I210" s="196"/>
      <c r="J210" s="9" t="str">
        <f t="shared" ref="J210:J273" ca="1" si="48">IF(A210="I","Carencia",IF(A210&lt;=$C$12,"Carencia",""))</f>
        <v/>
      </c>
      <c r="K210" s="9" t="str">
        <f t="shared" ref="K210:K273" ca="1" si="49">IF(L210=$C$13,"Pula","")</f>
        <v/>
      </c>
      <c r="L210" s="9">
        <f t="shared" ref="L210:L273" ca="1" si="50">IFERROR(MONTH(B210),"")</f>
        <v>6</v>
      </c>
      <c r="N210" s="176">
        <f t="shared" ca="1" si="40"/>
        <v>31</v>
      </c>
      <c r="O210" s="176">
        <f t="shared" ca="1" si="45"/>
        <v>5838</v>
      </c>
      <c r="P210" s="175">
        <f t="shared" ref="P210:P273" ca="1" si="51">IF(A210&lt;&gt;"",C210,"")</f>
        <v>5888.6667861687929</v>
      </c>
      <c r="Q210" s="11">
        <f t="shared" ref="Q210:Q273" ca="1" si="52">IF(OR(A210="",J210="Carencia",K210="Pula"),"",IF(AND($F$5="PF",O210&lt;365),$I$3*O210,IF(AND($F$5="PF",O210&gt;=365),$I$3*365,IF(AND($F$5="PJ",O210&lt;365),$I$4*O210,IF(AND($F$5="PJ",O210&gt;=365),$I$4*365)))))</f>
        <v>2.9930000000000002E-2</v>
      </c>
      <c r="R210" s="12">
        <f t="shared" ref="R210:R273" ca="1" si="53">IFERROR(Q210*P210,"")</f>
        <v>176.24779691003198</v>
      </c>
    </row>
    <row r="211" spans="1:18">
      <c r="A211" s="198">
        <f t="shared" ca="1" si="46"/>
        <v>193</v>
      </c>
      <c r="B211" s="197">
        <f t="shared" ca="1" si="47"/>
        <v>50596</v>
      </c>
      <c r="C211" s="196">
        <f t="shared" ref="C211:C274" ca="1" si="54">IFERROR(IF(OR(J211="Carencia",K211="Pula"),0,$I$13-D211),"")</f>
        <v>5942.8425206970533</v>
      </c>
      <c r="D211" s="21">
        <f t="shared" ca="1" si="41"/>
        <v>-3213.9444118220736</v>
      </c>
      <c r="E211" s="196">
        <f t="shared" ref="E211:E274" ca="1" si="55">IFERROR(IF(OR(J211="Carencia",K211="Pula"),E210,(E210-C211)),"")</f>
        <v>-355284.62579854031</v>
      </c>
      <c r="F211" s="178">
        <f t="shared" ca="1" si="42"/>
        <v>-73.361774488347095</v>
      </c>
      <c r="G211" s="178">
        <f t="shared" ca="1" si="43"/>
        <v>26.319999999999997</v>
      </c>
      <c r="H211" s="177">
        <f t="shared" ca="1" si="44"/>
        <v>25</v>
      </c>
      <c r="I211" s="196"/>
      <c r="J211" s="9" t="str">
        <f t="shared" ca="1" si="48"/>
        <v/>
      </c>
      <c r="K211" s="9" t="str">
        <f t="shared" ca="1" si="49"/>
        <v/>
      </c>
      <c r="L211" s="9">
        <f t="shared" ca="1" si="50"/>
        <v>7</v>
      </c>
      <c r="N211" s="176">
        <f t="shared" ref="N211:N274" ca="1" si="56">IFERROR(B211-B210,"")</f>
        <v>30</v>
      </c>
      <c r="O211" s="176">
        <f t="shared" ca="1" si="45"/>
        <v>5868</v>
      </c>
      <c r="P211" s="175">
        <f t="shared" ca="1" si="51"/>
        <v>5942.8425206970533</v>
      </c>
      <c r="Q211" s="11">
        <f t="shared" ca="1" si="52"/>
        <v>2.9930000000000002E-2</v>
      </c>
      <c r="R211" s="12">
        <f t="shared" ca="1" si="53"/>
        <v>177.86927664446281</v>
      </c>
    </row>
    <row r="212" spans="1:18">
      <c r="A212" s="198">
        <f t="shared" ca="1" si="46"/>
        <v>194</v>
      </c>
      <c r="B212" s="197">
        <f t="shared" ca="1" si="47"/>
        <v>50627</v>
      </c>
      <c r="C212" s="196">
        <f t="shared" ca="1" si="54"/>
        <v>5997.5166719838526</v>
      </c>
      <c r="D212" s="21">
        <f t="shared" ref="D212:D275" ca="1" si="57">IFERROR(IF(DAY(B212)=DAY(B211),IF(K212="Pula",0,($C$9)*E211),IF(AND(K212="Pula",J212=""),0,IF(AND($F$3=30,OR(AND(DAY(B211)=28,MONTH(B211)=2),AND(DAY(B211)=29,MONTH(B211)=2))),$C$9*E211,$C$9*E211))),"")</f>
        <v>-3268.6185631088724</v>
      </c>
      <c r="E212" s="196">
        <f t="shared" ca="1" si="55"/>
        <v>-361282.14247052418</v>
      </c>
      <c r="F212" s="178">
        <f t="shared" ref="F212:F275" ca="1" si="58">IFERROR(IF(OR(AND(DAY(B212)=DAY(B211),MONTH(B212)&lt;&gt;MONTH(B211)),MONTH(B212)&lt;&gt;MONTH(B211)),IF(K212="Pula",0,E211*$I$7),0),0)</f>
        <v>-74.609771417693466</v>
      </c>
      <c r="G212" s="178">
        <f t="shared" ref="G212:G275" ca="1" si="59">IFERROR(IF(OR(AND(DAY(B212)=DAY(B211),MONTH(B212)&lt;&gt;MONTH(B211)),MONTH(B212)&lt;&gt;MONTH(B211)),IF(K212="Pula",0,$C$11*$I$8),0),0)</f>
        <v>26.319999999999997</v>
      </c>
      <c r="H212" s="177">
        <f t="shared" ref="H212:H275" ca="1" si="60">IFERROR(IF(OR(AND(DAY(B212)=DAY(B211),MONTH(B212)&lt;&gt;MONTH(B211)),MONTH(B212)&lt;&gt;MONTH(B211)),IF(K212="Pula",0,$I$10),0),0)</f>
        <v>25</v>
      </c>
      <c r="I212" s="196"/>
      <c r="J212" s="9" t="str">
        <f t="shared" ca="1" si="48"/>
        <v/>
      </c>
      <c r="K212" s="9" t="str">
        <f t="shared" ca="1" si="49"/>
        <v/>
      </c>
      <c r="L212" s="9">
        <f t="shared" ca="1" si="50"/>
        <v>8</v>
      </c>
      <c r="N212" s="176">
        <f t="shared" ca="1" si="56"/>
        <v>31</v>
      </c>
      <c r="O212" s="176">
        <f t="shared" ref="O212:O275" ca="1" si="61">IFERROR(N212+O211,"")</f>
        <v>5899</v>
      </c>
      <c r="P212" s="175">
        <f t="shared" ca="1" si="51"/>
        <v>5997.5166719838526</v>
      </c>
      <c r="Q212" s="11">
        <f t="shared" ca="1" si="52"/>
        <v>2.9930000000000002E-2</v>
      </c>
      <c r="R212" s="12">
        <f t="shared" ca="1" si="53"/>
        <v>179.50567399247672</v>
      </c>
    </row>
    <row r="213" spans="1:18">
      <c r="A213" s="198">
        <f t="shared" ref="A213:A276" ca="1" si="62">IF(A212&gt;=$C$8,"",A212+1)</f>
        <v>195</v>
      </c>
      <c r="B213" s="197">
        <f t="shared" ref="B213:B276" ca="1" si="63">IF(A213&lt;&gt;"",IF(DAY(EOMONTH($F$2,0))&lt;$F$3,IF(AND(MONTH($F$2)=2,$F$3&lt;&gt;31),IF(AND(MONTH($F$2)=2,$F$3&lt;&gt;31,MONTH(B212)=2),DATE(YEAR(B212),MONTH(B212)+1,$F$3),EDATE(B212,1)),EOMONTH(B212,1)),EDATE($B$19,A213-$I$14)),"")</f>
        <v>50658</v>
      </c>
      <c r="C213" s="196">
        <f t="shared" ca="1" si="54"/>
        <v>6052.6938254633769</v>
      </c>
      <c r="D213" s="21">
        <f t="shared" ca="1" si="57"/>
        <v>-3323.7957165883968</v>
      </c>
      <c r="E213" s="196">
        <f t="shared" ca="1" si="55"/>
        <v>-367334.83629598754</v>
      </c>
      <c r="F213" s="178">
        <f t="shared" ca="1" si="58"/>
        <v>-75.869249918810084</v>
      </c>
      <c r="G213" s="178">
        <f t="shared" ca="1" si="59"/>
        <v>26.319999999999997</v>
      </c>
      <c r="H213" s="177">
        <f t="shared" ca="1" si="60"/>
        <v>25</v>
      </c>
      <c r="I213" s="196"/>
      <c r="J213" s="9" t="str">
        <f t="shared" ca="1" si="48"/>
        <v/>
      </c>
      <c r="K213" s="9" t="str">
        <f t="shared" ca="1" si="49"/>
        <v/>
      </c>
      <c r="L213" s="9">
        <f t="shared" ca="1" si="50"/>
        <v>9</v>
      </c>
      <c r="N213" s="176">
        <f t="shared" ca="1" si="56"/>
        <v>31</v>
      </c>
      <c r="O213" s="176">
        <f t="shared" ca="1" si="61"/>
        <v>5930</v>
      </c>
      <c r="P213" s="175">
        <f t="shared" ca="1" si="51"/>
        <v>6052.6938254633769</v>
      </c>
      <c r="Q213" s="11">
        <f t="shared" ca="1" si="52"/>
        <v>2.9930000000000002E-2</v>
      </c>
      <c r="R213" s="12">
        <f t="shared" ca="1" si="53"/>
        <v>181.1571261961189</v>
      </c>
    </row>
    <row r="214" spans="1:18">
      <c r="A214" s="198">
        <f t="shared" ca="1" si="62"/>
        <v>196</v>
      </c>
      <c r="B214" s="197">
        <f t="shared" ca="1" si="63"/>
        <v>50688</v>
      </c>
      <c r="C214" s="196">
        <f t="shared" ca="1" si="54"/>
        <v>6108.3786087558074</v>
      </c>
      <c r="D214" s="21">
        <f t="shared" ca="1" si="57"/>
        <v>-3379.4804998808272</v>
      </c>
      <c r="E214" s="196">
        <f t="shared" ca="1" si="55"/>
        <v>-373443.21490474336</v>
      </c>
      <c r="F214" s="178">
        <f t="shared" ca="1" si="58"/>
        <v>-77.140315622157388</v>
      </c>
      <c r="G214" s="178">
        <f t="shared" ca="1" si="59"/>
        <v>26.319999999999997</v>
      </c>
      <c r="H214" s="177">
        <f t="shared" ca="1" si="60"/>
        <v>25</v>
      </c>
      <c r="I214" s="196"/>
      <c r="J214" s="9" t="str">
        <f t="shared" ca="1" si="48"/>
        <v/>
      </c>
      <c r="K214" s="9" t="str">
        <f t="shared" ca="1" si="49"/>
        <v/>
      </c>
      <c r="L214" s="9">
        <f t="shared" ca="1" si="50"/>
        <v>10</v>
      </c>
      <c r="N214" s="176">
        <f t="shared" ca="1" si="56"/>
        <v>30</v>
      </c>
      <c r="O214" s="176">
        <f t="shared" ca="1" si="61"/>
        <v>5960</v>
      </c>
      <c r="P214" s="175">
        <f t="shared" ca="1" si="51"/>
        <v>6108.3786087558074</v>
      </c>
      <c r="Q214" s="11">
        <f t="shared" ca="1" si="52"/>
        <v>2.9930000000000002E-2</v>
      </c>
      <c r="R214" s="12">
        <f t="shared" ca="1" si="53"/>
        <v>182.82377176006133</v>
      </c>
    </row>
    <row r="215" spans="1:18">
      <c r="A215" s="198">
        <f t="shared" ca="1" si="62"/>
        <v>197</v>
      </c>
      <c r="B215" s="197">
        <f t="shared" ca="1" si="63"/>
        <v>50719</v>
      </c>
      <c r="C215" s="196">
        <f t="shared" ca="1" si="54"/>
        <v>6164.5756920554322</v>
      </c>
      <c r="D215" s="21">
        <f t="shared" ca="1" si="57"/>
        <v>-3435.6775831804516</v>
      </c>
      <c r="E215" s="196">
        <f t="shared" ca="1" si="55"/>
        <v>-379607.79059679882</v>
      </c>
      <c r="F215" s="178">
        <f t="shared" ca="1" si="58"/>
        <v>-78.423075129996107</v>
      </c>
      <c r="G215" s="178">
        <f t="shared" ca="1" si="59"/>
        <v>26.319999999999997</v>
      </c>
      <c r="H215" s="177">
        <f t="shared" ca="1" si="60"/>
        <v>25</v>
      </c>
      <c r="I215" s="196"/>
      <c r="J215" s="9" t="str">
        <f t="shared" ca="1" si="48"/>
        <v/>
      </c>
      <c r="K215" s="9" t="str">
        <f t="shared" ca="1" si="49"/>
        <v/>
      </c>
      <c r="L215" s="9">
        <f t="shared" ca="1" si="50"/>
        <v>11</v>
      </c>
      <c r="N215" s="176">
        <f t="shared" ca="1" si="56"/>
        <v>31</v>
      </c>
      <c r="O215" s="176">
        <f t="shared" ca="1" si="61"/>
        <v>5991</v>
      </c>
      <c r="P215" s="175">
        <f t="shared" ca="1" si="51"/>
        <v>6164.5756920554322</v>
      </c>
      <c r="Q215" s="11">
        <f t="shared" ca="1" si="52"/>
        <v>2.9930000000000002E-2</v>
      </c>
      <c r="R215" s="12">
        <f t="shared" ca="1" si="53"/>
        <v>184.5057504632191</v>
      </c>
    </row>
    <row r="216" spans="1:18">
      <c r="A216" s="198">
        <f t="shared" ca="1" si="62"/>
        <v>198</v>
      </c>
      <c r="B216" s="197">
        <f t="shared" ca="1" si="63"/>
        <v>50749</v>
      </c>
      <c r="C216" s="196">
        <f t="shared" ca="1" si="54"/>
        <v>6221.2897885223247</v>
      </c>
      <c r="D216" s="21">
        <f t="shared" ca="1" si="57"/>
        <v>-3492.3916796473441</v>
      </c>
      <c r="E216" s="196">
        <f t="shared" ca="1" si="55"/>
        <v>-385829.08038532117</v>
      </c>
      <c r="F216" s="178">
        <f t="shared" ca="1" si="58"/>
        <v>-79.717636025327749</v>
      </c>
      <c r="G216" s="178">
        <f t="shared" ca="1" si="59"/>
        <v>26.319999999999997</v>
      </c>
      <c r="H216" s="177">
        <f t="shared" ca="1" si="60"/>
        <v>25</v>
      </c>
      <c r="I216" s="196"/>
      <c r="J216" s="9" t="str">
        <f t="shared" ca="1" si="48"/>
        <v/>
      </c>
      <c r="K216" s="9" t="str">
        <f t="shared" ca="1" si="49"/>
        <v/>
      </c>
      <c r="L216" s="9">
        <f t="shared" ca="1" si="50"/>
        <v>12</v>
      </c>
      <c r="N216" s="176">
        <f t="shared" ca="1" si="56"/>
        <v>30</v>
      </c>
      <c r="O216" s="176">
        <f t="shared" ca="1" si="61"/>
        <v>6021</v>
      </c>
      <c r="P216" s="175">
        <f t="shared" ca="1" si="51"/>
        <v>6221.2897885223247</v>
      </c>
      <c r="Q216" s="11">
        <f t="shared" ca="1" si="52"/>
        <v>2.9930000000000002E-2</v>
      </c>
      <c r="R216" s="12">
        <f t="shared" ca="1" si="53"/>
        <v>186.20320337047318</v>
      </c>
    </row>
    <row r="217" spans="1:18">
      <c r="A217" s="198">
        <f t="shared" ca="1" si="62"/>
        <v>199</v>
      </c>
      <c r="B217" s="197">
        <f t="shared" ca="1" si="63"/>
        <v>50780</v>
      </c>
      <c r="C217" s="196">
        <f t="shared" ca="1" si="54"/>
        <v>6278.5256546776318</v>
      </c>
      <c r="D217" s="21">
        <f t="shared" ca="1" si="57"/>
        <v>-3549.6275458026516</v>
      </c>
      <c r="E217" s="196">
        <f t="shared" ca="1" si="55"/>
        <v>-392107.60603999882</v>
      </c>
      <c r="F217" s="178">
        <f t="shared" ca="1" si="58"/>
        <v>-81.024106880917444</v>
      </c>
      <c r="G217" s="178">
        <f t="shared" ca="1" si="59"/>
        <v>26.319999999999997</v>
      </c>
      <c r="H217" s="177">
        <f t="shared" ca="1" si="60"/>
        <v>25</v>
      </c>
      <c r="I217" s="196"/>
      <c r="J217" s="9" t="str">
        <f t="shared" ca="1" si="48"/>
        <v/>
      </c>
      <c r="K217" s="9" t="str">
        <f t="shared" ca="1" si="49"/>
        <v/>
      </c>
      <c r="L217" s="9">
        <f t="shared" ca="1" si="50"/>
        <v>1</v>
      </c>
      <c r="N217" s="176">
        <f t="shared" ca="1" si="56"/>
        <v>31</v>
      </c>
      <c r="O217" s="176">
        <f t="shared" ca="1" si="61"/>
        <v>6052</v>
      </c>
      <c r="P217" s="175">
        <f t="shared" ca="1" si="51"/>
        <v>6278.5256546776318</v>
      </c>
      <c r="Q217" s="11">
        <f t="shared" ca="1" si="52"/>
        <v>2.9930000000000002E-2</v>
      </c>
      <c r="R217" s="12">
        <f t="shared" ca="1" si="53"/>
        <v>187.91627284450152</v>
      </c>
    </row>
    <row r="218" spans="1:18">
      <c r="A218" s="198">
        <f t="shared" ca="1" si="62"/>
        <v>200</v>
      </c>
      <c r="B218" s="197">
        <f t="shared" ca="1" si="63"/>
        <v>50811</v>
      </c>
      <c r="C218" s="196">
        <f t="shared" ca="1" si="54"/>
        <v>6336.2880908024963</v>
      </c>
      <c r="D218" s="21">
        <f t="shared" ca="1" si="57"/>
        <v>-3607.3899819275166</v>
      </c>
      <c r="E218" s="196">
        <f t="shared" ca="1" si="55"/>
        <v>-398443.89413080132</v>
      </c>
      <c r="F218" s="178">
        <f t="shared" ca="1" si="58"/>
        <v>-82.342597268399757</v>
      </c>
      <c r="G218" s="178">
        <f t="shared" ca="1" si="59"/>
        <v>26.319999999999997</v>
      </c>
      <c r="H218" s="177">
        <f t="shared" ca="1" si="60"/>
        <v>25</v>
      </c>
      <c r="I218" s="196"/>
      <c r="J218" s="9" t="str">
        <f t="shared" ca="1" si="48"/>
        <v/>
      </c>
      <c r="K218" s="9" t="str">
        <f t="shared" ca="1" si="49"/>
        <v/>
      </c>
      <c r="L218" s="9">
        <f t="shared" ca="1" si="50"/>
        <v>2</v>
      </c>
      <c r="N218" s="176">
        <f t="shared" ca="1" si="56"/>
        <v>31</v>
      </c>
      <c r="O218" s="176">
        <f t="shared" ca="1" si="61"/>
        <v>6083</v>
      </c>
      <c r="P218" s="175">
        <f t="shared" ca="1" si="51"/>
        <v>6336.2880908024963</v>
      </c>
      <c r="Q218" s="11">
        <f t="shared" ca="1" si="52"/>
        <v>2.9930000000000002E-2</v>
      </c>
      <c r="R218" s="12">
        <f t="shared" ca="1" si="53"/>
        <v>189.64510255771873</v>
      </c>
    </row>
    <row r="219" spans="1:18">
      <c r="A219" s="198">
        <f t="shared" ca="1" si="62"/>
        <v>201</v>
      </c>
      <c r="B219" s="197">
        <f t="shared" ca="1" si="63"/>
        <v>50839</v>
      </c>
      <c r="C219" s="196">
        <f t="shared" ca="1" si="54"/>
        <v>6394.5819413406462</v>
      </c>
      <c r="D219" s="21">
        <f t="shared" ca="1" si="57"/>
        <v>-3665.6838324656665</v>
      </c>
      <c r="E219" s="196">
        <f t="shared" ca="1" si="55"/>
        <v>-404838.47607214196</v>
      </c>
      <c r="F219" s="178">
        <f t="shared" ca="1" si="58"/>
        <v>-83.673217767468273</v>
      </c>
      <c r="G219" s="178">
        <f t="shared" ca="1" si="59"/>
        <v>26.319999999999997</v>
      </c>
      <c r="H219" s="177">
        <f t="shared" ca="1" si="60"/>
        <v>25</v>
      </c>
      <c r="I219" s="196"/>
      <c r="J219" s="9" t="str">
        <f t="shared" ca="1" si="48"/>
        <v/>
      </c>
      <c r="K219" s="9" t="str">
        <f t="shared" ca="1" si="49"/>
        <v/>
      </c>
      <c r="L219" s="9">
        <f t="shared" ca="1" si="50"/>
        <v>3</v>
      </c>
      <c r="N219" s="176">
        <f t="shared" ca="1" si="56"/>
        <v>28</v>
      </c>
      <c r="O219" s="176">
        <f t="shared" ca="1" si="61"/>
        <v>6111</v>
      </c>
      <c r="P219" s="175">
        <f t="shared" ca="1" si="51"/>
        <v>6394.5819413406462</v>
      </c>
      <c r="Q219" s="11">
        <f t="shared" ca="1" si="52"/>
        <v>2.9930000000000002E-2</v>
      </c>
      <c r="R219" s="12">
        <f t="shared" ca="1" si="53"/>
        <v>191.38983750432556</v>
      </c>
    </row>
    <row r="220" spans="1:18">
      <c r="A220" s="198">
        <f t="shared" ca="1" si="62"/>
        <v>202</v>
      </c>
      <c r="B220" s="197">
        <f t="shared" ca="1" si="63"/>
        <v>50870</v>
      </c>
      <c r="C220" s="196">
        <f t="shared" ca="1" si="54"/>
        <v>6453.4120953046931</v>
      </c>
      <c r="D220" s="21">
        <f t="shared" ca="1" si="57"/>
        <v>-3724.513986429713</v>
      </c>
      <c r="E220" s="196">
        <f t="shared" ca="1" si="55"/>
        <v>-411291.88816744665</v>
      </c>
      <c r="F220" s="178">
        <f t="shared" ca="1" si="58"/>
        <v>-85.016079975149822</v>
      </c>
      <c r="G220" s="178">
        <f t="shared" ca="1" si="59"/>
        <v>26.319999999999997</v>
      </c>
      <c r="H220" s="177">
        <f t="shared" ca="1" si="60"/>
        <v>25</v>
      </c>
      <c r="I220" s="196"/>
      <c r="J220" s="9" t="str">
        <f t="shared" ca="1" si="48"/>
        <v/>
      </c>
      <c r="K220" s="9" t="str">
        <f t="shared" ca="1" si="49"/>
        <v/>
      </c>
      <c r="L220" s="9">
        <f t="shared" ca="1" si="50"/>
        <v>4</v>
      </c>
      <c r="N220" s="176">
        <f t="shared" ca="1" si="56"/>
        <v>31</v>
      </c>
      <c r="O220" s="176">
        <f t="shared" ca="1" si="61"/>
        <v>6142</v>
      </c>
      <c r="P220" s="175">
        <f t="shared" ca="1" si="51"/>
        <v>6453.4120953046931</v>
      </c>
      <c r="Q220" s="11">
        <f t="shared" ca="1" si="52"/>
        <v>2.9930000000000002E-2</v>
      </c>
      <c r="R220" s="12">
        <f t="shared" ca="1" si="53"/>
        <v>193.15062401246948</v>
      </c>
    </row>
    <row r="221" spans="1:18">
      <c r="A221" s="198">
        <f t="shared" ca="1" si="62"/>
        <v>203</v>
      </c>
      <c r="B221" s="197">
        <f t="shared" ca="1" si="63"/>
        <v>50900</v>
      </c>
      <c r="C221" s="196">
        <f t="shared" ca="1" si="54"/>
        <v>6512.7834866861631</v>
      </c>
      <c r="D221" s="21">
        <f t="shared" ca="1" si="57"/>
        <v>-3783.8853778111829</v>
      </c>
      <c r="E221" s="196">
        <f t="shared" ca="1" si="55"/>
        <v>-417804.67165413284</v>
      </c>
      <c r="F221" s="178">
        <f t="shared" ca="1" si="58"/>
        <v>-86.371296515163806</v>
      </c>
      <c r="G221" s="178">
        <f t="shared" ca="1" si="59"/>
        <v>26.319999999999997</v>
      </c>
      <c r="H221" s="177">
        <f t="shared" ca="1" si="60"/>
        <v>25</v>
      </c>
      <c r="I221" s="196"/>
      <c r="J221" s="9" t="str">
        <f t="shared" ca="1" si="48"/>
        <v/>
      </c>
      <c r="K221" s="9" t="str">
        <f t="shared" ca="1" si="49"/>
        <v/>
      </c>
      <c r="L221" s="9">
        <f t="shared" ca="1" si="50"/>
        <v>5</v>
      </c>
      <c r="N221" s="176">
        <f t="shared" ca="1" si="56"/>
        <v>30</v>
      </c>
      <c r="O221" s="176">
        <f t="shared" ca="1" si="61"/>
        <v>6172</v>
      </c>
      <c r="P221" s="175">
        <f t="shared" ca="1" si="51"/>
        <v>6512.7834866861631</v>
      </c>
      <c r="Q221" s="11">
        <f t="shared" ca="1" si="52"/>
        <v>2.9930000000000002E-2</v>
      </c>
      <c r="R221" s="12">
        <f t="shared" ca="1" si="53"/>
        <v>194.92760975651686</v>
      </c>
    </row>
    <row r="222" spans="1:18">
      <c r="A222" s="198">
        <f t="shared" ca="1" si="62"/>
        <v>204</v>
      </c>
      <c r="B222" s="197">
        <f t="shared" ca="1" si="63"/>
        <v>50931</v>
      </c>
      <c r="C222" s="196">
        <f t="shared" ca="1" si="54"/>
        <v>6572.701094869306</v>
      </c>
      <c r="D222" s="21">
        <f t="shared" ca="1" si="57"/>
        <v>-3843.8029859943258</v>
      </c>
      <c r="E222" s="196">
        <f t="shared" ca="1" si="55"/>
        <v>-424377.37274900213</v>
      </c>
      <c r="F222" s="178">
        <f t="shared" ca="1" si="58"/>
        <v>-87.738981047367901</v>
      </c>
      <c r="G222" s="178">
        <f t="shared" ca="1" si="59"/>
        <v>26.319999999999997</v>
      </c>
      <c r="H222" s="177">
        <f t="shared" ca="1" si="60"/>
        <v>25</v>
      </c>
      <c r="I222" s="196"/>
      <c r="J222" s="9" t="str">
        <f t="shared" ca="1" si="48"/>
        <v/>
      </c>
      <c r="K222" s="9" t="str">
        <f t="shared" ca="1" si="49"/>
        <v/>
      </c>
      <c r="L222" s="9">
        <f t="shared" ca="1" si="50"/>
        <v>6</v>
      </c>
      <c r="N222" s="176">
        <f t="shared" ca="1" si="56"/>
        <v>31</v>
      </c>
      <c r="O222" s="176">
        <f t="shared" ca="1" si="61"/>
        <v>6203</v>
      </c>
      <c r="P222" s="175">
        <f t="shared" ca="1" si="51"/>
        <v>6572.701094869306</v>
      </c>
      <c r="Q222" s="11">
        <f t="shared" ca="1" si="52"/>
        <v>2.9930000000000002E-2</v>
      </c>
      <c r="R222" s="12">
        <f t="shared" ca="1" si="53"/>
        <v>196.72094376943835</v>
      </c>
    </row>
    <row r="223" spans="1:18">
      <c r="A223" s="198">
        <f t="shared" ca="1" si="62"/>
        <v>205</v>
      </c>
      <c r="B223" s="197">
        <f t="shared" ca="1" si="63"/>
        <v>50961</v>
      </c>
      <c r="C223" s="196">
        <f t="shared" ca="1" si="54"/>
        <v>6633.1699450487049</v>
      </c>
      <c r="D223" s="21">
        <f t="shared" ca="1" si="57"/>
        <v>-3904.2718361737248</v>
      </c>
      <c r="E223" s="196">
        <f t="shared" ca="1" si="55"/>
        <v>-431010.54269405082</v>
      </c>
      <c r="F223" s="178">
        <f t="shared" ca="1" si="58"/>
        <v>-89.119248277290453</v>
      </c>
      <c r="G223" s="178">
        <f t="shared" ca="1" si="59"/>
        <v>26.319999999999997</v>
      </c>
      <c r="H223" s="177">
        <f t="shared" ca="1" si="60"/>
        <v>25</v>
      </c>
      <c r="I223" s="196"/>
      <c r="J223" s="9" t="str">
        <f t="shared" ca="1" si="48"/>
        <v/>
      </c>
      <c r="K223" s="9" t="str">
        <f t="shared" ca="1" si="49"/>
        <v/>
      </c>
      <c r="L223" s="9">
        <f t="shared" ca="1" si="50"/>
        <v>7</v>
      </c>
      <c r="N223" s="176">
        <f t="shared" ca="1" si="56"/>
        <v>30</v>
      </c>
      <c r="O223" s="176">
        <f t="shared" ca="1" si="61"/>
        <v>6233</v>
      </c>
      <c r="P223" s="175">
        <f t="shared" ca="1" si="51"/>
        <v>6633.1699450487049</v>
      </c>
      <c r="Q223" s="11">
        <f t="shared" ca="1" si="52"/>
        <v>2.9930000000000002E-2</v>
      </c>
      <c r="R223" s="12">
        <f t="shared" ca="1" si="53"/>
        <v>198.53077645530774</v>
      </c>
    </row>
    <row r="224" spans="1:18">
      <c r="A224" s="198">
        <f t="shared" ca="1" si="62"/>
        <v>206</v>
      </c>
      <c r="B224" s="197">
        <f t="shared" ca="1" si="63"/>
        <v>50992</v>
      </c>
      <c r="C224" s="196">
        <f t="shared" ca="1" si="54"/>
        <v>6694.1951086507352</v>
      </c>
      <c r="D224" s="21">
        <f t="shared" ca="1" si="57"/>
        <v>-3965.296999775755</v>
      </c>
      <c r="E224" s="196">
        <f t="shared" ca="1" si="55"/>
        <v>-437704.73780270154</v>
      </c>
      <c r="F224" s="178">
        <f t="shared" ca="1" si="58"/>
        <v>-90.512213965750675</v>
      </c>
      <c r="G224" s="178">
        <f t="shared" ca="1" si="59"/>
        <v>26.319999999999997</v>
      </c>
      <c r="H224" s="177">
        <f t="shared" ca="1" si="60"/>
        <v>25</v>
      </c>
      <c r="I224" s="196"/>
      <c r="J224" s="9" t="str">
        <f t="shared" ca="1" si="48"/>
        <v/>
      </c>
      <c r="K224" s="9" t="str">
        <f t="shared" ca="1" si="49"/>
        <v/>
      </c>
      <c r="L224" s="9">
        <f t="shared" ca="1" si="50"/>
        <v>8</v>
      </c>
      <c r="N224" s="176">
        <f t="shared" ca="1" si="56"/>
        <v>31</v>
      </c>
      <c r="O224" s="176">
        <f t="shared" ca="1" si="61"/>
        <v>6264</v>
      </c>
      <c r="P224" s="175">
        <f t="shared" ca="1" si="51"/>
        <v>6694.1951086507352</v>
      </c>
      <c r="Q224" s="11">
        <f t="shared" ca="1" si="52"/>
        <v>2.9930000000000002E-2</v>
      </c>
      <c r="R224" s="12">
        <f t="shared" ca="1" si="53"/>
        <v>200.35725960191652</v>
      </c>
    </row>
    <row r="225" spans="1:18">
      <c r="A225" s="198">
        <f t="shared" ca="1" si="62"/>
        <v>207</v>
      </c>
      <c r="B225" s="197">
        <f t="shared" ca="1" si="63"/>
        <v>51023</v>
      </c>
      <c r="C225" s="196">
        <f t="shared" ca="1" si="54"/>
        <v>6755.7817037588939</v>
      </c>
      <c r="D225" s="21">
        <f t="shared" ca="1" si="57"/>
        <v>-4026.8835948839137</v>
      </c>
      <c r="E225" s="196">
        <f t="shared" ca="1" si="55"/>
        <v>-444460.5195064604</v>
      </c>
      <c r="F225" s="178">
        <f t="shared" ca="1" si="58"/>
        <v>-91.917994938567332</v>
      </c>
      <c r="G225" s="178">
        <f t="shared" ca="1" si="59"/>
        <v>26.319999999999997</v>
      </c>
      <c r="H225" s="177">
        <f t="shared" ca="1" si="60"/>
        <v>25</v>
      </c>
      <c r="I225" s="196"/>
      <c r="J225" s="9" t="str">
        <f t="shared" ca="1" si="48"/>
        <v/>
      </c>
      <c r="K225" s="9" t="str">
        <f t="shared" ca="1" si="49"/>
        <v/>
      </c>
      <c r="L225" s="9">
        <f t="shared" ca="1" si="50"/>
        <v>9</v>
      </c>
      <c r="N225" s="176">
        <f t="shared" ca="1" si="56"/>
        <v>31</v>
      </c>
      <c r="O225" s="176">
        <f t="shared" ca="1" si="61"/>
        <v>6295</v>
      </c>
      <c r="P225" s="175">
        <f t="shared" ca="1" si="51"/>
        <v>6755.7817037588939</v>
      </c>
      <c r="Q225" s="11">
        <f t="shared" ca="1" si="52"/>
        <v>2.9930000000000002E-2</v>
      </c>
      <c r="R225" s="12">
        <f t="shared" ca="1" si="53"/>
        <v>202.20054639350371</v>
      </c>
    </row>
    <row r="226" spans="1:18">
      <c r="A226" s="198">
        <f t="shared" ca="1" si="62"/>
        <v>208</v>
      </c>
      <c r="B226" s="197">
        <f t="shared" ca="1" si="63"/>
        <v>51053</v>
      </c>
      <c r="C226" s="196">
        <f t="shared" ca="1" si="54"/>
        <v>6817.9348955430469</v>
      </c>
      <c r="D226" s="21">
        <f t="shared" ca="1" si="57"/>
        <v>-4089.0367866680663</v>
      </c>
      <c r="E226" s="196">
        <f t="shared" ca="1" si="55"/>
        <v>-451278.45440200344</v>
      </c>
      <c r="F226" s="178">
        <f t="shared" ca="1" si="58"/>
        <v>-93.336709096356685</v>
      </c>
      <c r="G226" s="178">
        <f t="shared" ca="1" si="59"/>
        <v>26.319999999999997</v>
      </c>
      <c r="H226" s="177">
        <f t="shared" ca="1" si="60"/>
        <v>25</v>
      </c>
      <c r="I226" s="196"/>
      <c r="J226" s="9" t="str">
        <f t="shared" ca="1" si="48"/>
        <v/>
      </c>
      <c r="K226" s="9" t="str">
        <f t="shared" ca="1" si="49"/>
        <v/>
      </c>
      <c r="L226" s="9">
        <f t="shared" ca="1" si="50"/>
        <v>10</v>
      </c>
      <c r="N226" s="176">
        <f t="shared" ca="1" si="56"/>
        <v>30</v>
      </c>
      <c r="O226" s="176">
        <f t="shared" ca="1" si="61"/>
        <v>6325</v>
      </c>
      <c r="P226" s="175">
        <f t="shared" ca="1" si="51"/>
        <v>6817.9348955430469</v>
      </c>
      <c r="Q226" s="11">
        <f t="shared" ca="1" si="52"/>
        <v>2.9930000000000002E-2</v>
      </c>
      <c r="R226" s="12">
        <f t="shared" ca="1" si="53"/>
        <v>204.0607914236034</v>
      </c>
    </row>
    <row r="227" spans="1:18">
      <c r="A227" s="198">
        <f t="shared" ca="1" si="62"/>
        <v>209</v>
      </c>
      <c r="B227" s="197">
        <f t="shared" ca="1" si="63"/>
        <v>51084</v>
      </c>
      <c r="C227" s="196">
        <f t="shared" ca="1" si="54"/>
        <v>6880.6598966926213</v>
      </c>
      <c r="D227" s="21">
        <f t="shared" ca="1" si="57"/>
        <v>-4151.7617878176407</v>
      </c>
      <c r="E227" s="196">
        <f t="shared" ca="1" si="55"/>
        <v>-458159.11429869605</v>
      </c>
      <c r="F227" s="178">
        <f t="shared" ca="1" si="58"/>
        <v>-94.768475424420728</v>
      </c>
      <c r="G227" s="178">
        <f t="shared" ca="1" si="59"/>
        <v>26.319999999999997</v>
      </c>
      <c r="H227" s="177">
        <f t="shared" ca="1" si="60"/>
        <v>25</v>
      </c>
      <c r="I227" s="196"/>
      <c r="J227" s="9" t="str">
        <f t="shared" ca="1" si="48"/>
        <v/>
      </c>
      <c r="K227" s="9" t="str">
        <f t="shared" ca="1" si="49"/>
        <v/>
      </c>
      <c r="L227" s="9">
        <f t="shared" ca="1" si="50"/>
        <v>11</v>
      </c>
      <c r="N227" s="176">
        <f t="shared" ca="1" si="56"/>
        <v>31</v>
      </c>
      <c r="O227" s="176">
        <f t="shared" ca="1" si="61"/>
        <v>6356</v>
      </c>
      <c r="P227" s="175">
        <f t="shared" ca="1" si="51"/>
        <v>6880.6598966926213</v>
      </c>
      <c r="Q227" s="11">
        <f t="shared" ca="1" si="52"/>
        <v>2.9930000000000002E-2</v>
      </c>
      <c r="R227" s="12">
        <f t="shared" ca="1" si="53"/>
        <v>205.93815070801017</v>
      </c>
    </row>
    <row r="228" spans="1:18">
      <c r="A228" s="198">
        <f t="shared" ca="1" si="62"/>
        <v>210</v>
      </c>
      <c r="B228" s="197">
        <f t="shared" ca="1" si="63"/>
        <v>51114</v>
      </c>
      <c r="C228" s="196">
        <f t="shared" ca="1" si="54"/>
        <v>6943.9619678537892</v>
      </c>
      <c r="D228" s="21">
        <f t="shared" ca="1" si="57"/>
        <v>-4215.0638589788095</v>
      </c>
      <c r="E228" s="196">
        <f t="shared" ca="1" si="55"/>
        <v>-465103.07626654982</v>
      </c>
      <c r="F228" s="178">
        <f t="shared" ca="1" si="58"/>
        <v>-96.213414002726168</v>
      </c>
      <c r="G228" s="178">
        <f t="shared" ca="1" si="59"/>
        <v>26.319999999999997</v>
      </c>
      <c r="H228" s="177">
        <f t="shared" ca="1" si="60"/>
        <v>25</v>
      </c>
      <c r="I228" s="196"/>
      <c r="J228" s="9" t="str">
        <f t="shared" ca="1" si="48"/>
        <v/>
      </c>
      <c r="K228" s="9" t="str">
        <f t="shared" ca="1" si="49"/>
        <v/>
      </c>
      <c r="L228" s="9">
        <f t="shared" ca="1" si="50"/>
        <v>12</v>
      </c>
      <c r="N228" s="176">
        <f t="shared" ca="1" si="56"/>
        <v>30</v>
      </c>
      <c r="O228" s="176">
        <f t="shared" ca="1" si="61"/>
        <v>6386</v>
      </c>
      <c r="P228" s="175">
        <f t="shared" ca="1" si="51"/>
        <v>6943.9619678537892</v>
      </c>
      <c r="Q228" s="11">
        <f t="shared" ca="1" si="52"/>
        <v>2.9930000000000002E-2</v>
      </c>
      <c r="R228" s="12">
        <f t="shared" ca="1" si="53"/>
        <v>207.83278169786394</v>
      </c>
    </row>
    <row r="229" spans="1:18">
      <c r="A229" s="198">
        <f t="shared" ca="1" si="62"/>
        <v>211</v>
      </c>
      <c r="B229" s="197">
        <f t="shared" ca="1" si="63"/>
        <v>51145</v>
      </c>
      <c r="C229" s="196">
        <f t="shared" ca="1" si="54"/>
        <v>7007.8464180706669</v>
      </c>
      <c r="D229" s="21">
        <f t="shared" ca="1" si="57"/>
        <v>-4278.9483091956872</v>
      </c>
      <c r="E229" s="196">
        <f t="shared" ca="1" si="55"/>
        <v>-472110.92268462048</v>
      </c>
      <c r="F229" s="178">
        <f t="shared" ca="1" si="58"/>
        <v>-97.671646015975469</v>
      </c>
      <c r="G229" s="178">
        <f t="shared" ca="1" si="59"/>
        <v>26.319999999999997</v>
      </c>
      <c r="H229" s="177">
        <f t="shared" ca="1" si="60"/>
        <v>25</v>
      </c>
      <c r="I229" s="196"/>
      <c r="J229" s="9" t="str">
        <f t="shared" ca="1" si="48"/>
        <v/>
      </c>
      <c r="K229" s="9" t="str">
        <f t="shared" ca="1" si="49"/>
        <v/>
      </c>
      <c r="L229" s="9">
        <f t="shared" ca="1" si="50"/>
        <v>1</v>
      </c>
      <c r="N229" s="176">
        <f t="shared" ca="1" si="56"/>
        <v>31</v>
      </c>
      <c r="O229" s="176">
        <f t="shared" ca="1" si="61"/>
        <v>6417</v>
      </c>
      <c r="P229" s="175">
        <f t="shared" ca="1" si="51"/>
        <v>7007.8464180706669</v>
      </c>
      <c r="Q229" s="11">
        <f t="shared" ca="1" si="52"/>
        <v>2.9930000000000002E-2</v>
      </c>
      <c r="R229" s="12">
        <f t="shared" ca="1" si="53"/>
        <v>209.74484329285508</v>
      </c>
    </row>
    <row r="230" spans="1:18">
      <c r="A230" s="198">
        <f t="shared" ca="1" si="62"/>
        <v>212</v>
      </c>
      <c r="B230" s="197">
        <f t="shared" ca="1" si="63"/>
        <v>51176</v>
      </c>
      <c r="C230" s="196">
        <f t="shared" ca="1" si="54"/>
        <v>7072.3186052305755</v>
      </c>
      <c r="D230" s="21">
        <f t="shared" ca="1" si="57"/>
        <v>-4343.4204963555958</v>
      </c>
      <c r="E230" s="196">
        <f t="shared" ca="1" si="55"/>
        <v>-479183.24128985108</v>
      </c>
      <c r="F230" s="178">
        <f t="shared" ca="1" si="58"/>
        <v>-99.143293763770302</v>
      </c>
      <c r="G230" s="178">
        <f t="shared" ca="1" si="59"/>
        <v>26.319999999999997</v>
      </c>
      <c r="H230" s="177">
        <f t="shared" ca="1" si="60"/>
        <v>25</v>
      </c>
      <c r="I230" s="196"/>
      <c r="J230" s="9" t="str">
        <f t="shared" ca="1" si="48"/>
        <v/>
      </c>
      <c r="K230" s="9" t="str">
        <f t="shared" ca="1" si="49"/>
        <v/>
      </c>
      <c r="L230" s="9">
        <f t="shared" ca="1" si="50"/>
        <v>2</v>
      </c>
      <c r="N230" s="176">
        <f t="shared" ca="1" si="56"/>
        <v>31</v>
      </c>
      <c r="O230" s="176">
        <f t="shared" ca="1" si="61"/>
        <v>6448</v>
      </c>
      <c r="P230" s="175">
        <f t="shared" ca="1" si="51"/>
        <v>7072.3186052305755</v>
      </c>
      <c r="Q230" s="11">
        <f t="shared" ca="1" si="52"/>
        <v>2.9930000000000002E-2</v>
      </c>
      <c r="R230" s="12">
        <f t="shared" ca="1" si="53"/>
        <v>211.67449585455114</v>
      </c>
    </row>
    <row r="231" spans="1:18">
      <c r="A231" s="198">
        <f t="shared" ca="1" si="62"/>
        <v>213</v>
      </c>
      <c r="B231" s="197">
        <f t="shared" ca="1" si="63"/>
        <v>51205</v>
      </c>
      <c r="C231" s="196">
        <f t="shared" ca="1" si="54"/>
        <v>7137.3839365134027</v>
      </c>
      <c r="D231" s="21">
        <f t="shared" ca="1" si="57"/>
        <v>-4408.4858276384221</v>
      </c>
      <c r="E231" s="196">
        <f t="shared" ca="1" si="55"/>
        <v>-486320.62522636447</v>
      </c>
      <c r="F231" s="178">
        <f t="shared" ca="1" si="58"/>
        <v>-100.62848067086873</v>
      </c>
      <c r="G231" s="178">
        <f t="shared" ca="1" si="59"/>
        <v>26.319999999999997</v>
      </c>
      <c r="H231" s="177">
        <f t="shared" ca="1" si="60"/>
        <v>25</v>
      </c>
      <c r="I231" s="196"/>
      <c r="J231" s="9" t="str">
        <f t="shared" ca="1" si="48"/>
        <v/>
      </c>
      <c r="K231" s="9" t="str">
        <f t="shared" ca="1" si="49"/>
        <v/>
      </c>
      <c r="L231" s="9">
        <f t="shared" ca="1" si="50"/>
        <v>3</v>
      </c>
      <c r="N231" s="176">
        <f t="shared" ca="1" si="56"/>
        <v>29</v>
      </c>
      <c r="O231" s="176">
        <f t="shared" ca="1" si="61"/>
        <v>6477</v>
      </c>
      <c r="P231" s="175">
        <f t="shared" ca="1" si="51"/>
        <v>7137.3839365134027</v>
      </c>
      <c r="Q231" s="11">
        <f t="shared" ca="1" si="52"/>
        <v>2.9930000000000002E-2</v>
      </c>
      <c r="R231" s="12">
        <f t="shared" ca="1" si="53"/>
        <v>213.62190121984617</v>
      </c>
    </row>
    <row r="232" spans="1:18">
      <c r="A232" s="198">
        <f t="shared" ca="1" si="62"/>
        <v>214</v>
      </c>
      <c r="B232" s="197">
        <f t="shared" ca="1" si="63"/>
        <v>51236</v>
      </c>
      <c r="C232" s="196">
        <f t="shared" ca="1" si="54"/>
        <v>7203.0478688450858</v>
      </c>
      <c r="D232" s="21">
        <f t="shared" ca="1" si="57"/>
        <v>-4474.1497599701052</v>
      </c>
      <c r="E232" s="196">
        <f t="shared" ca="1" si="55"/>
        <v>-493523.67309520958</v>
      </c>
      <c r="F232" s="178">
        <f t="shared" ca="1" si="58"/>
        <v>-102.12733129753654</v>
      </c>
      <c r="G232" s="178">
        <f t="shared" ca="1" si="59"/>
        <v>26.319999999999997</v>
      </c>
      <c r="H232" s="177">
        <f t="shared" ca="1" si="60"/>
        <v>25</v>
      </c>
      <c r="I232" s="196"/>
      <c r="J232" s="9" t="str">
        <f t="shared" ca="1" si="48"/>
        <v/>
      </c>
      <c r="K232" s="9" t="str">
        <f t="shared" ca="1" si="49"/>
        <v/>
      </c>
      <c r="L232" s="9">
        <f t="shared" ca="1" si="50"/>
        <v>4</v>
      </c>
      <c r="N232" s="176">
        <f t="shared" ca="1" si="56"/>
        <v>31</v>
      </c>
      <c r="O232" s="176">
        <f t="shared" ca="1" si="61"/>
        <v>6508</v>
      </c>
      <c r="P232" s="175">
        <f t="shared" ca="1" si="51"/>
        <v>7203.0478688450858</v>
      </c>
      <c r="Q232" s="11">
        <f t="shared" ca="1" si="52"/>
        <v>2.9930000000000002E-2</v>
      </c>
      <c r="R232" s="12">
        <f t="shared" ca="1" si="53"/>
        <v>215.58722271453343</v>
      </c>
    </row>
    <row r="233" spans="1:18">
      <c r="A233" s="198">
        <f t="shared" ca="1" si="62"/>
        <v>215</v>
      </c>
      <c r="B233" s="197">
        <f t="shared" ca="1" si="63"/>
        <v>51266</v>
      </c>
      <c r="C233" s="196">
        <f t="shared" ca="1" si="54"/>
        <v>7269.3159093552858</v>
      </c>
      <c r="D233" s="21">
        <f t="shared" ca="1" si="57"/>
        <v>-4540.4178004803052</v>
      </c>
      <c r="E233" s="196">
        <f t="shared" ca="1" si="55"/>
        <v>-500792.98900456488</v>
      </c>
      <c r="F233" s="178">
        <f t="shared" ca="1" si="58"/>
        <v>-103.63997134999401</v>
      </c>
      <c r="G233" s="178">
        <f t="shared" ca="1" si="59"/>
        <v>26.319999999999997</v>
      </c>
      <c r="H233" s="177">
        <f t="shared" ca="1" si="60"/>
        <v>25</v>
      </c>
      <c r="I233" s="196"/>
      <c r="J233" s="9" t="str">
        <f t="shared" ca="1" si="48"/>
        <v/>
      </c>
      <c r="K233" s="9" t="str">
        <f t="shared" ca="1" si="49"/>
        <v/>
      </c>
      <c r="L233" s="9">
        <f t="shared" ca="1" si="50"/>
        <v>5</v>
      </c>
      <c r="N233" s="176">
        <f t="shared" ca="1" si="56"/>
        <v>30</v>
      </c>
      <c r="O233" s="176">
        <f t="shared" ca="1" si="61"/>
        <v>6538</v>
      </c>
      <c r="P233" s="175">
        <f t="shared" ca="1" si="51"/>
        <v>7269.3159093552858</v>
      </c>
      <c r="Q233" s="11">
        <f t="shared" ca="1" si="52"/>
        <v>2.9930000000000002E-2</v>
      </c>
      <c r="R233" s="12">
        <f t="shared" ca="1" si="53"/>
        <v>217.57062516700373</v>
      </c>
    </row>
    <row r="234" spans="1:18">
      <c r="A234" s="198">
        <f t="shared" ca="1" si="62"/>
        <v>216</v>
      </c>
      <c r="B234" s="197">
        <f t="shared" ca="1" si="63"/>
        <v>51297</v>
      </c>
      <c r="C234" s="196">
        <f t="shared" ca="1" si="54"/>
        <v>7336.1936158392546</v>
      </c>
      <c r="D234" s="21">
        <f t="shared" ca="1" si="57"/>
        <v>-4607.295506964274</v>
      </c>
      <c r="E234" s="196">
        <f t="shared" ca="1" si="55"/>
        <v>-508129.18262040411</v>
      </c>
      <c r="F234" s="178">
        <f t="shared" ca="1" si="58"/>
        <v>-105.16652769095863</v>
      </c>
      <c r="G234" s="178">
        <f t="shared" ca="1" si="59"/>
        <v>26.319999999999997</v>
      </c>
      <c r="H234" s="177">
        <f t="shared" ca="1" si="60"/>
        <v>25</v>
      </c>
      <c r="I234" s="196"/>
      <c r="J234" s="9" t="str">
        <f t="shared" ca="1" si="48"/>
        <v/>
      </c>
      <c r="K234" s="9" t="str">
        <f t="shared" ca="1" si="49"/>
        <v/>
      </c>
      <c r="L234" s="9">
        <f t="shared" ca="1" si="50"/>
        <v>6</v>
      </c>
      <c r="N234" s="176">
        <f t="shared" ca="1" si="56"/>
        <v>31</v>
      </c>
      <c r="O234" s="176">
        <f t="shared" ca="1" si="61"/>
        <v>6569</v>
      </c>
      <c r="P234" s="175">
        <f t="shared" ca="1" si="51"/>
        <v>7336.1936158392546</v>
      </c>
      <c r="Q234" s="11">
        <f t="shared" ca="1" si="52"/>
        <v>2.9930000000000002E-2</v>
      </c>
      <c r="R234" s="12">
        <f t="shared" ca="1" si="53"/>
        <v>219.57227492206891</v>
      </c>
    </row>
    <row r="235" spans="1:18">
      <c r="A235" s="198">
        <f t="shared" ca="1" si="62"/>
        <v>217</v>
      </c>
      <c r="B235" s="197">
        <f t="shared" ca="1" si="63"/>
        <v>51327</v>
      </c>
      <c r="C235" s="196">
        <f t="shared" ca="1" si="54"/>
        <v>7403.6865972239593</v>
      </c>
      <c r="D235" s="21">
        <f t="shared" ca="1" si="57"/>
        <v>-4674.7884883489796</v>
      </c>
      <c r="E235" s="196">
        <f t="shared" ca="1" si="55"/>
        <v>-515532.86921762809</v>
      </c>
      <c r="F235" s="178">
        <f t="shared" ca="1" si="58"/>
        <v>-106.70712835028486</v>
      </c>
      <c r="G235" s="178">
        <f t="shared" ca="1" si="59"/>
        <v>26.319999999999997</v>
      </c>
      <c r="H235" s="177">
        <f t="shared" ca="1" si="60"/>
        <v>25</v>
      </c>
      <c r="I235" s="196"/>
      <c r="J235" s="9" t="str">
        <f t="shared" ca="1" si="48"/>
        <v/>
      </c>
      <c r="K235" s="9" t="str">
        <f t="shared" ca="1" si="49"/>
        <v/>
      </c>
      <c r="L235" s="9">
        <f t="shared" ca="1" si="50"/>
        <v>7</v>
      </c>
      <c r="N235" s="176">
        <f t="shared" ca="1" si="56"/>
        <v>30</v>
      </c>
      <c r="O235" s="176">
        <f t="shared" ca="1" si="61"/>
        <v>6599</v>
      </c>
      <c r="P235" s="175">
        <f t="shared" ca="1" si="51"/>
        <v>7403.6865972239593</v>
      </c>
      <c r="Q235" s="11">
        <f t="shared" ca="1" si="52"/>
        <v>2.9930000000000002E-2</v>
      </c>
      <c r="R235" s="12">
        <f t="shared" ca="1" si="53"/>
        <v>221.59233985491312</v>
      </c>
    </row>
    <row r="236" spans="1:18">
      <c r="A236" s="198">
        <f t="shared" ca="1" si="62"/>
        <v>218</v>
      </c>
      <c r="B236" s="197">
        <f t="shared" ca="1" si="63"/>
        <v>51358</v>
      </c>
      <c r="C236" s="196">
        <f t="shared" ca="1" si="54"/>
        <v>7471.8005140384994</v>
      </c>
      <c r="D236" s="21">
        <f t="shared" ca="1" si="57"/>
        <v>-4742.9024051635197</v>
      </c>
      <c r="E236" s="196">
        <f t="shared" ca="1" si="55"/>
        <v>-523004.66973166657</v>
      </c>
      <c r="F236" s="178">
        <f t="shared" ca="1" si="58"/>
        <v>-108.26190253570191</v>
      </c>
      <c r="G236" s="178">
        <f t="shared" ca="1" si="59"/>
        <v>26.319999999999997</v>
      </c>
      <c r="H236" s="177">
        <f t="shared" ca="1" si="60"/>
        <v>25</v>
      </c>
      <c r="I236" s="196"/>
      <c r="J236" s="9" t="str">
        <f t="shared" ca="1" si="48"/>
        <v/>
      </c>
      <c r="K236" s="9" t="str">
        <f t="shared" ca="1" si="49"/>
        <v/>
      </c>
      <c r="L236" s="9">
        <f t="shared" ca="1" si="50"/>
        <v>8</v>
      </c>
      <c r="N236" s="176">
        <f t="shared" ca="1" si="56"/>
        <v>31</v>
      </c>
      <c r="O236" s="176">
        <f t="shared" ca="1" si="61"/>
        <v>6630</v>
      </c>
      <c r="P236" s="175">
        <f t="shared" ca="1" si="51"/>
        <v>7471.8005140384994</v>
      </c>
      <c r="Q236" s="11">
        <f t="shared" ca="1" si="52"/>
        <v>2.9930000000000002E-2</v>
      </c>
      <c r="R236" s="12">
        <f t="shared" ca="1" si="53"/>
        <v>223.63098938517231</v>
      </c>
    </row>
    <row r="237" spans="1:18">
      <c r="A237" s="198">
        <f t="shared" ca="1" si="62"/>
        <v>219</v>
      </c>
      <c r="B237" s="197">
        <f t="shared" ca="1" si="63"/>
        <v>51389</v>
      </c>
      <c r="C237" s="196">
        <f t="shared" ca="1" si="54"/>
        <v>7540.5410788888366</v>
      </c>
      <c r="D237" s="21">
        <f t="shared" ca="1" si="57"/>
        <v>-4811.6429700138569</v>
      </c>
      <c r="E237" s="196">
        <f t="shared" ca="1" si="55"/>
        <v>-530545.21081055538</v>
      </c>
      <c r="F237" s="178">
        <f t="shared" ca="1" si="58"/>
        <v>-109.83098064364998</v>
      </c>
      <c r="G237" s="178">
        <f t="shared" ca="1" si="59"/>
        <v>26.319999999999997</v>
      </c>
      <c r="H237" s="177">
        <f t="shared" ca="1" si="60"/>
        <v>25</v>
      </c>
      <c r="I237" s="196"/>
      <c r="J237" s="9" t="str">
        <f t="shared" ca="1" si="48"/>
        <v/>
      </c>
      <c r="K237" s="9" t="str">
        <f t="shared" ca="1" si="49"/>
        <v/>
      </c>
      <c r="L237" s="9">
        <f t="shared" ca="1" si="50"/>
        <v>9</v>
      </c>
      <c r="N237" s="176">
        <f t="shared" ca="1" si="56"/>
        <v>31</v>
      </c>
      <c r="O237" s="176">
        <f t="shared" ca="1" si="61"/>
        <v>6661</v>
      </c>
      <c r="P237" s="175">
        <f t="shared" ca="1" si="51"/>
        <v>7540.5410788888366</v>
      </c>
      <c r="Q237" s="11">
        <f t="shared" ca="1" si="52"/>
        <v>2.9930000000000002E-2</v>
      </c>
      <c r="R237" s="12">
        <f t="shared" ca="1" si="53"/>
        <v>225.6883944911429</v>
      </c>
    </row>
    <row r="238" spans="1:18">
      <c r="A238" s="198">
        <f t="shared" ca="1" si="62"/>
        <v>220</v>
      </c>
      <c r="B238" s="197">
        <f t="shared" ca="1" si="63"/>
        <v>51419</v>
      </c>
      <c r="C238" s="196">
        <f t="shared" ca="1" si="54"/>
        <v>7609.9140569369138</v>
      </c>
      <c r="D238" s="21">
        <f t="shared" ca="1" si="57"/>
        <v>-4881.0159480619332</v>
      </c>
      <c r="E238" s="196">
        <f t="shared" ca="1" si="55"/>
        <v>-538155.12486749224</v>
      </c>
      <c r="F238" s="178">
        <f t="shared" ca="1" si="58"/>
        <v>-111.41449427021664</v>
      </c>
      <c r="G238" s="178">
        <f t="shared" ca="1" si="59"/>
        <v>26.319999999999997</v>
      </c>
      <c r="H238" s="177">
        <f t="shared" ca="1" si="60"/>
        <v>25</v>
      </c>
      <c r="I238" s="196"/>
      <c r="J238" s="9" t="str">
        <f t="shared" ca="1" si="48"/>
        <v/>
      </c>
      <c r="K238" s="9" t="str">
        <f t="shared" ca="1" si="49"/>
        <v/>
      </c>
      <c r="L238" s="9">
        <f t="shared" ca="1" si="50"/>
        <v>10</v>
      </c>
      <c r="N238" s="176">
        <f t="shared" ca="1" si="56"/>
        <v>30</v>
      </c>
      <c r="O238" s="176">
        <f t="shared" ca="1" si="61"/>
        <v>6691</v>
      </c>
      <c r="P238" s="175">
        <f t="shared" ca="1" si="51"/>
        <v>7609.9140569369138</v>
      </c>
      <c r="Q238" s="11">
        <f t="shared" ca="1" si="52"/>
        <v>2.9930000000000002E-2</v>
      </c>
      <c r="R238" s="12">
        <f t="shared" ca="1" si="53"/>
        <v>227.76472772412185</v>
      </c>
    </row>
    <row r="239" spans="1:18">
      <c r="A239" s="198">
        <f t="shared" ca="1" si="62"/>
        <v>221</v>
      </c>
      <c r="B239" s="197">
        <f t="shared" ca="1" si="63"/>
        <v>51450</v>
      </c>
      <c r="C239" s="196">
        <f t="shared" ca="1" si="54"/>
        <v>7679.9252663841562</v>
      </c>
      <c r="D239" s="21">
        <f t="shared" ca="1" si="57"/>
        <v>-4951.0271575091756</v>
      </c>
      <c r="E239" s="196">
        <f t="shared" ca="1" si="55"/>
        <v>-545835.05013387639</v>
      </c>
      <c r="F239" s="178">
        <f t="shared" ca="1" si="58"/>
        <v>-113.01257622217338</v>
      </c>
      <c r="G239" s="178">
        <f t="shared" ca="1" si="59"/>
        <v>26.319999999999997</v>
      </c>
      <c r="H239" s="177">
        <f t="shared" ca="1" si="60"/>
        <v>25</v>
      </c>
      <c r="I239" s="196"/>
      <c r="J239" s="9" t="str">
        <f t="shared" ca="1" si="48"/>
        <v/>
      </c>
      <c r="K239" s="9" t="str">
        <f t="shared" ca="1" si="49"/>
        <v/>
      </c>
      <c r="L239" s="9">
        <f t="shared" ca="1" si="50"/>
        <v>11</v>
      </c>
      <c r="N239" s="176">
        <f t="shared" ca="1" si="56"/>
        <v>31</v>
      </c>
      <c r="O239" s="176">
        <f t="shared" ca="1" si="61"/>
        <v>6722</v>
      </c>
      <c r="P239" s="175">
        <f t="shared" ca="1" si="51"/>
        <v>7679.9252663841562</v>
      </c>
      <c r="Q239" s="11">
        <f t="shared" ca="1" si="52"/>
        <v>2.9930000000000002E-2</v>
      </c>
      <c r="R239" s="12">
        <f t="shared" ca="1" si="53"/>
        <v>229.86016322287782</v>
      </c>
    </row>
    <row r="240" spans="1:18">
      <c r="A240" s="198">
        <f t="shared" ca="1" si="62"/>
        <v>222</v>
      </c>
      <c r="B240" s="197">
        <f t="shared" ca="1" si="63"/>
        <v>51480</v>
      </c>
      <c r="C240" s="196">
        <f t="shared" ca="1" si="54"/>
        <v>7750.5805789594506</v>
      </c>
      <c r="D240" s="21">
        <f t="shared" ca="1" si="57"/>
        <v>-5021.68247008447</v>
      </c>
      <c r="E240" s="196">
        <f t="shared" ca="1" si="55"/>
        <v>-553585.63071283582</v>
      </c>
      <c r="F240" s="178">
        <f t="shared" ca="1" si="58"/>
        <v>-114.62536052811404</v>
      </c>
      <c r="G240" s="178">
        <f t="shared" ca="1" si="59"/>
        <v>26.319999999999997</v>
      </c>
      <c r="H240" s="177">
        <f t="shared" ca="1" si="60"/>
        <v>25</v>
      </c>
      <c r="I240" s="196"/>
      <c r="J240" s="9" t="str">
        <f t="shared" ca="1" si="48"/>
        <v/>
      </c>
      <c r="K240" s="9" t="str">
        <f t="shared" ca="1" si="49"/>
        <v/>
      </c>
      <c r="L240" s="9">
        <f t="shared" ca="1" si="50"/>
        <v>12</v>
      </c>
      <c r="N240" s="176">
        <f t="shared" ca="1" si="56"/>
        <v>30</v>
      </c>
      <c r="O240" s="176">
        <f t="shared" ca="1" si="61"/>
        <v>6752</v>
      </c>
      <c r="P240" s="175">
        <f t="shared" ca="1" si="51"/>
        <v>7750.5805789594506</v>
      </c>
      <c r="Q240" s="11">
        <f t="shared" ca="1" si="52"/>
        <v>2.9930000000000002E-2</v>
      </c>
      <c r="R240" s="12">
        <f t="shared" ca="1" si="53"/>
        <v>231.97487672825636</v>
      </c>
    </row>
    <row r="241" spans="1:18">
      <c r="A241" s="198">
        <f t="shared" ca="1" si="62"/>
        <v>223</v>
      </c>
      <c r="B241" s="197">
        <f t="shared" ca="1" si="63"/>
        <v>51511</v>
      </c>
      <c r="C241" s="196">
        <f t="shared" ca="1" si="54"/>
        <v>7821.8859204115815</v>
      </c>
      <c r="D241" s="21">
        <f t="shared" ca="1" si="57"/>
        <v>-5092.9878115366018</v>
      </c>
      <c r="E241" s="196">
        <f t="shared" ca="1" si="55"/>
        <v>-561407.51663324737</v>
      </c>
      <c r="F241" s="178">
        <f t="shared" ca="1" si="58"/>
        <v>-116.25298244969552</v>
      </c>
      <c r="G241" s="178">
        <f t="shared" ca="1" si="59"/>
        <v>26.319999999999997</v>
      </c>
      <c r="H241" s="177">
        <f t="shared" ca="1" si="60"/>
        <v>25</v>
      </c>
      <c r="I241" s="196"/>
      <c r="J241" s="9" t="str">
        <f t="shared" ca="1" si="48"/>
        <v/>
      </c>
      <c r="K241" s="9" t="str">
        <f t="shared" ca="1" si="49"/>
        <v/>
      </c>
      <c r="L241" s="9">
        <f t="shared" ca="1" si="50"/>
        <v>1</v>
      </c>
      <c r="N241" s="176">
        <f t="shared" ca="1" si="56"/>
        <v>31</v>
      </c>
      <c r="O241" s="176">
        <f t="shared" ca="1" si="61"/>
        <v>6783</v>
      </c>
      <c r="P241" s="175">
        <f t="shared" ca="1" si="51"/>
        <v>7821.8859204115815</v>
      </c>
      <c r="Q241" s="11">
        <f t="shared" ca="1" si="52"/>
        <v>2.9930000000000002E-2</v>
      </c>
      <c r="R241" s="12">
        <f t="shared" ca="1" si="53"/>
        <v>234.10904559791865</v>
      </c>
    </row>
    <row r="242" spans="1:18">
      <c r="A242" s="198">
        <f t="shared" ca="1" si="62"/>
        <v>224</v>
      </c>
      <c r="B242" s="197">
        <f t="shared" ca="1" si="63"/>
        <v>51542</v>
      </c>
      <c r="C242" s="196">
        <f t="shared" ca="1" si="54"/>
        <v>7893.8472710062306</v>
      </c>
      <c r="D242" s="21">
        <f t="shared" ca="1" si="57"/>
        <v>-5164.94916213125</v>
      </c>
      <c r="E242" s="196">
        <f t="shared" ca="1" si="55"/>
        <v>-569301.36390425358</v>
      </c>
      <c r="F242" s="178">
        <f t="shared" ca="1" si="58"/>
        <v>-117.89557849298195</v>
      </c>
      <c r="G242" s="178">
        <f t="shared" ca="1" si="59"/>
        <v>26.319999999999997</v>
      </c>
      <c r="H242" s="177">
        <f t="shared" ca="1" si="60"/>
        <v>25</v>
      </c>
      <c r="I242" s="196"/>
      <c r="J242" s="9" t="str">
        <f t="shared" ca="1" si="48"/>
        <v/>
      </c>
      <c r="K242" s="9" t="str">
        <f t="shared" ca="1" si="49"/>
        <v/>
      </c>
      <c r="L242" s="9">
        <f t="shared" ca="1" si="50"/>
        <v>2</v>
      </c>
      <c r="N242" s="176">
        <f t="shared" ca="1" si="56"/>
        <v>31</v>
      </c>
      <c r="O242" s="176">
        <f t="shared" ca="1" si="61"/>
        <v>6814</v>
      </c>
      <c r="P242" s="175">
        <f t="shared" ca="1" si="51"/>
        <v>7893.8472710062306</v>
      </c>
      <c r="Q242" s="11">
        <f t="shared" ca="1" si="52"/>
        <v>2.9930000000000002E-2</v>
      </c>
      <c r="R242" s="12">
        <f t="shared" ca="1" si="53"/>
        <v>236.26284882121649</v>
      </c>
    </row>
    <row r="243" spans="1:18">
      <c r="A243" s="198">
        <f t="shared" ca="1" si="62"/>
        <v>225</v>
      </c>
      <c r="B243" s="197">
        <f t="shared" ca="1" si="63"/>
        <v>51570</v>
      </c>
      <c r="C243" s="196">
        <f t="shared" ca="1" si="54"/>
        <v>7966.4706660275169</v>
      </c>
      <c r="D243" s="21">
        <f t="shared" ca="1" si="57"/>
        <v>-5237.5725571525363</v>
      </c>
      <c r="E243" s="196">
        <f t="shared" ca="1" si="55"/>
        <v>-577267.83457028109</v>
      </c>
      <c r="F243" s="178">
        <f t="shared" ca="1" si="58"/>
        <v>-119.55328641989325</v>
      </c>
      <c r="G243" s="178">
        <f t="shared" ca="1" si="59"/>
        <v>26.319999999999997</v>
      </c>
      <c r="H243" s="177">
        <f t="shared" ca="1" si="60"/>
        <v>25</v>
      </c>
      <c r="I243" s="196"/>
      <c r="J243" s="9" t="str">
        <f t="shared" ca="1" si="48"/>
        <v/>
      </c>
      <c r="K243" s="9" t="str">
        <f t="shared" ca="1" si="49"/>
        <v/>
      </c>
      <c r="L243" s="9">
        <f t="shared" ca="1" si="50"/>
        <v>3</v>
      </c>
      <c r="N243" s="176">
        <f t="shared" ca="1" si="56"/>
        <v>28</v>
      </c>
      <c r="O243" s="176">
        <f t="shared" ca="1" si="61"/>
        <v>6842</v>
      </c>
      <c r="P243" s="175">
        <f t="shared" ca="1" si="51"/>
        <v>7966.4706660275169</v>
      </c>
      <c r="Q243" s="11">
        <f t="shared" ca="1" si="52"/>
        <v>2.9930000000000002E-2</v>
      </c>
      <c r="R243" s="12">
        <f t="shared" ca="1" si="53"/>
        <v>238.43646703420359</v>
      </c>
    </row>
    <row r="244" spans="1:18">
      <c r="A244" s="198">
        <f t="shared" ca="1" si="62"/>
        <v>226</v>
      </c>
      <c r="B244" s="197">
        <f t="shared" ca="1" si="63"/>
        <v>51601</v>
      </c>
      <c r="C244" s="196">
        <f t="shared" ca="1" si="54"/>
        <v>8039.7621962841768</v>
      </c>
      <c r="D244" s="21">
        <f t="shared" ca="1" si="57"/>
        <v>-5310.8640874091961</v>
      </c>
      <c r="E244" s="196">
        <f t="shared" ca="1" si="55"/>
        <v>-585307.59676656523</v>
      </c>
      <c r="F244" s="178">
        <f t="shared" ca="1" si="58"/>
        <v>-121.22624525975904</v>
      </c>
      <c r="G244" s="178">
        <f t="shared" ca="1" si="59"/>
        <v>26.319999999999997</v>
      </c>
      <c r="H244" s="177">
        <f t="shared" ca="1" si="60"/>
        <v>25</v>
      </c>
      <c r="I244" s="196"/>
      <c r="J244" s="9" t="str">
        <f t="shared" ca="1" si="48"/>
        <v/>
      </c>
      <c r="K244" s="9" t="str">
        <f t="shared" ca="1" si="49"/>
        <v/>
      </c>
      <c r="L244" s="9">
        <f t="shared" ca="1" si="50"/>
        <v>4</v>
      </c>
      <c r="N244" s="176">
        <f t="shared" ca="1" si="56"/>
        <v>31</v>
      </c>
      <c r="O244" s="176">
        <f t="shared" ca="1" si="61"/>
        <v>6873</v>
      </c>
      <c r="P244" s="175">
        <f t="shared" ca="1" si="51"/>
        <v>8039.7621962841768</v>
      </c>
      <c r="Q244" s="11">
        <f t="shared" ca="1" si="52"/>
        <v>2.9930000000000002E-2</v>
      </c>
      <c r="R244" s="12">
        <f t="shared" ca="1" si="53"/>
        <v>240.63008253478543</v>
      </c>
    </row>
    <row r="245" spans="1:18">
      <c r="A245" s="198">
        <f t="shared" ca="1" si="62"/>
        <v>227</v>
      </c>
      <c r="B245" s="197">
        <f t="shared" ca="1" si="63"/>
        <v>51631</v>
      </c>
      <c r="C245" s="196">
        <f t="shared" ca="1" si="54"/>
        <v>8113.7280086203864</v>
      </c>
      <c r="D245" s="21">
        <f t="shared" ca="1" si="57"/>
        <v>-5384.8298997454058</v>
      </c>
      <c r="E245" s="196">
        <f t="shared" ca="1" si="55"/>
        <v>-593421.32477518567</v>
      </c>
      <c r="F245" s="178">
        <f t="shared" ca="1" si="58"/>
        <v>-122.91459532097871</v>
      </c>
      <c r="G245" s="178">
        <f t="shared" ca="1" si="59"/>
        <v>26.319999999999997</v>
      </c>
      <c r="H245" s="177">
        <f t="shared" ca="1" si="60"/>
        <v>25</v>
      </c>
      <c r="I245" s="196"/>
      <c r="J245" s="9" t="str">
        <f t="shared" ca="1" si="48"/>
        <v/>
      </c>
      <c r="K245" s="9" t="str">
        <f t="shared" ca="1" si="49"/>
        <v/>
      </c>
      <c r="L245" s="9">
        <f t="shared" ca="1" si="50"/>
        <v>5</v>
      </c>
      <c r="N245" s="176">
        <f t="shared" ca="1" si="56"/>
        <v>30</v>
      </c>
      <c r="O245" s="176">
        <f t="shared" ca="1" si="61"/>
        <v>6903</v>
      </c>
      <c r="P245" s="175">
        <f t="shared" ca="1" si="51"/>
        <v>8113.7280086203864</v>
      </c>
      <c r="Q245" s="11">
        <f t="shared" ca="1" si="52"/>
        <v>2.9930000000000002E-2</v>
      </c>
      <c r="R245" s="12">
        <f t="shared" ca="1" si="53"/>
        <v>242.84387929800818</v>
      </c>
    </row>
    <row r="246" spans="1:18">
      <c r="A246" s="198">
        <f t="shared" ca="1" si="62"/>
        <v>228</v>
      </c>
      <c r="B246" s="197">
        <f t="shared" ca="1" si="63"/>
        <v>51662</v>
      </c>
      <c r="C246" s="196">
        <f t="shared" ca="1" si="54"/>
        <v>8188.3743064312894</v>
      </c>
      <c r="D246" s="21">
        <f t="shared" ca="1" si="57"/>
        <v>-5459.4761975563088</v>
      </c>
      <c r="E246" s="196">
        <f t="shared" ca="1" si="55"/>
        <v>-601609.69908161694</v>
      </c>
      <c r="F246" s="178">
        <f t="shared" ca="1" si="58"/>
        <v>-124.61847820278899</v>
      </c>
      <c r="G246" s="178">
        <f t="shared" ca="1" si="59"/>
        <v>26.319999999999997</v>
      </c>
      <c r="H246" s="177">
        <f t="shared" ca="1" si="60"/>
        <v>25</v>
      </c>
      <c r="I246" s="196"/>
      <c r="J246" s="9" t="str">
        <f t="shared" ca="1" si="48"/>
        <v/>
      </c>
      <c r="K246" s="9" t="str">
        <f t="shared" ca="1" si="49"/>
        <v/>
      </c>
      <c r="L246" s="9">
        <f t="shared" ca="1" si="50"/>
        <v>6</v>
      </c>
      <c r="N246" s="176">
        <f t="shared" ca="1" si="56"/>
        <v>31</v>
      </c>
      <c r="O246" s="176">
        <f t="shared" ca="1" si="61"/>
        <v>6934</v>
      </c>
      <c r="P246" s="175">
        <f t="shared" ca="1" si="51"/>
        <v>8188.3743064312894</v>
      </c>
      <c r="Q246" s="11">
        <f t="shared" ca="1" si="52"/>
        <v>2.9930000000000002E-2</v>
      </c>
      <c r="R246" s="12">
        <f t="shared" ca="1" si="53"/>
        <v>245.0780429914885</v>
      </c>
    </row>
    <row r="247" spans="1:18">
      <c r="A247" s="198" t="str">
        <f t="shared" ca="1" si="62"/>
        <v/>
      </c>
      <c r="B247" s="197" t="str">
        <f t="shared" ca="1" si="63"/>
        <v/>
      </c>
      <c r="C247" s="196" t="str">
        <f t="shared" ca="1" si="54"/>
        <v/>
      </c>
      <c r="D247" s="21" t="str">
        <f t="shared" ca="1" si="57"/>
        <v/>
      </c>
      <c r="E247" s="196" t="str">
        <f t="shared" ca="1" si="55"/>
        <v/>
      </c>
      <c r="F247" s="178">
        <f t="shared" ca="1" si="58"/>
        <v>0</v>
      </c>
      <c r="G247" s="178">
        <f t="shared" ca="1" si="59"/>
        <v>0</v>
      </c>
      <c r="H247" s="177">
        <f t="shared" ca="1" si="60"/>
        <v>0</v>
      </c>
      <c r="I247" s="196"/>
      <c r="J247" s="9" t="str">
        <f t="shared" ca="1" si="48"/>
        <v/>
      </c>
      <c r="K247" s="9" t="str">
        <f t="shared" ca="1" si="49"/>
        <v/>
      </c>
      <c r="L247" s="9" t="str">
        <f t="shared" ca="1" si="50"/>
        <v/>
      </c>
      <c r="N247" s="176" t="str">
        <f t="shared" ca="1" si="56"/>
        <v/>
      </c>
      <c r="O247" s="176" t="str">
        <f t="shared" ca="1" si="61"/>
        <v/>
      </c>
      <c r="P247" s="175" t="str">
        <f t="shared" ca="1" si="51"/>
        <v/>
      </c>
      <c r="Q247" s="11" t="str">
        <f t="shared" ca="1" si="52"/>
        <v/>
      </c>
      <c r="R247" s="12" t="str">
        <f t="shared" ca="1" si="53"/>
        <v/>
      </c>
    </row>
    <row r="248" spans="1:18">
      <c r="A248" s="198" t="str">
        <f t="shared" ca="1" si="62"/>
        <v/>
      </c>
      <c r="B248" s="197" t="str">
        <f t="shared" ca="1" si="63"/>
        <v/>
      </c>
      <c r="C248" s="196" t="str">
        <f t="shared" ca="1" si="54"/>
        <v/>
      </c>
      <c r="D248" s="21" t="str">
        <f t="shared" ca="1" si="57"/>
        <v/>
      </c>
      <c r="E248" s="196" t="str">
        <f t="shared" ca="1" si="55"/>
        <v/>
      </c>
      <c r="F248" s="178">
        <f t="shared" ca="1" si="58"/>
        <v>0</v>
      </c>
      <c r="G248" s="178">
        <f t="shared" ca="1" si="59"/>
        <v>0</v>
      </c>
      <c r="H248" s="177">
        <f t="shared" ca="1" si="60"/>
        <v>0</v>
      </c>
      <c r="I248" s="196"/>
      <c r="J248" s="9" t="str">
        <f t="shared" ca="1" si="48"/>
        <v/>
      </c>
      <c r="K248" s="9" t="str">
        <f t="shared" ca="1" si="49"/>
        <v/>
      </c>
      <c r="L248" s="9" t="str">
        <f t="shared" ca="1" si="50"/>
        <v/>
      </c>
      <c r="N248" s="176" t="str">
        <f t="shared" ca="1" si="56"/>
        <v/>
      </c>
      <c r="O248" s="176" t="str">
        <f t="shared" ca="1" si="61"/>
        <v/>
      </c>
      <c r="P248" s="175" t="str">
        <f t="shared" ca="1" si="51"/>
        <v/>
      </c>
      <c r="Q248" s="11" t="str">
        <f t="shared" ca="1" si="52"/>
        <v/>
      </c>
      <c r="R248" s="12" t="str">
        <f t="shared" ca="1" si="53"/>
        <v/>
      </c>
    </row>
    <row r="249" spans="1:18">
      <c r="A249" s="198" t="str">
        <f t="shared" ca="1" si="62"/>
        <v/>
      </c>
      <c r="B249" s="197" t="str">
        <f t="shared" ca="1" si="63"/>
        <v/>
      </c>
      <c r="C249" s="196" t="str">
        <f t="shared" ca="1" si="54"/>
        <v/>
      </c>
      <c r="D249" s="21" t="str">
        <f t="shared" ca="1" si="57"/>
        <v/>
      </c>
      <c r="E249" s="196" t="str">
        <f t="shared" ca="1" si="55"/>
        <v/>
      </c>
      <c r="F249" s="178">
        <f t="shared" ca="1" si="58"/>
        <v>0</v>
      </c>
      <c r="G249" s="178">
        <f t="shared" ca="1" si="59"/>
        <v>0</v>
      </c>
      <c r="H249" s="177">
        <f t="shared" ca="1" si="60"/>
        <v>0</v>
      </c>
      <c r="I249" s="196"/>
      <c r="J249" s="9" t="str">
        <f t="shared" ca="1" si="48"/>
        <v/>
      </c>
      <c r="K249" s="9" t="str">
        <f t="shared" ca="1" si="49"/>
        <v/>
      </c>
      <c r="L249" s="9" t="str">
        <f t="shared" ca="1" si="50"/>
        <v/>
      </c>
      <c r="N249" s="176" t="str">
        <f t="shared" ca="1" si="56"/>
        <v/>
      </c>
      <c r="O249" s="176" t="str">
        <f t="shared" ca="1" si="61"/>
        <v/>
      </c>
      <c r="P249" s="175" t="str">
        <f t="shared" ca="1" si="51"/>
        <v/>
      </c>
      <c r="Q249" s="11" t="str">
        <f t="shared" ca="1" si="52"/>
        <v/>
      </c>
      <c r="R249" s="12" t="str">
        <f t="shared" ca="1" si="53"/>
        <v/>
      </c>
    </row>
    <row r="250" spans="1:18">
      <c r="A250" s="198" t="str">
        <f t="shared" ca="1" si="62"/>
        <v/>
      </c>
      <c r="B250" s="197" t="str">
        <f t="shared" ca="1" si="63"/>
        <v/>
      </c>
      <c r="C250" s="196" t="str">
        <f t="shared" ca="1" si="54"/>
        <v/>
      </c>
      <c r="D250" s="21" t="str">
        <f t="shared" ca="1" si="57"/>
        <v/>
      </c>
      <c r="E250" s="196" t="str">
        <f t="shared" ca="1" si="55"/>
        <v/>
      </c>
      <c r="F250" s="178">
        <f t="shared" ca="1" si="58"/>
        <v>0</v>
      </c>
      <c r="G250" s="178">
        <f t="shared" ca="1" si="59"/>
        <v>0</v>
      </c>
      <c r="H250" s="177">
        <f t="shared" ca="1" si="60"/>
        <v>0</v>
      </c>
      <c r="I250" s="196"/>
      <c r="J250" s="9" t="str">
        <f t="shared" ca="1" si="48"/>
        <v/>
      </c>
      <c r="K250" s="9" t="str">
        <f t="shared" ca="1" si="49"/>
        <v/>
      </c>
      <c r="L250" s="9" t="str">
        <f t="shared" ca="1" si="50"/>
        <v/>
      </c>
      <c r="N250" s="176" t="str">
        <f t="shared" ca="1" si="56"/>
        <v/>
      </c>
      <c r="O250" s="176" t="str">
        <f t="shared" ca="1" si="61"/>
        <v/>
      </c>
      <c r="P250" s="175" t="str">
        <f t="shared" ca="1" si="51"/>
        <v/>
      </c>
      <c r="Q250" s="11" t="str">
        <f t="shared" ca="1" si="52"/>
        <v/>
      </c>
      <c r="R250" s="12" t="str">
        <f t="shared" ca="1" si="53"/>
        <v/>
      </c>
    </row>
    <row r="251" spans="1:18">
      <c r="A251" s="198" t="str">
        <f t="shared" ca="1" si="62"/>
        <v/>
      </c>
      <c r="B251" s="197" t="str">
        <f t="shared" ca="1" si="63"/>
        <v/>
      </c>
      <c r="C251" s="196" t="str">
        <f t="shared" ca="1" si="54"/>
        <v/>
      </c>
      <c r="D251" s="21" t="str">
        <f t="shared" ca="1" si="57"/>
        <v/>
      </c>
      <c r="E251" s="196" t="str">
        <f t="shared" ca="1" si="55"/>
        <v/>
      </c>
      <c r="F251" s="178">
        <f t="shared" ca="1" si="58"/>
        <v>0</v>
      </c>
      <c r="G251" s="178">
        <f t="shared" ca="1" si="59"/>
        <v>0</v>
      </c>
      <c r="H251" s="177">
        <f t="shared" ca="1" si="60"/>
        <v>0</v>
      </c>
      <c r="I251" s="196"/>
      <c r="J251" s="9" t="str">
        <f t="shared" ca="1" si="48"/>
        <v/>
      </c>
      <c r="K251" s="9" t="str">
        <f t="shared" ca="1" si="49"/>
        <v/>
      </c>
      <c r="L251" s="9" t="str">
        <f t="shared" ca="1" si="50"/>
        <v/>
      </c>
      <c r="N251" s="176" t="str">
        <f t="shared" ca="1" si="56"/>
        <v/>
      </c>
      <c r="O251" s="176" t="str">
        <f t="shared" ca="1" si="61"/>
        <v/>
      </c>
      <c r="P251" s="175" t="str">
        <f t="shared" ca="1" si="51"/>
        <v/>
      </c>
      <c r="Q251" s="11" t="str">
        <f t="shared" ca="1" si="52"/>
        <v/>
      </c>
      <c r="R251" s="12" t="str">
        <f t="shared" ca="1" si="53"/>
        <v/>
      </c>
    </row>
    <row r="252" spans="1:18">
      <c r="A252" s="198" t="str">
        <f t="shared" ca="1" si="62"/>
        <v/>
      </c>
      <c r="B252" s="197" t="str">
        <f t="shared" ca="1" si="63"/>
        <v/>
      </c>
      <c r="C252" s="196" t="str">
        <f t="shared" ca="1" si="54"/>
        <v/>
      </c>
      <c r="D252" s="21" t="str">
        <f t="shared" ca="1" si="57"/>
        <v/>
      </c>
      <c r="E252" s="196" t="str">
        <f t="shared" ca="1" si="55"/>
        <v/>
      </c>
      <c r="F252" s="178">
        <f t="shared" ca="1" si="58"/>
        <v>0</v>
      </c>
      <c r="G252" s="178">
        <f t="shared" ca="1" si="59"/>
        <v>0</v>
      </c>
      <c r="H252" s="177">
        <f t="shared" ca="1" si="60"/>
        <v>0</v>
      </c>
      <c r="I252" s="196"/>
      <c r="J252" s="9" t="str">
        <f t="shared" ca="1" si="48"/>
        <v/>
      </c>
      <c r="K252" s="9" t="str">
        <f t="shared" ca="1" si="49"/>
        <v/>
      </c>
      <c r="L252" s="9" t="str">
        <f t="shared" ca="1" si="50"/>
        <v/>
      </c>
      <c r="N252" s="176" t="str">
        <f t="shared" ca="1" si="56"/>
        <v/>
      </c>
      <c r="O252" s="176" t="str">
        <f t="shared" ca="1" si="61"/>
        <v/>
      </c>
      <c r="P252" s="175" t="str">
        <f t="shared" ca="1" si="51"/>
        <v/>
      </c>
      <c r="Q252" s="11" t="str">
        <f t="shared" ca="1" si="52"/>
        <v/>
      </c>
      <c r="R252" s="12" t="str">
        <f t="shared" ca="1" si="53"/>
        <v/>
      </c>
    </row>
    <row r="253" spans="1:18">
      <c r="A253" s="198" t="str">
        <f t="shared" ca="1" si="62"/>
        <v/>
      </c>
      <c r="B253" s="197" t="str">
        <f t="shared" ca="1" si="63"/>
        <v/>
      </c>
      <c r="C253" s="196" t="str">
        <f t="shared" ca="1" si="54"/>
        <v/>
      </c>
      <c r="D253" s="21" t="str">
        <f t="shared" ca="1" si="57"/>
        <v/>
      </c>
      <c r="E253" s="196" t="str">
        <f t="shared" ca="1" si="55"/>
        <v/>
      </c>
      <c r="F253" s="178">
        <f t="shared" ca="1" si="58"/>
        <v>0</v>
      </c>
      <c r="G253" s="178">
        <f t="shared" ca="1" si="59"/>
        <v>0</v>
      </c>
      <c r="H253" s="177">
        <f t="shared" ca="1" si="60"/>
        <v>0</v>
      </c>
      <c r="I253" s="196"/>
      <c r="J253" s="9" t="str">
        <f t="shared" ca="1" si="48"/>
        <v/>
      </c>
      <c r="K253" s="9" t="str">
        <f t="shared" ca="1" si="49"/>
        <v/>
      </c>
      <c r="L253" s="9" t="str">
        <f t="shared" ca="1" si="50"/>
        <v/>
      </c>
      <c r="N253" s="176" t="str">
        <f t="shared" ca="1" si="56"/>
        <v/>
      </c>
      <c r="O253" s="176" t="str">
        <f t="shared" ca="1" si="61"/>
        <v/>
      </c>
      <c r="P253" s="175" t="str">
        <f t="shared" ca="1" si="51"/>
        <v/>
      </c>
      <c r="Q253" s="11" t="str">
        <f t="shared" ca="1" si="52"/>
        <v/>
      </c>
      <c r="R253" s="12" t="str">
        <f t="shared" ca="1" si="53"/>
        <v/>
      </c>
    </row>
    <row r="254" spans="1:18">
      <c r="A254" s="198" t="str">
        <f t="shared" ca="1" si="62"/>
        <v/>
      </c>
      <c r="B254" s="197" t="str">
        <f t="shared" ca="1" si="63"/>
        <v/>
      </c>
      <c r="C254" s="196" t="str">
        <f t="shared" ca="1" si="54"/>
        <v/>
      </c>
      <c r="D254" s="21" t="str">
        <f t="shared" ca="1" si="57"/>
        <v/>
      </c>
      <c r="E254" s="196" t="str">
        <f t="shared" ca="1" si="55"/>
        <v/>
      </c>
      <c r="F254" s="178">
        <f t="shared" ca="1" si="58"/>
        <v>0</v>
      </c>
      <c r="G254" s="178">
        <f t="shared" ca="1" si="59"/>
        <v>0</v>
      </c>
      <c r="H254" s="177">
        <f t="shared" ca="1" si="60"/>
        <v>0</v>
      </c>
      <c r="I254" s="196"/>
      <c r="J254" s="9" t="str">
        <f t="shared" ca="1" si="48"/>
        <v/>
      </c>
      <c r="K254" s="9" t="str">
        <f t="shared" ca="1" si="49"/>
        <v/>
      </c>
      <c r="L254" s="9" t="str">
        <f t="shared" ca="1" si="50"/>
        <v/>
      </c>
      <c r="N254" s="176" t="str">
        <f t="shared" ca="1" si="56"/>
        <v/>
      </c>
      <c r="O254" s="176" t="str">
        <f t="shared" ca="1" si="61"/>
        <v/>
      </c>
      <c r="P254" s="175" t="str">
        <f t="shared" ca="1" si="51"/>
        <v/>
      </c>
      <c r="Q254" s="11" t="str">
        <f t="shared" ca="1" si="52"/>
        <v/>
      </c>
      <c r="R254" s="12" t="str">
        <f t="shared" ca="1" si="53"/>
        <v/>
      </c>
    </row>
    <row r="255" spans="1:18">
      <c r="A255" s="198" t="str">
        <f t="shared" ca="1" si="62"/>
        <v/>
      </c>
      <c r="B255" s="197" t="str">
        <f t="shared" ca="1" si="63"/>
        <v/>
      </c>
      <c r="C255" s="196" t="str">
        <f t="shared" ca="1" si="54"/>
        <v/>
      </c>
      <c r="D255" s="21" t="str">
        <f t="shared" ca="1" si="57"/>
        <v/>
      </c>
      <c r="E255" s="196" t="str">
        <f t="shared" ca="1" si="55"/>
        <v/>
      </c>
      <c r="F255" s="178">
        <f t="shared" ca="1" si="58"/>
        <v>0</v>
      </c>
      <c r="G255" s="178">
        <f t="shared" ca="1" si="59"/>
        <v>0</v>
      </c>
      <c r="H255" s="177">
        <f t="shared" ca="1" si="60"/>
        <v>0</v>
      </c>
      <c r="I255" s="196"/>
      <c r="J255" s="9" t="str">
        <f t="shared" ca="1" si="48"/>
        <v/>
      </c>
      <c r="K255" s="9" t="str">
        <f t="shared" ca="1" si="49"/>
        <v/>
      </c>
      <c r="L255" s="9" t="str">
        <f t="shared" ca="1" si="50"/>
        <v/>
      </c>
      <c r="N255" s="176" t="str">
        <f t="shared" ca="1" si="56"/>
        <v/>
      </c>
      <c r="O255" s="176" t="str">
        <f t="shared" ca="1" si="61"/>
        <v/>
      </c>
      <c r="P255" s="175" t="str">
        <f t="shared" ca="1" si="51"/>
        <v/>
      </c>
      <c r="Q255" s="11" t="str">
        <f t="shared" ca="1" si="52"/>
        <v/>
      </c>
      <c r="R255" s="12" t="str">
        <f t="shared" ca="1" si="53"/>
        <v/>
      </c>
    </row>
    <row r="256" spans="1:18">
      <c r="A256" s="198" t="str">
        <f t="shared" ca="1" si="62"/>
        <v/>
      </c>
      <c r="B256" s="197" t="str">
        <f t="shared" ca="1" si="63"/>
        <v/>
      </c>
      <c r="C256" s="196" t="str">
        <f t="shared" ca="1" si="54"/>
        <v/>
      </c>
      <c r="D256" s="21" t="str">
        <f t="shared" ca="1" si="57"/>
        <v/>
      </c>
      <c r="E256" s="196" t="str">
        <f t="shared" ca="1" si="55"/>
        <v/>
      </c>
      <c r="F256" s="178">
        <f t="shared" ca="1" si="58"/>
        <v>0</v>
      </c>
      <c r="G256" s="178">
        <f t="shared" ca="1" si="59"/>
        <v>0</v>
      </c>
      <c r="H256" s="177">
        <f t="shared" ca="1" si="60"/>
        <v>0</v>
      </c>
      <c r="I256" s="196"/>
      <c r="J256" s="9" t="str">
        <f t="shared" ca="1" si="48"/>
        <v/>
      </c>
      <c r="K256" s="9" t="str">
        <f t="shared" ca="1" si="49"/>
        <v/>
      </c>
      <c r="L256" s="9" t="str">
        <f t="shared" ca="1" si="50"/>
        <v/>
      </c>
      <c r="N256" s="176" t="str">
        <f t="shared" ca="1" si="56"/>
        <v/>
      </c>
      <c r="O256" s="176" t="str">
        <f t="shared" ca="1" si="61"/>
        <v/>
      </c>
      <c r="P256" s="175" t="str">
        <f t="shared" ca="1" si="51"/>
        <v/>
      </c>
      <c r="Q256" s="11" t="str">
        <f t="shared" ca="1" si="52"/>
        <v/>
      </c>
      <c r="R256" s="12" t="str">
        <f t="shared" ca="1" si="53"/>
        <v/>
      </c>
    </row>
    <row r="257" spans="1:18">
      <c r="A257" s="198" t="str">
        <f t="shared" ca="1" si="62"/>
        <v/>
      </c>
      <c r="B257" s="197" t="str">
        <f t="shared" ca="1" si="63"/>
        <v/>
      </c>
      <c r="C257" s="196" t="str">
        <f t="shared" ca="1" si="54"/>
        <v/>
      </c>
      <c r="D257" s="21" t="str">
        <f t="shared" ca="1" si="57"/>
        <v/>
      </c>
      <c r="E257" s="196" t="str">
        <f t="shared" ca="1" si="55"/>
        <v/>
      </c>
      <c r="F257" s="178">
        <f t="shared" ca="1" si="58"/>
        <v>0</v>
      </c>
      <c r="G257" s="178">
        <f t="shared" ca="1" si="59"/>
        <v>0</v>
      </c>
      <c r="H257" s="177">
        <f t="shared" ca="1" si="60"/>
        <v>0</v>
      </c>
      <c r="I257" s="196"/>
      <c r="J257" s="9" t="str">
        <f t="shared" ca="1" si="48"/>
        <v/>
      </c>
      <c r="K257" s="9" t="str">
        <f t="shared" ca="1" si="49"/>
        <v/>
      </c>
      <c r="L257" s="9" t="str">
        <f t="shared" ca="1" si="50"/>
        <v/>
      </c>
      <c r="N257" s="176" t="str">
        <f t="shared" ca="1" si="56"/>
        <v/>
      </c>
      <c r="O257" s="176" t="str">
        <f t="shared" ca="1" si="61"/>
        <v/>
      </c>
      <c r="P257" s="175" t="str">
        <f t="shared" ca="1" si="51"/>
        <v/>
      </c>
      <c r="Q257" s="11" t="str">
        <f t="shared" ca="1" si="52"/>
        <v/>
      </c>
      <c r="R257" s="12" t="str">
        <f t="shared" ca="1" si="53"/>
        <v/>
      </c>
    </row>
    <row r="258" spans="1:18">
      <c r="A258" s="198" t="str">
        <f t="shared" ca="1" si="62"/>
        <v/>
      </c>
      <c r="B258" s="197" t="str">
        <f t="shared" ca="1" si="63"/>
        <v/>
      </c>
      <c r="C258" s="196" t="str">
        <f t="shared" ca="1" si="54"/>
        <v/>
      </c>
      <c r="D258" s="21" t="str">
        <f t="shared" ca="1" si="57"/>
        <v/>
      </c>
      <c r="E258" s="196" t="str">
        <f t="shared" ca="1" si="55"/>
        <v/>
      </c>
      <c r="F258" s="178">
        <f t="shared" ca="1" si="58"/>
        <v>0</v>
      </c>
      <c r="G258" s="178">
        <f t="shared" ca="1" si="59"/>
        <v>0</v>
      </c>
      <c r="H258" s="177">
        <f t="shared" ca="1" si="60"/>
        <v>0</v>
      </c>
      <c r="I258" s="196"/>
      <c r="J258" s="9" t="str">
        <f t="shared" ca="1" si="48"/>
        <v/>
      </c>
      <c r="K258" s="9" t="str">
        <f t="shared" ca="1" si="49"/>
        <v/>
      </c>
      <c r="L258" s="9" t="str">
        <f t="shared" ca="1" si="50"/>
        <v/>
      </c>
      <c r="N258" s="176" t="str">
        <f t="shared" ca="1" si="56"/>
        <v/>
      </c>
      <c r="O258" s="176" t="str">
        <f t="shared" ca="1" si="61"/>
        <v/>
      </c>
      <c r="P258" s="175" t="str">
        <f t="shared" ca="1" si="51"/>
        <v/>
      </c>
      <c r="Q258" s="11" t="str">
        <f t="shared" ca="1" si="52"/>
        <v/>
      </c>
      <c r="R258" s="12" t="str">
        <f t="shared" ca="1" si="53"/>
        <v/>
      </c>
    </row>
    <row r="259" spans="1:18">
      <c r="A259" s="198" t="str">
        <f t="shared" ca="1" si="62"/>
        <v/>
      </c>
      <c r="B259" s="197" t="str">
        <f t="shared" ca="1" si="63"/>
        <v/>
      </c>
      <c r="C259" s="196" t="str">
        <f t="shared" ca="1" si="54"/>
        <v/>
      </c>
      <c r="D259" s="21" t="str">
        <f t="shared" ca="1" si="57"/>
        <v/>
      </c>
      <c r="E259" s="196" t="str">
        <f t="shared" ca="1" si="55"/>
        <v/>
      </c>
      <c r="F259" s="178">
        <f t="shared" ca="1" si="58"/>
        <v>0</v>
      </c>
      <c r="G259" s="178">
        <f t="shared" ca="1" si="59"/>
        <v>0</v>
      </c>
      <c r="H259" s="177">
        <f t="shared" ca="1" si="60"/>
        <v>0</v>
      </c>
      <c r="I259" s="196"/>
      <c r="J259" s="9" t="str">
        <f t="shared" ca="1" si="48"/>
        <v/>
      </c>
      <c r="K259" s="9" t="str">
        <f t="shared" ca="1" si="49"/>
        <v/>
      </c>
      <c r="L259" s="9" t="str">
        <f t="shared" ca="1" si="50"/>
        <v/>
      </c>
      <c r="N259" s="176" t="str">
        <f t="shared" ca="1" si="56"/>
        <v/>
      </c>
      <c r="O259" s="176" t="str">
        <f t="shared" ca="1" si="61"/>
        <v/>
      </c>
      <c r="P259" s="175" t="str">
        <f t="shared" ca="1" si="51"/>
        <v/>
      </c>
      <c r="Q259" s="11" t="str">
        <f t="shared" ca="1" si="52"/>
        <v/>
      </c>
      <c r="R259" s="12" t="str">
        <f t="shared" ca="1" si="53"/>
        <v/>
      </c>
    </row>
    <row r="260" spans="1:18">
      <c r="A260" s="198" t="str">
        <f t="shared" ca="1" si="62"/>
        <v/>
      </c>
      <c r="B260" s="197" t="str">
        <f t="shared" ca="1" si="63"/>
        <v/>
      </c>
      <c r="C260" s="196" t="str">
        <f t="shared" ca="1" si="54"/>
        <v/>
      </c>
      <c r="D260" s="21" t="str">
        <f t="shared" ca="1" si="57"/>
        <v/>
      </c>
      <c r="E260" s="196" t="str">
        <f t="shared" ca="1" si="55"/>
        <v/>
      </c>
      <c r="F260" s="178">
        <f t="shared" ca="1" si="58"/>
        <v>0</v>
      </c>
      <c r="G260" s="178">
        <f t="shared" ca="1" si="59"/>
        <v>0</v>
      </c>
      <c r="H260" s="177">
        <f t="shared" ca="1" si="60"/>
        <v>0</v>
      </c>
      <c r="I260" s="196"/>
      <c r="J260" s="9" t="str">
        <f t="shared" ca="1" si="48"/>
        <v/>
      </c>
      <c r="K260" s="9" t="str">
        <f t="shared" ca="1" si="49"/>
        <v/>
      </c>
      <c r="L260" s="9" t="str">
        <f t="shared" ca="1" si="50"/>
        <v/>
      </c>
      <c r="N260" s="176" t="str">
        <f t="shared" ca="1" si="56"/>
        <v/>
      </c>
      <c r="O260" s="176" t="str">
        <f t="shared" ca="1" si="61"/>
        <v/>
      </c>
      <c r="P260" s="175" t="str">
        <f t="shared" ca="1" si="51"/>
        <v/>
      </c>
      <c r="Q260" s="11" t="str">
        <f t="shared" ca="1" si="52"/>
        <v/>
      </c>
      <c r="R260" s="12" t="str">
        <f t="shared" ca="1" si="53"/>
        <v/>
      </c>
    </row>
    <row r="261" spans="1:18">
      <c r="A261" s="198" t="str">
        <f t="shared" ca="1" si="62"/>
        <v/>
      </c>
      <c r="B261" s="197" t="str">
        <f t="shared" ca="1" si="63"/>
        <v/>
      </c>
      <c r="C261" s="196" t="str">
        <f t="shared" ca="1" si="54"/>
        <v/>
      </c>
      <c r="D261" s="21" t="str">
        <f t="shared" ca="1" si="57"/>
        <v/>
      </c>
      <c r="E261" s="196" t="str">
        <f t="shared" ca="1" si="55"/>
        <v/>
      </c>
      <c r="F261" s="178">
        <f t="shared" ca="1" si="58"/>
        <v>0</v>
      </c>
      <c r="G261" s="178">
        <f t="shared" ca="1" si="59"/>
        <v>0</v>
      </c>
      <c r="H261" s="177">
        <f t="shared" ca="1" si="60"/>
        <v>0</v>
      </c>
      <c r="I261" s="196"/>
      <c r="J261" s="9" t="str">
        <f t="shared" ca="1" si="48"/>
        <v/>
      </c>
      <c r="K261" s="9" t="str">
        <f t="shared" ca="1" si="49"/>
        <v/>
      </c>
      <c r="L261" s="9" t="str">
        <f t="shared" ca="1" si="50"/>
        <v/>
      </c>
      <c r="N261" s="176" t="str">
        <f t="shared" ca="1" si="56"/>
        <v/>
      </c>
      <c r="O261" s="176" t="str">
        <f t="shared" ca="1" si="61"/>
        <v/>
      </c>
      <c r="P261" s="175" t="str">
        <f t="shared" ca="1" si="51"/>
        <v/>
      </c>
      <c r="Q261" s="11" t="str">
        <f t="shared" ca="1" si="52"/>
        <v/>
      </c>
      <c r="R261" s="12" t="str">
        <f t="shared" ca="1" si="53"/>
        <v/>
      </c>
    </row>
    <row r="262" spans="1:18">
      <c r="A262" s="198" t="str">
        <f t="shared" ca="1" si="62"/>
        <v/>
      </c>
      <c r="B262" s="197" t="str">
        <f t="shared" ca="1" si="63"/>
        <v/>
      </c>
      <c r="C262" s="196" t="str">
        <f t="shared" ca="1" si="54"/>
        <v/>
      </c>
      <c r="D262" s="21" t="str">
        <f t="shared" ca="1" si="57"/>
        <v/>
      </c>
      <c r="E262" s="196" t="str">
        <f t="shared" ca="1" si="55"/>
        <v/>
      </c>
      <c r="F262" s="178">
        <f t="shared" ca="1" si="58"/>
        <v>0</v>
      </c>
      <c r="G262" s="178">
        <f t="shared" ca="1" si="59"/>
        <v>0</v>
      </c>
      <c r="H262" s="177">
        <f t="shared" ca="1" si="60"/>
        <v>0</v>
      </c>
      <c r="I262" s="196"/>
      <c r="J262" s="9" t="str">
        <f t="shared" ca="1" si="48"/>
        <v/>
      </c>
      <c r="K262" s="9" t="str">
        <f t="shared" ca="1" si="49"/>
        <v/>
      </c>
      <c r="L262" s="9" t="str">
        <f t="shared" ca="1" si="50"/>
        <v/>
      </c>
      <c r="N262" s="176" t="str">
        <f t="shared" ca="1" si="56"/>
        <v/>
      </c>
      <c r="O262" s="176" t="str">
        <f t="shared" ca="1" si="61"/>
        <v/>
      </c>
      <c r="P262" s="175" t="str">
        <f t="shared" ca="1" si="51"/>
        <v/>
      </c>
      <c r="Q262" s="11" t="str">
        <f t="shared" ca="1" si="52"/>
        <v/>
      </c>
      <c r="R262" s="12" t="str">
        <f t="shared" ca="1" si="53"/>
        <v/>
      </c>
    </row>
    <row r="263" spans="1:18">
      <c r="A263" s="198" t="str">
        <f t="shared" ca="1" si="62"/>
        <v/>
      </c>
      <c r="B263" s="197" t="str">
        <f t="shared" ca="1" si="63"/>
        <v/>
      </c>
      <c r="C263" s="196" t="str">
        <f t="shared" ca="1" si="54"/>
        <v/>
      </c>
      <c r="D263" s="21" t="str">
        <f t="shared" ca="1" si="57"/>
        <v/>
      </c>
      <c r="E263" s="196" t="str">
        <f t="shared" ca="1" si="55"/>
        <v/>
      </c>
      <c r="F263" s="178">
        <f t="shared" ca="1" si="58"/>
        <v>0</v>
      </c>
      <c r="G263" s="178">
        <f t="shared" ca="1" si="59"/>
        <v>0</v>
      </c>
      <c r="H263" s="177">
        <f t="shared" ca="1" si="60"/>
        <v>0</v>
      </c>
      <c r="I263" s="196"/>
      <c r="J263" s="9" t="str">
        <f t="shared" ca="1" si="48"/>
        <v/>
      </c>
      <c r="K263" s="9" t="str">
        <f t="shared" ca="1" si="49"/>
        <v/>
      </c>
      <c r="L263" s="9" t="str">
        <f t="shared" ca="1" si="50"/>
        <v/>
      </c>
      <c r="N263" s="176" t="str">
        <f t="shared" ca="1" si="56"/>
        <v/>
      </c>
      <c r="O263" s="176" t="str">
        <f t="shared" ca="1" si="61"/>
        <v/>
      </c>
      <c r="P263" s="175" t="str">
        <f t="shared" ca="1" si="51"/>
        <v/>
      </c>
      <c r="Q263" s="11" t="str">
        <f t="shared" ca="1" si="52"/>
        <v/>
      </c>
      <c r="R263" s="12" t="str">
        <f t="shared" ca="1" si="53"/>
        <v/>
      </c>
    </row>
    <row r="264" spans="1:18">
      <c r="A264" s="198" t="str">
        <f t="shared" ca="1" si="62"/>
        <v/>
      </c>
      <c r="B264" s="197" t="str">
        <f t="shared" ca="1" si="63"/>
        <v/>
      </c>
      <c r="C264" s="196" t="str">
        <f t="shared" ca="1" si="54"/>
        <v/>
      </c>
      <c r="D264" s="21" t="str">
        <f t="shared" ca="1" si="57"/>
        <v/>
      </c>
      <c r="E264" s="196" t="str">
        <f t="shared" ca="1" si="55"/>
        <v/>
      </c>
      <c r="F264" s="178">
        <f t="shared" ca="1" si="58"/>
        <v>0</v>
      </c>
      <c r="G264" s="178">
        <f t="shared" ca="1" si="59"/>
        <v>0</v>
      </c>
      <c r="H264" s="177">
        <f t="shared" ca="1" si="60"/>
        <v>0</v>
      </c>
      <c r="I264" s="196"/>
      <c r="J264" s="9" t="str">
        <f t="shared" ca="1" si="48"/>
        <v/>
      </c>
      <c r="K264" s="9" t="str">
        <f t="shared" ca="1" si="49"/>
        <v/>
      </c>
      <c r="L264" s="9" t="str">
        <f t="shared" ca="1" si="50"/>
        <v/>
      </c>
      <c r="N264" s="176" t="str">
        <f t="shared" ca="1" si="56"/>
        <v/>
      </c>
      <c r="O264" s="176" t="str">
        <f t="shared" ca="1" si="61"/>
        <v/>
      </c>
      <c r="P264" s="175" t="str">
        <f t="shared" ca="1" si="51"/>
        <v/>
      </c>
      <c r="Q264" s="11" t="str">
        <f t="shared" ca="1" si="52"/>
        <v/>
      </c>
      <c r="R264" s="12" t="str">
        <f t="shared" ca="1" si="53"/>
        <v/>
      </c>
    </row>
    <row r="265" spans="1:18">
      <c r="A265" s="198" t="str">
        <f t="shared" ca="1" si="62"/>
        <v/>
      </c>
      <c r="B265" s="197" t="str">
        <f t="shared" ca="1" si="63"/>
        <v/>
      </c>
      <c r="C265" s="196" t="str">
        <f t="shared" ca="1" si="54"/>
        <v/>
      </c>
      <c r="D265" s="21" t="str">
        <f t="shared" ca="1" si="57"/>
        <v/>
      </c>
      <c r="E265" s="196" t="str">
        <f t="shared" ca="1" si="55"/>
        <v/>
      </c>
      <c r="F265" s="178">
        <f t="shared" ca="1" si="58"/>
        <v>0</v>
      </c>
      <c r="G265" s="178">
        <f t="shared" ca="1" si="59"/>
        <v>0</v>
      </c>
      <c r="H265" s="177">
        <f t="shared" ca="1" si="60"/>
        <v>0</v>
      </c>
      <c r="I265" s="196"/>
      <c r="J265" s="9" t="str">
        <f t="shared" ca="1" si="48"/>
        <v/>
      </c>
      <c r="K265" s="9" t="str">
        <f t="shared" ca="1" si="49"/>
        <v/>
      </c>
      <c r="L265" s="9" t="str">
        <f t="shared" ca="1" si="50"/>
        <v/>
      </c>
      <c r="N265" s="176" t="str">
        <f t="shared" ca="1" si="56"/>
        <v/>
      </c>
      <c r="O265" s="176" t="str">
        <f t="shared" ca="1" si="61"/>
        <v/>
      </c>
      <c r="P265" s="175" t="str">
        <f t="shared" ca="1" si="51"/>
        <v/>
      </c>
      <c r="Q265" s="11" t="str">
        <f t="shared" ca="1" si="52"/>
        <v/>
      </c>
      <c r="R265" s="12" t="str">
        <f t="shared" ca="1" si="53"/>
        <v/>
      </c>
    </row>
    <row r="266" spans="1:18">
      <c r="A266" s="198" t="str">
        <f t="shared" ca="1" si="62"/>
        <v/>
      </c>
      <c r="B266" s="197" t="str">
        <f t="shared" ca="1" si="63"/>
        <v/>
      </c>
      <c r="C266" s="196" t="str">
        <f t="shared" ca="1" si="54"/>
        <v/>
      </c>
      <c r="D266" s="21" t="str">
        <f t="shared" ca="1" si="57"/>
        <v/>
      </c>
      <c r="E266" s="196" t="str">
        <f t="shared" ca="1" si="55"/>
        <v/>
      </c>
      <c r="F266" s="178">
        <f t="shared" ca="1" si="58"/>
        <v>0</v>
      </c>
      <c r="G266" s="178">
        <f t="shared" ca="1" si="59"/>
        <v>0</v>
      </c>
      <c r="H266" s="177">
        <f t="shared" ca="1" si="60"/>
        <v>0</v>
      </c>
      <c r="I266" s="196"/>
      <c r="J266" s="9" t="str">
        <f t="shared" ca="1" si="48"/>
        <v/>
      </c>
      <c r="K266" s="9" t="str">
        <f t="shared" ca="1" si="49"/>
        <v/>
      </c>
      <c r="L266" s="9" t="str">
        <f t="shared" ca="1" si="50"/>
        <v/>
      </c>
      <c r="N266" s="176" t="str">
        <f t="shared" ca="1" si="56"/>
        <v/>
      </c>
      <c r="O266" s="176" t="str">
        <f t="shared" ca="1" si="61"/>
        <v/>
      </c>
      <c r="P266" s="175" t="str">
        <f t="shared" ca="1" si="51"/>
        <v/>
      </c>
      <c r="Q266" s="11" t="str">
        <f t="shared" ca="1" si="52"/>
        <v/>
      </c>
      <c r="R266" s="12" t="str">
        <f t="shared" ca="1" si="53"/>
        <v/>
      </c>
    </row>
    <row r="267" spans="1:18">
      <c r="A267" s="198" t="str">
        <f t="shared" ca="1" si="62"/>
        <v/>
      </c>
      <c r="B267" s="197" t="str">
        <f t="shared" ca="1" si="63"/>
        <v/>
      </c>
      <c r="C267" s="196" t="str">
        <f t="shared" ca="1" si="54"/>
        <v/>
      </c>
      <c r="D267" s="21" t="str">
        <f t="shared" ca="1" si="57"/>
        <v/>
      </c>
      <c r="E267" s="196" t="str">
        <f t="shared" ca="1" si="55"/>
        <v/>
      </c>
      <c r="F267" s="178">
        <f t="shared" ca="1" si="58"/>
        <v>0</v>
      </c>
      <c r="G267" s="178">
        <f t="shared" ca="1" si="59"/>
        <v>0</v>
      </c>
      <c r="H267" s="177">
        <f t="shared" ca="1" si="60"/>
        <v>0</v>
      </c>
      <c r="I267" s="196"/>
      <c r="J267" s="9" t="str">
        <f t="shared" ca="1" si="48"/>
        <v/>
      </c>
      <c r="K267" s="9" t="str">
        <f t="shared" ca="1" si="49"/>
        <v/>
      </c>
      <c r="L267" s="9" t="str">
        <f t="shared" ca="1" si="50"/>
        <v/>
      </c>
      <c r="N267" s="176" t="str">
        <f t="shared" ca="1" si="56"/>
        <v/>
      </c>
      <c r="O267" s="176" t="str">
        <f t="shared" ca="1" si="61"/>
        <v/>
      </c>
      <c r="P267" s="175" t="str">
        <f t="shared" ca="1" si="51"/>
        <v/>
      </c>
      <c r="Q267" s="11" t="str">
        <f t="shared" ca="1" si="52"/>
        <v/>
      </c>
      <c r="R267" s="12" t="str">
        <f t="shared" ca="1" si="53"/>
        <v/>
      </c>
    </row>
    <row r="268" spans="1:18">
      <c r="A268" s="198" t="str">
        <f t="shared" ca="1" si="62"/>
        <v/>
      </c>
      <c r="B268" s="197" t="str">
        <f t="shared" ca="1" si="63"/>
        <v/>
      </c>
      <c r="C268" s="196" t="str">
        <f t="shared" ca="1" si="54"/>
        <v/>
      </c>
      <c r="D268" s="21" t="str">
        <f t="shared" ca="1" si="57"/>
        <v/>
      </c>
      <c r="E268" s="196" t="str">
        <f t="shared" ca="1" si="55"/>
        <v/>
      </c>
      <c r="F268" s="178">
        <f t="shared" ca="1" si="58"/>
        <v>0</v>
      </c>
      <c r="G268" s="178">
        <f t="shared" ca="1" si="59"/>
        <v>0</v>
      </c>
      <c r="H268" s="177">
        <f t="shared" ca="1" si="60"/>
        <v>0</v>
      </c>
      <c r="I268" s="196"/>
      <c r="J268" s="9" t="str">
        <f t="shared" ca="1" si="48"/>
        <v/>
      </c>
      <c r="K268" s="9" t="str">
        <f t="shared" ca="1" si="49"/>
        <v/>
      </c>
      <c r="L268" s="9" t="str">
        <f t="shared" ca="1" si="50"/>
        <v/>
      </c>
      <c r="N268" s="176" t="str">
        <f t="shared" ca="1" si="56"/>
        <v/>
      </c>
      <c r="O268" s="176" t="str">
        <f t="shared" ca="1" si="61"/>
        <v/>
      </c>
      <c r="P268" s="175" t="str">
        <f t="shared" ca="1" si="51"/>
        <v/>
      </c>
      <c r="Q268" s="11" t="str">
        <f t="shared" ca="1" si="52"/>
        <v/>
      </c>
      <c r="R268" s="12" t="str">
        <f t="shared" ca="1" si="53"/>
        <v/>
      </c>
    </row>
    <row r="269" spans="1:18">
      <c r="A269" s="198" t="str">
        <f t="shared" ca="1" si="62"/>
        <v/>
      </c>
      <c r="B269" s="197" t="str">
        <f t="shared" ca="1" si="63"/>
        <v/>
      </c>
      <c r="C269" s="196" t="str">
        <f t="shared" ca="1" si="54"/>
        <v/>
      </c>
      <c r="D269" s="21" t="str">
        <f t="shared" ca="1" si="57"/>
        <v/>
      </c>
      <c r="E269" s="196" t="str">
        <f t="shared" ca="1" si="55"/>
        <v/>
      </c>
      <c r="F269" s="178">
        <f t="shared" ca="1" si="58"/>
        <v>0</v>
      </c>
      <c r="G269" s="178">
        <f t="shared" ca="1" si="59"/>
        <v>0</v>
      </c>
      <c r="H269" s="177">
        <f t="shared" ca="1" si="60"/>
        <v>0</v>
      </c>
      <c r="I269" s="196"/>
      <c r="J269" s="9" t="str">
        <f t="shared" ca="1" si="48"/>
        <v/>
      </c>
      <c r="K269" s="9" t="str">
        <f t="shared" ca="1" si="49"/>
        <v/>
      </c>
      <c r="L269" s="9" t="str">
        <f t="shared" ca="1" si="50"/>
        <v/>
      </c>
      <c r="N269" s="176" t="str">
        <f t="shared" ca="1" si="56"/>
        <v/>
      </c>
      <c r="O269" s="176" t="str">
        <f t="shared" ca="1" si="61"/>
        <v/>
      </c>
      <c r="P269" s="175" t="str">
        <f t="shared" ca="1" si="51"/>
        <v/>
      </c>
      <c r="Q269" s="11" t="str">
        <f t="shared" ca="1" si="52"/>
        <v/>
      </c>
      <c r="R269" s="12" t="str">
        <f t="shared" ca="1" si="53"/>
        <v/>
      </c>
    </row>
    <row r="270" spans="1:18">
      <c r="A270" s="198" t="str">
        <f t="shared" ca="1" si="62"/>
        <v/>
      </c>
      <c r="B270" s="197" t="str">
        <f t="shared" ca="1" si="63"/>
        <v/>
      </c>
      <c r="C270" s="196" t="str">
        <f t="shared" ca="1" si="54"/>
        <v/>
      </c>
      <c r="D270" s="21" t="str">
        <f t="shared" ca="1" si="57"/>
        <v/>
      </c>
      <c r="E270" s="196" t="str">
        <f t="shared" ca="1" si="55"/>
        <v/>
      </c>
      <c r="F270" s="178">
        <f t="shared" ca="1" si="58"/>
        <v>0</v>
      </c>
      <c r="G270" s="178">
        <f t="shared" ca="1" si="59"/>
        <v>0</v>
      </c>
      <c r="H270" s="177">
        <f t="shared" ca="1" si="60"/>
        <v>0</v>
      </c>
      <c r="I270" s="196"/>
      <c r="J270" s="9" t="str">
        <f t="shared" ca="1" si="48"/>
        <v/>
      </c>
      <c r="K270" s="9" t="str">
        <f t="shared" ca="1" si="49"/>
        <v/>
      </c>
      <c r="L270" s="9" t="str">
        <f t="shared" ca="1" si="50"/>
        <v/>
      </c>
      <c r="N270" s="176" t="str">
        <f t="shared" ca="1" si="56"/>
        <v/>
      </c>
      <c r="O270" s="176" t="str">
        <f t="shared" ca="1" si="61"/>
        <v/>
      </c>
      <c r="P270" s="175" t="str">
        <f t="shared" ca="1" si="51"/>
        <v/>
      </c>
      <c r="Q270" s="11" t="str">
        <f t="shared" ca="1" si="52"/>
        <v/>
      </c>
      <c r="R270" s="12" t="str">
        <f t="shared" ca="1" si="53"/>
        <v/>
      </c>
    </row>
    <row r="271" spans="1:18">
      <c r="A271" s="198" t="str">
        <f t="shared" ca="1" si="62"/>
        <v/>
      </c>
      <c r="B271" s="197" t="str">
        <f t="shared" ca="1" si="63"/>
        <v/>
      </c>
      <c r="C271" s="196" t="str">
        <f t="shared" ca="1" si="54"/>
        <v/>
      </c>
      <c r="D271" s="21" t="str">
        <f t="shared" ca="1" si="57"/>
        <v/>
      </c>
      <c r="E271" s="196" t="str">
        <f t="shared" ca="1" si="55"/>
        <v/>
      </c>
      <c r="F271" s="178">
        <f t="shared" ca="1" si="58"/>
        <v>0</v>
      </c>
      <c r="G271" s="178">
        <f t="shared" ca="1" si="59"/>
        <v>0</v>
      </c>
      <c r="H271" s="177">
        <f t="shared" ca="1" si="60"/>
        <v>0</v>
      </c>
      <c r="I271" s="196"/>
      <c r="J271" s="9" t="str">
        <f t="shared" ca="1" si="48"/>
        <v/>
      </c>
      <c r="K271" s="9" t="str">
        <f t="shared" ca="1" si="49"/>
        <v/>
      </c>
      <c r="L271" s="9" t="str">
        <f t="shared" ca="1" si="50"/>
        <v/>
      </c>
      <c r="N271" s="176" t="str">
        <f t="shared" ca="1" si="56"/>
        <v/>
      </c>
      <c r="O271" s="176" t="str">
        <f t="shared" ca="1" si="61"/>
        <v/>
      </c>
      <c r="P271" s="175" t="str">
        <f t="shared" ca="1" si="51"/>
        <v/>
      </c>
      <c r="Q271" s="11" t="str">
        <f t="shared" ca="1" si="52"/>
        <v/>
      </c>
      <c r="R271" s="12" t="str">
        <f t="shared" ca="1" si="53"/>
        <v/>
      </c>
    </row>
    <row r="272" spans="1:18">
      <c r="A272" s="198" t="str">
        <f t="shared" ca="1" si="62"/>
        <v/>
      </c>
      <c r="B272" s="197" t="str">
        <f t="shared" ca="1" si="63"/>
        <v/>
      </c>
      <c r="C272" s="196" t="str">
        <f t="shared" ca="1" si="54"/>
        <v/>
      </c>
      <c r="D272" s="21" t="str">
        <f t="shared" ca="1" si="57"/>
        <v/>
      </c>
      <c r="E272" s="196" t="str">
        <f t="shared" ca="1" si="55"/>
        <v/>
      </c>
      <c r="F272" s="178">
        <f t="shared" ca="1" si="58"/>
        <v>0</v>
      </c>
      <c r="G272" s="178">
        <f t="shared" ca="1" si="59"/>
        <v>0</v>
      </c>
      <c r="H272" s="177">
        <f t="shared" ca="1" si="60"/>
        <v>0</v>
      </c>
      <c r="I272" s="196"/>
      <c r="J272" s="9" t="str">
        <f t="shared" ca="1" si="48"/>
        <v/>
      </c>
      <c r="K272" s="9" t="str">
        <f t="shared" ca="1" si="49"/>
        <v/>
      </c>
      <c r="L272" s="9" t="str">
        <f t="shared" ca="1" si="50"/>
        <v/>
      </c>
      <c r="N272" s="176" t="str">
        <f t="shared" ca="1" si="56"/>
        <v/>
      </c>
      <c r="O272" s="176" t="str">
        <f t="shared" ca="1" si="61"/>
        <v/>
      </c>
      <c r="P272" s="175" t="str">
        <f t="shared" ca="1" si="51"/>
        <v/>
      </c>
      <c r="Q272" s="11" t="str">
        <f t="shared" ca="1" si="52"/>
        <v/>
      </c>
      <c r="R272" s="12" t="str">
        <f t="shared" ca="1" si="53"/>
        <v/>
      </c>
    </row>
    <row r="273" spans="1:18">
      <c r="A273" s="198" t="str">
        <f t="shared" ca="1" si="62"/>
        <v/>
      </c>
      <c r="B273" s="197" t="str">
        <f t="shared" ca="1" si="63"/>
        <v/>
      </c>
      <c r="C273" s="196" t="str">
        <f t="shared" ca="1" si="54"/>
        <v/>
      </c>
      <c r="D273" s="21" t="str">
        <f t="shared" ca="1" si="57"/>
        <v/>
      </c>
      <c r="E273" s="196" t="str">
        <f t="shared" ca="1" si="55"/>
        <v/>
      </c>
      <c r="F273" s="178">
        <f t="shared" ca="1" si="58"/>
        <v>0</v>
      </c>
      <c r="G273" s="178">
        <f t="shared" ca="1" si="59"/>
        <v>0</v>
      </c>
      <c r="H273" s="177">
        <f t="shared" ca="1" si="60"/>
        <v>0</v>
      </c>
      <c r="I273" s="196"/>
      <c r="J273" s="9" t="str">
        <f t="shared" ca="1" si="48"/>
        <v/>
      </c>
      <c r="K273" s="9" t="str">
        <f t="shared" ca="1" si="49"/>
        <v/>
      </c>
      <c r="L273" s="9" t="str">
        <f t="shared" ca="1" si="50"/>
        <v/>
      </c>
      <c r="N273" s="176" t="str">
        <f t="shared" ca="1" si="56"/>
        <v/>
      </c>
      <c r="O273" s="176" t="str">
        <f t="shared" ca="1" si="61"/>
        <v/>
      </c>
      <c r="P273" s="175" t="str">
        <f t="shared" ca="1" si="51"/>
        <v/>
      </c>
      <c r="Q273" s="11" t="str">
        <f t="shared" ca="1" si="52"/>
        <v/>
      </c>
      <c r="R273" s="12" t="str">
        <f t="shared" ca="1" si="53"/>
        <v/>
      </c>
    </row>
    <row r="274" spans="1:18">
      <c r="A274" s="198" t="str">
        <f t="shared" ca="1" si="62"/>
        <v/>
      </c>
      <c r="B274" s="197" t="str">
        <f t="shared" ca="1" si="63"/>
        <v/>
      </c>
      <c r="C274" s="196" t="str">
        <f t="shared" ca="1" si="54"/>
        <v/>
      </c>
      <c r="D274" s="21" t="str">
        <f t="shared" ca="1" si="57"/>
        <v/>
      </c>
      <c r="E274" s="196" t="str">
        <f t="shared" ca="1" si="55"/>
        <v/>
      </c>
      <c r="F274" s="178">
        <f t="shared" ca="1" si="58"/>
        <v>0</v>
      </c>
      <c r="G274" s="178">
        <f t="shared" ca="1" si="59"/>
        <v>0</v>
      </c>
      <c r="H274" s="177">
        <f t="shared" ca="1" si="60"/>
        <v>0</v>
      </c>
      <c r="I274" s="196"/>
      <c r="J274" s="9" t="str">
        <f t="shared" ref="J274:J339" ca="1" si="64">IF(A274="I","Carencia",IF(A274&lt;=$C$12,"Carencia",""))</f>
        <v/>
      </c>
      <c r="K274" s="9" t="str">
        <f t="shared" ref="K274:K337" ca="1" si="65">IF(L274=$C$13,"Pula","")</f>
        <v/>
      </c>
      <c r="L274" s="9" t="str">
        <f t="shared" ref="L274:L339" ca="1" si="66">IFERROR(MONTH(B274),"")</f>
        <v/>
      </c>
      <c r="N274" s="176" t="str">
        <f t="shared" ca="1" si="56"/>
        <v/>
      </c>
      <c r="O274" s="176" t="str">
        <f t="shared" ca="1" si="61"/>
        <v/>
      </c>
      <c r="P274" s="175" t="str">
        <f t="shared" ref="P274:P339" ca="1" si="67">IF(A274&lt;&gt;"",C274,"")</f>
        <v/>
      </c>
      <c r="Q274" s="11" t="str">
        <f t="shared" ref="Q274:Q339" ca="1" si="68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ca="1" si="69">IFERROR(Q274*P274,"")</f>
        <v/>
      </c>
    </row>
    <row r="275" spans="1:18">
      <c r="A275" s="198" t="str">
        <f t="shared" ca="1" si="62"/>
        <v/>
      </c>
      <c r="B275" s="197" t="str">
        <f t="shared" ca="1" si="63"/>
        <v/>
      </c>
      <c r="C275" s="196" t="str">
        <f t="shared" ref="C275:C338" ca="1" si="70">IFERROR(IF(OR(J275="Carencia",K275="Pula"),0,$I$13-D275),"")</f>
        <v/>
      </c>
      <c r="D275" s="21" t="str">
        <f t="shared" ca="1" si="57"/>
        <v/>
      </c>
      <c r="E275" s="196" t="str">
        <f t="shared" ref="E275:E338" ca="1" si="71">IFERROR(IF(OR(J275="Carencia",K275="Pula"),E274,(E274-C275)),"")</f>
        <v/>
      </c>
      <c r="F275" s="178">
        <f t="shared" ca="1" si="58"/>
        <v>0</v>
      </c>
      <c r="G275" s="178">
        <f t="shared" ca="1" si="59"/>
        <v>0</v>
      </c>
      <c r="H275" s="177">
        <f t="shared" ca="1" si="60"/>
        <v>0</v>
      </c>
      <c r="I275" s="196"/>
      <c r="J275" s="9" t="str">
        <f t="shared" ca="1" si="64"/>
        <v/>
      </c>
      <c r="K275" s="9" t="str">
        <f t="shared" ca="1" si="65"/>
        <v/>
      </c>
      <c r="L275" s="9" t="str">
        <f t="shared" ca="1" si="66"/>
        <v/>
      </c>
      <c r="N275" s="176" t="str">
        <f t="shared" ref="N275:N339" ca="1" si="72">IFERROR(B275-B274,"")</f>
        <v/>
      </c>
      <c r="O275" s="176" t="str">
        <f t="shared" ca="1" si="61"/>
        <v/>
      </c>
      <c r="P275" s="175" t="str">
        <f t="shared" ca="1" si="67"/>
        <v/>
      </c>
      <c r="Q275" s="11" t="str">
        <f t="shared" ca="1" si="68"/>
        <v/>
      </c>
      <c r="R275" s="12" t="str">
        <f t="shared" ca="1" si="69"/>
        <v/>
      </c>
    </row>
    <row r="276" spans="1:18">
      <c r="A276" s="198" t="str">
        <f t="shared" ca="1" si="62"/>
        <v/>
      </c>
      <c r="B276" s="197" t="str">
        <f t="shared" ca="1" si="63"/>
        <v/>
      </c>
      <c r="C276" s="196" t="str">
        <f t="shared" ca="1" si="70"/>
        <v/>
      </c>
      <c r="D276" s="21" t="str">
        <f t="shared" ref="D276:D339" ca="1" si="73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ca="1" si="71"/>
        <v/>
      </c>
      <c r="F276" s="178">
        <f t="shared" ref="F276:F339" ca="1" si="74">IFERROR(IF(OR(AND(DAY(B276)=DAY(B275),MONTH(B276)&lt;&gt;MONTH(B275)),MONTH(B276)&lt;&gt;MONTH(B275)),IF(K276="Pula",0,E275*$I$7),0),0)</f>
        <v>0</v>
      </c>
      <c r="G276" s="178">
        <f t="shared" ref="G276:G339" ca="1" si="75">IFERROR(IF(OR(AND(DAY(B276)=DAY(B275),MONTH(B276)&lt;&gt;MONTH(B275)),MONTH(B276)&lt;&gt;MONTH(B275)),IF(K276="Pula",0,$C$11*$I$8),0),0)</f>
        <v>0</v>
      </c>
      <c r="H276" s="177">
        <f t="shared" ref="H276:H339" ca="1" si="76">IFERROR(IF(OR(AND(DAY(B276)=DAY(B275),MONTH(B276)&lt;&gt;MONTH(B275)),MONTH(B276)&lt;&gt;MONTH(B275)),IF(K276="Pula",0,$I$10),0),0)</f>
        <v>0</v>
      </c>
      <c r="I276" s="196"/>
      <c r="J276" s="9" t="str">
        <f t="shared" ca="1" si="64"/>
        <v/>
      </c>
      <c r="K276" s="9" t="str">
        <f t="shared" ca="1" si="65"/>
        <v/>
      </c>
      <c r="L276" s="9" t="str">
        <f t="shared" ca="1" si="66"/>
        <v/>
      </c>
      <c r="N276" s="176" t="str">
        <f t="shared" ca="1" si="72"/>
        <v/>
      </c>
      <c r="O276" s="176" t="str">
        <f t="shared" ref="O276:O339" ca="1" si="77">IFERROR(N276+O275,"")</f>
        <v/>
      </c>
      <c r="P276" s="175" t="str">
        <f t="shared" ca="1" si="67"/>
        <v/>
      </c>
      <c r="Q276" s="11" t="str">
        <f t="shared" ca="1" si="68"/>
        <v/>
      </c>
      <c r="R276" s="12" t="str">
        <f t="shared" ca="1" si="69"/>
        <v/>
      </c>
    </row>
    <row r="277" spans="1:18">
      <c r="A277" s="198" t="str">
        <f t="shared" ref="A277:A339" ca="1" si="78">IF(A276&gt;=$C$8,"",A276+1)</f>
        <v/>
      </c>
      <c r="B277" s="197" t="str">
        <f t="shared" ref="B277:B339" ca="1" si="79">IF(A277&lt;&gt;"",IF(DAY(EOMONTH($F$2,0))&lt;$F$3,IF(AND(MONTH($F$2)=2,$F$3&lt;&gt;31),IF(AND(MONTH($F$2)=2,$F$3&lt;&gt;31,MONTH(B276)=2),DATE(YEAR(B276),MONTH(B276)+1,$F$3),EDATE(B276,1)),EOMONTH(B276,1)),EDATE($B$19,A277-$I$14)),"")</f>
        <v/>
      </c>
      <c r="C277" s="196" t="str">
        <f t="shared" ca="1" si="70"/>
        <v/>
      </c>
      <c r="D277" s="21" t="str">
        <f t="shared" ca="1" si="73"/>
        <v/>
      </c>
      <c r="E277" s="196" t="str">
        <f t="shared" ca="1" si="71"/>
        <v/>
      </c>
      <c r="F277" s="178">
        <f t="shared" ca="1" si="74"/>
        <v>0</v>
      </c>
      <c r="G277" s="178">
        <f t="shared" ca="1" si="75"/>
        <v>0</v>
      </c>
      <c r="H277" s="177">
        <f t="shared" ca="1" si="76"/>
        <v>0</v>
      </c>
      <c r="I277" s="196"/>
      <c r="J277" s="9" t="str">
        <f t="shared" ca="1" si="64"/>
        <v/>
      </c>
      <c r="K277" s="9" t="str">
        <f t="shared" ca="1" si="65"/>
        <v/>
      </c>
      <c r="L277" s="9" t="str">
        <f t="shared" ca="1" si="66"/>
        <v/>
      </c>
      <c r="N277" s="176" t="str">
        <f t="shared" ca="1" si="72"/>
        <v/>
      </c>
      <c r="O277" s="176" t="str">
        <f t="shared" ca="1" si="77"/>
        <v/>
      </c>
      <c r="P277" s="175" t="str">
        <f t="shared" ca="1" si="67"/>
        <v/>
      </c>
      <c r="Q277" s="11" t="str">
        <f t="shared" ca="1" si="68"/>
        <v/>
      </c>
      <c r="R277" s="12" t="str">
        <f t="shared" ca="1" si="69"/>
        <v/>
      </c>
    </row>
    <row r="278" spans="1:18">
      <c r="A278" s="198" t="str">
        <f t="shared" ca="1" si="78"/>
        <v/>
      </c>
      <c r="B278" s="197" t="str">
        <f t="shared" ca="1" si="79"/>
        <v/>
      </c>
      <c r="C278" s="196" t="str">
        <f t="shared" ca="1" si="70"/>
        <v/>
      </c>
      <c r="D278" s="21" t="str">
        <f t="shared" ca="1" si="73"/>
        <v/>
      </c>
      <c r="E278" s="196" t="str">
        <f t="shared" ca="1" si="71"/>
        <v/>
      </c>
      <c r="F278" s="178">
        <f t="shared" ca="1" si="74"/>
        <v>0</v>
      </c>
      <c r="G278" s="178">
        <f t="shared" ca="1" si="75"/>
        <v>0</v>
      </c>
      <c r="H278" s="177">
        <f t="shared" ca="1" si="76"/>
        <v>0</v>
      </c>
      <c r="I278" s="196"/>
      <c r="J278" s="9" t="str">
        <f t="shared" ca="1" si="64"/>
        <v/>
      </c>
      <c r="K278" s="9" t="str">
        <f t="shared" ca="1" si="65"/>
        <v/>
      </c>
      <c r="L278" s="9" t="str">
        <f t="shared" ca="1" si="66"/>
        <v/>
      </c>
      <c r="N278" s="176" t="str">
        <f t="shared" ca="1" si="72"/>
        <v/>
      </c>
      <c r="O278" s="176" t="str">
        <f t="shared" ca="1" si="77"/>
        <v/>
      </c>
      <c r="P278" s="175" t="str">
        <f t="shared" ca="1" si="67"/>
        <v/>
      </c>
      <c r="Q278" s="11" t="str">
        <f t="shared" ca="1" si="68"/>
        <v/>
      </c>
      <c r="R278" s="12" t="str">
        <f t="shared" ca="1" si="69"/>
        <v/>
      </c>
    </row>
    <row r="279" spans="1:18">
      <c r="A279" s="198" t="str">
        <f t="shared" ca="1" si="78"/>
        <v/>
      </c>
      <c r="B279" s="197" t="str">
        <f t="shared" ca="1" si="79"/>
        <v/>
      </c>
      <c r="C279" s="196" t="str">
        <f t="shared" ca="1" si="70"/>
        <v/>
      </c>
      <c r="D279" s="21" t="str">
        <f t="shared" ca="1" si="73"/>
        <v/>
      </c>
      <c r="E279" s="196" t="str">
        <f t="shared" ca="1" si="71"/>
        <v/>
      </c>
      <c r="F279" s="178">
        <f t="shared" ca="1" si="74"/>
        <v>0</v>
      </c>
      <c r="G279" s="178">
        <f t="shared" ca="1" si="75"/>
        <v>0</v>
      </c>
      <c r="H279" s="177">
        <f t="shared" ca="1" si="76"/>
        <v>0</v>
      </c>
      <c r="I279" s="196"/>
      <c r="J279" s="9" t="str">
        <f t="shared" ca="1" si="64"/>
        <v/>
      </c>
      <c r="K279" s="9" t="str">
        <f t="shared" ca="1" si="65"/>
        <v/>
      </c>
      <c r="L279" s="9" t="str">
        <f t="shared" ca="1" si="66"/>
        <v/>
      </c>
      <c r="N279" s="176" t="str">
        <f t="shared" ca="1" si="72"/>
        <v/>
      </c>
      <c r="O279" s="176" t="str">
        <f t="shared" ca="1" si="77"/>
        <v/>
      </c>
      <c r="P279" s="175" t="str">
        <f t="shared" ca="1" si="67"/>
        <v/>
      </c>
      <c r="Q279" s="11" t="str">
        <f t="shared" ca="1" si="68"/>
        <v/>
      </c>
      <c r="R279" s="12" t="str">
        <f t="shared" ca="1" si="69"/>
        <v/>
      </c>
    </row>
    <row r="280" spans="1:18">
      <c r="A280" s="198" t="str">
        <f t="shared" ca="1" si="78"/>
        <v/>
      </c>
      <c r="B280" s="197" t="str">
        <f t="shared" ca="1" si="79"/>
        <v/>
      </c>
      <c r="C280" s="196" t="str">
        <f t="shared" ca="1" si="70"/>
        <v/>
      </c>
      <c r="D280" s="21" t="str">
        <f t="shared" ca="1" si="73"/>
        <v/>
      </c>
      <c r="E280" s="196" t="str">
        <f t="shared" ca="1" si="71"/>
        <v/>
      </c>
      <c r="F280" s="178">
        <f t="shared" ca="1" si="74"/>
        <v>0</v>
      </c>
      <c r="G280" s="178">
        <f t="shared" ca="1" si="75"/>
        <v>0</v>
      </c>
      <c r="H280" s="177">
        <f t="shared" ca="1" si="76"/>
        <v>0</v>
      </c>
      <c r="I280" s="196"/>
      <c r="J280" s="9" t="str">
        <f t="shared" ca="1" si="64"/>
        <v/>
      </c>
      <c r="K280" s="9" t="str">
        <f t="shared" ca="1" si="65"/>
        <v/>
      </c>
      <c r="L280" s="9" t="str">
        <f t="shared" ca="1" si="66"/>
        <v/>
      </c>
      <c r="N280" s="176" t="str">
        <f t="shared" ca="1" si="72"/>
        <v/>
      </c>
      <c r="O280" s="176" t="str">
        <f t="shared" ca="1" si="77"/>
        <v/>
      </c>
      <c r="P280" s="175" t="str">
        <f t="shared" ca="1" si="67"/>
        <v/>
      </c>
      <c r="Q280" s="11" t="str">
        <f t="shared" ca="1" si="68"/>
        <v/>
      </c>
      <c r="R280" s="12" t="str">
        <f t="shared" ca="1" si="69"/>
        <v/>
      </c>
    </row>
    <row r="281" spans="1:18">
      <c r="A281" s="198" t="str">
        <f t="shared" ca="1" si="78"/>
        <v/>
      </c>
      <c r="B281" s="197" t="str">
        <f t="shared" ca="1" si="79"/>
        <v/>
      </c>
      <c r="C281" s="196" t="str">
        <f t="shared" ca="1" si="70"/>
        <v/>
      </c>
      <c r="D281" s="21" t="str">
        <f t="shared" ca="1" si="73"/>
        <v/>
      </c>
      <c r="E281" s="196" t="str">
        <f t="shared" ca="1" si="71"/>
        <v/>
      </c>
      <c r="F281" s="178">
        <f t="shared" ca="1" si="74"/>
        <v>0</v>
      </c>
      <c r="G281" s="178">
        <f t="shared" ca="1" si="75"/>
        <v>0</v>
      </c>
      <c r="H281" s="177">
        <f t="shared" ca="1" si="76"/>
        <v>0</v>
      </c>
      <c r="I281" s="196"/>
      <c r="J281" s="9" t="str">
        <f t="shared" ca="1" si="64"/>
        <v/>
      </c>
      <c r="K281" s="9" t="str">
        <f t="shared" ca="1" si="65"/>
        <v/>
      </c>
      <c r="L281" s="9" t="str">
        <f t="shared" ca="1" si="66"/>
        <v/>
      </c>
      <c r="N281" s="176" t="str">
        <f t="shared" ca="1" si="72"/>
        <v/>
      </c>
      <c r="O281" s="176" t="str">
        <f t="shared" ca="1" si="77"/>
        <v/>
      </c>
      <c r="P281" s="175" t="str">
        <f t="shared" ca="1" si="67"/>
        <v/>
      </c>
      <c r="Q281" s="11" t="str">
        <f t="shared" ca="1" si="68"/>
        <v/>
      </c>
      <c r="R281" s="12" t="str">
        <f t="shared" ca="1" si="69"/>
        <v/>
      </c>
    </row>
    <row r="282" spans="1:18">
      <c r="A282" s="198" t="str">
        <f t="shared" ca="1" si="78"/>
        <v/>
      </c>
      <c r="B282" s="197" t="str">
        <f t="shared" ca="1" si="79"/>
        <v/>
      </c>
      <c r="C282" s="196" t="str">
        <f t="shared" ca="1" si="70"/>
        <v/>
      </c>
      <c r="D282" s="21" t="str">
        <f t="shared" ca="1" si="73"/>
        <v/>
      </c>
      <c r="E282" s="196" t="str">
        <f t="shared" ca="1" si="71"/>
        <v/>
      </c>
      <c r="F282" s="178">
        <f t="shared" ca="1" si="74"/>
        <v>0</v>
      </c>
      <c r="G282" s="178">
        <f t="shared" ca="1" si="75"/>
        <v>0</v>
      </c>
      <c r="H282" s="177">
        <f t="shared" ca="1" si="76"/>
        <v>0</v>
      </c>
      <c r="I282" s="196"/>
      <c r="J282" s="9" t="str">
        <f t="shared" ca="1" si="64"/>
        <v/>
      </c>
      <c r="K282" s="9" t="str">
        <f t="shared" ca="1" si="65"/>
        <v/>
      </c>
      <c r="L282" s="9" t="str">
        <f t="shared" ca="1" si="66"/>
        <v/>
      </c>
      <c r="N282" s="176" t="str">
        <f t="shared" ca="1" si="72"/>
        <v/>
      </c>
      <c r="O282" s="176" t="str">
        <f t="shared" ca="1" si="77"/>
        <v/>
      </c>
      <c r="P282" s="175" t="str">
        <f t="shared" ca="1" si="67"/>
        <v/>
      </c>
      <c r="Q282" s="11" t="str">
        <f t="shared" ca="1" si="68"/>
        <v/>
      </c>
      <c r="R282" s="12" t="str">
        <f t="shared" ca="1" si="69"/>
        <v/>
      </c>
    </row>
    <row r="283" spans="1:18">
      <c r="A283" s="198" t="str">
        <f t="shared" ca="1" si="78"/>
        <v/>
      </c>
      <c r="B283" s="197" t="str">
        <f t="shared" ca="1" si="79"/>
        <v/>
      </c>
      <c r="C283" s="196" t="str">
        <f t="shared" ca="1" si="70"/>
        <v/>
      </c>
      <c r="D283" s="21" t="str">
        <f t="shared" ca="1" si="73"/>
        <v/>
      </c>
      <c r="E283" s="196" t="str">
        <f t="shared" ca="1" si="71"/>
        <v/>
      </c>
      <c r="F283" s="178">
        <f t="shared" ca="1" si="74"/>
        <v>0</v>
      </c>
      <c r="G283" s="178">
        <f t="shared" ca="1" si="75"/>
        <v>0</v>
      </c>
      <c r="H283" s="177">
        <f t="shared" ca="1" si="76"/>
        <v>0</v>
      </c>
      <c r="I283" s="196"/>
      <c r="J283" s="9" t="str">
        <f t="shared" ca="1" si="64"/>
        <v/>
      </c>
      <c r="K283" s="9" t="str">
        <f t="shared" ca="1" si="65"/>
        <v/>
      </c>
      <c r="L283" s="9" t="str">
        <f t="shared" ca="1" si="66"/>
        <v/>
      </c>
      <c r="N283" s="176" t="str">
        <f t="shared" ca="1" si="72"/>
        <v/>
      </c>
      <c r="O283" s="176" t="str">
        <f t="shared" ca="1" si="77"/>
        <v/>
      </c>
      <c r="P283" s="175" t="str">
        <f t="shared" ca="1" si="67"/>
        <v/>
      </c>
      <c r="Q283" s="11" t="str">
        <f t="shared" ca="1" si="68"/>
        <v/>
      </c>
      <c r="R283" s="12" t="str">
        <f t="shared" ca="1" si="69"/>
        <v/>
      </c>
    </row>
    <row r="284" spans="1:18">
      <c r="A284" s="198" t="str">
        <f t="shared" ca="1" si="78"/>
        <v/>
      </c>
      <c r="B284" s="197" t="str">
        <f t="shared" ca="1" si="79"/>
        <v/>
      </c>
      <c r="C284" s="196" t="str">
        <f t="shared" ca="1" si="70"/>
        <v/>
      </c>
      <c r="D284" s="21" t="str">
        <f t="shared" ca="1" si="73"/>
        <v/>
      </c>
      <c r="E284" s="196" t="str">
        <f t="shared" ca="1" si="71"/>
        <v/>
      </c>
      <c r="F284" s="178">
        <f t="shared" ca="1" si="74"/>
        <v>0</v>
      </c>
      <c r="G284" s="178">
        <f t="shared" ca="1" si="75"/>
        <v>0</v>
      </c>
      <c r="H284" s="177">
        <f t="shared" ca="1" si="76"/>
        <v>0</v>
      </c>
      <c r="I284" s="196"/>
      <c r="J284" s="9" t="str">
        <f t="shared" ca="1" si="64"/>
        <v/>
      </c>
      <c r="K284" s="9" t="str">
        <f t="shared" ca="1" si="65"/>
        <v/>
      </c>
      <c r="L284" s="9" t="str">
        <f t="shared" ca="1" si="66"/>
        <v/>
      </c>
      <c r="N284" s="176" t="str">
        <f t="shared" ca="1" si="72"/>
        <v/>
      </c>
      <c r="O284" s="176" t="str">
        <f t="shared" ca="1" si="77"/>
        <v/>
      </c>
      <c r="P284" s="175" t="str">
        <f t="shared" ca="1" si="67"/>
        <v/>
      </c>
      <c r="Q284" s="11" t="str">
        <f t="shared" ca="1" si="68"/>
        <v/>
      </c>
      <c r="R284" s="12" t="str">
        <f t="shared" ca="1" si="69"/>
        <v/>
      </c>
    </row>
    <row r="285" spans="1:18">
      <c r="A285" s="198" t="str">
        <f t="shared" ca="1" si="78"/>
        <v/>
      </c>
      <c r="B285" s="197" t="str">
        <f t="shared" ca="1" si="79"/>
        <v/>
      </c>
      <c r="C285" s="196" t="str">
        <f t="shared" ca="1" si="70"/>
        <v/>
      </c>
      <c r="D285" s="21" t="str">
        <f t="shared" ca="1" si="73"/>
        <v/>
      </c>
      <c r="E285" s="196" t="str">
        <f t="shared" ca="1" si="71"/>
        <v/>
      </c>
      <c r="F285" s="178">
        <f t="shared" ca="1" si="74"/>
        <v>0</v>
      </c>
      <c r="G285" s="178">
        <f t="shared" ca="1" si="75"/>
        <v>0</v>
      </c>
      <c r="H285" s="177">
        <f t="shared" ca="1" si="76"/>
        <v>0</v>
      </c>
      <c r="I285" s="196"/>
      <c r="J285" s="9" t="str">
        <f t="shared" ca="1" si="64"/>
        <v/>
      </c>
      <c r="K285" s="9" t="str">
        <f t="shared" ca="1" si="65"/>
        <v/>
      </c>
      <c r="L285" s="9" t="str">
        <f t="shared" ca="1" si="66"/>
        <v/>
      </c>
      <c r="N285" s="176" t="str">
        <f t="shared" ca="1" si="72"/>
        <v/>
      </c>
      <c r="O285" s="176" t="str">
        <f t="shared" ca="1" si="77"/>
        <v/>
      </c>
      <c r="P285" s="175" t="str">
        <f t="shared" ca="1" si="67"/>
        <v/>
      </c>
      <c r="Q285" s="11" t="str">
        <f t="shared" ca="1" si="68"/>
        <v/>
      </c>
      <c r="R285" s="12" t="str">
        <f t="shared" ca="1" si="69"/>
        <v/>
      </c>
    </row>
    <row r="286" spans="1:18">
      <c r="A286" s="198" t="str">
        <f t="shared" ca="1" si="78"/>
        <v/>
      </c>
      <c r="B286" s="197" t="str">
        <f t="shared" ca="1" si="79"/>
        <v/>
      </c>
      <c r="C286" s="196" t="str">
        <f t="shared" ca="1" si="70"/>
        <v/>
      </c>
      <c r="D286" s="21" t="str">
        <f t="shared" ca="1" si="73"/>
        <v/>
      </c>
      <c r="E286" s="196" t="str">
        <f t="shared" ca="1" si="71"/>
        <v/>
      </c>
      <c r="F286" s="178">
        <f t="shared" ca="1" si="74"/>
        <v>0</v>
      </c>
      <c r="G286" s="178">
        <f t="shared" ca="1" si="75"/>
        <v>0</v>
      </c>
      <c r="H286" s="177">
        <f t="shared" ca="1" si="76"/>
        <v>0</v>
      </c>
      <c r="I286" s="196"/>
      <c r="J286" s="9" t="str">
        <f t="shared" ca="1" si="64"/>
        <v/>
      </c>
      <c r="K286" s="9" t="str">
        <f t="shared" ca="1" si="65"/>
        <v/>
      </c>
      <c r="L286" s="9" t="str">
        <f t="shared" ca="1" si="66"/>
        <v/>
      </c>
      <c r="N286" s="176" t="str">
        <f t="shared" ca="1" si="72"/>
        <v/>
      </c>
      <c r="O286" s="176" t="str">
        <f t="shared" ca="1" si="77"/>
        <v/>
      </c>
      <c r="P286" s="175" t="str">
        <f t="shared" ca="1" si="67"/>
        <v/>
      </c>
      <c r="Q286" s="11" t="str">
        <f t="shared" ca="1" si="68"/>
        <v/>
      </c>
      <c r="R286" s="12" t="str">
        <f t="shared" ca="1" si="69"/>
        <v/>
      </c>
    </row>
    <row r="287" spans="1:18">
      <c r="A287" s="198" t="str">
        <f t="shared" ca="1" si="78"/>
        <v/>
      </c>
      <c r="B287" s="197" t="str">
        <f t="shared" ca="1" si="79"/>
        <v/>
      </c>
      <c r="C287" s="196" t="str">
        <f t="shared" ca="1" si="70"/>
        <v/>
      </c>
      <c r="D287" s="21" t="str">
        <f t="shared" ca="1" si="73"/>
        <v/>
      </c>
      <c r="E287" s="196" t="str">
        <f t="shared" ca="1" si="71"/>
        <v/>
      </c>
      <c r="F287" s="178">
        <f t="shared" ca="1" si="74"/>
        <v>0</v>
      </c>
      <c r="G287" s="178">
        <f t="shared" ca="1" si="75"/>
        <v>0</v>
      </c>
      <c r="H287" s="177">
        <f t="shared" ca="1" si="76"/>
        <v>0</v>
      </c>
      <c r="I287" s="196"/>
      <c r="J287" s="9" t="str">
        <f t="shared" ca="1" si="64"/>
        <v/>
      </c>
      <c r="K287" s="9" t="str">
        <f t="shared" ca="1" si="65"/>
        <v/>
      </c>
      <c r="L287" s="9" t="str">
        <f t="shared" ca="1" si="66"/>
        <v/>
      </c>
      <c r="N287" s="176" t="str">
        <f t="shared" ca="1" si="72"/>
        <v/>
      </c>
      <c r="O287" s="176" t="str">
        <f t="shared" ca="1" si="77"/>
        <v/>
      </c>
      <c r="P287" s="175" t="str">
        <f t="shared" ca="1" si="67"/>
        <v/>
      </c>
      <c r="Q287" s="11" t="str">
        <f t="shared" ca="1" si="68"/>
        <v/>
      </c>
      <c r="R287" s="12" t="str">
        <f t="shared" ca="1" si="69"/>
        <v/>
      </c>
    </row>
    <row r="288" spans="1:18">
      <c r="A288" s="198" t="str">
        <f t="shared" ca="1" si="78"/>
        <v/>
      </c>
      <c r="B288" s="197" t="str">
        <f t="shared" ca="1" si="79"/>
        <v/>
      </c>
      <c r="C288" s="196" t="str">
        <f t="shared" ca="1" si="70"/>
        <v/>
      </c>
      <c r="D288" s="21" t="str">
        <f t="shared" ca="1" si="73"/>
        <v/>
      </c>
      <c r="E288" s="196" t="str">
        <f t="shared" ca="1" si="71"/>
        <v/>
      </c>
      <c r="F288" s="178">
        <f t="shared" ca="1" si="74"/>
        <v>0</v>
      </c>
      <c r="G288" s="178">
        <f t="shared" ca="1" si="75"/>
        <v>0</v>
      </c>
      <c r="H288" s="177">
        <f t="shared" ca="1" si="76"/>
        <v>0</v>
      </c>
      <c r="I288" s="196"/>
      <c r="J288" s="9" t="str">
        <f t="shared" ca="1" si="64"/>
        <v/>
      </c>
      <c r="K288" s="9" t="str">
        <f t="shared" ca="1" si="65"/>
        <v/>
      </c>
      <c r="L288" s="9" t="str">
        <f t="shared" ca="1" si="66"/>
        <v/>
      </c>
      <c r="N288" s="176" t="str">
        <f t="shared" ca="1" si="72"/>
        <v/>
      </c>
      <c r="O288" s="176" t="str">
        <f t="shared" ca="1" si="77"/>
        <v/>
      </c>
      <c r="P288" s="175" t="str">
        <f t="shared" ca="1" si="67"/>
        <v/>
      </c>
      <c r="Q288" s="11" t="str">
        <f t="shared" ca="1" si="68"/>
        <v/>
      </c>
      <c r="R288" s="12" t="str">
        <f t="shared" ca="1" si="69"/>
        <v/>
      </c>
    </row>
    <row r="289" spans="1:18">
      <c r="A289" s="198" t="str">
        <f t="shared" ca="1" si="78"/>
        <v/>
      </c>
      <c r="B289" s="197" t="str">
        <f t="shared" ca="1" si="79"/>
        <v/>
      </c>
      <c r="C289" s="196" t="str">
        <f t="shared" ca="1" si="70"/>
        <v/>
      </c>
      <c r="D289" s="21" t="str">
        <f t="shared" ca="1" si="73"/>
        <v/>
      </c>
      <c r="E289" s="196" t="str">
        <f t="shared" ca="1" si="71"/>
        <v/>
      </c>
      <c r="F289" s="178">
        <f t="shared" ca="1" si="74"/>
        <v>0</v>
      </c>
      <c r="G289" s="178">
        <f t="shared" ca="1" si="75"/>
        <v>0</v>
      </c>
      <c r="H289" s="177">
        <f t="shared" ca="1" si="76"/>
        <v>0</v>
      </c>
      <c r="I289" s="196"/>
      <c r="J289" s="9" t="str">
        <f t="shared" ca="1" si="64"/>
        <v/>
      </c>
      <c r="K289" s="9" t="str">
        <f t="shared" ca="1" si="65"/>
        <v/>
      </c>
      <c r="L289" s="9" t="str">
        <f t="shared" ca="1" si="66"/>
        <v/>
      </c>
      <c r="N289" s="176" t="str">
        <f t="shared" ca="1" si="72"/>
        <v/>
      </c>
      <c r="O289" s="176" t="str">
        <f t="shared" ca="1" si="77"/>
        <v/>
      </c>
      <c r="P289" s="175" t="str">
        <f t="shared" ca="1" si="67"/>
        <v/>
      </c>
      <c r="Q289" s="11" t="str">
        <f t="shared" ca="1" si="68"/>
        <v/>
      </c>
      <c r="R289" s="12" t="str">
        <f t="shared" ca="1" si="69"/>
        <v/>
      </c>
    </row>
    <row r="290" spans="1:18">
      <c r="A290" s="198" t="str">
        <f t="shared" ca="1" si="78"/>
        <v/>
      </c>
      <c r="B290" s="197" t="str">
        <f t="shared" ca="1" si="79"/>
        <v/>
      </c>
      <c r="C290" s="196" t="str">
        <f t="shared" ca="1" si="70"/>
        <v/>
      </c>
      <c r="D290" s="21" t="str">
        <f t="shared" ca="1" si="73"/>
        <v/>
      </c>
      <c r="E290" s="196" t="str">
        <f t="shared" ca="1" si="71"/>
        <v/>
      </c>
      <c r="F290" s="178">
        <f t="shared" ca="1" si="74"/>
        <v>0</v>
      </c>
      <c r="G290" s="178">
        <f t="shared" ca="1" si="75"/>
        <v>0</v>
      </c>
      <c r="H290" s="177">
        <f t="shared" ca="1" si="76"/>
        <v>0</v>
      </c>
      <c r="I290" s="196"/>
      <c r="J290" s="9" t="str">
        <f t="shared" ca="1" si="64"/>
        <v/>
      </c>
      <c r="K290" s="9" t="str">
        <f t="shared" ca="1" si="65"/>
        <v/>
      </c>
      <c r="L290" s="9" t="str">
        <f t="shared" ca="1" si="66"/>
        <v/>
      </c>
      <c r="N290" s="176" t="str">
        <f t="shared" ca="1" si="72"/>
        <v/>
      </c>
      <c r="O290" s="176" t="str">
        <f t="shared" ca="1" si="77"/>
        <v/>
      </c>
      <c r="P290" s="175" t="str">
        <f t="shared" ca="1" si="67"/>
        <v/>
      </c>
      <c r="Q290" s="11" t="str">
        <f t="shared" ca="1" si="68"/>
        <v/>
      </c>
      <c r="R290" s="12" t="str">
        <f t="shared" ca="1" si="69"/>
        <v/>
      </c>
    </row>
    <row r="291" spans="1:18">
      <c r="A291" s="198" t="str">
        <f t="shared" ca="1" si="78"/>
        <v/>
      </c>
      <c r="B291" s="197" t="str">
        <f t="shared" ca="1" si="79"/>
        <v/>
      </c>
      <c r="C291" s="196" t="str">
        <f t="shared" ca="1" si="70"/>
        <v/>
      </c>
      <c r="D291" s="21" t="str">
        <f t="shared" ca="1" si="73"/>
        <v/>
      </c>
      <c r="E291" s="196" t="str">
        <f t="shared" ca="1" si="71"/>
        <v/>
      </c>
      <c r="F291" s="178">
        <f t="shared" ca="1" si="74"/>
        <v>0</v>
      </c>
      <c r="G291" s="178">
        <f t="shared" ca="1" si="75"/>
        <v>0</v>
      </c>
      <c r="H291" s="177">
        <f t="shared" ca="1" si="76"/>
        <v>0</v>
      </c>
      <c r="I291" s="196"/>
      <c r="J291" s="9" t="str">
        <f t="shared" ca="1" si="64"/>
        <v/>
      </c>
      <c r="K291" s="9" t="str">
        <f t="shared" ca="1" si="65"/>
        <v/>
      </c>
      <c r="L291" s="9" t="str">
        <f t="shared" ca="1" si="66"/>
        <v/>
      </c>
      <c r="N291" s="176" t="str">
        <f t="shared" ca="1" si="72"/>
        <v/>
      </c>
      <c r="O291" s="176" t="str">
        <f t="shared" ca="1" si="77"/>
        <v/>
      </c>
      <c r="P291" s="175" t="str">
        <f t="shared" ca="1" si="67"/>
        <v/>
      </c>
      <c r="Q291" s="11" t="str">
        <f t="shared" ca="1" si="68"/>
        <v/>
      </c>
      <c r="R291" s="12" t="str">
        <f t="shared" ca="1" si="69"/>
        <v/>
      </c>
    </row>
    <row r="292" spans="1:18">
      <c r="A292" s="198" t="str">
        <f t="shared" ca="1" si="78"/>
        <v/>
      </c>
      <c r="B292" s="197" t="str">
        <f t="shared" ca="1" si="79"/>
        <v/>
      </c>
      <c r="C292" s="196" t="str">
        <f t="shared" ca="1" si="70"/>
        <v/>
      </c>
      <c r="D292" s="21" t="str">
        <f t="shared" ca="1" si="73"/>
        <v/>
      </c>
      <c r="E292" s="196" t="str">
        <f t="shared" ca="1" si="71"/>
        <v/>
      </c>
      <c r="F292" s="178">
        <f t="shared" ca="1" si="74"/>
        <v>0</v>
      </c>
      <c r="G292" s="178">
        <f t="shared" ca="1" si="75"/>
        <v>0</v>
      </c>
      <c r="H292" s="177">
        <f t="shared" ca="1" si="76"/>
        <v>0</v>
      </c>
      <c r="I292" s="196"/>
      <c r="J292" s="9" t="str">
        <f t="shared" ca="1" si="64"/>
        <v/>
      </c>
      <c r="K292" s="9" t="str">
        <f t="shared" ca="1" si="65"/>
        <v/>
      </c>
      <c r="L292" s="9" t="str">
        <f t="shared" ca="1" si="66"/>
        <v/>
      </c>
      <c r="N292" s="176" t="str">
        <f t="shared" ca="1" si="72"/>
        <v/>
      </c>
      <c r="O292" s="176" t="str">
        <f t="shared" ca="1" si="77"/>
        <v/>
      </c>
      <c r="P292" s="175" t="str">
        <f t="shared" ca="1" si="67"/>
        <v/>
      </c>
      <c r="Q292" s="11" t="str">
        <f t="shared" ca="1" si="68"/>
        <v/>
      </c>
      <c r="R292" s="12" t="str">
        <f t="shared" ca="1" si="69"/>
        <v/>
      </c>
    </row>
    <row r="293" spans="1:18">
      <c r="A293" s="198" t="str">
        <f t="shared" ca="1" si="78"/>
        <v/>
      </c>
      <c r="B293" s="197" t="str">
        <f t="shared" ca="1" si="79"/>
        <v/>
      </c>
      <c r="C293" s="196" t="str">
        <f t="shared" ca="1" si="70"/>
        <v/>
      </c>
      <c r="D293" s="21" t="str">
        <f t="shared" ca="1" si="73"/>
        <v/>
      </c>
      <c r="E293" s="196" t="str">
        <f t="shared" ca="1" si="71"/>
        <v/>
      </c>
      <c r="F293" s="178">
        <f t="shared" ca="1" si="74"/>
        <v>0</v>
      </c>
      <c r="G293" s="178">
        <f t="shared" ca="1" si="75"/>
        <v>0</v>
      </c>
      <c r="H293" s="177">
        <f t="shared" ca="1" si="76"/>
        <v>0</v>
      </c>
      <c r="I293" s="196"/>
      <c r="J293" s="9" t="str">
        <f t="shared" ca="1" si="64"/>
        <v/>
      </c>
      <c r="K293" s="9" t="str">
        <f t="shared" ca="1" si="65"/>
        <v/>
      </c>
      <c r="L293" s="9" t="str">
        <f t="shared" ca="1" si="66"/>
        <v/>
      </c>
      <c r="N293" s="176" t="str">
        <f t="shared" ca="1" si="72"/>
        <v/>
      </c>
      <c r="O293" s="176" t="str">
        <f t="shared" ca="1" si="77"/>
        <v/>
      </c>
      <c r="P293" s="175" t="str">
        <f t="shared" ca="1" si="67"/>
        <v/>
      </c>
      <c r="Q293" s="11" t="str">
        <f t="shared" ca="1" si="68"/>
        <v/>
      </c>
      <c r="R293" s="12" t="str">
        <f t="shared" ca="1" si="69"/>
        <v/>
      </c>
    </row>
    <row r="294" spans="1:18">
      <c r="A294" s="198" t="str">
        <f t="shared" ca="1" si="78"/>
        <v/>
      </c>
      <c r="B294" s="197" t="str">
        <f t="shared" ca="1" si="79"/>
        <v/>
      </c>
      <c r="C294" s="196" t="str">
        <f t="shared" ca="1" si="70"/>
        <v/>
      </c>
      <c r="D294" s="21" t="str">
        <f t="shared" ca="1" si="73"/>
        <v/>
      </c>
      <c r="E294" s="196" t="str">
        <f t="shared" ca="1" si="71"/>
        <v/>
      </c>
      <c r="F294" s="178">
        <f t="shared" ca="1" si="74"/>
        <v>0</v>
      </c>
      <c r="G294" s="178">
        <f t="shared" ca="1" si="75"/>
        <v>0</v>
      </c>
      <c r="H294" s="177">
        <f t="shared" ca="1" si="76"/>
        <v>0</v>
      </c>
      <c r="I294" s="196"/>
      <c r="J294" s="9" t="str">
        <f t="shared" ca="1" si="64"/>
        <v/>
      </c>
      <c r="K294" s="9" t="str">
        <f t="shared" ca="1" si="65"/>
        <v/>
      </c>
      <c r="L294" s="9" t="str">
        <f t="shared" ca="1" si="66"/>
        <v/>
      </c>
      <c r="N294" s="176" t="str">
        <f t="shared" ca="1" si="72"/>
        <v/>
      </c>
      <c r="O294" s="176" t="str">
        <f t="shared" ca="1" si="77"/>
        <v/>
      </c>
      <c r="P294" s="175" t="str">
        <f t="shared" ca="1" si="67"/>
        <v/>
      </c>
      <c r="Q294" s="11" t="str">
        <f t="shared" ca="1" si="68"/>
        <v/>
      </c>
      <c r="R294" s="12" t="str">
        <f t="shared" ca="1" si="69"/>
        <v/>
      </c>
    </row>
    <row r="295" spans="1:18">
      <c r="A295" s="198" t="str">
        <f t="shared" ca="1" si="78"/>
        <v/>
      </c>
      <c r="B295" s="197" t="str">
        <f t="shared" ca="1" si="79"/>
        <v/>
      </c>
      <c r="C295" s="196" t="str">
        <f t="shared" ca="1" si="70"/>
        <v/>
      </c>
      <c r="D295" s="21" t="str">
        <f t="shared" ca="1" si="73"/>
        <v/>
      </c>
      <c r="E295" s="196" t="str">
        <f t="shared" ca="1" si="71"/>
        <v/>
      </c>
      <c r="F295" s="178">
        <f t="shared" ca="1" si="74"/>
        <v>0</v>
      </c>
      <c r="G295" s="178">
        <f t="shared" ca="1" si="75"/>
        <v>0</v>
      </c>
      <c r="H295" s="177">
        <f t="shared" ca="1" si="76"/>
        <v>0</v>
      </c>
      <c r="I295" s="196"/>
      <c r="J295" s="9" t="str">
        <f t="shared" ca="1" si="64"/>
        <v/>
      </c>
      <c r="K295" s="9" t="str">
        <f t="shared" ca="1" si="65"/>
        <v/>
      </c>
      <c r="L295" s="9" t="str">
        <f t="shared" ca="1" si="66"/>
        <v/>
      </c>
      <c r="N295" s="176" t="str">
        <f t="shared" ca="1" si="72"/>
        <v/>
      </c>
      <c r="O295" s="176" t="str">
        <f t="shared" ca="1" si="77"/>
        <v/>
      </c>
      <c r="P295" s="175" t="str">
        <f t="shared" ca="1" si="67"/>
        <v/>
      </c>
      <c r="Q295" s="11" t="str">
        <f t="shared" ca="1" si="68"/>
        <v/>
      </c>
      <c r="R295" s="12" t="str">
        <f t="shared" ca="1" si="69"/>
        <v/>
      </c>
    </row>
    <row r="296" spans="1:18">
      <c r="A296" s="198" t="str">
        <f t="shared" ca="1" si="78"/>
        <v/>
      </c>
      <c r="B296" s="197" t="str">
        <f t="shared" ca="1" si="79"/>
        <v/>
      </c>
      <c r="C296" s="196" t="str">
        <f t="shared" ca="1" si="70"/>
        <v/>
      </c>
      <c r="D296" s="21" t="str">
        <f t="shared" ca="1" si="73"/>
        <v/>
      </c>
      <c r="E296" s="196" t="str">
        <f t="shared" ca="1" si="71"/>
        <v/>
      </c>
      <c r="F296" s="178">
        <f t="shared" ca="1" si="74"/>
        <v>0</v>
      </c>
      <c r="G296" s="178">
        <f t="shared" ca="1" si="75"/>
        <v>0</v>
      </c>
      <c r="H296" s="177">
        <f t="shared" ca="1" si="76"/>
        <v>0</v>
      </c>
      <c r="I296" s="196"/>
      <c r="J296" s="9" t="str">
        <f t="shared" ca="1" si="64"/>
        <v/>
      </c>
      <c r="K296" s="9" t="str">
        <f t="shared" ca="1" si="65"/>
        <v/>
      </c>
      <c r="L296" s="9" t="str">
        <f t="shared" ca="1" si="66"/>
        <v/>
      </c>
      <c r="N296" s="176" t="str">
        <f t="shared" ca="1" si="72"/>
        <v/>
      </c>
      <c r="O296" s="176" t="str">
        <f t="shared" ca="1" si="77"/>
        <v/>
      </c>
      <c r="P296" s="175" t="str">
        <f t="shared" ca="1" si="67"/>
        <v/>
      </c>
      <c r="Q296" s="11" t="str">
        <f t="shared" ca="1" si="68"/>
        <v/>
      </c>
      <c r="R296" s="12" t="str">
        <f t="shared" ca="1" si="69"/>
        <v/>
      </c>
    </row>
    <row r="297" spans="1:18">
      <c r="A297" s="198" t="str">
        <f t="shared" ca="1" si="78"/>
        <v/>
      </c>
      <c r="B297" s="197" t="str">
        <f t="shared" ca="1" si="79"/>
        <v/>
      </c>
      <c r="C297" s="196" t="str">
        <f t="shared" ca="1" si="70"/>
        <v/>
      </c>
      <c r="D297" s="21" t="str">
        <f t="shared" ca="1" si="73"/>
        <v/>
      </c>
      <c r="E297" s="196" t="str">
        <f t="shared" ca="1" si="71"/>
        <v/>
      </c>
      <c r="F297" s="178">
        <f t="shared" ca="1" si="74"/>
        <v>0</v>
      </c>
      <c r="G297" s="178">
        <f t="shared" ca="1" si="75"/>
        <v>0</v>
      </c>
      <c r="H297" s="177">
        <f t="shared" ca="1" si="76"/>
        <v>0</v>
      </c>
      <c r="I297" s="196"/>
      <c r="J297" s="9" t="str">
        <f t="shared" ca="1" si="64"/>
        <v/>
      </c>
      <c r="K297" s="9" t="str">
        <f t="shared" ca="1" si="65"/>
        <v/>
      </c>
      <c r="L297" s="9" t="str">
        <f t="shared" ca="1" si="66"/>
        <v/>
      </c>
      <c r="N297" s="176" t="str">
        <f t="shared" ca="1" si="72"/>
        <v/>
      </c>
      <c r="O297" s="176" t="str">
        <f t="shared" ca="1" si="77"/>
        <v/>
      </c>
      <c r="P297" s="175" t="str">
        <f t="shared" ca="1" si="67"/>
        <v/>
      </c>
      <c r="Q297" s="11" t="str">
        <f t="shared" ca="1" si="68"/>
        <v/>
      </c>
      <c r="R297" s="12" t="str">
        <f t="shared" ca="1" si="69"/>
        <v/>
      </c>
    </row>
    <row r="298" spans="1:18">
      <c r="A298" s="198" t="str">
        <f t="shared" ca="1" si="78"/>
        <v/>
      </c>
      <c r="B298" s="197" t="str">
        <f t="shared" ca="1" si="79"/>
        <v/>
      </c>
      <c r="C298" s="196" t="str">
        <f t="shared" ca="1" si="70"/>
        <v/>
      </c>
      <c r="D298" s="21" t="str">
        <f t="shared" ca="1" si="73"/>
        <v/>
      </c>
      <c r="E298" s="196" t="str">
        <f t="shared" ca="1" si="71"/>
        <v/>
      </c>
      <c r="F298" s="178">
        <f t="shared" ca="1" si="74"/>
        <v>0</v>
      </c>
      <c r="G298" s="178">
        <f t="shared" ca="1" si="75"/>
        <v>0</v>
      </c>
      <c r="H298" s="177">
        <f t="shared" ca="1" si="76"/>
        <v>0</v>
      </c>
      <c r="I298" s="196"/>
      <c r="J298" s="9" t="str">
        <f t="shared" ca="1" si="64"/>
        <v/>
      </c>
      <c r="K298" s="9" t="str">
        <f t="shared" ca="1" si="65"/>
        <v/>
      </c>
      <c r="L298" s="9" t="str">
        <f t="shared" ca="1" si="66"/>
        <v/>
      </c>
      <c r="N298" s="176" t="str">
        <f t="shared" ca="1" si="72"/>
        <v/>
      </c>
      <c r="O298" s="176" t="str">
        <f t="shared" ca="1" si="77"/>
        <v/>
      </c>
      <c r="P298" s="175" t="str">
        <f t="shared" ca="1" si="67"/>
        <v/>
      </c>
      <c r="Q298" s="11" t="str">
        <f t="shared" ca="1" si="68"/>
        <v/>
      </c>
      <c r="R298" s="12" t="str">
        <f t="shared" ca="1" si="69"/>
        <v/>
      </c>
    </row>
    <row r="299" spans="1:18">
      <c r="A299" s="198" t="str">
        <f t="shared" ca="1" si="78"/>
        <v/>
      </c>
      <c r="B299" s="197" t="str">
        <f t="shared" ca="1" si="79"/>
        <v/>
      </c>
      <c r="C299" s="196" t="str">
        <f t="shared" ca="1" si="70"/>
        <v/>
      </c>
      <c r="D299" s="21" t="str">
        <f t="shared" ca="1" si="73"/>
        <v/>
      </c>
      <c r="E299" s="196" t="str">
        <f t="shared" ca="1" si="71"/>
        <v/>
      </c>
      <c r="F299" s="178">
        <f t="shared" ca="1" si="74"/>
        <v>0</v>
      </c>
      <c r="G299" s="178">
        <f t="shared" ca="1" si="75"/>
        <v>0</v>
      </c>
      <c r="H299" s="177">
        <f t="shared" ca="1" si="76"/>
        <v>0</v>
      </c>
      <c r="I299" s="196"/>
      <c r="J299" s="9" t="str">
        <f t="shared" ca="1" si="64"/>
        <v/>
      </c>
      <c r="K299" s="9" t="str">
        <f t="shared" ca="1" si="65"/>
        <v/>
      </c>
      <c r="L299" s="9" t="str">
        <f t="shared" ca="1" si="66"/>
        <v/>
      </c>
      <c r="N299" s="176" t="str">
        <f t="shared" ca="1" si="72"/>
        <v/>
      </c>
      <c r="O299" s="176" t="str">
        <f t="shared" ca="1" si="77"/>
        <v/>
      </c>
      <c r="P299" s="175" t="str">
        <f t="shared" ca="1" si="67"/>
        <v/>
      </c>
      <c r="Q299" s="11" t="str">
        <f t="shared" ca="1" si="68"/>
        <v/>
      </c>
      <c r="R299" s="12" t="str">
        <f t="shared" ca="1" si="69"/>
        <v/>
      </c>
    </row>
    <row r="300" spans="1:18">
      <c r="A300" s="198" t="str">
        <f t="shared" ca="1" si="78"/>
        <v/>
      </c>
      <c r="B300" s="197" t="str">
        <f t="shared" ca="1" si="79"/>
        <v/>
      </c>
      <c r="C300" s="196" t="str">
        <f t="shared" ca="1" si="70"/>
        <v/>
      </c>
      <c r="D300" s="21" t="str">
        <f t="shared" ca="1" si="73"/>
        <v/>
      </c>
      <c r="E300" s="196" t="str">
        <f t="shared" ca="1" si="71"/>
        <v/>
      </c>
      <c r="F300" s="178">
        <f t="shared" ca="1" si="74"/>
        <v>0</v>
      </c>
      <c r="G300" s="178">
        <f t="shared" ca="1" si="75"/>
        <v>0</v>
      </c>
      <c r="H300" s="177">
        <f t="shared" ca="1" si="76"/>
        <v>0</v>
      </c>
      <c r="I300" s="196"/>
      <c r="J300" s="9" t="str">
        <f t="shared" ca="1" si="64"/>
        <v/>
      </c>
      <c r="K300" s="9" t="str">
        <f t="shared" ca="1" si="65"/>
        <v/>
      </c>
      <c r="L300" s="9" t="str">
        <f t="shared" ca="1" si="66"/>
        <v/>
      </c>
      <c r="N300" s="176" t="str">
        <f t="shared" ca="1" si="72"/>
        <v/>
      </c>
      <c r="O300" s="176" t="str">
        <f t="shared" ca="1" si="77"/>
        <v/>
      </c>
      <c r="P300" s="175" t="str">
        <f t="shared" ca="1" si="67"/>
        <v/>
      </c>
      <c r="Q300" s="11" t="str">
        <f t="shared" ca="1" si="68"/>
        <v/>
      </c>
      <c r="R300" s="12" t="str">
        <f t="shared" ca="1" si="69"/>
        <v/>
      </c>
    </row>
    <row r="301" spans="1:18">
      <c r="A301" s="198" t="str">
        <f t="shared" ca="1" si="78"/>
        <v/>
      </c>
      <c r="B301" s="197" t="str">
        <f t="shared" ca="1" si="79"/>
        <v/>
      </c>
      <c r="C301" s="196" t="str">
        <f t="shared" ca="1" si="70"/>
        <v/>
      </c>
      <c r="D301" s="21" t="str">
        <f t="shared" ca="1" si="73"/>
        <v/>
      </c>
      <c r="E301" s="196" t="str">
        <f t="shared" ca="1" si="71"/>
        <v/>
      </c>
      <c r="F301" s="178">
        <f t="shared" ca="1" si="74"/>
        <v>0</v>
      </c>
      <c r="G301" s="178">
        <f t="shared" ca="1" si="75"/>
        <v>0</v>
      </c>
      <c r="H301" s="177">
        <f t="shared" ca="1" si="76"/>
        <v>0</v>
      </c>
      <c r="I301" s="196"/>
      <c r="J301" s="9" t="str">
        <f t="shared" ca="1" si="64"/>
        <v/>
      </c>
      <c r="K301" s="9" t="str">
        <f t="shared" ca="1" si="65"/>
        <v/>
      </c>
      <c r="L301" s="9" t="str">
        <f t="shared" ca="1" si="66"/>
        <v/>
      </c>
      <c r="N301" s="176" t="str">
        <f t="shared" ca="1" si="72"/>
        <v/>
      </c>
      <c r="O301" s="176" t="str">
        <f t="shared" ca="1" si="77"/>
        <v/>
      </c>
      <c r="P301" s="175" t="str">
        <f t="shared" ca="1" si="67"/>
        <v/>
      </c>
      <c r="Q301" s="11" t="str">
        <f t="shared" ca="1" si="68"/>
        <v/>
      </c>
      <c r="R301" s="12" t="str">
        <f t="shared" ca="1" si="69"/>
        <v/>
      </c>
    </row>
    <row r="302" spans="1:18">
      <c r="A302" s="198" t="str">
        <f t="shared" ca="1" si="78"/>
        <v/>
      </c>
      <c r="B302" s="197" t="str">
        <f t="shared" ca="1" si="79"/>
        <v/>
      </c>
      <c r="C302" s="196" t="str">
        <f t="shared" ca="1" si="70"/>
        <v/>
      </c>
      <c r="D302" s="21" t="str">
        <f t="shared" ca="1" si="73"/>
        <v/>
      </c>
      <c r="E302" s="196" t="str">
        <f t="shared" ca="1" si="71"/>
        <v/>
      </c>
      <c r="F302" s="178">
        <f t="shared" ca="1" si="74"/>
        <v>0</v>
      </c>
      <c r="G302" s="178">
        <f t="shared" ca="1" si="75"/>
        <v>0</v>
      </c>
      <c r="H302" s="177">
        <f t="shared" ca="1" si="76"/>
        <v>0</v>
      </c>
      <c r="I302" s="196"/>
      <c r="J302" s="9" t="str">
        <f t="shared" ca="1" si="64"/>
        <v/>
      </c>
      <c r="K302" s="9" t="str">
        <f t="shared" ca="1" si="65"/>
        <v/>
      </c>
      <c r="L302" s="9" t="str">
        <f t="shared" ca="1" si="66"/>
        <v/>
      </c>
      <c r="N302" s="176" t="str">
        <f t="shared" ca="1" si="72"/>
        <v/>
      </c>
      <c r="O302" s="176" t="str">
        <f t="shared" ca="1" si="77"/>
        <v/>
      </c>
      <c r="P302" s="175" t="str">
        <f t="shared" ca="1" si="67"/>
        <v/>
      </c>
      <c r="Q302" s="11" t="str">
        <f t="shared" ca="1" si="68"/>
        <v/>
      </c>
      <c r="R302" s="12" t="str">
        <f t="shared" ca="1" si="69"/>
        <v/>
      </c>
    </row>
    <row r="303" spans="1:18">
      <c r="A303" s="198" t="str">
        <f t="shared" ca="1" si="78"/>
        <v/>
      </c>
      <c r="B303" s="197" t="str">
        <f t="shared" ca="1" si="79"/>
        <v/>
      </c>
      <c r="C303" s="196" t="str">
        <f t="shared" ca="1" si="70"/>
        <v/>
      </c>
      <c r="D303" s="21" t="str">
        <f t="shared" ca="1" si="73"/>
        <v/>
      </c>
      <c r="E303" s="196" t="str">
        <f t="shared" ca="1" si="71"/>
        <v/>
      </c>
      <c r="F303" s="178">
        <f t="shared" ca="1" si="74"/>
        <v>0</v>
      </c>
      <c r="G303" s="178">
        <f t="shared" ca="1" si="75"/>
        <v>0</v>
      </c>
      <c r="H303" s="177">
        <f t="shared" ca="1" si="76"/>
        <v>0</v>
      </c>
      <c r="I303" s="196"/>
      <c r="J303" s="9" t="str">
        <f t="shared" ca="1" si="64"/>
        <v/>
      </c>
      <c r="K303" s="9" t="str">
        <f t="shared" ca="1" si="65"/>
        <v/>
      </c>
      <c r="L303" s="9" t="str">
        <f t="shared" ca="1" si="66"/>
        <v/>
      </c>
      <c r="N303" s="176" t="str">
        <f t="shared" ca="1" si="72"/>
        <v/>
      </c>
      <c r="O303" s="176" t="str">
        <f t="shared" ca="1" si="77"/>
        <v/>
      </c>
      <c r="P303" s="175" t="str">
        <f t="shared" ca="1" si="67"/>
        <v/>
      </c>
      <c r="Q303" s="11" t="str">
        <f t="shared" ca="1" si="68"/>
        <v/>
      </c>
      <c r="R303" s="12" t="str">
        <f t="shared" ca="1" si="69"/>
        <v/>
      </c>
    </row>
    <row r="304" spans="1:18">
      <c r="A304" s="198" t="str">
        <f t="shared" ca="1" si="78"/>
        <v/>
      </c>
      <c r="B304" s="197" t="str">
        <f t="shared" ca="1" si="79"/>
        <v/>
      </c>
      <c r="C304" s="196" t="str">
        <f t="shared" ca="1" si="70"/>
        <v/>
      </c>
      <c r="D304" s="21" t="str">
        <f t="shared" ca="1" si="73"/>
        <v/>
      </c>
      <c r="E304" s="196" t="str">
        <f t="shared" ca="1" si="71"/>
        <v/>
      </c>
      <c r="F304" s="178">
        <f t="shared" ca="1" si="74"/>
        <v>0</v>
      </c>
      <c r="G304" s="178">
        <f t="shared" ca="1" si="75"/>
        <v>0</v>
      </c>
      <c r="H304" s="177">
        <f t="shared" ca="1" si="76"/>
        <v>0</v>
      </c>
      <c r="I304" s="196"/>
      <c r="J304" s="9" t="str">
        <f t="shared" ca="1" si="64"/>
        <v/>
      </c>
      <c r="K304" s="9" t="str">
        <f t="shared" ca="1" si="65"/>
        <v/>
      </c>
      <c r="L304" s="9" t="str">
        <f t="shared" ca="1" si="66"/>
        <v/>
      </c>
      <c r="N304" s="176" t="str">
        <f t="shared" ca="1" si="72"/>
        <v/>
      </c>
      <c r="O304" s="176" t="str">
        <f t="shared" ca="1" si="77"/>
        <v/>
      </c>
      <c r="P304" s="175" t="str">
        <f t="shared" ca="1" si="67"/>
        <v/>
      </c>
      <c r="Q304" s="11" t="str">
        <f t="shared" ca="1" si="68"/>
        <v/>
      </c>
      <c r="R304" s="12" t="str">
        <f t="shared" ca="1" si="69"/>
        <v/>
      </c>
    </row>
    <row r="305" spans="1:18">
      <c r="A305" s="198" t="str">
        <f t="shared" ca="1" si="78"/>
        <v/>
      </c>
      <c r="B305" s="197" t="str">
        <f t="shared" ca="1" si="79"/>
        <v/>
      </c>
      <c r="C305" s="196" t="str">
        <f t="shared" ca="1" si="70"/>
        <v/>
      </c>
      <c r="D305" s="21" t="str">
        <f t="shared" ca="1" si="73"/>
        <v/>
      </c>
      <c r="E305" s="196" t="str">
        <f t="shared" ca="1" si="71"/>
        <v/>
      </c>
      <c r="F305" s="178">
        <f t="shared" ca="1" si="74"/>
        <v>0</v>
      </c>
      <c r="G305" s="178">
        <f t="shared" ca="1" si="75"/>
        <v>0</v>
      </c>
      <c r="H305" s="177">
        <f t="shared" ca="1" si="76"/>
        <v>0</v>
      </c>
      <c r="I305" s="196"/>
      <c r="J305" s="9" t="str">
        <f t="shared" ca="1" si="64"/>
        <v/>
      </c>
      <c r="K305" s="9" t="str">
        <f t="shared" ca="1" si="65"/>
        <v/>
      </c>
      <c r="L305" s="9" t="str">
        <f t="shared" ca="1" si="66"/>
        <v/>
      </c>
      <c r="N305" s="176" t="str">
        <f t="shared" ca="1" si="72"/>
        <v/>
      </c>
      <c r="O305" s="176" t="str">
        <f t="shared" ca="1" si="77"/>
        <v/>
      </c>
      <c r="P305" s="175" t="str">
        <f t="shared" ca="1" si="67"/>
        <v/>
      </c>
      <c r="Q305" s="11" t="str">
        <f t="shared" ca="1" si="68"/>
        <v/>
      </c>
      <c r="R305" s="12" t="str">
        <f t="shared" ca="1" si="69"/>
        <v/>
      </c>
    </row>
    <row r="306" spans="1:18">
      <c r="A306" s="198" t="str">
        <f t="shared" ca="1" si="78"/>
        <v/>
      </c>
      <c r="B306" s="197" t="str">
        <f t="shared" ca="1" si="79"/>
        <v/>
      </c>
      <c r="C306" s="196" t="str">
        <f t="shared" ca="1" si="70"/>
        <v/>
      </c>
      <c r="D306" s="21" t="str">
        <f t="shared" ca="1" si="73"/>
        <v/>
      </c>
      <c r="E306" s="196" t="str">
        <f t="shared" ca="1" si="71"/>
        <v/>
      </c>
      <c r="F306" s="178">
        <f t="shared" ca="1" si="74"/>
        <v>0</v>
      </c>
      <c r="G306" s="178">
        <f t="shared" ca="1" si="75"/>
        <v>0</v>
      </c>
      <c r="H306" s="177">
        <f t="shared" ca="1" si="76"/>
        <v>0</v>
      </c>
      <c r="I306" s="196"/>
      <c r="J306" s="9" t="str">
        <f t="shared" ca="1" si="64"/>
        <v/>
      </c>
      <c r="K306" s="9" t="str">
        <f t="shared" ca="1" si="65"/>
        <v/>
      </c>
      <c r="L306" s="9" t="str">
        <f t="shared" ca="1" si="66"/>
        <v/>
      </c>
      <c r="N306" s="176" t="str">
        <f t="shared" ca="1" si="72"/>
        <v/>
      </c>
      <c r="O306" s="176" t="str">
        <f t="shared" ca="1" si="77"/>
        <v/>
      </c>
      <c r="P306" s="175" t="str">
        <f t="shared" ca="1" si="67"/>
        <v/>
      </c>
      <c r="Q306" s="11" t="str">
        <f t="shared" ca="1" si="68"/>
        <v/>
      </c>
      <c r="R306" s="12" t="str">
        <f t="shared" ca="1" si="69"/>
        <v/>
      </c>
    </row>
    <row r="307" spans="1:18">
      <c r="A307" s="198" t="str">
        <f t="shared" ca="1" si="78"/>
        <v/>
      </c>
      <c r="B307" s="197" t="str">
        <f t="shared" ca="1" si="79"/>
        <v/>
      </c>
      <c r="C307" s="196" t="str">
        <f t="shared" ca="1" si="70"/>
        <v/>
      </c>
      <c r="D307" s="21" t="str">
        <f t="shared" ca="1" si="73"/>
        <v/>
      </c>
      <c r="E307" s="196" t="str">
        <f t="shared" ca="1" si="71"/>
        <v/>
      </c>
      <c r="F307" s="178">
        <f t="shared" ca="1" si="74"/>
        <v>0</v>
      </c>
      <c r="G307" s="178">
        <f t="shared" ca="1" si="75"/>
        <v>0</v>
      </c>
      <c r="H307" s="177">
        <f t="shared" ca="1" si="76"/>
        <v>0</v>
      </c>
      <c r="I307" s="196"/>
      <c r="J307" s="9" t="str">
        <f t="shared" ca="1" si="64"/>
        <v/>
      </c>
      <c r="K307" s="9" t="str">
        <f t="shared" ca="1" si="65"/>
        <v/>
      </c>
      <c r="L307" s="9" t="str">
        <f t="shared" ca="1" si="66"/>
        <v/>
      </c>
      <c r="N307" s="176" t="str">
        <f t="shared" ca="1" si="72"/>
        <v/>
      </c>
      <c r="O307" s="176" t="str">
        <f t="shared" ca="1" si="77"/>
        <v/>
      </c>
      <c r="P307" s="175" t="str">
        <f t="shared" ca="1" si="67"/>
        <v/>
      </c>
      <c r="Q307" s="11" t="str">
        <f t="shared" ca="1" si="68"/>
        <v/>
      </c>
      <c r="R307" s="12" t="str">
        <f t="shared" ca="1" si="69"/>
        <v/>
      </c>
    </row>
    <row r="308" spans="1:18">
      <c r="A308" s="198" t="str">
        <f t="shared" ca="1" si="78"/>
        <v/>
      </c>
      <c r="B308" s="197" t="str">
        <f t="shared" ca="1" si="79"/>
        <v/>
      </c>
      <c r="C308" s="196" t="str">
        <f t="shared" ca="1" si="70"/>
        <v/>
      </c>
      <c r="D308" s="21" t="str">
        <f t="shared" ca="1" si="73"/>
        <v/>
      </c>
      <c r="E308" s="196" t="str">
        <f t="shared" ca="1" si="71"/>
        <v/>
      </c>
      <c r="F308" s="178">
        <f t="shared" ca="1" si="74"/>
        <v>0</v>
      </c>
      <c r="G308" s="178">
        <f t="shared" ca="1" si="75"/>
        <v>0</v>
      </c>
      <c r="H308" s="177">
        <f t="shared" ca="1" si="76"/>
        <v>0</v>
      </c>
      <c r="I308" s="196"/>
      <c r="J308" s="9" t="str">
        <f t="shared" ca="1" si="64"/>
        <v/>
      </c>
      <c r="K308" s="9" t="str">
        <f t="shared" ca="1" si="65"/>
        <v/>
      </c>
      <c r="L308" s="9" t="str">
        <f t="shared" ca="1" si="66"/>
        <v/>
      </c>
      <c r="N308" s="176" t="str">
        <f t="shared" ca="1" si="72"/>
        <v/>
      </c>
      <c r="O308" s="176" t="str">
        <f t="shared" ca="1" si="77"/>
        <v/>
      </c>
      <c r="P308" s="175" t="str">
        <f t="shared" ca="1" si="67"/>
        <v/>
      </c>
      <c r="Q308" s="11" t="str">
        <f t="shared" ca="1" si="68"/>
        <v/>
      </c>
      <c r="R308" s="12" t="str">
        <f t="shared" ca="1" si="69"/>
        <v/>
      </c>
    </row>
    <row r="309" spans="1:18">
      <c r="A309" s="198" t="str">
        <f t="shared" ca="1" si="78"/>
        <v/>
      </c>
      <c r="B309" s="197" t="str">
        <f t="shared" ca="1" si="79"/>
        <v/>
      </c>
      <c r="C309" s="196" t="str">
        <f t="shared" ca="1" si="70"/>
        <v/>
      </c>
      <c r="D309" s="21" t="str">
        <f t="shared" ca="1" si="73"/>
        <v/>
      </c>
      <c r="E309" s="196" t="str">
        <f t="shared" ca="1" si="71"/>
        <v/>
      </c>
      <c r="F309" s="178">
        <f t="shared" ca="1" si="74"/>
        <v>0</v>
      </c>
      <c r="G309" s="178">
        <f t="shared" ca="1" si="75"/>
        <v>0</v>
      </c>
      <c r="H309" s="177">
        <f t="shared" ca="1" si="76"/>
        <v>0</v>
      </c>
      <c r="I309" s="196"/>
      <c r="J309" s="9" t="str">
        <f t="shared" ca="1" si="64"/>
        <v/>
      </c>
      <c r="K309" s="9" t="str">
        <f t="shared" ca="1" si="65"/>
        <v/>
      </c>
      <c r="L309" s="9" t="str">
        <f t="shared" ca="1" si="66"/>
        <v/>
      </c>
      <c r="N309" s="176" t="str">
        <f t="shared" ca="1" si="72"/>
        <v/>
      </c>
      <c r="O309" s="176" t="str">
        <f t="shared" ca="1" si="77"/>
        <v/>
      </c>
      <c r="P309" s="175" t="str">
        <f t="shared" ca="1" si="67"/>
        <v/>
      </c>
      <c r="Q309" s="11" t="str">
        <f t="shared" ca="1" si="68"/>
        <v/>
      </c>
      <c r="R309" s="12" t="str">
        <f t="shared" ca="1" si="69"/>
        <v/>
      </c>
    </row>
    <row r="310" spans="1:18">
      <c r="A310" s="198" t="str">
        <f t="shared" ca="1" si="78"/>
        <v/>
      </c>
      <c r="B310" s="197" t="str">
        <f t="shared" ca="1" si="79"/>
        <v/>
      </c>
      <c r="C310" s="196" t="str">
        <f t="shared" ca="1" si="70"/>
        <v/>
      </c>
      <c r="D310" s="21" t="str">
        <f t="shared" ca="1" si="73"/>
        <v/>
      </c>
      <c r="E310" s="196" t="str">
        <f t="shared" ca="1" si="71"/>
        <v/>
      </c>
      <c r="F310" s="178">
        <f t="shared" ca="1" si="74"/>
        <v>0</v>
      </c>
      <c r="G310" s="178">
        <f t="shared" ca="1" si="75"/>
        <v>0</v>
      </c>
      <c r="H310" s="177">
        <f t="shared" ca="1" si="76"/>
        <v>0</v>
      </c>
      <c r="I310" s="196"/>
      <c r="J310" s="9" t="str">
        <f t="shared" ca="1" si="64"/>
        <v/>
      </c>
      <c r="K310" s="9" t="str">
        <f t="shared" ca="1" si="65"/>
        <v/>
      </c>
      <c r="L310" s="9" t="str">
        <f t="shared" ca="1" si="66"/>
        <v/>
      </c>
      <c r="N310" s="176" t="str">
        <f t="shared" ca="1" si="72"/>
        <v/>
      </c>
      <c r="O310" s="176" t="str">
        <f t="shared" ca="1" si="77"/>
        <v/>
      </c>
      <c r="P310" s="175" t="str">
        <f t="shared" ca="1" si="67"/>
        <v/>
      </c>
      <c r="Q310" s="11" t="str">
        <f t="shared" ca="1" si="68"/>
        <v/>
      </c>
      <c r="R310" s="12" t="str">
        <f t="shared" ca="1" si="69"/>
        <v/>
      </c>
    </row>
    <row r="311" spans="1:18">
      <c r="A311" s="198" t="str">
        <f t="shared" ca="1" si="78"/>
        <v/>
      </c>
      <c r="B311" s="197" t="str">
        <f t="shared" ca="1" si="79"/>
        <v/>
      </c>
      <c r="C311" s="196" t="str">
        <f t="shared" ca="1" si="70"/>
        <v/>
      </c>
      <c r="D311" s="21" t="str">
        <f t="shared" ca="1" si="73"/>
        <v/>
      </c>
      <c r="E311" s="196" t="str">
        <f t="shared" ca="1" si="71"/>
        <v/>
      </c>
      <c r="F311" s="178">
        <f t="shared" ca="1" si="74"/>
        <v>0</v>
      </c>
      <c r="G311" s="178">
        <f t="shared" ca="1" si="75"/>
        <v>0</v>
      </c>
      <c r="H311" s="177">
        <f t="shared" ca="1" si="76"/>
        <v>0</v>
      </c>
      <c r="I311" s="196"/>
      <c r="J311" s="9" t="str">
        <f t="shared" ca="1" si="64"/>
        <v/>
      </c>
      <c r="K311" s="9" t="str">
        <f t="shared" ca="1" si="65"/>
        <v/>
      </c>
      <c r="L311" s="9" t="str">
        <f t="shared" ca="1" si="66"/>
        <v/>
      </c>
      <c r="N311" s="176" t="str">
        <f t="shared" ca="1" si="72"/>
        <v/>
      </c>
      <c r="O311" s="176" t="str">
        <f t="shared" ca="1" si="77"/>
        <v/>
      </c>
      <c r="P311" s="175" t="str">
        <f t="shared" ca="1" si="67"/>
        <v/>
      </c>
      <c r="Q311" s="11" t="str">
        <f t="shared" ca="1" si="68"/>
        <v/>
      </c>
      <c r="R311" s="12" t="str">
        <f t="shared" ca="1" si="69"/>
        <v/>
      </c>
    </row>
    <row r="312" spans="1:18">
      <c r="A312" s="198" t="str">
        <f t="shared" ca="1" si="78"/>
        <v/>
      </c>
      <c r="B312" s="197" t="str">
        <f t="shared" ca="1" si="79"/>
        <v/>
      </c>
      <c r="C312" s="196" t="str">
        <f t="shared" ca="1" si="70"/>
        <v/>
      </c>
      <c r="D312" s="21" t="str">
        <f t="shared" ca="1" si="73"/>
        <v/>
      </c>
      <c r="E312" s="196" t="str">
        <f t="shared" ca="1" si="71"/>
        <v/>
      </c>
      <c r="F312" s="178">
        <f t="shared" ca="1" si="74"/>
        <v>0</v>
      </c>
      <c r="G312" s="178">
        <f t="shared" ca="1" si="75"/>
        <v>0</v>
      </c>
      <c r="H312" s="177">
        <f t="shared" ca="1" si="76"/>
        <v>0</v>
      </c>
      <c r="I312" s="196"/>
      <c r="J312" s="9" t="str">
        <f t="shared" ca="1" si="64"/>
        <v/>
      </c>
      <c r="K312" s="9" t="str">
        <f t="shared" ca="1" si="65"/>
        <v/>
      </c>
      <c r="L312" s="9" t="str">
        <f t="shared" ca="1" si="66"/>
        <v/>
      </c>
      <c r="N312" s="176" t="str">
        <f t="shared" ca="1" si="72"/>
        <v/>
      </c>
      <c r="O312" s="176" t="str">
        <f t="shared" ca="1" si="77"/>
        <v/>
      </c>
      <c r="P312" s="175" t="str">
        <f t="shared" ca="1" si="67"/>
        <v/>
      </c>
      <c r="Q312" s="11" t="str">
        <f t="shared" ca="1" si="68"/>
        <v/>
      </c>
      <c r="R312" s="12" t="str">
        <f t="shared" ca="1" si="69"/>
        <v/>
      </c>
    </row>
    <row r="313" spans="1:18">
      <c r="A313" s="198" t="str">
        <f t="shared" ca="1" si="78"/>
        <v/>
      </c>
      <c r="B313" s="197" t="str">
        <f t="shared" ca="1" si="79"/>
        <v/>
      </c>
      <c r="C313" s="196" t="str">
        <f t="shared" ca="1" si="70"/>
        <v/>
      </c>
      <c r="D313" s="21" t="str">
        <f t="shared" ca="1" si="73"/>
        <v/>
      </c>
      <c r="E313" s="196" t="str">
        <f t="shared" ca="1" si="71"/>
        <v/>
      </c>
      <c r="F313" s="178">
        <f t="shared" ca="1" si="74"/>
        <v>0</v>
      </c>
      <c r="G313" s="178">
        <f t="shared" ca="1" si="75"/>
        <v>0</v>
      </c>
      <c r="H313" s="177">
        <f t="shared" ca="1" si="76"/>
        <v>0</v>
      </c>
      <c r="I313" s="196"/>
      <c r="J313" s="9" t="str">
        <f t="shared" ca="1" si="64"/>
        <v/>
      </c>
      <c r="K313" s="9" t="str">
        <f t="shared" ca="1" si="65"/>
        <v/>
      </c>
      <c r="L313" s="9" t="str">
        <f t="shared" ca="1" si="66"/>
        <v/>
      </c>
      <c r="N313" s="176" t="str">
        <f t="shared" ca="1" si="72"/>
        <v/>
      </c>
      <c r="O313" s="176" t="str">
        <f t="shared" ca="1" si="77"/>
        <v/>
      </c>
      <c r="P313" s="175" t="str">
        <f t="shared" ca="1" si="67"/>
        <v/>
      </c>
      <c r="Q313" s="11" t="str">
        <f t="shared" ca="1" si="68"/>
        <v/>
      </c>
      <c r="R313" s="12" t="str">
        <f t="shared" ca="1" si="69"/>
        <v/>
      </c>
    </row>
    <row r="314" spans="1:18">
      <c r="A314" s="198" t="str">
        <f t="shared" ca="1" si="78"/>
        <v/>
      </c>
      <c r="B314" s="197" t="str">
        <f t="shared" ca="1" si="79"/>
        <v/>
      </c>
      <c r="C314" s="196" t="str">
        <f t="shared" ca="1" si="70"/>
        <v/>
      </c>
      <c r="D314" s="21" t="str">
        <f t="shared" ca="1" si="73"/>
        <v/>
      </c>
      <c r="E314" s="196" t="str">
        <f t="shared" ca="1" si="71"/>
        <v/>
      </c>
      <c r="F314" s="178">
        <f t="shared" ca="1" si="74"/>
        <v>0</v>
      </c>
      <c r="G314" s="178">
        <f t="shared" ca="1" si="75"/>
        <v>0</v>
      </c>
      <c r="H314" s="177">
        <f t="shared" ca="1" si="76"/>
        <v>0</v>
      </c>
      <c r="I314" s="196"/>
      <c r="J314" s="9" t="str">
        <f t="shared" ca="1" si="64"/>
        <v/>
      </c>
      <c r="K314" s="9" t="str">
        <f t="shared" ca="1" si="65"/>
        <v/>
      </c>
      <c r="L314" s="9" t="str">
        <f t="shared" ca="1" si="66"/>
        <v/>
      </c>
      <c r="N314" s="176" t="str">
        <f t="shared" ca="1" si="72"/>
        <v/>
      </c>
      <c r="O314" s="176" t="str">
        <f t="shared" ca="1" si="77"/>
        <v/>
      </c>
      <c r="P314" s="175" t="str">
        <f t="shared" ca="1" si="67"/>
        <v/>
      </c>
      <c r="Q314" s="11" t="str">
        <f t="shared" ca="1" si="68"/>
        <v/>
      </c>
      <c r="R314" s="12" t="str">
        <f t="shared" ca="1" si="69"/>
        <v/>
      </c>
    </row>
    <row r="315" spans="1:18">
      <c r="A315" s="198" t="str">
        <f t="shared" ca="1" si="78"/>
        <v/>
      </c>
      <c r="B315" s="197" t="str">
        <f t="shared" ca="1" si="79"/>
        <v/>
      </c>
      <c r="C315" s="196" t="str">
        <f t="shared" ca="1" si="70"/>
        <v/>
      </c>
      <c r="D315" s="21" t="str">
        <f t="shared" ca="1" si="73"/>
        <v/>
      </c>
      <c r="E315" s="196" t="str">
        <f t="shared" ca="1" si="71"/>
        <v/>
      </c>
      <c r="F315" s="178">
        <f t="shared" ca="1" si="74"/>
        <v>0</v>
      </c>
      <c r="G315" s="178">
        <f t="shared" ca="1" si="75"/>
        <v>0</v>
      </c>
      <c r="H315" s="177">
        <f t="shared" ca="1" si="76"/>
        <v>0</v>
      </c>
      <c r="I315" s="196"/>
      <c r="J315" s="9" t="str">
        <f t="shared" ca="1" si="64"/>
        <v/>
      </c>
      <c r="K315" s="9" t="str">
        <f t="shared" ca="1" si="65"/>
        <v/>
      </c>
      <c r="L315" s="9" t="str">
        <f t="shared" ca="1" si="66"/>
        <v/>
      </c>
      <c r="N315" s="176" t="str">
        <f t="shared" ca="1" si="72"/>
        <v/>
      </c>
      <c r="O315" s="176" t="str">
        <f t="shared" ca="1" si="77"/>
        <v/>
      </c>
      <c r="P315" s="175" t="str">
        <f t="shared" ca="1" si="67"/>
        <v/>
      </c>
      <c r="Q315" s="11" t="str">
        <f t="shared" ca="1" si="68"/>
        <v/>
      </c>
      <c r="R315" s="12" t="str">
        <f t="shared" ca="1" si="69"/>
        <v/>
      </c>
    </row>
    <row r="316" spans="1:18">
      <c r="A316" s="198" t="str">
        <f t="shared" ca="1" si="78"/>
        <v/>
      </c>
      <c r="B316" s="197" t="str">
        <f t="shared" ca="1" si="79"/>
        <v/>
      </c>
      <c r="C316" s="196" t="str">
        <f t="shared" ca="1" si="70"/>
        <v/>
      </c>
      <c r="D316" s="21" t="str">
        <f t="shared" ca="1" si="73"/>
        <v/>
      </c>
      <c r="E316" s="196" t="str">
        <f t="shared" ca="1" si="71"/>
        <v/>
      </c>
      <c r="F316" s="178">
        <f t="shared" ca="1" si="74"/>
        <v>0</v>
      </c>
      <c r="G316" s="178">
        <f t="shared" ca="1" si="75"/>
        <v>0</v>
      </c>
      <c r="H316" s="177">
        <f t="shared" ca="1" si="76"/>
        <v>0</v>
      </c>
      <c r="I316" s="196"/>
      <c r="J316" s="9" t="str">
        <f t="shared" ca="1" si="64"/>
        <v/>
      </c>
      <c r="K316" s="9" t="str">
        <f t="shared" ca="1" si="65"/>
        <v/>
      </c>
      <c r="L316" s="9" t="str">
        <f t="shared" ca="1" si="66"/>
        <v/>
      </c>
      <c r="N316" s="176" t="str">
        <f t="shared" ca="1" si="72"/>
        <v/>
      </c>
      <c r="O316" s="176" t="str">
        <f t="shared" ca="1" si="77"/>
        <v/>
      </c>
      <c r="P316" s="175" t="str">
        <f t="shared" ca="1" si="67"/>
        <v/>
      </c>
      <c r="Q316" s="11" t="str">
        <f t="shared" ca="1" si="68"/>
        <v/>
      </c>
      <c r="R316" s="12" t="str">
        <f t="shared" ca="1" si="69"/>
        <v/>
      </c>
    </row>
    <row r="317" spans="1:18">
      <c r="A317" s="198" t="str">
        <f t="shared" ca="1" si="78"/>
        <v/>
      </c>
      <c r="B317" s="197" t="str">
        <f t="shared" ca="1" si="79"/>
        <v/>
      </c>
      <c r="C317" s="196" t="str">
        <f t="shared" ca="1" si="70"/>
        <v/>
      </c>
      <c r="D317" s="21" t="str">
        <f t="shared" ca="1" si="73"/>
        <v/>
      </c>
      <c r="E317" s="196" t="str">
        <f t="shared" ca="1" si="71"/>
        <v/>
      </c>
      <c r="F317" s="178">
        <f t="shared" ca="1" si="74"/>
        <v>0</v>
      </c>
      <c r="G317" s="178">
        <f t="shared" ca="1" si="75"/>
        <v>0</v>
      </c>
      <c r="H317" s="177">
        <f t="shared" ca="1" si="76"/>
        <v>0</v>
      </c>
      <c r="I317" s="196"/>
      <c r="J317" s="9" t="str">
        <f t="shared" ca="1" si="64"/>
        <v/>
      </c>
      <c r="K317" s="9" t="str">
        <f t="shared" ca="1" si="65"/>
        <v/>
      </c>
      <c r="L317" s="9" t="str">
        <f t="shared" ca="1" si="66"/>
        <v/>
      </c>
      <c r="N317" s="176" t="str">
        <f t="shared" ca="1" si="72"/>
        <v/>
      </c>
      <c r="O317" s="176" t="str">
        <f t="shared" ca="1" si="77"/>
        <v/>
      </c>
      <c r="P317" s="175" t="str">
        <f t="shared" ca="1" si="67"/>
        <v/>
      </c>
      <c r="Q317" s="11" t="str">
        <f t="shared" ca="1" si="68"/>
        <v/>
      </c>
      <c r="R317" s="12" t="str">
        <f t="shared" ca="1" si="69"/>
        <v/>
      </c>
    </row>
    <row r="318" spans="1:18">
      <c r="A318" s="198" t="str">
        <f t="shared" ca="1" si="78"/>
        <v/>
      </c>
      <c r="B318" s="197" t="str">
        <f t="shared" ca="1" si="79"/>
        <v/>
      </c>
      <c r="C318" s="196" t="str">
        <f t="shared" ca="1" si="70"/>
        <v/>
      </c>
      <c r="D318" s="21" t="str">
        <f t="shared" ca="1" si="73"/>
        <v/>
      </c>
      <c r="E318" s="196" t="str">
        <f t="shared" ca="1" si="71"/>
        <v/>
      </c>
      <c r="F318" s="178">
        <f t="shared" ca="1" si="74"/>
        <v>0</v>
      </c>
      <c r="G318" s="178">
        <f t="shared" ca="1" si="75"/>
        <v>0</v>
      </c>
      <c r="H318" s="177">
        <f t="shared" ca="1" si="76"/>
        <v>0</v>
      </c>
      <c r="I318" s="196"/>
      <c r="J318" s="9" t="str">
        <f t="shared" ca="1" si="64"/>
        <v/>
      </c>
      <c r="K318" s="9" t="str">
        <f t="shared" ca="1" si="65"/>
        <v/>
      </c>
      <c r="L318" s="9" t="str">
        <f t="shared" ca="1" si="66"/>
        <v/>
      </c>
      <c r="N318" s="176" t="str">
        <f t="shared" ca="1" si="72"/>
        <v/>
      </c>
      <c r="O318" s="176" t="str">
        <f t="shared" ca="1" si="77"/>
        <v/>
      </c>
      <c r="P318" s="175" t="str">
        <f t="shared" ca="1" si="67"/>
        <v/>
      </c>
      <c r="Q318" s="11" t="str">
        <f t="shared" ca="1" si="68"/>
        <v/>
      </c>
      <c r="R318" s="12" t="str">
        <f t="shared" ca="1" si="69"/>
        <v/>
      </c>
    </row>
    <row r="319" spans="1:18">
      <c r="A319" s="198" t="str">
        <f t="shared" ca="1" si="78"/>
        <v/>
      </c>
      <c r="B319" s="197" t="str">
        <f t="shared" ca="1" si="79"/>
        <v/>
      </c>
      <c r="C319" s="196" t="str">
        <f t="shared" ca="1" si="70"/>
        <v/>
      </c>
      <c r="D319" s="21" t="str">
        <f t="shared" ca="1" si="73"/>
        <v/>
      </c>
      <c r="E319" s="196" t="str">
        <f t="shared" ca="1" si="71"/>
        <v/>
      </c>
      <c r="F319" s="178">
        <f t="shared" ca="1" si="74"/>
        <v>0</v>
      </c>
      <c r="G319" s="178">
        <f t="shared" ca="1" si="75"/>
        <v>0</v>
      </c>
      <c r="H319" s="177">
        <f t="shared" ca="1" si="76"/>
        <v>0</v>
      </c>
      <c r="I319" s="196"/>
      <c r="J319" s="9" t="str">
        <f t="shared" ca="1" si="64"/>
        <v/>
      </c>
      <c r="K319" s="9" t="str">
        <f t="shared" ca="1" si="65"/>
        <v/>
      </c>
      <c r="L319" s="9" t="str">
        <f t="shared" ca="1" si="66"/>
        <v/>
      </c>
      <c r="N319" s="176" t="str">
        <f t="shared" ca="1" si="72"/>
        <v/>
      </c>
      <c r="O319" s="176" t="str">
        <f t="shared" ca="1" si="77"/>
        <v/>
      </c>
      <c r="P319" s="175" t="str">
        <f t="shared" ca="1" si="67"/>
        <v/>
      </c>
      <c r="Q319" s="11" t="str">
        <f t="shared" ca="1" si="68"/>
        <v/>
      </c>
      <c r="R319" s="12" t="str">
        <f t="shared" ca="1" si="69"/>
        <v/>
      </c>
    </row>
    <row r="320" spans="1:18">
      <c r="A320" s="198" t="str">
        <f t="shared" ca="1" si="78"/>
        <v/>
      </c>
      <c r="B320" s="197" t="str">
        <f t="shared" ca="1" si="79"/>
        <v/>
      </c>
      <c r="C320" s="196" t="str">
        <f t="shared" ca="1" si="70"/>
        <v/>
      </c>
      <c r="D320" s="21" t="str">
        <f t="shared" ca="1" si="73"/>
        <v/>
      </c>
      <c r="E320" s="196" t="str">
        <f t="shared" ca="1" si="71"/>
        <v/>
      </c>
      <c r="F320" s="178">
        <f t="shared" ca="1" si="74"/>
        <v>0</v>
      </c>
      <c r="G320" s="178">
        <f t="shared" ca="1" si="75"/>
        <v>0</v>
      </c>
      <c r="H320" s="177">
        <f t="shared" ca="1" si="76"/>
        <v>0</v>
      </c>
      <c r="I320" s="196"/>
      <c r="J320" s="9" t="str">
        <f t="shared" ca="1" si="64"/>
        <v/>
      </c>
      <c r="K320" s="9" t="str">
        <f t="shared" ca="1" si="65"/>
        <v/>
      </c>
      <c r="L320" s="9" t="str">
        <f t="shared" ca="1" si="66"/>
        <v/>
      </c>
      <c r="N320" s="176" t="str">
        <f t="shared" ca="1" si="72"/>
        <v/>
      </c>
      <c r="O320" s="176" t="str">
        <f t="shared" ca="1" si="77"/>
        <v/>
      </c>
      <c r="P320" s="175" t="str">
        <f t="shared" ca="1" si="67"/>
        <v/>
      </c>
      <c r="Q320" s="11" t="str">
        <f t="shared" ca="1" si="68"/>
        <v/>
      </c>
      <c r="R320" s="12" t="str">
        <f t="shared" ca="1" si="69"/>
        <v/>
      </c>
    </row>
    <row r="321" spans="1:18">
      <c r="A321" s="198" t="str">
        <f t="shared" ca="1" si="78"/>
        <v/>
      </c>
      <c r="B321" s="197" t="str">
        <f t="shared" ca="1" si="79"/>
        <v/>
      </c>
      <c r="C321" s="196" t="str">
        <f t="shared" ca="1" si="70"/>
        <v/>
      </c>
      <c r="D321" s="21" t="str">
        <f t="shared" ca="1" si="73"/>
        <v/>
      </c>
      <c r="E321" s="196" t="str">
        <f t="shared" ca="1" si="71"/>
        <v/>
      </c>
      <c r="F321" s="178">
        <f t="shared" ca="1" si="74"/>
        <v>0</v>
      </c>
      <c r="G321" s="178">
        <f t="shared" ca="1" si="75"/>
        <v>0</v>
      </c>
      <c r="H321" s="177">
        <f t="shared" ca="1" si="76"/>
        <v>0</v>
      </c>
      <c r="I321" s="196"/>
      <c r="J321" s="9" t="str">
        <f t="shared" ca="1" si="64"/>
        <v/>
      </c>
      <c r="K321" s="9" t="str">
        <f t="shared" ca="1" si="65"/>
        <v/>
      </c>
      <c r="L321" s="9" t="str">
        <f t="shared" ca="1" si="66"/>
        <v/>
      </c>
      <c r="N321" s="176" t="str">
        <f t="shared" ca="1" si="72"/>
        <v/>
      </c>
      <c r="O321" s="176" t="str">
        <f t="shared" ca="1" si="77"/>
        <v/>
      </c>
      <c r="P321" s="175" t="str">
        <f t="shared" ca="1" si="67"/>
        <v/>
      </c>
      <c r="Q321" s="11" t="str">
        <f t="shared" ca="1" si="68"/>
        <v/>
      </c>
      <c r="R321" s="12" t="str">
        <f t="shared" ca="1" si="69"/>
        <v/>
      </c>
    </row>
    <row r="322" spans="1:18">
      <c r="A322" s="198" t="str">
        <f t="shared" ca="1" si="78"/>
        <v/>
      </c>
      <c r="B322" s="197" t="str">
        <f t="shared" ca="1" si="79"/>
        <v/>
      </c>
      <c r="C322" s="196" t="str">
        <f t="shared" ca="1" si="70"/>
        <v/>
      </c>
      <c r="D322" s="21" t="str">
        <f t="shared" ca="1" si="73"/>
        <v/>
      </c>
      <c r="E322" s="196" t="str">
        <f t="shared" ca="1" si="71"/>
        <v/>
      </c>
      <c r="F322" s="178">
        <f t="shared" ca="1" si="74"/>
        <v>0</v>
      </c>
      <c r="G322" s="178">
        <f t="shared" ca="1" si="75"/>
        <v>0</v>
      </c>
      <c r="H322" s="177">
        <f t="shared" ca="1" si="76"/>
        <v>0</v>
      </c>
      <c r="I322" s="196"/>
      <c r="J322" s="9" t="str">
        <f t="shared" ca="1" si="64"/>
        <v/>
      </c>
      <c r="K322" s="9" t="str">
        <f t="shared" ca="1" si="65"/>
        <v/>
      </c>
      <c r="L322" s="9" t="str">
        <f t="shared" ca="1" si="66"/>
        <v/>
      </c>
      <c r="N322" s="176" t="str">
        <f t="shared" ca="1" si="72"/>
        <v/>
      </c>
      <c r="O322" s="176" t="str">
        <f t="shared" ca="1" si="77"/>
        <v/>
      </c>
      <c r="P322" s="175" t="str">
        <f t="shared" ca="1" si="67"/>
        <v/>
      </c>
      <c r="Q322" s="11" t="str">
        <f t="shared" ca="1" si="68"/>
        <v/>
      </c>
      <c r="R322" s="12" t="str">
        <f t="shared" ca="1" si="69"/>
        <v/>
      </c>
    </row>
    <row r="323" spans="1:18">
      <c r="A323" s="198" t="str">
        <f t="shared" ca="1" si="78"/>
        <v/>
      </c>
      <c r="B323" s="197" t="str">
        <f t="shared" ca="1" si="79"/>
        <v/>
      </c>
      <c r="C323" s="196" t="str">
        <f t="shared" ca="1" si="70"/>
        <v/>
      </c>
      <c r="D323" s="21" t="str">
        <f t="shared" ca="1" si="73"/>
        <v/>
      </c>
      <c r="E323" s="196" t="str">
        <f t="shared" ca="1" si="71"/>
        <v/>
      </c>
      <c r="F323" s="178">
        <f t="shared" ca="1" si="74"/>
        <v>0</v>
      </c>
      <c r="G323" s="178">
        <f t="shared" ca="1" si="75"/>
        <v>0</v>
      </c>
      <c r="H323" s="177">
        <f t="shared" ca="1" si="76"/>
        <v>0</v>
      </c>
      <c r="I323" s="196"/>
      <c r="J323" s="9" t="str">
        <f t="shared" ca="1" si="64"/>
        <v/>
      </c>
      <c r="K323" s="9" t="str">
        <f t="shared" ca="1" si="65"/>
        <v/>
      </c>
      <c r="L323" s="9" t="str">
        <f t="shared" ca="1" si="66"/>
        <v/>
      </c>
      <c r="N323" s="176" t="str">
        <f t="shared" ca="1" si="72"/>
        <v/>
      </c>
      <c r="O323" s="176" t="str">
        <f t="shared" ca="1" si="77"/>
        <v/>
      </c>
      <c r="P323" s="175" t="str">
        <f t="shared" ca="1" si="67"/>
        <v/>
      </c>
      <c r="Q323" s="11" t="str">
        <f t="shared" ca="1" si="68"/>
        <v/>
      </c>
      <c r="R323" s="12" t="str">
        <f t="shared" ca="1" si="69"/>
        <v/>
      </c>
    </row>
    <row r="324" spans="1:18">
      <c r="A324" s="198" t="str">
        <f t="shared" ca="1" si="78"/>
        <v/>
      </c>
      <c r="B324" s="197" t="str">
        <f t="shared" ca="1" si="79"/>
        <v/>
      </c>
      <c r="C324" s="196" t="str">
        <f t="shared" ca="1" si="70"/>
        <v/>
      </c>
      <c r="D324" s="21" t="str">
        <f t="shared" ca="1" si="73"/>
        <v/>
      </c>
      <c r="E324" s="196" t="str">
        <f t="shared" ca="1" si="71"/>
        <v/>
      </c>
      <c r="F324" s="178">
        <f t="shared" ca="1" si="74"/>
        <v>0</v>
      </c>
      <c r="G324" s="178">
        <f t="shared" ca="1" si="75"/>
        <v>0</v>
      </c>
      <c r="H324" s="177">
        <f t="shared" ca="1" si="76"/>
        <v>0</v>
      </c>
      <c r="I324" s="196"/>
      <c r="J324" s="9" t="str">
        <f t="shared" ca="1" si="64"/>
        <v/>
      </c>
      <c r="K324" s="9" t="str">
        <f t="shared" ca="1" si="65"/>
        <v/>
      </c>
      <c r="L324" s="9" t="str">
        <f t="shared" ca="1" si="66"/>
        <v/>
      </c>
      <c r="N324" s="176" t="str">
        <f t="shared" ca="1" si="72"/>
        <v/>
      </c>
      <c r="O324" s="176" t="str">
        <f t="shared" ca="1" si="77"/>
        <v/>
      </c>
      <c r="P324" s="175" t="str">
        <f t="shared" ca="1" si="67"/>
        <v/>
      </c>
      <c r="Q324" s="11" t="str">
        <f t="shared" ca="1" si="68"/>
        <v/>
      </c>
      <c r="R324" s="12" t="str">
        <f t="shared" ca="1" si="69"/>
        <v/>
      </c>
    </row>
    <row r="325" spans="1:18">
      <c r="A325" s="198" t="str">
        <f t="shared" ca="1" si="78"/>
        <v/>
      </c>
      <c r="B325" s="197" t="str">
        <f t="shared" ca="1" si="79"/>
        <v/>
      </c>
      <c r="C325" s="196" t="str">
        <f t="shared" ca="1" si="70"/>
        <v/>
      </c>
      <c r="D325" s="21" t="str">
        <f t="shared" ca="1" si="73"/>
        <v/>
      </c>
      <c r="E325" s="196" t="str">
        <f t="shared" ca="1" si="71"/>
        <v/>
      </c>
      <c r="F325" s="178">
        <f t="shared" ca="1" si="74"/>
        <v>0</v>
      </c>
      <c r="G325" s="178">
        <f t="shared" ca="1" si="75"/>
        <v>0</v>
      </c>
      <c r="H325" s="177">
        <f t="shared" ca="1" si="76"/>
        <v>0</v>
      </c>
      <c r="I325" s="196"/>
      <c r="J325" s="9" t="str">
        <f t="shared" ca="1" si="64"/>
        <v/>
      </c>
      <c r="K325" s="9" t="str">
        <f t="shared" ca="1" si="65"/>
        <v/>
      </c>
      <c r="L325" s="9" t="str">
        <f t="shared" ca="1" si="66"/>
        <v/>
      </c>
      <c r="N325" s="176" t="str">
        <f t="shared" ca="1" si="72"/>
        <v/>
      </c>
      <c r="O325" s="176" t="str">
        <f t="shared" ca="1" si="77"/>
        <v/>
      </c>
      <c r="P325" s="175" t="str">
        <f t="shared" ca="1" si="67"/>
        <v/>
      </c>
      <c r="Q325" s="11" t="str">
        <f t="shared" ca="1" si="68"/>
        <v/>
      </c>
      <c r="R325" s="12" t="str">
        <f t="shared" ca="1" si="69"/>
        <v/>
      </c>
    </row>
    <row r="326" spans="1:18">
      <c r="A326" s="198" t="str">
        <f t="shared" ca="1" si="78"/>
        <v/>
      </c>
      <c r="B326" s="197" t="str">
        <f t="shared" ca="1" si="79"/>
        <v/>
      </c>
      <c r="C326" s="196" t="str">
        <f t="shared" ca="1" si="70"/>
        <v/>
      </c>
      <c r="D326" s="21" t="str">
        <f t="shared" ca="1" si="73"/>
        <v/>
      </c>
      <c r="E326" s="196" t="str">
        <f t="shared" ca="1" si="71"/>
        <v/>
      </c>
      <c r="F326" s="178">
        <f t="shared" ca="1" si="74"/>
        <v>0</v>
      </c>
      <c r="G326" s="178">
        <f t="shared" ca="1" si="75"/>
        <v>0</v>
      </c>
      <c r="H326" s="177">
        <f t="shared" ca="1" si="76"/>
        <v>0</v>
      </c>
      <c r="I326" s="196"/>
      <c r="J326" s="9" t="str">
        <f t="shared" ca="1" si="64"/>
        <v/>
      </c>
      <c r="K326" s="9" t="str">
        <f t="shared" ca="1" si="65"/>
        <v/>
      </c>
      <c r="L326" s="9" t="str">
        <f t="shared" ca="1" si="66"/>
        <v/>
      </c>
      <c r="N326" s="176" t="str">
        <f t="shared" ca="1" si="72"/>
        <v/>
      </c>
      <c r="O326" s="176" t="str">
        <f t="shared" ca="1" si="77"/>
        <v/>
      </c>
      <c r="P326" s="175" t="str">
        <f t="shared" ca="1" si="67"/>
        <v/>
      </c>
      <c r="Q326" s="11" t="str">
        <f t="shared" ca="1" si="68"/>
        <v/>
      </c>
      <c r="R326" s="12" t="str">
        <f t="shared" ca="1" si="69"/>
        <v/>
      </c>
    </row>
    <row r="327" spans="1:18">
      <c r="A327" s="198" t="str">
        <f t="shared" ca="1" si="78"/>
        <v/>
      </c>
      <c r="B327" s="197" t="str">
        <f t="shared" ca="1" si="79"/>
        <v/>
      </c>
      <c r="C327" s="196" t="str">
        <f t="shared" ca="1" si="70"/>
        <v/>
      </c>
      <c r="D327" s="21" t="str">
        <f t="shared" ca="1" si="73"/>
        <v/>
      </c>
      <c r="E327" s="196" t="str">
        <f t="shared" ca="1" si="71"/>
        <v/>
      </c>
      <c r="F327" s="178">
        <f t="shared" ca="1" si="74"/>
        <v>0</v>
      </c>
      <c r="G327" s="178">
        <f t="shared" ca="1" si="75"/>
        <v>0</v>
      </c>
      <c r="H327" s="177">
        <f t="shared" ca="1" si="76"/>
        <v>0</v>
      </c>
      <c r="I327" s="196"/>
      <c r="J327" s="9" t="str">
        <f t="shared" ca="1" si="64"/>
        <v/>
      </c>
      <c r="K327" s="9" t="str">
        <f t="shared" ca="1" si="65"/>
        <v/>
      </c>
      <c r="L327" s="9" t="str">
        <f t="shared" ca="1" si="66"/>
        <v/>
      </c>
      <c r="N327" s="176" t="str">
        <f t="shared" ca="1" si="72"/>
        <v/>
      </c>
      <c r="O327" s="176" t="str">
        <f t="shared" ca="1" si="77"/>
        <v/>
      </c>
      <c r="P327" s="175" t="str">
        <f t="shared" ca="1" si="67"/>
        <v/>
      </c>
      <c r="Q327" s="11" t="str">
        <f t="shared" ca="1" si="68"/>
        <v/>
      </c>
      <c r="R327" s="12" t="str">
        <f t="shared" ca="1" si="69"/>
        <v/>
      </c>
    </row>
    <row r="328" spans="1:18">
      <c r="A328" s="198" t="str">
        <f t="shared" ca="1" si="78"/>
        <v/>
      </c>
      <c r="B328" s="197" t="str">
        <f t="shared" ca="1" si="79"/>
        <v/>
      </c>
      <c r="C328" s="196" t="str">
        <f t="shared" ca="1" si="70"/>
        <v/>
      </c>
      <c r="D328" s="21" t="str">
        <f t="shared" ca="1" si="73"/>
        <v/>
      </c>
      <c r="E328" s="196" t="str">
        <f t="shared" ca="1" si="71"/>
        <v/>
      </c>
      <c r="F328" s="178">
        <f t="shared" ca="1" si="74"/>
        <v>0</v>
      </c>
      <c r="G328" s="178">
        <f t="shared" ca="1" si="75"/>
        <v>0</v>
      </c>
      <c r="H328" s="177">
        <f t="shared" ca="1" si="76"/>
        <v>0</v>
      </c>
      <c r="I328" s="196"/>
      <c r="J328" s="9" t="str">
        <f t="shared" ca="1" si="64"/>
        <v/>
      </c>
      <c r="K328" s="9" t="str">
        <f t="shared" ca="1" si="65"/>
        <v/>
      </c>
      <c r="L328" s="9" t="str">
        <f t="shared" ca="1" si="66"/>
        <v/>
      </c>
      <c r="N328" s="176" t="str">
        <f t="shared" ca="1" si="72"/>
        <v/>
      </c>
      <c r="O328" s="176" t="str">
        <f t="shared" ca="1" si="77"/>
        <v/>
      </c>
      <c r="P328" s="175" t="str">
        <f t="shared" ca="1" si="67"/>
        <v/>
      </c>
      <c r="Q328" s="11" t="str">
        <f t="shared" ca="1" si="68"/>
        <v/>
      </c>
      <c r="R328" s="12" t="str">
        <f t="shared" ca="1" si="69"/>
        <v/>
      </c>
    </row>
    <row r="329" spans="1:18">
      <c r="A329" s="198" t="str">
        <f t="shared" ca="1" si="78"/>
        <v/>
      </c>
      <c r="B329" s="197" t="str">
        <f t="shared" ca="1" si="79"/>
        <v/>
      </c>
      <c r="C329" s="196" t="str">
        <f t="shared" ca="1" si="70"/>
        <v/>
      </c>
      <c r="D329" s="21" t="str">
        <f t="shared" ca="1" si="73"/>
        <v/>
      </c>
      <c r="E329" s="196" t="str">
        <f t="shared" ca="1" si="71"/>
        <v/>
      </c>
      <c r="F329" s="178">
        <f t="shared" ca="1" si="74"/>
        <v>0</v>
      </c>
      <c r="G329" s="178">
        <f t="shared" ca="1" si="75"/>
        <v>0</v>
      </c>
      <c r="H329" s="177">
        <f t="shared" ca="1" si="76"/>
        <v>0</v>
      </c>
      <c r="I329" s="196"/>
      <c r="J329" s="9" t="str">
        <f t="shared" ca="1" si="64"/>
        <v/>
      </c>
      <c r="K329" s="9" t="str">
        <f t="shared" ca="1" si="65"/>
        <v/>
      </c>
      <c r="L329" s="9" t="str">
        <f t="shared" ca="1" si="66"/>
        <v/>
      </c>
      <c r="N329" s="176" t="str">
        <f t="shared" ca="1" si="72"/>
        <v/>
      </c>
      <c r="O329" s="176" t="str">
        <f t="shared" ca="1" si="77"/>
        <v/>
      </c>
      <c r="P329" s="175" t="str">
        <f t="shared" ca="1" si="67"/>
        <v/>
      </c>
      <c r="Q329" s="11" t="str">
        <f t="shared" ca="1" si="68"/>
        <v/>
      </c>
      <c r="R329" s="12" t="str">
        <f t="shared" ca="1" si="69"/>
        <v/>
      </c>
    </row>
    <row r="330" spans="1:18">
      <c r="A330" s="198" t="str">
        <f t="shared" ca="1" si="78"/>
        <v/>
      </c>
      <c r="B330" s="197" t="str">
        <f t="shared" ca="1" si="79"/>
        <v/>
      </c>
      <c r="C330" s="196" t="str">
        <f t="shared" ca="1" si="70"/>
        <v/>
      </c>
      <c r="D330" s="21" t="str">
        <f t="shared" ca="1" si="73"/>
        <v/>
      </c>
      <c r="E330" s="196" t="str">
        <f t="shared" ca="1" si="71"/>
        <v/>
      </c>
      <c r="F330" s="178">
        <f t="shared" ca="1" si="74"/>
        <v>0</v>
      </c>
      <c r="G330" s="178">
        <f t="shared" ca="1" si="75"/>
        <v>0</v>
      </c>
      <c r="H330" s="177">
        <f t="shared" ca="1" si="76"/>
        <v>0</v>
      </c>
      <c r="I330" s="196"/>
      <c r="J330" s="9" t="str">
        <f t="shared" ca="1" si="64"/>
        <v/>
      </c>
      <c r="K330" s="9" t="str">
        <f t="shared" ca="1" si="65"/>
        <v/>
      </c>
      <c r="L330" s="9" t="str">
        <f t="shared" ca="1" si="66"/>
        <v/>
      </c>
      <c r="N330" s="176" t="str">
        <f t="shared" ca="1" si="72"/>
        <v/>
      </c>
      <c r="O330" s="176" t="str">
        <f t="shared" ca="1" si="77"/>
        <v/>
      </c>
      <c r="P330" s="175" t="str">
        <f t="shared" ca="1" si="67"/>
        <v/>
      </c>
      <c r="Q330" s="11" t="str">
        <f t="shared" ca="1" si="68"/>
        <v/>
      </c>
      <c r="R330" s="12" t="str">
        <f t="shared" ca="1" si="69"/>
        <v/>
      </c>
    </row>
    <row r="331" spans="1:18">
      <c r="A331" s="198" t="str">
        <f t="shared" ca="1" si="78"/>
        <v/>
      </c>
      <c r="B331" s="197" t="str">
        <f t="shared" ca="1" si="79"/>
        <v/>
      </c>
      <c r="C331" s="196" t="str">
        <f t="shared" ca="1" si="70"/>
        <v/>
      </c>
      <c r="D331" s="21" t="str">
        <f t="shared" ca="1" si="73"/>
        <v/>
      </c>
      <c r="E331" s="196" t="str">
        <f t="shared" ca="1" si="71"/>
        <v/>
      </c>
      <c r="F331" s="178">
        <f t="shared" ca="1" si="74"/>
        <v>0</v>
      </c>
      <c r="G331" s="178">
        <f t="shared" ca="1" si="75"/>
        <v>0</v>
      </c>
      <c r="H331" s="177">
        <f t="shared" ca="1" si="76"/>
        <v>0</v>
      </c>
      <c r="I331" s="196"/>
      <c r="J331" s="9" t="str">
        <f t="shared" ca="1" si="64"/>
        <v/>
      </c>
      <c r="K331" s="9" t="str">
        <f t="shared" ca="1" si="65"/>
        <v/>
      </c>
      <c r="L331" s="9" t="str">
        <f t="shared" ca="1" si="66"/>
        <v/>
      </c>
      <c r="N331" s="176" t="str">
        <f t="shared" ca="1" si="72"/>
        <v/>
      </c>
      <c r="O331" s="176" t="str">
        <f t="shared" ca="1" si="77"/>
        <v/>
      </c>
      <c r="P331" s="175" t="str">
        <f t="shared" ca="1" si="67"/>
        <v/>
      </c>
      <c r="Q331" s="11" t="str">
        <f t="shared" ca="1" si="68"/>
        <v/>
      </c>
      <c r="R331" s="12" t="str">
        <f t="shared" ca="1" si="69"/>
        <v/>
      </c>
    </row>
    <row r="332" spans="1:18">
      <c r="A332" s="198" t="str">
        <f t="shared" ca="1" si="78"/>
        <v/>
      </c>
      <c r="B332" s="197" t="str">
        <f t="shared" ca="1" si="79"/>
        <v/>
      </c>
      <c r="C332" s="196" t="str">
        <f t="shared" ca="1" si="70"/>
        <v/>
      </c>
      <c r="D332" s="21" t="str">
        <f t="shared" ca="1" si="73"/>
        <v/>
      </c>
      <c r="E332" s="196" t="str">
        <f t="shared" ca="1" si="71"/>
        <v/>
      </c>
      <c r="F332" s="178">
        <f t="shared" ca="1" si="74"/>
        <v>0</v>
      </c>
      <c r="G332" s="178">
        <f t="shared" ca="1" si="75"/>
        <v>0</v>
      </c>
      <c r="H332" s="177">
        <f t="shared" ca="1" si="76"/>
        <v>0</v>
      </c>
      <c r="I332" s="196"/>
      <c r="J332" s="9" t="str">
        <f t="shared" ca="1" si="64"/>
        <v/>
      </c>
      <c r="K332" s="9" t="str">
        <f t="shared" ca="1" si="65"/>
        <v/>
      </c>
      <c r="L332" s="9" t="str">
        <f t="shared" ca="1" si="66"/>
        <v/>
      </c>
      <c r="N332" s="176" t="str">
        <f t="shared" ca="1" si="72"/>
        <v/>
      </c>
      <c r="O332" s="176" t="str">
        <f t="shared" ca="1" si="77"/>
        <v/>
      </c>
      <c r="P332" s="175" t="str">
        <f t="shared" ca="1" si="67"/>
        <v/>
      </c>
      <c r="Q332" s="11" t="str">
        <f t="shared" ca="1" si="68"/>
        <v/>
      </c>
      <c r="R332" s="12" t="str">
        <f t="shared" ca="1" si="69"/>
        <v/>
      </c>
    </row>
    <row r="333" spans="1:18">
      <c r="A333" s="198" t="str">
        <f t="shared" ca="1" si="78"/>
        <v/>
      </c>
      <c r="B333" s="197" t="str">
        <f t="shared" ca="1" si="79"/>
        <v/>
      </c>
      <c r="C333" s="196" t="str">
        <f t="shared" ca="1" si="70"/>
        <v/>
      </c>
      <c r="D333" s="21" t="str">
        <f t="shared" ca="1" si="73"/>
        <v/>
      </c>
      <c r="E333" s="196" t="str">
        <f t="shared" ca="1" si="71"/>
        <v/>
      </c>
      <c r="F333" s="178">
        <f t="shared" ca="1" si="74"/>
        <v>0</v>
      </c>
      <c r="G333" s="178">
        <f t="shared" ca="1" si="75"/>
        <v>0</v>
      </c>
      <c r="H333" s="177">
        <f t="shared" ca="1" si="76"/>
        <v>0</v>
      </c>
      <c r="I333" s="196"/>
      <c r="J333" s="9" t="str">
        <f t="shared" ca="1" si="64"/>
        <v/>
      </c>
      <c r="K333" s="9" t="str">
        <f t="shared" ca="1" si="65"/>
        <v/>
      </c>
      <c r="L333" s="9" t="str">
        <f t="shared" ca="1" si="66"/>
        <v/>
      </c>
      <c r="N333" s="176" t="str">
        <f t="shared" ca="1" si="72"/>
        <v/>
      </c>
      <c r="O333" s="176" t="str">
        <f t="shared" ca="1" si="77"/>
        <v/>
      </c>
      <c r="P333" s="175" t="str">
        <f t="shared" ca="1" si="67"/>
        <v/>
      </c>
      <c r="Q333" s="11" t="str">
        <f t="shared" ca="1" si="68"/>
        <v/>
      </c>
      <c r="R333" s="12" t="str">
        <f t="shared" ca="1" si="69"/>
        <v/>
      </c>
    </row>
    <row r="334" spans="1:18">
      <c r="A334" s="198" t="str">
        <f t="shared" ca="1" si="78"/>
        <v/>
      </c>
      <c r="B334" s="197" t="str">
        <f t="shared" ca="1" si="79"/>
        <v/>
      </c>
      <c r="C334" s="196" t="str">
        <f t="shared" ca="1" si="70"/>
        <v/>
      </c>
      <c r="D334" s="21" t="str">
        <f t="shared" ca="1" si="73"/>
        <v/>
      </c>
      <c r="E334" s="196" t="str">
        <f t="shared" ca="1" si="71"/>
        <v/>
      </c>
      <c r="F334" s="178">
        <f t="shared" ca="1" si="74"/>
        <v>0</v>
      </c>
      <c r="G334" s="178">
        <f t="shared" ca="1" si="75"/>
        <v>0</v>
      </c>
      <c r="H334" s="177">
        <f t="shared" ca="1" si="76"/>
        <v>0</v>
      </c>
      <c r="I334" s="196"/>
      <c r="J334" s="9" t="str">
        <f t="shared" ca="1" si="64"/>
        <v/>
      </c>
      <c r="K334" s="9" t="str">
        <f t="shared" ca="1" si="65"/>
        <v/>
      </c>
      <c r="L334" s="9" t="str">
        <f t="shared" ca="1" si="66"/>
        <v/>
      </c>
      <c r="N334" s="176" t="str">
        <f t="shared" ca="1" si="72"/>
        <v/>
      </c>
      <c r="O334" s="176" t="str">
        <f t="shared" ca="1" si="77"/>
        <v/>
      </c>
      <c r="P334" s="175" t="str">
        <f t="shared" ca="1" si="67"/>
        <v/>
      </c>
      <c r="Q334" s="11" t="str">
        <f t="shared" ca="1" si="68"/>
        <v/>
      </c>
      <c r="R334" s="12" t="str">
        <f t="shared" ca="1" si="69"/>
        <v/>
      </c>
    </row>
    <row r="335" spans="1:18">
      <c r="A335" s="198" t="str">
        <f t="shared" ca="1" si="78"/>
        <v/>
      </c>
      <c r="B335" s="197" t="str">
        <f t="shared" ca="1" si="79"/>
        <v/>
      </c>
      <c r="C335" s="196" t="str">
        <f t="shared" ca="1" si="70"/>
        <v/>
      </c>
      <c r="D335" s="21" t="str">
        <f t="shared" ca="1" si="73"/>
        <v/>
      </c>
      <c r="E335" s="196" t="str">
        <f t="shared" ca="1" si="71"/>
        <v/>
      </c>
      <c r="F335" s="178">
        <f t="shared" ca="1" si="74"/>
        <v>0</v>
      </c>
      <c r="G335" s="178">
        <f t="shared" ca="1" si="75"/>
        <v>0</v>
      </c>
      <c r="H335" s="177">
        <f t="shared" ca="1" si="76"/>
        <v>0</v>
      </c>
      <c r="I335" s="196"/>
      <c r="J335" s="9" t="str">
        <f t="shared" ca="1" si="64"/>
        <v/>
      </c>
      <c r="K335" s="9" t="str">
        <f t="shared" ca="1" si="65"/>
        <v/>
      </c>
      <c r="L335" s="9" t="str">
        <f t="shared" ca="1" si="66"/>
        <v/>
      </c>
      <c r="N335" s="176" t="str">
        <f t="shared" ca="1" si="72"/>
        <v/>
      </c>
      <c r="O335" s="176" t="str">
        <f t="shared" ca="1" si="77"/>
        <v/>
      </c>
      <c r="P335" s="175" t="str">
        <f t="shared" ca="1" si="67"/>
        <v/>
      </c>
      <c r="Q335" s="11" t="str">
        <f t="shared" ca="1" si="68"/>
        <v/>
      </c>
      <c r="R335" s="12" t="str">
        <f t="shared" ca="1" si="69"/>
        <v/>
      </c>
    </row>
    <row r="336" spans="1:18">
      <c r="A336" s="198" t="str">
        <f t="shared" ca="1" si="78"/>
        <v/>
      </c>
      <c r="B336" s="197" t="str">
        <f t="shared" ca="1" si="79"/>
        <v/>
      </c>
      <c r="C336" s="196" t="str">
        <f t="shared" ca="1" si="70"/>
        <v/>
      </c>
      <c r="D336" s="21" t="str">
        <f t="shared" ca="1" si="73"/>
        <v/>
      </c>
      <c r="E336" s="196" t="str">
        <f t="shared" ca="1" si="71"/>
        <v/>
      </c>
      <c r="F336" s="178">
        <f t="shared" ca="1" si="74"/>
        <v>0</v>
      </c>
      <c r="G336" s="178">
        <f t="shared" ca="1" si="75"/>
        <v>0</v>
      </c>
      <c r="H336" s="177">
        <f t="shared" ca="1" si="76"/>
        <v>0</v>
      </c>
      <c r="I336" s="196"/>
      <c r="J336" s="9" t="str">
        <f t="shared" ca="1" si="64"/>
        <v/>
      </c>
      <c r="K336" s="9" t="str">
        <f t="shared" ca="1" si="65"/>
        <v/>
      </c>
      <c r="L336" s="9" t="str">
        <f t="shared" ca="1" si="66"/>
        <v/>
      </c>
      <c r="N336" s="176" t="str">
        <f t="shared" ca="1" si="72"/>
        <v/>
      </c>
      <c r="O336" s="176" t="str">
        <f t="shared" ca="1" si="77"/>
        <v/>
      </c>
      <c r="P336" s="175" t="str">
        <f t="shared" ca="1" si="67"/>
        <v/>
      </c>
      <c r="Q336" s="11" t="str">
        <f t="shared" ca="1" si="68"/>
        <v/>
      </c>
      <c r="R336" s="12" t="str">
        <f t="shared" ca="1" si="69"/>
        <v/>
      </c>
    </row>
    <row r="337" spans="1:18">
      <c r="A337" s="198" t="str">
        <f t="shared" ca="1" si="78"/>
        <v/>
      </c>
      <c r="B337" s="197" t="str">
        <f t="shared" ca="1" si="79"/>
        <v/>
      </c>
      <c r="C337" s="196" t="str">
        <f t="shared" ca="1" si="70"/>
        <v/>
      </c>
      <c r="D337" s="21" t="str">
        <f t="shared" ca="1" si="73"/>
        <v/>
      </c>
      <c r="E337" s="196" t="str">
        <f t="shared" ca="1" si="71"/>
        <v/>
      </c>
      <c r="F337" s="178">
        <f t="shared" ca="1" si="74"/>
        <v>0</v>
      </c>
      <c r="G337" s="178">
        <f t="shared" ca="1" si="75"/>
        <v>0</v>
      </c>
      <c r="H337" s="177">
        <f t="shared" ca="1" si="76"/>
        <v>0</v>
      </c>
      <c r="I337" s="196"/>
      <c r="J337" s="9" t="str">
        <f t="shared" ca="1" si="64"/>
        <v/>
      </c>
      <c r="K337" s="9" t="str">
        <f t="shared" ca="1" si="65"/>
        <v/>
      </c>
      <c r="L337" s="9" t="str">
        <f t="shared" ca="1" si="66"/>
        <v/>
      </c>
      <c r="N337" s="176" t="str">
        <f t="shared" ca="1" si="72"/>
        <v/>
      </c>
      <c r="O337" s="176" t="str">
        <f t="shared" ca="1" si="77"/>
        <v/>
      </c>
      <c r="P337" s="175" t="str">
        <f t="shared" ca="1" si="67"/>
        <v/>
      </c>
      <c r="Q337" s="11" t="str">
        <f t="shared" ca="1" si="68"/>
        <v/>
      </c>
      <c r="R337" s="12" t="str">
        <f t="shared" ca="1" si="69"/>
        <v/>
      </c>
    </row>
    <row r="338" spans="1:18">
      <c r="A338" s="198" t="str">
        <f t="shared" ca="1" si="78"/>
        <v/>
      </c>
      <c r="B338" s="197" t="str">
        <f t="shared" ca="1" si="79"/>
        <v/>
      </c>
      <c r="C338" s="196" t="str">
        <f t="shared" ca="1" si="70"/>
        <v/>
      </c>
      <c r="D338" s="21" t="str">
        <f t="shared" ca="1" si="73"/>
        <v/>
      </c>
      <c r="E338" s="196" t="str">
        <f t="shared" ca="1" si="71"/>
        <v/>
      </c>
      <c r="F338" s="178">
        <f t="shared" ca="1" si="74"/>
        <v>0</v>
      </c>
      <c r="G338" s="178">
        <f t="shared" ca="1" si="75"/>
        <v>0</v>
      </c>
      <c r="H338" s="177">
        <f t="shared" ca="1" si="76"/>
        <v>0</v>
      </c>
      <c r="I338" s="196"/>
      <c r="J338" s="9" t="str">
        <f t="shared" ca="1" si="64"/>
        <v/>
      </c>
      <c r="K338" s="9" t="str">
        <f ca="1">IF(L338=$C$13,"Pula","")</f>
        <v/>
      </c>
      <c r="L338" s="9" t="str">
        <f t="shared" ca="1" si="66"/>
        <v/>
      </c>
      <c r="N338" s="176" t="str">
        <f t="shared" ca="1" si="72"/>
        <v/>
      </c>
      <c r="O338" s="176" t="str">
        <f t="shared" ca="1" si="77"/>
        <v/>
      </c>
      <c r="P338" s="175" t="str">
        <f t="shared" ca="1" si="67"/>
        <v/>
      </c>
      <c r="Q338" s="11" t="str">
        <f t="shared" ca="1" si="68"/>
        <v/>
      </c>
      <c r="R338" s="12" t="str">
        <f ca="1">IFERROR(Q338*P338,"")</f>
        <v/>
      </c>
    </row>
    <row r="339" spans="1:18">
      <c r="A339" s="198" t="str">
        <f t="shared" ca="1" si="78"/>
        <v/>
      </c>
      <c r="B339" s="197" t="str">
        <f t="shared" ca="1" si="79"/>
        <v/>
      </c>
      <c r="C339" s="196" t="str">
        <f ca="1">IFERROR(IF(OR(J339="Carencia",K339="Pula"),0,$I$13-D339),"")</f>
        <v/>
      </c>
      <c r="D339" s="21" t="str">
        <f t="shared" ca="1" si="73"/>
        <v/>
      </c>
      <c r="E339" s="196" t="str">
        <f t="shared" ref="E339" ca="1" si="80">IFERROR(IF(OR(J339="Carencia",K339="Pula"),E338,(E338-C339)),"")</f>
        <v/>
      </c>
      <c r="F339" s="178">
        <f t="shared" ca="1" si="74"/>
        <v>0</v>
      </c>
      <c r="G339" s="178">
        <f t="shared" ca="1" si="75"/>
        <v>0</v>
      </c>
      <c r="H339" s="177">
        <f t="shared" ca="1" si="76"/>
        <v>0</v>
      </c>
      <c r="I339" s="196"/>
      <c r="J339" s="9" t="str">
        <f t="shared" ca="1" si="64"/>
        <v/>
      </c>
      <c r="K339" s="9" t="str">
        <f ca="1">IF(L339=$C$13,"Pula","")</f>
        <v/>
      </c>
      <c r="L339" s="9" t="str">
        <f t="shared" ca="1" si="66"/>
        <v/>
      </c>
      <c r="N339" s="176" t="str">
        <f t="shared" ca="1" si="72"/>
        <v/>
      </c>
      <c r="O339" s="176" t="str">
        <f t="shared" ca="1" si="77"/>
        <v/>
      </c>
      <c r="P339" s="175" t="str">
        <f t="shared" ca="1" si="67"/>
        <v/>
      </c>
      <c r="Q339" s="11" t="str">
        <f t="shared" ca="1" si="68"/>
        <v/>
      </c>
      <c r="R339" s="12" t="str">
        <f ca="1">IFERROR(Q339*P339,"")</f>
        <v/>
      </c>
    </row>
  </sheetData>
  <sheetProtection formatCells="0" formatColumns="0" formatRows="0" insertColumns="0" insertRows="0" insertHyperlinks="0" sort="0" autoFilter="0" pivotTables="0"/>
  <mergeCells count="1">
    <mergeCell ref="H12:I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73EC5-675B-4A1A-AC4F-87CD3D859BAF}">
  <sheetPr codeName="Planilha12">
    <tabColor rgb="FF002060"/>
  </sheetPr>
  <dimension ref="A1:P50"/>
  <sheetViews>
    <sheetView showGridLines="0" workbookViewId="0">
      <selection activeCell="G7" sqref="G7"/>
    </sheetView>
  </sheetViews>
  <sheetFormatPr defaultRowHeight="15"/>
  <cols>
    <col min="2" max="2" width="12.42578125" bestFit="1" customWidth="1"/>
    <col min="3" max="3" width="16.5703125" bestFit="1" customWidth="1"/>
    <col min="4" max="4" width="10.5703125" bestFit="1" customWidth="1"/>
    <col min="13" max="13" width="9.42578125" bestFit="1" customWidth="1"/>
    <col min="14" max="14" width="10.42578125" bestFit="1" customWidth="1"/>
  </cols>
  <sheetData>
    <row r="1" spans="1:16" ht="15.75">
      <c r="A1" s="984" t="s">
        <v>695</v>
      </c>
      <c r="B1" s="984"/>
      <c r="C1" s="984"/>
      <c r="D1" s="984"/>
      <c r="E1" s="984"/>
      <c r="F1" s="984"/>
      <c r="G1" s="984"/>
      <c r="H1" s="984"/>
      <c r="I1" s="984"/>
      <c r="J1" s="984"/>
      <c r="K1" s="984"/>
    </row>
    <row r="2" spans="1:16" ht="38.25">
      <c r="A2" s="1257" t="s">
        <v>696</v>
      </c>
      <c r="B2" s="1257"/>
      <c r="C2" s="1257"/>
      <c r="D2" s="979" t="s">
        <v>80</v>
      </c>
      <c r="E2" s="979" t="s">
        <v>697</v>
      </c>
      <c r="F2" s="979" t="s">
        <v>230</v>
      </c>
      <c r="G2" s="979" t="s">
        <v>11003</v>
      </c>
      <c r="H2" s="979" t="s">
        <v>698</v>
      </c>
      <c r="I2" s="979" t="s">
        <v>699</v>
      </c>
      <c r="J2" s="979" t="s">
        <v>700</v>
      </c>
      <c r="K2" s="979" t="s">
        <v>701</v>
      </c>
    </row>
    <row r="3" spans="1:16">
      <c r="A3" s="980" t="s">
        <v>702</v>
      </c>
      <c r="B3" s="981">
        <v>0.01</v>
      </c>
      <c r="C3" s="982">
        <v>1919</v>
      </c>
      <c r="D3" s="981">
        <v>216.67</v>
      </c>
      <c r="E3" s="981">
        <v>129.87</v>
      </c>
      <c r="F3" s="981">
        <v>36.909999999999997</v>
      </c>
      <c r="G3" s="981">
        <v>25.26</v>
      </c>
      <c r="H3" s="981">
        <v>6.84</v>
      </c>
      <c r="I3" s="981">
        <v>8.91</v>
      </c>
      <c r="J3" s="981">
        <v>6.23</v>
      </c>
      <c r="K3" s="981">
        <v>2.65</v>
      </c>
      <c r="M3" s="510">
        <v>0.01</v>
      </c>
      <c r="N3" s="511">
        <v>1657</v>
      </c>
      <c r="O3" s="510">
        <v>66.52</v>
      </c>
      <c r="P3" s="510">
        <v>450</v>
      </c>
    </row>
    <row r="4" spans="1:16">
      <c r="A4" s="980" t="s">
        <v>703</v>
      </c>
      <c r="B4" s="982">
        <v>1919.01</v>
      </c>
      <c r="C4" s="982">
        <v>4794</v>
      </c>
      <c r="D4" s="981">
        <v>347.68</v>
      </c>
      <c r="E4" s="981">
        <v>208.39</v>
      </c>
      <c r="F4" s="981">
        <v>59.23</v>
      </c>
      <c r="G4" s="981">
        <v>40.54</v>
      </c>
      <c r="H4" s="981">
        <v>10.97</v>
      </c>
      <c r="I4" s="981">
        <v>14.3</v>
      </c>
      <c r="J4" s="981">
        <v>10</v>
      </c>
      <c r="K4" s="981">
        <v>4.25</v>
      </c>
      <c r="M4" s="511">
        <f>N3+0.01</f>
        <v>1657.01</v>
      </c>
      <c r="N4" s="511">
        <v>4140</v>
      </c>
      <c r="O4" s="511">
        <v>100.19</v>
      </c>
    </row>
    <row r="5" spans="1:16">
      <c r="A5" s="980" t="s">
        <v>704</v>
      </c>
      <c r="B5" s="982">
        <v>4794.01</v>
      </c>
      <c r="C5" s="982">
        <v>7991</v>
      </c>
      <c r="D5" s="981">
        <v>623.73</v>
      </c>
      <c r="E5" s="981">
        <v>373.85</v>
      </c>
      <c r="F5" s="981">
        <v>106.25</v>
      </c>
      <c r="G5" s="981">
        <v>72.72</v>
      </c>
      <c r="H5" s="981">
        <v>19.68</v>
      </c>
      <c r="I5" s="981">
        <v>25.66</v>
      </c>
      <c r="J5" s="981">
        <v>17.940000000000001</v>
      </c>
      <c r="K5" s="981">
        <v>7.63</v>
      </c>
      <c r="M5" s="511">
        <f t="shared" ref="M5:M26" si="0">N4+0.01</f>
        <v>4140.01</v>
      </c>
      <c r="N5" s="511">
        <v>6901</v>
      </c>
      <c r="O5" s="510">
        <v>171.31</v>
      </c>
    </row>
    <row r="6" spans="1:16">
      <c r="A6" s="980" t="s">
        <v>705</v>
      </c>
      <c r="B6" s="982">
        <v>7991.01</v>
      </c>
      <c r="C6" s="982">
        <v>15985</v>
      </c>
      <c r="D6" s="981">
        <v>925.46</v>
      </c>
      <c r="E6" s="981">
        <v>554.70000000000005</v>
      </c>
      <c r="F6" s="981">
        <v>157.65</v>
      </c>
      <c r="G6" s="981">
        <v>107.9</v>
      </c>
      <c r="H6" s="981">
        <v>29.19</v>
      </c>
      <c r="I6" s="981">
        <v>38.07</v>
      </c>
      <c r="J6" s="981">
        <v>26.63</v>
      </c>
      <c r="K6" s="981">
        <v>11.32</v>
      </c>
      <c r="M6" s="511">
        <f t="shared" si="0"/>
        <v>6901.01</v>
      </c>
      <c r="N6" s="511">
        <v>13805</v>
      </c>
      <c r="O6" s="511">
        <v>278.98</v>
      </c>
    </row>
    <row r="7" spans="1:16">
      <c r="A7" s="980" t="s">
        <v>706</v>
      </c>
      <c r="B7" s="982">
        <v>15985.01</v>
      </c>
      <c r="C7" s="982">
        <v>31970</v>
      </c>
      <c r="D7" s="982">
        <v>1125.1400000000001</v>
      </c>
      <c r="E7" s="981">
        <v>674.38</v>
      </c>
      <c r="F7" s="981">
        <v>191.67</v>
      </c>
      <c r="G7" s="981">
        <v>131.19</v>
      </c>
      <c r="H7" s="981">
        <v>35.49</v>
      </c>
      <c r="I7" s="981">
        <v>46.28</v>
      </c>
      <c r="J7" s="981">
        <v>32.369999999999997</v>
      </c>
      <c r="K7" s="981">
        <v>13.76</v>
      </c>
      <c r="M7" s="511">
        <f t="shared" si="0"/>
        <v>13805.01</v>
      </c>
      <c r="N7" s="511">
        <v>27610</v>
      </c>
      <c r="O7" s="510">
        <v>355.86</v>
      </c>
    </row>
    <row r="8" spans="1:16">
      <c r="A8" s="980" t="s">
        <v>707</v>
      </c>
      <c r="B8" s="982">
        <v>31970.01</v>
      </c>
      <c r="C8" s="982">
        <v>95910</v>
      </c>
      <c r="D8" s="982">
        <v>1254.77</v>
      </c>
      <c r="E8" s="981">
        <v>752.07</v>
      </c>
      <c r="F8" s="981">
        <v>213.75</v>
      </c>
      <c r="G8" s="981">
        <v>146.30000000000001</v>
      </c>
      <c r="H8" s="981">
        <v>39.58</v>
      </c>
      <c r="I8" s="981">
        <v>51.62</v>
      </c>
      <c r="J8" s="981">
        <v>36.1</v>
      </c>
      <c r="K8" s="981">
        <v>15.35</v>
      </c>
      <c r="M8" s="511">
        <f t="shared" si="0"/>
        <v>27610.01</v>
      </c>
      <c r="N8" s="511">
        <v>82830</v>
      </c>
      <c r="O8" s="511">
        <v>371.71</v>
      </c>
    </row>
    <row r="9" spans="1:16">
      <c r="A9" s="980" t="s">
        <v>708</v>
      </c>
      <c r="B9" s="982">
        <v>95910.01</v>
      </c>
      <c r="C9" s="982">
        <v>159850</v>
      </c>
      <c r="D9" s="982">
        <v>1601.53</v>
      </c>
      <c r="E9" s="981">
        <v>959.91</v>
      </c>
      <c r="F9" s="981">
        <v>272.82</v>
      </c>
      <c r="G9" s="981">
        <v>186.73</v>
      </c>
      <c r="H9" s="981">
        <v>50.52</v>
      </c>
      <c r="I9" s="981">
        <v>65.88</v>
      </c>
      <c r="J9" s="981">
        <v>46.08</v>
      </c>
      <c r="K9" s="981">
        <v>19.59</v>
      </c>
      <c r="M9" s="511">
        <f t="shared" si="0"/>
        <v>82830.009999999995</v>
      </c>
      <c r="N9" s="511">
        <v>138050</v>
      </c>
      <c r="O9" s="510">
        <v>414.01</v>
      </c>
    </row>
    <row r="10" spans="1:16">
      <c r="A10" s="980" t="s">
        <v>709</v>
      </c>
      <c r="B10" s="982">
        <v>159850.01</v>
      </c>
      <c r="C10" s="982">
        <v>191820</v>
      </c>
      <c r="D10" s="982">
        <v>1947.59</v>
      </c>
      <c r="E10" s="982">
        <v>1167.33</v>
      </c>
      <c r="F10" s="981">
        <v>331.77</v>
      </c>
      <c r="G10" s="981">
        <v>227.08</v>
      </c>
      <c r="H10" s="981">
        <v>61.44</v>
      </c>
      <c r="I10" s="981">
        <v>80.12</v>
      </c>
      <c r="J10" s="981">
        <v>56.03</v>
      </c>
      <c r="K10" s="981">
        <v>23.82</v>
      </c>
      <c r="M10" s="511">
        <f t="shared" si="0"/>
        <v>138050.01</v>
      </c>
      <c r="N10" s="511">
        <v>165660</v>
      </c>
      <c r="O10" s="511">
        <v>456.3</v>
      </c>
    </row>
    <row r="11" spans="1:16">
      <c r="A11" s="980" t="s">
        <v>710</v>
      </c>
      <c r="B11" s="982">
        <v>191820.01</v>
      </c>
      <c r="C11" s="982">
        <v>223790</v>
      </c>
      <c r="D11" s="982">
        <v>2120.27</v>
      </c>
      <c r="E11" s="982">
        <v>1270.83</v>
      </c>
      <c r="F11" s="981">
        <v>361.18</v>
      </c>
      <c r="G11" s="981">
        <v>247.21</v>
      </c>
      <c r="H11" s="981">
        <v>66.89</v>
      </c>
      <c r="I11" s="981">
        <v>87.22</v>
      </c>
      <c r="J11" s="981">
        <v>61</v>
      </c>
      <c r="K11" s="981">
        <v>25.94</v>
      </c>
      <c r="M11" s="511">
        <f t="shared" si="0"/>
        <v>165660.01</v>
      </c>
      <c r="N11" s="511">
        <v>193270</v>
      </c>
      <c r="O11" s="510">
        <v>477.63</v>
      </c>
    </row>
    <row r="12" spans="1:16">
      <c r="A12" s="980" t="s">
        <v>711</v>
      </c>
      <c r="B12" s="982">
        <v>223790.01</v>
      </c>
      <c r="C12" s="982">
        <v>255760</v>
      </c>
      <c r="D12" s="982">
        <v>2293.94</v>
      </c>
      <c r="E12" s="982">
        <v>1374.93</v>
      </c>
      <c r="F12" s="981">
        <v>390.77</v>
      </c>
      <c r="G12" s="981">
        <v>267.45999999999998</v>
      </c>
      <c r="H12" s="981">
        <v>72.36</v>
      </c>
      <c r="I12" s="981">
        <v>94.36</v>
      </c>
      <c r="J12" s="981">
        <v>66</v>
      </c>
      <c r="K12" s="981">
        <v>28.06</v>
      </c>
      <c r="M12" s="511">
        <f t="shared" si="0"/>
        <v>193270.01</v>
      </c>
      <c r="N12" s="511">
        <v>220880</v>
      </c>
      <c r="O12" s="511">
        <v>498.64</v>
      </c>
    </row>
    <row r="13" spans="1:16">
      <c r="A13" s="980" t="s">
        <v>712</v>
      </c>
      <c r="B13" s="982">
        <v>255760.01</v>
      </c>
      <c r="C13" s="982">
        <v>287730</v>
      </c>
      <c r="D13" s="982">
        <v>2418.2600000000002</v>
      </c>
      <c r="E13" s="982">
        <v>1449.44</v>
      </c>
      <c r="F13" s="981">
        <v>411.95</v>
      </c>
      <c r="G13" s="981">
        <v>281.95</v>
      </c>
      <c r="H13" s="981">
        <v>76.290000000000006</v>
      </c>
      <c r="I13" s="981">
        <v>99.48</v>
      </c>
      <c r="J13" s="981">
        <v>69.569999999999993</v>
      </c>
      <c r="K13" s="981">
        <v>29.58</v>
      </c>
      <c r="M13" s="511">
        <f t="shared" si="0"/>
        <v>220880.01</v>
      </c>
      <c r="N13" s="511">
        <v>248490</v>
      </c>
      <c r="O13" s="510">
        <v>519.95000000000005</v>
      </c>
    </row>
    <row r="14" spans="1:16">
      <c r="A14" s="980" t="s">
        <v>713</v>
      </c>
      <c r="B14" s="982">
        <v>287730.01</v>
      </c>
      <c r="C14" s="982">
        <v>319700</v>
      </c>
      <c r="D14" s="982">
        <v>2481.3200000000002</v>
      </c>
      <c r="E14" s="982">
        <v>1487.23</v>
      </c>
      <c r="F14" s="981">
        <v>422.69</v>
      </c>
      <c r="G14" s="981">
        <v>289.31</v>
      </c>
      <c r="H14" s="981">
        <v>78.28</v>
      </c>
      <c r="I14" s="981">
        <v>102.07</v>
      </c>
      <c r="J14" s="981">
        <v>71.39</v>
      </c>
      <c r="K14" s="981">
        <v>30.35</v>
      </c>
      <c r="M14" s="511">
        <f t="shared" si="0"/>
        <v>248490.01</v>
      </c>
      <c r="N14" s="511">
        <v>276100</v>
      </c>
      <c r="O14" s="511">
        <v>541.02</v>
      </c>
    </row>
    <row r="15" spans="1:16">
      <c r="A15" s="980" t="s">
        <v>714</v>
      </c>
      <c r="B15" s="982">
        <v>319700.01</v>
      </c>
      <c r="C15" s="982">
        <v>639400</v>
      </c>
      <c r="D15" s="982">
        <v>2766.67</v>
      </c>
      <c r="E15" s="982">
        <v>1658.26</v>
      </c>
      <c r="F15" s="981">
        <v>471.3</v>
      </c>
      <c r="G15" s="981">
        <v>322.58</v>
      </c>
      <c r="H15" s="981">
        <v>87.28</v>
      </c>
      <c r="I15" s="981">
        <v>113.81</v>
      </c>
      <c r="J15" s="981">
        <v>79.599999999999994</v>
      </c>
      <c r="K15" s="981">
        <v>33.840000000000003</v>
      </c>
      <c r="M15" s="511">
        <f t="shared" si="0"/>
        <v>276100.01</v>
      </c>
      <c r="N15" s="511">
        <v>552200</v>
      </c>
      <c r="O15" s="510">
        <v>657.29</v>
      </c>
    </row>
    <row r="16" spans="1:16">
      <c r="A16" s="980" t="s">
        <v>715</v>
      </c>
      <c r="B16" s="982">
        <v>639400.01</v>
      </c>
      <c r="C16" s="982">
        <v>959100</v>
      </c>
      <c r="D16" s="982">
        <v>3240.05</v>
      </c>
      <c r="E16" s="982">
        <v>1942</v>
      </c>
      <c r="F16" s="981">
        <v>551.94000000000005</v>
      </c>
      <c r="G16" s="981">
        <v>377.77</v>
      </c>
      <c r="H16" s="981">
        <v>102.21</v>
      </c>
      <c r="I16" s="981">
        <v>133.28</v>
      </c>
      <c r="J16" s="981">
        <v>93.22</v>
      </c>
      <c r="K16" s="981">
        <v>39.630000000000003</v>
      </c>
      <c r="M16" s="511">
        <f t="shared" si="0"/>
        <v>552200.01</v>
      </c>
      <c r="N16" s="511">
        <v>828300</v>
      </c>
      <c r="O16" s="511">
        <v>868.92</v>
      </c>
    </row>
    <row r="17" spans="1:15">
      <c r="A17" s="980" t="s">
        <v>716</v>
      </c>
      <c r="B17" s="982">
        <v>959100.01</v>
      </c>
      <c r="C17" s="982">
        <v>1278800</v>
      </c>
      <c r="D17" s="982">
        <v>3730.06</v>
      </c>
      <c r="E17" s="982">
        <v>2235.6999999999998</v>
      </c>
      <c r="F17" s="981">
        <v>635.41</v>
      </c>
      <c r="G17" s="981">
        <v>434.9</v>
      </c>
      <c r="H17" s="981">
        <v>117.67</v>
      </c>
      <c r="I17" s="981">
        <v>153.44</v>
      </c>
      <c r="J17" s="981">
        <v>107.31</v>
      </c>
      <c r="K17" s="981">
        <v>45.63</v>
      </c>
      <c r="M17" s="511">
        <f t="shared" si="0"/>
        <v>828300.01</v>
      </c>
      <c r="N17" s="511">
        <v>1104400</v>
      </c>
      <c r="O17" s="510">
        <v>1080.54</v>
      </c>
    </row>
    <row r="18" spans="1:15">
      <c r="A18" s="980" t="s">
        <v>717</v>
      </c>
      <c r="B18" s="982">
        <v>1278800.01</v>
      </c>
      <c r="C18" s="982">
        <v>1598500</v>
      </c>
      <c r="D18" s="982">
        <v>4220.1499999999996</v>
      </c>
      <c r="E18" s="982">
        <v>2529.4499999999998</v>
      </c>
      <c r="F18" s="981">
        <v>718.9</v>
      </c>
      <c r="G18" s="981">
        <v>492.04</v>
      </c>
      <c r="H18" s="981">
        <v>133.13</v>
      </c>
      <c r="I18" s="981">
        <v>173.6</v>
      </c>
      <c r="J18" s="981">
        <v>121.41</v>
      </c>
      <c r="K18" s="981">
        <v>51.62</v>
      </c>
      <c r="M18" s="511">
        <f t="shared" si="0"/>
        <v>1104400.01</v>
      </c>
      <c r="N18" s="511">
        <v>1380500</v>
      </c>
      <c r="O18" s="511">
        <v>1292.1099999999999</v>
      </c>
    </row>
    <row r="19" spans="1:15">
      <c r="A19" s="980" t="s">
        <v>718</v>
      </c>
      <c r="B19" s="982">
        <v>1598500.01</v>
      </c>
      <c r="C19" s="982">
        <v>1918200</v>
      </c>
      <c r="D19" s="982">
        <v>4473.5200000000004</v>
      </c>
      <c r="E19" s="982">
        <v>2681.31</v>
      </c>
      <c r="F19" s="981">
        <v>762.06</v>
      </c>
      <c r="G19" s="981">
        <v>521.59</v>
      </c>
      <c r="H19" s="981">
        <v>141.12</v>
      </c>
      <c r="I19" s="981">
        <v>184.02</v>
      </c>
      <c r="J19" s="981">
        <v>128.69999999999999</v>
      </c>
      <c r="K19" s="981">
        <v>54.72</v>
      </c>
      <c r="M19" s="511">
        <f t="shared" si="0"/>
        <v>1380500.01</v>
      </c>
      <c r="N19" s="511">
        <v>1656600</v>
      </c>
      <c r="O19" s="510">
        <v>1401.5</v>
      </c>
    </row>
    <row r="20" spans="1:15">
      <c r="A20" s="980" t="s">
        <v>719</v>
      </c>
      <c r="B20" s="982">
        <v>1918200.01</v>
      </c>
      <c r="C20" s="982">
        <v>3197000</v>
      </c>
      <c r="D20" s="982">
        <v>5740.32</v>
      </c>
      <c r="E20" s="982">
        <v>3440.6</v>
      </c>
      <c r="F20" s="981">
        <v>977.85</v>
      </c>
      <c r="G20" s="981">
        <v>669.29</v>
      </c>
      <c r="H20" s="981">
        <v>181.08</v>
      </c>
      <c r="I20" s="981">
        <v>236.13</v>
      </c>
      <c r="J20" s="981">
        <v>165.15</v>
      </c>
      <c r="K20" s="981">
        <v>70.22</v>
      </c>
      <c r="M20" s="511">
        <f t="shared" si="0"/>
        <v>1656600.01</v>
      </c>
      <c r="N20" s="511">
        <v>2761000</v>
      </c>
      <c r="O20" s="511">
        <v>1948.53</v>
      </c>
    </row>
    <row r="21" spans="1:15">
      <c r="A21" s="980" t="s">
        <v>720</v>
      </c>
      <c r="B21" s="982">
        <v>3197000.01</v>
      </c>
      <c r="C21" s="982">
        <v>4795500</v>
      </c>
      <c r="D21" s="982">
        <v>8020.56</v>
      </c>
      <c r="E21" s="982">
        <v>4807.3100000000004</v>
      </c>
      <c r="F21" s="982">
        <v>1366.29</v>
      </c>
      <c r="G21" s="981">
        <v>935.15</v>
      </c>
      <c r="H21" s="981">
        <v>253.02</v>
      </c>
      <c r="I21" s="981">
        <v>329.93</v>
      </c>
      <c r="J21" s="981">
        <v>230.75</v>
      </c>
      <c r="K21" s="981">
        <v>98.11</v>
      </c>
      <c r="M21" s="511">
        <f t="shared" si="0"/>
        <v>2761000.01</v>
      </c>
      <c r="N21" s="511">
        <v>4141500</v>
      </c>
      <c r="O21" s="510">
        <v>2933.18</v>
      </c>
    </row>
    <row r="22" spans="1:15">
      <c r="A22" s="980" t="s">
        <v>721</v>
      </c>
      <c r="B22" s="982">
        <v>4795500.01</v>
      </c>
      <c r="C22" s="982">
        <v>6394000</v>
      </c>
      <c r="D22" s="982">
        <v>10554.15</v>
      </c>
      <c r="E22" s="982">
        <v>6325.88</v>
      </c>
      <c r="F22" s="982">
        <v>1797.88</v>
      </c>
      <c r="G22" s="982">
        <v>1230.55</v>
      </c>
      <c r="H22" s="981">
        <v>332.94</v>
      </c>
      <c r="I22" s="981">
        <v>434.16</v>
      </c>
      <c r="J22" s="981">
        <v>303.64</v>
      </c>
      <c r="K22" s="981">
        <v>129.1</v>
      </c>
      <c r="M22" s="511">
        <f t="shared" si="0"/>
        <v>4141500.01</v>
      </c>
      <c r="N22" s="511">
        <v>5522000</v>
      </c>
      <c r="O22" s="511">
        <v>4027.2</v>
      </c>
    </row>
    <row r="23" spans="1:15">
      <c r="A23" s="980" t="s">
        <v>722</v>
      </c>
      <c r="B23" s="982">
        <v>6394000.0099999998</v>
      </c>
      <c r="C23" s="982">
        <v>7992500</v>
      </c>
      <c r="D23" s="982">
        <v>13087.76</v>
      </c>
      <c r="E23" s="982">
        <v>7844.46</v>
      </c>
      <c r="F23" s="982">
        <v>2229.48</v>
      </c>
      <c r="G23" s="982">
        <v>1525.95</v>
      </c>
      <c r="H23" s="981">
        <v>412.87</v>
      </c>
      <c r="I23" s="981">
        <v>538.38</v>
      </c>
      <c r="J23" s="981">
        <v>376.53</v>
      </c>
      <c r="K23" s="981">
        <v>160.09</v>
      </c>
      <c r="M23" s="511">
        <f t="shared" si="0"/>
        <v>5522000.0099999998</v>
      </c>
      <c r="N23" s="511">
        <v>6901500</v>
      </c>
      <c r="O23" s="510">
        <v>5121.25</v>
      </c>
    </row>
    <row r="24" spans="1:15">
      <c r="A24" s="980" t="s">
        <v>723</v>
      </c>
      <c r="B24" s="982">
        <v>7992500.0099999998</v>
      </c>
      <c r="C24" s="982">
        <v>9591000</v>
      </c>
      <c r="D24" s="982">
        <v>15621.36</v>
      </c>
      <c r="E24" s="982">
        <v>9363.0300000000007</v>
      </c>
      <c r="F24" s="982">
        <v>2661.07</v>
      </c>
      <c r="G24" s="982">
        <v>1821.36</v>
      </c>
      <c r="H24" s="981">
        <v>492.79</v>
      </c>
      <c r="I24" s="981">
        <v>642.6</v>
      </c>
      <c r="J24" s="981">
        <v>449.43</v>
      </c>
      <c r="K24" s="981">
        <v>191.08</v>
      </c>
      <c r="M24" s="511">
        <f t="shared" si="0"/>
        <v>6901500.0099999998</v>
      </c>
      <c r="N24" s="511">
        <v>8283000</v>
      </c>
      <c r="O24" s="511">
        <v>6125.28</v>
      </c>
    </row>
    <row r="25" spans="1:15">
      <c r="A25" s="980" t="s">
        <v>724</v>
      </c>
      <c r="B25" s="982">
        <v>9591000.0099999998</v>
      </c>
      <c r="C25" s="982">
        <v>11189500</v>
      </c>
      <c r="D25" s="982">
        <v>18154.97</v>
      </c>
      <c r="E25" s="982">
        <v>10881.61</v>
      </c>
      <c r="F25" s="982">
        <v>3092.67</v>
      </c>
      <c r="G25" s="982">
        <v>2116.7600000000002</v>
      </c>
      <c r="H25" s="981">
        <v>572.72</v>
      </c>
      <c r="I25" s="981">
        <v>746.82</v>
      </c>
      <c r="J25" s="981">
        <v>522.32000000000005</v>
      </c>
      <c r="K25" s="981">
        <v>222.07</v>
      </c>
      <c r="M25" s="511">
        <f t="shared" si="0"/>
        <v>8283000.0099999998</v>
      </c>
      <c r="N25" s="511">
        <v>9663500</v>
      </c>
      <c r="O25" s="510">
        <v>7309.33</v>
      </c>
    </row>
    <row r="26" spans="1:15">
      <c r="A26" s="980" t="s">
        <v>725</v>
      </c>
      <c r="B26" s="982">
        <v>11189500.01</v>
      </c>
      <c r="C26" s="982">
        <v>12788000</v>
      </c>
      <c r="D26" s="982">
        <v>20688.55</v>
      </c>
      <c r="E26" s="982">
        <v>12400.18</v>
      </c>
      <c r="F26" s="982">
        <v>3524.26</v>
      </c>
      <c r="G26" s="982">
        <v>2412.16</v>
      </c>
      <c r="H26" s="981">
        <v>652.64</v>
      </c>
      <c r="I26" s="981">
        <v>851.04</v>
      </c>
      <c r="J26" s="981">
        <v>595.21</v>
      </c>
      <c r="K26" s="981">
        <v>253.06</v>
      </c>
      <c r="M26" s="511">
        <f t="shared" si="0"/>
        <v>9663500.0099999998</v>
      </c>
      <c r="N26" s="511">
        <v>11044000</v>
      </c>
      <c r="O26" s="511">
        <v>8403.35</v>
      </c>
    </row>
    <row r="27" spans="1:15">
      <c r="A27" s="980" t="s">
        <v>726</v>
      </c>
      <c r="B27" s="982">
        <v>12788000.01</v>
      </c>
      <c r="C27" s="982">
        <v>14386500</v>
      </c>
      <c r="D27" s="982">
        <v>23222.18</v>
      </c>
      <c r="E27" s="982">
        <v>13918.76</v>
      </c>
      <c r="F27" s="982">
        <v>3955.86</v>
      </c>
      <c r="G27" s="982">
        <v>2707.56</v>
      </c>
      <c r="H27" s="981">
        <v>732.57</v>
      </c>
      <c r="I27" s="981">
        <v>955.27</v>
      </c>
      <c r="J27" s="981">
        <v>668.1</v>
      </c>
      <c r="K27" s="981">
        <v>284.06</v>
      </c>
    </row>
    <row r="28" spans="1:15">
      <c r="A28" s="980" t="s">
        <v>727</v>
      </c>
      <c r="B28" s="982">
        <v>14386500.01</v>
      </c>
      <c r="C28" s="982">
        <v>15985000</v>
      </c>
      <c r="D28" s="982">
        <v>25755.77</v>
      </c>
      <c r="E28" s="982">
        <v>15437.33</v>
      </c>
      <c r="F28" s="982">
        <v>4387.45</v>
      </c>
      <c r="G28" s="982">
        <v>3002.97</v>
      </c>
      <c r="H28" s="981">
        <v>812.49</v>
      </c>
      <c r="I28" s="982">
        <v>1059.49</v>
      </c>
      <c r="J28" s="981">
        <v>740.99</v>
      </c>
      <c r="K28" s="981">
        <v>315.05</v>
      </c>
    </row>
    <row r="29" spans="1:15">
      <c r="A29" s="980" t="s">
        <v>728</v>
      </c>
      <c r="B29" s="982">
        <v>15985000.01</v>
      </c>
      <c r="C29" s="982">
        <v>19182000</v>
      </c>
      <c r="D29" s="982">
        <v>29556.18</v>
      </c>
      <c r="E29" s="982">
        <v>17715.2</v>
      </c>
      <c r="F29" s="982">
        <v>5034.8500000000004</v>
      </c>
      <c r="G29" s="982">
        <v>3446.07</v>
      </c>
      <c r="H29" s="981">
        <v>932.38</v>
      </c>
      <c r="I29" s="982">
        <v>1215.82</v>
      </c>
      <c r="J29" s="981">
        <v>850.33</v>
      </c>
      <c r="K29" s="981">
        <v>361.53</v>
      </c>
    </row>
    <row r="30" spans="1:15">
      <c r="A30" s="980" t="s">
        <v>729</v>
      </c>
      <c r="B30" s="982">
        <v>19182000.010000002</v>
      </c>
      <c r="C30" s="982">
        <v>22379000</v>
      </c>
      <c r="D30" s="982">
        <v>34623.4</v>
      </c>
      <c r="E30" s="982">
        <v>20752.349999999999</v>
      </c>
      <c r="F30" s="982">
        <v>5898.04</v>
      </c>
      <c r="G30" s="982">
        <v>4036.88</v>
      </c>
      <c r="H30" s="982">
        <v>1092.23</v>
      </c>
      <c r="I30" s="982">
        <v>1424.27</v>
      </c>
      <c r="J30" s="981">
        <v>996.11</v>
      </c>
      <c r="K30" s="981">
        <v>423.52</v>
      </c>
    </row>
    <row r="31" spans="1:15">
      <c r="A31" s="980" t="s">
        <v>730</v>
      </c>
      <c r="B31" s="982">
        <v>22379000.010000002</v>
      </c>
      <c r="C31" s="982">
        <v>25576000</v>
      </c>
      <c r="D31" s="982">
        <v>39690.6</v>
      </c>
      <c r="E31" s="982">
        <v>23789.5</v>
      </c>
      <c r="F31" s="982">
        <v>6761.23</v>
      </c>
      <c r="G31" s="982">
        <v>4627.68</v>
      </c>
      <c r="H31" s="982">
        <v>1252.08</v>
      </c>
      <c r="I31" s="982">
        <v>1632.71</v>
      </c>
      <c r="J31" s="982">
        <v>1141.9000000000001</v>
      </c>
      <c r="K31" s="981">
        <v>485.5</v>
      </c>
    </row>
    <row r="32" spans="1:15">
      <c r="A32" s="980" t="s">
        <v>731</v>
      </c>
      <c r="B32" s="982">
        <v>25576000.010000002</v>
      </c>
      <c r="C32" s="982">
        <v>28773000</v>
      </c>
      <c r="D32" s="982">
        <v>44757.8</v>
      </c>
      <c r="E32" s="982">
        <v>26826.65</v>
      </c>
      <c r="F32" s="982">
        <v>7624.42</v>
      </c>
      <c r="G32" s="982">
        <v>5218.49</v>
      </c>
      <c r="H32" s="982">
        <v>1411.93</v>
      </c>
      <c r="I32" s="982">
        <v>1841.15</v>
      </c>
      <c r="J32" s="982">
        <v>1287.68</v>
      </c>
      <c r="K32" s="981">
        <v>547.48</v>
      </c>
    </row>
    <row r="33" spans="1:11">
      <c r="A33" s="980" t="s">
        <v>732</v>
      </c>
      <c r="B33" s="982">
        <v>28773000.010000002</v>
      </c>
      <c r="C33" s="982">
        <v>31970000</v>
      </c>
      <c r="D33" s="982">
        <v>49825.01</v>
      </c>
      <c r="E33" s="982">
        <v>29863.8</v>
      </c>
      <c r="F33" s="982">
        <v>8487.61</v>
      </c>
      <c r="G33" s="982">
        <v>5809.29</v>
      </c>
      <c r="H33" s="982">
        <v>1571.78</v>
      </c>
      <c r="I33" s="982">
        <v>2049.6</v>
      </c>
      <c r="J33" s="982">
        <v>1433.46</v>
      </c>
      <c r="K33" s="981">
        <v>609.47</v>
      </c>
    </row>
    <row r="34" spans="1:11">
      <c r="A34" s="980" t="s">
        <v>733</v>
      </c>
      <c r="B34" s="982">
        <v>31970000.010000002</v>
      </c>
      <c r="C34" s="982">
        <v>35167000</v>
      </c>
      <c r="D34" s="982">
        <v>54892.22</v>
      </c>
      <c r="E34" s="982">
        <v>32900.949999999997</v>
      </c>
      <c r="F34" s="982">
        <v>9350.7999999999993</v>
      </c>
      <c r="G34" s="982">
        <v>6400.1</v>
      </c>
      <c r="H34" s="982">
        <v>1731.63</v>
      </c>
      <c r="I34" s="982">
        <v>2258.04</v>
      </c>
      <c r="J34" s="982">
        <v>1579.25</v>
      </c>
      <c r="K34" s="981">
        <v>671.45</v>
      </c>
    </row>
    <row r="35" spans="1:11">
      <c r="A35" s="980" t="s">
        <v>734</v>
      </c>
      <c r="B35" s="982">
        <v>35167000.009999998</v>
      </c>
      <c r="C35" s="982">
        <v>38364000</v>
      </c>
      <c r="D35" s="982">
        <v>59959.43</v>
      </c>
      <c r="E35" s="982">
        <v>35938.1</v>
      </c>
      <c r="F35" s="982">
        <v>10213.99</v>
      </c>
      <c r="G35" s="982">
        <v>6990.91</v>
      </c>
      <c r="H35" s="982">
        <v>1891.48</v>
      </c>
      <c r="I35" s="982">
        <v>2466.4899999999998</v>
      </c>
      <c r="J35" s="982">
        <v>1725.03</v>
      </c>
      <c r="K35" s="981">
        <v>733.43</v>
      </c>
    </row>
    <row r="36" spans="1:11">
      <c r="A36" s="980" t="s">
        <v>735</v>
      </c>
      <c r="B36" s="982">
        <v>38364000.009999998</v>
      </c>
      <c r="C36" s="982">
        <v>41561000</v>
      </c>
      <c r="D36" s="982">
        <v>65026.62</v>
      </c>
      <c r="E36" s="982">
        <v>38975.25</v>
      </c>
      <c r="F36" s="982">
        <v>11077.18</v>
      </c>
      <c r="G36" s="982">
        <v>7581.71</v>
      </c>
      <c r="H36" s="982">
        <v>2051.33</v>
      </c>
      <c r="I36" s="982">
        <v>2674.93</v>
      </c>
      <c r="J36" s="982">
        <v>1870.81</v>
      </c>
      <c r="K36" s="981">
        <v>795.41</v>
      </c>
    </row>
    <row r="37" spans="1:11">
      <c r="A37" s="980" t="s">
        <v>736</v>
      </c>
      <c r="B37" s="982">
        <v>41561000.009999998</v>
      </c>
      <c r="C37" s="982">
        <v>44758000</v>
      </c>
      <c r="D37" s="982">
        <v>70093.850000000006</v>
      </c>
      <c r="E37" s="982">
        <v>42012.4</v>
      </c>
      <c r="F37" s="982">
        <v>11940.37</v>
      </c>
      <c r="G37" s="982">
        <v>8172.52</v>
      </c>
      <c r="H37" s="982">
        <v>2211.1799999999998</v>
      </c>
      <c r="I37" s="982">
        <v>2883.38</v>
      </c>
      <c r="J37" s="982">
        <v>2016.6</v>
      </c>
      <c r="K37" s="981">
        <v>857.4</v>
      </c>
    </row>
    <row r="38" spans="1:11">
      <c r="A38" s="980" t="s">
        <v>737</v>
      </c>
      <c r="B38" s="982">
        <v>44758000.009999998</v>
      </c>
      <c r="C38" s="982">
        <v>47955000</v>
      </c>
      <c r="D38" s="982">
        <v>75161.039999999994</v>
      </c>
      <c r="E38" s="982">
        <v>45049.55</v>
      </c>
      <c r="F38" s="982">
        <v>12803.56</v>
      </c>
      <c r="G38" s="982">
        <v>8763.32</v>
      </c>
      <c r="H38" s="982">
        <v>2371.0300000000002</v>
      </c>
      <c r="I38" s="982">
        <v>3091.82</v>
      </c>
      <c r="J38" s="982">
        <v>2162.38</v>
      </c>
      <c r="K38" s="981">
        <v>919.38</v>
      </c>
    </row>
    <row r="39" spans="1:11">
      <c r="A39" s="980" t="s">
        <v>738</v>
      </c>
      <c r="B39" s="982">
        <v>47955000.009999998</v>
      </c>
      <c r="C39" s="982">
        <v>54349000</v>
      </c>
      <c r="D39" s="982">
        <v>82761.83</v>
      </c>
      <c r="E39" s="982">
        <v>49605.27</v>
      </c>
      <c r="F39" s="982">
        <v>14098.34</v>
      </c>
      <c r="G39" s="982">
        <v>9649.5300000000007</v>
      </c>
      <c r="H39" s="982">
        <v>2610.8000000000002</v>
      </c>
      <c r="I39" s="982">
        <v>3404.49</v>
      </c>
      <c r="J39" s="982">
        <v>2381.0500000000002</v>
      </c>
      <c r="K39" s="982">
        <v>1012.35</v>
      </c>
    </row>
    <row r="40" spans="1:11">
      <c r="A40" s="980" t="s">
        <v>739</v>
      </c>
      <c r="B40" s="982">
        <v>54349000.009999998</v>
      </c>
      <c r="C40" s="982">
        <v>60743000</v>
      </c>
      <c r="D40" s="982">
        <v>92896.25</v>
      </c>
      <c r="E40" s="982">
        <v>55679.57</v>
      </c>
      <c r="F40" s="982">
        <v>15824.72</v>
      </c>
      <c r="G40" s="982">
        <v>10831.14</v>
      </c>
      <c r="H40" s="982">
        <v>2930.5</v>
      </c>
      <c r="I40" s="982">
        <v>3821.38</v>
      </c>
      <c r="J40" s="982">
        <v>2672.62</v>
      </c>
      <c r="K40" s="982">
        <v>1136.32</v>
      </c>
    </row>
    <row r="41" spans="1:11">
      <c r="A41" s="980" t="s">
        <v>740</v>
      </c>
      <c r="B41" s="982">
        <v>60743000.009999998</v>
      </c>
      <c r="C41" s="982">
        <v>67137000</v>
      </c>
      <c r="D41" s="982">
        <v>103030.66</v>
      </c>
      <c r="E41" s="982">
        <v>61753.87</v>
      </c>
      <c r="F41" s="982">
        <v>17551.099999999999</v>
      </c>
      <c r="G41" s="982">
        <v>12012.75</v>
      </c>
      <c r="H41" s="982">
        <v>3250.2</v>
      </c>
      <c r="I41" s="982">
        <v>4238.2700000000004</v>
      </c>
      <c r="J41" s="982">
        <v>2964.19</v>
      </c>
      <c r="K41" s="982">
        <v>1260.28</v>
      </c>
    </row>
    <row r="42" spans="1:11">
      <c r="A42" s="980" t="s">
        <v>741</v>
      </c>
      <c r="B42" s="982">
        <v>67137000.010000005</v>
      </c>
      <c r="C42" s="982">
        <v>73531000</v>
      </c>
      <c r="D42" s="982">
        <v>113165.06</v>
      </c>
      <c r="E42" s="982">
        <v>67828.17</v>
      </c>
      <c r="F42" s="982">
        <v>19277.48</v>
      </c>
      <c r="G42" s="982">
        <v>13194.36</v>
      </c>
      <c r="H42" s="982">
        <v>3569.9</v>
      </c>
      <c r="I42" s="982">
        <v>4655.1499999999996</v>
      </c>
      <c r="J42" s="982">
        <v>3255.75</v>
      </c>
      <c r="K42" s="982">
        <v>1384.25</v>
      </c>
    </row>
    <row r="43" spans="1:11">
      <c r="A43" s="980" t="s">
        <v>742</v>
      </c>
      <c r="B43" s="982">
        <v>73531000.010000005</v>
      </c>
      <c r="C43" s="982">
        <v>79925000</v>
      </c>
      <c r="D43" s="982">
        <v>123299.47</v>
      </c>
      <c r="E43" s="982">
        <v>73902.47</v>
      </c>
      <c r="F43" s="982">
        <v>21003.86</v>
      </c>
      <c r="G43" s="982">
        <v>14375.97</v>
      </c>
      <c r="H43" s="982">
        <v>3889.6</v>
      </c>
      <c r="I43" s="982">
        <v>5072.04</v>
      </c>
      <c r="J43" s="982">
        <v>3547.32</v>
      </c>
      <c r="K43" s="982">
        <v>1508.21</v>
      </c>
    </row>
    <row r="44" spans="1:11">
      <c r="A44" s="980" t="s">
        <v>743</v>
      </c>
      <c r="B44" s="982">
        <v>79925000.010000005</v>
      </c>
      <c r="C44" s="982">
        <v>86319000</v>
      </c>
      <c r="D44" s="982">
        <v>133433.9</v>
      </c>
      <c r="E44" s="982">
        <v>79976.77</v>
      </c>
      <c r="F44" s="982">
        <v>22730.240000000002</v>
      </c>
      <c r="G44" s="982">
        <v>15557.59</v>
      </c>
      <c r="H44" s="982">
        <v>4209.3</v>
      </c>
      <c r="I44" s="982">
        <v>5488.93</v>
      </c>
      <c r="J44" s="982">
        <v>3838.89</v>
      </c>
      <c r="K44" s="982">
        <v>1632.18</v>
      </c>
    </row>
    <row r="45" spans="1:11">
      <c r="A45" s="980" t="s">
        <v>744</v>
      </c>
      <c r="B45" s="982">
        <v>86319000.010000005</v>
      </c>
      <c r="C45" s="982">
        <v>92713000</v>
      </c>
      <c r="D45" s="982">
        <v>143568.29999999999</v>
      </c>
      <c r="E45" s="982">
        <v>86051.07</v>
      </c>
      <c r="F45" s="982">
        <v>24456.62</v>
      </c>
      <c r="G45" s="982">
        <v>16739.2</v>
      </c>
      <c r="H45" s="982">
        <v>4529</v>
      </c>
      <c r="I45" s="982">
        <v>5905.82</v>
      </c>
      <c r="J45" s="982">
        <v>4130.45</v>
      </c>
      <c r="K45" s="982">
        <v>1756.14</v>
      </c>
    </row>
    <row r="46" spans="1:11">
      <c r="A46" s="980" t="s">
        <v>745</v>
      </c>
      <c r="B46" s="982">
        <v>92713000.010000005</v>
      </c>
      <c r="C46" s="982">
        <v>99107000</v>
      </c>
      <c r="D46" s="982">
        <v>153702.72</v>
      </c>
      <c r="E46" s="982">
        <v>92125.37</v>
      </c>
      <c r="F46" s="982">
        <v>26183</v>
      </c>
      <c r="G46" s="982">
        <v>17920.810000000001</v>
      </c>
      <c r="H46" s="982">
        <v>4848.7</v>
      </c>
      <c r="I46" s="982">
        <v>6322.71</v>
      </c>
      <c r="J46" s="982">
        <v>4422.0200000000004</v>
      </c>
      <c r="K46" s="982">
        <v>1880.11</v>
      </c>
    </row>
    <row r="47" spans="1:11">
      <c r="A47" s="980" t="s">
        <v>746</v>
      </c>
      <c r="B47" s="982">
        <v>99107000.010000005</v>
      </c>
      <c r="C47" s="982">
        <v>105501000</v>
      </c>
      <c r="D47" s="982">
        <v>163837.12</v>
      </c>
      <c r="E47" s="982">
        <v>98199.67</v>
      </c>
      <c r="F47" s="982">
        <v>27909.38</v>
      </c>
      <c r="G47" s="982">
        <v>19102.419999999998</v>
      </c>
      <c r="H47" s="982">
        <v>5168.3999999999996</v>
      </c>
      <c r="I47" s="982">
        <v>6739.6</v>
      </c>
      <c r="J47" s="982">
        <v>4713.58</v>
      </c>
      <c r="K47" s="982">
        <v>2004.07</v>
      </c>
    </row>
    <row r="48" spans="1:11">
      <c r="A48" s="980" t="s">
        <v>747</v>
      </c>
      <c r="B48" s="982">
        <v>105501000.01000001</v>
      </c>
      <c r="C48" s="982">
        <v>111895000</v>
      </c>
      <c r="D48" s="982">
        <v>173971.54</v>
      </c>
      <c r="E48" s="982">
        <v>104273.97</v>
      </c>
      <c r="F48" s="982">
        <v>29635.759999999998</v>
      </c>
      <c r="G48" s="982">
        <v>20284.03</v>
      </c>
      <c r="H48" s="982">
        <v>5488.1</v>
      </c>
      <c r="I48" s="982">
        <v>7156.49</v>
      </c>
      <c r="J48" s="982">
        <v>5005.1499999999996</v>
      </c>
      <c r="K48" s="982">
        <v>2128.04</v>
      </c>
    </row>
    <row r="49" spans="1:11">
      <c r="A49" s="980" t="s">
        <v>748</v>
      </c>
      <c r="B49" s="982">
        <v>111895000.01000001</v>
      </c>
      <c r="C49" s="982">
        <v>118289000</v>
      </c>
      <c r="D49" s="982">
        <v>184105.95</v>
      </c>
      <c r="E49" s="982">
        <v>110348.27</v>
      </c>
      <c r="F49" s="982">
        <v>31362.14</v>
      </c>
      <c r="G49" s="982">
        <v>21465.64</v>
      </c>
      <c r="H49" s="982">
        <v>5807.8</v>
      </c>
      <c r="I49" s="982">
        <v>7573.37</v>
      </c>
      <c r="J49" s="982">
        <v>5296.72</v>
      </c>
      <c r="K49" s="982">
        <v>2252.0100000000002</v>
      </c>
    </row>
    <row r="50" spans="1:11">
      <c r="A50" s="983" t="s">
        <v>11004</v>
      </c>
      <c r="B50" s="983"/>
      <c r="C50" s="982">
        <v>118289000.01000001</v>
      </c>
      <c r="D50" s="982">
        <v>194830.71</v>
      </c>
      <c r="E50" s="982">
        <v>116776.4</v>
      </c>
      <c r="F50" s="982">
        <v>33189.089999999997</v>
      </c>
      <c r="G50" s="982">
        <v>22716.080000000002</v>
      </c>
      <c r="H50" s="982">
        <v>6146.13</v>
      </c>
      <c r="I50" s="982">
        <v>8014.55</v>
      </c>
      <c r="J50" s="982">
        <v>5605.27</v>
      </c>
      <c r="K50" s="982">
        <v>2383.19</v>
      </c>
    </row>
  </sheetData>
  <sheetProtection formatCells="0" formatColumns="0" formatRows="0" insertColumns="0" insertRows="0" insertHyperlinks="0" sort="0" autoFilter="0" pivotTables="0"/>
  <mergeCells count="1">
    <mergeCell ref="A2:C2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A0FD-36F6-4973-A394-E712FAA78940}">
  <sheetPr codeName="Planilha13">
    <tabColor rgb="FF002060"/>
  </sheetPr>
  <dimension ref="A1:N5595"/>
  <sheetViews>
    <sheetView zoomScaleNormal="100" workbookViewId="0">
      <selection activeCell="D10" sqref="D10"/>
    </sheetView>
  </sheetViews>
  <sheetFormatPr defaultColWidth="9.28515625" defaultRowHeight="15"/>
  <cols>
    <col min="1" max="1" width="9.28515625" style="948" customWidth="1"/>
    <col min="2" max="2" width="10.5703125" style="948" customWidth="1"/>
    <col min="3" max="3" width="14.5703125" style="948" customWidth="1"/>
    <col min="4" max="4" width="33.28515625" style="948" customWidth="1"/>
    <col min="5" max="5" width="23.28515625" style="947" bestFit="1" customWidth="1"/>
    <col min="6" max="6" width="9.28515625" style="785"/>
    <col min="7" max="7" width="15.42578125" style="785" customWidth="1"/>
    <col min="8" max="8" width="11.28515625" style="785" customWidth="1"/>
    <col min="9" max="9" width="11.7109375" style="785" customWidth="1"/>
    <col min="10" max="10" width="30.28515625" style="785" customWidth="1"/>
    <col min="11" max="11" width="62.28515625" style="785" customWidth="1"/>
    <col min="12" max="12" width="12.42578125" style="785" bestFit="1" customWidth="1"/>
    <col min="13" max="13" width="18.7109375" style="785" customWidth="1"/>
    <col min="14" max="14" width="9.28515625" style="785"/>
    <col min="15" max="15" width="12.42578125" style="785" bestFit="1" customWidth="1"/>
    <col min="16" max="17" width="9.28515625" style="785"/>
    <col min="18" max="19" width="12.42578125" style="785" bestFit="1" customWidth="1"/>
    <col min="20" max="257" width="9.28515625" style="785"/>
    <col min="258" max="258" width="10.5703125" style="785" customWidth="1"/>
    <col min="259" max="259" width="14.5703125" style="785" customWidth="1"/>
    <col min="260" max="260" width="33.28515625" style="785" customWidth="1"/>
    <col min="261" max="261" width="23.28515625" style="785" bestFit="1" customWidth="1"/>
    <col min="262" max="262" width="9.28515625" style="785"/>
    <col min="263" max="263" width="15.42578125" style="785" customWidth="1"/>
    <col min="264" max="264" width="11.28515625" style="785" customWidth="1"/>
    <col min="265" max="265" width="11.7109375" style="785" customWidth="1"/>
    <col min="266" max="266" width="30.28515625" style="785" customWidth="1"/>
    <col min="267" max="267" width="62.28515625" style="785" customWidth="1"/>
    <col min="268" max="268" width="12.42578125" style="785" bestFit="1" customWidth="1"/>
    <col min="269" max="269" width="18.7109375" style="785" customWidth="1"/>
    <col min="270" max="270" width="9.28515625" style="785"/>
    <col min="271" max="271" width="12.42578125" style="785" bestFit="1" customWidth="1"/>
    <col min="272" max="273" width="9.28515625" style="785"/>
    <col min="274" max="275" width="12.42578125" style="785" bestFit="1" customWidth="1"/>
    <col min="276" max="513" width="9.28515625" style="785"/>
    <col min="514" max="514" width="10.5703125" style="785" customWidth="1"/>
    <col min="515" max="515" width="14.5703125" style="785" customWidth="1"/>
    <col min="516" max="516" width="33.28515625" style="785" customWidth="1"/>
    <col min="517" max="517" width="23.28515625" style="785" bestFit="1" customWidth="1"/>
    <col min="518" max="518" width="9.28515625" style="785"/>
    <col min="519" max="519" width="15.42578125" style="785" customWidth="1"/>
    <col min="520" max="520" width="11.28515625" style="785" customWidth="1"/>
    <col min="521" max="521" width="11.7109375" style="785" customWidth="1"/>
    <col min="522" max="522" width="30.28515625" style="785" customWidth="1"/>
    <col min="523" max="523" width="62.28515625" style="785" customWidth="1"/>
    <col min="524" max="524" width="12.42578125" style="785" bestFit="1" customWidth="1"/>
    <col min="525" max="525" width="18.7109375" style="785" customWidth="1"/>
    <col min="526" max="526" width="9.28515625" style="785"/>
    <col min="527" max="527" width="12.42578125" style="785" bestFit="1" customWidth="1"/>
    <col min="528" max="529" width="9.28515625" style="785"/>
    <col min="530" max="531" width="12.42578125" style="785" bestFit="1" customWidth="1"/>
    <col min="532" max="769" width="9.28515625" style="785"/>
    <col min="770" max="770" width="10.5703125" style="785" customWidth="1"/>
    <col min="771" max="771" width="14.5703125" style="785" customWidth="1"/>
    <col min="772" max="772" width="33.28515625" style="785" customWidth="1"/>
    <col min="773" max="773" width="23.28515625" style="785" bestFit="1" customWidth="1"/>
    <col min="774" max="774" width="9.28515625" style="785"/>
    <col min="775" max="775" width="15.42578125" style="785" customWidth="1"/>
    <col min="776" max="776" width="11.28515625" style="785" customWidth="1"/>
    <col min="777" max="777" width="11.7109375" style="785" customWidth="1"/>
    <col min="778" max="778" width="30.28515625" style="785" customWidth="1"/>
    <col min="779" max="779" width="62.28515625" style="785" customWidth="1"/>
    <col min="780" max="780" width="12.42578125" style="785" bestFit="1" customWidth="1"/>
    <col min="781" max="781" width="18.7109375" style="785" customWidth="1"/>
    <col min="782" max="782" width="9.28515625" style="785"/>
    <col min="783" max="783" width="12.42578125" style="785" bestFit="1" customWidth="1"/>
    <col min="784" max="785" width="9.28515625" style="785"/>
    <col min="786" max="787" width="12.42578125" style="785" bestFit="1" customWidth="1"/>
    <col min="788" max="1025" width="9.28515625" style="785"/>
    <col min="1026" max="1026" width="10.5703125" style="785" customWidth="1"/>
    <col min="1027" max="1027" width="14.5703125" style="785" customWidth="1"/>
    <col min="1028" max="1028" width="33.28515625" style="785" customWidth="1"/>
    <col min="1029" max="1029" width="23.28515625" style="785" bestFit="1" customWidth="1"/>
    <col min="1030" max="1030" width="9.28515625" style="785"/>
    <col min="1031" max="1031" width="15.42578125" style="785" customWidth="1"/>
    <col min="1032" max="1032" width="11.28515625" style="785" customWidth="1"/>
    <col min="1033" max="1033" width="11.7109375" style="785" customWidth="1"/>
    <col min="1034" max="1034" width="30.28515625" style="785" customWidth="1"/>
    <col min="1035" max="1035" width="62.28515625" style="785" customWidth="1"/>
    <col min="1036" max="1036" width="12.42578125" style="785" bestFit="1" customWidth="1"/>
    <col min="1037" max="1037" width="18.7109375" style="785" customWidth="1"/>
    <col min="1038" max="1038" width="9.28515625" style="785"/>
    <col min="1039" max="1039" width="12.42578125" style="785" bestFit="1" customWidth="1"/>
    <col min="1040" max="1041" width="9.28515625" style="785"/>
    <col min="1042" max="1043" width="12.42578125" style="785" bestFit="1" customWidth="1"/>
    <col min="1044" max="1281" width="9.28515625" style="785"/>
    <col min="1282" max="1282" width="10.5703125" style="785" customWidth="1"/>
    <col min="1283" max="1283" width="14.5703125" style="785" customWidth="1"/>
    <col min="1284" max="1284" width="33.28515625" style="785" customWidth="1"/>
    <col min="1285" max="1285" width="23.28515625" style="785" bestFit="1" customWidth="1"/>
    <col min="1286" max="1286" width="9.28515625" style="785"/>
    <col min="1287" max="1287" width="15.42578125" style="785" customWidth="1"/>
    <col min="1288" max="1288" width="11.28515625" style="785" customWidth="1"/>
    <col min="1289" max="1289" width="11.7109375" style="785" customWidth="1"/>
    <col min="1290" max="1290" width="30.28515625" style="785" customWidth="1"/>
    <col min="1291" max="1291" width="62.28515625" style="785" customWidth="1"/>
    <col min="1292" max="1292" width="12.42578125" style="785" bestFit="1" customWidth="1"/>
    <col min="1293" max="1293" width="18.7109375" style="785" customWidth="1"/>
    <col min="1294" max="1294" width="9.28515625" style="785"/>
    <col min="1295" max="1295" width="12.42578125" style="785" bestFit="1" customWidth="1"/>
    <col min="1296" max="1297" width="9.28515625" style="785"/>
    <col min="1298" max="1299" width="12.42578125" style="785" bestFit="1" customWidth="1"/>
    <col min="1300" max="1537" width="9.28515625" style="785"/>
    <col min="1538" max="1538" width="10.5703125" style="785" customWidth="1"/>
    <col min="1539" max="1539" width="14.5703125" style="785" customWidth="1"/>
    <col min="1540" max="1540" width="33.28515625" style="785" customWidth="1"/>
    <col min="1541" max="1541" width="23.28515625" style="785" bestFit="1" customWidth="1"/>
    <col min="1542" max="1542" width="9.28515625" style="785"/>
    <col min="1543" max="1543" width="15.42578125" style="785" customWidth="1"/>
    <col min="1544" max="1544" width="11.28515625" style="785" customWidth="1"/>
    <col min="1545" max="1545" width="11.7109375" style="785" customWidth="1"/>
    <col min="1546" max="1546" width="30.28515625" style="785" customWidth="1"/>
    <col min="1547" max="1547" width="62.28515625" style="785" customWidth="1"/>
    <col min="1548" max="1548" width="12.42578125" style="785" bestFit="1" customWidth="1"/>
    <col min="1549" max="1549" width="18.7109375" style="785" customWidth="1"/>
    <col min="1550" max="1550" width="9.28515625" style="785"/>
    <col min="1551" max="1551" width="12.42578125" style="785" bestFit="1" customWidth="1"/>
    <col min="1552" max="1553" width="9.28515625" style="785"/>
    <col min="1554" max="1555" width="12.42578125" style="785" bestFit="1" customWidth="1"/>
    <col min="1556" max="1793" width="9.28515625" style="785"/>
    <col min="1794" max="1794" width="10.5703125" style="785" customWidth="1"/>
    <col min="1795" max="1795" width="14.5703125" style="785" customWidth="1"/>
    <col min="1796" max="1796" width="33.28515625" style="785" customWidth="1"/>
    <col min="1797" max="1797" width="23.28515625" style="785" bestFit="1" customWidth="1"/>
    <col min="1798" max="1798" width="9.28515625" style="785"/>
    <col min="1799" max="1799" width="15.42578125" style="785" customWidth="1"/>
    <col min="1800" max="1800" width="11.28515625" style="785" customWidth="1"/>
    <col min="1801" max="1801" width="11.7109375" style="785" customWidth="1"/>
    <col min="1802" max="1802" width="30.28515625" style="785" customWidth="1"/>
    <col min="1803" max="1803" width="62.28515625" style="785" customWidth="1"/>
    <col min="1804" max="1804" width="12.42578125" style="785" bestFit="1" customWidth="1"/>
    <col min="1805" max="1805" width="18.7109375" style="785" customWidth="1"/>
    <col min="1806" max="1806" width="9.28515625" style="785"/>
    <col min="1807" max="1807" width="12.42578125" style="785" bestFit="1" customWidth="1"/>
    <col min="1808" max="1809" width="9.28515625" style="785"/>
    <col min="1810" max="1811" width="12.42578125" style="785" bestFit="1" customWidth="1"/>
    <col min="1812" max="2049" width="9.28515625" style="785"/>
    <col min="2050" max="2050" width="10.5703125" style="785" customWidth="1"/>
    <col min="2051" max="2051" width="14.5703125" style="785" customWidth="1"/>
    <col min="2052" max="2052" width="33.28515625" style="785" customWidth="1"/>
    <col min="2053" max="2053" width="23.28515625" style="785" bestFit="1" customWidth="1"/>
    <col min="2054" max="2054" width="9.28515625" style="785"/>
    <col min="2055" max="2055" width="15.42578125" style="785" customWidth="1"/>
    <col min="2056" max="2056" width="11.28515625" style="785" customWidth="1"/>
    <col min="2057" max="2057" width="11.7109375" style="785" customWidth="1"/>
    <col min="2058" max="2058" width="30.28515625" style="785" customWidth="1"/>
    <col min="2059" max="2059" width="62.28515625" style="785" customWidth="1"/>
    <col min="2060" max="2060" width="12.42578125" style="785" bestFit="1" customWidth="1"/>
    <col min="2061" max="2061" width="18.7109375" style="785" customWidth="1"/>
    <col min="2062" max="2062" width="9.28515625" style="785"/>
    <col min="2063" max="2063" width="12.42578125" style="785" bestFit="1" customWidth="1"/>
    <col min="2064" max="2065" width="9.28515625" style="785"/>
    <col min="2066" max="2067" width="12.42578125" style="785" bestFit="1" customWidth="1"/>
    <col min="2068" max="2305" width="9.28515625" style="785"/>
    <col min="2306" max="2306" width="10.5703125" style="785" customWidth="1"/>
    <col min="2307" max="2307" width="14.5703125" style="785" customWidth="1"/>
    <col min="2308" max="2308" width="33.28515625" style="785" customWidth="1"/>
    <col min="2309" max="2309" width="23.28515625" style="785" bestFit="1" customWidth="1"/>
    <col min="2310" max="2310" width="9.28515625" style="785"/>
    <col min="2311" max="2311" width="15.42578125" style="785" customWidth="1"/>
    <col min="2312" max="2312" width="11.28515625" style="785" customWidth="1"/>
    <col min="2313" max="2313" width="11.7109375" style="785" customWidth="1"/>
    <col min="2314" max="2314" width="30.28515625" style="785" customWidth="1"/>
    <col min="2315" max="2315" width="62.28515625" style="785" customWidth="1"/>
    <col min="2316" max="2316" width="12.42578125" style="785" bestFit="1" customWidth="1"/>
    <col min="2317" max="2317" width="18.7109375" style="785" customWidth="1"/>
    <col min="2318" max="2318" width="9.28515625" style="785"/>
    <col min="2319" max="2319" width="12.42578125" style="785" bestFit="1" customWidth="1"/>
    <col min="2320" max="2321" width="9.28515625" style="785"/>
    <col min="2322" max="2323" width="12.42578125" style="785" bestFit="1" customWidth="1"/>
    <col min="2324" max="2561" width="9.28515625" style="785"/>
    <col min="2562" max="2562" width="10.5703125" style="785" customWidth="1"/>
    <col min="2563" max="2563" width="14.5703125" style="785" customWidth="1"/>
    <col min="2564" max="2564" width="33.28515625" style="785" customWidth="1"/>
    <col min="2565" max="2565" width="23.28515625" style="785" bestFit="1" customWidth="1"/>
    <col min="2566" max="2566" width="9.28515625" style="785"/>
    <col min="2567" max="2567" width="15.42578125" style="785" customWidth="1"/>
    <col min="2568" max="2568" width="11.28515625" style="785" customWidth="1"/>
    <col min="2569" max="2569" width="11.7109375" style="785" customWidth="1"/>
    <col min="2570" max="2570" width="30.28515625" style="785" customWidth="1"/>
    <col min="2571" max="2571" width="62.28515625" style="785" customWidth="1"/>
    <col min="2572" max="2572" width="12.42578125" style="785" bestFit="1" customWidth="1"/>
    <col min="2573" max="2573" width="18.7109375" style="785" customWidth="1"/>
    <col min="2574" max="2574" width="9.28515625" style="785"/>
    <col min="2575" max="2575" width="12.42578125" style="785" bestFit="1" customWidth="1"/>
    <col min="2576" max="2577" width="9.28515625" style="785"/>
    <col min="2578" max="2579" width="12.42578125" style="785" bestFit="1" customWidth="1"/>
    <col min="2580" max="2817" width="9.28515625" style="785"/>
    <col min="2818" max="2818" width="10.5703125" style="785" customWidth="1"/>
    <col min="2819" max="2819" width="14.5703125" style="785" customWidth="1"/>
    <col min="2820" max="2820" width="33.28515625" style="785" customWidth="1"/>
    <col min="2821" max="2821" width="23.28515625" style="785" bestFit="1" customWidth="1"/>
    <col min="2822" max="2822" width="9.28515625" style="785"/>
    <col min="2823" max="2823" width="15.42578125" style="785" customWidth="1"/>
    <col min="2824" max="2824" width="11.28515625" style="785" customWidth="1"/>
    <col min="2825" max="2825" width="11.7109375" style="785" customWidth="1"/>
    <col min="2826" max="2826" width="30.28515625" style="785" customWidth="1"/>
    <col min="2827" max="2827" width="62.28515625" style="785" customWidth="1"/>
    <col min="2828" max="2828" width="12.42578125" style="785" bestFit="1" customWidth="1"/>
    <col min="2829" max="2829" width="18.7109375" style="785" customWidth="1"/>
    <col min="2830" max="2830" width="9.28515625" style="785"/>
    <col min="2831" max="2831" width="12.42578125" style="785" bestFit="1" customWidth="1"/>
    <col min="2832" max="2833" width="9.28515625" style="785"/>
    <col min="2834" max="2835" width="12.42578125" style="785" bestFit="1" customWidth="1"/>
    <col min="2836" max="3073" width="9.28515625" style="785"/>
    <col min="3074" max="3074" width="10.5703125" style="785" customWidth="1"/>
    <col min="3075" max="3075" width="14.5703125" style="785" customWidth="1"/>
    <col min="3076" max="3076" width="33.28515625" style="785" customWidth="1"/>
    <col min="3077" max="3077" width="23.28515625" style="785" bestFit="1" customWidth="1"/>
    <col min="3078" max="3078" width="9.28515625" style="785"/>
    <col min="3079" max="3079" width="15.42578125" style="785" customWidth="1"/>
    <col min="3080" max="3080" width="11.28515625" style="785" customWidth="1"/>
    <col min="3081" max="3081" width="11.7109375" style="785" customWidth="1"/>
    <col min="3082" max="3082" width="30.28515625" style="785" customWidth="1"/>
    <col min="3083" max="3083" width="62.28515625" style="785" customWidth="1"/>
    <col min="3084" max="3084" width="12.42578125" style="785" bestFit="1" customWidth="1"/>
    <col min="3085" max="3085" width="18.7109375" style="785" customWidth="1"/>
    <col min="3086" max="3086" width="9.28515625" style="785"/>
    <col min="3087" max="3087" width="12.42578125" style="785" bestFit="1" customWidth="1"/>
    <col min="3088" max="3089" width="9.28515625" style="785"/>
    <col min="3090" max="3091" width="12.42578125" style="785" bestFit="1" customWidth="1"/>
    <col min="3092" max="3329" width="9.28515625" style="785"/>
    <col min="3330" max="3330" width="10.5703125" style="785" customWidth="1"/>
    <col min="3331" max="3331" width="14.5703125" style="785" customWidth="1"/>
    <col min="3332" max="3332" width="33.28515625" style="785" customWidth="1"/>
    <col min="3333" max="3333" width="23.28515625" style="785" bestFit="1" customWidth="1"/>
    <col min="3334" max="3334" width="9.28515625" style="785"/>
    <col min="3335" max="3335" width="15.42578125" style="785" customWidth="1"/>
    <col min="3336" max="3336" width="11.28515625" style="785" customWidth="1"/>
    <col min="3337" max="3337" width="11.7109375" style="785" customWidth="1"/>
    <col min="3338" max="3338" width="30.28515625" style="785" customWidth="1"/>
    <col min="3339" max="3339" width="62.28515625" style="785" customWidth="1"/>
    <col min="3340" max="3340" width="12.42578125" style="785" bestFit="1" customWidth="1"/>
    <col min="3341" max="3341" width="18.7109375" style="785" customWidth="1"/>
    <col min="3342" max="3342" width="9.28515625" style="785"/>
    <col min="3343" max="3343" width="12.42578125" style="785" bestFit="1" customWidth="1"/>
    <col min="3344" max="3345" width="9.28515625" style="785"/>
    <col min="3346" max="3347" width="12.42578125" style="785" bestFit="1" customWidth="1"/>
    <col min="3348" max="3585" width="9.28515625" style="785"/>
    <col min="3586" max="3586" width="10.5703125" style="785" customWidth="1"/>
    <col min="3587" max="3587" width="14.5703125" style="785" customWidth="1"/>
    <col min="3588" max="3588" width="33.28515625" style="785" customWidth="1"/>
    <col min="3589" max="3589" width="23.28515625" style="785" bestFit="1" customWidth="1"/>
    <col min="3590" max="3590" width="9.28515625" style="785"/>
    <col min="3591" max="3591" width="15.42578125" style="785" customWidth="1"/>
    <col min="3592" max="3592" width="11.28515625" style="785" customWidth="1"/>
    <col min="3593" max="3593" width="11.7109375" style="785" customWidth="1"/>
    <col min="3594" max="3594" width="30.28515625" style="785" customWidth="1"/>
    <col min="3595" max="3595" width="62.28515625" style="785" customWidth="1"/>
    <col min="3596" max="3596" width="12.42578125" style="785" bestFit="1" customWidth="1"/>
    <col min="3597" max="3597" width="18.7109375" style="785" customWidth="1"/>
    <col min="3598" max="3598" width="9.28515625" style="785"/>
    <col min="3599" max="3599" width="12.42578125" style="785" bestFit="1" customWidth="1"/>
    <col min="3600" max="3601" width="9.28515625" style="785"/>
    <col min="3602" max="3603" width="12.42578125" style="785" bestFit="1" customWidth="1"/>
    <col min="3604" max="3841" width="9.28515625" style="785"/>
    <col min="3842" max="3842" width="10.5703125" style="785" customWidth="1"/>
    <col min="3843" max="3843" width="14.5703125" style="785" customWidth="1"/>
    <col min="3844" max="3844" width="33.28515625" style="785" customWidth="1"/>
    <col min="3845" max="3845" width="23.28515625" style="785" bestFit="1" customWidth="1"/>
    <col min="3846" max="3846" width="9.28515625" style="785"/>
    <col min="3847" max="3847" width="15.42578125" style="785" customWidth="1"/>
    <col min="3848" max="3848" width="11.28515625" style="785" customWidth="1"/>
    <col min="3849" max="3849" width="11.7109375" style="785" customWidth="1"/>
    <col min="3850" max="3850" width="30.28515625" style="785" customWidth="1"/>
    <col min="3851" max="3851" width="62.28515625" style="785" customWidth="1"/>
    <col min="3852" max="3852" width="12.42578125" style="785" bestFit="1" customWidth="1"/>
    <col min="3853" max="3853" width="18.7109375" style="785" customWidth="1"/>
    <col min="3854" max="3854" width="9.28515625" style="785"/>
    <col min="3855" max="3855" width="12.42578125" style="785" bestFit="1" customWidth="1"/>
    <col min="3856" max="3857" width="9.28515625" style="785"/>
    <col min="3858" max="3859" width="12.42578125" style="785" bestFit="1" customWidth="1"/>
    <col min="3860" max="4097" width="9.28515625" style="785"/>
    <col min="4098" max="4098" width="10.5703125" style="785" customWidth="1"/>
    <col min="4099" max="4099" width="14.5703125" style="785" customWidth="1"/>
    <col min="4100" max="4100" width="33.28515625" style="785" customWidth="1"/>
    <col min="4101" max="4101" width="23.28515625" style="785" bestFit="1" customWidth="1"/>
    <col min="4102" max="4102" width="9.28515625" style="785"/>
    <col min="4103" max="4103" width="15.42578125" style="785" customWidth="1"/>
    <col min="4104" max="4104" width="11.28515625" style="785" customWidth="1"/>
    <col min="4105" max="4105" width="11.7109375" style="785" customWidth="1"/>
    <col min="4106" max="4106" width="30.28515625" style="785" customWidth="1"/>
    <col min="4107" max="4107" width="62.28515625" style="785" customWidth="1"/>
    <col min="4108" max="4108" width="12.42578125" style="785" bestFit="1" customWidth="1"/>
    <col min="4109" max="4109" width="18.7109375" style="785" customWidth="1"/>
    <col min="4110" max="4110" width="9.28515625" style="785"/>
    <col min="4111" max="4111" width="12.42578125" style="785" bestFit="1" customWidth="1"/>
    <col min="4112" max="4113" width="9.28515625" style="785"/>
    <col min="4114" max="4115" width="12.42578125" style="785" bestFit="1" customWidth="1"/>
    <col min="4116" max="4353" width="9.28515625" style="785"/>
    <col min="4354" max="4354" width="10.5703125" style="785" customWidth="1"/>
    <col min="4355" max="4355" width="14.5703125" style="785" customWidth="1"/>
    <col min="4356" max="4356" width="33.28515625" style="785" customWidth="1"/>
    <col min="4357" max="4357" width="23.28515625" style="785" bestFit="1" customWidth="1"/>
    <col min="4358" max="4358" width="9.28515625" style="785"/>
    <col min="4359" max="4359" width="15.42578125" style="785" customWidth="1"/>
    <col min="4360" max="4360" width="11.28515625" style="785" customWidth="1"/>
    <col min="4361" max="4361" width="11.7109375" style="785" customWidth="1"/>
    <col min="4362" max="4362" width="30.28515625" style="785" customWidth="1"/>
    <col min="4363" max="4363" width="62.28515625" style="785" customWidth="1"/>
    <col min="4364" max="4364" width="12.42578125" style="785" bestFit="1" customWidth="1"/>
    <col min="4365" max="4365" width="18.7109375" style="785" customWidth="1"/>
    <col min="4366" max="4366" width="9.28515625" style="785"/>
    <col min="4367" max="4367" width="12.42578125" style="785" bestFit="1" customWidth="1"/>
    <col min="4368" max="4369" width="9.28515625" style="785"/>
    <col min="4370" max="4371" width="12.42578125" style="785" bestFit="1" customWidth="1"/>
    <col min="4372" max="4609" width="9.28515625" style="785"/>
    <col min="4610" max="4610" width="10.5703125" style="785" customWidth="1"/>
    <col min="4611" max="4611" width="14.5703125" style="785" customWidth="1"/>
    <col min="4612" max="4612" width="33.28515625" style="785" customWidth="1"/>
    <col min="4613" max="4613" width="23.28515625" style="785" bestFit="1" customWidth="1"/>
    <col min="4614" max="4614" width="9.28515625" style="785"/>
    <col min="4615" max="4615" width="15.42578125" style="785" customWidth="1"/>
    <col min="4616" max="4616" width="11.28515625" style="785" customWidth="1"/>
    <col min="4617" max="4617" width="11.7109375" style="785" customWidth="1"/>
    <col min="4618" max="4618" width="30.28515625" style="785" customWidth="1"/>
    <col min="4619" max="4619" width="62.28515625" style="785" customWidth="1"/>
    <col min="4620" max="4620" width="12.42578125" style="785" bestFit="1" customWidth="1"/>
    <col min="4621" max="4621" width="18.7109375" style="785" customWidth="1"/>
    <col min="4622" max="4622" width="9.28515625" style="785"/>
    <col min="4623" max="4623" width="12.42578125" style="785" bestFit="1" customWidth="1"/>
    <col min="4624" max="4625" width="9.28515625" style="785"/>
    <col min="4626" max="4627" width="12.42578125" style="785" bestFit="1" customWidth="1"/>
    <col min="4628" max="4865" width="9.28515625" style="785"/>
    <col min="4866" max="4866" width="10.5703125" style="785" customWidth="1"/>
    <col min="4867" max="4867" width="14.5703125" style="785" customWidth="1"/>
    <col min="4868" max="4868" width="33.28515625" style="785" customWidth="1"/>
    <col min="4869" max="4869" width="23.28515625" style="785" bestFit="1" customWidth="1"/>
    <col min="4870" max="4870" width="9.28515625" style="785"/>
    <col min="4871" max="4871" width="15.42578125" style="785" customWidth="1"/>
    <col min="4872" max="4872" width="11.28515625" style="785" customWidth="1"/>
    <col min="4873" max="4873" width="11.7109375" style="785" customWidth="1"/>
    <col min="4874" max="4874" width="30.28515625" style="785" customWidth="1"/>
    <col min="4875" max="4875" width="62.28515625" style="785" customWidth="1"/>
    <col min="4876" max="4876" width="12.42578125" style="785" bestFit="1" customWidth="1"/>
    <col min="4877" max="4877" width="18.7109375" style="785" customWidth="1"/>
    <col min="4878" max="4878" width="9.28515625" style="785"/>
    <col min="4879" max="4879" width="12.42578125" style="785" bestFit="1" customWidth="1"/>
    <col min="4880" max="4881" width="9.28515625" style="785"/>
    <col min="4882" max="4883" width="12.42578125" style="785" bestFit="1" customWidth="1"/>
    <col min="4884" max="5121" width="9.28515625" style="785"/>
    <col min="5122" max="5122" width="10.5703125" style="785" customWidth="1"/>
    <col min="5123" max="5123" width="14.5703125" style="785" customWidth="1"/>
    <col min="5124" max="5124" width="33.28515625" style="785" customWidth="1"/>
    <col min="5125" max="5125" width="23.28515625" style="785" bestFit="1" customWidth="1"/>
    <col min="5126" max="5126" width="9.28515625" style="785"/>
    <col min="5127" max="5127" width="15.42578125" style="785" customWidth="1"/>
    <col min="5128" max="5128" width="11.28515625" style="785" customWidth="1"/>
    <col min="5129" max="5129" width="11.7109375" style="785" customWidth="1"/>
    <col min="5130" max="5130" width="30.28515625" style="785" customWidth="1"/>
    <col min="5131" max="5131" width="62.28515625" style="785" customWidth="1"/>
    <col min="5132" max="5132" width="12.42578125" style="785" bestFit="1" customWidth="1"/>
    <col min="5133" max="5133" width="18.7109375" style="785" customWidth="1"/>
    <col min="5134" max="5134" width="9.28515625" style="785"/>
    <col min="5135" max="5135" width="12.42578125" style="785" bestFit="1" customWidth="1"/>
    <col min="5136" max="5137" width="9.28515625" style="785"/>
    <col min="5138" max="5139" width="12.42578125" style="785" bestFit="1" customWidth="1"/>
    <col min="5140" max="5377" width="9.28515625" style="785"/>
    <col min="5378" max="5378" width="10.5703125" style="785" customWidth="1"/>
    <col min="5379" max="5379" width="14.5703125" style="785" customWidth="1"/>
    <col min="5380" max="5380" width="33.28515625" style="785" customWidth="1"/>
    <col min="5381" max="5381" width="23.28515625" style="785" bestFit="1" customWidth="1"/>
    <col min="5382" max="5382" width="9.28515625" style="785"/>
    <col min="5383" max="5383" width="15.42578125" style="785" customWidth="1"/>
    <col min="5384" max="5384" width="11.28515625" style="785" customWidth="1"/>
    <col min="5385" max="5385" width="11.7109375" style="785" customWidth="1"/>
    <col min="5386" max="5386" width="30.28515625" style="785" customWidth="1"/>
    <col min="5387" max="5387" width="62.28515625" style="785" customWidth="1"/>
    <col min="5388" max="5388" width="12.42578125" style="785" bestFit="1" customWidth="1"/>
    <col min="5389" max="5389" width="18.7109375" style="785" customWidth="1"/>
    <col min="5390" max="5390" width="9.28515625" style="785"/>
    <col min="5391" max="5391" width="12.42578125" style="785" bestFit="1" customWidth="1"/>
    <col min="5392" max="5393" width="9.28515625" style="785"/>
    <col min="5394" max="5395" width="12.42578125" style="785" bestFit="1" customWidth="1"/>
    <col min="5396" max="5633" width="9.28515625" style="785"/>
    <col min="5634" max="5634" width="10.5703125" style="785" customWidth="1"/>
    <col min="5635" max="5635" width="14.5703125" style="785" customWidth="1"/>
    <col min="5636" max="5636" width="33.28515625" style="785" customWidth="1"/>
    <col min="5637" max="5637" width="23.28515625" style="785" bestFit="1" customWidth="1"/>
    <col min="5638" max="5638" width="9.28515625" style="785"/>
    <col min="5639" max="5639" width="15.42578125" style="785" customWidth="1"/>
    <col min="5640" max="5640" width="11.28515625" style="785" customWidth="1"/>
    <col min="5641" max="5641" width="11.7109375" style="785" customWidth="1"/>
    <col min="5642" max="5642" width="30.28515625" style="785" customWidth="1"/>
    <col min="5643" max="5643" width="62.28515625" style="785" customWidth="1"/>
    <col min="5644" max="5644" width="12.42578125" style="785" bestFit="1" customWidth="1"/>
    <col min="5645" max="5645" width="18.7109375" style="785" customWidth="1"/>
    <col min="5646" max="5646" width="9.28515625" style="785"/>
    <col min="5647" max="5647" width="12.42578125" style="785" bestFit="1" customWidth="1"/>
    <col min="5648" max="5649" width="9.28515625" style="785"/>
    <col min="5650" max="5651" width="12.42578125" style="785" bestFit="1" customWidth="1"/>
    <col min="5652" max="5889" width="9.28515625" style="785"/>
    <col min="5890" max="5890" width="10.5703125" style="785" customWidth="1"/>
    <col min="5891" max="5891" width="14.5703125" style="785" customWidth="1"/>
    <col min="5892" max="5892" width="33.28515625" style="785" customWidth="1"/>
    <col min="5893" max="5893" width="23.28515625" style="785" bestFit="1" customWidth="1"/>
    <col min="5894" max="5894" width="9.28515625" style="785"/>
    <col min="5895" max="5895" width="15.42578125" style="785" customWidth="1"/>
    <col min="5896" max="5896" width="11.28515625" style="785" customWidth="1"/>
    <col min="5897" max="5897" width="11.7109375" style="785" customWidth="1"/>
    <col min="5898" max="5898" width="30.28515625" style="785" customWidth="1"/>
    <col min="5899" max="5899" width="62.28515625" style="785" customWidth="1"/>
    <col min="5900" max="5900" width="12.42578125" style="785" bestFit="1" customWidth="1"/>
    <col min="5901" max="5901" width="18.7109375" style="785" customWidth="1"/>
    <col min="5902" max="5902" width="9.28515625" style="785"/>
    <col min="5903" max="5903" width="12.42578125" style="785" bestFit="1" customWidth="1"/>
    <col min="5904" max="5905" width="9.28515625" style="785"/>
    <col min="5906" max="5907" width="12.42578125" style="785" bestFit="1" customWidth="1"/>
    <col min="5908" max="6145" width="9.28515625" style="785"/>
    <col min="6146" max="6146" width="10.5703125" style="785" customWidth="1"/>
    <col min="6147" max="6147" width="14.5703125" style="785" customWidth="1"/>
    <col min="6148" max="6148" width="33.28515625" style="785" customWidth="1"/>
    <col min="6149" max="6149" width="23.28515625" style="785" bestFit="1" customWidth="1"/>
    <col min="6150" max="6150" width="9.28515625" style="785"/>
    <col min="6151" max="6151" width="15.42578125" style="785" customWidth="1"/>
    <col min="6152" max="6152" width="11.28515625" style="785" customWidth="1"/>
    <col min="6153" max="6153" width="11.7109375" style="785" customWidth="1"/>
    <col min="6154" max="6154" width="30.28515625" style="785" customWidth="1"/>
    <col min="6155" max="6155" width="62.28515625" style="785" customWidth="1"/>
    <col min="6156" max="6156" width="12.42578125" style="785" bestFit="1" customWidth="1"/>
    <col min="6157" max="6157" width="18.7109375" style="785" customWidth="1"/>
    <col min="6158" max="6158" width="9.28515625" style="785"/>
    <col min="6159" max="6159" width="12.42578125" style="785" bestFit="1" customWidth="1"/>
    <col min="6160" max="6161" width="9.28515625" style="785"/>
    <col min="6162" max="6163" width="12.42578125" style="785" bestFit="1" customWidth="1"/>
    <col min="6164" max="6401" width="9.28515625" style="785"/>
    <col min="6402" max="6402" width="10.5703125" style="785" customWidth="1"/>
    <col min="6403" max="6403" width="14.5703125" style="785" customWidth="1"/>
    <col min="6404" max="6404" width="33.28515625" style="785" customWidth="1"/>
    <col min="6405" max="6405" width="23.28515625" style="785" bestFit="1" customWidth="1"/>
    <col min="6406" max="6406" width="9.28515625" style="785"/>
    <col min="6407" max="6407" width="15.42578125" style="785" customWidth="1"/>
    <col min="6408" max="6408" width="11.28515625" style="785" customWidth="1"/>
    <col min="6409" max="6409" width="11.7109375" style="785" customWidth="1"/>
    <col min="6410" max="6410" width="30.28515625" style="785" customWidth="1"/>
    <col min="6411" max="6411" width="62.28515625" style="785" customWidth="1"/>
    <col min="6412" max="6412" width="12.42578125" style="785" bestFit="1" customWidth="1"/>
    <col min="6413" max="6413" width="18.7109375" style="785" customWidth="1"/>
    <col min="6414" max="6414" width="9.28515625" style="785"/>
    <col min="6415" max="6415" width="12.42578125" style="785" bestFit="1" customWidth="1"/>
    <col min="6416" max="6417" width="9.28515625" style="785"/>
    <col min="6418" max="6419" width="12.42578125" style="785" bestFit="1" customWidth="1"/>
    <col min="6420" max="6657" width="9.28515625" style="785"/>
    <col min="6658" max="6658" width="10.5703125" style="785" customWidth="1"/>
    <col min="6659" max="6659" width="14.5703125" style="785" customWidth="1"/>
    <col min="6660" max="6660" width="33.28515625" style="785" customWidth="1"/>
    <col min="6661" max="6661" width="23.28515625" style="785" bestFit="1" customWidth="1"/>
    <col min="6662" max="6662" width="9.28515625" style="785"/>
    <col min="6663" max="6663" width="15.42578125" style="785" customWidth="1"/>
    <col min="6664" max="6664" width="11.28515625" style="785" customWidth="1"/>
    <col min="6665" max="6665" width="11.7109375" style="785" customWidth="1"/>
    <col min="6666" max="6666" width="30.28515625" style="785" customWidth="1"/>
    <col min="6667" max="6667" width="62.28515625" style="785" customWidth="1"/>
    <col min="6668" max="6668" width="12.42578125" style="785" bestFit="1" customWidth="1"/>
    <col min="6669" max="6669" width="18.7109375" style="785" customWidth="1"/>
    <col min="6670" max="6670" width="9.28515625" style="785"/>
    <col min="6671" max="6671" width="12.42578125" style="785" bestFit="1" customWidth="1"/>
    <col min="6672" max="6673" width="9.28515625" style="785"/>
    <col min="6674" max="6675" width="12.42578125" style="785" bestFit="1" customWidth="1"/>
    <col min="6676" max="6913" width="9.28515625" style="785"/>
    <col min="6914" max="6914" width="10.5703125" style="785" customWidth="1"/>
    <col min="6915" max="6915" width="14.5703125" style="785" customWidth="1"/>
    <col min="6916" max="6916" width="33.28515625" style="785" customWidth="1"/>
    <col min="6917" max="6917" width="23.28515625" style="785" bestFit="1" customWidth="1"/>
    <col min="6918" max="6918" width="9.28515625" style="785"/>
    <col min="6919" max="6919" width="15.42578125" style="785" customWidth="1"/>
    <col min="6920" max="6920" width="11.28515625" style="785" customWidth="1"/>
    <col min="6921" max="6921" width="11.7109375" style="785" customWidth="1"/>
    <col min="6922" max="6922" width="30.28515625" style="785" customWidth="1"/>
    <col min="6923" max="6923" width="62.28515625" style="785" customWidth="1"/>
    <col min="6924" max="6924" width="12.42578125" style="785" bestFit="1" customWidth="1"/>
    <col min="6925" max="6925" width="18.7109375" style="785" customWidth="1"/>
    <col min="6926" max="6926" width="9.28515625" style="785"/>
    <col min="6927" max="6927" width="12.42578125" style="785" bestFit="1" customWidth="1"/>
    <col min="6928" max="6929" width="9.28515625" style="785"/>
    <col min="6930" max="6931" width="12.42578125" style="785" bestFit="1" customWidth="1"/>
    <col min="6932" max="7169" width="9.28515625" style="785"/>
    <col min="7170" max="7170" width="10.5703125" style="785" customWidth="1"/>
    <col min="7171" max="7171" width="14.5703125" style="785" customWidth="1"/>
    <col min="7172" max="7172" width="33.28515625" style="785" customWidth="1"/>
    <col min="7173" max="7173" width="23.28515625" style="785" bestFit="1" customWidth="1"/>
    <col min="7174" max="7174" width="9.28515625" style="785"/>
    <col min="7175" max="7175" width="15.42578125" style="785" customWidth="1"/>
    <col min="7176" max="7176" width="11.28515625" style="785" customWidth="1"/>
    <col min="7177" max="7177" width="11.7109375" style="785" customWidth="1"/>
    <col min="7178" max="7178" width="30.28515625" style="785" customWidth="1"/>
    <col min="7179" max="7179" width="62.28515625" style="785" customWidth="1"/>
    <col min="7180" max="7180" width="12.42578125" style="785" bestFit="1" customWidth="1"/>
    <col min="7181" max="7181" width="18.7109375" style="785" customWidth="1"/>
    <col min="7182" max="7182" width="9.28515625" style="785"/>
    <col min="7183" max="7183" width="12.42578125" style="785" bestFit="1" customWidth="1"/>
    <col min="7184" max="7185" width="9.28515625" style="785"/>
    <col min="7186" max="7187" width="12.42578125" style="785" bestFit="1" customWidth="1"/>
    <col min="7188" max="7425" width="9.28515625" style="785"/>
    <col min="7426" max="7426" width="10.5703125" style="785" customWidth="1"/>
    <col min="7427" max="7427" width="14.5703125" style="785" customWidth="1"/>
    <col min="7428" max="7428" width="33.28515625" style="785" customWidth="1"/>
    <col min="7429" max="7429" width="23.28515625" style="785" bestFit="1" customWidth="1"/>
    <col min="7430" max="7430" width="9.28515625" style="785"/>
    <col min="7431" max="7431" width="15.42578125" style="785" customWidth="1"/>
    <col min="7432" max="7432" width="11.28515625" style="785" customWidth="1"/>
    <col min="7433" max="7433" width="11.7109375" style="785" customWidth="1"/>
    <col min="7434" max="7434" width="30.28515625" style="785" customWidth="1"/>
    <col min="7435" max="7435" width="62.28515625" style="785" customWidth="1"/>
    <col min="7436" max="7436" width="12.42578125" style="785" bestFit="1" customWidth="1"/>
    <col min="7437" max="7437" width="18.7109375" style="785" customWidth="1"/>
    <col min="7438" max="7438" width="9.28515625" style="785"/>
    <col min="7439" max="7439" width="12.42578125" style="785" bestFit="1" customWidth="1"/>
    <col min="7440" max="7441" width="9.28515625" style="785"/>
    <col min="7442" max="7443" width="12.42578125" style="785" bestFit="1" customWidth="1"/>
    <col min="7444" max="7681" width="9.28515625" style="785"/>
    <col min="7682" max="7682" width="10.5703125" style="785" customWidth="1"/>
    <col min="7683" max="7683" width="14.5703125" style="785" customWidth="1"/>
    <col min="7684" max="7684" width="33.28515625" style="785" customWidth="1"/>
    <col min="7685" max="7685" width="23.28515625" style="785" bestFit="1" customWidth="1"/>
    <col min="7686" max="7686" width="9.28515625" style="785"/>
    <col min="7687" max="7687" width="15.42578125" style="785" customWidth="1"/>
    <col min="7688" max="7688" width="11.28515625" style="785" customWidth="1"/>
    <col min="7689" max="7689" width="11.7109375" style="785" customWidth="1"/>
    <col min="7690" max="7690" width="30.28515625" style="785" customWidth="1"/>
    <col min="7691" max="7691" width="62.28515625" style="785" customWidth="1"/>
    <col min="7692" max="7692" width="12.42578125" style="785" bestFit="1" customWidth="1"/>
    <col min="7693" max="7693" width="18.7109375" style="785" customWidth="1"/>
    <col min="7694" max="7694" width="9.28515625" style="785"/>
    <col min="7695" max="7695" width="12.42578125" style="785" bestFit="1" customWidth="1"/>
    <col min="7696" max="7697" width="9.28515625" style="785"/>
    <col min="7698" max="7699" width="12.42578125" style="785" bestFit="1" customWidth="1"/>
    <col min="7700" max="7937" width="9.28515625" style="785"/>
    <col min="7938" max="7938" width="10.5703125" style="785" customWidth="1"/>
    <col min="7939" max="7939" width="14.5703125" style="785" customWidth="1"/>
    <col min="7940" max="7940" width="33.28515625" style="785" customWidth="1"/>
    <col min="7941" max="7941" width="23.28515625" style="785" bestFit="1" customWidth="1"/>
    <col min="7942" max="7942" width="9.28515625" style="785"/>
    <col min="7943" max="7943" width="15.42578125" style="785" customWidth="1"/>
    <col min="7944" max="7944" width="11.28515625" style="785" customWidth="1"/>
    <col min="7945" max="7945" width="11.7109375" style="785" customWidth="1"/>
    <col min="7946" max="7946" width="30.28515625" style="785" customWidth="1"/>
    <col min="7947" max="7947" width="62.28515625" style="785" customWidth="1"/>
    <col min="7948" max="7948" width="12.42578125" style="785" bestFit="1" customWidth="1"/>
    <col min="7949" max="7949" width="18.7109375" style="785" customWidth="1"/>
    <col min="7950" max="7950" width="9.28515625" style="785"/>
    <col min="7951" max="7951" width="12.42578125" style="785" bestFit="1" customWidth="1"/>
    <col min="7952" max="7953" width="9.28515625" style="785"/>
    <col min="7954" max="7955" width="12.42578125" style="785" bestFit="1" customWidth="1"/>
    <col min="7956" max="8193" width="9.28515625" style="785"/>
    <col min="8194" max="8194" width="10.5703125" style="785" customWidth="1"/>
    <col min="8195" max="8195" width="14.5703125" style="785" customWidth="1"/>
    <col min="8196" max="8196" width="33.28515625" style="785" customWidth="1"/>
    <col min="8197" max="8197" width="23.28515625" style="785" bestFit="1" customWidth="1"/>
    <col min="8198" max="8198" width="9.28515625" style="785"/>
    <col min="8199" max="8199" width="15.42578125" style="785" customWidth="1"/>
    <col min="8200" max="8200" width="11.28515625" style="785" customWidth="1"/>
    <col min="8201" max="8201" width="11.7109375" style="785" customWidth="1"/>
    <col min="8202" max="8202" width="30.28515625" style="785" customWidth="1"/>
    <col min="8203" max="8203" width="62.28515625" style="785" customWidth="1"/>
    <col min="8204" max="8204" width="12.42578125" style="785" bestFit="1" customWidth="1"/>
    <col min="8205" max="8205" width="18.7109375" style="785" customWidth="1"/>
    <col min="8206" max="8206" width="9.28515625" style="785"/>
    <col min="8207" max="8207" width="12.42578125" style="785" bestFit="1" customWidth="1"/>
    <col min="8208" max="8209" width="9.28515625" style="785"/>
    <col min="8210" max="8211" width="12.42578125" style="785" bestFit="1" customWidth="1"/>
    <col min="8212" max="8449" width="9.28515625" style="785"/>
    <col min="8450" max="8450" width="10.5703125" style="785" customWidth="1"/>
    <col min="8451" max="8451" width="14.5703125" style="785" customWidth="1"/>
    <col min="8452" max="8452" width="33.28515625" style="785" customWidth="1"/>
    <col min="8453" max="8453" width="23.28515625" style="785" bestFit="1" customWidth="1"/>
    <col min="8454" max="8454" width="9.28515625" style="785"/>
    <col min="8455" max="8455" width="15.42578125" style="785" customWidth="1"/>
    <col min="8456" max="8456" width="11.28515625" style="785" customWidth="1"/>
    <col min="8457" max="8457" width="11.7109375" style="785" customWidth="1"/>
    <col min="8458" max="8458" width="30.28515625" style="785" customWidth="1"/>
    <col min="8459" max="8459" width="62.28515625" style="785" customWidth="1"/>
    <col min="8460" max="8460" width="12.42578125" style="785" bestFit="1" customWidth="1"/>
    <col min="8461" max="8461" width="18.7109375" style="785" customWidth="1"/>
    <col min="8462" max="8462" width="9.28515625" style="785"/>
    <col min="8463" max="8463" width="12.42578125" style="785" bestFit="1" customWidth="1"/>
    <col min="8464" max="8465" width="9.28515625" style="785"/>
    <col min="8466" max="8467" width="12.42578125" style="785" bestFit="1" customWidth="1"/>
    <col min="8468" max="8705" width="9.28515625" style="785"/>
    <col min="8706" max="8706" width="10.5703125" style="785" customWidth="1"/>
    <col min="8707" max="8707" width="14.5703125" style="785" customWidth="1"/>
    <col min="8708" max="8708" width="33.28515625" style="785" customWidth="1"/>
    <col min="8709" max="8709" width="23.28515625" style="785" bestFit="1" customWidth="1"/>
    <col min="8710" max="8710" width="9.28515625" style="785"/>
    <col min="8711" max="8711" width="15.42578125" style="785" customWidth="1"/>
    <col min="8712" max="8712" width="11.28515625" style="785" customWidth="1"/>
    <col min="8713" max="8713" width="11.7109375" style="785" customWidth="1"/>
    <col min="8714" max="8714" width="30.28515625" style="785" customWidth="1"/>
    <col min="8715" max="8715" width="62.28515625" style="785" customWidth="1"/>
    <col min="8716" max="8716" width="12.42578125" style="785" bestFit="1" customWidth="1"/>
    <col min="8717" max="8717" width="18.7109375" style="785" customWidth="1"/>
    <col min="8718" max="8718" width="9.28515625" style="785"/>
    <col min="8719" max="8719" width="12.42578125" style="785" bestFit="1" customWidth="1"/>
    <col min="8720" max="8721" width="9.28515625" style="785"/>
    <col min="8722" max="8723" width="12.42578125" style="785" bestFit="1" customWidth="1"/>
    <col min="8724" max="8961" width="9.28515625" style="785"/>
    <col min="8962" max="8962" width="10.5703125" style="785" customWidth="1"/>
    <col min="8963" max="8963" width="14.5703125" style="785" customWidth="1"/>
    <col min="8964" max="8964" width="33.28515625" style="785" customWidth="1"/>
    <col min="8965" max="8965" width="23.28515625" style="785" bestFit="1" customWidth="1"/>
    <col min="8966" max="8966" width="9.28515625" style="785"/>
    <col min="8967" max="8967" width="15.42578125" style="785" customWidth="1"/>
    <col min="8968" max="8968" width="11.28515625" style="785" customWidth="1"/>
    <col min="8969" max="8969" width="11.7109375" style="785" customWidth="1"/>
    <col min="8970" max="8970" width="30.28515625" style="785" customWidth="1"/>
    <col min="8971" max="8971" width="62.28515625" style="785" customWidth="1"/>
    <col min="8972" max="8972" width="12.42578125" style="785" bestFit="1" customWidth="1"/>
    <col min="8973" max="8973" width="18.7109375" style="785" customWidth="1"/>
    <col min="8974" max="8974" width="9.28515625" style="785"/>
    <col min="8975" max="8975" width="12.42578125" style="785" bestFit="1" customWidth="1"/>
    <col min="8976" max="8977" width="9.28515625" style="785"/>
    <col min="8978" max="8979" width="12.42578125" style="785" bestFit="1" customWidth="1"/>
    <col min="8980" max="9217" width="9.28515625" style="785"/>
    <col min="9218" max="9218" width="10.5703125" style="785" customWidth="1"/>
    <col min="9219" max="9219" width="14.5703125" style="785" customWidth="1"/>
    <col min="9220" max="9220" width="33.28515625" style="785" customWidth="1"/>
    <col min="9221" max="9221" width="23.28515625" style="785" bestFit="1" customWidth="1"/>
    <col min="9222" max="9222" width="9.28515625" style="785"/>
    <col min="9223" max="9223" width="15.42578125" style="785" customWidth="1"/>
    <col min="9224" max="9224" width="11.28515625" style="785" customWidth="1"/>
    <col min="9225" max="9225" width="11.7109375" style="785" customWidth="1"/>
    <col min="9226" max="9226" width="30.28515625" style="785" customWidth="1"/>
    <col min="9227" max="9227" width="62.28515625" style="785" customWidth="1"/>
    <col min="9228" max="9228" width="12.42578125" style="785" bestFit="1" customWidth="1"/>
    <col min="9229" max="9229" width="18.7109375" style="785" customWidth="1"/>
    <col min="9230" max="9230" width="9.28515625" style="785"/>
    <col min="9231" max="9231" width="12.42578125" style="785" bestFit="1" customWidth="1"/>
    <col min="9232" max="9233" width="9.28515625" style="785"/>
    <col min="9234" max="9235" width="12.42578125" style="785" bestFit="1" customWidth="1"/>
    <col min="9236" max="9473" width="9.28515625" style="785"/>
    <col min="9474" max="9474" width="10.5703125" style="785" customWidth="1"/>
    <col min="9475" max="9475" width="14.5703125" style="785" customWidth="1"/>
    <col min="9476" max="9476" width="33.28515625" style="785" customWidth="1"/>
    <col min="9477" max="9477" width="23.28515625" style="785" bestFit="1" customWidth="1"/>
    <col min="9478" max="9478" width="9.28515625" style="785"/>
    <col min="9479" max="9479" width="15.42578125" style="785" customWidth="1"/>
    <col min="9480" max="9480" width="11.28515625" style="785" customWidth="1"/>
    <col min="9481" max="9481" width="11.7109375" style="785" customWidth="1"/>
    <col min="9482" max="9482" width="30.28515625" style="785" customWidth="1"/>
    <col min="9483" max="9483" width="62.28515625" style="785" customWidth="1"/>
    <col min="9484" max="9484" width="12.42578125" style="785" bestFit="1" customWidth="1"/>
    <col min="9485" max="9485" width="18.7109375" style="785" customWidth="1"/>
    <col min="9486" max="9486" width="9.28515625" style="785"/>
    <col min="9487" max="9487" width="12.42578125" style="785" bestFit="1" customWidth="1"/>
    <col min="9488" max="9489" width="9.28515625" style="785"/>
    <col min="9490" max="9491" width="12.42578125" style="785" bestFit="1" customWidth="1"/>
    <col min="9492" max="9729" width="9.28515625" style="785"/>
    <col min="9730" max="9730" width="10.5703125" style="785" customWidth="1"/>
    <col min="9731" max="9731" width="14.5703125" style="785" customWidth="1"/>
    <col min="9732" max="9732" width="33.28515625" style="785" customWidth="1"/>
    <col min="9733" max="9733" width="23.28515625" style="785" bestFit="1" customWidth="1"/>
    <col min="9734" max="9734" width="9.28515625" style="785"/>
    <col min="9735" max="9735" width="15.42578125" style="785" customWidth="1"/>
    <col min="9736" max="9736" width="11.28515625" style="785" customWidth="1"/>
    <col min="9737" max="9737" width="11.7109375" style="785" customWidth="1"/>
    <col min="9738" max="9738" width="30.28515625" style="785" customWidth="1"/>
    <col min="9739" max="9739" width="62.28515625" style="785" customWidth="1"/>
    <col min="9740" max="9740" width="12.42578125" style="785" bestFit="1" customWidth="1"/>
    <col min="9741" max="9741" width="18.7109375" style="785" customWidth="1"/>
    <col min="9742" max="9742" width="9.28515625" style="785"/>
    <col min="9743" max="9743" width="12.42578125" style="785" bestFit="1" customWidth="1"/>
    <col min="9744" max="9745" width="9.28515625" style="785"/>
    <col min="9746" max="9747" width="12.42578125" style="785" bestFit="1" customWidth="1"/>
    <col min="9748" max="9985" width="9.28515625" style="785"/>
    <col min="9986" max="9986" width="10.5703125" style="785" customWidth="1"/>
    <col min="9987" max="9987" width="14.5703125" style="785" customWidth="1"/>
    <col min="9988" max="9988" width="33.28515625" style="785" customWidth="1"/>
    <col min="9989" max="9989" width="23.28515625" style="785" bestFit="1" customWidth="1"/>
    <col min="9990" max="9990" width="9.28515625" style="785"/>
    <col min="9991" max="9991" width="15.42578125" style="785" customWidth="1"/>
    <col min="9992" max="9992" width="11.28515625" style="785" customWidth="1"/>
    <col min="9993" max="9993" width="11.7109375" style="785" customWidth="1"/>
    <col min="9994" max="9994" width="30.28515625" style="785" customWidth="1"/>
    <col min="9995" max="9995" width="62.28515625" style="785" customWidth="1"/>
    <col min="9996" max="9996" width="12.42578125" style="785" bestFit="1" customWidth="1"/>
    <col min="9997" max="9997" width="18.7109375" style="785" customWidth="1"/>
    <col min="9998" max="9998" width="9.28515625" style="785"/>
    <col min="9999" max="9999" width="12.42578125" style="785" bestFit="1" customWidth="1"/>
    <col min="10000" max="10001" width="9.28515625" style="785"/>
    <col min="10002" max="10003" width="12.42578125" style="785" bestFit="1" customWidth="1"/>
    <col min="10004" max="10241" width="9.28515625" style="785"/>
    <col min="10242" max="10242" width="10.5703125" style="785" customWidth="1"/>
    <col min="10243" max="10243" width="14.5703125" style="785" customWidth="1"/>
    <col min="10244" max="10244" width="33.28515625" style="785" customWidth="1"/>
    <col min="10245" max="10245" width="23.28515625" style="785" bestFit="1" customWidth="1"/>
    <col min="10246" max="10246" width="9.28515625" style="785"/>
    <col min="10247" max="10247" width="15.42578125" style="785" customWidth="1"/>
    <col min="10248" max="10248" width="11.28515625" style="785" customWidth="1"/>
    <col min="10249" max="10249" width="11.7109375" style="785" customWidth="1"/>
    <col min="10250" max="10250" width="30.28515625" style="785" customWidth="1"/>
    <col min="10251" max="10251" width="62.28515625" style="785" customWidth="1"/>
    <col min="10252" max="10252" width="12.42578125" style="785" bestFit="1" customWidth="1"/>
    <col min="10253" max="10253" width="18.7109375" style="785" customWidth="1"/>
    <col min="10254" max="10254" width="9.28515625" style="785"/>
    <col min="10255" max="10255" width="12.42578125" style="785" bestFit="1" customWidth="1"/>
    <col min="10256" max="10257" width="9.28515625" style="785"/>
    <col min="10258" max="10259" width="12.42578125" style="785" bestFit="1" customWidth="1"/>
    <col min="10260" max="10497" width="9.28515625" style="785"/>
    <col min="10498" max="10498" width="10.5703125" style="785" customWidth="1"/>
    <col min="10499" max="10499" width="14.5703125" style="785" customWidth="1"/>
    <col min="10500" max="10500" width="33.28515625" style="785" customWidth="1"/>
    <col min="10501" max="10501" width="23.28515625" style="785" bestFit="1" customWidth="1"/>
    <col min="10502" max="10502" width="9.28515625" style="785"/>
    <col min="10503" max="10503" width="15.42578125" style="785" customWidth="1"/>
    <col min="10504" max="10504" width="11.28515625" style="785" customWidth="1"/>
    <col min="10505" max="10505" width="11.7109375" style="785" customWidth="1"/>
    <col min="10506" max="10506" width="30.28515625" style="785" customWidth="1"/>
    <col min="10507" max="10507" width="62.28515625" style="785" customWidth="1"/>
    <col min="10508" max="10508" width="12.42578125" style="785" bestFit="1" customWidth="1"/>
    <col min="10509" max="10509" width="18.7109375" style="785" customWidth="1"/>
    <col min="10510" max="10510" width="9.28515625" style="785"/>
    <col min="10511" max="10511" width="12.42578125" style="785" bestFit="1" customWidth="1"/>
    <col min="10512" max="10513" width="9.28515625" style="785"/>
    <col min="10514" max="10515" width="12.42578125" style="785" bestFit="1" customWidth="1"/>
    <col min="10516" max="10753" width="9.28515625" style="785"/>
    <col min="10754" max="10754" width="10.5703125" style="785" customWidth="1"/>
    <col min="10755" max="10755" width="14.5703125" style="785" customWidth="1"/>
    <col min="10756" max="10756" width="33.28515625" style="785" customWidth="1"/>
    <col min="10757" max="10757" width="23.28515625" style="785" bestFit="1" customWidth="1"/>
    <col min="10758" max="10758" width="9.28515625" style="785"/>
    <col min="10759" max="10759" width="15.42578125" style="785" customWidth="1"/>
    <col min="10760" max="10760" width="11.28515625" style="785" customWidth="1"/>
    <col min="10761" max="10761" width="11.7109375" style="785" customWidth="1"/>
    <col min="10762" max="10762" width="30.28515625" style="785" customWidth="1"/>
    <col min="10763" max="10763" width="62.28515625" style="785" customWidth="1"/>
    <col min="10764" max="10764" width="12.42578125" style="785" bestFit="1" customWidth="1"/>
    <col min="10765" max="10765" width="18.7109375" style="785" customWidth="1"/>
    <col min="10766" max="10766" width="9.28515625" style="785"/>
    <col min="10767" max="10767" width="12.42578125" style="785" bestFit="1" customWidth="1"/>
    <col min="10768" max="10769" width="9.28515625" style="785"/>
    <col min="10770" max="10771" width="12.42578125" style="785" bestFit="1" customWidth="1"/>
    <col min="10772" max="11009" width="9.28515625" style="785"/>
    <col min="11010" max="11010" width="10.5703125" style="785" customWidth="1"/>
    <col min="11011" max="11011" width="14.5703125" style="785" customWidth="1"/>
    <col min="11012" max="11012" width="33.28515625" style="785" customWidth="1"/>
    <col min="11013" max="11013" width="23.28515625" style="785" bestFit="1" customWidth="1"/>
    <col min="11014" max="11014" width="9.28515625" style="785"/>
    <col min="11015" max="11015" width="15.42578125" style="785" customWidth="1"/>
    <col min="11016" max="11016" width="11.28515625" style="785" customWidth="1"/>
    <col min="11017" max="11017" width="11.7109375" style="785" customWidth="1"/>
    <col min="11018" max="11018" width="30.28515625" style="785" customWidth="1"/>
    <col min="11019" max="11019" width="62.28515625" style="785" customWidth="1"/>
    <col min="11020" max="11020" width="12.42578125" style="785" bestFit="1" customWidth="1"/>
    <col min="11021" max="11021" width="18.7109375" style="785" customWidth="1"/>
    <col min="11022" max="11022" width="9.28515625" style="785"/>
    <col min="11023" max="11023" width="12.42578125" style="785" bestFit="1" customWidth="1"/>
    <col min="11024" max="11025" width="9.28515625" style="785"/>
    <col min="11026" max="11027" width="12.42578125" style="785" bestFit="1" customWidth="1"/>
    <col min="11028" max="11265" width="9.28515625" style="785"/>
    <col min="11266" max="11266" width="10.5703125" style="785" customWidth="1"/>
    <col min="11267" max="11267" width="14.5703125" style="785" customWidth="1"/>
    <col min="11268" max="11268" width="33.28515625" style="785" customWidth="1"/>
    <col min="11269" max="11269" width="23.28515625" style="785" bestFit="1" customWidth="1"/>
    <col min="11270" max="11270" width="9.28515625" style="785"/>
    <col min="11271" max="11271" width="15.42578125" style="785" customWidth="1"/>
    <col min="11272" max="11272" width="11.28515625" style="785" customWidth="1"/>
    <col min="11273" max="11273" width="11.7109375" style="785" customWidth="1"/>
    <col min="11274" max="11274" width="30.28515625" style="785" customWidth="1"/>
    <col min="11275" max="11275" width="62.28515625" style="785" customWidth="1"/>
    <col min="11276" max="11276" width="12.42578125" style="785" bestFit="1" customWidth="1"/>
    <col min="11277" max="11277" width="18.7109375" style="785" customWidth="1"/>
    <col min="11278" max="11278" width="9.28515625" style="785"/>
    <col min="11279" max="11279" width="12.42578125" style="785" bestFit="1" customWidth="1"/>
    <col min="11280" max="11281" width="9.28515625" style="785"/>
    <col min="11282" max="11283" width="12.42578125" style="785" bestFit="1" customWidth="1"/>
    <col min="11284" max="11521" width="9.28515625" style="785"/>
    <col min="11522" max="11522" width="10.5703125" style="785" customWidth="1"/>
    <col min="11523" max="11523" width="14.5703125" style="785" customWidth="1"/>
    <col min="11524" max="11524" width="33.28515625" style="785" customWidth="1"/>
    <col min="11525" max="11525" width="23.28515625" style="785" bestFit="1" customWidth="1"/>
    <col min="11526" max="11526" width="9.28515625" style="785"/>
    <col min="11527" max="11527" width="15.42578125" style="785" customWidth="1"/>
    <col min="11528" max="11528" width="11.28515625" style="785" customWidth="1"/>
    <col min="11529" max="11529" width="11.7109375" style="785" customWidth="1"/>
    <col min="11530" max="11530" width="30.28515625" style="785" customWidth="1"/>
    <col min="11531" max="11531" width="62.28515625" style="785" customWidth="1"/>
    <col min="11532" max="11532" width="12.42578125" style="785" bestFit="1" customWidth="1"/>
    <col min="11533" max="11533" width="18.7109375" style="785" customWidth="1"/>
    <col min="11534" max="11534" width="9.28515625" style="785"/>
    <col min="11535" max="11535" width="12.42578125" style="785" bestFit="1" customWidth="1"/>
    <col min="11536" max="11537" width="9.28515625" style="785"/>
    <col min="11538" max="11539" width="12.42578125" style="785" bestFit="1" customWidth="1"/>
    <col min="11540" max="11777" width="9.28515625" style="785"/>
    <col min="11778" max="11778" width="10.5703125" style="785" customWidth="1"/>
    <col min="11779" max="11779" width="14.5703125" style="785" customWidth="1"/>
    <col min="11780" max="11780" width="33.28515625" style="785" customWidth="1"/>
    <col min="11781" max="11781" width="23.28515625" style="785" bestFit="1" customWidth="1"/>
    <col min="11782" max="11782" width="9.28515625" style="785"/>
    <col min="11783" max="11783" width="15.42578125" style="785" customWidth="1"/>
    <col min="11784" max="11784" width="11.28515625" style="785" customWidth="1"/>
    <col min="11785" max="11785" width="11.7109375" style="785" customWidth="1"/>
    <col min="11786" max="11786" width="30.28515625" style="785" customWidth="1"/>
    <col min="11787" max="11787" width="62.28515625" style="785" customWidth="1"/>
    <col min="11788" max="11788" width="12.42578125" style="785" bestFit="1" customWidth="1"/>
    <col min="11789" max="11789" width="18.7109375" style="785" customWidth="1"/>
    <col min="11790" max="11790" width="9.28515625" style="785"/>
    <col min="11791" max="11791" width="12.42578125" style="785" bestFit="1" customWidth="1"/>
    <col min="11792" max="11793" width="9.28515625" style="785"/>
    <col min="11794" max="11795" width="12.42578125" style="785" bestFit="1" customWidth="1"/>
    <col min="11796" max="12033" width="9.28515625" style="785"/>
    <col min="12034" max="12034" width="10.5703125" style="785" customWidth="1"/>
    <col min="12035" max="12035" width="14.5703125" style="785" customWidth="1"/>
    <col min="12036" max="12036" width="33.28515625" style="785" customWidth="1"/>
    <col min="12037" max="12037" width="23.28515625" style="785" bestFit="1" customWidth="1"/>
    <col min="12038" max="12038" width="9.28515625" style="785"/>
    <col min="12039" max="12039" width="15.42578125" style="785" customWidth="1"/>
    <col min="12040" max="12040" width="11.28515625" style="785" customWidth="1"/>
    <col min="12041" max="12041" width="11.7109375" style="785" customWidth="1"/>
    <col min="12042" max="12042" width="30.28515625" style="785" customWidth="1"/>
    <col min="12043" max="12043" width="62.28515625" style="785" customWidth="1"/>
    <col min="12044" max="12044" width="12.42578125" style="785" bestFit="1" customWidth="1"/>
    <col min="12045" max="12045" width="18.7109375" style="785" customWidth="1"/>
    <col min="12046" max="12046" width="9.28515625" style="785"/>
    <col min="12047" max="12047" width="12.42578125" style="785" bestFit="1" customWidth="1"/>
    <col min="12048" max="12049" width="9.28515625" style="785"/>
    <col min="12050" max="12051" width="12.42578125" style="785" bestFit="1" customWidth="1"/>
    <col min="12052" max="12289" width="9.28515625" style="785"/>
    <col min="12290" max="12290" width="10.5703125" style="785" customWidth="1"/>
    <col min="12291" max="12291" width="14.5703125" style="785" customWidth="1"/>
    <col min="12292" max="12292" width="33.28515625" style="785" customWidth="1"/>
    <col min="12293" max="12293" width="23.28515625" style="785" bestFit="1" customWidth="1"/>
    <col min="12294" max="12294" width="9.28515625" style="785"/>
    <col min="12295" max="12295" width="15.42578125" style="785" customWidth="1"/>
    <col min="12296" max="12296" width="11.28515625" style="785" customWidth="1"/>
    <col min="12297" max="12297" width="11.7109375" style="785" customWidth="1"/>
    <col min="12298" max="12298" width="30.28515625" style="785" customWidth="1"/>
    <col min="12299" max="12299" width="62.28515625" style="785" customWidth="1"/>
    <col min="12300" max="12300" width="12.42578125" style="785" bestFit="1" customWidth="1"/>
    <col min="12301" max="12301" width="18.7109375" style="785" customWidth="1"/>
    <col min="12302" max="12302" width="9.28515625" style="785"/>
    <col min="12303" max="12303" width="12.42578125" style="785" bestFit="1" customWidth="1"/>
    <col min="12304" max="12305" width="9.28515625" style="785"/>
    <col min="12306" max="12307" width="12.42578125" style="785" bestFit="1" customWidth="1"/>
    <col min="12308" max="12545" width="9.28515625" style="785"/>
    <col min="12546" max="12546" width="10.5703125" style="785" customWidth="1"/>
    <col min="12547" max="12547" width="14.5703125" style="785" customWidth="1"/>
    <col min="12548" max="12548" width="33.28515625" style="785" customWidth="1"/>
    <col min="12549" max="12549" width="23.28515625" style="785" bestFit="1" customWidth="1"/>
    <col min="12550" max="12550" width="9.28515625" style="785"/>
    <col min="12551" max="12551" width="15.42578125" style="785" customWidth="1"/>
    <col min="12552" max="12552" width="11.28515625" style="785" customWidth="1"/>
    <col min="12553" max="12553" width="11.7109375" style="785" customWidth="1"/>
    <col min="12554" max="12554" width="30.28515625" style="785" customWidth="1"/>
    <col min="12555" max="12555" width="62.28515625" style="785" customWidth="1"/>
    <col min="12556" max="12556" width="12.42578125" style="785" bestFit="1" customWidth="1"/>
    <col min="12557" max="12557" width="18.7109375" style="785" customWidth="1"/>
    <col min="12558" max="12558" width="9.28515625" style="785"/>
    <col min="12559" max="12559" width="12.42578125" style="785" bestFit="1" customWidth="1"/>
    <col min="12560" max="12561" width="9.28515625" style="785"/>
    <col min="12562" max="12563" width="12.42578125" style="785" bestFit="1" customWidth="1"/>
    <col min="12564" max="12801" width="9.28515625" style="785"/>
    <col min="12802" max="12802" width="10.5703125" style="785" customWidth="1"/>
    <col min="12803" max="12803" width="14.5703125" style="785" customWidth="1"/>
    <col min="12804" max="12804" width="33.28515625" style="785" customWidth="1"/>
    <col min="12805" max="12805" width="23.28515625" style="785" bestFit="1" customWidth="1"/>
    <col min="12806" max="12806" width="9.28515625" style="785"/>
    <col min="12807" max="12807" width="15.42578125" style="785" customWidth="1"/>
    <col min="12808" max="12808" width="11.28515625" style="785" customWidth="1"/>
    <col min="12809" max="12809" width="11.7109375" style="785" customWidth="1"/>
    <col min="12810" max="12810" width="30.28515625" style="785" customWidth="1"/>
    <col min="12811" max="12811" width="62.28515625" style="785" customWidth="1"/>
    <col min="12812" max="12812" width="12.42578125" style="785" bestFit="1" customWidth="1"/>
    <col min="12813" max="12813" width="18.7109375" style="785" customWidth="1"/>
    <col min="12814" max="12814" width="9.28515625" style="785"/>
    <col min="12815" max="12815" width="12.42578125" style="785" bestFit="1" customWidth="1"/>
    <col min="12816" max="12817" width="9.28515625" style="785"/>
    <col min="12818" max="12819" width="12.42578125" style="785" bestFit="1" customWidth="1"/>
    <col min="12820" max="13057" width="9.28515625" style="785"/>
    <col min="13058" max="13058" width="10.5703125" style="785" customWidth="1"/>
    <col min="13059" max="13059" width="14.5703125" style="785" customWidth="1"/>
    <col min="13060" max="13060" width="33.28515625" style="785" customWidth="1"/>
    <col min="13061" max="13061" width="23.28515625" style="785" bestFit="1" customWidth="1"/>
    <col min="13062" max="13062" width="9.28515625" style="785"/>
    <col min="13063" max="13063" width="15.42578125" style="785" customWidth="1"/>
    <col min="13064" max="13064" width="11.28515625" style="785" customWidth="1"/>
    <col min="13065" max="13065" width="11.7109375" style="785" customWidth="1"/>
    <col min="13066" max="13066" width="30.28515625" style="785" customWidth="1"/>
    <col min="13067" max="13067" width="62.28515625" style="785" customWidth="1"/>
    <col min="13068" max="13068" width="12.42578125" style="785" bestFit="1" customWidth="1"/>
    <col min="13069" max="13069" width="18.7109375" style="785" customWidth="1"/>
    <col min="13070" max="13070" width="9.28515625" style="785"/>
    <col min="13071" max="13071" width="12.42578125" style="785" bestFit="1" customWidth="1"/>
    <col min="13072" max="13073" width="9.28515625" style="785"/>
    <col min="13074" max="13075" width="12.42578125" style="785" bestFit="1" customWidth="1"/>
    <col min="13076" max="13313" width="9.28515625" style="785"/>
    <col min="13314" max="13314" width="10.5703125" style="785" customWidth="1"/>
    <col min="13315" max="13315" width="14.5703125" style="785" customWidth="1"/>
    <col min="13316" max="13316" width="33.28515625" style="785" customWidth="1"/>
    <col min="13317" max="13317" width="23.28515625" style="785" bestFit="1" customWidth="1"/>
    <col min="13318" max="13318" width="9.28515625" style="785"/>
    <col min="13319" max="13319" width="15.42578125" style="785" customWidth="1"/>
    <col min="13320" max="13320" width="11.28515625" style="785" customWidth="1"/>
    <col min="13321" max="13321" width="11.7109375" style="785" customWidth="1"/>
    <col min="13322" max="13322" width="30.28515625" style="785" customWidth="1"/>
    <col min="13323" max="13323" width="62.28515625" style="785" customWidth="1"/>
    <col min="13324" max="13324" width="12.42578125" style="785" bestFit="1" customWidth="1"/>
    <col min="13325" max="13325" width="18.7109375" style="785" customWidth="1"/>
    <col min="13326" max="13326" width="9.28515625" style="785"/>
    <col min="13327" max="13327" width="12.42578125" style="785" bestFit="1" customWidth="1"/>
    <col min="13328" max="13329" width="9.28515625" style="785"/>
    <col min="13330" max="13331" width="12.42578125" style="785" bestFit="1" customWidth="1"/>
    <col min="13332" max="13569" width="9.28515625" style="785"/>
    <col min="13570" max="13570" width="10.5703125" style="785" customWidth="1"/>
    <col min="13571" max="13571" width="14.5703125" style="785" customWidth="1"/>
    <col min="13572" max="13572" width="33.28515625" style="785" customWidth="1"/>
    <col min="13573" max="13573" width="23.28515625" style="785" bestFit="1" customWidth="1"/>
    <col min="13574" max="13574" width="9.28515625" style="785"/>
    <col min="13575" max="13575" width="15.42578125" style="785" customWidth="1"/>
    <col min="13576" max="13576" width="11.28515625" style="785" customWidth="1"/>
    <col min="13577" max="13577" width="11.7109375" style="785" customWidth="1"/>
    <col min="13578" max="13578" width="30.28515625" style="785" customWidth="1"/>
    <col min="13579" max="13579" width="62.28515625" style="785" customWidth="1"/>
    <col min="13580" max="13580" width="12.42578125" style="785" bestFit="1" customWidth="1"/>
    <col min="13581" max="13581" width="18.7109375" style="785" customWidth="1"/>
    <col min="13582" max="13582" width="9.28515625" style="785"/>
    <col min="13583" max="13583" width="12.42578125" style="785" bestFit="1" customWidth="1"/>
    <col min="13584" max="13585" width="9.28515625" style="785"/>
    <col min="13586" max="13587" width="12.42578125" style="785" bestFit="1" customWidth="1"/>
    <col min="13588" max="13825" width="9.28515625" style="785"/>
    <col min="13826" max="13826" width="10.5703125" style="785" customWidth="1"/>
    <col min="13827" max="13827" width="14.5703125" style="785" customWidth="1"/>
    <col min="13828" max="13828" width="33.28515625" style="785" customWidth="1"/>
    <col min="13829" max="13829" width="23.28515625" style="785" bestFit="1" customWidth="1"/>
    <col min="13830" max="13830" width="9.28515625" style="785"/>
    <col min="13831" max="13831" width="15.42578125" style="785" customWidth="1"/>
    <col min="13832" max="13832" width="11.28515625" style="785" customWidth="1"/>
    <col min="13833" max="13833" width="11.7109375" style="785" customWidth="1"/>
    <col min="13834" max="13834" width="30.28515625" style="785" customWidth="1"/>
    <col min="13835" max="13835" width="62.28515625" style="785" customWidth="1"/>
    <col min="13836" max="13836" width="12.42578125" style="785" bestFit="1" customWidth="1"/>
    <col min="13837" max="13837" width="18.7109375" style="785" customWidth="1"/>
    <col min="13838" max="13838" width="9.28515625" style="785"/>
    <col min="13839" max="13839" width="12.42578125" style="785" bestFit="1" customWidth="1"/>
    <col min="13840" max="13841" width="9.28515625" style="785"/>
    <col min="13842" max="13843" width="12.42578125" style="785" bestFit="1" customWidth="1"/>
    <col min="13844" max="14081" width="9.28515625" style="785"/>
    <col min="14082" max="14082" width="10.5703125" style="785" customWidth="1"/>
    <col min="14083" max="14083" width="14.5703125" style="785" customWidth="1"/>
    <col min="14084" max="14084" width="33.28515625" style="785" customWidth="1"/>
    <col min="14085" max="14085" width="23.28515625" style="785" bestFit="1" customWidth="1"/>
    <col min="14086" max="14086" width="9.28515625" style="785"/>
    <col min="14087" max="14087" width="15.42578125" style="785" customWidth="1"/>
    <col min="14088" max="14088" width="11.28515625" style="785" customWidth="1"/>
    <col min="14089" max="14089" width="11.7109375" style="785" customWidth="1"/>
    <col min="14090" max="14090" width="30.28515625" style="785" customWidth="1"/>
    <col min="14091" max="14091" width="62.28515625" style="785" customWidth="1"/>
    <col min="14092" max="14092" width="12.42578125" style="785" bestFit="1" customWidth="1"/>
    <col min="14093" max="14093" width="18.7109375" style="785" customWidth="1"/>
    <col min="14094" max="14094" width="9.28515625" style="785"/>
    <col min="14095" max="14095" width="12.42578125" style="785" bestFit="1" customWidth="1"/>
    <col min="14096" max="14097" width="9.28515625" style="785"/>
    <col min="14098" max="14099" width="12.42578125" style="785" bestFit="1" customWidth="1"/>
    <col min="14100" max="14337" width="9.28515625" style="785"/>
    <col min="14338" max="14338" width="10.5703125" style="785" customWidth="1"/>
    <col min="14339" max="14339" width="14.5703125" style="785" customWidth="1"/>
    <col min="14340" max="14340" width="33.28515625" style="785" customWidth="1"/>
    <col min="14341" max="14341" width="23.28515625" style="785" bestFit="1" customWidth="1"/>
    <col min="14342" max="14342" width="9.28515625" style="785"/>
    <col min="14343" max="14343" width="15.42578125" style="785" customWidth="1"/>
    <col min="14344" max="14344" width="11.28515625" style="785" customWidth="1"/>
    <col min="14345" max="14345" width="11.7109375" style="785" customWidth="1"/>
    <col min="14346" max="14346" width="30.28515625" style="785" customWidth="1"/>
    <col min="14347" max="14347" width="62.28515625" style="785" customWidth="1"/>
    <col min="14348" max="14348" width="12.42578125" style="785" bestFit="1" customWidth="1"/>
    <col min="14349" max="14349" width="18.7109375" style="785" customWidth="1"/>
    <col min="14350" max="14350" width="9.28515625" style="785"/>
    <col min="14351" max="14351" width="12.42578125" style="785" bestFit="1" customWidth="1"/>
    <col min="14352" max="14353" width="9.28515625" style="785"/>
    <col min="14354" max="14355" width="12.42578125" style="785" bestFit="1" customWidth="1"/>
    <col min="14356" max="14593" width="9.28515625" style="785"/>
    <col min="14594" max="14594" width="10.5703125" style="785" customWidth="1"/>
    <col min="14595" max="14595" width="14.5703125" style="785" customWidth="1"/>
    <col min="14596" max="14596" width="33.28515625" style="785" customWidth="1"/>
    <col min="14597" max="14597" width="23.28515625" style="785" bestFit="1" customWidth="1"/>
    <col min="14598" max="14598" width="9.28515625" style="785"/>
    <col min="14599" max="14599" width="15.42578125" style="785" customWidth="1"/>
    <col min="14600" max="14600" width="11.28515625" style="785" customWidth="1"/>
    <col min="14601" max="14601" width="11.7109375" style="785" customWidth="1"/>
    <col min="14602" max="14602" width="30.28515625" style="785" customWidth="1"/>
    <col min="14603" max="14603" width="62.28515625" style="785" customWidth="1"/>
    <col min="14604" max="14604" width="12.42578125" style="785" bestFit="1" customWidth="1"/>
    <col min="14605" max="14605" width="18.7109375" style="785" customWidth="1"/>
    <col min="14606" max="14606" width="9.28515625" style="785"/>
    <col min="14607" max="14607" width="12.42578125" style="785" bestFit="1" customWidth="1"/>
    <col min="14608" max="14609" width="9.28515625" style="785"/>
    <col min="14610" max="14611" width="12.42578125" style="785" bestFit="1" customWidth="1"/>
    <col min="14612" max="14849" width="9.28515625" style="785"/>
    <col min="14850" max="14850" width="10.5703125" style="785" customWidth="1"/>
    <col min="14851" max="14851" width="14.5703125" style="785" customWidth="1"/>
    <col min="14852" max="14852" width="33.28515625" style="785" customWidth="1"/>
    <col min="14853" max="14853" width="23.28515625" style="785" bestFit="1" customWidth="1"/>
    <col min="14854" max="14854" width="9.28515625" style="785"/>
    <col min="14855" max="14855" width="15.42578125" style="785" customWidth="1"/>
    <col min="14856" max="14856" width="11.28515625" style="785" customWidth="1"/>
    <col min="14857" max="14857" width="11.7109375" style="785" customWidth="1"/>
    <col min="14858" max="14858" width="30.28515625" style="785" customWidth="1"/>
    <col min="14859" max="14859" width="62.28515625" style="785" customWidth="1"/>
    <col min="14860" max="14860" width="12.42578125" style="785" bestFit="1" customWidth="1"/>
    <col min="14861" max="14861" width="18.7109375" style="785" customWidth="1"/>
    <col min="14862" max="14862" width="9.28515625" style="785"/>
    <col min="14863" max="14863" width="12.42578125" style="785" bestFit="1" customWidth="1"/>
    <col min="14864" max="14865" width="9.28515625" style="785"/>
    <col min="14866" max="14867" width="12.42578125" style="785" bestFit="1" customWidth="1"/>
    <col min="14868" max="15105" width="9.28515625" style="785"/>
    <col min="15106" max="15106" width="10.5703125" style="785" customWidth="1"/>
    <col min="15107" max="15107" width="14.5703125" style="785" customWidth="1"/>
    <col min="15108" max="15108" width="33.28515625" style="785" customWidth="1"/>
    <col min="15109" max="15109" width="23.28515625" style="785" bestFit="1" customWidth="1"/>
    <col min="15110" max="15110" width="9.28515625" style="785"/>
    <col min="15111" max="15111" width="15.42578125" style="785" customWidth="1"/>
    <col min="15112" max="15112" width="11.28515625" style="785" customWidth="1"/>
    <col min="15113" max="15113" width="11.7109375" style="785" customWidth="1"/>
    <col min="15114" max="15114" width="30.28515625" style="785" customWidth="1"/>
    <col min="15115" max="15115" width="62.28515625" style="785" customWidth="1"/>
    <col min="15116" max="15116" width="12.42578125" style="785" bestFit="1" customWidth="1"/>
    <col min="15117" max="15117" width="18.7109375" style="785" customWidth="1"/>
    <col min="15118" max="15118" width="9.28515625" style="785"/>
    <col min="15119" max="15119" width="12.42578125" style="785" bestFit="1" customWidth="1"/>
    <col min="15120" max="15121" width="9.28515625" style="785"/>
    <col min="15122" max="15123" width="12.42578125" style="785" bestFit="1" customWidth="1"/>
    <col min="15124" max="15361" width="9.28515625" style="785"/>
    <col min="15362" max="15362" width="10.5703125" style="785" customWidth="1"/>
    <col min="15363" max="15363" width="14.5703125" style="785" customWidth="1"/>
    <col min="15364" max="15364" width="33.28515625" style="785" customWidth="1"/>
    <col min="15365" max="15365" width="23.28515625" style="785" bestFit="1" customWidth="1"/>
    <col min="15366" max="15366" width="9.28515625" style="785"/>
    <col min="15367" max="15367" width="15.42578125" style="785" customWidth="1"/>
    <col min="15368" max="15368" width="11.28515625" style="785" customWidth="1"/>
    <col min="15369" max="15369" width="11.7109375" style="785" customWidth="1"/>
    <col min="15370" max="15370" width="30.28515625" style="785" customWidth="1"/>
    <col min="15371" max="15371" width="62.28515625" style="785" customWidth="1"/>
    <col min="15372" max="15372" width="12.42578125" style="785" bestFit="1" customWidth="1"/>
    <col min="15373" max="15373" width="18.7109375" style="785" customWidth="1"/>
    <col min="15374" max="15374" width="9.28515625" style="785"/>
    <col min="15375" max="15375" width="12.42578125" style="785" bestFit="1" customWidth="1"/>
    <col min="15376" max="15377" width="9.28515625" style="785"/>
    <col min="15378" max="15379" width="12.42578125" style="785" bestFit="1" customWidth="1"/>
    <col min="15380" max="15617" width="9.28515625" style="785"/>
    <col min="15618" max="15618" width="10.5703125" style="785" customWidth="1"/>
    <col min="15619" max="15619" width="14.5703125" style="785" customWidth="1"/>
    <col min="15620" max="15620" width="33.28515625" style="785" customWidth="1"/>
    <col min="15621" max="15621" width="23.28515625" style="785" bestFit="1" customWidth="1"/>
    <col min="15622" max="15622" width="9.28515625" style="785"/>
    <col min="15623" max="15623" width="15.42578125" style="785" customWidth="1"/>
    <col min="15624" max="15624" width="11.28515625" style="785" customWidth="1"/>
    <col min="15625" max="15625" width="11.7109375" style="785" customWidth="1"/>
    <col min="15626" max="15626" width="30.28515625" style="785" customWidth="1"/>
    <col min="15627" max="15627" width="62.28515625" style="785" customWidth="1"/>
    <col min="15628" max="15628" width="12.42578125" style="785" bestFit="1" customWidth="1"/>
    <col min="15629" max="15629" width="18.7109375" style="785" customWidth="1"/>
    <col min="15630" max="15630" width="9.28515625" style="785"/>
    <col min="15631" max="15631" width="12.42578125" style="785" bestFit="1" customWidth="1"/>
    <col min="15632" max="15633" width="9.28515625" style="785"/>
    <col min="15634" max="15635" width="12.42578125" style="785" bestFit="1" customWidth="1"/>
    <col min="15636" max="15873" width="9.28515625" style="785"/>
    <col min="15874" max="15874" width="10.5703125" style="785" customWidth="1"/>
    <col min="15875" max="15875" width="14.5703125" style="785" customWidth="1"/>
    <col min="15876" max="15876" width="33.28515625" style="785" customWidth="1"/>
    <col min="15877" max="15877" width="23.28515625" style="785" bestFit="1" customWidth="1"/>
    <col min="15878" max="15878" width="9.28515625" style="785"/>
    <col min="15879" max="15879" width="15.42578125" style="785" customWidth="1"/>
    <col min="15880" max="15880" width="11.28515625" style="785" customWidth="1"/>
    <col min="15881" max="15881" width="11.7109375" style="785" customWidth="1"/>
    <col min="15882" max="15882" width="30.28515625" style="785" customWidth="1"/>
    <col min="15883" max="15883" width="62.28515625" style="785" customWidth="1"/>
    <col min="15884" max="15884" width="12.42578125" style="785" bestFit="1" customWidth="1"/>
    <col min="15885" max="15885" width="18.7109375" style="785" customWidth="1"/>
    <col min="15886" max="15886" width="9.28515625" style="785"/>
    <col min="15887" max="15887" width="12.42578125" style="785" bestFit="1" customWidth="1"/>
    <col min="15888" max="15889" width="9.28515625" style="785"/>
    <col min="15890" max="15891" width="12.42578125" style="785" bestFit="1" customWidth="1"/>
    <col min="15892" max="16129" width="9.28515625" style="785"/>
    <col min="16130" max="16130" width="10.5703125" style="785" customWidth="1"/>
    <col min="16131" max="16131" width="14.5703125" style="785" customWidth="1"/>
    <col min="16132" max="16132" width="33.28515625" style="785" customWidth="1"/>
    <col min="16133" max="16133" width="23.28515625" style="785" bestFit="1" customWidth="1"/>
    <col min="16134" max="16134" width="9.28515625" style="785"/>
    <col min="16135" max="16135" width="15.42578125" style="785" customWidth="1"/>
    <col min="16136" max="16136" width="11.28515625" style="785" customWidth="1"/>
    <col min="16137" max="16137" width="11.7109375" style="785" customWidth="1"/>
    <col min="16138" max="16138" width="30.28515625" style="785" customWidth="1"/>
    <col min="16139" max="16139" width="62.28515625" style="785" customWidth="1"/>
    <col min="16140" max="16140" width="12.42578125" style="785" bestFit="1" customWidth="1"/>
    <col min="16141" max="16141" width="18.7109375" style="785" customWidth="1"/>
    <col min="16142" max="16142" width="9.28515625" style="785"/>
    <col min="16143" max="16143" width="12.42578125" style="785" bestFit="1" customWidth="1"/>
    <col min="16144" max="16145" width="9.28515625" style="785"/>
    <col min="16146" max="16147" width="12.42578125" style="785" bestFit="1" customWidth="1"/>
    <col min="16148" max="16384" width="9.28515625" style="785"/>
  </cols>
  <sheetData>
    <row r="1" spans="1:14" ht="51" customHeight="1">
      <c r="A1" s="1258" t="s">
        <v>10465</v>
      </c>
      <c r="B1" s="1259"/>
      <c r="C1" s="1259"/>
      <c r="D1" s="1259"/>
      <c r="E1" s="1260"/>
    </row>
    <row r="2" spans="1:14" ht="25.5">
      <c r="A2" s="961" t="s">
        <v>283</v>
      </c>
      <c r="B2" s="960" t="s">
        <v>10464</v>
      </c>
      <c r="C2" s="960" t="s">
        <v>10463</v>
      </c>
      <c r="D2" s="960" t="s">
        <v>10462</v>
      </c>
      <c r="E2" s="959" t="s">
        <v>10461</v>
      </c>
    </row>
    <row r="3" spans="1:14">
      <c r="A3" s="958" t="s">
        <v>357</v>
      </c>
      <c r="B3" s="958">
        <v>11</v>
      </c>
      <c r="C3" s="958" t="s">
        <v>10460</v>
      </c>
      <c r="D3" s="957" t="s">
        <v>10459</v>
      </c>
      <c r="E3" s="956">
        <v>22945</v>
      </c>
      <c r="F3" s="955"/>
      <c r="L3" s="954"/>
      <c r="M3" s="952"/>
    </row>
    <row r="4" spans="1:14">
      <c r="A4" s="958" t="s">
        <v>357</v>
      </c>
      <c r="B4" s="958">
        <v>11</v>
      </c>
      <c r="C4" s="958" t="s">
        <v>10458</v>
      </c>
      <c r="D4" s="957" t="s">
        <v>10457</v>
      </c>
      <c r="E4" s="956">
        <v>107863</v>
      </c>
      <c r="F4" s="955"/>
      <c r="L4" s="954"/>
      <c r="M4" s="952"/>
      <c r="N4" s="952"/>
    </row>
    <row r="5" spans="1:14">
      <c r="A5" s="958" t="s">
        <v>357</v>
      </c>
      <c r="B5" s="958">
        <v>11</v>
      </c>
      <c r="C5" s="958" t="s">
        <v>10456</v>
      </c>
      <c r="D5" s="957" t="s">
        <v>10455</v>
      </c>
      <c r="E5" s="956">
        <v>5312</v>
      </c>
      <c r="F5" s="955"/>
      <c r="L5" s="954"/>
      <c r="M5" s="952"/>
      <c r="N5" s="952"/>
    </row>
    <row r="6" spans="1:14">
      <c r="A6" s="958" t="s">
        <v>357</v>
      </c>
      <c r="B6" s="958">
        <v>11</v>
      </c>
      <c r="C6" s="958" t="s">
        <v>10454</v>
      </c>
      <c r="D6" s="957" t="s">
        <v>10453</v>
      </c>
      <c r="E6" s="956">
        <v>85359</v>
      </c>
      <c r="F6" s="955"/>
      <c r="L6" s="954"/>
      <c r="M6" s="952"/>
      <c r="N6" s="952"/>
    </row>
    <row r="7" spans="1:14">
      <c r="A7" s="958" t="s">
        <v>357</v>
      </c>
      <c r="B7" s="958">
        <v>11</v>
      </c>
      <c r="C7" s="958" t="s">
        <v>10452</v>
      </c>
      <c r="D7" s="957" t="s">
        <v>10451</v>
      </c>
      <c r="E7" s="956">
        <v>16323</v>
      </c>
      <c r="F7" s="955"/>
      <c r="L7" s="954"/>
      <c r="M7" s="952"/>
      <c r="N7" s="952"/>
    </row>
    <row r="8" spans="1:14">
      <c r="A8" s="958" t="s">
        <v>357</v>
      </c>
      <c r="B8" s="958">
        <v>11</v>
      </c>
      <c r="C8" s="958" t="s">
        <v>10450</v>
      </c>
      <c r="D8" s="957" t="s">
        <v>10449</v>
      </c>
      <c r="E8" s="956">
        <v>15882</v>
      </c>
      <c r="F8" s="955"/>
      <c r="L8" s="954"/>
      <c r="M8" s="952"/>
      <c r="N8" s="952"/>
    </row>
    <row r="9" spans="1:14">
      <c r="A9" s="958" t="s">
        <v>357</v>
      </c>
      <c r="B9" s="958">
        <v>11</v>
      </c>
      <c r="C9" s="958" t="s">
        <v>10448</v>
      </c>
      <c r="D9" s="957" t="s">
        <v>10447</v>
      </c>
      <c r="E9" s="956">
        <v>7391</v>
      </c>
      <c r="F9" s="955"/>
      <c r="L9" s="954"/>
      <c r="M9" s="952"/>
      <c r="N9" s="952"/>
    </row>
    <row r="10" spans="1:14">
      <c r="A10" s="958" t="s">
        <v>357</v>
      </c>
      <c r="B10" s="958">
        <v>11</v>
      </c>
      <c r="C10" s="958" t="s">
        <v>10446</v>
      </c>
      <c r="D10" s="957" t="s">
        <v>10445</v>
      </c>
      <c r="E10" s="956">
        <v>18331</v>
      </c>
      <c r="F10" s="955"/>
      <c r="L10" s="954"/>
      <c r="M10" s="952"/>
      <c r="N10" s="952"/>
    </row>
    <row r="11" spans="1:14">
      <c r="A11" s="958" t="s">
        <v>357</v>
      </c>
      <c r="B11" s="958">
        <v>11</v>
      </c>
      <c r="C11" s="958" t="s">
        <v>10444</v>
      </c>
      <c r="D11" s="957" t="s">
        <v>10443</v>
      </c>
      <c r="E11" s="956">
        <v>32374</v>
      </c>
      <c r="F11" s="955"/>
      <c r="L11" s="954"/>
      <c r="M11" s="952"/>
      <c r="N11" s="952"/>
    </row>
    <row r="12" spans="1:14">
      <c r="A12" s="958" t="s">
        <v>357</v>
      </c>
      <c r="B12" s="958">
        <v>11</v>
      </c>
      <c r="C12" s="958" t="s">
        <v>8867</v>
      </c>
      <c r="D12" s="957" t="s">
        <v>10442</v>
      </c>
      <c r="E12" s="956">
        <v>46174</v>
      </c>
      <c r="F12" s="955"/>
      <c r="L12" s="954"/>
      <c r="M12" s="952"/>
      <c r="N12" s="952"/>
    </row>
    <row r="13" spans="1:14">
      <c r="A13" s="958" t="s">
        <v>357</v>
      </c>
      <c r="B13" s="958">
        <v>11</v>
      </c>
      <c r="C13" s="958" t="s">
        <v>10441</v>
      </c>
      <c r="D13" s="957" t="s">
        <v>10440</v>
      </c>
      <c r="E13" s="956">
        <v>51775</v>
      </c>
      <c r="F13" s="955"/>
      <c r="L13" s="954"/>
      <c r="M13" s="952"/>
      <c r="N13" s="952"/>
    </row>
    <row r="14" spans="1:14">
      <c r="A14" s="958" t="s">
        <v>357</v>
      </c>
      <c r="B14" s="958">
        <v>11</v>
      </c>
      <c r="C14" s="958" t="s">
        <v>10439</v>
      </c>
      <c r="D14" s="957" t="s">
        <v>10438</v>
      </c>
      <c r="E14" s="956">
        <v>128969</v>
      </c>
      <c r="F14" s="955"/>
      <c r="L14" s="954"/>
      <c r="M14" s="952"/>
      <c r="N14" s="952"/>
    </row>
    <row r="15" spans="1:14">
      <c r="A15" s="958" t="s">
        <v>357</v>
      </c>
      <c r="B15" s="958">
        <v>11</v>
      </c>
      <c r="C15" s="958" t="s">
        <v>10437</v>
      </c>
      <c r="D15" s="957" t="s">
        <v>10436</v>
      </c>
      <c r="E15" s="956">
        <v>39991</v>
      </c>
      <c r="F15" s="955"/>
      <c r="L15" s="954"/>
      <c r="M15" s="952"/>
      <c r="N15" s="952"/>
    </row>
    <row r="16" spans="1:14">
      <c r="A16" s="958" t="s">
        <v>357</v>
      </c>
      <c r="B16" s="958">
        <v>11</v>
      </c>
      <c r="C16" s="958" t="s">
        <v>10435</v>
      </c>
      <c r="D16" s="957" t="s">
        <v>10434</v>
      </c>
      <c r="E16" s="956">
        <v>20474</v>
      </c>
      <c r="F16" s="955"/>
      <c r="L16" s="954"/>
      <c r="M16" s="952"/>
      <c r="N16" s="952"/>
    </row>
    <row r="17" spans="1:14">
      <c r="A17" s="958" t="s">
        <v>357</v>
      </c>
      <c r="B17" s="958">
        <v>11</v>
      </c>
      <c r="C17" s="958" t="s">
        <v>10433</v>
      </c>
      <c r="D17" s="957" t="s">
        <v>10432</v>
      </c>
      <c r="E17" s="956">
        <v>36035</v>
      </c>
      <c r="F17" s="955"/>
      <c r="L17" s="954"/>
      <c r="M17" s="952"/>
      <c r="N17" s="952"/>
    </row>
    <row r="18" spans="1:14">
      <c r="A18" s="958" t="s">
        <v>357</v>
      </c>
      <c r="B18" s="958">
        <v>11</v>
      </c>
      <c r="C18" s="958" t="s">
        <v>10431</v>
      </c>
      <c r="D18" s="957" t="s">
        <v>10430</v>
      </c>
      <c r="E18" s="956">
        <v>36660</v>
      </c>
      <c r="F18" s="955"/>
      <c r="L18" s="954"/>
      <c r="M18" s="952"/>
      <c r="N18" s="952"/>
    </row>
    <row r="19" spans="1:14">
      <c r="A19" s="958" t="s">
        <v>357</v>
      </c>
      <c r="B19" s="958">
        <v>11</v>
      </c>
      <c r="C19" s="958" t="s">
        <v>8866</v>
      </c>
      <c r="D19" s="957" t="s">
        <v>10429</v>
      </c>
      <c r="E19" s="956" t="s">
        <v>10428</v>
      </c>
      <c r="F19" s="955"/>
      <c r="L19" s="954"/>
      <c r="M19" s="952"/>
      <c r="N19" s="952"/>
    </row>
    <row r="20" spans="1:14">
      <c r="A20" s="958" t="s">
        <v>357</v>
      </c>
      <c r="B20" s="958">
        <v>11</v>
      </c>
      <c r="C20" s="958" t="s">
        <v>10427</v>
      </c>
      <c r="D20" s="957" t="s">
        <v>9604</v>
      </c>
      <c r="E20" s="956">
        <v>18986</v>
      </c>
      <c r="F20" s="955"/>
      <c r="L20" s="954"/>
      <c r="M20" s="952"/>
      <c r="N20" s="952"/>
    </row>
    <row r="21" spans="1:14">
      <c r="A21" s="958" t="s">
        <v>357</v>
      </c>
      <c r="B21" s="958">
        <v>11</v>
      </c>
      <c r="C21" s="958" t="s">
        <v>10426</v>
      </c>
      <c r="D21" s="957" t="s">
        <v>10425</v>
      </c>
      <c r="E21" s="956">
        <v>3764</v>
      </c>
      <c r="F21" s="955"/>
      <c r="L21" s="954"/>
      <c r="M21" s="952"/>
      <c r="N21" s="952"/>
    </row>
    <row r="22" spans="1:14">
      <c r="A22" s="958" t="s">
        <v>357</v>
      </c>
      <c r="B22" s="958">
        <v>11</v>
      </c>
      <c r="C22" s="958" t="s">
        <v>10424</v>
      </c>
      <c r="D22" s="957" t="s">
        <v>10423</v>
      </c>
      <c r="E22" s="956">
        <v>55058</v>
      </c>
      <c r="F22" s="955"/>
      <c r="L22" s="954"/>
      <c r="M22" s="952"/>
      <c r="N22" s="952"/>
    </row>
    <row r="23" spans="1:14">
      <c r="A23" s="958" t="s">
        <v>357</v>
      </c>
      <c r="B23" s="958">
        <v>11</v>
      </c>
      <c r="C23" s="958" t="s">
        <v>10422</v>
      </c>
      <c r="D23" s="957" t="s">
        <v>10421</v>
      </c>
      <c r="E23" s="956">
        <v>6495</v>
      </c>
      <c r="F23" s="955"/>
      <c r="L23" s="954"/>
      <c r="M23" s="952"/>
      <c r="N23" s="952"/>
    </row>
    <row r="24" spans="1:14">
      <c r="A24" s="958" t="s">
        <v>357</v>
      </c>
      <c r="B24" s="958">
        <v>11</v>
      </c>
      <c r="C24" s="958" t="s">
        <v>8864</v>
      </c>
      <c r="D24" s="957" t="s">
        <v>10420</v>
      </c>
      <c r="E24" s="956">
        <v>99854</v>
      </c>
      <c r="F24" s="955"/>
      <c r="L24" s="954"/>
      <c r="M24" s="952"/>
      <c r="N24" s="952"/>
    </row>
    <row r="25" spans="1:14">
      <c r="A25" s="958" t="s">
        <v>357</v>
      </c>
      <c r="B25" s="958">
        <v>11</v>
      </c>
      <c r="C25" s="958" t="s">
        <v>10419</v>
      </c>
      <c r="D25" s="957" t="s">
        <v>10418</v>
      </c>
      <c r="E25" s="956">
        <v>23005</v>
      </c>
      <c r="F25" s="955"/>
      <c r="L25" s="954"/>
      <c r="M25" s="952"/>
      <c r="N25" s="952"/>
    </row>
    <row r="26" spans="1:14">
      <c r="A26" s="958" t="s">
        <v>357</v>
      </c>
      <c r="B26" s="958">
        <v>11</v>
      </c>
      <c r="C26" s="958" t="s">
        <v>10417</v>
      </c>
      <c r="D26" s="957" t="s">
        <v>10416</v>
      </c>
      <c r="E26" s="956">
        <v>30583</v>
      </c>
      <c r="F26" s="955"/>
      <c r="L26" s="954"/>
      <c r="M26" s="952"/>
      <c r="N26" s="952"/>
    </row>
    <row r="27" spans="1:14">
      <c r="A27" s="958" t="s">
        <v>357</v>
      </c>
      <c r="B27" s="958">
        <v>11</v>
      </c>
      <c r="C27" s="958" t="s">
        <v>10415</v>
      </c>
      <c r="D27" s="957" t="s">
        <v>10414</v>
      </c>
      <c r="E27" s="956">
        <v>14411</v>
      </c>
      <c r="F27" s="955"/>
      <c r="L27" s="954"/>
      <c r="M27" s="952"/>
      <c r="N27" s="952"/>
    </row>
    <row r="28" spans="1:14">
      <c r="A28" s="958" t="s">
        <v>357</v>
      </c>
      <c r="B28" s="958">
        <v>11</v>
      </c>
      <c r="C28" s="958" t="s">
        <v>10413</v>
      </c>
      <c r="D28" s="957" t="s">
        <v>10412</v>
      </c>
      <c r="E28" s="956">
        <v>13241</v>
      </c>
      <c r="F28" s="955"/>
      <c r="L28" s="954"/>
      <c r="M28" s="952"/>
      <c r="N28" s="952"/>
    </row>
    <row r="29" spans="1:14">
      <c r="A29" s="958" t="s">
        <v>357</v>
      </c>
      <c r="B29" s="958">
        <v>11</v>
      </c>
      <c r="C29" s="958" t="s">
        <v>8862</v>
      </c>
      <c r="D29" s="957" t="s">
        <v>3362</v>
      </c>
      <c r="E29" s="956">
        <v>21428</v>
      </c>
      <c r="F29" s="955"/>
      <c r="L29" s="954"/>
      <c r="M29" s="952"/>
      <c r="N29" s="952"/>
    </row>
    <row r="30" spans="1:14">
      <c r="A30" s="958" t="s">
        <v>357</v>
      </c>
      <c r="B30" s="958">
        <v>11</v>
      </c>
      <c r="C30" s="958" t="s">
        <v>10411</v>
      </c>
      <c r="D30" s="957" t="s">
        <v>7126</v>
      </c>
      <c r="E30" s="956">
        <v>39654</v>
      </c>
      <c r="F30" s="955"/>
      <c r="L30" s="954"/>
      <c r="M30" s="952"/>
      <c r="N30" s="952"/>
    </row>
    <row r="31" spans="1:14">
      <c r="A31" s="958" t="s">
        <v>357</v>
      </c>
      <c r="B31" s="958">
        <v>11</v>
      </c>
      <c r="C31" s="958" t="s">
        <v>8860</v>
      </c>
      <c r="D31" s="957" t="s">
        <v>10410</v>
      </c>
      <c r="E31" s="956">
        <v>8538</v>
      </c>
      <c r="F31" s="955"/>
      <c r="L31" s="954"/>
      <c r="M31" s="952"/>
      <c r="N31" s="952"/>
    </row>
    <row r="32" spans="1:14">
      <c r="A32" s="958" t="s">
        <v>357</v>
      </c>
      <c r="B32" s="958">
        <v>11</v>
      </c>
      <c r="C32" s="958" t="s">
        <v>8855</v>
      </c>
      <c r="D32" s="957" t="s">
        <v>10409</v>
      </c>
      <c r="E32" s="956">
        <v>6230</v>
      </c>
      <c r="F32" s="955"/>
      <c r="L32" s="954"/>
      <c r="M32" s="952"/>
      <c r="N32" s="952"/>
    </row>
    <row r="33" spans="1:14">
      <c r="A33" s="958" t="s">
        <v>357</v>
      </c>
      <c r="B33" s="958">
        <v>11</v>
      </c>
      <c r="C33" s="958" t="s">
        <v>8853</v>
      </c>
      <c r="D33" s="957" t="s">
        <v>10408</v>
      </c>
      <c r="E33" s="956">
        <v>14139</v>
      </c>
      <c r="F33" s="955"/>
      <c r="L33" s="954"/>
      <c r="M33" s="952"/>
      <c r="N33" s="952"/>
    </row>
    <row r="34" spans="1:14">
      <c r="A34" s="958" t="s">
        <v>357</v>
      </c>
      <c r="B34" s="958">
        <v>11</v>
      </c>
      <c r="C34" s="958" t="s">
        <v>8849</v>
      </c>
      <c r="D34" s="957" t="s">
        <v>10407</v>
      </c>
      <c r="E34" s="956">
        <v>26693</v>
      </c>
      <c r="F34" s="955"/>
      <c r="L34" s="954"/>
      <c r="M34" s="952"/>
      <c r="N34" s="952"/>
    </row>
    <row r="35" spans="1:14">
      <c r="A35" s="958" t="s">
        <v>357</v>
      </c>
      <c r="B35" s="958">
        <v>11</v>
      </c>
      <c r="C35" s="958" t="s">
        <v>8847</v>
      </c>
      <c r="D35" s="957" t="s">
        <v>10406</v>
      </c>
      <c r="E35" s="956">
        <v>3052</v>
      </c>
      <c r="F35" s="955"/>
      <c r="L35" s="954"/>
      <c r="M35" s="952"/>
      <c r="N35" s="952"/>
    </row>
    <row r="36" spans="1:14">
      <c r="A36" s="958" t="s">
        <v>357</v>
      </c>
      <c r="B36" s="958">
        <v>11</v>
      </c>
      <c r="C36" s="958" t="s">
        <v>10405</v>
      </c>
      <c r="D36" s="957" t="s">
        <v>10404</v>
      </c>
      <c r="E36" s="956">
        <v>11182</v>
      </c>
      <c r="F36" s="955"/>
      <c r="L36" s="954"/>
      <c r="M36" s="952"/>
      <c r="N36" s="952"/>
    </row>
    <row r="37" spans="1:14">
      <c r="A37" s="958" t="s">
        <v>357</v>
      </c>
      <c r="B37" s="958">
        <v>11</v>
      </c>
      <c r="C37" s="958" t="s">
        <v>10403</v>
      </c>
      <c r="D37" s="957" t="s">
        <v>10402</v>
      </c>
      <c r="E37" s="956">
        <v>25215</v>
      </c>
      <c r="F37" s="955"/>
      <c r="L37" s="954"/>
      <c r="M37" s="952"/>
      <c r="N37" s="952"/>
    </row>
    <row r="38" spans="1:14">
      <c r="A38" s="958" t="s">
        <v>357</v>
      </c>
      <c r="B38" s="958">
        <v>11</v>
      </c>
      <c r="C38" s="958" t="s">
        <v>8845</v>
      </c>
      <c r="D38" s="957" t="s">
        <v>10401</v>
      </c>
      <c r="E38" s="956">
        <v>7767</v>
      </c>
      <c r="F38" s="955"/>
      <c r="L38" s="954"/>
      <c r="M38" s="952"/>
      <c r="N38" s="952"/>
    </row>
    <row r="39" spans="1:14">
      <c r="A39" s="958" t="s">
        <v>357</v>
      </c>
      <c r="B39" s="958">
        <v>11</v>
      </c>
      <c r="C39" s="958" t="s">
        <v>8844</v>
      </c>
      <c r="D39" s="957" t="s">
        <v>10400</v>
      </c>
      <c r="E39" s="956">
        <v>10458</v>
      </c>
      <c r="F39" s="955"/>
      <c r="L39" s="954"/>
      <c r="M39" s="952"/>
      <c r="N39" s="952"/>
    </row>
    <row r="40" spans="1:14">
      <c r="A40" s="958" t="s">
        <v>357</v>
      </c>
      <c r="B40" s="958">
        <v>11</v>
      </c>
      <c r="C40" s="958" t="s">
        <v>8840</v>
      </c>
      <c r="D40" s="957" t="s">
        <v>10399</v>
      </c>
      <c r="E40" s="956">
        <v>9660</v>
      </c>
      <c r="F40" s="955"/>
      <c r="L40" s="954"/>
      <c r="M40" s="952"/>
      <c r="N40" s="952"/>
    </row>
    <row r="41" spans="1:14">
      <c r="A41" s="958" t="s">
        <v>357</v>
      </c>
      <c r="B41" s="958">
        <v>11</v>
      </c>
      <c r="C41" s="958" t="s">
        <v>8838</v>
      </c>
      <c r="D41" s="957" t="s">
        <v>10398</v>
      </c>
      <c r="E41" s="956">
        <v>10947</v>
      </c>
      <c r="F41" s="955"/>
      <c r="L41" s="954"/>
      <c r="M41" s="952"/>
      <c r="N41" s="952"/>
    </row>
    <row r="42" spans="1:14">
      <c r="A42" s="958" t="s">
        <v>357</v>
      </c>
      <c r="B42" s="958">
        <v>11</v>
      </c>
      <c r="C42" s="958" t="s">
        <v>8834</v>
      </c>
      <c r="D42" s="957" t="s">
        <v>10397</v>
      </c>
      <c r="E42" s="956">
        <v>15852</v>
      </c>
      <c r="F42" s="955"/>
      <c r="L42" s="954"/>
      <c r="M42" s="952"/>
      <c r="N42" s="952"/>
    </row>
    <row r="43" spans="1:14">
      <c r="A43" s="958" t="s">
        <v>357</v>
      </c>
      <c r="B43" s="958">
        <v>11</v>
      </c>
      <c r="C43" s="958" t="s">
        <v>10396</v>
      </c>
      <c r="D43" s="957" t="s">
        <v>6499</v>
      </c>
      <c r="E43" s="956">
        <v>6970</v>
      </c>
      <c r="F43" s="955"/>
      <c r="L43" s="954"/>
      <c r="M43" s="952"/>
      <c r="N43" s="952"/>
    </row>
    <row r="44" spans="1:14">
      <c r="A44" s="958" t="s">
        <v>357</v>
      </c>
      <c r="B44" s="958">
        <v>11</v>
      </c>
      <c r="C44" s="958" t="s">
        <v>10395</v>
      </c>
      <c r="D44" s="957" t="s">
        <v>10394</v>
      </c>
      <c r="E44" s="956">
        <v>6074</v>
      </c>
      <c r="F44" s="955"/>
      <c r="L44" s="954"/>
      <c r="M44" s="952"/>
      <c r="N44" s="952"/>
    </row>
    <row r="45" spans="1:14">
      <c r="A45" s="958" t="s">
        <v>357</v>
      </c>
      <c r="B45" s="958">
        <v>11</v>
      </c>
      <c r="C45" s="958" t="s">
        <v>10393</v>
      </c>
      <c r="D45" s="957" t="s">
        <v>10392</v>
      </c>
      <c r="E45" s="956">
        <v>2169</v>
      </c>
      <c r="F45" s="955"/>
      <c r="L45" s="954"/>
      <c r="M45" s="952"/>
      <c r="N45" s="952"/>
    </row>
    <row r="46" spans="1:14">
      <c r="A46" s="958" t="s">
        <v>357</v>
      </c>
      <c r="B46" s="958">
        <v>11</v>
      </c>
      <c r="C46" s="958" t="s">
        <v>10391</v>
      </c>
      <c r="D46" s="957" t="s">
        <v>10390</v>
      </c>
      <c r="E46" s="956">
        <v>2856</v>
      </c>
      <c r="F46" s="955"/>
      <c r="L46" s="954"/>
      <c r="M46" s="952"/>
      <c r="N46" s="952"/>
    </row>
    <row r="47" spans="1:14">
      <c r="A47" s="958" t="s">
        <v>357</v>
      </c>
      <c r="B47" s="958">
        <v>11</v>
      </c>
      <c r="C47" s="958" t="s">
        <v>10389</v>
      </c>
      <c r="D47" s="957" t="s">
        <v>10388</v>
      </c>
      <c r="E47" s="956">
        <v>5172</v>
      </c>
      <c r="F47" s="955"/>
      <c r="L47" s="954"/>
      <c r="M47" s="952"/>
      <c r="N47" s="952"/>
    </row>
    <row r="48" spans="1:14">
      <c r="A48" s="958" t="s">
        <v>357</v>
      </c>
      <c r="B48" s="958">
        <v>11</v>
      </c>
      <c r="C48" s="958" t="s">
        <v>10387</v>
      </c>
      <c r="D48" s="957" t="s">
        <v>10386</v>
      </c>
      <c r="E48" s="956">
        <v>20266</v>
      </c>
      <c r="F48" s="955"/>
      <c r="L48" s="954"/>
      <c r="M48" s="952"/>
      <c r="N48" s="952"/>
    </row>
    <row r="49" spans="1:14">
      <c r="A49" s="958" t="s">
        <v>357</v>
      </c>
      <c r="B49" s="958">
        <v>11</v>
      </c>
      <c r="C49" s="958" t="s">
        <v>8832</v>
      </c>
      <c r="D49" s="957" t="s">
        <v>10385</v>
      </c>
      <c r="E49" s="956">
        <v>11856</v>
      </c>
      <c r="F49" s="955"/>
      <c r="L49" s="954"/>
      <c r="M49" s="952"/>
      <c r="N49" s="952"/>
    </row>
    <row r="50" spans="1:14">
      <c r="A50" s="958" t="s">
        <v>357</v>
      </c>
      <c r="B50" s="958">
        <v>11</v>
      </c>
      <c r="C50" s="958" t="s">
        <v>10384</v>
      </c>
      <c r="D50" s="957" t="s">
        <v>10383</v>
      </c>
      <c r="E50" s="956">
        <v>4308</v>
      </c>
      <c r="F50" s="955"/>
      <c r="L50" s="954"/>
      <c r="M50" s="952"/>
      <c r="N50" s="952"/>
    </row>
    <row r="51" spans="1:14">
      <c r="A51" s="958" t="s">
        <v>357</v>
      </c>
      <c r="B51" s="958">
        <v>11</v>
      </c>
      <c r="C51" s="958" t="s">
        <v>8826</v>
      </c>
      <c r="D51" s="957" t="s">
        <v>10382</v>
      </c>
      <c r="E51" s="956">
        <v>10444</v>
      </c>
      <c r="F51" s="955"/>
      <c r="L51" s="954"/>
      <c r="M51" s="952"/>
      <c r="N51" s="952"/>
    </row>
    <row r="52" spans="1:14">
      <c r="A52" s="958" t="s">
        <v>357</v>
      </c>
      <c r="B52" s="958">
        <v>11</v>
      </c>
      <c r="C52" s="958" t="s">
        <v>8824</v>
      </c>
      <c r="D52" s="957" t="s">
        <v>10381</v>
      </c>
      <c r="E52" s="956">
        <v>11467</v>
      </c>
      <c r="F52" s="955"/>
      <c r="L52" s="954"/>
      <c r="M52" s="952"/>
      <c r="N52" s="952"/>
    </row>
    <row r="53" spans="1:14">
      <c r="A53" s="958" t="s">
        <v>357</v>
      </c>
      <c r="B53" s="958">
        <v>11</v>
      </c>
      <c r="C53" s="958" t="s">
        <v>10380</v>
      </c>
      <c r="D53" s="957" t="s">
        <v>10379</v>
      </c>
      <c r="E53" s="956">
        <v>11204</v>
      </c>
      <c r="F53" s="955"/>
      <c r="L53" s="954"/>
      <c r="M53" s="952"/>
      <c r="N53" s="952"/>
    </row>
    <row r="54" spans="1:14">
      <c r="A54" s="958" t="s">
        <v>357</v>
      </c>
      <c r="B54" s="958">
        <v>11</v>
      </c>
      <c r="C54" s="958" t="s">
        <v>8823</v>
      </c>
      <c r="D54" s="957" t="s">
        <v>10378</v>
      </c>
      <c r="E54" s="956">
        <v>6825</v>
      </c>
      <c r="F54" s="955"/>
      <c r="L54" s="954"/>
      <c r="M54" s="952"/>
      <c r="N54" s="952"/>
    </row>
    <row r="55" spans="1:14">
      <c r="A55" s="958" t="s">
        <v>381</v>
      </c>
      <c r="B55" s="958">
        <v>12</v>
      </c>
      <c r="C55" s="958" t="s">
        <v>10377</v>
      </c>
      <c r="D55" s="957" t="s">
        <v>10376</v>
      </c>
      <c r="E55" s="956">
        <v>15256</v>
      </c>
      <c r="F55" s="955"/>
      <c r="L55" s="954"/>
      <c r="M55" s="952"/>
      <c r="N55" s="952"/>
    </row>
    <row r="56" spans="1:14">
      <c r="A56" s="958" t="s">
        <v>381</v>
      </c>
      <c r="B56" s="958">
        <v>12</v>
      </c>
      <c r="C56" s="958" t="s">
        <v>8458</v>
      </c>
      <c r="D56" s="957" t="s">
        <v>10375</v>
      </c>
      <c r="E56" s="956">
        <v>7417</v>
      </c>
      <c r="F56" s="955"/>
      <c r="L56" s="954"/>
      <c r="M56" s="952"/>
      <c r="N56" s="952"/>
    </row>
    <row r="57" spans="1:14">
      <c r="A57" s="958" t="s">
        <v>381</v>
      </c>
      <c r="B57" s="958">
        <v>12</v>
      </c>
      <c r="C57" s="958" t="s">
        <v>7265</v>
      </c>
      <c r="D57" s="957" t="s">
        <v>10374</v>
      </c>
      <c r="E57" s="956">
        <v>26278</v>
      </c>
      <c r="F57" s="955"/>
      <c r="L57" s="954"/>
      <c r="M57" s="952"/>
      <c r="N57" s="952"/>
    </row>
    <row r="58" spans="1:14">
      <c r="A58" s="958" t="s">
        <v>381</v>
      </c>
      <c r="B58" s="958">
        <v>12</v>
      </c>
      <c r="C58" s="958" t="s">
        <v>10373</v>
      </c>
      <c r="D58" s="957" t="s">
        <v>10372</v>
      </c>
      <c r="E58" s="956">
        <v>10266</v>
      </c>
      <c r="F58" s="955"/>
      <c r="L58" s="954"/>
      <c r="M58" s="952"/>
      <c r="N58" s="952"/>
    </row>
    <row r="59" spans="1:14">
      <c r="A59" s="958" t="s">
        <v>381</v>
      </c>
      <c r="B59" s="958">
        <v>12</v>
      </c>
      <c r="C59" s="958" t="s">
        <v>10371</v>
      </c>
      <c r="D59" s="957" t="s">
        <v>10370</v>
      </c>
      <c r="E59" s="956">
        <v>11733</v>
      </c>
      <c r="F59" s="955"/>
      <c r="L59" s="954"/>
      <c r="M59" s="952"/>
      <c r="N59" s="952"/>
    </row>
    <row r="60" spans="1:14">
      <c r="A60" s="958" t="s">
        <v>381</v>
      </c>
      <c r="B60" s="958">
        <v>12</v>
      </c>
      <c r="C60" s="958" t="s">
        <v>1774</v>
      </c>
      <c r="D60" s="957" t="s">
        <v>2515</v>
      </c>
      <c r="E60" s="956">
        <v>88376</v>
      </c>
      <c r="F60" s="955"/>
      <c r="L60" s="954"/>
      <c r="M60" s="952"/>
      <c r="N60" s="952"/>
    </row>
    <row r="61" spans="1:14">
      <c r="A61" s="958" t="s">
        <v>381</v>
      </c>
      <c r="B61" s="958">
        <v>12</v>
      </c>
      <c r="C61" s="958" t="s">
        <v>1772</v>
      </c>
      <c r="D61" s="957" t="s">
        <v>10369</v>
      </c>
      <c r="E61" s="956">
        <v>18411</v>
      </c>
      <c r="F61" s="955"/>
      <c r="L61" s="954"/>
      <c r="M61" s="952"/>
      <c r="N61" s="952"/>
    </row>
    <row r="62" spans="1:14">
      <c r="A62" s="958" t="s">
        <v>381</v>
      </c>
      <c r="B62" s="958">
        <v>12</v>
      </c>
      <c r="C62" s="958" t="s">
        <v>7262</v>
      </c>
      <c r="D62" s="957" t="s">
        <v>10368</v>
      </c>
      <c r="E62" s="956">
        <v>34780</v>
      </c>
      <c r="F62" s="955"/>
      <c r="L62" s="954"/>
      <c r="M62" s="952"/>
      <c r="N62" s="952"/>
    </row>
    <row r="63" spans="1:14">
      <c r="A63" s="958" t="s">
        <v>381</v>
      </c>
      <c r="B63" s="958">
        <v>12</v>
      </c>
      <c r="C63" s="958" t="s">
        <v>10367</v>
      </c>
      <c r="D63" s="957" t="s">
        <v>10366</v>
      </c>
      <c r="E63" s="956">
        <v>8317</v>
      </c>
      <c r="F63" s="955"/>
      <c r="L63" s="954"/>
      <c r="M63" s="952"/>
      <c r="N63" s="952"/>
    </row>
    <row r="64" spans="1:14">
      <c r="A64" s="958" t="s">
        <v>381</v>
      </c>
      <c r="B64" s="958">
        <v>12</v>
      </c>
      <c r="C64" s="958" t="s">
        <v>10365</v>
      </c>
      <c r="D64" s="957" t="s">
        <v>10364</v>
      </c>
      <c r="E64" s="956">
        <v>18977</v>
      </c>
      <c r="F64" s="955"/>
      <c r="L64" s="954"/>
      <c r="M64" s="952"/>
      <c r="N64" s="952"/>
    </row>
    <row r="65" spans="1:14">
      <c r="A65" s="958" t="s">
        <v>381</v>
      </c>
      <c r="B65" s="958">
        <v>12</v>
      </c>
      <c r="C65" s="958" t="s">
        <v>10363</v>
      </c>
      <c r="D65" s="957" t="s">
        <v>10362</v>
      </c>
      <c r="E65" s="956">
        <v>9459</v>
      </c>
      <c r="F65" s="955"/>
      <c r="L65" s="954"/>
      <c r="M65" s="952"/>
      <c r="N65" s="952"/>
    </row>
    <row r="66" spans="1:14">
      <c r="A66" s="958" t="s">
        <v>381</v>
      </c>
      <c r="B66" s="958">
        <v>12</v>
      </c>
      <c r="C66" s="958" t="s">
        <v>10361</v>
      </c>
      <c r="D66" s="957" t="s">
        <v>10360</v>
      </c>
      <c r="E66" s="956">
        <v>18867</v>
      </c>
      <c r="F66" s="955"/>
      <c r="L66" s="954"/>
      <c r="M66" s="952"/>
      <c r="N66" s="952"/>
    </row>
    <row r="67" spans="1:14">
      <c r="A67" s="958" t="s">
        <v>381</v>
      </c>
      <c r="B67" s="958">
        <v>12</v>
      </c>
      <c r="C67" s="958" t="s">
        <v>10359</v>
      </c>
      <c r="D67" s="957" t="s">
        <v>10358</v>
      </c>
      <c r="E67" s="956">
        <v>19761</v>
      </c>
      <c r="F67" s="955"/>
      <c r="L67" s="954"/>
      <c r="M67" s="952"/>
      <c r="N67" s="952"/>
    </row>
    <row r="68" spans="1:14">
      <c r="A68" s="958" t="s">
        <v>381</v>
      </c>
      <c r="B68" s="958">
        <v>12</v>
      </c>
      <c r="C68" s="958" t="s">
        <v>10357</v>
      </c>
      <c r="D68" s="957" t="s">
        <v>10356</v>
      </c>
      <c r="E68" s="956">
        <v>11982</v>
      </c>
      <c r="F68" s="955"/>
      <c r="L68" s="954"/>
      <c r="M68" s="952"/>
      <c r="N68" s="952"/>
    </row>
    <row r="69" spans="1:14">
      <c r="A69" s="958" t="s">
        <v>381</v>
      </c>
      <c r="B69" s="958">
        <v>12</v>
      </c>
      <c r="C69" s="958" t="s">
        <v>7260</v>
      </c>
      <c r="D69" s="957" t="s">
        <v>1406</v>
      </c>
      <c r="E69" s="956">
        <v>407319</v>
      </c>
      <c r="F69" s="955"/>
      <c r="L69" s="954"/>
      <c r="M69" s="952"/>
      <c r="N69" s="952"/>
    </row>
    <row r="70" spans="1:14">
      <c r="A70" s="958" t="s">
        <v>381</v>
      </c>
      <c r="B70" s="958">
        <v>12</v>
      </c>
      <c r="C70" s="958" t="s">
        <v>10355</v>
      </c>
      <c r="D70" s="957" t="s">
        <v>10354</v>
      </c>
      <c r="E70" s="956">
        <v>18930</v>
      </c>
      <c r="F70" s="955"/>
      <c r="L70" s="954"/>
      <c r="M70" s="952"/>
      <c r="N70" s="952"/>
    </row>
    <row r="71" spans="1:14">
      <c r="A71" s="958" t="s">
        <v>381</v>
      </c>
      <c r="B71" s="958">
        <v>12</v>
      </c>
      <c r="C71" s="958" t="s">
        <v>10353</v>
      </c>
      <c r="D71" s="957" t="s">
        <v>10352</v>
      </c>
      <c r="E71" s="956">
        <v>6540</v>
      </c>
      <c r="F71" s="955"/>
      <c r="L71" s="954"/>
      <c r="M71" s="952"/>
      <c r="N71" s="952"/>
    </row>
    <row r="72" spans="1:14">
      <c r="A72" s="958" t="s">
        <v>381</v>
      </c>
      <c r="B72" s="958">
        <v>12</v>
      </c>
      <c r="C72" s="958" t="s">
        <v>10351</v>
      </c>
      <c r="D72" s="957" t="s">
        <v>10350</v>
      </c>
      <c r="E72" s="956">
        <v>23024</v>
      </c>
      <c r="F72" s="955"/>
      <c r="L72" s="954"/>
      <c r="M72" s="952"/>
      <c r="N72" s="952"/>
    </row>
    <row r="73" spans="1:14">
      <c r="A73" s="958" t="s">
        <v>381</v>
      </c>
      <c r="B73" s="958">
        <v>12</v>
      </c>
      <c r="C73" s="958" t="s">
        <v>7258</v>
      </c>
      <c r="D73" s="957" t="s">
        <v>10349</v>
      </c>
      <c r="E73" s="956">
        <v>45848</v>
      </c>
      <c r="F73" s="955"/>
      <c r="L73" s="954"/>
      <c r="M73" s="952"/>
      <c r="N73" s="952"/>
    </row>
    <row r="74" spans="1:14">
      <c r="A74" s="958" t="s">
        <v>381</v>
      </c>
      <c r="B74" s="958">
        <v>12</v>
      </c>
      <c r="C74" s="958" t="s">
        <v>1770</v>
      </c>
      <c r="D74" s="957" t="s">
        <v>10348</v>
      </c>
      <c r="E74" s="956">
        <v>42567</v>
      </c>
      <c r="F74" s="955"/>
      <c r="L74" s="954"/>
      <c r="M74" s="952"/>
      <c r="N74" s="952"/>
    </row>
    <row r="75" spans="1:14">
      <c r="A75" s="958" t="s">
        <v>381</v>
      </c>
      <c r="B75" s="958">
        <v>12</v>
      </c>
      <c r="C75" s="958" t="s">
        <v>1768</v>
      </c>
      <c r="D75" s="957" t="s">
        <v>10347</v>
      </c>
      <c r="E75" s="956">
        <v>19323</v>
      </c>
      <c r="F75" s="955"/>
      <c r="L75" s="954"/>
      <c r="M75" s="952"/>
      <c r="N75" s="952"/>
    </row>
    <row r="76" spans="1:14">
      <c r="A76" s="958" t="s">
        <v>381</v>
      </c>
      <c r="B76" s="958">
        <v>12</v>
      </c>
      <c r="C76" s="958" t="s">
        <v>1766</v>
      </c>
      <c r="D76" s="957" t="s">
        <v>10346</v>
      </c>
      <c r="E76" s="956">
        <v>18504</v>
      </c>
      <c r="F76" s="955"/>
      <c r="L76" s="954"/>
      <c r="M76" s="952"/>
      <c r="N76" s="952"/>
    </row>
    <row r="77" spans="1:14">
      <c r="A77" s="958" t="s">
        <v>375</v>
      </c>
      <c r="B77" s="958">
        <v>13</v>
      </c>
      <c r="C77" s="958" t="s">
        <v>10345</v>
      </c>
      <c r="D77" s="957" t="s">
        <v>10344</v>
      </c>
      <c r="E77" s="956">
        <v>16041</v>
      </c>
      <c r="F77" s="955"/>
      <c r="L77" s="954"/>
      <c r="M77" s="952"/>
      <c r="N77" s="952"/>
    </row>
    <row r="78" spans="1:14">
      <c r="A78" s="958" t="s">
        <v>375</v>
      </c>
      <c r="B78" s="958">
        <v>13</v>
      </c>
      <c r="C78" s="958" t="s">
        <v>10343</v>
      </c>
      <c r="D78" s="957" t="s">
        <v>10342</v>
      </c>
      <c r="E78" s="956">
        <v>11536</v>
      </c>
      <c r="F78" s="955"/>
      <c r="L78" s="954"/>
      <c r="M78" s="952"/>
      <c r="N78" s="952"/>
    </row>
    <row r="79" spans="1:14">
      <c r="A79" s="958" t="s">
        <v>375</v>
      </c>
      <c r="B79" s="958">
        <v>13</v>
      </c>
      <c r="C79" s="958" t="s">
        <v>10341</v>
      </c>
      <c r="D79" s="957" t="s">
        <v>10340</v>
      </c>
      <c r="E79" s="956">
        <v>13614</v>
      </c>
      <c r="F79" s="955"/>
      <c r="L79" s="954"/>
      <c r="M79" s="952"/>
      <c r="N79" s="952"/>
    </row>
    <row r="80" spans="1:14">
      <c r="A80" s="958" t="s">
        <v>375</v>
      </c>
      <c r="B80" s="958">
        <v>13</v>
      </c>
      <c r="C80" s="958" t="s">
        <v>1617</v>
      </c>
      <c r="D80" s="957" t="s">
        <v>10339</v>
      </c>
      <c r="E80" s="956">
        <v>21010</v>
      </c>
      <c r="F80" s="955"/>
      <c r="L80" s="954"/>
      <c r="M80" s="952"/>
      <c r="N80" s="952"/>
    </row>
    <row r="81" spans="1:14">
      <c r="A81" s="958" t="s">
        <v>375</v>
      </c>
      <c r="B81" s="958">
        <v>13</v>
      </c>
      <c r="C81" s="958" t="s">
        <v>10338</v>
      </c>
      <c r="D81" s="957" t="s">
        <v>10337</v>
      </c>
      <c r="E81" s="956">
        <v>21973</v>
      </c>
      <c r="F81" s="955"/>
      <c r="L81" s="954"/>
      <c r="M81" s="952"/>
      <c r="N81" s="952"/>
    </row>
    <row r="82" spans="1:14">
      <c r="A82" s="958" t="s">
        <v>375</v>
      </c>
      <c r="B82" s="958">
        <v>13</v>
      </c>
      <c r="C82" s="958" t="s">
        <v>1615</v>
      </c>
      <c r="D82" s="957" t="s">
        <v>10336</v>
      </c>
      <c r="E82" s="956">
        <v>19921</v>
      </c>
      <c r="F82" s="955"/>
      <c r="L82" s="954"/>
      <c r="M82" s="952"/>
      <c r="N82" s="952"/>
    </row>
    <row r="83" spans="1:14">
      <c r="A83" s="958" t="s">
        <v>375</v>
      </c>
      <c r="B83" s="958">
        <v>13</v>
      </c>
      <c r="C83" s="958" t="s">
        <v>1611</v>
      </c>
      <c r="D83" s="957" t="s">
        <v>10335</v>
      </c>
      <c r="E83" s="956">
        <v>39565</v>
      </c>
      <c r="F83" s="955"/>
      <c r="L83" s="954"/>
      <c r="M83" s="952"/>
      <c r="N83" s="952"/>
    </row>
    <row r="84" spans="1:14">
      <c r="A84" s="958" t="s">
        <v>375</v>
      </c>
      <c r="B84" s="958">
        <v>13</v>
      </c>
      <c r="C84" s="958" t="s">
        <v>1607</v>
      </c>
      <c r="D84" s="957" t="s">
        <v>10334</v>
      </c>
      <c r="E84" s="956">
        <v>27502</v>
      </c>
      <c r="F84" s="955"/>
      <c r="L84" s="954"/>
      <c r="M84" s="952"/>
      <c r="N84" s="952"/>
    </row>
    <row r="85" spans="1:14">
      <c r="A85" s="958" t="s">
        <v>375</v>
      </c>
      <c r="B85" s="958">
        <v>13</v>
      </c>
      <c r="C85" s="958" t="s">
        <v>1605</v>
      </c>
      <c r="D85" s="957" t="s">
        <v>10333</v>
      </c>
      <c r="E85" s="956">
        <v>32041</v>
      </c>
      <c r="F85" s="955"/>
      <c r="L85" s="954"/>
      <c r="M85" s="952"/>
      <c r="N85" s="952"/>
    </row>
    <row r="86" spans="1:14">
      <c r="A86" s="958" t="s">
        <v>375</v>
      </c>
      <c r="B86" s="958">
        <v>13</v>
      </c>
      <c r="C86" s="958" t="s">
        <v>1603</v>
      </c>
      <c r="D86" s="957" t="s">
        <v>10332</v>
      </c>
      <c r="E86" s="956">
        <v>42984</v>
      </c>
      <c r="F86" s="955"/>
      <c r="L86" s="954"/>
      <c r="M86" s="952"/>
      <c r="N86" s="952"/>
    </row>
    <row r="87" spans="1:14">
      <c r="A87" s="958" t="s">
        <v>375</v>
      </c>
      <c r="B87" s="958">
        <v>13</v>
      </c>
      <c r="C87" s="958" t="s">
        <v>10331</v>
      </c>
      <c r="D87" s="957" t="s">
        <v>10330</v>
      </c>
      <c r="E87" s="956">
        <v>19679</v>
      </c>
      <c r="F87" s="955"/>
      <c r="L87" s="954"/>
      <c r="M87" s="952"/>
      <c r="N87" s="952"/>
    </row>
    <row r="88" spans="1:14">
      <c r="A88" s="958" t="s">
        <v>375</v>
      </c>
      <c r="B88" s="958">
        <v>13</v>
      </c>
      <c r="C88" s="958" t="s">
        <v>10329</v>
      </c>
      <c r="D88" s="957" t="s">
        <v>10328</v>
      </c>
      <c r="E88" s="956">
        <v>19207</v>
      </c>
      <c r="F88" s="955"/>
      <c r="L88" s="954"/>
      <c r="M88" s="952"/>
      <c r="N88" s="952"/>
    </row>
    <row r="89" spans="1:14">
      <c r="A89" s="958" t="s">
        <v>375</v>
      </c>
      <c r="B89" s="958">
        <v>13</v>
      </c>
      <c r="C89" s="958" t="s">
        <v>5630</v>
      </c>
      <c r="D89" s="957" t="s">
        <v>10327</v>
      </c>
      <c r="E89" s="956">
        <v>34308</v>
      </c>
      <c r="F89" s="955"/>
      <c r="L89" s="954"/>
      <c r="M89" s="952"/>
      <c r="N89" s="952"/>
    </row>
    <row r="90" spans="1:14">
      <c r="A90" s="958" t="s">
        <v>375</v>
      </c>
      <c r="B90" s="958">
        <v>13</v>
      </c>
      <c r="C90" s="958" t="s">
        <v>1601</v>
      </c>
      <c r="D90" s="957" t="s">
        <v>10326</v>
      </c>
      <c r="E90" s="956">
        <v>41161</v>
      </c>
      <c r="F90" s="955"/>
      <c r="L90" s="954"/>
      <c r="M90" s="952"/>
      <c r="N90" s="952"/>
    </row>
    <row r="91" spans="1:14">
      <c r="A91" s="958" t="s">
        <v>375</v>
      </c>
      <c r="B91" s="958">
        <v>13</v>
      </c>
      <c r="C91" s="958" t="s">
        <v>10325</v>
      </c>
      <c r="D91" s="957" t="s">
        <v>10324</v>
      </c>
      <c r="E91" s="956">
        <v>13081</v>
      </c>
      <c r="F91" s="955"/>
      <c r="L91" s="954"/>
      <c r="M91" s="952"/>
      <c r="N91" s="952"/>
    </row>
    <row r="92" spans="1:14">
      <c r="A92" s="958" t="s">
        <v>375</v>
      </c>
      <c r="B92" s="958">
        <v>13</v>
      </c>
      <c r="C92" s="958" t="s">
        <v>5627</v>
      </c>
      <c r="D92" s="957" t="s">
        <v>10323</v>
      </c>
      <c r="E92" s="956">
        <v>15629</v>
      </c>
      <c r="F92" s="955"/>
      <c r="L92" s="954"/>
      <c r="M92" s="952"/>
      <c r="N92" s="952"/>
    </row>
    <row r="93" spans="1:14">
      <c r="A93" s="958" t="s">
        <v>375</v>
      </c>
      <c r="B93" s="958">
        <v>13</v>
      </c>
      <c r="C93" s="958" t="s">
        <v>1599</v>
      </c>
      <c r="D93" s="957" t="s">
        <v>10322</v>
      </c>
      <c r="E93" s="956">
        <v>28294</v>
      </c>
      <c r="F93" s="955"/>
      <c r="L93" s="954"/>
      <c r="M93" s="952"/>
      <c r="N93" s="952"/>
    </row>
    <row r="94" spans="1:14">
      <c r="A94" s="958" t="s">
        <v>375</v>
      </c>
      <c r="B94" s="958">
        <v>13</v>
      </c>
      <c r="C94" s="958" t="s">
        <v>5625</v>
      </c>
      <c r="D94" s="957" t="s">
        <v>10321</v>
      </c>
      <c r="E94" s="956">
        <v>37869</v>
      </c>
      <c r="F94" s="955"/>
      <c r="L94" s="954"/>
      <c r="M94" s="952"/>
      <c r="N94" s="952"/>
    </row>
    <row r="95" spans="1:14">
      <c r="A95" s="958" t="s">
        <v>375</v>
      </c>
      <c r="B95" s="958">
        <v>13</v>
      </c>
      <c r="C95" s="958" t="s">
        <v>5623</v>
      </c>
      <c r="D95" s="957" t="s">
        <v>10320</v>
      </c>
      <c r="E95" s="956">
        <v>30225</v>
      </c>
      <c r="F95" s="955"/>
      <c r="L95" s="954"/>
      <c r="M95" s="952"/>
      <c r="N95" s="952"/>
    </row>
    <row r="96" spans="1:14">
      <c r="A96" s="958" t="s">
        <v>375</v>
      </c>
      <c r="B96" s="958">
        <v>13</v>
      </c>
      <c r="C96" s="958" t="s">
        <v>1597</v>
      </c>
      <c r="D96" s="957" t="s">
        <v>10319</v>
      </c>
      <c r="E96" s="956">
        <v>85097</v>
      </c>
      <c r="F96" s="955"/>
      <c r="L96" s="954"/>
      <c r="M96" s="952"/>
      <c r="N96" s="952"/>
    </row>
    <row r="97" spans="1:14">
      <c r="A97" s="958" t="s">
        <v>375</v>
      </c>
      <c r="B97" s="958">
        <v>13</v>
      </c>
      <c r="C97" s="958" t="s">
        <v>1593</v>
      </c>
      <c r="D97" s="957" t="s">
        <v>10318</v>
      </c>
      <c r="E97" s="956">
        <v>28637</v>
      </c>
      <c r="F97" s="955"/>
      <c r="L97" s="954"/>
      <c r="M97" s="952"/>
      <c r="N97" s="952"/>
    </row>
    <row r="98" spans="1:14">
      <c r="A98" s="958" t="s">
        <v>375</v>
      </c>
      <c r="B98" s="958">
        <v>13</v>
      </c>
      <c r="C98" s="958" t="s">
        <v>1591</v>
      </c>
      <c r="D98" s="957" t="s">
        <v>10317</v>
      </c>
      <c r="E98" s="956">
        <v>35273</v>
      </c>
      <c r="F98" s="955"/>
      <c r="L98" s="954"/>
      <c r="M98" s="952"/>
      <c r="N98" s="952"/>
    </row>
    <row r="99" spans="1:14">
      <c r="A99" s="958" t="s">
        <v>375</v>
      </c>
      <c r="B99" s="958">
        <v>13</v>
      </c>
      <c r="C99" s="958" t="s">
        <v>5618</v>
      </c>
      <c r="D99" s="957" t="s">
        <v>10316</v>
      </c>
      <c r="E99" s="956">
        <v>20033</v>
      </c>
      <c r="F99" s="955"/>
      <c r="L99" s="954"/>
      <c r="M99" s="952"/>
      <c r="N99" s="952"/>
    </row>
    <row r="100" spans="1:14">
      <c r="A100" s="958" t="s">
        <v>375</v>
      </c>
      <c r="B100" s="958">
        <v>13</v>
      </c>
      <c r="C100" s="958" t="s">
        <v>1589</v>
      </c>
      <c r="D100" s="957" t="s">
        <v>10315</v>
      </c>
      <c r="E100" s="956">
        <v>17609</v>
      </c>
      <c r="F100" s="955"/>
      <c r="L100" s="954"/>
      <c r="M100" s="952"/>
      <c r="N100" s="952"/>
    </row>
    <row r="101" spans="1:14">
      <c r="A101" s="958" t="s">
        <v>375</v>
      </c>
      <c r="B101" s="958">
        <v>13</v>
      </c>
      <c r="C101" s="958" t="s">
        <v>10314</v>
      </c>
      <c r="D101" s="957" t="s">
        <v>10313</v>
      </c>
      <c r="E101" s="956">
        <v>16678</v>
      </c>
      <c r="F101" s="955"/>
      <c r="L101" s="954"/>
      <c r="M101" s="952"/>
      <c r="N101" s="952"/>
    </row>
    <row r="102" spans="1:14">
      <c r="A102" s="958" t="s">
        <v>375</v>
      </c>
      <c r="B102" s="958">
        <v>13</v>
      </c>
      <c r="C102" s="958" t="s">
        <v>1587</v>
      </c>
      <c r="D102" s="957" t="s">
        <v>2379</v>
      </c>
      <c r="E102" s="956">
        <v>55080</v>
      </c>
      <c r="F102" s="955"/>
      <c r="L102" s="954"/>
      <c r="M102" s="952"/>
      <c r="N102" s="952"/>
    </row>
    <row r="103" spans="1:14">
      <c r="A103" s="958" t="s">
        <v>375</v>
      </c>
      <c r="B103" s="958">
        <v>13</v>
      </c>
      <c r="C103" s="958" t="s">
        <v>1585</v>
      </c>
      <c r="D103" s="957" t="s">
        <v>10312</v>
      </c>
      <c r="E103" s="956">
        <v>29689</v>
      </c>
      <c r="F103" s="955"/>
      <c r="L103" s="954"/>
      <c r="M103" s="952"/>
      <c r="N103" s="952"/>
    </row>
    <row r="104" spans="1:14">
      <c r="A104" s="958" t="s">
        <v>375</v>
      </c>
      <c r="B104" s="958">
        <v>13</v>
      </c>
      <c r="C104" s="958" t="s">
        <v>1583</v>
      </c>
      <c r="D104" s="957" t="s">
        <v>10311</v>
      </c>
      <c r="E104" s="956">
        <v>48296</v>
      </c>
      <c r="F104" s="955"/>
      <c r="L104" s="954"/>
      <c r="M104" s="952"/>
      <c r="N104" s="952"/>
    </row>
    <row r="105" spans="1:14">
      <c r="A105" s="958" t="s">
        <v>375</v>
      </c>
      <c r="B105" s="958">
        <v>13</v>
      </c>
      <c r="C105" s="958" t="s">
        <v>1581</v>
      </c>
      <c r="D105" s="957" t="s">
        <v>10310</v>
      </c>
      <c r="E105" s="956">
        <v>101337</v>
      </c>
      <c r="F105" s="955"/>
      <c r="L105" s="954"/>
      <c r="M105" s="952"/>
      <c r="N105" s="952"/>
    </row>
    <row r="106" spans="1:14">
      <c r="A106" s="958" t="s">
        <v>375</v>
      </c>
      <c r="B106" s="958">
        <v>13</v>
      </c>
      <c r="C106" s="958" t="s">
        <v>10309</v>
      </c>
      <c r="D106" s="957" t="s">
        <v>10308</v>
      </c>
      <c r="E106" s="956">
        <v>7851</v>
      </c>
      <c r="F106" s="955"/>
      <c r="L106" s="954"/>
      <c r="M106" s="952"/>
      <c r="N106" s="952"/>
    </row>
    <row r="107" spans="1:14">
      <c r="A107" s="958" t="s">
        <v>375</v>
      </c>
      <c r="B107" s="958">
        <v>13</v>
      </c>
      <c r="C107" s="958" t="s">
        <v>5612</v>
      </c>
      <c r="D107" s="957" t="s">
        <v>3099</v>
      </c>
      <c r="E107" s="956">
        <v>9148</v>
      </c>
      <c r="F107" s="955"/>
      <c r="L107" s="954"/>
      <c r="M107" s="952"/>
      <c r="N107" s="952"/>
    </row>
    <row r="108" spans="1:14">
      <c r="A108" s="958" t="s">
        <v>375</v>
      </c>
      <c r="B108" s="958">
        <v>13</v>
      </c>
      <c r="C108" s="958" t="s">
        <v>5610</v>
      </c>
      <c r="D108" s="957" t="s">
        <v>3797</v>
      </c>
      <c r="E108" s="956">
        <v>2755</v>
      </c>
      <c r="F108" s="955"/>
      <c r="L108" s="954"/>
      <c r="M108" s="952"/>
      <c r="N108" s="952"/>
    </row>
    <row r="109" spans="1:14">
      <c r="A109" s="958" t="s">
        <v>375</v>
      </c>
      <c r="B109" s="958">
        <v>13</v>
      </c>
      <c r="C109" s="958" t="s">
        <v>5608</v>
      </c>
      <c r="D109" s="957" t="s">
        <v>10307</v>
      </c>
      <c r="E109" s="956">
        <v>14712</v>
      </c>
      <c r="F109" s="955"/>
      <c r="L109" s="954"/>
      <c r="M109" s="952"/>
      <c r="N109" s="952"/>
    </row>
    <row r="110" spans="1:14">
      <c r="A110" s="958" t="s">
        <v>375</v>
      </c>
      <c r="B110" s="958">
        <v>13</v>
      </c>
      <c r="C110" s="958" t="s">
        <v>5604</v>
      </c>
      <c r="D110" s="957" t="s">
        <v>10306</v>
      </c>
      <c r="E110" s="956">
        <v>14317</v>
      </c>
      <c r="F110" s="955"/>
      <c r="L110" s="954"/>
      <c r="M110" s="952"/>
      <c r="N110" s="952"/>
    </row>
    <row r="111" spans="1:14">
      <c r="A111" s="958" t="s">
        <v>375</v>
      </c>
      <c r="B111" s="958">
        <v>13</v>
      </c>
      <c r="C111" s="958" t="s">
        <v>5602</v>
      </c>
      <c r="D111" s="957" t="s">
        <v>10305</v>
      </c>
      <c r="E111" s="956">
        <v>46069</v>
      </c>
      <c r="F111" s="955"/>
      <c r="L111" s="954"/>
      <c r="M111" s="952"/>
      <c r="N111" s="952"/>
    </row>
    <row r="112" spans="1:14">
      <c r="A112" s="958" t="s">
        <v>375</v>
      </c>
      <c r="B112" s="958">
        <v>13</v>
      </c>
      <c r="C112" s="958" t="s">
        <v>1579</v>
      </c>
      <c r="D112" s="957" t="s">
        <v>10304</v>
      </c>
      <c r="E112" s="956">
        <v>97377</v>
      </c>
      <c r="F112" s="955"/>
      <c r="L112" s="954"/>
      <c r="M112" s="952"/>
      <c r="N112" s="952"/>
    </row>
    <row r="113" spans="1:14" ht="17.25">
      <c r="A113" s="958" t="s">
        <v>375</v>
      </c>
      <c r="B113" s="958">
        <v>13</v>
      </c>
      <c r="C113" s="958" t="s">
        <v>5597</v>
      </c>
      <c r="D113" s="957" t="s">
        <v>10303</v>
      </c>
      <c r="E113" s="956" t="s">
        <v>10302</v>
      </c>
      <c r="F113" s="955"/>
      <c r="L113" s="954"/>
      <c r="M113" s="952"/>
      <c r="N113" s="952"/>
    </row>
    <row r="114" spans="1:14">
      <c r="A114" s="958" t="s">
        <v>375</v>
      </c>
      <c r="B114" s="958">
        <v>13</v>
      </c>
      <c r="C114" s="958" t="s">
        <v>1577</v>
      </c>
      <c r="D114" s="957" t="s">
        <v>10301</v>
      </c>
      <c r="E114" s="956">
        <v>2182763</v>
      </c>
      <c r="F114" s="955"/>
      <c r="L114" s="954"/>
      <c r="M114" s="952"/>
      <c r="N114" s="952"/>
    </row>
    <row r="115" spans="1:14">
      <c r="A115" s="958" t="s">
        <v>375</v>
      </c>
      <c r="B115" s="958">
        <v>13</v>
      </c>
      <c r="C115" s="958" t="s">
        <v>1567</v>
      </c>
      <c r="D115" s="957" t="s">
        <v>10300</v>
      </c>
      <c r="E115" s="956">
        <v>55751</v>
      </c>
      <c r="F115" s="955"/>
      <c r="L115" s="954"/>
      <c r="M115" s="952"/>
      <c r="N115" s="952"/>
    </row>
    <row r="116" spans="1:14">
      <c r="A116" s="958" t="s">
        <v>375</v>
      </c>
      <c r="B116" s="958">
        <v>13</v>
      </c>
      <c r="C116" s="958" t="s">
        <v>5591</v>
      </c>
      <c r="D116" s="957" t="s">
        <v>10299</v>
      </c>
      <c r="E116" s="956">
        <v>18224</v>
      </c>
      <c r="F116" s="955"/>
      <c r="L116" s="954"/>
      <c r="M116" s="952"/>
      <c r="N116" s="952"/>
    </row>
    <row r="117" spans="1:14">
      <c r="A117" s="958" t="s">
        <v>375</v>
      </c>
      <c r="B117" s="958">
        <v>13</v>
      </c>
      <c r="C117" s="958" t="s">
        <v>5589</v>
      </c>
      <c r="D117" s="957" t="s">
        <v>10298</v>
      </c>
      <c r="E117" s="956">
        <v>63905</v>
      </c>
      <c r="F117" s="955"/>
      <c r="L117" s="954"/>
      <c r="M117" s="952"/>
      <c r="N117" s="952"/>
    </row>
    <row r="118" spans="1:14">
      <c r="A118" s="958" t="s">
        <v>375</v>
      </c>
      <c r="B118" s="958">
        <v>13</v>
      </c>
      <c r="C118" s="958" t="s">
        <v>1561</v>
      </c>
      <c r="D118" s="957" t="s">
        <v>10297</v>
      </c>
      <c r="E118" s="956">
        <v>21173</v>
      </c>
      <c r="F118" s="955"/>
      <c r="L118" s="954"/>
      <c r="M118" s="952"/>
      <c r="N118" s="952"/>
    </row>
    <row r="119" spans="1:14">
      <c r="A119" s="958" t="s">
        <v>375</v>
      </c>
      <c r="B119" s="958">
        <v>13</v>
      </c>
      <c r="C119" s="958" t="s">
        <v>1557</v>
      </c>
      <c r="D119" s="957" t="s">
        <v>10296</v>
      </c>
      <c r="E119" s="956">
        <v>37378</v>
      </c>
      <c r="F119" s="955"/>
      <c r="L119" s="954"/>
      <c r="M119" s="952"/>
      <c r="N119" s="952"/>
    </row>
    <row r="120" spans="1:14">
      <c r="A120" s="958" t="s">
        <v>375</v>
      </c>
      <c r="B120" s="958">
        <v>13</v>
      </c>
      <c r="C120" s="958" t="s">
        <v>1555</v>
      </c>
      <c r="D120" s="957" t="s">
        <v>10295</v>
      </c>
      <c r="E120" s="956">
        <v>19454</v>
      </c>
      <c r="F120" s="955"/>
      <c r="L120" s="954"/>
      <c r="M120" s="952"/>
      <c r="N120" s="952"/>
    </row>
    <row r="121" spans="1:14">
      <c r="A121" s="958" t="s">
        <v>375</v>
      </c>
      <c r="B121" s="958">
        <v>13</v>
      </c>
      <c r="C121" s="958" t="s">
        <v>1551</v>
      </c>
      <c r="D121" s="957" t="s">
        <v>10294</v>
      </c>
      <c r="E121" s="956">
        <v>25644</v>
      </c>
      <c r="F121" s="955"/>
      <c r="L121" s="954"/>
      <c r="M121" s="952"/>
      <c r="N121" s="952"/>
    </row>
    <row r="122" spans="1:14">
      <c r="A122" s="958" t="s">
        <v>375</v>
      </c>
      <c r="B122" s="958">
        <v>13</v>
      </c>
      <c r="C122" s="958" t="s">
        <v>1543</v>
      </c>
      <c r="D122" s="957" t="s">
        <v>10293</v>
      </c>
      <c r="E122" s="956">
        <v>114273</v>
      </c>
      <c r="F122" s="955"/>
      <c r="L122" s="954"/>
      <c r="M122" s="952"/>
      <c r="N122" s="952"/>
    </row>
    <row r="123" spans="1:14">
      <c r="A123" s="958" t="s">
        <v>375</v>
      </c>
      <c r="B123" s="958">
        <v>13</v>
      </c>
      <c r="C123" s="958" t="s">
        <v>1537</v>
      </c>
      <c r="D123" s="957" t="s">
        <v>10292</v>
      </c>
      <c r="E123" s="956">
        <v>19426</v>
      </c>
      <c r="F123" s="955"/>
      <c r="L123" s="954"/>
      <c r="M123" s="952"/>
      <c r="N123" s="952"/>
    </row>
    <row r="124" spans="1:14">
      <c r="A124" s="958" t="s">
        <v>375</v>
      </c>
      <c r="B124" s="958">
        <v>13</v>
      </c>
      <c r="C124" s="958" t="s">
        <v>10291</v>
      </c>
      <c r="D124" s="957" t="s">
        <v>10290</v>
      </c>
      <c r="E124" s="956">
        <v>36279</v>
      </c>
      <c r="F124" s="955"/>
      <c r="L124" s="954"/>
      <c r="M124" s="952"/>
      <c r="N124" s="952"/>
    </row>
    <row r="125" spans="1:14">
      <c r="A125" s="958" t="s">
        <v>375</v>
      </c>
      <c r="B125" s="958">
        <v>13</v>
      </c>
      <c r="C125" s="958" t="s">
        <v>10289</v>
      </c>
      <c r="D125" s="957" t="s">
        <v>10288</v>
      </c>
      <c r="E125" s="956">
        <v>33347</v>
      </c>
      <c r="F125" s="955"/>
      <c r="L125" s="954"/>
      <c r="M125" s="952"/>
      <c r="N125" s="952"/>
    </row>
    <row r="126" spans="1:14" ht="17.25">
      <c r="A126" s="958" t="s">
        <v>375</v>
      </c>
      <c r="B126" s="958">
        <v>13</v>
      </c>
      <c r="C126" s="958" t="s">
        <v>1535</v>
      </c>
      <c r="D126" s="957" t="s">
        <v>10287</v>
      </c>
      <c r="E126" s="956" t="s">
        <v>10286</v>
      </c>
      <c r="F126" s="955"/>
      <c r="L126" s="954"/>
      <c r="M126" s="952"/>
      <c r="N126" s="952"/>
    </row>
    <row r="127" spans="1:14">
      <c r="A127" s="958" t="s">
        <v>375</v>
      </c>
      <c r="B127" s="958">
        <v>13</v>
      </c>
      <c r="C127" s="958" t="s">
        <v>1533</v>
      </c>
      <c r="D127" s="957" t="s">
        <v>10285</v>
      </c>
      <c r="E127" s="956">
        <v>21602</v>
      </c>
      <c r="F127" s="955"/>
      <c r="L127" s="954"/>
      <c r="M127" s="952"/>
      <c r="N127" s="952"/>
    </row>
    <row r="128" spans="1:14">
      <c r="A128" s="958" t="s">
        <v>375</v>
      </c>
      <c r="B128" s="958">
        <v>13</v>
      </c>
      <c r="C128" s="958" t="s">
        <v>1531</v>
      </c>
      <c r="D128" s="957" t="s">
        <v>10284</v>
      </c>
      <c r="E128" s="956">
        <v>45564</v>
      </c>
      <c r="F128" s="955"/>
      <c r="L128" s="954"/>
      <c r="M128" s="952"/>
      <c r="N128" s="952"/>
    </row>
    <row r="129" spans="1:14">
      <c r="A129" s="958" t="s">
        <v>375</v>
      </c>
      <c r="B129" s="958">
        <v>13</v>
      </c>
      <c r="C129" s="958" t="s">
        <v>1527</v>
      </c>
      <c r="D129" s="957" t="s">
        <v>10283</v>
      </c>
      <c r="E129" s="956">
        <v>39299</v>
      </c>
      <c r="F129" s="955"/>
      <c r="L129" s="954"/>
      <c r="M129" s="952"/>
      <c r="N129" s="952"/>
    </row>
    <row r="130" spans="1:14">
      <c r="A130" s="958" t="s">
        <v>375</v>
      </c>
      <c r="B130" s="958">
        <v>13</v>
      </c>
      <c r="C130" s="958" t="s">
        <v>1525</v>
      </c>
      <c r="D130" s="957" t="s">
        <v>10282</v>
      </c>
      <c r="E130" s="956">
        <v>14020</v>
      </c>
      <c r="F130" s="955"/>
      <c r="L130" s="954"/>
      <c r="M130" s="952"/>
      <c r="N130" s="952"/>
    </row>
    <row r="131" spans="1:14">
      <c r="A131" s="958" t="s">
        <v>375</v>
      </c>
      <c r="B131" s="958">
        <v>13</v>
      </c>
      <c r="C131" s="958" t="s">
        <v>5567</v>
      </c>
      <c r="D131" s="957" t="s">
        <v>10281</v>
      </c>
      <c r="E131" s="956">
        <v>9171</v>
      </c>
      <c r="F131" s="955"/>
      <c r="L131" s="954"/>
      <c r="M131" s="952"/>
      <c r="N131" s="952"/>
    </row>
    <row r="132" spans="1:14">
      <c r="A132" s="958" t="s">
        <v>375</v>
      </c>
      <c r="B132" s="958">
        <v>13</v>
      </c>
      <c r="C132" s="958" t="s">
        <v>10280</v>
      </c>
      <c r="D132" s="957" t="s">
        <v>4246</v>
      </c>
      <c r="E132" s="956">
        <v>65844</v>
      </c>
      <c r="F132" s="955"/>
      <c r="L132" s="954"/>
      <c r="M132" s="952"/>
      <c r="N132" s="952"/>
    </row>
    <row r="133" spans="1:14">
      <c r="A133" s="958" t="s">
        <v>375</v>
      </c>
      <c r="B133" s="958">
        <v>13</v>
      </c>
      <c r="C133" s="958" t="s">
        <v>1523</v>
      </c>
      <c r="D133" s="957" t="s">
        <v>10279</v>
      </c>
      <c r="E133" s="956">
        <v>17156</v>
      </c>
      <c r="F133" s="955"/>
      <c r="L133" s="954"/>
      <c r="M133" s="952"/>
      <c r="N133" s="952"/>
    </row>
    <row r="134" spans="1:14">
      <c r="A134" s="958" t="s">
        <v>375</v>
      </c>
      <c r="B134" s="958">
        <v>13</v>
      </c>
      <c r="C134" s="958" t="s">
        <v>1521</v>
      </c>
      <c r="D134" s="957" t="s">
        <v>10278</v>
      </c>
      <c r="E134" s="956">
        <v>59849</v>
      </c>
      <c r="F134" s="955"/>
      <c r="L134" s="954"/>
      <c r="M134" s="952"/>
      <c r="N134" s="952"/>
    </row>
    <row r="135" spans="1:14">
      <c r="A135" s="958" t="s">
        <v>375</v>
      </c>
      <c r="B135" s="958">
        <v>13</v>
      </c>
      <c r="C135" s="958" t="s">
        <v>10277</v>
      </c>
      <c r="D135" s="957" t="s">
        <v>10276</v>
      </c>
      <c r="E135" s="956">
        <v>18755</v>
      </c>
      <c r="F135" s="955"/>
      <c r="L135" s="954"/>
      <c r="M135" s="952"/>
      <c r="N135" s="952"/>
    </row>
    <row r="136" spans="1:14">
      <c r="A136" s="958" t="s">
        <v>375</v>
      </c>
      <c r="B136" s="958">
        <v>13</v>
      </c>
      <c r="C136" s="958" t="s">
        <v>10275</v>
      </c>
      <c r="D136" s="957" t="s">
        <v>10274</v>
      </c>
      <c r="E136" s="956">
        <v>13540</v>
      </c>
      <c r="F136" s="955"/>
      <c r="L136" s="954"/>
      <c r="M136" s="952"/>
      <c r="N136" s="952"/>
    </row>
    <row r="137" spans="1:14" ht="17.25">
      <c r="A137" s="958" t="s">
        <v>375</v>
      </c>
      <c r="B137" s="958">
        <v>13</v>
      </c>
      <c r="C137" s="958" t="s">
        <v>5559</v>
      </c>
      <c r="D137" s="957" t="s">
        <v>10273</v>
      </c>
      <c r="E137" s="956" t="s">
        <v>10272</v>
      </c>
      <c r="F137" s="955"/>
      <c r="L137" s="954"/>
      <c r="M137" s="952"/>
      <c r="N137" s="952"/>
    </row>
    <row r="138" spans="1:14">
      <c r="A138" s="958" t="s">
        <v>375</v>
      </c>
      <c r="B138" s="958">
        <v>13</v>
      </c>
      <c r="C138" s="958" t="s">
        <v>5555</v>
      </c>
      <c r="D138" s="957" t="s">
        <v>10271</v>
      </c>
      <c r="E138" s="956">
        <v>23065</v>
      </c>
      <c r="F138" s="955"/>
      <c r="L138" s="954"/>
      <c r="M138" s="952"/>
      <c r="N138" s="952"/>
    </row>
    <row r="139" spans="1:14">
      <c r="A139" s="958" t="s">
        <v>356</v>
      </c>
      <c r="B139" s="958">
        <v>14</v>
      </c>
      <c r="C139" s="958" t="s">
        <v>10270</v>
      </c>
      <c r="D139" s="957" t="s">
        <v>10269</v>
      </c>
      <c r="E139" s="956">
        <v>12796</v>
      </c>
      <c r="F139" s="955"/>
      <c r="L139" s="954"/>
      <c r="M139" s="952"/>
      <c r="N139" s="952"/>
    </row>
    <row r="140" spans="1:14">
      <c r="A140" s="958" t="s">
        <v>356</v>
      </c>
      <c r="B140" s="958">
        <v>14</v>
      </c>
      <c r="C140" s="958" t="s">
        <v>1334</v>
      </c>
      <c r="D140" s="957" t="s">
        <v>2749</v>
      </c>
      <c r="E140" s="956">
        <v>15510</v>
      </c>
      <c r="F140" s="955"/>
      <c r="L140" s="954"/>
      <c r="M140" s="952"/>
      <c r="N140" s="952"/>
    </row>
    <row r="141" spans="1:14">
      <c r="A141" s="958" t="s">
        <v>356</v>
      </c>
      <c r="B141" s="958">
        <v>14</v>
      </c>
      <c r="C141" s="958" t="s">
        <v>1332</v>
      </c>
      <c r="D141" s="957" t="s">
        <v>8813</v>
      </c>
      <c r="E141" s="956">
        <v>399213</v>
      </c>
      <c r="F141" s="955"/>
      <c r="L141" s="954"/>
      <c r="M141" s="952"/>
      <c r="N141" s="952"/>
    </row>
    <row r="142" spans="1:14">
      <c r="A142" s="958" t="s">
        <v>356</v>
      </c>
      <c r="B142" s="958">
        <v>14</v>
      </c>
      <c r="C142" s="958" t="s">
        <v>1328</v>
      </c>
      <c r="D142" s="957" t="s">
        <v>7154</v>
      </c>
      <c r="E142" s="956">
        <v>12409</v>
      </c>
      <c r="F142" s="955"/>
      <c r="L142" s="954"/>
      <c r="M142" s="952"/>
      <c r="N142" s="952"/>
    </row>
    <row r="143" spans="1:14">
      <c r="A143" s="958" t="s">
        <v>356</v>
      </c>
      <c r="B143" s="958">
        <v>14</v>
      </c>
      <c r="C143" s="958" t="s">
        <v>1326</v>
      </c>
      <c r="D143" s="957" t="s">
        <v>10268</v>
      </c>
      <c r="E143" s="956">
        <v>18335</v>
      </c>
      <c r="F143" s="955"/>
      <c r="L143" s="954"/>
      <c r="M143" s="952"/>
      <c r="N143" s="952"/>
    </row>
    <row r="144" spans="1:14">
      <c r="A144" s="958" t="s">
        <v>356</v>
      </c>
      <c r="B144" s="958">
        <v>14</v>
      </c>
      <c r="C144" s="958" t="s">
        <v>1324</v>
      </c>
      <c r="D144" s="957" t="s">
        <v>10267</v>
      </c>
      <c r="E144" s="956">
        <v>21926</v>
      </c>
      <c r="F144" s="955"/>
      <c r="L144" s="954"/>
      <c r="M144" s="952"/>
      <c r="N144" s="952"/>
    </row>
    <row r="145" spans="1:14">
      <c r="A145" s="958" t="s">
        <v>356</v>
      </c>
      <c r="B145" s="958">
        <v>14</v>
      </c>
      <c r="C145" s="958" t="s">
        <v>5525</v>
      </c>
      <c r="D145" s="957" t="s">
        <v>10266</v>
      </c>
      <c r="E145" s="956">
        <v>10169</v>
      </c>
      <c r="F145" s="955"/>
      <c r="L145" s="954"/>
      <c r="M145" s="952"/>
      <c r="N145" s="952"/>
    </row>
    <row r="146" spans="1:14">
      <c r="A146" s="958" t="s">
        <v>356</v>
      </c>
      <c r="B146" s="958">
        <v>14</v>
      </c>
      <c r="C146" s="958" t="s">
        <v>10265</v>
      </c>
      <c r="D146" s="957" t="s">
        <v>9130</v>
      </c>
      <c r="E146" s="956">
        <v>11950</v>
      </c>
      <c r="F146" s="955"/>
      <c r="L146" s="954"/>
      <c r="M146" s="952"/>
      <c r="N146" s="952"/>
    </row>
    <row r="147" spans="1:14">
      <c r="A147" s="958" t="s">
        <v>356</v>
      </c>
      <c r="B147" s="958">
        <v>14</v>
      </c>
      <c r="C147" s="958" t="s">
        <v>1320</v>
      </c>
      <c r="D147" s="957" t="s">
        <v>10264</v>
      </c>
      <c r="E147" s="956">
        <v>17853</v>
      </c>
      <c r="F147" s="955"/>
      <c r="L147" s="954"/>
      <c r="M147" s="952"/>
      <c r="N147" s="952"/>
    </row>
    <row r="148" spans="1:14">
      <c r="A148" s="958" t="s">
        <v>356</v>
      </c>
      <c r="B148" s="958">
        <v>14</v>
      </c>
      <c r="C148" s="958" t="s">
        <v>5521</v>
      </c>
      <c r="D148" s="957" t="s">
        <v>10263</v>
      </c>
      <c r="E148" s="956">
        <v>11290</v>
      </c>
      <c r="F148" s="955"/>
      <c r="L148" s="954"/>
      <c r="M148" s="952"/>
      <c r="N148" s="952"/>
    </row>
    <row r="149" spans="1:14">
      <c r="A149" s="958" t="s">
        <v>356</v>
      </c>
      <c r="B149" s="958">
        <v>14</v>
      </c>
      <c r="C149" s="958" t="s">
        <v>5519</v>
      </c>
      <c r="D149" s="957" t="s">
        <v>10262</v>
      </c>
      <c r="E149" s="956">
        <v>17401</v>
      </c>
      <c r="F149" s="955"/>
      <c r="L149" s="954"/>
      <c r="M149" s="952"/>
      <c r="N149" s="952"/>
    </row>
    <row r="150" spans="1:14">
      <c r="A150" s="958" t="s">
        <v>356</v>
      </c>
      <c r="B150" s="958">
        <v>14</v>
      </c>
      <c r="C150" s="958" t="s">
        <v>10261</v>
      </c>
      <c r="D150" s="957" t="s">
        <v>10260</v>
      </c>
      <c r="E150" s="956">
        <v>30163</v>
      </c>
      <c r="F150" s="955"/>
      <c r="L150" s="954"/>
      <c r="M150" s="952"/>
      <c r="N150" s="952"/>
    </row>
    <row r="151" spans="1:14">
      <c r="A151" s="958" t="s">
        <v>356</v>
      </c>
      <c r="B151" s="958">
        <v>14</v>
      </c>
      <c r="C151" s="958" t="s">
        <v>1318</v>
      </c>
      <c r="D151" s="957" t="s">
        <v>10259</v>
      </c>
      <c r="E151" s="956">
        <v>8201</v>
      </c>
      <c r="F151" s="955"/>
      <c r="L151" s="954"/>
      <c r="M151" s="952"/>
      <c r="N151" s="952"/>
    </row>
    <row r="152" spans="1:14">
      <c r="A152" s="958" t="s">
        <v>356</v>
      </c>
      <c r="B152" s="958">
        <v>14</v>
      </c>
      <c r="C152" s="958" t="s">
        <v>1314</v>
      </c>
      <c r="D152" s="957" t="s">
        <v>10258</v>
      </c>
      <c r="E152" s="956">
        <v>7986</v>
      </c>
      <c r="F152" s="955"/>
      <c r="L152" s="954"/>
      <c r="M152" s="952"/>
      <c r="N152" s="952"/>
    </row>
    <row r="153" spans="1:14">
      <c r="A153" s="958" t="s">
        <v>356</v>
      </c>
      <c r="B153" s="958">
        <v>14</v>
      </c>
      <c r="C153" s="958" t="s">
        <v>5515</v>
      </c>
      <c r="D153" s="957" t="s">
        <v>10257</v>
      </c>
      <c r="E153" s="956">
        <v>10559</v>
      </c>
      <c r="F153" s="955"/>
      <c r="L153" s="954"/>
      <c r="M153" s="952"/>
      <c r="N153" s="952"/>
    </row>
    <row r="154" spans="1:14">
      <c r="A154" s="958" t="s">
        <v>365</v>
      </c>
      <c r="B154" s="958">
        <v>15</v>
      </c>
      <c r="C154" s="958" t="s">
        <v>10256</v>
      </c>
      <c r="D154" s="957" t="s">
        <v>10255</v>
      </c>
      <c r="E154" s="956">
        <v>157698</v>
      </c>
      <c r="F154" s="955"/>
      <c r="L154" s="954"/>
      <c r="M154" s="952"/>
      <c r="N154" s="952"/>
    </row>
    <row r="155" spans="1:14">
      <c r="A155" s="958" t="s">
        <v>365</v>
      </c>
      <c r="B155" s="958">
        <v>15</v>
      </c>
      <c r="C155" s="958" t="s">
        <v>10254</v>
      </c>
      <c r="D155" s="957" t="s">
        <v>10253</v>
      </c>
      <c r="E155" s="956">
        <v>7434</v>
      </c>
      <c r="F155" s="955"/>
      <c r="L155" s="954"/>
      <c r="M155" s="952"/>
      <c r="N155" s="952"/>
    </row>
    <row r="156" spans="1:14">
      <c r="A156" s="958" t="s">
        <v>365</v>
      </c>
      <c r="B156" s="958">
        <v>15</v>
      </c>
      <c r="C156" s="958" t="s">
        <v>10252</v>
      </c>
      <c r="D156" s="957" t="s">
        <v>10251</v>
      </c>
      <c r="E156" s="956">
        <v>55591</v>
      </c>
      <c r="F156" s="955"/>
      <c r="L156" s="954"/>
      <c r="M156" s="952"/>
      <c r="N156" s="952"/>
    </row>
    <row r="157" spans="1:14">
      <c r="A157" s="958" t="s">
        <v>365</v>
      </c>
      <c r="B157" s="958">
        <v>15</v>
      </c>
      <c r="C157" s="958" t="s">
        <v>10250</v>
      </c>
      <c r="D157" s="957" t="s">
        <v>10249</v>
      </c>
      <c r="E157" s="956">
        <v>39218</v>
      </c>
      <c r="F157" s="955"/>
      <c r="L157" s="954"/>
      <c r="M157" s="952"/>
      <c r="N157" s="952"/>
    </row>
    <row r="158" spans="1:14">
      <c r="A158" s="958" t="s">
        <v>365</v>
      </c>
      <c r="B158" s="958">
        <v>15</v>
      </c>
      <c r="C158" s="958" t="s">
        <v>10248</v>
      </c>
      <c r="D158" s="957" t="s">
        <v>10247</v>
      </c>
      <c r="E158" s="956">
        <v>27430</v>
      </c>
      <c r="F158" s="955"/>
      <c r="L158" s="954"/>
      <c r="M158" s="952"/>
      <c r="N158" s="952"/>
    </row>
    <row r="159" spans="1:14">
      <c r="A159" s="958" t="s">
        <v>365</v>
      </c>
      <c r="B159" s="958">
        <v>15</v>
      </c>
      <c r="C159" s="958" t="s">
        <v>10246</v>
      </c>
      <c r="D159" s="957" t="s">
        <v>10245</v>
      </c>
      <c r="E159" s="956">
        <v>56789</v>
      </c>
      <c r="F159" s="955"/>
      <c r="L159" s="954"/>
      <c r="M159" s="952"/>
      <c r="N159" s="952"/>
    </row>
    <row r="160" spans="1:14">
      <c r="A160" s="958" t="s">
        <v>365</v>
      </c>
      <c r="B160" s="958">
        <v>15</v>
      </c>
      <c r="C160" s="958" t="s">
        <v>10244</v>
      </c>
      <c r="D160" s="957" t="s">
        <v>10243</v>
      </c>
      <c r="E160" s="956">
        <v>34109</v>
      </c>
      <c r="F160" s="955"/>
      <c r="L160" s="954"/>
      <c r="M160" s="952"/>
      <c r="N160" s="952"/>
    </row>
    <row r="161" spans="1:14">
      <c r="A161" s="958" t="s">
        <v>365</v>
      </c>
      <c r="B161" s="958">
        <v>15</v>
      </c>
      <c r="C161" s="958" t="s">
        <v>10242</v>
      </c>
      <c r="D161" s="957" t="s">
        <v>10241</v>
      </c>
      <c r="E161" s="956">
        <v>114594</v>
      </c>
      <c r="F161" s="955"/>
      <c r="L161" s="954"/>
      <c r="M161" s="952"/>
      <c r="N161" s="952"/>
    </row>
    <row r="162" spans="1:14">
      <c r="A162" s="958" t="s">
        <v>365</v>
      </c>
      <c r="B162" s="958">
        <v>15</v>
      </c>
      <c r="C162" s="958" t="s">
        <v>10240</v>
      </c>
      <c r="D162" s="957" t="s">
        <v>10239</v>
      </c>
      <c r="E162" s="956">
        <v>29277</v>
      </c>
      <c r="F162" s="955"/>
      <c r="L162" s="954"/>
      <c r="M162" s="952"/>
      <c r="N162" s="952"/>
    </row>
    <row r="163" spans="1:14">
      <c r="A163" s="958" t="s">
        <v>365</v>
      </c>
      <c r="B163" s="958">
        <v>15</v>
      </c>
      <c r="C163" s="958" t="s">
        <v>10238</v>
      </c>
      <c r="D163" s="957" t="s">
        <v>10237</v>
      </c>
      <c r="E163" s="956">
        <v>530598</v>
      </c>
      <c r="F163" s="955"/>
      <c r="L163" s="954"/>
      <c r="M163" s="952"/>
      <c r="N163" s="952"/>
    </row>
    <row r="164" spans="1:14">
      <c r="A164" s="958" t="s">
        <v>365</v>
      </c>
      <c r="B164" s="958">
        <v>15</v>
      </c>
      <c r="C164" s="958" t="s">
        <v>10236</v>
      </c>
      <c r="D164" s="957" t="s">
        <v>10235</v>
      </c>
      <c r="E164" s="956">
        <v>27890</v>
      </c>
      <c r="F164" s="955"/>
      <c r="L164" s="954"/>
      <c r="M164" s="952"/>
      <c r="N164" s="952"/>
    </row>
    <row r="165" spans="1:14">
      <c r="A165" s="958" t="s">
        <v>365</v>
      </c>
      <c r="B165" s="958">
        <v>15</v>
      </c>
      <c r="C165" s="958" t="s">
        <v>10234</v>
      </c>
      <c r="D165" s="957" t="s">
        <v>10233</v>
      </c>
      <c r="E165" s="956">
        <v>45998</v>
      </c>
      <c r="F165" s="955"/>
      <c r="L165" s="954"/>
      <c r="M165" s="952"/>
      <c r="N165" s="952"/>
    </row>
    <row r="166" spans="1:14">
      <c r="A166" s="958" t="s">
        <v>365</v>
      </c>
      <c r="B166" s="958">
        <v>15</v>
      </c>
      <c r="C166" s="958" t="s">
        <v>10232</v>
      </c>
      <c r="D166" s="957" t="s">
        <v>10231</v>
      </c>
      <c r="E166" s="956">
        <v>31338</v>
      </c>
      <c r="F166" s="955"/>
      <c r="L166" s="954"/>
      <c r="M166" s="952"/>
      <c r="N166" s="952"/>
    </row>
    <row r="167" spans="1:14">
      <c r="A167" s="958" t="s">
        <v>365</v>
      </c>
      <c r="B167" s="958">
        <v>15</v>
      </c>
      <c r="C167" s="958" t="s">
        <v>10230</v>
      </c>
      <c r="D167" s="957" t="s">
        <v>10229</v>
      </c>
      <c r="E167" s="956">
        <v>16388</v>
      </c>
      <c r="F167" s="955"/>
      <c r="L167" s="954"/>
      <c r="M167" s="952"/>
      <c r="N167" s="952"/>
    </row>
    <row r="168" spans="1:14">
      <c r="A168" s="958" t="s">
        <v>365</v>
      </c>
      <c r="B168" s="958">
        <v>15</v>
      </c>
      <c r="C168" s="958" t="s">
        <v>10228</v>
      </c>
      <c r="D168" s="957" t="s">
        <v>10227</v>
      </c>
      <c r="E168" s="956">
        <v>30673</v>
      </c>
      <c r="F168" s="955"/>
      <c r="L168" s="954"/>
      <c r="M168" s="952"/>
      <c r="N168" s="952"/>
    </row>
    <row r="169" spans="1:14">
      <c r="A169" s="958" t="s">
        <v>365</v>
      </c>
      <c r="B169" s="958">
        <v>15</v>
      </c>
      <c r="C169" s="958" t="s">
        <v>10226</v>
      </c>
      <c r="D169" s="957" t="s">
        <v>10225</v>
      </c>
      <c r="E169" s="956">
        <v>47446</v>
      </c>
      <c r="F169" s="955"/>
      <c r="L169" s="954"/>
      <c r="M169" s="952"/>
      <c r="N169" s="952"/>
    </row>
    <row r="170" spans="1:14">
      <c r="A170" s="958" t="s">
        <v>365</v>
      </c>
      <c r="B170" s="958">
        <v>15</v>
      </c>
      <c r="C170" s="958" t="s">
        <v>10224</v>
      </c>
      <c r="D170" s="957" t="s">
        <v>10223</v>
      </c>
      <c r="E170" s="956">
        <v>3286</v>
      </c>
      <c r="F170" s="955"/>
      <c r="L170" s="954"/>
      <c r="M170" s="952"/>
      <c r="N170" s="952"/>
    </row>
    <row r="171" spans="1:14">
      <c r="A171" s="958" t="s">
        <v>365</v>
      </c>
      <c r="B171" s="958">
        <v>15</v>
      </c>
      <c r="C171" s="958" t="s">
        <v>10222</v>
      </c>
      <c r="D171" s="957" t="s">
        <v>10221</v>
      </c>
      <c r="E171" s="956">
        <v>124680</v>
      </c>
      <c r="F171" s="955"/>
      <c r="L171" s="954"/>
      <c r="M171" s="952"/>
      <c r="N171" s="952"/>
    </row>
    <row r="172" spans="1:14">
      <c r="A172" s="958" t="s">
        <v>365</v>
      </c>
      <c r="B172" s="958">
        <v>15</v>
      </c>
      <c r="C172" s="958" t="s">
        <v>10220</v>
      </c>
      <c r="D172" s="957" t="s">
        <v>8264</v>
      </c>
      <c r="E172" s="956">
        <v>1492745</v>
      </c>
      <c r="F172" s="955"/>
      <c r="L172" s="954"/>
      <c r="M172" s="952"/>
      <c r="N172" s="952"/>
    </row>
    <row r="173" spans="1:14">
      <c r="A173" s="958" t="s">
        <v>365</v>
      </c>
      <c r="B173" s="958">
        <v>15</v>
      </c>
      <c r="C173" s="958" t="s">
        <v>10219</v>
      </c>
      <c r="D173" s="957" t="s">
        <v>10218</v>
      </c>
      <c r="E173" s="956">
        <v>17732</v>
      </c>
      <c r="F173" s="955"/>
      <c r="L173" s="954"/>
      <c r="M173" s="952"/>
      <c r="N173" s="952"/>
    </row>
    <row r="174" spans="1:14">
      <c r="A174" s="958" t="s">
        <v>365</v>
      </c>
      <c r="B174" s="958">
        <v>15</v>
      </c>
      <c r="C174" s="958" t="s">
        <v>10217</v>
      </c>
      <c r="D174" s="957" t="s">
        <v>10216</v>
      </c>
      <c r="E174" s="956">
        <v>62737</v>
      </c>
      <c r="F174" s="955"/>
      <c r="L174" s="954"/>
      <c r="M174" s="952"/>
      <c r="N174" s="952"/>
    </row>
    <row r="175" spans="1:14">
      <c r="A175" s="958" t="s">
        <v>365</v>
      </c>
      <c r="B175" s="958">
        <v>15</v>
      </c>
      <c r="C175" s="958" t="s">
        <v>10215</v>
      </c>
      <c r="D175" s="957" t="s">
        <v>9931</v>
      </c>
      <c r="E175" s="956">
        <v>16981</v>
      </c>
      <c r="F175" s="955"/>
      <c r="L175" s="954"/>
      <c r="M175" s="952"/>
      <c r="N175" s="952"/>
    </row>
    <row r="176" spans="1:14">
      <c r="A176" s="958" t="s">
        <v>365</v>
      </c>
      <c r="B176" s="958">
        <v>15</v>
      </c>
      <c r="C176" s="958" t="s">
        <v>10214</v>
      </c>
      <c r="D176" s="957" t="s">
        <v>1743</v>
      </c>
      <c r="E176" s="956">
        <v>16286</v>
      </c>
      <c r="F176" s="955"/>
      <c r="L176" s="954"/>
      <c r="M176" s="952"/>
      <c r="N176" s="952"/>
    </row>
    <row r="177" spans="1:14">
      <c r="A177" s="958" t="s">
        <v>365</v>
      </c>
      <c r="B177" s="958">
        <v>15</v>
      </c>
      <c r="C177" s="958" t="s">
        <v>10213</v>
      </c>
      <c r="D177" s="957" t="s">
        <v>10212</v>
      </c>
      <c r="E177" s="956">
        <v>127686</v>
      </c>
      <c r="F177" s="955"/>
      <c r="L177" s="954"/>
      <c r="M177" s="952"/>
      <c r="N177" s="952"/>
    </row>
    <row r="178" spans="1:14">
      <c r="A178" s="958" t="s">
        <v>365</v>
      </c>
      <c r="B178" s="958">
        <v>15</v>
      </c>
      <c r="C178" s="958" t="s">
        <v>10211</v>
      </c>
      <c r="D178" s="957" t="s">
        <v>10210</v>
      </c>
      <c r="E178" s="956">
        <v>15086</v>
      </c>
      <c r="F178" s="955"/>
      <c r="L178" s="954"/>
      <c r="M178" s="952"/>
      <c r="N178" s="952"/>
    </row>
    <row r="179" spans="1:14">
      <c r="A179" s="958" t="s">
        <v>365</v>
      </c>
      <c r="B179" s="958">
        <v>15</v>
      </c>
      <c r="C179" s="958" t="s">
        <v>10209</v>
      </c>
      <c r="D179" s="957" t="s">
        <v>10208</v>
      </c>
      <c r="E179" s="956">
        <v>7380</v>
      </c>
      <c r="F179" s="955"/>
      <c r="L179" s="954"/>
      <c r="M179" s="952"/>
      <c r="N179" s="952"/>
    </row>
    <row r="180" spans="1:14">
      <c r="A180" s="958" t="s">
        <v>365</v>
      </c>
      <c r="B180" s="958">
        <v>15</v>
      </c>
      <c r="C180" s="958" t="s">
        <v>10207</v>
      </c>
      <c r="D180" s="957" t="s">
        <v>10206</v>
      </c>
      <c r="E180" s="956">
        <v>66046</v>
      </c>
      <c r="F180" s="955"/>
      <c r="L180" s="954"/>
      <c r="M180" s="952"/>
      <c r="N180" s="952"/>
    </row>
    <row r="181" spans="1:14">
      <c r="A181" s="958" t="s">
        <v>365</v>
      </c>
      <c r="B181" s="958">
        <v>15</v>
      </c>
      <c r="C181" s="958" t="s">
        <v>10205</v>
      </c>
      <c r="D181" s="957" t="s">
        <v>10204</v>
      </c>
      <c r="E181" s="956">
        <v>102701</v>
      </c>
      <c r="F181" s="955"/>
      <c r="L181" s="954"/>
      <c r="M181" s="952"/>
      <c r="N181" s="952"/>
    </row>
    <row r="182" spans="1:14">
      <c r="A182" s="958" t="s">
        <v>365</v>
      </c>
      <c r="B182" s="958">
        <v>15</v>
      </c>
      <c r="C182" s="958" t="s">
        <v>10203</v>
      </c>
      <c r="D182" s="957" t="s">
        <v>10202</v>
      </c>
      <c r="E182" s="956">
        <v>29132</v>
      </c>
      <c r="F182" s="955"/>
      <c r="L182" s="954"/>
      <c r="M182" s="952"/>
      <c r="N182" s="952"/>
    </row>
    <row r="183" spans="1:14">
      <c r="A183" s="958" t="s">
        <v>365</v>
      </c>
      <c r="B183" s="958">
        <v>15</v>
      </c>
      <c r="C183" s="958" t="s">
        <v>10201</v>
      </c>
      <c r="D183" s="957" t="s">
        <v>10200</v>
      </c>
      <c r="E183" s="956">
        <v>33900</v>
      </c>
      <c r="F183" s="955"/>
      <c r="L183" s="954"/>
      <c r="M183" s="952"/>
      <c r="N183" s="952"/>
    </row>
    <row r="184" spans="1:14">
      <c r="A184" s="958" t="s">
        <v>365</v>
      </c>
      <c r="B184" s="958">
        <v>15</v>
      </c>
      <c r="C184" s="958" t="s">
        <v>10199</v>
      </c>
      <c r="D184" s="957" t="s">
        <v>10198</v>
      </c>
      <c r="E184" s="956">
        <v>23767</v>
      </c>
      <c r="F184" s="955"/>
      <c r="L184" s="954"/>
      <c r="M184" s="952"/>
      <c r="N184" s="952"/>
    </row>
    <row r="185" spans="1:14">
      <c r="A185" s="958" t="s">
        <v>365</v>
      </c>
      <c r="B185" s="958">
        <v>15</v>
      </c>
      <c r="C185" s="958" t="s">
        <v>10197</v>
      </c>
      <c r="D185" s="957" t="s">
        <v>10196</v>
      </c>
      <c r="E185" s="956">
        <v>137890</v>
      </c>
      <c r="F185" s="955"/>
      <c r="L185" s="954"/>
      <c r="M185" s="952"/>
      <c r="N185" s="952"/>
    </row>
    <row r="186" spans="1:14">
      <c r="A186" s="958" t="s">
        <v>365</v>
      </c>
      <c r="B186" s="958">
        <v>15</v>
      </c>
      <c r="C186" s="958" t="s">
        <v>10195</v>
      </c>
      <c r="D186" s="957" t="s">
        <v>10194</v>
      </c>
      <c r="E186" s="956">
        <v>37085</v>
      </c>
      <c r="F186" s="955"/>
      <c r="L186" s="954"/>
      <c r="M186" s="952"/>
      <c r="N186" s="952"/>
    </row>
    <row r="187" spans="1:14">
      <c r="A187" s="958" t="s">
        <v>365</v>
      </c>
      <c r="B187" s="958">
        <v>15</v>
      </c>
      <c r="C187" s="958" t="s">
        <v>10193</v>
      </c>
      <c r="D187" s="957" t="s">
        <v>4007</v>
      </c>
      <c r="E187" s="956">
        <v>69027</v>
      </c>
      <c r="F187" s="955"/>
      <c r="L187" s="954"/>
      <c r="M187" s="952"/>
      <c r="N187" s="952"/>
    </row>
    <row r="188" spans="1:14">
      <c r="A188" s="958" t="s">
        <v>365</v>
      </c>
      <c r="B188" s="958">
        <v>15</v>
      </c>
      <c r="C188" s="958" t="s">
        <v>10192</v>
      </c>
      <c r="D188" s="957" t="s">
        <v>10191</v>
      </c>
      <c r="E188" s="956">
        <v>54303</v>
      </c>
      <c r="F188" s="955"/>
      <c r="L188" s="954"/>
      <c r="M188" s="952"/>
      <c r="N188" s="952"/>
    </row>
    <row r="189" spans="1:14">
      <c r="A189" s="958" t="s">
        <v>365</v>
      </c>
      <c r="B189" s="958">
        <v>15</v>
      </c>
      <c r="C189" s="958" t="s">
        <v>10190</v>
      </c>
      <c r="D189" s="957" t="s">
        <v>10189</v>
      </c>
      <c r="E189" s="956">
        <v>200793</v>
      </c>
      <c r="F189" s="955"/>
      <c r="L189" s="954"/>
      <c r="M189" s="952"/>
      <c r="N189" s="952"/>
    </row>
    <row r="190" spans="1:14">
      <c r="A190" s="958" t="s">
        <v>365</v>
      </c>
      <c r="B190" s="958">
        <v>15</v>
      </c>
      <c r="C190" s="958" t="s">
        <v>10188</v>
      </c>
      <c r="D190" s="957" t="s">
        <v>10187</v>
      </c>
      <c r="E190" s="956">
        <v>23717</v>
      </c>
      <c r="F190" s="955"/>
      <c r="L190" s="954"/>
      <c r="M190" s="952"/>
      <c r="N190" s="952"/>
    </row>
    <row r="191" spans="1:14">
      <c r="A191" s="958" t="s">
        <v>365</v>
      </c>
      <c r="B191" s="958">
        <v>15</v>
      </c>
      <c r="C191" s="958" t="s">
        <v>10186</v>
      </c>
      <c r="D191" s="957" t="s">
        <v>10185</v>
      </c>
      <c r="E191" s="956">
        <v>12085</v>
      </c>
      <c r="F191" s="955"/>
      <c r="L191" s="954"/>
      <c r="M191" s="952"/>
      <c r="N191" s="952"/>
    </row>
    <row r="192" spans="1:14">
      <c r="A192" s="958" t="s">
        <v>365</v>
      </c>
      <c r="B192" s="958">
        <v>15</v>
      </c>
      <c r="C192" s="958" t="s">
        <v>10184</v>
      </c>
      <c r="D192" s="957" t="s">
        <v>10183</v>
      </c>
      <c r="E192" s="956">
        <v>47864</v>
      </c>
      <c r="F192" s="955"/>
      <c r="L192" s="954"/>
      <c r="M192" s="952"/>
      <c r="N192" s="952"/>
    </row>
    <row r="193" spans="1:14">
      <c r="A193" s="958" t="s">
        <v>365</v>
      </c>
      <c r="B193" s="958">
        <v>15</v>
      </c>
      <c r="C193" s="958" t="s">
        <v>10182</v>
      </c>
      <c r="D193" s="957" t="s">
        <v>10181</v>
      </c>
      <c r="E193" s="956">
        <v>33318</v>
      </c>
      <c r="F193" s="955"/>
      <c r="L193" s="954"/>
      <c r="M193" s="952"/>
      <c r="N193" s="952"/>
    </row>
    <row r="194" spans="1:14">
      <c r="A194" s="958" t="s">
        <v>365</v>
      </c>
      <c r="B194" s="958">
        <v>15</v>
      </c>
      <c r="C194" s="958" t="s">
        <v>10180</v>
      </c>
      <c r="D194" s="957" t="s">
        <v>10179</v>
      </c>
      <c r="E194" s="956">
        <v>13473</v>
      </c>
      <c r="F194" s="955"/>
      <c r="L194" s="954"/>
      <c r="M194" s="952"/>
      <c r="N194" s="952"/>
    </row>
    <row r="195" spans="1:14">
      <c r="A195" s="958" t="s">
        <v>365</v>
      </c>
      <c r="B195" s="958">
        <v>15</v>
      </c>
      <c r="C195" s="958" t="s">
        <v>10178</v>
      </c>
      <c r="D195" s="957" t="s">
        <v>10177</v>
      </c>
      <c r="E195" s="956">
        <v>17929</v>
      </c>
      <c r="F195" s="955"/>
      <c r="L195" s="954"/>
      <c r="M195" s="952"/>
      <c r="N195" s="952"/>
    </row>
    <row r="196" spans="1:14">
      <c r="A196" s="958" t="s">
        <v>365</v>
      </c>
      <c r="B196" s="958">
        <v>15</v>
      </c>
      <c r="C196" s="958" t="s">
        <v>10176</v>
      </c>
      <c r="D196" s="957" t="s">
        <v>10175</v>
      </c>
      <c r="E196" s="956">
        <v>34448</v>
      </c>
      <c r="F196" s="955"/>
      <c r="L196" s="954"/>
      <c r="M196" s="952"/>
      <c r="N196" s="952"/>
    </row>
    <row r="197" spans="1:14">
      <c r="A197" s="958" t="s">
        <v>365</v>
      </c>
      <c r="B197" s="958">
        <v>15</v>
      </c>
      <c r="C197" s="958" t="s">
        <v>10174</v>
      </c>
      <c r="D197" s="957" t="s">
        <v>10173</v>
      </c>
      <c r="E197" s="956">
        <v>14393</v>
      </c>
      <c r="F197" s="955"/>
      <c r="L197" s="954"/>
      <c r="M197" s="952"/>
      <c r="N197" s="952"/>
    </row>
    <row r="198" spans="1:14">
      <c r="A198" s="958" t="s">
        <v>365</v>
      </c>
      <c r="B198" s="958">
        <v>15</v>
      </c>
      <c r="C198" s="958" t="s">
        <v>10172</v>
      </c>
      <c r="D198" s="957" t="s">
        <v>10171</v>
      </c>
      <c r="E198" s="956">
        <v>40066</v>
      </c>
      <c r="F198" s="955"/>
      <c r="L198" s="954"/>
      <c r="M198" s="952"/>
      <c r="N198" s="952"/>
    </row>
    <row r="199" spans="1:14">
      <c r="A199" s="958" t="s">
        <v>365</v>
      </c>
      <c r="B199" s="958">
        <v>15</v>
      </c>
      <c r="C199" s="958" t="s">
        <v>10170</v>
      </c>
      <c r="D199" s="957" t="s">
        <v>10169</v>
      </c>
      <c r="E199" s="956">
        <v>59719</v>
      </c>
      <c r="F199" s="955"/>
      <c r="L199" s="954"/>
      <c r="M199" s="952"/>
      <c r="N199" s="952"/>
    </row>
    <row r="200" spans="1:14">
      <c r="A200" s="958" t="s">
        <v>365</v>
      </c>
      <c r="B200" s="958">
        <v>15</v>
      </c>
      <c r="C200" s="958" t="s">
        <v>10168</v>
      </c>
      <c r="D200" s="957" t="s">
        <v>10167</v>
      </c>
      <c r="E200" s="956">
        <v>33808</v>
      </c>
      <c r="F200" s="955"/>
      <c r="L200" s="954"/>
      <c r="M200" s="952"/>
      <c r="N200" s="952"/>
    </row>
    <row r="201" spans="1:14">
      <c r="A201" s="958" t="s">
        <v>365</v>
      </c>
      <c r="B201" s="958">
        <v>15</v>
      </c>
      <c r="C201" s="958" t="s">
        <v>10166</v>
      </c>
      <c r="D201" s="957" t="s">
        <v>10165</v>
      </c>
      <c r="E201" s="956">
        <v>7194</v>
      </c>
      <c r="F201" s="955"/>
      <c r="L201" s="954"/>
      <c r="M201" s="952"/>
      <c r="N201" s="952"/>
    </row>
    <row r="202" spans="1:14">
      <c r="A202" s="958" t="s">
        <v>365</v>
      </c>
      <c r="B202" s="958">
        <v>15</v>
      </c>
      <c r="C202" s="958" t="s">
        <v>10164</v>
      </c>
      <c r="D202" s="957" t="s">
        <v>10163</v>
      </c>
      <c r="E202" s="956">
        <v>20304</v>
      </c>
      <c r="F202" s="955"/>
      <c r="L202" s="954"/>
      <c r="M202" s="952"/>
      <c r="N202" s="952"/>
    </row>
    <row r="203" spans="1:14">
      <c r="A203" s="958" t="s">
        <v>365</v>
      </c>
      <c r="B203" s="958">
        <v>15</v>
      </c>
      <c r="C203" s="958" t="s">
        <v>10162</v>
      </c>
      <c r="D203" s="957" t="s">
        <v>10161</v>
      </c>
      <c r="E203" s="956">
        <v>26066</v>
      </c>
      <c r="F203" s="955"/>
      <c r="L203" s="954"/>
      <c r="M203" s="952"/>
      <c r="N203" s="952"/>
    </row>
    <row r="204" spans="1:14">
      <c r="A204" s="958" t="s">
        <v>365</v>
      </c>
      <c r="B204" s="958">
        <v>15</v>
      </c>
      <c r="C204" s="958" t="s">
        <v>10160</v>
      </c>
      <c r="D204" s="957" t="s">
        <v>10159</v>
      </c>
      <c r="E204" s="956">
        <v>40475</v>
      </c>
      <c r="F204" s="955"/>
      <c r="L204" s="954"/>
      <c r="M204" s="952"/>
      <c r="N204" s="952"/>
    </row>
    <row r="205" spans="1:14">
      <c r="A205" s="958" t="s">
        <v>365</v>
      </c>
      <c r="B205" s="958">
        <v>15</v>
      </c>
      <c r="C205" s="958" t="s">
        <v>10158</v>
      </c>
      <c r="D205" s="957" t="s">
        <v>10157</v>
      </c>
      <c r="E205" s="956">
        <v>33376</v>
      </c>
      <c r="F205" s="955"/>
      <c r="L205" s="954"/>
      <c r="M205" s="952"/>
      <c r="N205" s="952"/>
    </row>
    <row r="206" spans="1:14">
      <c r="A206" s="958" t="s">
        <v>365</v>
      </c>
      <c r="B206" s="958">
        <v>15</v>
      </c>
      <c r="C206" s="958" t="s">
        <v>10156</v>
      </c>
      <c r="D206" s="957" t="s">
        <v>10155</v>
      </c>
      <c r="E206" s="956">
        <v>38807</v>
      </c>
      <c r="F206" s="955"/>
      <c r="L206" s="954"/>
      <c r="M206" s="952"/>
      <c r="N206" s="952"/>
    </row>
    <row r="207" spans="1:14">
      <c r="A207" s="958" t="s">
        <v>365</v>
      </c>
      <c r="B207" s="958">
        <v>15</v>
      </c>
      <c r="C207" s="958" t="s">
        <v>10154</v>
      </c>
      <c r="D207" s="957" t="s">
        <v>10153</v>
      </c>
      <c r="E207" s="956">
        <v>62698</v>
      </c>
      <c r="F207" s="955"/>
      <c r="L207" s="954"/>
      <c r="M207" s="952"/>
      <c r="N207" s="952"/>
    </row>
    <row r="208" spans="1:14">
      <c r="A208" s="958" t="s">
        <v>365</v>
      </c>
      <c r="B208" s="958">
        <v>15</v>
      </c>
      <c r="C208" s="958" t="s">
        <v>10152</v>
      </c>
      <c r="D208" s="957" t="s">
        <v>10151</v>
      </c>
      <c r="E208" s="956">
        <v>11711</v>
      </c>
      <c r="F208" s="955"/>
      <c r="L208" s="954"/>
      <c r="M208" s="952"/>
      <c r="N208" s="952"/>
    </row>
    <row r="209" spans="1:14">
      <c r="A209" s="958" t="s">
        <v>365</v>
      </c>
      <c r="B209" s="958">
        <v>15</v>
      </c>
      <c r="C209" s="958" t="s">
        <v>10150</v>
      </c>
      <c r="D209" s="957" t="s">
        <v>10149</v>
      </c>
      <c r="E209" s="956">
        <v>64053</v>
      </c>
      <c r="F209" s="955"/>
      <c r="L209" s="954"/>
      <c r="M209" s="952"/>
      <c r="N209" s="952"/>
    </row>
    <row r="210" spans="1:14">
      <c r="A210" s="958" t="s">
        <v>365</v>
      </c>
      <c r="B210" s="958">
        <v>15</v>
      </c>
      <c r="C210" s="958" t="s">
        <v>10148</v>
      </c>
      <c r="D210" s="957" t="s">
        <v>10147</v>
      </c>
      <c r="E210" s="956">
        <v>32550</v>
      </c>
      <c r="F210" s="955"/>
      <c r="L210" s="954"/>
      <c r="M210" s="952"/>
      <c r="N210" s="952"/>
    </row>
    <row r="211" spans="1:14">
      <c r="A211" s="958" t="s">
        <v>365</v>
      </c>
      <c r="B211" s="958">
        <v>15</v>
      </c>
      <c r="C211" s="958" t="s">
        <v>10146</v>
      </c>
      <c r="D211" s="957" t="s">
        <v>10145</v>
      </c>
      <c r="E211" s="956">
        <v>101247</v>
      </c>
      <c r="F211" s="955"/>
      <c r="L211" s="954"/>
      <c r="M211" s="952"/>
      <c r="N211" s="952"/>
    </row>
    <row r="212" spans="1:14">
      <c r="A212" s="958" t="s">
        <v>365</v>
      </c>
      <c r="B212" s="958">
        <v>15</v>
      </c>
      <c r="C212" s="958" t="s">
        <v>10144</v>
      </c>
      <c r="D212" s="957" t="s">
        <v>10143</v>
      </c>
      <c r="E212" s="956">
        <v>53269</v>
      </c>
      <c r="F212" s="955"/>
      <c r="L212" s="954"/>
      <c r="M212" s="952"/>
      <c r="N212" s="952"/>
    </row>
    <row r="213" spans="1:14" ht="17.25">
      <c r="A213" s="958" t="s">
        <v>365</v>
      </c>
      <c r="B213" s="958">
        <v>15</v>
      </c>
      <c r="C213" s="958" t="s">
        <v>10142</v>
      </c>
      <c r="D213" s="957" t="s">
        <v>10141</v>
      </c>
      <c r="E213" s="956" t="s">
        <v>10140</v>
      </c>
      <c r="F213" s="955"/>
      <c r="L213" s="954"/>
      <c r="M213" s="952"/>
      <c r="N213" s="952"/>
    </row>
    <row r="214" spans="1:14">
      <c r="A214" s="958" t="s">
        <v>365</v>
      </c>
      <c r="B214" s="958">
        <v>15</v>
      </c>
      <c r="C214" s="958" t="s">
        <v>10139</v>
      </c>
      <c r="D214" s="957" t="s">
        <v>10138</v>
      </c>
      <c r="E214" s="956">
        <v>59155</v>
      </c>
      <c r="F214" s="955"/>
      <c r="L214" s="954"/>
      <c r="M214" s="952"/>
      <c r="N214" s="952"/>
    </row>
    <row r="215" spans="1:14">
      <c r="A215" s="958" t="s">
        <v>365</v>
      </c>
      <c r="B215" s="958">
        <v>15</v>
      </c>
      <c r="C215" s="958" t="s">
        <v>10137</v>
      </c>
      <c r="D215" s="957" t="s">
        <v>10136</v>
      </c>
      <c r="E215" s="956">
        <v>57943</v>
      </c>
      <c r="F215" s="955"/>
      <c r="L215" s="954"/>
      <c r="M215" s="952"/>
      <c r="N215" s="952"/>
    </row>
    <row r="216" spans="1:14">
      <c r="A216" s="958" t="s">
        <v>365</v>
      </c>
      <c r="B216" s="958">
        <v>15</v>
      </c>
      <c r="C216" s="958" t="s">
        <v>10135</v>
      </c>
      <c r="D216" s="957" t="s">
        <v>10134</v>
      </c>
      <c r="E216" s="956">
        <v>28935</v>
      </c>
      <c r="F216" s="955"/>
      <c r="L216" s="954"/>
      <c r="M216" s="952"/>
      <c r="N216" s="952"/>
    </row>
    <row r="217" spans="1:14">
      <c r="A217" s="958" t="s">
        <v>365</v>
      </c>
      <c r="B217" s="958">
        <v>15</v>
      </c>
      <c r="C217" s="958" t="s">
        <v>10133</v>
      </c>
      <c r="D217" s="957" t="s">
        <v>10132</v>
      </c>
      <c r="E217" s="956">
        <v>30077</v>
      </c>
      <c r="F217" s="955"/>
      <c r="L217" s="954"/>
      <c r="M217" s="952"/>
      <c r="N217" s="952"/>
    </row>
    <row r="218" spans="1:14">
      <c r="A218" s="958" t="s">
        <v>365</v>
      </c>
      <c r="B218" s="958">
        <v>15</v>
      </c>
      <c r="C218" s="958" t="s">
        <v>10131</v>
      </c>
      <c r="D218" s="957" t="s">
        <v>10130</v>
      </c>
      <c r="E218" s="956">
        <v>8548</v>
      </c>
      <c r="F218" s="955"/>
      <c r="L218" s="954"/>
      <c r="M218" s="952"/>
      <c r="N218" s="952"/>
    </row>
    <row r="219" spans="1:14">
      <c r="A219" s="958" t="s">
        <v>365</v>
      </c>
      <c r="B219" s="958">
        <v>15</v>
      </c>
      <c r="C219" s="958" t="s">
        <v>10129</v>
      </c>
      <c r="D219" s="957" t="s">
        <v>10128</v>
      </c>
      <c r="E219" s="956">
        <v>279349</v>
      </c>
      <c r="F219" s="955"/>
      <c r="L219" s="954"/>
      <c r="M219" s="952"/>
      <c r="N219" s="952"/>
    </row>
    <row r="220" spans="1:14">
      <c r="A220" s="958" t="s">
        <v>365</v>
      </c>
      <c r="B220" s="958">
        <v>15</v>
      </c>
      <c r="C220" s="958" t="s">
        <v>10127</v>
      </c>
      <c r="D220" s="957" t="s">
        <v>10126</v>
      </c>
      <c r="E220" s="956">
        <v>29473</v>
      </c>
      <c r="F220" s="955"/>
      <c r="L220" s="954"/>
      <c r="M220" s="952"/>
      <c r="N220" s="952"/>
    </row>
    <row r="221" spans="1:14">
      <c r="A221" s="958" t="s">
        <v>365</v>
      </c>
      <c r="B221" s="958">
        <v>15</v>
      </c>
      <c r="C221" s="958" t="s">
        <v>10125</v>
      </c>
      <c r="D221" s="957" t="s">
        <v>10124</v>
      </c>
      <c r="E221" s="956">
        <v>28336</v>
      </c>
      <c r="F221" s="955"/>
      <c r="L221" s="954"/>
      <c r="M221" s="952"/>
      <c r="N221" s="952"/>
    </row>
    <row r="222" spans="1:14">
      <c r="A222" s="958" t="s">
        <v>365</v>
      </c>
      <c r="B222" s="958">
        <v>15</v>
      </c>
      <c r="C222" s="958" t="s">
        <v>10123</v>
      </c>
      <c r="D222" s="957" t="s">
        <v>10122</v>
      </c>
      <c r="E222" s="956">
        <v>131521</v>
      </c>
      <c r="F222" s="955"/>
      <c r="L222" s="954"/>
      <c r="M222" s="952"/>
      <c r="N222" s="952"/>
    </row>
    <row r="223" spans="1:14">
      <c r="A223" s="958" t="s">
        <v>365</v>
      </c>
      <c r="B223" s="958">
        <v>15</v>
      </c>
      <c r="C223" s="958" t="s">
        <v>10121</v>
      </c>
      <c r="D223" s="957" t="s">
        <v>10120</v>
      </c>
      <c r="E223" s="956">
        <v>31597</v>
      </c>
      <c r="F223" s="955"/>
      <c r="L223" s="954"/>
      <c r="M223" s="952"/>
      <c r="N223" s="952"/>
    </row>
    <row r="224" spans="1:14">
      <c r="A224" s="958" t="s">
        <v>365</v>
      </c>
      <c r="B224" s="958">
        <v>15</v>
      </c>
      <c r="C224" s="958" t="s">
        <v>10119</v>
      </c>
      <c r="D224" s="957" t="s">
        <v>10118</v>
      </c>
      <c r="E224" s="956">
        <v>27654</v>
      </c>
      <c r="F224" s="955"/>
      <c r="L224" s="954"/>
      <c r="M224" s="952"/>
      <c r="N224" s="952"/>
    </row>
    <row r="225" spans="1:14">
      <c r="A225" s="958" t="s">
        <v>365</v>
      </c>
      <c r="B225" s="958">
        <v>15</v>
      </c>
      <c r="C225" s="958" t="s">
        <v>10117</v>
      </c>
      <c r="D225" s="957" t="s">
        <v>10116</v>
      </c>
      <c r="E225" s="956">
        <v>31136</v>
      </c>
      <c r="F225" s="955"/>
      <c r="L225" s="954"/>
      <c r="M225" s="952"/>
      <c r="N225" s="952"/>
    </row>
    <row r="226" spans="1:14">
      <c r="A226" s="958" t="s">
        <v>365</v>
      </c>
      <c r="B226" s="958">
        <v>15</v>
      </c>
      <c r="C226" s="958" t="s">
        <v>10115</v>
      </c>
      <c r="D226" s="957" t="s">
        <v>10114</v>
      </c>
      <c r="E226" s="956">
        <v>82094</v>
      </c>
      <c r="F226" s="955"/>
      <c r="L226" s="954"/>
      <c r="M226" s="952"/>
      <c r="N226" s="952"/>
    </row>
    <row r="227" spans="1:14">
      <c r="A227" s="958" t="s">
        <v>365</v>
      </c>
      <c r="B227" s="958">
        <v>15</v>
      </c>
      <c r="C227" s="958" t="s">
        <v>10113</v>
      </c>
      <c r="D227" s="957" t="s">
        <v>10112</v>
      </c>
      <c r="E227" s="956">
        <v>16084</v>
      </c>
      <c r="F227" s="955"/>
      <c r="L227" s="954"/>
      <c r="M227" s="952"/>
      <c r="N227" s="952"/>
    </row>
    <row r="228" spans="1:14">
      <c r="A228" s="958" t="s">
        <v>365</v>
      </c>
      <c r="B228" s="958">
        <v>15</v>
      </c>
      <c r="C228" s="958" t="s">
        <v>10111</v>
      </c>
      <c r="D228" s="957" t="s">
        <v>8939</v>
      </c>
      <c r="E228" s="956">
        <v>58032</v>
      </c>
      <c r="F228" s="955"/>
      <c r="L228" s="954"/>
      <c r="M228" s="952"/>
      <c r="N228" s="952"/>
    </row>
    <row r="229" spans="1:14">
      <c r="A229" s="958" t="s">
        <v>365</v>
      </c>
      <c r="B229" s="958">
        <v>15</v>
      </c>
      <c r="C229" s="958" t="s">
        <v>10110</v>
      </c>
      <c r="D229" s="957" t="s">
        <v>10109</v>
      </c>
      <c r="E229" s="956">
        <v>40349</v>
      </c>
      <c r="F229" s="955"/>
      <c r="L229" s="954"/>
      <c r="M229" s="952"/>
      <c r="N229" s="952"/>
    </row>
    <row r="230" spans="1:14">
      <c r="A230" s="958" t="s">
        <v>365</v>
      </c>
      <c r="B230" s="958">
        <v>15</v>
      </c>
      <c r="C230" s="958" t="s">
        <v>10108</v>
      </c>
      <c r="D230" s="957" t="s">
        <v>10107</v>
      </c>
      <c r="E230" s="956">
        <v>21368</v>
      </c>
      <c r="F230" s="955"/>
      <c r="L230" s="954"/>
      <c r="M230" s="952"/>
      <c r="N230" s="952"/>
    </row>
    <row r="231" spans="1:14">
      <c r="A231" s="958" t="s">
        <v>365</v>
      </c>
      <c r="B231" s="958">
        <v>15</v>
      </c>
      <c r="C231" s="958" t="s">
        <v>10106</v>
      </c>
      <c r="D231" s="957" t="s">
        <v>10105</v>
      </c>
      <c r="E231" s="956">
        <v>16678</v>
      </c>
      <c r="F231" s="955"/>
      <c r="L231" s="954"/>
      <c r="M231" s="952"/>
      <c r="N231" s="952"/>
    </row>
    <row r="232" spans="1:14">
      <c r="A232" s="958" t="s">
        <v>365</v>
      </c>
      <c r="B232" s="958">
        <v>15</v>
      </c>
      <c r="C232" s="958" t="s">
        <v>10104</v>
      </c>
      <c r="D232" s="957" t="s">
        <v>10103</v>
      </c>
      <c r="E232" s="956">
        <v>15363</v>
      </c>
      <c r="F232" s="955"/>
      <c r="L232" s="954"/>
      <c r="M232" s="952"/>
      <c r="N232" s="952"/>
    </row>
    <row r="233" spans="1:14">
      <c r="A233" s="958" t="s">
        <v>365</v>
      </c>
      <c r="B233" s="958">
        <v>15</v>
      </c>
      <c r="C233" s="958" t="s">
        <v>10102</v>
      </c>
      <c r="D233" s="957" t="s">
        <v>10101</v>
      </c>
      <c r="E233" s="956">
        <v>25762</v>
      </c>
      <c r="F233" s="955"/>
      <c r="L233" s="954"/>
      <c r="M233" s="952"/>
      <c r="N233" s="952"/>
    </row>
    <row r="234" spans="1:14">
      <c r="A234" s="958" t="s">
        <v>365</v>
      </c>
      <c r="B234" s="958">
        <v>15</v>
      </c>
      <c r="C234" s="958" t="s">
        <v>10100</v>
      </c>
      <c r="D234" s="957" t="s">
        <v>10099</v>
      </c>
      <c r="E234" s="956">
        <v>75919</v>
      </c>
      <c r="F234" s="955"/>
      <c r="L234" s="954"/>
      <c r="M234" s="952"/>
      <c r="N234" s="952"/>
    </row>
    <row r="235" spans="1:14">
      <c r="A235" s="958" t="s">
        <v>365</v>
      </c>
      <c r="B235" s="958">
        <v>15</v>
      </c>
      <c r="C235" s="958" t="s">
        <v>10098</v>
      </c>
      <c r="D235" s="957" t="s">
        <v>10097</v>
      </c>
      <c r="E235" s="956">
        <v>52137</v>
      </c>
      <c r="F235" s="955"/>
      <c r="L235" s="954"/>
      <c r="M235" s="952"/>
      <c r="N235" s="952"/>
    </row>
    <row r="236" spans="1:14">
      <c r="A236" s="958" t="s">
        <v>365</v>
      </c>
      <c r="B236" s="958">
        <v>15</v>
      </c>
      <c r="C236" s="958" t="s">
        <v>10096</v>
      </c>
      <c r="D236" s="957" t="s">
        <v>10095</v>
      </c>
      <c r="E236" s="956">
        <v>32512</v>
      </c>
      <c r="F236" s="955"/>
      <c r="L236" s="954"/>
      <c r="M236" s="952"/>
      <c r="N236" s="952"/>
    </row>
    <row r="237" spans="1:14">
      <c r="A237" s="958" t="s">
        <v>365</v>
      </c>
      <c r="B237" s="958">
        <v>15</v>
      </c>
      <c r="C237" s="958" t="s">
        <v>10094</v>
      </c>
      <c r="D237" s="957" t="s">
        <v>10093</v>
      </c>
      <c r="E237" s="956">
        <v>73096</v>
      </c>
      <c r="F237" s="955"/>
      <c r="L237" s="954"/>
      <c r="M237" s="952"/>
      <c r="N237" s="952"/>
    </row>
    <row r="238" spans="1:14">
      <c r="A238" s="958" t="s">
        <v>365</v>
      </c>
      <c r="B238" s="958">
        <v>15</v>
      </c>
      <c r="C238" s="958" t="s">
        <v>10092</v>
      </c>
      <c r="D238" s="957" t="s">
        <v>10091</v>
      </c>
      <c r="E238" s="956">
        <v>17842</v>
      </c>
      <c r="F238" s="955"/>
      <c r="L238" s="954"/>
      <c r="M238" s="952"/>
      <c r="N238" s="952"/>
    </row>
    <row r="239" spans="1:14">
      <c r="A239" s="958" t="s">
        <v>365</v>
      </c>
      <c r="B239" s="958">
        <v>15</v>
      </c>
      <c r="C239" s="958" t="s">
        <v>10090</v>
      </c>
      <c r="D239" s="957" t="s">
        <v>10089</v>
      </c>
      <c r="E239" s="956">
        <v>32832</v>
      </c>
      <c r="F239" s="955"/>
      <c r="L239" s="954"/>
      <c r="M239" s="952"/>
      <c r="N239" s="952"/>
    </row>
    <row r="240" spans="1:14">
      <c r="A240" s="958" t="s">
        <v>365</v>
      </c>
      <c r="B240" s="958">
        <v>15</v>
      </c>
      <c r="C240" s="958" t="s">
        <v>10088</v>
      </c>
      <c r="D240" s="957" t="s">
        <v>10087</v>
      </c>
      <c r="E240" s="956">
        <v>47706</v>
      </c>
      <c r="F240" s="955"/>
      <c r="L240" s="954"/>
      <c r="M240" s="952"/>
      <c r="N240" s="952"/>
    </row>
    <row r="241" spans="1:14">
      <c r="A241" s="958" t="s">
        <v>365</v>
      </c>
      <c r="B241" s="958">
        <v>15</v>
      </c>
      <c r="C241" s="958" t="s">
        <v>10086</v>
      </c>
      <c r="D241" s="957" t="s">
        <v>10085</v>
      </c>
      <c r="E241" s="956">
        <v>7589</v>
      </c>
      <c r="F241" s="955"/>
      <c r="L241" s="954"/>
      <c r="M241" s="952"/>
      <c r="N241" s="952"/>
    </row>
    <row r="242" spans="1:14">
      <c r="A242" s="958" t="s">
        <v>365</v>
      </c>
      <c r="B242" s="958">
        <v>15</v>
      </c>
      <c r="C242" s="958" t="s">
        <v>10084</v>
      </c>
      <c r="D242" s="957" t="s">
        <v>10083</v>
      </c>
      <c r="E242" s="956">
        <v>113145</v>
      </c>
      <c r="F242" s="955"/>
      <c r="L242" s="954"/>
      <c r="M242" s="952"/>
      <c r="N242" s="952"/>
    </row>
    <row r="243" spans="1:14">
      <c r="A243" s="958" t="s">
        <v>365</v>
      </c>
      <c r="B243" s="958">
        <v>15</v>
      </c>
      <c r="C243" s="958" t="s">
        <v>10082</v>
      </c>
      <c r="D243" s="957" t="s">
        <v>10081</v>
      </c>
      <c r="E243" s="956">
        <v>208273</v>
      </c>
      <c r="F243" s="955"/>
      <c r="L243" s="954"/>
      <c r="M243" s="952"/>
      <c r="N243" s="952"/>
    </row>
    <row r="244" spans="1:14">
      <c r="A244" s="958" t="s">
        <v>365</v>
      </c>
      <c r="B244" s="958">
        <v>15</v>
      </c>
      <c r="C244" s="958" t="s">
        <v>10080</v>
      </c>
      <c r="D244" s="957" t="s">
        <v>9859</v>
      </c>
      <c r="E244" s="956">
        <v>5483</v>
      </c>
      <c r="F244" s="955"/>
      <c r="L244" s="954"/>
      <c r="M244" s="952"/>
      <c r="N244" s="952"/>
    </row>
    <row r="245" spans="1:14">
      <c r="A245" s="958" t="s">
        <v>365</v>
      </c>
      <c r="B245" s="958">
        <v>15</v>
      </c>
      <c r="C245" s="958" t="s">
        <v>10079</v>
      </c>
      <c r="D245" s="957" t="s">
        <v>10078</v>
      </c>
      <c r="E245" s="956">
        <v>8077</v>
      </c>
      <c r="F245" s="955"/>
      <c r="L245" s="954"/>
      <c r="M245" s="952"/>
      <c r="N245" s="952"/>
    </row>
    <row r="246" spans="1:14">
      <c r="A246" s="958" t="s">
        <v>365</v>
      </c>
      <c r="B246" s="958">
        <v>15</v>
      </c>
      <c r="C246" s="958" t="s">
        <v>10077</v>
      </c>
      <c r="D246" s="957" t="s">
        <v>10076</v>
      </c>
      <c r="E246" s="956">
        <v>12981</v>
      </c>
      <c r="F246" s="955"/>
      <c r="L246" s="954"/>
      <c r="M246" s="952"/>
      <c r="N246" s="952"/>
    </row>
    <row r="247" spans="1:14">
      <c r="A247" s="958" t="s">
        <v>365</v>
      </c>
      <c r="B247" s="958">
        <v>15</v>
      </c>
      <c r="C247" s="958" t="s">
        <v>10075</v>
      </c>
      <c r="D247" s="957" t="s">
        <v>10074</v>
      </c>
      <c r="E247" s="956">
        <v>30982</v>
      </c>
      <c r="F247" s="955"/>
      <c r="L247" s="954"/>
      <c r="M247" s="952"/>
      <c r="N247" s="952"/>
    </row>
    <row r="248" spans="1:14">
      <c r="A248" s="958" t="s">
        <v>365</v>
      </c>
      <c r="B248" s="958">
        <v>15</v>
      </c>
      <c r="C248" s="958" t="s">
        <v>10073</v>
      </c>
      <c r="D248" s="957" t="s">
        <v>10072</v>
      </c>
      <c r="E248" s="956">
        <v>31082</v>
      </c>
      <c r="F248" s="955"/>
      <c r="L248" s="954"/>
      <c r="M248" s="952"/>
      <c r="N248" s="952"/>
    </row>
    <row r="249" spans="1:14">
      <c r="A249" s="958" t="s">
        <v>365</v>
      </c>
      <c r="B249" s="958">
        <v>15</v>
      </c>
      <c r="C249" s="958" t="s">
        <v>10071</v>
      </c>
      <c r="D249" s="957" t="s">
        <v>10070</v>
      </c>
      <c r="E249" s="956">
        <v>62043</v>
      </c>
      <c r="F249" s="955"/>
      <c r="L249" s="954"/>
      <c r="M249" s="952"/>
      <c r="N249" s="952"/>
    </row>
    <row r="250" spans="1:14">
      <c r="A250" s="958" t="s">
        <v>365</v>
      </c>
      <c r="B250" s="958">
        <v>15</v>
      </c>
      <c r="C250" s="958" t="s">
        <v>10069</v>
      </c>
      <c r="D250" s="957" t="s">
        <v>10068</v>
      </c>
      <c r="E250" s="956">
        <v>41135</v>
      </c>
      <c r="F250" s="955"/>
      <c r="L250" s="954"/>
      <c r="M250" s="952"/>
      <c r="N250" s="952"/>
    </row>
    <row r="251" spans="1:14">
      <c r="A251" s="958" t="s">
        <v>365</v>
      </c>
      <c r="B251" s="958">
        <v>15</v>
      </c>
      <c r="C251" s="958" t="s">
        <v>10067</v>
      </c>
      <c r="D251" s="957" t="s">
        <v>10066</v>
      </c>
      <c r="E251" s="956">
        <v>29866</v>
      </c>
      <c r="F251" s="955"/>
      <c r="L251" s="954"/>
      <c r="M251" s="952"/>
      <c r="N251" s="952"/>
    </row>
    <row r="252" spans="1:14">
      <c r="A252" s="958" t="s">
        <v>365</v>
      </c>
      <c r="B252" s="958">
        <v>15</v>
      </c>
      <c r="C252" s="958" t="s">
        <v>10065</v>
      </c>
      <c r="D252" s="957" t="s">
        <v>8328</v>
      </c>
      <c r="E252" s="956">
        <v>10825</v>
      </c>
      <c r="F252" s="955"/>
      <c r="L252" s="954"/>
      <c r="M252" s="952"/>
      <c r="N252" s="952"/>
    </row>
    <row r="253" spans="1:14">
      <c r="A253" s="958" t="s">
        <v>365</v>
      </c>
      <c r="B253" s="958">
        <v>15</v>
      </c>
      <c r="C253" s="958" t="s">
        <v>10064</v>
      </c>
      <c r="D253" s="957" t="s">
        <v>10063</v>
      </c>
      <c r="E253" s="956">
        <v>13608</v>
      </c>
      <c r="F253" s="955"/>
      <c r="L253" s="954"/>
      <c r="M253" s="952"/>
      <c r="N253" s="952"/>
    </row>
    <row r="254" spans="1:14">
      <c r="A254" s="958" t="s">
        <v>365</v>
      </c>
      <c r="B254" s="958">
        <v>15</v>
      </c>
      <c r="C254" s="958" t="s">
        <v>10062</v>
      </c>
      <c r="D254" s="957" t="s">
        <v>9056</v>
      </c>
      <c r="E254" s="956">
        <v>84787</v>
      </c>
      <c r="F254" s="955"/>
      <c r="L254" s="954"/>
      <c r="M254" s="952"/>
      <c r="N254" s="952"/>
    </row>
    <row r="255" spans="1:14">
      <c r="A255" s="958" t="s">
        <v>365</v>
      </c>
      <c r="B255" s="958">
        <v>15</v>
      </c>
      <c r="C255" s="958" t="s">
        <v>10061</v>
      </c>
      <c r="D255" s="957" t="s">
        <v>10060</v>
      </c>
      <c r="E255" s="956">
        <v>18193</v>
      </c>
      <c r="F255" s="955"/>
      <c r="L255" s="954"/>
      <c r="M255" s="952"/>
      <c r="N255" s="952"/>
    </row>
    <row r="256" spans="1:14">
      <c r="A256" s="958" t="s">
        <v>365</v>
      </c>
      <c r="B256" s="958">
        <v>15</v>
      </c>
      <c r="C256" s="958" t="s">
        <v>10059</v>
      </c>
      <c r="D256" s="957" t="s">
        <v>10058</v>
      </c>
      <c r="E256" s="956">
        <v>52357</v>
      </c>
      <c r="F256" s="955"/>
      <c r="L256" s="954"/>
      <c r="M256" s="952"/>
      <c r="N256" s="952"/>
    </row>
    <row r="257" spans="1:14">
      <c r="A257" s="958" t="s">
        <v>365</v>
      </c>
      <c r="B257" s="958">
        <v>15</v>
      </c>
      <c r="C257" s="958" t="s">
        <v>10057</v>
      </c>
      <c r="D257" s="957" t="s">
        <v>10056</v>
      </c>
      <c r="E257" s="956">
        <v>50510</v>
      </c>
      <c r="F257" s="955"/>
      <c r="L257" s="954"/>
      <c r="M257" s="952"/>
      <c r="N257" s="952"/>
    </row>
    <row r="258" spans="1:14">
      <c r="A258" s="958" t="s">
        <v>365</v>
      </c>
      <c r="B258" s="958">
        <v>15</v>
      </c>
      <c r="C258" s="958" t="s">
        <v>10055</v>
      </c>
      <c r="D258" s="957" t="s">
        <v>10054</v>
      </c>
      <c r="E258" s="956">
        <v>40675</v>
      </c>
      <c r="F258" s="955"/>
      <c r="L258" s="954"/>
      <c r="M258" s="952"/>
      <c r="N258" s="952"/>
    </row>
    <row r="259" spans="1:14">
      <c r="A259" s="958" t="s">
        <v>365</v>
      </c>
      <c r="B259" s="958">
        <v>15</v>
      </c>
      <c r="C259" s="958" t="s">
        <v>10053</v>
      </c>
      <c r="D259" s="957" t="s">
        <v>10052</v>
      </c>
      <c r="E259" s="956">
        <v>23752</v>
      </c>
      <c r="F259" s="955"/>
      <c r="L259" s="954"/>
      <c r="M259" s="952"/>
      <c r="N259" s="952"/>
    </row>
    <row r="260" spans="1:14">
      <c r="A260" s="958" t="s">
        <v>365</v>
      </c>
      <c r="B260" s="958">
        <v>15</v>
      </c>
      <c r="C260" s="958" t="s">
        <v>10051</v>
      </c>
      <c r="D260" s="957" t="s">
        <v>10050</v>
      </c>
      <c r="E260" s="956">
        <v>21079</v>
      </c>
      <c r="F260" s="955"/>
      <c r="L260" s="954"/>
      <c r="M260" s="952"/>
      <c r="N260" s="952"/>
    </row>
    <row r="261" spans="1:14">
      <c r="A261" s="958" t="s">
        <v>365</v>
      </c>
      <c r="B261" s="958">
        <v>15</v>
      </c>
      <c r="C261" s="958" t="s">
        <v>10049</v>
      </c>
      <c r="D261" s="957" t="s">
        <v>10048</v>
      </c>
      <c r="E261" s="956">
        <v>10128</v>
      </c>
      <c r="F261" s="955"/>
      <c r="L261" s="954"/>
      <c r="M261" s="952"/>
      <c r="N261" s="952"/>
    </row>
    <row r="262" spans="1:14">
      <c r="A262" s="958" t="s">
        <v>365</v>
      </c>
      <c r="B262" s="958">
        <v>15</v>
      </c>
      <c r="C262" s="958" t="s">
        <v>10047</v>
      </c>
      <c r="D262" s="957" t="s">
        <v>10046</v>
      </c>
      <c r="E262" s="956">
        <v>70801</v>
      </c>
      <c r="F262" s="955"/>
      <c r="L262" s="954"/>
      <c r="M262" s="952"/>
      <c r="N262" s="952"/>
    </row>
    <row r="263" spans="1:14">
      <c r="A263" s="958" t="s">
        <v>365</v>
      </c>
      <c r="B263" s="958">
        <v>15</v>
      </c>
      <c r="C263" s="958" t="s">
        <v>10045</v>
      </c>
      <c r="D263" s="957" t="s">
        <v>10044</v>
      </c>
      <c r="E263" s="956">
        <v>19848</v>
      </c>
      <c r="F263" s="955"/>
      <c r="L263" s="954"/>
      <c r="M263" s="952"/>
      <c r="N263" s="952"/>
    </row>
    <row r="264" spans="1:14">
      <c r="A264" s="958" t="s">
        <v>365</v>
      </c>
      <c r="B264" s="958">
        <v>15</v>
      </c>
      <c r="C264" s="958" t="s">
        <v>10043</v>
      </c>
      <c r="D264" s="957" t="s">
        <v>10042</v>
      </c>
      <c r="E264" s="956">
        <v>21449</v>
      </c>
      <c r="F264" s="955"/>
      <c r="L264" s="954"/>
      <c r="M264" s="952"/>
      <c r="N264" s="952"/>
    </row>
    <row r="265" spans="1:14">
      <c r="A265" s="958" t="s">
        <v>365</v>
      </c>
      <c r="B265" s="958">
        <v>15</v>
      </c>
      <c r="C265" s="958" t="s">
        <v>10041</v>
      </c>
      <c r="D265" s="957" t="s">
        <v>10040</v>
      </c>
      <c r="E265" s="956">
        <v>24861</v>
      </c>
      <c r="F265" s="955"/>
      <c r="L265" s="954"/>
      <c r="M265" s="952"/>
      <c r="N265" s="952"/>
    </row>
    <row r="266" spans="1:14">
      <c r="A266" s="958" t="s">
        <v>365</v>
      </c>
      <c r="B266" s="958">
        <v>15</v>
      </c>
      <c r="C266" s="958" t="s">
        <v>10039</v>
      </c>
      <c r="D266" s="957" t="s">
        <v>10038</v>
      </c>
      <c r="E266" s="956">
        <v>72817</v>
      </c>
      <c r="F266" s="955"/>
      <c r="L266" s="954"/>
      <c r="M266" s="952"/>
      <c r="N266" s="952"/>
    </row>
    <row r="267" spans="1:14">
      <c r="A267" s="958" t="s">
        <v>365</v>
      </c>
      <c r="B267" s="958">
        <v>15</v>
      </c>
      <c r="C267" s="958" t="s">
        <v>10037</v>
      </c>
      <c r="D267" s="957" t="s">
        <v>10036</v>
      </c>
      <c r="E267" s="956">
        <v>304589</v>
      </c>
      <c r="F267" s="955"/>
      <c r="L267" s="954"/>
      <c r="M267" s="952"/>
      <c r="N267" s="952"/>
    </row>
    <row r="268" spans="1:14">
      <c r="A268" s="958" t="s">
        <v>365</v>
      </c>
      <c r="B268" s="958">
        <v>15</v>
      </c>
      <c r="C268" s="958" t="s">
        <v>10035</v>
      </c>
      <c r="D268" s="957" t="s">
        <v>10034</v>
      </c>
      <c r="E268" s="956">
        <v>6709</v>
      </c>
      <c r="F268" s="955"/>
      <c r="L268" s="954"/>
      <c r="M268" s="952"/>
      <c r="N268" s="952"/>
    </row>
    <row r="269" spans="1:14">
      <c r="A269" s="958" t="s">
        <v>365</v>
      </c>
      <c r="B269" s="958">
        <v>15</v>
      </c>
      <c r="C269" s="958" t="s">
        <v>10033</v>
      </c>
      <c r="D269" s="957" t="s">
        <v>10032</v>
      </c>
      <c r="E269" s="956">
        <v>31482</v>
      </c>
      <c r="F269" s="955"/>
      <c r="L269" s="954"/>
      <c r="M269" s="952"/>
      <c r="N269" s="952"/>
    </row>
    <row r="270" spans="1:14">
      <c r="A270" s="958" t="s">
        <v>365</v>
      </c>
      <c r="B270" s="958">
        <v>15</v>
      </c>
      <c r="C270" s="958" t="s">
        <v>10031</v>
      </c>
      <c r="D270" s="957" t="s">
        <v>10030</v>
      </c>
      <c r="E270" s="956">
        <v>18050</v>
      </c>
      <c r="F270" s="955"/>
      <c r="L270" s="954"/>
      <c r="M270" s="952"/>
      <c r="N270" s="952"/>
    </row>
    <row r="271" spans="1:14">
      <c r="A271" s="958" t="s">
        <v>365</v>
      </c>
      <c r="B271" s="958">
        <v>15</v>
      </c>
      <c r="C271" s="958" t="s">
        <v>10029</v>
      </c>
      <c r="D271" s="957" t="s">
        <v>10028</v>
      </c>
      <c r="E271" s="956">
        <v>25557</v>
      </c>
      <c r="F271" s="955"/>
      <c r="L271" s="954"/>
      <c r="M271" s="952"/>
      <c r="N271" s="952"/>
    </row>
    <row r="272" spans="1:14">
      <c r="A272" s="958" t="s">
        <v>365</v>
      </c>
      <c r="B272" s="958">
        <v>15</v>
      </c>
      <c r="C272" s="958" t="s">
        <v>10027</v>
      </c>
      <c r="D272" s="957" t="s">
        <v>10026</v>
      </c>
      <c r="E272" s="956">
        <v>31989</v>
      </c>
      <c r="F272" s="955"/>
      <c r="L272" s="954"/>
      <c r="M272" s="952"/>
      <c r="N272" s="952"/>
    </row>
    <row r="273" spans="1:14">
      <c r="A273" s="958" t="s">
        <v>365</v>
      </c>
      <c r="B273" s="958">
        <v>15</v>
      </c>
      <c r="C273" s="958" t="s">
        <v>10025</v>
      </c>
      <c r="D273" s="957" t="s">
        <v>10024</v>
      </c>
      <c r="E273" s="956">
        <v>128481</v>
      </c>
      <c r="F273" s="955"/>
      <c r="L273" s="954"/>
      <c r="M273" s="952"/>
      <c r="N273" s="952"/>
    </row>
    <row r="274" spans="1:14">
      <c r="A274" s="958" t="s">
        <v>365</v>
      </c>
      <c r="B274" s="958">
        <v>15</v>
      </c>
      <c r="C274" s="958" t="s">
        <v>10023</v>
      </c>
      <c r="D274" s="957" t="s">
        <v>10022</v>
      </c>
      <c r="E274" s="956">
        <v>15882</v>
      </c>
      <c r="F274" s="955"/>
      <c r="L274" s="954"/>
      <c r="M274" s="952"/>
      <c r="N274" s="952"/>
    </row>
    <row r="275" spans="1:14">
      <c r="A275" s="958" t="s">
        <v>365</v>
      </c>
      <c r="B275" s="958">
        <v>15</v>
      </c>
      <c r="C275" s="958" t="s">
        <v>10021</v>
      </c>
      <c r="D275" s="957" t="s">
        <v>10020</v>
      </c>
      <c r="E275" s="956">
        <v>24847</v>
      </c>
      <c r="F275" s="955"/>
      <c r="L275" s="954"/>
      <c r="M275" s="952"/>
      <c r="N275" s="952"/>
    </row>
    <row r="276" spans="1:14">
      <c r="A276" s="958" t="s">
        <v>365</v>
      </c>
      <c r="B276" s="958">
        <v>15</v>
      </c>
      <c r="C276" s="958" t="s">
        <v>10019</v>
      </c>
      <c r="D276" s="957" t="s">
        <v>10018</v>
      </c>
      <c r="E276" s="956">
        <v>6139</v>
      </c>
      <c r="F276" s="955"/>
      <c r="L276" s="954"/>
      <c r="M276" s="952"/>
      <c r="N276" s="952"/>
    </row>
    <row r="277" spans="1:14">
      <c r="A277" s="958" t="s">
        <v>365</v>
      </c>
      <c r="B277" s="958">
        <v>15</v>
      </c>
      <c r="C277" s="958" t="s">
        <v>10017</v>
      </c>
      <c r="D277" s="957" t="s">
        <v>10016</v>
      </c>
      <c r="E277" s="956">
        <v>23045</v>
      </c>
      <c r="F277" s="955"/>
      <c r="L277" s="954"/>
      <c r="M277" s="952"/>
      <c r="N277" s="952"/>
    </row>
    <row r="278" spans="1:14">
      <c r="A278" s="958" t="s">
        <v>365</v>
      </c>
      <c r="B278" s="958">
        <v>15</v>
      </c>
      <c r="C278" s="958" t="s">
        <v>10015</v>
      </c>
      <c r="D278" s="957" t="s">
        <v>10014</v>
      </c>
      <c r="E278" s="956">
        <v>13996</v>
      </c>
      <c r="F278" s="955"/>
      <c r="L278" s="954"/>
      <c r="M278" s="952"/>
      <c r="N278" s="952"/>
    </row>
    <row r="279" spans="1:14">
      <c r="A279" s="958" t="s">
        <v>365</v>
      </c>
      <c r="B279" s="958">
        <v>15</v>
      </c>
      <c r="C279" s="958" t="s">
        <v>10013</v>
      </c>
      <c r="D279" s="957" t="s">
        <v>10012</v>
      </c>
      <c r="E279" s="956">
        <v>58986</v>
      </c>
      <c r="F279" s="955"/>
      <c r="L279" s="954"/>
      <c r="M279" s="952"/>
      <c r="N279" s="952"/>
    </row>
    <row r="280" spans="1:14">
      <c r="A280" s="958" t="s">
        <v>365</v>
      </c>
      <c r="B280" s="958">
        <v>15</v>
      </c>
      <c r="C280" s="958" t="s">
        <v>10011</v>
      </c>
      <c r="D280" s="957" t="s">
        <v>10010</v>
      </c>
      <c r="E280" s="956">
        <v>26640</v>
      </c>
      <c r="F280" s="955"/>
      <c r="L280" s="954"/>
      <c r="M280" s="952"/>
      <c r="N280" s="952"/>
    </row>
    <row r="281" spans="1:14">
      <c r="A281" s="958" t="s">
        <v>365</v>
      </c>
      <c r="B281" s="958">
        <v>15</v>
      </c>
      <c r="C281" s="958" t="s">
        <v>10009</v>
      </c>
      <c r="D281" s="957" t="s">
        <v>5417</v>
      </c>
      <c r="E281" s="956">
        <v>5930</v>
      </c>
      <c r="F281" s="955"/>
      <c r="L281" s="954"/>
      <c r="M281" s="952"/>
      <c r="N281" s="952"/>
    </row>
    <row r="282" spans="1:14">
      <c r="A282" s="958" t="s">
        <v>365</v>
      </c>
      <c r="B282" s="958">
        <v>15</v>
      </c>
      <c r="C282" s="958" t="s">
        <v>10008</v>
      </c>
      <c r="D282" s="957" t="s">
        <v>10007</v>
      </c>
      <c r="E282" s="956">
        <v>11658</v>
      </c>
      <c r="F282" s="955"/>
      <c r="L282" s="954"/>
      <c r="M282" s="952"/>
      <c r="N282" s="952"/>
    </row>
    <row r="283" spans="1:14">
      <c r="A283" s="958" t="s">
        <v>365</v>
      </c>
      <c r="B283" s="958">
        <v>15</v>
      </c>
      <c r="C283" s="958" t="s">
        <v>10006</v>
      </c>
      <c r="D283" s="957" t="s">
        <v>10005</v>
      </c>
      <c r="E283" s="956">
        <v>25374</v>
      </c>
      <c r="F283" s="955"/>
      <c r="L283" s="954"/>
      <c r="M283" s="952"/>
      <c r="N283" s="952"/>
    </row>
    <row r="284" spans="1:14">
      <c r="A284" s="958" t="s">
        <v>365</v>
      </c>
      <c r="B284" s="958">
        <v>15</v>
      </c>
      <c r="C284" s="958" t="s">
        <v>10004</v>
      </c>
      <c r="D284" s="957" t="s">
        <v>10003</v>
      </c>
      <c r="E284" s="956">
        <v>106339</v>
      </c>
      <c r="F284" s="955"/>
      <c r="L284" s="954"/>
      <c r="M284" s="952"/>
      <c r="N284" s="952"/>
    </row>
    <row r="285" spans="1:14">
      <c r="A285" s="958" t="s">
        <v>365</v>
      </c>
      <c r="B285" s="958">
        <v>15</v>
      </c>
      <c r="C285" s="958" t="s">
        <v>10002</v>
      </c>
      <c r="D285" s="957" t="s">
        <v>10001</v>
      </c>
      <c r="E285" s="956">
        <v>11720</v>
      </c>
      <c r="F285" s="955"/>
      <c r="L285" s="954"/>
      <c r="M285" s="952"/>
      <c r="N285" s="952"/>
    </row>
    <row r="286" spans="1:14">
      <c r="A286" s="958" t="s">
        <v>365</v>
      </c>
      <c r="B286" s="958">
        <v>15</v>
      </c>
      <c r="C286" s="958" t="s">
        <v>10000</v>
      </c>
      <c r="D286" s="957" t="s">
        <v>9999</v>
      </c>
      <c r="E286" s="956">
        <v>18769</v>
      </c>
      <c r="F286" s="955"/>
      <c r="L286" s="954"/>
      <c r="M286" s="952"/>
      <c r="N286" s="952"/>
    </row>
    <row r="287" spans="1:14">
      <c r="A287" s="958" t="s">
        <v>365</v>
      </c>
      <c r="B287" s="958">
        <v>15</v>
      </c>
      <c r="C287" s="958" t="s">
        <v>9998</v>
      </c>
      <c r="D287" s="957" t="s">
        <v>9997</v>
      </c>
      <c r="E287" s="956">
        <v>63447</v>
      </c>
      <c r="F287" s="955"/>
      <c r="L287" s="954"/>
      <c r="M287" s="952"/>
      <c r="N287" s="952"/>
    </row>
    <row r="288" spans="1:14">
      <c r="A288" s="958" t="s">
        <v>365</v>
      </c>
      <c r="B288" s="958">
        <v>15</v>
      </c>
      <c r="C288" s="958" t="s">
        <v>9996</v>
      </c>
      <c r="D288" s="957" t="s">
        <v>9995</v>
      </c>
      <c r="E288" s="956">
        <v>30959</v>
      </c>
      <c r="F288" s="955"/>
      <c r="L288" s="954"/>
      <c r="M288" s="952"/>
      <c r="N288" s="952"/>
    </row>
    <row r="289" spans="1:14">
      <c r="A289" s="958" t="s">
        <v>365</v>
      </c>
      <c r="B289" s="958">
        <v>15</v>
      </c>
      <c r="C289" s="958" t="s">
        <v>9994</v>
      </c>
      <c r="D289" s="957" t="s">
        <v>9993</v>
      </c>
      <c r="E289" s="956">
        <v>18989</v>
      </c>
      <c r="F289" s="955"/>
      <c r="L289" s="954"/>
      <c r="M289" s="952"/>
      <c r="N289" s="952"/>
    </row>
    <row r="290" spans="1:14">
      <c r="A290" s="958" t="s">
        <v>365</v>
      </c>
      <c r="B290" s="958">
        <v>15</v>
      </c>
      <c r="C290" s="958" t="s">
        <v>9992</v>
      </c>
      <c r="D290" s="957" t="s">
        <v>9991</v>
      </c>
      <c r="E290" s="956">
        <v>39602</v>
      </c>
      <c r="F290" s="955"/>
      <c r="L290" s="954"/>
      <c r="M290" s="952"/>
      <c r="N290" s="952"/>
    </row>
    <row r="291" spans="1:14">
      <c r="A291" s="958" t="s">
        <v>365</v>
      </c>
      <c r="B291" s="958">
        <v>15</v>
      </c>
      <c r="C291" s="958" t="s">
        <v>9990</v>
      </c>
      <c r="D291" s="957" t="s">
        <v>9989</v>
      </c>
      <c r="E291" s="956">
        <v>113659</v>
      </c>
      <c r="F291" s="955"/>
      <c r="L291" s="954"/>
      <c r="M291" s="952"/>
      <c r="N291" s="952"/>
    </row>
    <row r="292" spans="1:14">
      <c r="A292" s="958" t="s">
        <v>365</v>
      </c>
      <c r="B292" s="958">
        <v>15</v>
      </c>
      <c r="C292" s="958" t="s">
        <v>9988</v>
      </c>
      <c r="D292" s="957" t="s">
        <v>9987</v>
      </c>
      <c r="E292" s="956">
        <v>59210</v>
      </c>
      <c r="F292" s="955"/>
      <c r="L292" s="954"/>
      <c r="M292" s="952"/>
      <c r="N292" s="952"/>
    </row>
    <row r="293" spans="1:14">
      <c r="A293" s="958" t="s">
        <v>365</v>
      </c>
      <c r="B293" s="958">
        <v>15</v>
      </c>
      <c r="C293" s="958" t="s">
        <v>9986</v>
      </c>
      <c r="D293" s="957" t="s">
        <v>9985</v>
      </c>
      <c r="E293" s="956">
        <v>45476</v>
      </c>
      <c r="F293" s="955"/>
      <c r="L293" s="954"/>
      <c r="M293" s="952"/>
      <c r="N293" s="952"/>
    </row>
    <row r="294" spans="1:14">
      <c r="A294" s="958" t="s">
        <v>365</v>
      </c>
      <c r="B294" s="958">
        <v>15</v>
      </c>
      <c r="C294" s="958" t="s">
        <v>9984</v>
      </c>
      <c r="D294" s="957" t="s">
        <v>9983</v>
      </c>
      <c r="E294" s="956">
        <v>53686</v>
      </c>
      <c r="F294" s="955"/>
      <c r="L294" s="954"/>
      <c r="M294" s="952"/>
      <c r="N294" s="952"/>
    </row>
    <row r="295" spans="1:14">
      <c r="A295" s="958" t="s">
        <v>365</v>
      </c>
      <c r="B295" s="958">
        <v>15</v>
      </c>
      <c r="C295" s="958" t="s">
        <v>9982</v>
      </c>
      <c r="D295" s="957" t="s">
        <v>9981</v>
      </c>
      <c r="E295" s="956">
        <v>61403</v>
      </c>
      <c r="F295" s="955"/>
      <c r="L295" s="954"/>
      <c r="M295" s="952"/>
      <c r="N295" s="952"/>
    </row>
    <row r="296" spans="1:14">
      <c r="A296" s="958" t="s">
        <v>365</v>
      </c>
      <c r="B296" s="958">
        <v>15</v>
      </c>
      <c r="C296" s="958" t="s">
        <v>9980</v>
      </c>
      <c r="D296" s="957" t="s">
        <v>9979</v>
      </c>
      <c r="E296" s="956">
        <v>15134</v>
      </c>
      <c r="F296" s="955"/>
      <c r="L296" s="954"/>
      <c r="M296" s="952"/>
      <c r="N296" s="952"/>
    </row>
    <row r="297" spans="1:14">
      <c r="A297" s="958" t="s">
        <v>365</v>
      </c>
      <c r="B297" s="958">
        <v>15</v>
      </c>
      <c r="C297" s="958" t="s">
        <v>9978</v>
      </c>
      <c r="D297" s="957" t="s">
        <v>9977</v>
      </c>
      <c r="E297" s="956">
        <v>44751</v>
      </c>
      <c r="F297" s="955"/>
      <c r="L297" s="954"/>
      <c r="M297" s="952"/>
      <c r="N297" s="952"/>
    </row>
    <row r="298" spans="1:14">
      <c r="A298" s="958" t="s">
        <v>376</v>
      </c>
      <c r="B298" s="958">
        <v>16</v>
      </c>
      <c r="C298" s="958" t="s">
        <v>9802</v>
      </c>
      <c r="D298" s="957" t="s">
        <v>9976</v>
      </c>
      <c r="E298" s="956">
        <v>5397</v>
      </c>
      <c r="F298" s="955"/>
      <c r="L298" s="954"/>
      <c r="M298" s="952"/>
      <c r="N298" s="952"/>
    </row>
    <row r="299" spans="1:14">
      <c r="A299" s="958" t="s">
        <v>376</v>
      </c>
      <c r="B299" s="958">
        <v>16</v>
      </c>
      <c r="C299" s="958" t="s">
        <v>5397</v>
      </c>
      <c r="D299" s="957" t="s">
        <v>9975</v>
      </c>
      <c r="E299" s="956">
        <v>9109</v>
      </c>
      <c r="F299" s="955"/>
      <c r="L299" s="954"/>
      <c r="M299" s="952"/>
      <c r="N299" s="952"/>
    </row>
    <row r="300" spans="1:14">
      <c r="A300" s="958" t="s">
        <v>376</v>
      </c>
      <c r="B300" s="958">
        <v>16</v>
      </c>
      <c r="C300" s="958" t="s">
        <v>9799</v>
      </c>
      <c r="D300" s="957" t="s">
        <v>9974</v>
      </c>
      <c r="E300" s="956">
        <v>16502</v>
      </c>
      <c r="F300" s="955"/>
      <c r="L300" s="954"/>
      <c r="M300" s="952"/>
      <c r="N300" s="952"/>
    </row>
    <row r="301" spans="1:14">
      <c r="A301" s="958" t="s">
        <v>376</v>
      </c>
      <c r="B301" s="958">
        <v>16</v>
      </c>
      <c r="C301" s="958" t="s">
        <v>5395</v>
      </c>
      <c r="D301" s="957" t="s">
        <v>9973</v>
      </c>
      <c r="E301" s="956">
        <v>11117</v>
      </c>
      <c r="F301" s="955"/>
      <c r="L301" s="954"/>
      <c r="M301" s="952"/>
      <c r="N301" s="952"/>
    </row>
    <row r="302" spans="1:14">
      <c r="A302" s="958" t="s">
        <v>376</v>
      </c>
      <c r="B302" s="958">
        <v>16</v>
      </c>
      <c r="C302" s="958" t="s">
        <v>9972</v>
      </c>
      <c r="D302" s="957" t="s">
        <v>9971</v>
      </c>
      <c r="E302" s="956">
        <v>5983</v>
      </c>
      <c r="F302" s="955"/>
      <c r="L302" s="954"/>
      <c r="M302" s="952"/>
      <c r="N302" s="952"/>
    </row>
    <row r="303" spans="1:14">
      <c r="A303" s="958" t="s">
        <v>376</v>
      </c>
      <c r="B303" s="958">
        <v>16</v>
      </c>
      <c r="C303" s="958" t="s">
        <v>9970</v>
      </c>
      <c r="D303" s="957" t="s">
        <v>9969</v>
      </c>
      <c r="E303" s="956">
        <v>7780</v>
      </c>
      <c r="F303" s="955"/>
      <c r="L303" s="954"/>
      <c r="M303" s="952"/>
      <c r="N303" s="952"/>
    </row>
    <row r="304" spans="1:14">
      <c r="A304" s="958" t="s">
        <v>376</v>
      </c>
      <c r="B304" s="958">
        <v>16</v>
      </c>
      <c r="C304" s="958" t="s">
        <v>9968</v>
      </c>
      <c r="D304" s="957" t="s">
        <v>9967</v>
      </c>
      <c r="E304" s="956">
        <v>5503</v>
      </c>
      <c r="F304" s="955"/>
      <c r="L304" s="954"/>
      <c r="M304" s="952"/>
      <c r="N304" s="952"/>
    </row>
    <row r="305" spans="1:14">
      <c r="A305" s="958" t="s">
        <v>376</v>
      </c>
      <c r="B305" s="958">
        <v>16</v>
      </c>
      <c r="C305" s="958" t="s">
        <v>9966</v>
      </c>
      <c r="D305" s="957" t="s">
        <v>9965</v>
      </c>
      <c r="E305" s="956">
        <v>50410</v>
      </c>
      <c r="F305" s="955"/>
      <c r="L305" s="954"/>
      <c r="M305" s="952"/>
      <c r="N305" s="952"/>
    </row>
    <row r="306" spans="1:14">
      <c r="A306" s="958" t="s">
        <v>376</v>
      </c>
      <c r="B306" s="958">
        <v>16</v>
      </c>
      <c r="C306" s="958" t="s">
        <v>5393</v>
      </c>
      <c r="D306" s="957" t="s">
        <v>9964</v>
      </c>
      <c r="E306" s="956">
        <v>503327</v>
      </c>
      <c r="F306" s="955"/>
      <c r="L306" s="954"/>
      <c r="M306" s="952"/>
      <c r="N306" s="952"/>
    </row>
    <row r="307" spans="1:14">
      <c r="A307" s="958" t="s">
        <v>376</v>
      </c>
      <c r="B307" s="958">
        <v>16</v>
      </c>
      <c r="C307" s="958" t="s">
        <v>5391</v>
      </c>
      <c r="D307" s="957" t="s">
        <v>9963</v>
      </c>
      <c r="E307" s="956">
        <v>21632</v>
      </c>
      <c r="F307" s="955"/>
      <c r="L307" s="954"/>
      <c r="M307" s="952"/>
      <c r="N307" s="952"/>
    </row>
    <row r="308" spans="1:14">
      <c r="A308" s="958" t="s">
        <v>376</v>
      </c>
      <c r="B308" s="958">
        <v>16</v>
      </c>
      <c r="C308" s="958" t="s">
        <v>5389</v>
      </c>
      <c r="D308" s="957" t="s">
        <v>9962</v>
      </c>
      <c r="E308" s="956">
        <v>27270</v>
      </c>
      <c r="F308" s="955"/>
      <c r="L308" s="954"/>
      <c r="M308" s="952"/>
      <c r="N308" s="952"/>
    </row>
    <row r="309" spans="1:14">
      <c r="A309" s="958" t="s">
        <v>376</v>
      </c>
      <c r="B309" s="958">
        <v>16</v>
      </c>
      <c r="C309" s="958" t="s">
        <v>9961</v>
      </c>
      <c r="D309" s="957" t="s">
        <v>9960</v>
      </c>
      <c r="E309" s="956">
        <v>21971</v>
      </c>
      <c r="F309" s="955"/>
      <c r="L309" s="954"/>
      <c r="M309" s="952"/>
      <c r="N309" s="952"/>
    </row>
    <row r="310" spans="1:14">
      <c r="A310" s="958" t="s">
        <v>376</v>
      </c>
      <c r="B310" s="958">
        <v>16</v>
      </c>
      <c r="C310" s="958" t="s">
        <v>5387</v>
      </c>
      <c r="D310" s="957" t="s">
        <v>9959</v>
      </c>
      <c r="E310" s="956">
        <v>5120</v>
      </c>
      <c r="F310" s="955"/>
      <c r="L310" s="954"/>
      <c r="M310" s="952"/>
      <c r="N310" s="952"/>
    </row>
    <row r="311" spans="1:14">
      <c r="A311" s="958" t="s">
        <v>376</v>
      </c>
      <c r="B311" s="958">
        <v>16</v>
      </c>
      <c r="C311" s="958" t="s">
        <v>5385</v>
      </c>
      <c r="D311" s="957" t="s">
        <v>7406</v>
      </c>
      <c r="E311" s="956">
        <v>121364</v>
      </c>
      <c r="F311" s="955"/>
      <c r="L311" s="954"/>
      <c r="M311" s="952"/>
      <c r="N311" s="952"/>
    </row>
    <row r="312" spans="1:14">
      <c r="A312" s="958" t="s">
        <v>376</v>
      </c>
      <c r="B312" s="958">
        <v>16</v>
      </c>
      <c r="C312" s="958" t="s">
        <v>5383</v>
      </c>
      <c r="D312" s="957" t="s">
        <v>9958</v>
      </c>
      <c r="E312" s="956">
        <v>17315</v>
      </c>
      <c r="F312" s="955"/>
      <c r="L312" s="954"/>
      <c r="M312" s="952"/>
      <c r="N312" s="952"/>
    </row>
    <row r="313" spans="1:14">
      <c r="A313" s="958" t="s">
        <v>376</v>
      </c>
      <c r="B313" s="958">
        <v>16</v>
      </c>
      <c r="C313" s="958" t="s">
        <v>5379</v>
      </c>
      <c r="D313" s="957" t="s">
        <v>9957</v>
      </c>
      <c r="E313" s="956">
        <v>15931</v>
      </c>
      <c r="F313" s="955"/>
      <c r="L313" s="954"/>
      <c r="M313" s="952"/>
      <c r="N313" s="952"/>
    </row>
    <row r="314" spans="1:14">
      <c r="A314" s="958" t="s">
        <v>352</v>
      </c>
      <c r="B314" s="958">
        <v>17</v>
      </c>
      <c r="C314" s="958" t="s">
        <v>9520</v>
      </c>
      <c r="D314" s="957" t="s">
        <v>9956</v>
      </c>
      <c r="E314" s="956">
        <v>2579</v>
      </c>
      <c r="F314" s="955"/>
      <c r="L314" s="954"/>
      <c r="M314" s="952"/>
      <c r="N314" s="952"/>
    </row>
    <row r="315" spans="1:14">
      <c r="A315" s="958" t="s">
        <v>352</v>
      </c>
      <c r="B315" s="958">
        <v>17</v>
      </c>
      <c r="C315" s="958" t="s">
        <v>4130</v>
      </c>
      <c r="D315" s="957" t="s">
        <v>9955</v>
      </c>
      <c r="E315" s="956">
        <v>6733</v>
      </c>
      <c r="F315" s="955"/>
      <c r="L315" s="954"/>
      <c r="M315" s="952"/>
      <c r="N315" s="952"/>
    </row>
    <row r="316" spans="1:14">
      <c r="A316" s="958" t="s">
        <v>352</v>
      </c>
      <c r="B316" s="958">
        <v>17</v>
      </c>
      <c r="C316" s="958" t="s">
        <v>9954</v>
      </c>
      <c r="D316" s="957" t="s">
        <v>9953</v>
      </c>
      <c r="E316" s="956">
        <v>5390</v>
      </c>
      <c r="F316" s="955"/>
      <c r="L316" s="954"/>
      <c r="M316" s="952"/>
      <c r="N316" s="952"/>
    </row>
    <row r="317" spans="1:14">
      <c r="A317" s="958" t="s">
        <v>352</v>
      </c>
      <c r="B317" s="958">
        <v>17</v>
      </c>
      <c r="C317" s="958" t="s">
        <v>4128</v>
      </c>
      <c r="D317" s="957" t="s">
        <v>9952</v>
      </c>
      <c r="E317" s="956">
        <v>7055</v>
      </c>
      <c r="F317" s="955"/>
      <c r="L317" s="954"/>
      <c r="M317" s="952"/>
      <c r="N317" s="952"/>
    </row>
    <row r="318" spans="1:14">
      <c r="A318" s="958" t="s">
        <v>352</v>
      </c>
      <c r="B318" s="958">
        <v>17</v>
      </c>
      <c r="C318" s="958" t="s">
        <v>4120</v>
      </c>
      <c r="D318" s="957" t="s">
        <v>2745</v>
      </c>
      <c r="E318" s="956">
        <v>8412</v>
      </c>
      <c r="F318" s="955"/>
      <c r="L318" s="954"/>
      <c r="M318" s="952"/>
      <c r="N318" s="952"/>
    </row>
    <row r="319" spans="1:14">
      <c r="A319" s="958" t="s">
        <v>352</v>
      </c>
      <c r="B319" s="958">
        <v>17</v>
      </c>
      <c r="C319" s="958" t="s">
        <v>4114</v>
      </c>
      <c r="D319" s="957" t="s">
        <v>9951</v>
      </c>
      <c r="E319" s="956">
        <v>9549</v>
      </c>
      <c r="F319" s="955"/>
      <c r="L319" s="954"/>
      <c r="M319" s="952"/>
      <c r="N319" s="952"/>
    </row>
    <row r="320" spans="1:14">
      <c r="A320" s="958" t="s">
        <v>352</v>
      </c>
      <c r="B320" s="958">
        <v>17</v>
      </c>
      <c r="C320" s="958" t="s">
        <v>4112</v>
      </c>
      <c r="D320" s="957" t="s">
        <v>9950</v>
      </c>
      <c r="E320" s="956">
        <v>3433</v>
      </c>
      <c r="F320" s="955"/>
      <c r="L320" s="954"/>
      <c r="M320" s="952"/>
      <c r="N320" s="952"/>
    </row>
    <row r="321" spans="1:14">
      <c r="A321" s="958" t="s">
        <v>352</v>
      </c>
      <c r="B321" s="958">
        <v>17</v>
      </c>
      <c r="C321" s="958" t="s">
        <v>4110</v>
      </c>
      <c r="D321" s="957" t="s">
        <v>9949</v>
      </c>
      <c r="E321" s="956">
        <v>4795</v>
      </c>
      <c r="F321" s="955"/>
      <c r="L321" s="954"/>
      <c r="M321" s="952"/>
      <c r="N321" s="952"/>
    </row>
    <row r="322" spans="1:14">
      <c r="A322" s="958" t="s">
        <v>352</v>
      </c>
      <c r="B322" s="958">
        <v>17</v>
      </c>
      <c r="C322" s="958" t="s">
        <v>4104</v>
      </c>
      <c r="D322" s="957" t="s">
        <v>9948</v>
      </c>
      <c r="E322" s="956">
        <v>5758</v>
      </c>
      <c r="F322" s="955"/>
      <c r="L322" s="954"/>
      <c r="M322" s="952"/>
      <c r="N322" s="952"/>
    </row>
    <row r="323" spans="1:14">
      <c r="A323" s="958" t="s">
        <v>352</v>
      </c>
      <c r="B323" s="958">
        <v>17</v>
      </c>
      <c r="C323" s="958" t="s">
        <v>4088</v>
      </c>
      <c r="D323" s="957" t="s">
        <v>9947</v>
      </c>
      <c r="E323" s="956">
        <v>7086</v>
      </c>
      <c r="F323" s="955"/>
      <c r="L323" s="954"/>
      <c r="M323" s="952"/>
      <c r="N323" s="952"/>
    </row>
    <row r="324" spans="1:14">
      <c r="A324" s="958" t="s">
        <v>352</v>
      </c>
      <c r="B324" s="958">
        <v>17</v>
      </c>
      <c r="C324" s="958" t="s">
        <v>4086</v>
      </c>
      <c r="D324" s="957" t="s">
        <v>9946</v>
      </c>
      <c r="E324" s="956">
        <v>8517</v>
      </c>
      <c r="F324" s="955"/>
      <c r="L324" s="954"/>
      <c r="M324" s="952"/>
      <c r="N324" s="952"/>
    </row>
    <row r="325" spans="1:14">
      <c r="A325" s="958" t="s">
        <v>352</v>
      </c>
      <c r="B325" s="958">
        <v>17</v>
      </c>
      <c r="C325" s="958" t="s">
        <v>4084</v>
      </c>
      <c r="D325" s="957" t="s">
        <v>9945</v>
      </c>
      <c r="E325" s="956">
        <v>180470</v>
      </c>
      <c r="F325" s="955"/>
      <c r="L325" s="954"/>
      <c r="M325" s="952"/>
      <c r="N325" s="952"/>
    </row>
    <row r="326" spans="1:14">
      <c r="A326" s="958" t="s">
        <v>352</v>
      </c>
      <c r="B326" s="958">
        <v>17</v>
      </c>
      <c r="C326" s="958" t="s">
        <v>9944</v>
      </c>
      <c r="D326" s="957" t="s">
        <v>9782</v>
      </c>
      <c r="E326" s="956">
        <v>5729</v>
      </c>
      <c r="F326" s="955"/>
      <c r="L326" s="954"/>
      <c r="M326" s="952"/>
      <c r="N326" s="952"/>
    </row>
    <row r="327" spans="1:14">
      <c r="A327" s="958" t="s">
        <v>352</v>
      </c>
      <c r="B327" s="958">
        <v>17</v>
      </c>
      <c r="C327" s="958" t="s">
        <v>4082</v>
      </c>
      <c r="D327" s="957" t="s">
        <v>9943</v>
      </c>
      <c r="E327" s="956">
        <v>35761</v>
      </c>
      <c r="F327" s="955"/>
      <c r="L327" s="954"/>
      <c r="M327" s="952"/>
      <c r="N327" s="952"/>
    </row>
    <row r="328" spans="1:14">
      <c r="A328" s="958" t="s">
        <v>352</v>
      </c>
      <c r="B328" s="958">
        <v>17</v>
      </c>
      <c r="C328" s="958" t="s">
        <v>4080</v>
      </c>
      <c r="D328" s="957" t="s">
        <v>9942</v>
      </c>
      <c r="E328" s="956">
        <v>6643</v>
      </c>
      <c r="F328" s="955"/>
      <c r="L328" s="954"/>
      <c r="M328" s="952"/>
      <c r="N328" s="952"/>
    </row>
    <row r="329" spans="1:14">
      <c r="A329" s="958" t="s">
        <v>352</v>
      </c>
      <c r="B329" s="958">
        <v>17</v>
      </c>
      <c r="C329" s="958" t="s">
        <v>4078</v>
      </c>
      <c r="D329" s="957" t="s">
        <v>9941</v>
      </c>
      <c r="E329" s="956">
        <v>10567</v>
      </c>
      <c r="F329" s="955"/>
      <c r="L329" s="954"/>
      <c r="M329" s="952"/>
      <c r="N329" s="952"/>
    </row>
    <row r="330" spans="1:14">
      <c r="A330" s="958" t="s">
        <v>352</v>
      </c>
      <c r="B330" s="958">
        <v>17</v>
      </c>
      <c r="C330" s="958" t="s">
        <v>9450</v>
      </c>
      <c r="D330" s="957" t="s">
        <v>9940</v>
      </c>
      <c r="E330" s="956">
        <v>18412</v>
      </c>
      <c r="F330" s="955"/>
      <c r="L330" s="954"/>
      <c r="M330" s="952"/>
      <c r="N330" s="952"/>
    </row>
    <row r="331" spans="1:14">
      <c r="A331" s="958" t="s">
        <v>352</v>
      </c>
      <c r="B331" s="958">
        <v>17</v>
      </c>
      <c r="C331" s="958" t="s">
        <v>4074</v>
      </c>
      <c r="D331" s="957" t="s">
        <v>9939</v>
      </c>
      <c r="E331" s="956">
        <v>3757</v>
      </c>
      <c r="F331" s="955"/>
      <c r="L331" s="954"/>
      <c r="M331" s="952"/>
      <c r="N331" s="952"/>
    </row>
    <row r="332" spans="1:14">
      <c r="A332" s="958" t="s">
        <v>352</v>
      </c>
      <c r="B332" s="958">
        <v>17</v>
      </c>
      <c r="C332" s="958" t="s">
        <v>4068</v>
      </c>
      <c r="D332" s="957" t="s">
        <v>9938</v>
      </c>
      <c r="E332" s="956">
        <v>9756</v>
      </c>
      <c r="F332" s="955"/>
      <c r="L332" s="954"/>
      <c r="M332" s="952"/>
      <c r="N332" s="952"/>
    </row>
    <row r="333" spans="1:14">
      <c r="A333" s="958" t="s">
        <v>352</v>
      </c>
      <c r="B333" s="958">
        <v>17</v>
      </c>
      <c r="C333" s="958" t="s">
        <v>4066</v>
      </c>
      <c r="D333" s="957" t="s">
        <v>9937</v>
      </c>
      <c r="E333" s="956">
        <v>10664</v>
      </c>
      <c r="F333" s="955"/>
      <c r="L333" s="954"/>
      <c r="M333" s="952"/>
      <c r="N333" s="952"/>
    </row>
    <row r="334" spans="1:14">
      <c r="A334" s="958" t="s">
        <v>352</v>
      </c>
      <c r="B334" s="958">
        <v>17</v>
      </c>
      <c r="C334" s="958" t="s">
        <v>4060</v>
      </c>
      <c r="D334" s="957" t="s">
        <v>9936</v>
      </c>
      <c r="E334" s="956">
        <v>3553</v>
      </c>
      <c r="F334" s="955"/>
      <c r="L334" s="954"/>
      <c r="M334" s="952"/>
      <c r="N334" s="952"/>
    </row>
    <row r="335" spans="1:14">
      <c r="A335" s="958" t="s">
        <v>352</v>
      </c>
      <c r="B335" s="958">
        <v>17</v>
      </c>
      <c r="C335" s="958" t="s">
        <v>9935</v>
      </c>
      <c r="D335" s="957" t="s">
        <v>9934</v>
      </c>
      <c r="E335" s="956">
        <v>4591</v>
      </c>
      <c r="F335" s="955"/>
      <c r="L335" s="954"/>
      <c r="M335" s="952"/>
      <c r="N335" s="952"/>
    </row>
    <row r="336" spans="1:14">
      <c r="A336" s="958" t="s">
        <v>352</v>
      </c>
      <c r="B336" s="958">
        <v>17</v>
      </c>
      <c r="C336" s="958" t="s">
        <v>4058</v>
      </c>
      <c r="D336" s="957" t="s">
        <v>9933</v>
      </c>
      <c r="E336" s="956">
        <v>5632</v>
      </c>
      <c r="F336" s="955"/>
      <c r="L336" s="954"/>
      <c r="M336" s="952"/>
      <c r="N336" s="952"/>
    </row>
    <row r="337" spans="1:14">
      <c r="A337" s="958" t="s">
        <v>352</v>
      </c>
      <c r="B337" s="958">
        <v>17</v>
      </c>
      <c r="C337" s="958" t="s">
        <v>4054</v>
      </c>
      <c r="D337" s="957" t="s">
        <v>9932</v>
      </c>
      <c r="E337" s="956">
        <v>4459</v>
      </c>
      <c r="F337" s="955"/>
      <c r="L337" s="954"/>
      <c r="M337" s="952"/>
      <c r="N337" s="952"/>
    </row>
    <row r="338" spans="1:14">
      <c r="A338" s="958" t="s">
        <v>352</v>
      </c>
      <c r="B338" s="958">
        <v>17</v>
      </c>
      <c r="C338" s="958" t="s">
        <v>4050</v>
      </c>
      <c r="D338" s="957" t="s">
        <v>9931</v>
      </c>
      <c r="E338" s="956">
        <v>4894</v>
      </c>
      <c r="F338" s="955"/>
      <c r="L338" s="954"/>
      <c r="M338" s="952"/>
      <c r="N338" s="952"/>
    </row>
    <row r="339" spans="1:14">
      <c r="A339" s="958" t="s">
        <v>352</v>
      </c>
      <c r="B339" s="958">
        <v>17</v>
      </c>
      <c r="C339" s="958" t="s">
        <v>4036</v>
      </c>
      <c r="D339" s="957" t="s">
        <v>9930</v>
      </c>
      <c r="E339" s="956">
        <v>2201</v>
      </c>
      <c r="F339" s="955"/>
      <c r="L339" s="954"/>
      <c r="M339" s="952"/>
      <c r="N339" s="952"/>
    </row>
    <row r="340" spans="1:14">
      <c r="A340" s="958" t="s">
        <v>352</v>
      </c>
      <c r="B340" s="958">
        <v>17</v>
      </c>
      <c r="C340" s="958" t="s">
        <v>4034</v>
      </c>
      <c r="D340" s="957" t="s">
        <v>9929</v>
      </c>
      <c r="E340" s="956">
        <v>5497</v>
      </c>
      <c r="F340" s="955"/>
      <c r="L340" s="954"/>
      <c r="M340" s="952"/>
      <c r="N340" s="952"/>
    </row>
    <row r="341" spans="1:14">
      <c r="A341" s="958" t="s">
        <v>352</v>
      </c>
      <c r="B341" s="958">
        <v>17</v>
      </c>
      <c r="C341" s="958" t="s">
        <v>4032</v>
      </c>
      <c r="D341" s="957" t="s">
        <v>9928</v>
      </c>
      <c r="E341" s="956">
        <v>11348</v>
      </c>
      <c r="F341" s="955"/>
      <c r="L341" s="954"/>
      <c r="M341" s="952"/>
      <c r="N341" s="952"/>
    </row>
    <row r="342" spans="1:14">
      <c r="A342" s="958" t="s">
        <v>352</v>
      </c>
      <c r="B342" s="958">
        <v>17</v>
      </c>
      <c r="C342" s="958" t="s">
        <v>9927</v>
      </c>
      <c r="D342" s="957" t="s">
        <v>2645</v>
      </c>
      <c r="E342" s="956">
        <v>2275</v>
      </c>
      <c r="F342" s="955"/>
      <c r="L342" s="954"/>
      <c r="M342" s="952"/>
      <c r="N342" s="952"/>
    </row>
    <row r="343" spans="1:14">
      <c r="A343" s="958" t="s">
        <v>352</v>
      </c>
      <c r="B343" s="958">
        <v>17</v>
      </c>
      <c r="C343" s="958" t="s">
        <v>9926</v>
      </c>
      <c r="D343" s="957" t="s">
        <v>9925</v>
      </c>
      <c r="E343" s="956">
        <v>10116</v>
      </c>
      <c r="F343" s="955"/>
      <c r="L343" s="954"/>
      <c r="M343" s="952"/>
      <c r="N343" s="952"/>
    </row>
    <row r="344" spans="1:14">
      <c r="A344" s="958" t="s">
        <v>352</v>
      </c>
      <c r="B344" s="958">
        <v>17</v>
      </c>
      <c r="C344" s="958" t="s">
        <v>9924</v>
      </c>
      <c r="D344" s="957" t="s">
        <v>9923</v>
      </c>
      <c r="E344" s="956">
        <v>4382</v>
      </c>
      <c r="F344" s="955"/>
      <c r="L344" s="954"/>
      <c r="M344" s="952"/>
      <c r="N344" s="952"/>
    </row>
    <row r="345" spans="1:14">
      <c r="A345" s="958" t="s">
        <v>352</v>
      </c>
      <c r="B345" s="958">
        <v>17</v>
      </c>
      <c r="C345" s="958" t="s">
        <v>9922</v>
      </c>
      <c r="D345" s="957" t="s">
        <v>9921</v>
      </c>
      <c r="E345" s="956">
        <v>2580</v>
      </c>
      <c r="F345" s="955"/>
      <c r="L345" s="954"/>
      <c r="M345" s="952"/>
      <c r="N345" s="952"/>
    </row>
    <row r="346" spans="1:14">
      <c r="A346" s="958" t="s">
        <v>352</v>
      </c>
      <c r="B346" s="958">
        <v>17</v>
      </c>
      <c r="C346" s="958" t="s">
        <v>9920</v>
      </c>
      <c r="D346" s="957" t="s">
        <v>9919</v>
      </c>
      <c r="E346" s="956">
        <v>4095</v>
      </c>
      <c r="F346" s="955"/>
      <c r="L346" s="954"/>
      <c r="M346" s="952"/>
      <c r="N346" s="952"/>
    </row>
    <row r="347" spans="1:14">
      <c r="A347" s="958" t="s">
        <v>352</v>
      </c>
      <c r="B347" s="958">
        <v>17</v>
      </c>
      <c r="C347" s="958" t="s">
        <v>4030</v>
      </c>
      <c r="D347" s="957" t="s">
        <v>9918</v>
      </c>
      <c r="E347" s="956">
        <v>5369</v>
      </c>
      <c r="F347" s="955"/>
      <c r="L347" s="954"/>
      <c r="M347" s="952"/>
      <c r="N347" s="952"/>
    </row>
    <row r="348" spans="1:14">
      <c r="A348" s="958" t="s">
        <v>352</v>
      </c>
      <c r="B348" s="958">
        <v>17</v>
      </c>
      <c r="C348" s="958" t="s">
        <v>4022</v>
      </c>
      <c r="D348" s="957" t="s">
        <v>2575</v>
      </c>
      <c r="E348" s="956">
        <v>2905</v>
      </c>
      <c r="F348" s="955"/>
      <c r="L348" s="954"/>
      <c r="M348" s="952"/>
      <c r="N348" s="952"/>
    </row>
    <row r="349" spans="1:14">
      <c r="A349" s="958" t="s">
        <v>352</v>
      </c>
      <c r="B349" s="958">
        <v>17</v>
      </c>
      <c r="C349" s="958" t="s">
        <v>4006</v>
      </c>
      <c r="D349" s="957" t="s">
        <v>9917</v>
      </c>
      <c r="E349" s="956">
        <v>1406</v>
      </c>
      <c r="F349" s="955"/>
      <c r="L349" s="954"/>
      <c r="M349" s="952"/>
      <c r="N349" s="952"/>
    </row>
    <row r="350" spans="1:14">
      <c r="A350" s="958" t="s">
        <v>352</v>
      </c>
      <c r="B350" s="958">
        <v>17</v>
      </c>
      <c r="C350" s="958" t="s">
        <v>3995</v>
      </c>
      <c r="D350" s="957" t="s">
        <v>9916</v>
      </c>
      <c r="E350" s="956">
        <v>3333</v>
      </c>
      <c r="F350" s="955"/>
      <c r="L350" s="954"/>
      <c r="M350" s="952"/>
      <c r="N350" s="952"/>
    </row>
    <row r="351" spans="1:14">
      <c r="A351" s="958" t="s">
        <v>352</v>
      </c>
      <c r="B351" s="958">
        <v>17</v>
      </c>
      <c r="C351" s="958" t="s">
        <v>3987</v>
      </c>
      <c r="D351" s="957" t="s">
        <v>9915</v>
      </c>
      <c r="E351" s="956">
        <v>35424</v>
      </c>
      <c r="F351" s="955"/>
      <c r="L351" s="954"/>
      <c r="M351" s="952"/>
      <c r="N351" s="952"/>
    </row>
    <row r="352" spans="1:14">
      <c r="A352" s="958" t="s">
        <v>352</v>
      </c>
      <c r="B352" s="958">
        <v>17</v>
      </c>
      <c r="C352" s="958" t="s">
        <v>9367</v>
      </c>
      <c r="D352" s="957" t="s">
        <v>9914</v>
      </c>
      <c r="E352" s="956">
        <v>4852</v>
      </c>
      <c r="F352" s="955"/>
      <c r="L352" s="954"/>
      <c r="M352" s="952"/>
      <c r="N352" s="952"/>
    </row>
    <row r="353" spans="1:14">
      <c r="A353" s="958" t="s">
        <v>352</v>
      </c>
      <c r="B353" s="958">
        <v>17</v>
      </c>
      <c r="C353" s="958" t="s">
        <v>3985</v>
      </c>
      <c r="D353" s="957" t="s">
        <v>9913</v>
      </c>
      <c r="E353" s="956">
        <v>4105</v>
      </c>
      <c r="F353" s="955"/>
      <c r="L353" s="954"/>
      <c r="M353" s="952"/>
      <c r="N353" s="952"/>
    </row>
    <row r="354" spans="1:14">
      <c r="A354" s="958" t="s">
        <v>352</v>
      </c>
      <c r="B354" s="958">
        <v>17</v>
      </c>
      <c r="C354" s="958" t="s">
        <v>3978</v>
      </c>
      <c r="D354" s="957" t="s">
        <v>9912</v>
      </c>
      <c r="E354" s="956">
        <v>5588</v>
      </c>
      <c r="F354" s="955"/>
      <c r="L354" s="954"/>
      <c r="M354" s="952"/>
      <c r="N354" s="952"/>
    </row>
    <row r="355" spans="1:14">
      <c r="A355" s="958" t="s">
        <v>352</v>
      </c>
      <c r="B355" s="958">
        <v>17</v>
      </c>
      <c r="C355" s="958" t="s">
        <v>3976</v>
      </c>
      <c r="D355" s="957" t="s">
        <v>9911</v>
      </c>
      <c r="E355" s="956">
        <v>7289</v>
      </c>
      <c r="F355" s="955"/>
      <c r="L355" s="954"/>
      <c r="M355" s="952"/>
      <c r="N355" s="952"/>
    </row>
    <row r="356" spans="1:14">
      <c r="A356" s="958" t="s">
        <v>352</v>
      </c>
      <c r="B356" s="958">
        <v>17</v>
      </c>
      <c r="C356" s="958" t="s">
        <v>9910</v>
      </c>
      <c r="D356" s="957" t="s">
        <v>9909</v>
      </c>
      <c r="E356" s="956">
        <v>1722</v>
      </c>
      <c r="F356" s="955"/>
      <c r="L356" s="954"/>
      <c r="M356" s="952"/>
      <c r="N356" s="952"/>
    </row>
    <row r="357" spans="1:14">
      <c r="A357" s="958" t="s">
        <v>352</v>
      </c>
      <c r="B357" s="958">
        <v>17</v>
      </c>
      <c r="C357" s="958" t="s">
        <v>3966</v>
      </c>
      <c r="D357" s="957" t="s">
        <v>9908</v>
      </c>
      <c r="E357" s="956">
        <v>6097</v>
      </c>
      <c r="F357" s="955"/>
      <c r="L357" s="954"/>
      <c r="M357" s="952"/>
      <c r="N357" s="952"/>
    </row>
    <row r="358" spans="1:14">
      <c r="A358" s="958" t="s">
        <v>352</v>
      </c>
      <c r="B358" s="958">
        <v>17</v>
      </c>
      <c r="C358" s="958" t="s">
        <v>3951</v>
      </c>
      <c r="D358" s="957" t="s">
        <v>9907</v>
      </c>
      <c r="E358" s="956">
        <v>22139</v>
      </c>
      <c r="F358" s="955"/>
      <c r="L358" s="954"/>
      <c r="M358" s="952"/>
      <c r="N358" s="952"/>
    </row>
    <row r="359" spans="1:14">
      <c r="A359" s="958" t="s">
        <v>352</v>
      </c>
      <c r="B359" s="958">
        <v>17</v>
      </c>
      <c r="C359" s="958" t="s">
        <v>3949</v>
      </c>
      <c r="D359" s="957" t="s">
        <v>9906</v>
      </c>
      <c r="E359" s="956">
        <v>6900</v>
      </c>
      <c r="F359" s="955"/>
      <c r="L359" s="954"/>
      <c r="M359" s="952"/>
      <c r="N359" s="952"/>
    </row>
    <row r="360" spans="1:14">
      <c r="A360" s="958" t="s">
        <v>352</v>
      </c>
      <c r="B360" s="958">
        <v>17</v>
      </c>
      <c r="C360" s="958" t="s">
        <v>3943</v>
      </c>
      <c r="D360" s="957" t="s">
        <v>9905</v>
      </c>
      <c r="E360" s="956">
        <v>7198</v>
      </c>
      <c r="F360" s="955"/>
      <c r="L360" s="954"/>
      <c r="M360" s="952"/>
      <c r="N360" s="952"/>
    </row>
    <row r="361" spans="1:14">
      <c r="A361" s="958" t="s">
        <v>352</v>
      </c>
      <c r="B361" s="958">
        <v>17</v>
      </c>
      <c r="C361" s="958" t="s">
        <v>3940</v>
      </c>
      <c r="D361" s="957" t="s">
        <v>9904</v>
      </c>
      <c r="E361" s="956">
        <v>4686</v>
      </c>
      <c r="F361" s="955"/>
      <c r="L361" s="954"/>
      <c r="M361" s="952"/>
      <c r="N361" s="952"/>
    </row>
    <row r="362" spans="1:14">
      <c r="A362" s="958" t="s">
        <v>352</v>
      </c>
      <c r="B362" s="958">
        <v>17</v>
      </c>
      <c r="C362" s="958" t="s">
        <v>3938</v>
      </c>
      <c r="D362" s="957" t="s">
        <v>9414</v>
      </c>
      <c r="E362" s="956">
        <v>10996</v>
      </c>
      <c r="F362" s="955"/>
      <c r="L362" s="954"/>
      <c r="M362" s="952"/>
      <c r="N362" s="952"/>
    </row>
    <row r="363" spans="1:14">
      <c r="A363" s="958" t="s">
        <v>352</v>
      </c>
      <c r="B363" s="958">
        <v>17</v>
      </c>
      <c r="C363" s="958" t="s">
        <v>3928</v>
      </c>
      <c r="D363" s="957" t="s">
        <v>7831</v>
      </c>
      <c r="E363" s="956">
        <v>3835</v>
      </c>
      <c r="F363" s="955"/>
      <c r="L363" s="954"/>
      <c r="M363" s="952"/>
      <c r="N363" s="952"/>
    </row>
    <row r="364" spans="1:14">
      <c r="A364" s="958" t="s">
        <v>352</v>
      </c>
      <c r="B364" s="958">
        <v>17</v>
      </c>
      <c r="C364" s="958" t="s">
        <v>3924</v>
      </c>
      <c r="D364" s="957" t="s">
        <v>9903</v>
      </c>
      <c r="E364" s="956">
        <v>5263</v>
      </c>
      <c r="F364" s="955"/>
      <c r="L364" s="954"/>
      <c r="M364" s="952"/>
      <c r="N364" s="952"/>
    </row>
    <row r="365" spans="1:14">
      <c r="A365" s="958" t="s">
        <v>352</v>
      </c>
      <c r="B365" s="958">
        <v>17</v>
      </c>
      <c r="C365" s="958" t="s">
        <v>3922</v>
      </c>
      <c r="D365" s="957" t="s">
        <v>7825</v>
      </c>
      <c r="E365" s="956">
        <v>8856</v>
      </c>
      <c r="F365" s="955"/>
      <c r="L365" s="954"/>
      <c r="M365" s="952"/>
      <c r="N365" s="952"/>
    </row>
    <row r="366" spans="1:14">
      <c r="A366" s="958" t="s">
        <v>352</v>
      </c>
      <c r="B366" s="958">
        <v>17</v>
      </c>
      <c r="C366" s="958" t="s">
        <v>3906</v>
      </c>
      <c r="D366" s="957" t="s">
        <v>9902</v>
      </c>
      <c r="E366" s="956">
        <v>18440</v>
      </c>
      <c r="F366" s="955"/>
      <c r="L366" s="954"/>
      <c r="M366" s="952"/>
      <c r="N366" s="952"/>
    </row>
    <row r="367" spans="1:14">
      <c r="A367" s="958" t="s">
        <v>352</v>
      </c>
      <c r="B367" s="958">
        <v>17</v>
      </c>
      <c r="C367" s="958" t="s">
        <v>9901</v>
      </c>
      <c r="D367" s="957" t="s">
        <v>9900</v>
      </c>
      <c r="E367" s="956">
        <v>2589</v>
      </c>
      <c r="F367" s="955"/>
      <c r="L367" s="954"/>
      <c r="M367" s="952"/>
      <c r="N367" s="952"/>
    </row>
    <row r="368" spans="1:14">
      <c r="A368" s="958" t="s">
        <v>352</v>
      </c>
      <c r="B368" s="958">
        <v>17</v>
      </c>
      <c r="C368" s="958" t="s">
        <v>3904</v>
      </c>
      <c r="D368" s="957" t="s">
        <v>9899</v>
      </c>
      <c r="E368" s="956">
        <v>5123</v>
      </c>
      <c r="F368" s="955"/>
      <c r="L368" s="954"/>
      <c r="M368" s="952"/>
      <c r="N368" s="952"/>
    </row>
    <row r="369" spans="1:14">
      <c r="A369" s="958" t="s">
        <v>352</v>
      </c>
      <c r="B369" s="958">
        <v>17</v>
      </c>
      <c r="C369" s="958" t="s">
        <v>3881</v>
      </c>
      <c r="D369" s="957" t="s">
        <v>9898</v>
      </c>
      <c r="E369" s="956">
        <v>13019</v>
      </c>
      <c r="F369" s="955"/>
      <c r="L369" s="954"/>
      <c r="M369" s="952"/>
      <c r="N369" s="952"/>
    </row>
    <row r="370" spans="1:14">
      <c r="A370" s="958" t="s">
        <v>352</v>
      </c>
      <c r="B370" s="958">
        <v>17</v>
      </c>
      <c r="C370" s="958" t="s">
        <v>3875</v>
      </c>
      <c r="D370" s="957" t="s">
        <v>9897</v>
      </c>
      <c r="E370" s="956">
        <v>25923</v>
      </c>
      <c r="F370" s="955"/>
      <c r="L370" s="954"/>
      <c r="M370" s="952"/>
      <c r="N370" s="952"/>
    </row>
    <row r="371" spans="1:14">
      <c r="A371" s="958" t="s">
        <v>352</v>
      </c>
      <c r="B371" s="958">
        <v>17</v>
      </c>
      <c r="C371" s="958" t="s">
        <v>3871</v>
      </c>
      <c r="D371" s="957" t="s">
        <v>9896</v>
      </c>
      <c r="E371" s="956">
        <v>86647</v>
      </c>
      <c r="F371" s="955"/>
      <c r="L371" s="954"/>
      <c r="M371" s="952"/>
      <c r="N371" s="952"/>
    </row>
    <row r="372" spans="1:14">
      <c r="A372" s="958" t="s">
        <v>352</v>
      </c>
      <c r="B372" s="958">
        <v>17</v>
      </c>
      <c r="C372" s="958" t="s">
        <v>3861</v>
      </c>
      <c r="D372" s="957" t="s">
        <v>9131</v>
      </c>
      <c r="E372" s="956">
        <v>2015</v>
      </c>
      <c r="F372" s="955"/>
      <c r="L372" s="954"/>
      <c r="M372" s="952"/>
      <c r="N372" s="952"/>
    </row>
    <row r="373" spans="1:14">
      <c r="A373" s="958" t="s">
        <v>352</v>
      </c>
      <c r="B373" s="958">
        <v>17</v>
      </c>
      <c r="C373" s="958" t="s">
        <v>3843</v>
      </c>
      <c r="D373" s="957" t="s">
        <v>9895</v>
      </c>
      <c r="E373" s="956">
        <v>7433</v>
      </c>
      <c r="F373" s="955"/>
      <c r="L373" s="954"/>
      <c r="M373" s="952"/>
      <c r="N373" s="952"/>
    </row>
    <row r="374" spans="1:14">
      <c r="A374" s="958" t="s">
        <v>352</v>
      </c>
      <c r="B374" s="958">
        <v>17</v>
      </c>
      <c r="C374" s="958" t="s">
        <v>3837</v>
      </c>
      <c r="D374" s="957" t="s">
        <v>9894</v>
      </c>
      <c r="E374" s="956">
        <v>5864</v>
      </c>
      <c r="F374" s="955"/>
      <c r="L374" s="954"/>
      <c r="M374" s="952"/>
      <c r="N374" s="952"/>
    </row>
    <row r="375" spans="1:14">
      <c r="A375" s="958" t="s">
        <v>352</v>
      </c>
      <c r="B375" s="958">
        <v>17</v>
      </c>
      <c r="C375" s="958" t="s">
        <v>3834</v>
      </c>
      <c r="D375" s="957" t="s">
        <v>9893</v>
      </c>
      <c r="E375" s="956">
        <v>3777</v>
      </c>
      <c r="F375" s="955"/>
      <c r="L375" s="954"/>
      <c r="M375" s="952"/>
      <c r="N375" s="952"/>
    </row>
    <row r="376" spans="1:14">
      <c r="A376" s="958" t="s">
        <v>352</v>
      </c>
      <c r="B376" s="958">
        <v>17</v>
      </c>
      <c r="C376" s="958" t="s">
        <v>3828</v>
      </c>
      <c r="D376" s="957" t="s">
        <v>9892</v>
      </c>
      <c r="E376" s="956">
        <v>2427</v>
      </c>
      <c r="F376" s="955"/>
      <c r="L376" s="954"/>
      <c r="M376" s="952"/>
      <c r="N376" s="952"/>
    </row>
    <row r="377" spans="1:14">
      <c r="A377" s="958" t="s">
        <v>352</v>
      </c>
      <c r="B377" s="958">
        <v>17</v>
      </c>
      <c r="C377" s="958" t="s">
        <v>3818</v>
      </c>
      <c r="D377" s="957" t="s">
        <v>9891</v>
      </c>
      <c r="E377" s="956">
        <v>3849</v>
      </c>
      <c r="F377" s="955"/>
      <c r="L377" s="954"/>
      <c r="M377" s="952"/>
      <c r="N377" s="952"/>
    </row>
    <row r="378" spans="1:14">
      <c r="A378" s="958" t="s">
        <v>352</v>
      </c>
      <c r="B378" s="958">
        <v>17</v>
      </c>
      <c r="C378" s="958" t="s">
        <v>3810</v>
      </c>
      <c r="D378" s="957" t="s">
        <v>9890</v>
      </c>
      <c r="E378" s="956">
        <v>2193</v>
      </c>
      <c r="F378" s="955"/>
      <c r="L378" s="954"/>
      <c r="M378" s="952"/>
      <c r="N378" s="952"/>
    </row>
    <row r="379" spans="1:14">
      <c r="A379" s="958" t="s">
        <v>352</v>
      </c>
      <c r="B379" s="958">
        <v>17</v>
      </c>
      <c r="C379" s="958" t="s">
        <v>3808</v>
      </c>
      <c r="D379" s="957" t="s">
        <v>9889</v>
      </c>
      <c r="E379" s="956">
        <v>13357</v>
      </c>
      <c r="F379" s="955"/>
      <c r="L379" s="954"/>
      <c r="M379" s="952"/>
      <c r="N379" s="952"/>
    </row>
    <row r="380" spans="1:14">
      <c r="A380" s="958" t="s">
        <v>352</v>
      </c>
      <c r="B380" s="958">
        <v>17</v>
      </c>
      <c r="C380" s="958" t="s">
        <v>9888</v>
      </c>
      <c r="D380" s="957" t="s">
        <v>9887</v>
      </c>
      <c r="E380" s="956">
        <v>4316</v>
      </c>
      <c r="F380" s="955"/>
      <c r="L380" s="954"/>
      <c r="M380" s="952"/>
      <c r="N380" s="952"/>
    </row>
    <row r="381" spans="1:14">
      <c r="A381" s="958" t="s">
        <v>352</v>
      </c>
      <c r="B381" s="958">
        <v>17</v>
      </c>
      <c r="C381" s="958" t="s">
        <v>3806</v>
      </c>
      <c r="D381" s="957" t="s">
        <v>2305</v>
      </c>
      <c r="E381" s="956">
        <v>3134</v>
      </c>
      <c r="F381" s="955"/>
      <c r="L381" s="954"/>
      <c r="M381" s="952"/>
      <c r="N381" s="952"/>
    </row>
    <row r="382" spans="1:14">
      <c r="A382" s="958" t="s">
        <v>352</v>
      </c>
      <c r="B382" s="958">
        <v>17</v>
      </c>
      <c r="C382" s="958" t="s">
        <v>9886</v>
      </c>
      <c r="D382" s="957" t="s">
        <v>9885</v>
      </c>
      <c r="E382" s="956">
        <v>1923</v>
      </c>
      <c r="F382" s="955"/>
      <c r="L382" s="954"/>
      <c r="M382" s="952"/>
      <c r="N382" s="952"/>
    </row>
    <row r="383" spans="1:14">
      <c r="A383" s="958" t="s">
        <v>352</v>
      </c>
      <c r="B383" s="958">
        <v>17</v>
      </c>
      <c r="C383" s="958" t="s">
        <v>3798</v>
      </c>
      <c r="D383" s="957" t="s">
        <v>9884</v>
      </c>
      <c r="E383" s="956">
        <v>3740</v>
      </c>
      <c r="F383" s="955"/>
      <c r="L383" s="954"/>
      <c r="M383" s="952"/>
      <c r="N383" s="952"/>
    </row>
    <row r="384" spans="1:14">
      <c r="A384" s="958" t="s">
        <v>352</v>
      </c>
      <c r="B384" s="958">
        <v>17</v>
      </c>
      <c r="C384" s="958" t="s">
        <v>9883</v>
      </c>
      <c r="D384" s="957" t="s">
        <v>9882</v>
      </c>
      <c r="E384" s="956">
        <v>3108</v>
      </c>
      <c r="F384" s="955"/>
      <c r="L384" s="954"/>
      <c r="M384" s="952"/>
      <c r="N384" s="952"/>
    </row>
    <row r="385" spans="1:14">
      <c r="A385" s="958" t="s">
        <v>352</v>
      </c>
      <c r="B385" s="958">
        <v>17</v>
      </c>
      <c r="C385" s="958" t="s">
        <v>3796</v>
      </c>
      <c r="D385" s="957" t="s">
        <v>9881</v>
      </c>
      <c r="E385" s="956">
        <v>5175</v>
      </c>
      <c r="F385" s="955"/>
      <c r="L385" s="954"/>
      <c r="M385" s="952"/>
      <c r="N385" s="952"/>
    </row>
    <row r="386" spans="1:14">
      <c r="A386" s="958" t="s">
        <v>352</v>
      </c>
      <c r="B386" s="958">
        <v>17</v>
      </c>
      <c r="C386" s="958" t="s">
        <v>3792</v>
      </c>
      <c r="D386" s="957" t="s">
        <v>9880</v>
      </c>
      <c r="E386" s="956">
        <v>2684</v>
      </c>
      <c r="F386" s="955"/>
      <c r="L386" s="954"/>
      <c r="M386" s="952"/>
      <c r="N386" s="952"/>
    </row>
    <row r="387" spans="1:14">
      <c r="A387" s="958" t="s">
        <v>352</v>
      </c>
      <c r="B387" s="958">
        <v>17</v>
      </c>
      <c r="C387" s="958" t="s">
        <v>3788</v>
      </c>
      <c r="D387" s="957" t="s">
        <v>9879</v>
      </c>
      <c r="E387" s="956">
        <v>3426</v>
      </c>
      <c r="F387" s="955"/>
      <c r="L387" s="954"/>
      <c r="M387" s="952"/>
      <c r="N387" s="952"/>
    </row>
    <row r="388" spans="1:14">
      <c r="A388" s="958" t="s">
        <v>352</v>
      </c>
      <c r="B388" s="958">
        <v>17</v>
      </c>
      <c r="C388" s="958" t="s">
        <v>3779</v>
      </c>
      <c r="D388" s="957" t="s">
        <v>9878</v>
      </c>
      <c r="E388" s="956">
        <v>18248</v>
      </c>
      <c r="F388" s="955"/>
      <c r="L388" s="954"/>
      <c r="M388" s="952"/>
      <c r="N388" s="952"/>
    </row>
    <row r="389" spans="1:14">
      <c r="A389" s="958" t="s">
        <v>352</v>
      </c>
      <c r="B389" s="958">
        <v>17</v>
      </c>
      <c r="C389" s="958" t="s">
        <v>3775</v>
      </c>
      <c r="D389" s="957" t="s">
        <v>9877</v>
      </c>
      <c r="E389" s="956">
        <v>13434</v>
      </c>
      <c r="F389" s="955"/>
      <c r="L389" s="954"/>
      <c r="M389" s="952"/>
      <c r="N389" s="952"/>
    </row>
    <row r="390" spans="1:14">
      <c r="A390" s="958" t="s">
        <v>352</v>
      </c>
      <c r="B390" s="958">
        <v>17</v>
      </c>
      <c r="C390" s="958" t="s">
        <v>3765</v>
      </c>
      <c r="D390" s="957" t="s">
        <v>9876</v>
      </c>
      <c r="E390" s="956">
        <v>7947</v>
      </c>
      <c r="F390" s="955"/>
      <c r="L390" s="954"/>
      <c r="M390" s="952"/>
      <c r="N390" s="952"/>
    </row>
    <row r="391" spans="1:14">
      <c r="A391" s="958" t="s">
        <v>352</v>
      </c>
      <c r="B391" s="958">
        <v>17</v>
      </c>
      <c r="C391" s="958" t="s">
        <v>3763</v>
      </c>
      <c r="D391" s="957" t="s">
        <v>9875</v>
      </c>
      <c r="E391" s="956">
        <v>2279</v>
      </c>
      <c r="F391" s="955"/>
      <c r="L391" s="954"/>
      <c r="M391" s="952"/>
      <c r="N391" s="952"/>
    </row>
    <row r="392" spans="1:14">
      <c r="A392" s="958" t="s">
        <v>352</v>
      </c>
      <c r="B392" s="958">
        <v>17</v>
      </c>
      <c r="C392" s="958" t="s">
        <v>3757</v>
      </c>
      <c r="D392" s="957" t="s">
        <v>9874</v>
      </c>
      <c r="E392" s="956">
        <v>6658</v>
      </c>
      <c r="F392" s="955"/>
      <c r="L392" s="954"/>
      <c r="M392" s="952"/>
      <c r="N392" s="952"/>
    </row>
    <row r="393" spans="1:14">
      <c r="A393" s="958" t="s">
        <v>352</v>
      </c>
      <c r="B393" s="958">
        <v>17</v>
      </c>
      <c r="C393" s="958" t="s">
        <v>9873</v>
      </c>
      <c r="D393" s="957" t="s">
        <v>9872</v>
      </c>
      <c r="E393" s="956">
        <v>3551</v>
      </c>
      <c r="F393" s="955"/>
      <c r="L393" s="954"/>
      <c r="M393" s="952"/>
      <c r="N393" s="952"/>
    </row>
    <row r="394" spans="1:14">
      <c r="A394" s="958" t="s">
        <v>352</v>
      </c>
      <c r="B394" s="958">
        <v>17</v>
      </c>
      <c r="C394" s="958" t="s">
        <v>3749</v>
      </c>
      <c r="D394" s="957" t="s">
        <v>5461</v>
      </c>
      <c r="E394" s="956">
        <v>9244</v>
      </c>
      <c r="F394" s="955"/>
      <c r="L394" s="954"/>
      <c r="M394" s="952"/>
      <c r="N394" s="952"/>
    </row>
    <row r="395" spans="1:14">
      <c r="A395" s="958" t="s">
        <v>352</v>
      </c>
      <c r="B395" s="958">
        <v>17</v>
      </c>
      <c r="C395" s="958" t="s">
        <v>3747</v>
      </c>
      <c r="D395" s="957" t="s">
        <v>7547</v>
      </c>
      <c r="E395" s="956">
        <v>3898</v>
      </c>
      <c r="F395" s="955"/>
      <c r="L395" s="954"/>
      <c r="M395" s="952"/>
      <c r="N395" s="952"/>
    </row>
    <row r="396" spans="1:14">
      <c r="A396" s="958" t="s">
        <v>352</v>
      </c>
      <c r="B396" s="958">
        <v>17</v>
      </c>
      <c r="C396" s="958" t="s">
        <v>9871</v>
      </c>
      <c r="D396" s="957" t="s">
        <v>8627</v>
      </c>
      <c r="E396" s="956">
        <v>11819</v>
      </c>
      <c r="F396" s="955"/>
      <c r="L396" s="954"/>
      <c r="M396" s="952"/>
      <c r="N396" s="952"/>
    </row>
    <row r="397" spans="1:14">
      <c r="A397" s="958" t="s">
        <v>352</v>
      </c>
      <c r="B397" s="958">
        <v>17</v>
      </c>
      <c r="C397" s="958" t="s">
        <v>3731</v>
      </c>
      <c r="D397" s="957" t="s">
        <v>9870</v>
      </c>
      <c r="E397" s="956">
        <v>4260</v>
      </c>
      <c r="F397" s="955"/>
      <c r="L397" s="954"/>
      <c r="M397" s="952"/>
      <c r="N397" s="952"/>
    </row>
    <row r="398" spans="1:14">
      <c r="A398" s="958" t="s">
        <v>352</v>
      </c>
      <c r="B398" s="958">
        <v>17</v>
      </c>
      <c r="C398" s="958" t="s">
        <v>3729</v>
      </c>
      <c r="D398" s="957" t="s">
        <v>9869</v>
      </c>
      <c r="E398" s="956">
        <v>4342</v>
      </c>
      <c r="F398" s="955"/>
      <c r="L398" s="954"/>
      <c r="M398" s="952"/>
      <c r="N398" s="952"/>
    </row>
    <row r="399" spans="1:14">
      <c r="A399" s="958" t="s">
        <v>352</v>
      </c>
      <c r="B399" s="958">
        <v>17</v>
      </c>
      <c r="C399" s="958" t="s">
        <v>9868</v>
      </c>
      <c r="D399" s="957" t="s">
        <v>9867</v>
      </c>
      <c r="E399" s="956">
        <v>2332</v>
      </c>
      <c r="F399" s="955"/>
      <c r="L399" s="954"/>
      <c r="M399" s="952"/>
      <c r="N399" s="952"/>
    </row>
    <row r="400" spans="1:14">
      <c r="A400" s="958" t="s">
        <v>352</v>
      </c>
      <c r="B400" s="958">
        <v>17</v>
      </c>
      <c r="C400" s="958" t="s">
        <v>9866</v>
      </c>
      <c r="D400" s="957" t="s">
        <v>9865</v>
      </c>
      <c r="E400" s="956">
        <v>2722</v>
      </c>
      <c r="F400" s="955"/>
      <c r="L400" s="954"/>
      <c r="M400" s="952"/>
      <c r="N400" s="952"/>
    </row>
    <row r="401" spans="1:14">
      <c r="A401" s="958" t="s">
        <v>352</v>
      </c>
      <c r="B401" s="958">
        <v>17</v>
      </c>
      <c r="C401" s="958" t="s">
        <v>3717</v>
      </c>
      <c r="D401" s="957" t="s">
        <v>9864</v>
      </c>
      <c r="E401" s="956">
        <v>1112</v>
      </c>
      <c r="F401" s="955"/>
      <c r="L401" s="954"/>
      <c r="M401" s="952"/>
      <c r="N401" s="952"/>
    </row>
    <row r="402" spans="1:14">
      <c r="A402" s="958" t="s">
        <v>352</v>
      </c>
      <c r="B402" s="958">
        <v>17</v>
      </c>
      <c r="C402" s="958" t="s">
        <v>3713</v>
      </c>
      <c r="D402" s="957" t="s">
        <v>9863</v>
      </c>
      <c r="E402" s="956">
        <v>6026</v>
      </c>
      <c r="F402" s="955"/>
      <c r="L402" s="954"/>
      <c r="M402" s="952"/>
      <c r="N402" s="952"/>
    </row>
    <row r="403" spans="1:14">
      <c r="A403" s="958" t="s">
        <v>352</v>
      </c>
      <c r="B403" s="958">
        <v>17</v>
      </c>
      <c r="C403" s="958" t="s">
        <v>3709</v>
      </c>
      <c r="D403" s="957" t="s">
        <v>9862</v>
      </c>
      <c r="E403" s="956">
        <v>7659</v>
      </c>
      <c r="F403" s="955"/>
      <c r="L403" s="954"/>
      <c r="M403" s="952"/>
      <c r="N403" s="952"/>
    </row>
    <row r="404" spans="1:14">
      <c r="A404" s="958" t="s">
        <v>352</v>
      </c>
      <c r="B404" s="958">
        <v>17</v>
      </c>
      <c r="C404" s="958" t="s">
        <v>3697</v>
      </c>
      <c r="D404" s="957" t="s">
        <v>9861</v>
      </c>
      <c r="E404" s="956">
        <v>51252</v>
      </c>
      <c r="F404" s="955"/>
      <c r="L404" s="954"/>
      <c r="M404" s="952"/>
      <c r="N404" s="952"/>
    </row>
    <row r="405" spans="1:14">
      <c r="A405" s="958" t="s">
        <v>352</v>
      </c>
      <c r="B405" s="958">
        <v>17</v>
      </c>
      <c r="C405" s="958" t="s">
        <v>3695</v>
      </c>
      <c r="D405" s="957" t="s">
        <v>9860</v>
      </c>
      <c r="E405" s="956">
        <v>10449</v>
      </c>
      <c r="F405" s="955"/>
      <c r="L405" s="954"/>
      <c r="M405" s="952"/>
      <c r="N405" s="952"/>
    </row>
    <row r="406" spans="1:14">
      <c r="A406" s="958" t="s">
        <v>352</v>
      </c>
      <c r="B406" s="958">
        <v>17</v>
      </c>
      <c r="C406" s="958" t="s">
        <v>3693</v>
      </c>
      <c r="D406" s="957" t="s">
        <v>9859</v>
      </c>
      <c r="E406" s="956">
        <v>4849</v>
      </c>
      <c r="F406" s="955"/>
      <c r="L406" s="954"/>
      <c r="M406" s="952"/>
      <c r="N406" s="952"/>
    </row>
    <row r="407" spans="1:14">
      <c r="A407" s="958" t="s">
        <v>352</v>
      </c>
      <c r="B407" s="958">
        <v>17</v>
      </c>
      <c r="C407" s="958" t="s">
        <v>3689</v>
      </c>
      <c r="D407" s="957" t="s">
        <v>9858</v>
      </c>
      <c r="E407" s="956">
        <v>13578</v>
      </c>
      <c r="F407" s="955"/>
      <c r="L407" s="954"/>
      <c r="M407" s="952"/>
      <c r="N407" s="952"/>
    </row>
    <row r="408" spans="1:14">
      <c r="A408" s="958" t="s">
        <v>352</v>
      </c>
      <c r="B408" s="958">
        <v>17</v>
      </c>
      <c r="C408" s="958" t="s">
        <v>3687</v>
      </c>
      <c r="D408" s="957" t="s">
        <v>9857</v>
      </c>
      <c r="E408" s="956">
        <v>11749</v>
      </c>
      <c r="F408" s="955"/>
      <c r="L408" s="954"/>
      <c r="M408" s="952"/>
      <c r="N408" s="952"/>
    </row>
    <row r="409" spans="1:14">
      <c r="A409" s="958" t="s">
        <v>352</v>
      </c>
      <c r="B409" s="958">
        <v>17</v>
      </c>
      <c r="C409" s="958" t="s">
        <v>9856</v>
      </c>
      <c r="D409" s="957" t="s">
        <v>9855</v>
      </c>
      <c r="E409" s="956">
        <v>5477</v>
      </c>
      <c r="F409" s="955"/>
      <c r="L409" s="954"/>
      <c r="M409" s="952"/>
      <c r="N409" s="952"/>
    </row>
    <row r="410" spans="1:14">
      <c r="A410" s="958" t="s">
        <v>352</v>
      </c>
      <c r="B410" s="958">
        <v>17</v>
      </c>
      <c r="C410" s="958" t="s">
        <v>3685</v>
      </c>
      <c r="D410" s="957" t="s">
        <v>9854</v>
      </c>
      <c r="E410" s="956">
        <v>8205</v>
      </c>
      <c r="F410" s="955"/>
      <c r="L410" s="954"/>
      <c r="M410" s="952"/>
      <c r="N410" s="952"/>
    </row>
    <row r="411" spans="1:14">
      <c r="A411" s="958" t="s">
        <v>352</v>
      </c>
      <c r="B411" s="958">
        <v>17</v>
      </c>
      <c r="C411" s="958" t="s">
        <v>3678</v>
      </c>
      <c r="D411" s="957" t="s">
        <v>9853</v>
      </c>
      <c r="E411" s="956">
        <v>4447</v>
      </c>
      <c r="F411" s="955"/>
      <c r="L411" s="954"/>
      <c r="M411" s="952"/>
      <c r="N411" s="952"/>
    </row>
    <row r="412" spans="1:14">
      <c r="A412" s="958" t="s">
        <v>352</v>
      </c>
      <c r="B412" s="958">
        <v>17</v>
      </c>
      <c r="C412" s="958" t="s">
        <v>3672</v>
      </c>
      <c r="D412" s="957" t="s">
        <v>9852</v>
      </c>
      <c r="E412" s="956">
        <v>3028</v>
      </c>
      <c r="F412" s="955"/>
      <c r="L412" s="954"/>
      <c r="M412" s="952"/>
      <c r="N412" s="952"/>
    </row>
    <row r="413" spans="1:14">
      <c r="A413" s="958" t="s">
        <v>352</v>
      </c>
      <c r="B413" s="958">
        <v>17</v>
      </c>
      <c r="C413" s="958" t="s">
        <v>3655</v>
      </c>
      <c r="D413" s="957" t="s">
        <v>9851</v>
      </c>
      <c r="E413" s="956">
        <v>7654</v>
      </c>
      <c r="F413" s="955"/>
      <c r="L413" s="954"/>
      <c r="M413" s="952"/>
      <c r="N413" s="952"/>
    </row>
    <row r="414" spans="1:14">
      <c r="A414" s="958" t="s">
        <v>352</v>
      </c>
      <c r="B414" s="958">
        <v>17</v>
      </c>
      <c r="C414" s="958" t="s">
        <v>3650</v>
      </c>
      <c r="D414" s="957" t="s">
        <v>9850</v>
      </c>
      <c r="E414" s="956">
        <v>4596</v>
      </c>
      <c r="F414" s="955"/>
      <c r="L414" s="954"/>
      <c r="M414" s="952"/>
      <c r="N414" s="952"/>
    </row>
    <row r="415" spans="1:14">
      <c r="A415" s="958" t="s">
        <v>352</v>
      </c>
      <c r="B415" s="958">
        <v>17</v>
      </c>
      <c r="C415" s="958" t="s">
        <v>3648</v>
      </c>
      <c r="D415" s="957" t="s">
        <v>9849</v>
      </c>
      <c r="E415" s="956">
        <v>8039</v>
      </c>
      <c r="F415" s="955"/>
      <c r="L415" s="954"/>
      <c r="M415" s="952"/>
      <c r="N415" s="952"/>
    </row>
    <row r="416" spans="1:14">
      <c r="A416" s="958" t="s">
        <v>352</v>
      </c>
      <c r="B416" s="958">
        <v>17</v>
      </c>
      <c r="C416" s="958" t="s">
        <v>3646</v>
      </c>
      <c r="D416" s="957" t="s">
        <v>9848</v>
      </c>
      <c r="E416" s="956">
        <v>3139</v>
      </c>
      <c r="F416" s="955"/>
      <c r="L416" s="954"/>
      <c r="M416" s="952"/>
      <c r="N416" s="952"/>
    </row>
    <row r="417" spans="1:14">
      <c r="A417" s="958" t="s">
        <v>352</v>
      </c>
      <c r="B417" s="958">
        <v>17</v>
      </c>
      <c r="C417" s="958" t="s">
        <v>3642</v>
      </c>
      <c r="D417" s="957" t="s">
        <v>9847</v>
      </c>
      <c r="E417" s="956">
        <v>53010</v>
      </c>
      <c r="F417" s="955"/>
      <c r="L417" s="954"/>
      <c r="M417" s="952"/>
      <c r="N417" s="952"/>
    </row>
    <row r="418" spans="1:14">
      <c r="A418" s="958" t="s">
        <v>352</v>
      </c>
      <c r="B418" s="958">
        <v>17</v>
      </c>
      <c r="C418" s="958" t="s">
        <v>3640</v>
      </c>
      <c r="D418" s="957" t="s">
        <v>9846</v>
      </c>
      <c r="E418" s="956">
        <v>8432</v>
      </c>
      <c r="F418" s="955"/>
      <c r="L418" s="954"/>
      <c r="M418" s="952"/>
      <c r="N418" s="952"/>
    </row>
    <row r="419" spans="1:14">
      <c r="A419" s="958" t="s">
        <v>352</v>
      </c>
      <c r="B419" s="958">
        <v>17</v>
      </c>
      <c r="C419" s="958" t="s">
        <v>3638</v>
      </c>
      <c r="D419" s="957" t="s">
        <v>5558</v>
      </c>
      <c r="E419" s="956">
        <v>3684</v>
      </c>
      <c r="F419" s="955"/>
      <c r="L419" s="954"/>
      <c r="M419" s="952"/>
      <c r="N419" s="952"/>
    </row>
    <row r="420" spans="1:14">
      <c r="A420" s="958" t="s">
        <v>352</v>
      </c>
      <c r="B420" s="958">
        <v>17</v>
      </c>
      <c r="C420" s="958" t="s">
        <v>3636</v>
      </c>
      <c r="D420" s="957" t="s">
        <v>9845</v>
      </c>
      <c r="E420" s="956">
        <v>2688</v>
      </c>
      <c r="F420" s="955"/>
      <c r="L420" s="954"/>
      <c r="M420" s="952"/>
      <c r="N420" s="952"/>
    </row>
    <row r="421" spans="1:14">
      <c r="A421" s="958" t="s">
        <v>352</v>
      </c>
      <c r="B421" s="958">
        <v>17</v>
      </c>
      <c r="C421" s="958" t="s">
        <v>3634</v>
      </c>
      <c r="D421" s="957" t="s">
        <v>9844</v>
      </c>
      <c r="E421" s="956">
        <v>4293</v>
      </c>
      <c r="F421" s="955"/>
      <c r="L421" s="954"/>
      <c r="M421" s="952"/>
      <c r="N421" s="952"/>
    </row>
    <row r="422" spans="1:14">
      <c r="A422" s="958" t="s">
        <v>352</v>
      </c>
      <c r="B422" s="958">
        <v>17</v>
      </c>
      <c r="C422" s="958" t="s">
        <v>9843</v>
      </c>
      <c r="D422" s="957" t="s">
        <v>6069</v>
      </c>
      <c r="E422" s="956">
        <v>4645</v>
      </c>
      <c r="F422" s="955"/>
      <c r="L422" s="954"/>
      <c r="M422" s="952"/>
      <c r="N422" s="952"/>
    </row>
    <row r="423" spans="1:14">
      <c r="A423" s="958" t="s">
        <v>352</v>
      </c>
      <c r="B423" s="958">
        <v>17</v>
      </c>
      <c r="C423" s="958" t="s">
        <v>9842</v>
      </c>
      <c r="D423" s="957" t="s">
        <v>9841</v>
      </c>
      <c r="E423" s="956">
        <v>2130</v>
      </c>
      <c r="F423" s="955"/>
      <c r="L423" s="954"/>
      <c r="M423" s="952"/>
      <c r="N423" s="952"/>
    </row>
    <row r="424" spans="1:14">
      <c r="A424" s="958" t="s">
        <v>352</v>
      </c>
      <c r="B424" s="958">
        <v>17</v>
      </c>
      <c r="C424" s="958" t="s">
        <v>3630</v>
      </c>
      <c r="D424" s="957" t="s">
        <v>9840</v>
      </c>
      <c r="E424" s="956">
        <v>2834</v>
      </c>
      <c r="F424" s="955"/>
      <c r="L424" s="954"/>
      <c r="M424" s="952"/>
      <c r="N424" s="952"/>
    </row>
    <row r="425" spans="1:14">
      <c r="A425" s="958" t="s">
        <v>352</v>
      </c>
      <c r="B425" s="958">
        <v>17</v>
      </c>
      <c r="C425" s="958" t="s">
        <v>9839</v>
      </c>
      <c r="D425" s="957" t="s">
        <v>9838</v>
      </c>
      <c r="E425" s="956">
        <v>6478</v>
      </c>
      <c r="F425" s="955"/>
      <c r="L425" s="954"/>
      <c r="M425" s="952"/>
      <c r="N425" s="952"/>
    </row>
    <row r="426" spans="1:14">
      <c r="A426" s="958" t="s">
        <v>352</v>
      </c>
      <c r="B426" s="958">
        <v>17</v>
      </c>
      <c r="C426" s="958" t="s">
        <v>3628</v>
      </c>
      <c r="D426" s="957" t="s">
        <v>9837</v>
      </c>
      <c r="E426" s="956">
        <v>4711</v>
      </c>
      <c r="F426" s="955"/>
      <c r="L426" s="954"/>
      <c r="M426" s="952"/>
      <c r="N426" s="952"/>
    </row>
    <row r="427" spans="1:14">
      <c r="A427" s="958" t="s">
        <v>352</v>
      </c>
      <c r="B427" s="958">
        <v>17</v>
      </c>
      <c r="C427" s="958" t="s">
        <v>9836</v>
      </c>
      <c r="D427" s="957" t="s">
        <v>9835</v>
      </c>
      <c r="E427" s="956">
        <v>3375</v>
      </c>
      <c r="F427" s="955"/>
      <c r="L427" s="954"/>
      <c r="M427" s="952"/>
      <c r="N427" s="952"/>
    </row>
    <row r="428" spans="1:14">
      <c r="A428" s="958" t="s">
        <v>352</v>
      </c>
      <c r="B428" s="958">
        <v>17</v>
      </c>
      <c r="C428" s="958" t="s">
        <v>9834</v>
      </c>
      <c r="D428" s="957" t="s">
        <v>9833</v>
      </c>
      <c r="E428" s="956">
        <v>7512</v>
      </c>
      <c r="F428" s="955"/>
      <c r="L428" s="954"/>
      <c r="M428" s="952"/>
      <c r="N428" s="952"/>
    </row>
    <row r="429" spans="1:14">
      <c r="A429" s="958" t="s">
        <v>352</v>
      </c>
      <c r="B429" s="958">
        <v>17</v>
      </c>
      <c r="C429" s="958" t="s">
        <v>9832</v>
      </c>
      <c r="D429" s="957" t="s">
        <v>9831</v>
      </c>
      <c r="E429" s="956">
        <v>3434</v>
      </c>
      <c r="F429" s="955"/>
      <c r="L429" s="954"/>
      <c r="M429" s="952"/>
      <c r="N429" s="952"/>
    </row>
    <row r="430" spans="1:14">
      <c r="A430" s="958" t="s">
        <v>352</v>
      </c>
      <c r="B430" s="958">
        <v>17</v>
      </c>
      <c r="C430" s="958" t="s">
        <v>9830</v>
      </c>
      <c r="D430" s="957" t="s">
        <v>9829</v>
      </c>
      <c r="E430" s="956">
        <v>2365</v>
      </c>
      <c r="F430" s="955"/>
      <c r="L430" s="954"/>
      <c r="M430" s="952"/>
      <c r="N430" s="952"/>
    </row>
    <row r="431" spans="1:14">
      <c r="A431" s="958" t="s">
        <v>352</v>
      </c>
      <c r="B431" s="958">
        <v>17</v>
      </c>
      <c r="C431" s="958" t="s">
        <v>3624</v>
      </c>
      <c r="D431" s="957" t="s">
        <v>9828</v>
      </c>
      <c r="E431" s="956">
        <v>4829</v>
      </c>
      <c r="F431" s="955"/>
      <c r="L431" s="954"/>
      <c r="M431" s="952"/>
      <c r="N431" s="952"/>
    </row>
    <row r="432" spans="1:14">
      <c r="A432" s="958" t="s">
        <v>352</v>
      </c>
      <c r="B432" s="958">
        <v>17</v>
      </c>
      <c r="C432" s="958" t="s">
        <v>3622</v>
      </c>
      <c r="D432" s="957" t="s">
        <v>9827</v>
      </c>
      <c r="E432" s="956">
        <v>2866</v>
      </c>
      <c r="F432" s="955"/>
      <c r="L432" s="954"/>
      <c r="M432" s="952"/>
      <c r="N432" s="952"/>
    </row>
    <row r="433" spans="1:14">
      <c r="A433" s="958" t="s">
        <v>352</v>
      </c>
      <c r="B433" s="958">
        <v>17</v>
      </c>
      <c r="C433" s="958" t="s">
        <v>3595</v>
      </c>
      <c r="D433" s="957" t="s">
        <v>9826</v>
      </c>
      <c r="E433" s="956">
        <v>2529</v>
      </c>
      <c r="F433" s="955"/>
      <c r="L433" s="954"/>
      <c r="M433" s="952"/>
      <c r="N433" s="952"/>
    </row>
    <row r="434" spans="1:14">
      <c r="A434" s="958" t="s">
        <v>352</v>
      </c>
      <c r="B434" s="958">
        <v>17</v>
      </c>
      <c r="C434" s="958" t="s">
        <v>3593</v>
      </c>
      <c r="D434" s="957" t="s">
        <v>9825</v>
      </c>
      <c r="E434" s="956">
        <v>5324</v>
      </c>
      <c r="F434" s="955"/>
      <c r="L434" s="954"/>
      <c r="M434" s="952"/>
      <c r="N434" s="952"/>
    </row>
    <row r="435" spans="1:14">
      <c r="A435" s="958" t="s">
        <v>352</v>
      </c>
      <c r="B435" s="958">
        <v>17</v>
      </c>
      <c r="C435" s="958" t="s">
        <v>3591</v>
      </c>
      <c r="D435" s="957" t="s">
        <v>9824</v>
      </c>
      <c r="E435" s="956">
        <v>1585</v>
      </c>
      <c r="F435" s="955"/>
      <c r="L435" s="954"/>
      <c r="M435" s="952"/>
      <c r="N435" s="952"/>
    </row>
    <row r="436" spans="1:14">
      <c r="A436" s="958" t="s">
        <v>352</v>
      </c>
      <c r="B436" s="958">
        <v>17</v>
      </c>
      <c r="C436" s="958" t="s">
        <v>3589</v>
      </c>
      <c r="D436" s="957" t="s">
        <v>9823</v>
      </c>
      <c r="E436" s="956">
        <v>12139</v>
      </c>
      <c r="F436" s="955"/>
      <c r="L436" s="954"/>
      <c r="M436" s="952"/>
      <c r="N436" s="952"/>
    </row>
    <row r="437" spans="1:14">
      <c r="A437" s="958" t="s">
        <v>352</v>
      </c>
      <c r="B437" s="958">
        <v>17</v>
      </c>
      <c r="C437" s="958" t="s">
        <v>9822</v>
      </c>
      <c r="D437" s="957" t="s">
        <v>9821</v>
      </c>
      <c r="E437" s="956">
        <v>3082</v>
      </c>
      <c r="F437" s="955"/>
      <c r="L437" s="954"/>
      <c r="M437" s="952"/>
      <c r="N437" s="952"/>
    </row>
    <row r="438" spans="1:14">
      <c r="A438" s="958" t="s">
        <v>352</v>
      </c>
      <c r="B438" s="958">
        <v>17</v>
      </c>
      <c r="C438" s="958" t="s">
        <v>3587</v>
      </c>
      <c r="D438" s="957" t="s">
        <v>9820</v>
      </c>
      <c r="E438" s="956">
        <v>4805</v>
      </c>
      <c r="F438" s="955"/>
      <c r="L438" s="954"/>
      <c r="M438" s="952"/>
      <c r="N438" s="952"/>
    </row>
    <row r="439" spans="1:14">
      <c r="A439" s="958" t="s">
        <v>352</v>
      </c>
      <c r="B439" s="958">
        <v>17</v>
      </c>
      <c r="C439" s="958" t="s">
        <v>9819</v>
      </c>
      <c r="D439" s="957" t="s">
        <v>9818</v>
      </c>
      <c r="E439" s="956">
        <v>3960</v>
      </c>
      <c r="F439" s="955"/>
      <c r="L439" s="954"/>
      <c r="M439" s="952"/>
      <c r="N439" s="952"/>
    </row>
    <row r="440" spans="1:14">
      <c r="A440" s="958" t="s">
        <v>352</v>
      </c>
      <c r="B440" s="958">
        <v>17</v>
      </c>
      <c r="C440" s="958" t="s">
        <v>3575</v>
      </c>
      <c r="D440" s="957" t="s">
        <v>9817</v>
      </c>
      <c r="E440" s="956">
        <v>5403</v>
      </c>
      <c r="F440" s="955"/>
      <c r="L440" s="954"/>
      <c r="M440" s="952"/>
      <c r="N440" s="952"/>
    </row>
    <row r="441" spans="1:14">
      <c r="A441" s="958" t="s">
        <v>352</v>
      </c>
      <c r="B441" s="958">
        <v>17</v>
      </c>
      <c r="C441" s="958" t="s">
        <v>3571</v>
      </c>
      <c r="D441" s="957" t="s">
        <v>9816</v>
      </c>
      <c r="E441" s="956">
        <v>9029</v>
      </c>
      <c r="F441" s="955"/>
      <c r="L441" s="954"/>
      <c r="M441" s="952"/>
      <c r="N441" s="952"/>
    </row>
    <row r="442" spans="1:14">
      <c r="A442" s="958" t="s">
        <v>352</v>
      </c>
      <c r="B442" s="958">
        <v>17</v>
      </c>
      <c r="C442" s="958" t="s">
        <v>3569</v>
      </c>
      <c r="D442" s="957" t="s">
        <v>9815</v>
      </c>
      <c r="E442" s="956">
        <v>1966</v>
      </c>
      <c r="F442" s="955"/>
      <c r="L442" s="954"/>
      <c r="M442" s="952"/>
      <c r="N442" s="952"/>
    </row>
    <row r="443" spans="1:14">
      <c r="A443" s="958" t="s">
        <v>352</v>
      </c>
      <c r="B443" s="958">
        <v>17</v>
      </c>
      <c r="C443" s="958" t="s">
        <v>3567</v>
      </c>
      <c r="D443" s="957" t="s">
        <v>9814</v>
      </c>
      <c r="E443" s="956">
        <v>16683</v>
      </c>
      <c r="F443" s="955"/>
      <c r="L443" s="954"/>
      <c r="M443" s="952"/>
      <c r="N443" s="952"/>
    </row>
    <row r="444" spans="1:14">
      <c r="A444" s="958" t="s">
        <v>352</v>
      </c>
      <c r="B444" s="958">
        <v>17</v>
      </c>
      <c r="C444" s="958" t="s">
        <v>9813</v>
      </c>
      <c r="D444" s="957" t="s">
        <v>9812</v>
      </c>
      <c r="E444" s="956">
        <v>2148</v>
      </c>
      <c r="F444" s="955"/>
      <c r="L444" s="954"/>
      <c r="M444" s="952"/>
      <c r="N444" s="952"/>
    </row>
    <row r="445" spans="1:14">
      <c r="A445" s="958" t="s">
        <v>352</v>
      </c>
      <c r="B445" s="958">
        <v>17</v>
      </c>
      <c r="C445" s="958" t="s">
        <v>9811</v>
      </c>
      <c r="D445" s="957" t="s">
        <v>9810</v>
      </c>
      <c r="E445" s="956">
        <v>2793</v>
      </c>
      <c r="F445" s="955"/>
      <c r="L445" s="954"/>
      <c r="M445" s="952"/>
      <c r="N445" s="952"/>
    </row>
    <row r="446" spans="1:14">
      <c r="A446" s="958" t="s">
        <v>352</v>
      </c>
      <c r="B446" s="958">
        <v>17</v>
      </c>
      <c r="C446" s="958" t="s">
        <v>3565</v>
      </c>
      <c r="D446" s="957" t="s">
        <v>3652</v>
      </c>
      <c r="E446" s="956">
        <v>299127</v>
      </c>
      <c r="F446" s="955"/>
      <c r="L446" s="954"/>
      <c r="M446" s="952"/>
      <c r="N446" s="952"/>
    </row>
    <row r="447" spans="1:14">
      <c r="A447" s="958" t="s">
        <v>352</v>
      </c>
      <c r="B447" s="958">
        <v>17</v>
      </c>
      <c r="C447" s="958" t="s">
        <v>3563</v>
      </c>
      <c r="D447" s="957" t="s">
        <v>9809</v>
      </c>
      <c r="E447" s="956">
        <v>7545</v>
      </c>
      <c r="F447" s="955"/>
      <c r="L447" s="954"/>
      <c r="M447" s="952"/>
      <c r="N447" s="952"/>
    </row>
    <row r="448" spans="1:14">
      <c r="A448" s="958" t="s">
        <v>352</v>
      </c>
      <c r="B448" s="958">
        <v>17</v>
      </c>
      <c r="C448" s="958" t="s">
        <v>3561</v>
      </c>
      <c r="D448" s="957" t="s">
        <v>9808</v>
      </c>
      <c r="E448" s="956">
        <v>22870</v>
      </c>
      <c r="F448" s="955"/>
      <c r="L448" s="954"/>
      <c r="M448" s="952"/>
      <c r="N448" s="952"/>
    </row>
    <row r="449" spans="1:14">
      <c r="A449" s="958" t="s">
        <v>352</v>
      </c>
      <c r="B449" s="958">
        <v>17</v>
      </c>
      <c r="C449" s="958" t="s">
        <v>3559</v>
      </c>
      <c r="D449" s="957" t="s">
        <v>9807</v>
      </c>
      <c r="E449" s="956">
        <v>1891</v>
      </c>
      <c r="F449" s="955"/>
      <c r="L449" s="954"/>
      <c r="M449" s="952"/>
      <c r="N449" s="952"/>
    </row>
    <row r="450" spans="1:14">
      <c r="A450" s="958" t="s">
        <v>352</v>
      </c>
      <c r="B450" s="958">
        <v>17</v>
      </c>
      <c r="C450" s="958" t="s">
        <v>3557</v>
      </c>
      <c r="D450" s="957" t="s">
        <v>9806</v>
      </c>
      <c r="E450" s="956">
        <v>2671</v>
      </c>
      <c r="F450" s="955"/>
      <c r="L450" s="954"/>
      <c r="M450" s="952"/>
      <c r="N450" s="952"/>
    </row>
    <row r="451" spans="1:14">
      <c r="A451" s="958" t="s">
        <v>352</v>
      </c>
      <c r="B451" s="958">
        <v>17</v>
      </c>
      <c r="C451" s="958" t="s">
        <v>9805</v>
      </c>
      <c r="D451" s="957" t="s">
        <v>9804</v>
      </c>
      <c r="E451" s="956">
        <v>11683</v>
      </c>
      <c r="F451" s="955"/>
      <c r="L451" s="954"/>
      <c r="M451" s="952"/>
      <c r="N451" s="952"/>
    </row>
    <row r="452" spans="1:14">
      <c r="A452" s="958" t="s">
        <v>352</v>
      </c>
      <c r="B452" s="958">
        <v>17</v>
      </c>
      <c r="C452" s="958" t="s">
        <v>3537</v>
      </c>
      <c r="D452" s="957" t="s">
        <v>9803</v>
      </c>
      <c r="E452" s="956">
        <v>11540</v>
      </c>
      <c r="F452" s="955"/>
      <c r="L452" s="954"/>
      <c r="M452" s="952"/>
      <c r="N452" s="952"/>
    </row>
    <row r="453" spans="1:14">
      <c r="A453" s="958" t="s">
        <v>369</v>
      </c>
      <c r="B453" s="958">
        <v>21</v>
      </c>
      <c r="C453" s="958" t="s">
        <v>9802</v>
      </c>
      <c r="D453" s="957" t="s">
        <v>9801</v>
      </c>
      <c r="E453" s="956">
        <v>112445</v>
      </c>
      <c r="F453" s="955"/>
      <c r="L453" s="954"/>
      <c r="M453" s="952"/>
      <c r="N453" s="952"/>
    </row>
    <row r="454" spans="1:14">
      <c r="A454" s="958" t="s">
        <v>369</v>
      </c>
      <c r="B454" s="958">
        <v>21</v>
      </c>
      <c r="C454" s="958" t="s">
        <v>5397</v>
      </c>
      <c r="D454" s="957" t="s">
        <v>9800</v>
      </c>
      <c r="E454" s="956">
        <v>6524</v>
      </c>
      <c r="F454" s="955"/>
      <c r="L454" s="954"/>
      <c r="M454" s="952"/>
      <c r="N454" s="952"/>
    </row>
    <row r="455" spans="1:14">
      <c r="A455" s="958" t="s">
        <v>369</v>
      </c>
      <c r="B455" s="958">
        <v>21</v>
      </c>
      <c r="C455" s="958" t="s">
        <v>9799</v>
      </c>
      <c r="D455" s="957" t="s">
        <v>9798</v>
      </c>
      <c r="E455" s="956">
        <v>12571</v>
      </c>
      <c r="F455" s="955"/>
      <c r="L455" s="954"/>
      <c r="M455" s="952"/>
      <c r="N455" s="952"/>
    </row>
    <row r="456" spans="1:14">
      <c r="A456" s="958" t="s">
        <v>369</v>
      </c>
      <c r="B456" s="958">
        <v>21</v>
      </c>
      <c r="C456" s="958" t="s">
        <v>5395</v>
      </c>
      <c r="D456" s="957" t="s">
        <v>9797</v>
      </c>
      <c r="E456" s="956">
        <v>22097</v>
      </c>
      <c r="F456" s="955"/>
      <c r="L456" s="954"/>
      <c r="M456" s="952"/>
      <c r="N456" s="952"/>
    </row>
    <row r="457" spans="1:14">
      <c r="A457" s="958" t="s">
        <v>369</v>
      </c>
      <c r="B457" s="958">
        <v>21</v>
      </c>
      <c r="C457" s="958" t="s">
        <v>5393</v>
      </c>
      <c r="D457" s="957" t="s">
        <v>9796</v>
      </c>
      <c r="E457" s="956">
        <v>26532</v>
      </c>
      <c r="F457" s="955"/>
      <c r="L457" s="954"/>
      <c r="M457" s="952"/>
      <c r="N457" s="952"/>
    </row>
    <row r="458" spans="1:14">
      <c r="A458" s="958" t="s">
        <v>369</v>
      </c>
      <c r="B458" s="958">
        <v>21</v>
      </c>
      <c r="C458" s="958" t="s">
        <v>5391</v>
      </c>
      <c r="D458" s="957" t="s">
        <v>9795</v>
      </c>
      <c r="E458" s="956">
        <v>8128</v>
      </c>
      <c r="F458" s="955"/>
      <c r="L458" s="954"/>
      <c r="M458" s="952"/>
      <c r="N458" s="952"/>
    </row>
    <row r="459" spans="1:14">
      <c r="A459" s="958" t="s">
        <v>369</v>
      </c>
      <c r="B459" s="958">
        <v>21</v>
      </c>
      <c r="C459" s="958" t="s">
        <v>9794</v>
      </c>
      <c r="D459" s="957" t="s">
        <v>9793</v>
      </c>
      <c r="E459" s="956">
        <v>27053</v>
      </c>
      <c r="F459" s="955"/>
      <c r="L459" s="954"/>
      <c r="M459" s="952"/>
      <c r="N459" s="952"/>
    </row>
    <row r="460" spans="1:14">
      <c r="A460" s="958" t="s">
        <v>369</v>
      </c>
      <c r="B460" s="958">
        <v>21</v>
      </c>
      <c r="C460" s="958" t="s">
        <v>9792</v>
      </c>
      <c r="D460" s="957" t="s">
        <v>9791</v>
      </c>
      <c r="E460" s="956">
        <v>31919</v>
      </c>
      <c r="F460" s="955"/>
      <c r="L460" s="954"/>
      <c r="M460" s="952"/>
      <c r="N460" s="952"/>
    </row>
    <row r="461" spans="1:14">
      <c r="A461" s="958" t="s">
        <v>369</v>
      </c>
      <c r="B461" s="958">
        <v>21</v>
      </c>
      <c r="C461" s="958" t="s">
        <v>5389</v>
      </c>
      <c r="D461" s="957" t="s">
        <v>9790</v>
      </c>
      <c r="E461" s="956">
        <v>11190</v>
      </c>
      <c r="F461" s="955"/>
      <c r="L461" s="954"/>
      <c r="M461" s="952"/>
      <c r="N461" s="952"/>
    </row>
    <row r="462" spans="1:14">
      <c r="A462" s="958" t="s">
        <v>369</v>
      </c>
      <c r="B462" s="958">
        <v>21</v>
      </c>
      <c r="C462" s="958" t="s">
        <v>5387</v>
      </c>
      <c r="D462" s="957" t="s">
        <v>9789</v>
      </c>
      <c r="E462" s="956">
        <v>6962</v>
      </c>
      <c r="F462" s="955"/>
      <c r="L462" s="954"/>
      <c r="M462" s="952"/>
      <c r="N462" s="952"/>
    </row>
    <row r="463" spans="1:14">
      <c r="A463" s="958" t="s">
        <v>369</v>
      </c>
      <c r="B463" s="958">
        <v>21</v>
      </c>
      <c r="C463" s="958" t="s">
        <v>5385</v>
      </c>
      <c r="D463" s="957" t="s">
        <v>9788</v>
      </c>
      <c r="E463" s="956">
        <v>41435</v>
      </c>
      <c r="F463" s="955"/>
      <c r="L463" s="954"/>
      <c r="M463" s="952"/>
      <c r="N463" s="952"/>
    </row>
    <row r="464" spans="1:14">
      <c r="A464" s="958" t="s">
        <v>369</v>
      </c>
      <c r="B464" s="958">
        <v>21</v>
      </c>
      <c r="C464" s="958" t="s">
        <v>5383</v>
      </c>
      <c r="D464" s="957" t="s">
        <v>9787</v>
      </c>
      <c r="E464" s="956">
        <v>26803</v>
      </c>
      <c r="F464" s="955"/>
      <c r="L464" s="954"/>
      <c r="M464" s="952"/>
      <c r="N464" s="952"/>
    </row>
    <row r="465" spans="1:14">
      <c r="A465" s="958" t="s">
        <v>369</v>
      </c>
      <c r="B465" s="958">
        <v>21</v>
      </c>
      <c r="C465" s="958" t="s">
        <v>5379</v>
      </c>
      <c r="D465" s="957" t="s">
        <v>9786</v>
      </c>
      <c r="E465" s="956">
        <v>15732</v>
      </c>
      <c r="F465" s="955"/>
      <c r="L465" s="954"/>
      <c r="M465" s="952"/>
      <c r="N465" s="952"/>
    </row>
    <row r="466" spans="1:14">
      <c r="A466" s="958" t="s">
        <v>369</v>
      </c>
      <c r="B466" s="958">
        <v>21</v>
      </c>
      <c r="C466" s="958" t="s">
        <v>9785</v>
      </c>
      <c r="D466" s="957" t="s">
        <v>9784</v>
      </c>
      <c r="E466" s="956">
        <v>17239</v>
      </c>
      <c r="F466" s="955"/>
      <c r="L466" s="954"/>
      <c r="M466" s="952"/>
      <c r="N466" s="952"/>
    </row>
    <row r="467" spans="1:14">
      <c r="A467" s="958" t="s">
        <v>369</v>
      </c>
      <c r="B467" s="958">
        <v>21</v>
      </c>
      <c r="C467" s="958" t="s">
        <v>9783</v>
      </c>
      <c r="D467" s="957" t="s">
        <v>9782</v>
      </c>
      <c r="E467" s="956">
        <v>15426</v>
      </c>
      <c r="F467" s="955"/>
      <c r="L467" s="954"/>
      <c r="M467" s="952"/>
      <c r="N467" s="952"/>
    </row>
    <row r="468" spans="1:14">
      <c r="A468" s="958" t="s">
        <v>369</v>
      </c>
      <c r="B468" s="958">
        <v>21</v>
      </c>
      <c r="C468" s="958" t="s">
        <v>5377</v>
      </c>
      <c r="D468" s="957" t="s">
        <v>9781</v>
      </c>
      <c r="E468" s="956">
        <v>46440</v>
      </c>
      <c r="F468" s="955"/>
      <c r="L468" s="954"/>
      <c r="M468" s="952"/>
      <c r="N468" s="952"/>
    </row>
    <row r="469" spans="1:14">
      <c r="A469" s="958" t="s">
        <v>369</v>
      </c>
      <c r="B469" s="958">
        <v>21</v>
      </c>
      <c r="C469" s="958" t="s">
        <v>9780</v>
      </c>
      <c r="D469" s="957" t="s">
        <v>9779</v>
      </c>
      <c r="E469" s="956">
        <v>32701</v>
      </c>
      <c r="F469" s="955"/>
      <c r="L469" s="954"/>
      <c r="M469" s="952"/>
      <c r="N469" s="952"/>
    </row>
    <row r="470" spans="1:14">
      <c r="A470" s="958" t="s">
        <v>369</v>
      </c>
      <c r="B470" s="958">
        <v>21</v>
      </c>
      <c r="C470" s="958" t="s">
        <v>5375</v>
      </c>
      <c r="D470" s="957" t="s">
        <v>9778</v>
      </c>
      <c r="E470" s="956">
        <v>29848</v>
      </c>
      <c r="F470" s="955"/>
      <c r="L470" s="954"/>
      <c r="M470" s="952"/>
      <c r="N470" s="952"/>
    </row>
    <row r="471" spans="1:14">
      <c r="A471" s="958" t="s">
        <v>369</v>
      </c>
      <c r="B471" s="958">
        <v>21</v>
      </c>
      <c r="C471" s="958" t="s">
        <v>5373</v>
      </c>
      <c r="D471" s="957" t="s">
        <v>9777</v>
      </c>
      <c r="E471" s="956">
        <v>12130</v>
      </c>
      <c r="F471" s="955"/>
      <c r="L471" s="954"/>
      <c r="M471" s="952"/>
      <c r="N471" s="952"/>
    </row>
    <row r="472" spans="1:14">
      <c r="A472" s="958" t="s">
        <v>369</v>
      </c>
      <c r="B472" s="958">
        <v>21</v>
      </c>
      <c r="C472" s="958" t="s">
        <v>5370</v>
      </c>
      <c r="D472" s="957" t="s">
        <v>9776</v>
      </c>
      <c r="E472" s="956">
        <v>104949</v>
      </c>
      <c r="F472" s="955"/>
      <c r="L472" s="954"/>
      <c r="M472" s="952"/>
      <c r="N472" s="952"/>
    </row>
    <row r="473" spans="1:14">
      <c r="A473" s="958" t="s">
        <v>369</v>
      </c>
      <c r="B473" s="958">
        <v>21</v>
      </c>
      <c r="C473" s="958" t="s">
        <v>9775</v>
      </c>
      <c r="D473" s="957" t="s">
        <v>9774</v>
      </c>
      <c r="E473" s="956">
        <v>17055</v>
      </c>
      <c r="F473" s="955"/>
      <c r="L473" s="954"/>
      <c r="M473" s="952"/>
      <c r="N473" s="952"/>
    </row>
    <row r="474" spans="1:14">
      <c r="A474" s="958" t="s">
        <v>369</v>
      </c>
      <c r="B474" s="958">
        <v>21</v>
      </c>
      <c r="C474" s="958" t="s">
        <v>5368</v>
      </c>
      <c r="D474" s="957" t="s">
        <v>9773</v>
      </c>
      <c r="E474" s="956">
        <v>18582</v>
      </c>
      <c r="F474" s="955"/>
      <c r="L474" s="954"/>
      <c r="M474" s="952"/>
      <c r="N474" s="952"/>
    </row>
    <row r="475" spans="1:14">
      <c r="A475" s="958" t="s">
        <v>369</v>
      </c>
      <c r="B475" s="958">
        <v>21</v>
      </c>
      <c r="C475" s="958" t="s">
        <v>9772</v>
      </c>
      <c r="D475" s="957" t="s">
        <v>9771</v>
      </c>
      <c r="E475" s="956">
        <v>5644</v>
      </c>
      <c r="F475" s="955"/>
      <c r="L475" s="954"/>
      <c r="M475" s="952"/>
      <c r="N475" s="952"/>
    </row>
    <row r="476" spans="1:14">
      <c r="A476" s="958" t="s">
        <v>369</v>
      </c>
      <c r="B476" s="958">
        <v>21</v>
      </c>
      <c r="C476" s="958" t="s">
        <v>5366</v>
      </c>
      <c r="D476" s="957" t="s">
        <v>9770</v>
      </c>
      <c r="E476" s="956">
        <v>94887</v>
      </c>
      <c r="F476" s="955"/>
      <c r="L476" s="954"/>
      <c r="M476" s="952"/>
      <c r="N476" s="952"/>
    </row>
    <row r="477" spans="1:14">
      <c r="A477" s="958" t="s">
        <v>369</v>
      </c>
      <c r="B477" s="958">
        <v>21</v>
      </c>
      <c r="C477" s="958" t="s">
        <v>5364</v>
      </c>
      <c r="D477" s="957" t="s">
        <v>9769</v>
      </c>
      <c r="E477" s="956">
        <v>18820</v>
      </c>
      <c r="F477" s="955"/>
      <c r="L477" s="954"/>
      <c r="M477" s="952"/>
      <c r="N477" s="952"/>
    </row>
    <row r="478" spans="1:14">
      <c r="A478" s="958" t="s">
        <v>369</v>
      </c>
      <c r="B478" s="958">
        <v>21</v>
      </c>
      <c r="C478" s="958" t="s">
        <v>5362</v>
      </c>
      <c r="D478" s="957" t="s">
        <v>9768</v>
      </c>
      <c r="E478" s="956">
        <v>88212</v>
      </c>
      <c r="F478" s="955"/>
      <c r="L478" s="954"/>
      <c r="M478" s="952"/>
      <c r="N478" s="952"/>
    </row>
    <row r="479" spans="1:14">
      <c r="A479" s="958" t="s">
        <v>369</v>
      </c>
      <c r="B479" s="958">
        <v>21</v>
      </c>
      <c r="C479" s="958" t="s">
        <v>5360</v>
      </c>
      <c r="D479" s="957" t="s">
        <v>9767</v>
      </c>
      <c r="E479" s="956">
        <v>62528</v>
      </c>
      <c r="F479" s="955"/>
      <c r="L479" s="954"/>
      <c r="M479" s="952"/>
      <c r="N479" s="952"/>
    </row>
    <row r="480" spans="1:14">
      <c r="A480" s="958" t="s">
        <v>369</v>
      </c>
      <c r="B480" s="958">
        <v>21</v>
      </c>
      <c r="C480" s="958" t="s">
        <v>9766</v>
      </c>
      <c r="D480" s="957" t="s">
        <v>9765</v>
      </c>
      <c r="E480" s="956">
        <v>7469</v>
      </c>
      <c r="F480" s="955"/>
      <c r="L480" s="954"/>
      <c r="M480" s="952"/>
      <c r="N480" s="952"/>
    </row>
    <row r="481" spans="1:14">
      <c r="A481" s="958" t="s">
        <v>369</v>
      </c>
      <c r="B481" s="958">
        <v>21</v>
      </c>
      <c r="C481" s="958" t="s">
        <v>9764</v>
      </c>
      <c r="D481" s="957" t="s">
        <v>9763</v>
      </c>
      <c r="E481" s="956">
        <v>11209</v>
      </c>
      <c r="F481" s="955"/>
      <c r="L481" s="954"/>
      <c r="M481" s="952"/>
      <c r="N481" s="952"/>
    </row>
    <row r="482" spans="1:14">
      <c r="A482" s="958" t="s">
        <v>369</v>
      </c>
      <c r="B482" s="958">
        <v>21</v>
      </c>
      <c r="C482" s="958" t="s">
        <v>5358</v>
      </c>
      <c r="D482" s="957" t="s">
        <v>9762</v>
      </c>
      <c r="E482" s="956">
        <v>5632</v>
      </c>
      <c r="F482" s="955"/>
      <c r="L482" s="954"/>
      <c r="M482" s="952"/>
      <c r="N482" s="952"/>
    </row>
    <row r="483" spans="1:14">
      <c r="A483" s="958" t="s">
        <v>369</v>
      </c>
      <c r="B483" s="958">
        <v>21</v>
      </c>
      <c r="C483" s="958" t="s">
        <v>5356</v>
      </c>
      <c r="D483" s="957" t="s">
        <v>9761</v>
      </c>
      <c r="E483" s="956">
        <v>21280</v>
      </c>
      <c r="F483" s="955"/>
      <c r="L483" s="954"/>
      <c r="M483" s="952"/>
      <c r="N483" s="952"/>
    </row>
    <row r="484" spans="1:14">
      <c r="A484" s="958" t="s">
        <v>369</v>
      </c>
      <c r="B484" s="958">
        <v>21</v>
      </c>
      <c r="C484" s="958" t="s">
        <v>9760</v>
      </c>
      <c r="D484" s="957" t="s">
        <v>9759</v>
      </c>
      <c r="E484" s="956">
        <v>6043</v>
      </c>
      <c r="F484" s="955"/>
      <c r="L484" s="954"/>
      <c r="M484" s="952"/>
      <c r="N484" s="952"/>
    </row>
    <row r="485" spans="1:14">
      <c r="A485" s="958" t="s">
        <v>369</v>
      </c>
      <c r="B485" s="958">
        <v>21</v>
      </c>
      <c r="C485" s="958" t="s">
        <v>9758</v>
      </c>
      <c r="D485" s="957" t="s">
        <v>9757</v>
      </c>
      <c r="E485" s="956">
        <v>9287</v>
      </c>
      <c r="F485" s="955"/>
      <c r="L485" s="954"/>
      <c r="M485" s="952"/>
      <c r="N485" s="952"/>
    </row>
    <row r="486" spans="1:14">
      <c r="A486" s="958" t="s">
        <v>369</v>
      </c>
      <c r="B486" s="958">
        <v>21</v>
      </c>
      <c r="C486" s="958" t="s">
        <v>5354</v>
      </c>
      <c r="D486" s="957" t="s">
        <v>5517</v>
      </c>
      <c r="E486" s="956">
        <v>41630</v>
      </c>
      <c r="F486" s="955"/>
      <c r="L486" s="954"/>
      <c r="M486" s="952"/>
      <c r="N486" s="952"/>
    </row>
    <row r="487" spans="1:14">
      <c r="A487" s="958" t="s">
        <v>369</v>
      </c>
      <c r="B487" s="958">
        <v>21</v>
      </c>
      <c r="C487" s="958" t="s">
        <v>9756</v>
      </c>
      <c r="D487" s="957" t="s">
        <v>9755</v>
      </c>
      <c r="E487" s="956">
        <v>34028</v>
      </c>
      <c r="F487" s="955"/>
      <c r="L487" s="954"/>
      <c r="M487" s="952"/>
      <c r="N487" s="952"/>
    </row>
    <row r="488" spans="1:14">
      <c r="A488" s="958" t="s">
        <v>369</v>
      </c>
      <c r="B488" s="958">
        <v>21</v>
      </c>
      <c r="C488" s="958" t="s">
        <v>9754</v>
      </c>
      <c r="D488" s="957" t="s">
        <v>9753</v>
      </c>
      <c r="E488" s="956">
        <v>16294</v>
      </c>
      <c r="F488" s="955"/>
      <c r="L488" s="954"/>
      <c r="M488" s="952"/>
      <c r="N488" s="952"/>
    </row>
    <row r="489" spans="1:14">
      <c r="A489" s="958" t="s">
        <v>369</v>
      </c>
      <c r="B489" s="958">
        <v>21</v>
      </c>
      <c r="C489" s="958" t="s">
        <v>5352</v>
      </c>
      <c r="D489" s="957" t="s">
        <v>9752</v>
      </c>
      <c r="E489" s="956">
        <v>36397</v>
      </c>
      <c r="F489" s="955"/>
      <c r="L489" s="954"/>
      <c r="M489" s="952"/>
      <c r="N489" s="952"/>
    </row>
    <row r="490" spans="1:14">
      <c r="A490" s="958" t="s">
        <v>369</v>
      </c>
      <c r="B490" s="958">
        <v>21</v>
      </c>
      <c r="C490" s="958" t="s">
        <v>9751</v>
      </c>
      <c r="D490" s="957" t="s">
        <v>9750</v>
      </c>
      <c r="E490" s="956">
        <v>9188</v>
      </c>
      <c r="F490" s="955"/>
      <c r="L490" s="954"/>
      <c r="M490" s="952"/>
      <c r="N490" s="952"/>
    </row>
    <row r="491" spans="1:14">
      <c r="A491" s="958" t="s">
        <v>369</v>
      </c>
      <c r="B491" s="958">
        <v>21</v>
      </c>
      <c r="C491" s="958" t="s">
        <v>5350</v>
      </c>
      <c r="D491" s="957" t="s">
        <v>9749</v>
      </c>
      <c r="E491" s="956">
        <v>28678</v>
      </c>
      <c r="F491" s="955"/>
      <c r="L491" s="954"/>
      <c r="M491" s="952"/>
      <c r="N491" s="952"/>
    </row>
    <row r="492" spans="1:14">
      <c r="A492" s="958" t="s">
        <v>369</v>
      </c>
      <c r="B492" s="958">
        <v>21</v>
      </c>
      <c r="C492" s="958" t="s">
        <v>5348</v>
      </c>
      <c r="D492" s="957" t="s">
        <v>9748</v>
      </c>
      <c r="E492" s="956">
        <v>23884</v>
      </c>
      <c r="F492" s="955"/>
      <c r="L492" s="954"/>
      <c r="M492" s="952"/>
      <c r="N492" s="952"/>
    </row>
    <row r="493" spans="1:14">
      <c r="A493" s="958" t="s">
        <v>369</v>
      </c>
      <c r="B493" s="958">
        <v>21</v>
      </c>
      <c r="C493" s="958" t="s">
        <v>9747</v>
      </c>
      <c r="D493" s="957" t="s">
        <v>9746</v>
      </c>
      <c r="E493" s="956">
        <v>72358</v>
      </c>
      <c r="F493" s="955"/>
      <c r="L493" s="954"/>
      <c r="M493" s="952"/>
      <c r="N493" s="952"/>
    </row>
    <row r="494" spans="1:14">
      <c r="A494" s="958" t="s">
        <v>369</v>
      </c>
      <c r="B494" s="958">
        <v>21</v>
      </c>
      <c r="C494" s="958" t="s">
        <v>9745</v>
      </c>
      <c r="D494" s="957" t="s">
        <v>9744</v>
      </c>
      <c r="E494" s="956">
        <v>15430</v>
      </c>
      <c r="F494" s="955"/>
      <c r="L494" s="954"/>
      <c r="M494" s="952"/>
      <c r="N494" s="952"/>
    </row>
    <row r="495" spans="1:14">
      <c r="A495" s="958" t="s">
        <v>369</v>
      </c>
      <c r="B495" s="958">
        <v>21</v>
      </c>
      <c r="C495" s="958" t="s">
        <v>9743</v>
      </c>
      <c r="D495" s="957" t="s">
        <v>9742</v>
      </c>
      <c r="E495" s="956">
        <v>9431</v>
      </c>
      <c r="F495" s="955"/>
      <c r="L495" s="954"/>
      <c r="M495" s="952"/>
      <c r="N495" s="952"/>
    </row>
    <row r="496" spans="1:14">
      <c r="A496" s="958" t="s">
        <v>369</v>
      </c>
      <c r="B496" s="958">
        <v>21</v>
      </c>
      <c r="C496" s="958" t="s">
        <v>5346</v>
      </c>
      <c r="D496" s="957" t="s">
        <v>9741</v>
      </c>
      <c r="E496" s="956">
        <v>11177</v>
      </c>
      <c r="F496" s="955"/>
      <c r="L496" s="954"/>
      <c r="M496" s="952"/>
      <c r="N496" s="952"/>
    </row>
    <row r="497" spans="1:14">
      <c r="A497" s="958" t="s">
        <v>369</v>
      </c>
      <c r="B497" s="958">
        <v>21</v>
      </c>
      <c r="C497" s="958" t="s">
        <v>5344</v>
      </c>
      <c r="D497" s="957" t="s">
        <v>9740</v>
      </c>
      <c r="E497" s="956">
        <v>19379</v>
      </c>
      <c r="F497" s="955"/>
      <c r="L497" s="954"/>
      <c r="M497" s="952"/>
      <c r="N497" s="952"/>
    </row>
    <row r="498" spans="1:14">
      <c r="A498" s="958" t="s">
        <v>369</v>
      </c>
      <c r="B498" s="958">
        <v>21</v>
      </c>
      <c r="C498" s="958" t="s">
        <v>9739</v>
      </c>
      <c r="D498" s="957" t="s">
        <v>9738</v>
      </c>
      <c r="E498" s="956">
        <v>14374</v>
      </c>
      <c r="F498" s="955"/>
      <c r="L498" s="954"/>
      <c r="M498" s="952"/>
      <c r="N498" s="952"/>
    </row>
    <row r="499" spans="1:14">
      <c r="A499" s="958" t="s">
        <v>369</v>
      </c>
      <c r="B499" s="958">
        <v>21</v>
      </c>
      <c r="C499" s="958" t="s">
        <v>5342</v>
      </c>
      <c r="D499" s="957" t="s">
        <v>9737</v>
      </c>
      <c r="E499" s="956">
        <v>20178</v>
      </c>
      <c r="F499" s="955"/>
      <c r="L499" s="954"/>
      <c r="M499" s="952"/>
      <c r="N499" s="952"/>
    </row>
    <row r="500" spans="1:14">
      <c r="A500" s="958" t="s">
        <v>369</v>
      </c>
      <c r="B500" s="958">
        <v>21</v>
      </c>
      <c r="C500" s="958" t="s">
        <v>5340</v>
      </c>
      <c r="D500" s="957" t="s">
        <v>9736</v>
      </c>
      <c r="E500" s="956">
        <v>21995</v>
      </c>
      <c r="F500" s="955"/>
      <c r="L500" s="954"/>
      <c r="M500" s="952"/>
      <c r="N500" s="952"/>
    </row>
    <row r="501" spans="1:14">
      <c r="A501" s="958" t="s">
        <v>369</v>
      </c>
      <c r="B501" s="958">
        <v>21</v>
      </c>
      <c r="C501" s="958" t="s">
        <v>5338</v>
      </c>
      <c r="D501" s="957" t="s">
        <v>9735</v>
      </c>
      <c r="E501" s="956">
        <v>10934</v>
      </c>
      <c r="F501" s="955"/>
      <c r="L501" s="954"/>
      <c r="M501" s="952"/>
      <c r="N501" s="952"/>
    </row>
    <row r="502" spans="1:14">
      <c r="A502" s="958" t="s">
        <v>369</v>
      </c>
      <c r="B502" s="958">
        <v>21</v>
      </c>
      <c r="C502" s="958" t="s">
        <v>5336</v>
      </c>
      <c r="D502" s="957" t="s">
        <v>9734</v>
      </c>
      <c r="E502" s="956">
        <v>24322</v>
      </c>
      <c r="F502" s="955"/>
      <c r="L502" s="954"/>
      <c r="M502" s="952"/>
      <c r="N502" s="952"/>
    </row>
    <row r="503" spans="1:14">
      <c r="A503" s="958" t="s">
        <v>369</v>
      </c>
      <c r="B503" s="958">
        <v>21</v>
      </c>
      <c r="C503" s="958" t="s">
        <v>5334</v>
      </c>
      <c r="D503" s="957" t="s">
        <v>9733</v>
      </c>
      <c r="E503" s="956">
        <v>23807</v>
      </c>
      <c r="F503" s="955"/>
      <c r="L503" s="954"/>
      <c r="M503" s="952"/>
      <c r="N503" s="952"/>
    </row>
    <row r="504" spans="1:14">
      <c r="A504" s="958" t="s">
        <v>369</v>
      </c>
      <c r="B504" s="958">
        <v>21</v>
      </c>
      <c r="C504" s="958" t="s">
        <v>5332</v>
      </c>
      <c r="D504" s="957" t="s">
        <v>9732</v>
      </c>
      <c r="E504" s="956">
        <v>164880</v>
      </c>
      <c r="F504" s="955"/>
      <c r="L504" s="954"/>
      <c r="M504" s="952"/>
      <c r="N504" s="952"/>
    </row>
    <row r="505" spans="1:14">
      <c r="A505" s="958" t="s">
        <v>369</v>
      </c>
      <c r="B505" s="958">
        <v>21</v>
      </c>
      <c r="C505" s="958" t="s">
        <v>5330</v>
      </c>
      <c r="D505" s="957" t="s">
        <v>5143</v>
      </c>
      <c r="E505" s="956">
        <v>10675</v>
      </c>
      <c r="F505" s="955"/>
      <c r="L505" s="954"/>
      <c r="M505" s="952"/>
      <c r="N505" s="952"/>
    </row>
    <row r="506" spans="1:14">
      <c r="A506" s="958" t="s">
        <v>369</v>
      </c>
      <c r="B506" s="958">
        <v>21</v>
      </c>
      <c r="C506" s="958" t="s">
        <v>9731</v>
      </c>
      <c r="D506" s="957" t="s">
        <v>9730</v>
      </c>
      <c r="E506" s="956">
        <v>8673</v>
      </c>
      <c r="F506" s="955"/>
      <c r="L506" s="954"/>
      <c r="M506" s="952"/>
      <c r="N506" s="952"/>
    </row>
    <row r="507" spans="1:14">
      <c r="A507" s="958" t="s">
        <v>369</v>
      </c>
      <c r="B507" s="958">
        <v>21</v>
      </c>
      <c r="C507" s="958" t="s">
        <v>5328</v>
      </c>
      <c r="D507" s="957" t="s">
        <v>9729</v>
      </c>
      <c r="E507" s="956">
        <v>13458</v>
      </c>
      <c r="F507" s="955"/>
      <c r="L507" s="954"/>
      <c r="M507" s="952"/>
      <c r="N507" s="952"/>
    </row>
    <row r="508" spans="1:14">
      <c r="A508" s="958" t="s">
        <v>369</v>
      </c>
      <c r="B508" s="958">
        <v>21</v>
      </c>
      <c r="C508" s="958" t="s">
        <v>9728</v>
      </c>
      <c r="D508" s="957" t="s">
        <v>9727</v>
      </c>
      <c r="E508" s="956">
        <v>21622</v>
      </c>
      <c r="F508" s="955"/>
      <c r="L508" s="954"/>
      <c r="M508" s="952"/>
      <c r="N508" s="952"/>
    </row>
    <row r="509" spans="1:14">
      <c r="A509" s="958" t="s">
        <v>369</v>
      </c>
      <c r="B509" s="958">
        <v>21</v>
      </c>
      <c r="C509" s="958" t="s">
        <v>5326</v>
      </c>
      <c r="D509" s="957" t="s">
        <v>9726</v>
      </c>
      <c r="E509" s="956">
        <v>79675</v>
      </c>
      <c r="F509" s="955"/>
      <c r="L509" s="954"/>
      <c r="M509" s="952"/>
      <c r="N509" s="952"/>
    </row>
    <row r="510" spans="1:14">
      <c r="A510" s="958" t="s">
        <v>369</v>
      </c>
      <c r="B510" s="958">
        <v>21</v>
      </c>
      <c r="C510" s="958" t="s">
        <v>9725</v>
      </c>
      <c r="D510" s="957" t="s">
        <v>9724</v>
      </c>
      <c r="E510" s="956">
        <v>14697</v>
      </c>
      <c r="F510" s="955"/>
      <c r="L510" s="954"/>
      <c r="M510" s="952"/>
      <c r="N510" s="952"/>
    </row>
    <row r="511" spans="1:14">
      <c r="A511" s="958" t="s">
        <v>369</v>
      </c>
      <c r="B511" s="958">
        <v>21</v>
      </c>
      <c r="C511" s="958" t="s">
        <v>5324</v>
      </c>
      <c r="D511" s="957" t="s">
        <v>9723</v>
      </c>
      <c r="E511" s="956">
        <v>122859</v>
      </c>
      <c r="F511" s="955"/>
      <c r="L511" s="954"/>
      <c r="M511" s="952"/>
      <c r="N511" s="952"/>
    </row>
    <row r="512" spans="1:14">
      <c r="A512" s="958" t="s">
        <v>369</v>
      </c>
      <c r="B512" s="958">
        <v>21</v>
      </c>
      <c r="C512" s="958" t="s">
        <v>5320</v>
      </c>
      <c r="D512" s="957" t="s">
        <v>9722</v>
      </c>
      <c r="E512" s="956">
        <v>49435</v>
      </c>
      <c r="F512" s="955"/>
      <c r="L512" s="954"/>
      <c r="M512" s="952"/>
      <c r="N512" s="952"/>
    </row>
    <row r="513" spans="1:14">
      <c r="A513" s="958" t="s">
        <v>369</v>
      </c>
      <c r="B513" s="958">
        <v>21</v>
      </c>
      <c r="C513" s="958" t="s">
        <v>5318</v>
      </c>
      <c r="D513" s="957" t="s">
        <v>2547</v>
      </c>
      <c r="E513" s="956">
        <v>41178</v>
      </c>
      <c r="F513" s="955"/>
      <c r="L513" s="954"/>
      <c r="M513" s="952"/>
      <c r="N513" s="952"/>
    </row>
    <row r="514" spans="1:14">
      <c r="A514" s="958" t="s">
        <v>369</v>
      </c>
      <c r="B514" s="958">
        <v>21</v>
      </c>
      <c r="C514" s="958" t="s">
        <v>9721</v>
      </c>
      <c r="D514" s="957" t="s">
        <v>9720</v>
      </c>
      <c r="E514" s="956">
        <v>16237</v>
      </c>
      <c r="F514" s="955"/>
      <c r="L514" s="954"/>
      <c r="M514" s="952"/>
      <c r="N514" s="952"/>
    </row>
    <row r="515" spans="1:14">
      <c r="A515" s="958" t="s">
        <v>369</v>
      </c>
      <c r="B515" s="958">
        <v>21</v>
      </c>
      <c r="C515" s="958" t="s">
        <v>5316</v>
      </c>
      <c r="D515" s="957" t="s">
        <v>9719</v>
      </c>
      <c r="E515" s="956">
        <v>65296</v>
      </c>
      <c r="F515" s="955"/>
      <c r="L515" s="954"/>
      <c r="M515" s="952"/>
      <c r="N515" s="952"/>
    </row>
    <row r="516" spans="1:14">
      <c r="A516" s="958" t="s">
        <v>369</v>
      </c>
      <c r="B516" s="958">
        <v>21</v>
      </c>
      <c r="C516" s="958" t="s">
        <v>5314</v>
      </c>
      <c r="D516" s="957" t="s">
        <v>9718</v>
      </c>
      <c r="E516" s="956">
        <v>32695</v>
      </c>
      <c r="F516" s="955"/>
      <c r="L516" s="954"/>
      <c r="M516" s="952"/>
      <c r="N516" s="952"/>
    </row>
    <row r="517" spans="1:14">
      <c r="A517" s="958" t="s">
        <v>369</v>
      </c>
      <c r="B517" s="958">
        <v>21</v>
      </c>
      <c r="C517" s="958" t="s">
        <v>9717</v>
      </c>
      <c r="D517" s="957" t="s">
        <v>1179</v>
      </c>
      <c r="E517" s="956">
        <v>12908</v>
      </c>
      <c r="F517" s="955"/>
      <c r="L517" s="954"/>
      <c r="M517" s="952"/>
      <c r="N517" s="952"/>
    </row>
    <row r="518" spans="1:14">
      <c r="A518" s="958" t="s">
        <v>369</v>
      </c>
      <c r="B518" s="958">
        <v>21</v>
      </c>
      <c r="C518" s="958" t="s">
        <v>5312</v>
      </c>
      <c r="D518" s="957" t="s">
        <v>9716</v>
      </c>
      <c r="E518" s="956">
        <v>23350</v>
      </c>
      <c r="F518" s="955"/>
      <c r="L518" s="954"/>
      <c r="M518" s="952"/>
      <c r="N518" s="952"/>
    </row>
    <row r="519" spans="1:14">
      <c r="A519" s="958" t="s">
        <v>369</v>
      </c>
      <c r="B519" s="958">
        <v>21</v>
      </c>
      <c r="C519" s="958" t="s">
        <v>5310</v>
      </c>
      <c r="D519" s="957" t="s">
        <v>9715</v>
      </c>
      <c r="E519" s="956">
        <v>11349</v>
      </c>
      <c r="F519" s="955"/>
      <c r="L519" s="954"/>
      <c r="M519" s="952"/>
      <c r="N519" s="952"/>
    </row>
    <row r="520" spans="1:14">
      <c r="A520" s="958" t="s">
        <v>369</v>
      </c>
      <c r="B520" s="958">
        <v>21</v>
      </c>
      <c r="C520" s="958" t="s">
        <v>5306</v>
      </c>
      <c r="D520" s="957" t="s">
        <v>9714</v>
      </c>
      <c r="E520" s="956">
        <v>17241</v>
      </c>
      <c r="F520" s="955"/>
      <c r="L520" s="954"/>
      <c r="M520" s="952"/>
      <c r="N520" s="952"/>
    </row>
    <row r="521" spans="1:14">
      <c r="A521" s="958" t="s">
        <v>369</v>
      </c>
      <c r="B521" s="958">
        <v>21</v>
      </c>
      <c r="C521" s="958" t="s">
        <v>9713</v>
      </c>
      <c r="D521" s="957" t="s">
        <v>9712</v>
      </c>
      <c r="E521" s="956">
        <v>41946</v>
      </c>
      <c r="F521" s="955"/>
      <c r="L521" s="954"/>
      <c r="M521" s="952"/>
      <c r="N521" s="952"/>
    </row>
    <row r="522" spans="1:14">
      <c r="A522" s="958" t="s">
        <v>369</v>
      </c>
      <c r="B522" s="958">
        <v>21</v>
      </c>
      <c r="C522" s="958" t="s">
        <v>9711</v>
      </c>
      <c r="D522" s="957" t="s">
        <v>9710</v>
      </c>
      <c r="E522" s="956">
        <v>8504</v>
      </c>
      <c r="F522" s="955"/>
      <c r="L522" s="954"/>
      <c r="M522" s="952"/>
      <c r="N522" s="952"/>
    </row>
    <row r="523" spans="1:14">
      <c r="A523" s="958" t="s">
        <v>369</v>
      </c>
      <c r="B523" s="958">
        <v>21</v>
      </c>
      <c r="C523" s="958" t="s">
        <v>9709</v>
      </c>
      <c r="D523" s="957" t="s">
        <v>9708</v>
      </c>
      <c r="E523" s="956">
        <v>10360</v>
      </c>
      <c r="F523" s="955"/>
      <c r="L523" s="954"/>
      <c r="M523" s="952"/>
      <c r="N523" s="952"/>
    </row>
    <row r="524" spans="1:14">
      <c r="A524" s="958" t="s">
        <v>369</v>
      </c>
      <c r="B524" s="958">
        <v>21</v>
      </c>
      <c r="C524" s="958" t="s">
        <v>9707</v>
      </c>
      <c r="D524" s="957" t="s">
        <v>9706</v>
      </c>
      <c r="E524" s="956">
        <v>19089</v>
      </c>
      <c r="F524" s="955"/>
      <c r="L524" s="954"/>
      <c r="M524" s="952"/>
      <c r="N524" s="952"/>
    </row>
    <row r="525" spans="1:14">
      <c r="A525" s="958" t="s">
        <v>369</v>
      </c>
      <c r="B525" s="958">
        <v>21</v>
      </c>
      <c r="C525" s="958" t="s">
        <v>5304</v>
      </c>
      <c r="D525" s="957" t="s">
        <v>9705</v>
      </c>
      <c r="E525" s="956">
        <v>12631</v>
      </c>
      <c r="F525" s="955"/>
      <c r="L525" s="954"/>
      <c r="M525" s="952"/>
      <c r="N525" s="952"/>
    </row>
    <row r="526" spans="1:14">
      <c r="A526" s="958" t="s">
        <v>369</v>
      </c>
      <c r="B526" s="958">
        <v>21</v>
      </c>
      <c r="C526" s="958" t="s">
        <v>5302</v>
      </c>
      <c r="D526" s="957" t="s">
        <v>9704</v>
      </c>
      <c r="E526" s="956">
        <v>15552</v>
      </c>
      <c r="F526" s="955"/>
      <c r="L526" s="954"/>
      <c r="M526" s="952"/>
      <c r="N526" s="952"/>
    </row>
    <row r="527" spans="1:14">
      <c r="A527" s="958" t="s">
        <v>369</v>
      </c>
      <c r="B527" s="958">
        <v>21</v>
      </c>
      <c r="C527" s="958" t="s">
        <v>5300</v>
      </c>
      <c r="D527" s="957" t="s">
        <v>9703</v>
      </c>
      <c r="E527" s="956">
        <v>11819</v>
      </c>
      <c r="F527" s="955"/>
      <c r="L527" s="954"/>
      <c r="M527" s="952"/>
      <c r="N527" s="952"/>
    </row>
    <row r="528" spans="1:14">
      <c r="A528" s="958" t="s">
        <v>369</v>
      </c>
      <c r="B528" s="958">
        <v>21</v>
      </c>
      <c r="C528" s="958" t="s">
        <v>5298</v>
      </c>
      <c r="D528" s="957" t="s">
        <v>9702</v>
      </c>
      <c r="E528" s="956">
        <v>17934</v>
      </c>
      <c r="F528" s="955"/>
      <c r="L528" s="954"/>
      <c r="M528" s="952"/>
      <c r="N528" s="952"/>
    </row>
    <row r="529" spans="1:14">
      <c r="A529" s="958" t="s">
        <v>369</v>
      </c>
      <c r="B529" s="958">
        <v>21</v>
      </c>
      <c r="C529" s="958" t="s">
        <v>5296</v>
      </c>
      <c r="D529" s="957" t="s">
        <v>9701</v>
      </c>
      <c r="E529" s="956">
        <v>10840</v>
      </c>
      <c r="F529" s="955"/>
      <c r="L529" s="954"/>
      <c r="M529" s="952"/>
      <c r="N529" s="952"/>
    </row>
    <row r="530" spans="1:14">
      <c r="A530" s="958" t="s">
        <v>369</v>
      </c>
      <c r="B530" s="958">
        <v>21</v>
      </c>
      <c r="C530" s="958" t="s">
        <v>9700</v>
      </c>
      <c r="D530" s="957" t="s">
        <v>9699</v>
      </c>
      <c r="E530" s="956">
        <v>18296</v>
      </c>
      <c r="F530" s="955"/>
      <c r="L530" s="954"/>
      <c r="M530" s="952"/>
      <c r="N530" s="952"/>
    </row>
    <row r="531" spans="1:14">
      <c r="A531" s="958" t="s">
        <v>369</v>
      </c>
      <c r="B531" s="958">
        <v>21</v>
      </c>
      <c r="C531" s="958" t="s">
        <v>5294</v>
      </c>
      <c r="D531" s="957" t="s">
        <v>9698</v>
      </c>
      <c r="E531" s="956">
        <v>16828</v>
      </c>
      <c r="F531" s="955"/>
      <c r="L531" s="954"/>
      <c r="M531" s="952"/>
      <c r="N531" s="952"/>
    </row>
    <row r="532" spans="1:14">
      <c r="A532" s="958" t="s">
        <v>369</v>
      </c>
      <c r="B532" s="958">
        <v>21</v>
      </c>
      <c r="C532" s="958" t="s">
        <v>9697</v>
      </c>
      <c r="D532" s="957" t="s">
        <v>9696</v>
      </c>
      <c r="E532" s="956">
        <v>7807</v>
      </c>
      <c r="F532" s="955"/>
      <c r="L532" s="954"/>
      <c r="M532" s="952"/>
      <c r="N532" s="952"/>
    </row>
    <row r="533" spans="1:14">
      <c r="A533" s="958" t="s">
        <v>369</v>
      </c>
      <c r="B533" s="958">
        <v>21</v>
      </c>
      <c r="C533" s="958" t="s">
        <v>9695</v>
      </c>
      <c r="D533" s="957" t="s">
        <v>9694</v>
      </c>
      <c r="E533" s="956">
        <v>10180</v>
      </c>
      <c r="F533" s="955"/>
      <c r="L533" s="954"/>
      <c r="M533" s="952"/>
      <c r="N533" s="952"/>
    </row>
    <row r="534" spans="1:14">
      <c r="A534" s="958" t="s">
        <v>369</v>
      </c>
      <c r="B534" s="958">
        <v>21</v>
      </c>
      <c r="C534" s="958" t="s">
        <v>9693</v>
      </c>
      <c r="D534" s="957" t="s">
        <v>9692</v>
      </c>
      <c r="E534" s="956">
        <v>25577</v>
      </c>
      <c r="F534" s="955"/>
      <c r="L534" s="954"/>
      <c r="M534" s="952"/>
      <c r="N534" s="952"/>
    </row>
    <row r="535" spans="1:14">
      <c r="A535" s="958" t="s">
        <v>369</v>
      </c>
      <c r="B535" s="958">
        <v>21</v>
      </c>
      <c r="C535" s="958" t="s">
        <v>5292</v>
      </c>
      <c r="D535" s="957" t="s">
        <v>9691</v>
      </c>
      <c r="E535" s="956">
        <v>6262</v>
      </c>
      <c r="F535" s="955"/>
      <c r="L535" s="954"/>
      <c r="M535" s="952"/>
      <c r="N535" s="952"/>
    </row>
    <row r="536" spans="1:14">
      <c r="A536" s="958" t="s">
        <v>369</v>
      </c>
      <c r="B536" s="958">
        <v>21</v>
      </c>
      <c r="C536" s="958" t="s">
        <v>5290</v>
      </c>
      <c r="D536" s="957" t="s">
        <v>9690</v>
      </c>
      <c r="E536" s="956">
        <v>69527</v>
      </c>
      <c r="F536" s="955"/>
      <c r="L536" s="954"/>
      <c r="M536" s="952"/>
      <c r="N536" s="952"/>
    </row>
    <row r="537" spans="1:14">
      <c r="A537" s="958" t="s">
        <v>369</v>
      </c>
      <c r="B537" s="958">
        <v>21</v>
      </c>
      <c r="C537" s="958" t="s">
        <v>5288</v>
      </c>
      <c r="D537" s="957" t="s">
        <v>9689</v>
      </c>
      <c r="E537" s="956">
        <v>12030</v>
      </c>
      <c r="F537" s="955"/>
      <c r="L537" s="954"/>
      <c r="M537" s="952"/>
      <c r="N537" s="952"/>
    </row>
    <row r="538" spans="1:14">
      <c r="A538" s="958" t="s">
        <v>369</v>
      </c>
      <c r="B538" s="958">
        <v>21</v>
      </c>
      <c r="C538" s="958" t="s">
        <v>5286</v>
      </c>
      <c r="D538" s="957" t="s">
        <v>9688</v>
      </c>
      <c r="E538" s="956">
        <v>28717</v>
      </c>
      <c r="F538" s="955"/>
      <c r="L538" s="954"/>
      <c r="M538" s="952"/>
      <c r="N538" s="952"/>
    </row>
    <row r="539" spans="1:14">
      <c r="A539" s="958" t="s">
        <v>369</v>
      </c>
      <c r="B539" s="958">
        <v>21</v>
      </c>
      <c r="C539" s="958" t="s">
        <v>5284</v>
      </c>
      <c r="D539" s="957" t="s">
        <v>9687</v>
      </c>
      <c r="E539" s="956">
        <v>27113</v>
      </c>
      <c r="F539" s="955"/>
      <c r="L539" s="954"/>
      <c r="M539" s="952"/>
      <c r="N539" s="952"/>
    </row>
    <row r="540" spans="1:14">
      <c r="A540" s="958" t="s">
        <v>369</v>
      </c>
      <c r="B540" s="958">
        <v>21</v>
      </c>
      <c r="C540" s="958" t="s">
        <v>9686</v>
      </c>
      <c r="D540" s="957" t="s">
        <v>9685</v>
      </c>
      <c r="E540" s="956">
        <v>14177</v>
      </c>
      <c r="F540" s="955"/>
      <c r="L540" s="954"/>
      <c r="M540" s="952"/>
      <c r="N540" s="952"/>
    </row>
    <row r="541" spans="1:14">
      <c r="A541" s="958" t="s">
        <v>369</v>
      </c>
      <c r="B541" s="958">
        <v>21</v>
      </c>
      <c r="C541" s="958" t="s">
        <v>5282</v>
      </c>
      <c r="D541" s="957" t="s">
        <v>9684</v>
      </c>
      <c r="E541" s="956">
        <v>11320</v>
      </c>
      <c r="F541" s="955"/>
      <c r="L541" s="954"/>
      <c r="M541" s="952"/>
      <c r="N541" s="952"/>
    </row>
    <row r="542" spans="1:14">
      <c r="A542" s="958" t="s">
        <v>369</v>
      </c>
      <c r="B542" s="958">
        <v>21</v>
      </c>
      <c r="C542" s="958" t="s">
        <v>5280</v>
      </c>
      <c r="D542" s="957" t="s">
        <v>9683</v>
      </c>
      <c r="E542" s="956">
        <v>258682</v>
      </c>
      <c r="F542" s="955"/>
      <c r="L542" s="954"/>
      <c r="M542" s="952"/>
      <c r="N542" s="952"/>
    </row>
    <row r="543" spans="1:14">
      <c r="A543" s="958" t="s">
        <v>369</v>
      </c>
      <c r="B543" s="958">
        <v>21</v>
      </c>
      <c r="C543" s="958" t="s">
        <v>5279</v>
      </c>
      <c r="D543" s="957" t="s">
        <v>9682</v>
      </c>
      <c r="E543" s="956">
        <v>16057</v>
      </c>
      <c r="F543" s="955"/>
      <c r="L543" s="954"/>
      <c r="M543" s="952"/>
      <c r="N543" s="952"/>
    </row>
    <row r="544" spans="1:14">
      <c r="A544" s="958" t="s">
        <v>369</v>
      </c>
      <c r="B544" s="958">
        <v>21</v>
      </c>
      <c r="C544" s="958" t="s">
        <v>5277</v>
      </c>
      <c r="D544" s="957" t="s">
        <v>9681</v>
      </c>
      <c r="E544" s="956">
        <v>68203</v>
      </c>
      <c r="F544" s="955"/>
      <c r="L544" s="954"/>
      <c r="M544" s="952"/>
      <c r="N544" s="952"/>
    </row>
    <row r="545" spans="1:14">
      <c r="A545" s="958" t="s">
        <v>369</v>
      </c>
      <c r="B545" s="958">
        <v>21</v>
      </c>
      <c r="C545" s="958" t="s">
        <v>9680</v>
      </c>
      <c r="D545" s="957" t="s">
        <v>9679</v>
      </c>
      <c r="E545" s="956">
        <v>26000</v>
      </c>
      <c r="F545" s="955"/>
      <c r="L545" s="954"/>
      <c r="M545" s="952"/>
      <c r="N545" s="952"/>
    </row>
    <row r="546" spans="1:14">
      <c r="A546" s="958" t="s">
        <v>369</v>
      </c>
      <c r="B546" s="958">
        <v>21</v>
      </c>
      <c r="C546" s="958" t="s">
        <v>9678</v>
      </c>
      <c r="D546" s="957" t="s">
        <v>8367</v>
      </c>
      <c r="E546" s="956">
        <v>10153</v>
      </c>
      <c r="F546" s="955"/>
      <c r="L546" s="954"/>
      <c r="M546" s="952"/>
      <c r="N546" s="952"/>
    </row>
    <row r="547" spans="1:14">
      <c r="A547" s="958" t="s">
        <v>369</v>
      </c>
      <c r="B547" s="958">
        <v>21</v>
      </c>
      <c r="C547" s="958" t="s">
        <v>9677</v>
      </c>
      <c r="D547" s="957" t="s">
        <v>9676</v>
      </c>
      <c r="E547" s="956">
        <v>16515</v>
      </c>
      <c r="F547" s="955"/>
      <c r="L547" s="954"/>
      <c r="M547" s="952"/>
      <c r="N547" s="952"/>
    </row>
    <row r="548" spans="1:14">
      <c r="A548" s="958" t="s">
        <v>369</v>
      </c>
      <c r="B548" s="958">
        <v>21</v>
      </c>
      <c r="C548" s="958" t="s">
        <v>5275</v>
      </c>
      <c r="D548" s="957" t="s">
        <v>9675</v>
      </c>
      <c r="E548" s="956">
        <v>23632</v>
      </c>
      <c r="F548" s="955"/>
      <c r="L548" s="954"/>
      <c r="M548" s="952"/>
      <c r="N548" s="952"/>
    </row>
    <row r="549" spans="1:14">
      <c r="A549" s="958" t="s">
        <v>369</v>
      </c>
      <c r="B549" s="958">
        <v>21</v>
      </c>
      <c r="C549" s="958" t="s">
        <v>5273</v>
      </c>
      <c r="D549" s="957" t="s">
        <v>9674</v>
      </c>
      <c r="E549" s="956">
        <v>16168</v>
      </c>
      <c r="F549" s="955"/>
      <c r="L549" s="954"/>
      <c r="M549" s="952"/>
      <c r="N549" s="952"/>
    </row>
    <row r="550" spans="1:14">
      <c r="A550" s="958" t="s">
        <v>369</v>
      </c>
      <c r="B550" s="958">
        <v>21</v>
      </c>
      <c r="C550" s="958" t="s">
        <v>9673</v>
      </c>
      <c r="D550" s="957" t="s">
        <v>9672</v>
      </c>
      <c r="E550" s="956">
        <v>3432</v>
      </c>
      <c r="F550" s="955"/>
      <c r="L550" s="954"/>
      <c r="M550" s="952"/>
      <c r="N550" s="952"/>
    </row>
    <row r="551" spans="1:14">
      <c r="A551" s="958" t="s">
        <v>369</v>
      </c>
      <c r="B551" s="958">
        <v>21</v>
      </c>
      <c r="C551" s="958" t="s">
        <v>5271</v>
      </c>
      <c r="D551" s="957" t="s">
        <v>9671</v>
      </c>
      <c r="E551" s="956">
        <v>50266</v>
      </c>
      <c r="F551" s="955"/>
      <c r="L551" s="954"/>
      <c r="M551" s="952"/>
      <c r="N551" s="952"/>
    </row>
    <row r="552" spans="1:14">
      <c r="A552" s="958" t="s">
        <v>369</v>
      </c>
      <c r="B552" s="958">
        <v>21</v>
      </c>
      <c r="C552" s="958" t="s">
        <v>5269</v>
      </c>
      <c r="D552" s="957" t="s">
        <v>9670</v>
      </c>
      <c r="E552" s="956">
        <v>10840</v>
      </c>
      <c r="F552" s="955"/>
      <c r="L552" s="954"/>
      <c r="M552" s="952"/>
      <c r="N552" s="952"/>
    </row>
    <row r="553" spans="1:14">
      <c r="A553" s="958" t="s">
        <v>369</v>
      </c>
      <c r="B553" s="958">
        <v>21</v>
      </c>
      <c r="C553" s="958" t="s">
        <v>5267</v>
      </c>
      <c r="D553" s="957" t="s">
        <v>9669</v>
      </c>
      <c r="E553" s="956">
        <v>16257</v>
      </c>
      <c r="F553" s="955"/>
      <c r="L553" s="954"/>
      <c r="M553" s="952"/>
      <c r="N553" s="952"/>
    </row>
    <row r="554" spans="1:14">
      <c r="A554" s="958" t="s">
        <v>369</v>
      </c>
      <c r="B554" s="958">
        <v>21</v>
      </c>
      <c r="C554" s="958" t="s">
        <v>9668</v>
      </c>
      <c r="D554" s="957" t="s">
        <v>9667</v>
      </c>
      <c r="E554" s="956">
        <v>11250</v>
      </c>
      <c r="F554" s="955"/>
      <c r="L554" s="954"/>
      <c r="M554" s="952"/>
      <c r="N554" s="952"/>
    </row>
    <row r="555" spans="1:14">
      <c r="A555" s="958" t="s">
        <v>369</v>
      </c>
      <c r="B555" s="958">
        <v>21</v>
      </c>
      <c r="C555" s="958" t="s">
        <v>9666</v>
      </c>
      <c r="D555" s="957" t="s">
        <v>9665</v>
      </c>
      <c r="E555" s="956">
        <v>8873</v>
      </c>
      <c r="F555" s="955"/>
      <c r="L555" s="954"/>
      <c r="M555" s="952"/>
      <c r="N555" s="952"/>
    </row>
    <row r="556" spans="1:14">
      <c r="A556" s="958" t="s">
        <v>369</v>
      </c>
      <c r="B556" s="958">
        <v>21</v>
      </c>
      <c r="C556" s="958" t="s">
        <v>9664</v>
      </c>
      <c r="D556" s="957" t="s">
        <v>9663</v>
      </c>
      <c r="E556" s="956">
        <v>11394</v>
      </c>
      <c r="F556" s="955"/>
      <c r="L556" s="954"/>
      <c r="M556" s="952"/>
      <c r="N556" s="952"/>
    </row>
    <row r="557" spans="1:14">
      <c r="A557" s="958" t="s">
        <v>369</v>
      </c>
      <c r="B557" s="958">
        <v>21</v>
      </c>
      <c r="C557" s="958" t="s">
        <v>9662</v>
      </c>
      <c r="D557" s="957" t="s">
        <v>9661</v>
      </c>
      <c r="E557" s="956">
        <v>7550</v>
      </c>
      <c r="F557" s="955"/>
      <c r="L557" s="954"/>
      <c r="M557" s="952"/>
      <c r="N557" s="952"/>
    </row>
    <row r="558" spans="1:14">
      <c r="A558" s="958" t="s">
        <v>369</v>
      </c>
      <c r="B558" s="958">
        <v>21</v>
      </c>
      <c r="C558" s="958" t="s">
        <v>5265</v>
      </c>
      <c r="D558" s="957" t="s">
        <v>9660</v>
      </c>
      <c r="E558" s="956">
        <v>11893</v>
      </c>
      <c r="F558" s="955"/>
      <c r="L558" s="954"/>
      <c r="M558" s="952"/>
      <c r="N558" s="952"/>
    </row>
    <row r="559" spans="1:14">
      <c r="A559" s="958" t="s">
        <v>369</v>
      </c>
      <c r="B559" s="958">
        <v>21</v>
      </c>
      <c r="C559" s="958" t="s">
        <v>5263</v>
      </c>
      <c r="D559" s="957" t="s">
        <v>9659</v>
      </c>
      <c r="E559" s="956">
        <v>12157</v>
      </c>
      <c r="F559" s="955"/>
      <c r="L559" s="954"/>
      <c r="M559" s="952"/>
      <c r="N559" s="952"/>
    </row>
    <row r="560" spans="1:14">
      <c r="A560" s="958" t="s">
        <v>369</v>
      </c>
      <c r="B560" s="958">
        <v>21</v>
      </c>
      <c r="C560" s="958" t="s">
        <v>5261</v>
      </c>
      <c r="D560" s="957" t="s">
        <v>9658</v>
      </c>
      <c r="E560" s="956">
        <v>6951</v>
      </c>
      <c r="F560" s="955"/>
      <c r="L560" s="954"/>
      <c r="M560" s="952"/>
      <c r="N560" s="952"/>
    </row>
    <row r="561" spans="1:14">
      <c r="A561" s="958" t="s">
        <v>369</v>
      </c>
      <c r="B561" s="958">
        <v>21</v>
      </c>
      <c r="C561" s="958" t="s">
        <v>5259</v>
      </c>
      <c r="D561" s="957" t="s">
        <v>9657</v>
      </c>
      <c r="E561" s="956">
        <v>19826</v>
      </c>
      <c r="F561" s="955"/>
      <c r="L561" s="954"/>
      <c r="M561" s="952"/>
      <c r="N561" s="952"/>
    </row>
    <row r="562" spans="1:14">
      <c r="A562" s="958" t="s">
        <v>369</v>
      </c>
      <c r="B562" s="958">
        <v>21</v>
      </c>
      <c r="C562" s="958" t="s">
        <v>9656</v>
      </c>
      <c r="D562" s="957" t="s">
        <v>9655</v>
      </c>
      <c r="E562" s="956">
        <v>21395</v>
      </c>
      <c r="F562" s="955"/>
      <c r="L562" s="954"/>
      <c r="M562" s="952"/>
      <c r="N562" s="952"/>
    </row>
    <row r="563" spans="1:14">
      <c r="A563" s="958" t="s">
        <v>369</v>
      </c>
      <c r="B563" s="958">
        <v>21</v>
      </c>
      <c r="C563" s="958" t="s">
        <v>5257</v>
      </c>
      <c r="D563" s="957" t="s">
        <v>9654</v>
      </c>
      <c r="E563" s="956">
        <v>7792</v>
      </c>
      <c r="F563" s="955"/>
      <c r="L563" s="954"/>
      <c r="M563" s="952"/>
      <c r="N563" s="952"/>
    </row>
    <row r="564" spans="1:14">
      <c r="A564" s="958" t="s">
        <v>369</v>
      </c>
      <c r="B564" s="958">
        <v>21</v>
      </c>
      <c r="C564" s="958" t="s">
        <v>9653</v>
      </c>
      <c r="D564" s="957" t="s">
        <v>9652</v>
      </c>
      <c r="E564" s="956">
        <v>16265</v>
      </c>
      <c r="F564" s="955"/>
      <c r="L564" s="954"/>
      <c r="M564" s="952"/>
      <c r="N564" s="952"/>
    </row>
    <row r="565" spans="1:14">
      <c r="A565" s="958" t="s">
        <v>369</v>
      </c>
      <c r="B565" s="958">
        <v>21</v>
      </c>
      <c r="C565" s="958" t="s">
        <v>5255</v>
      </c>
      <c r="D565" s="957" t="s">
        <v>9651</v>
      </c>
      <c r="E565" s="956">
        <v>16829</v>
      </c>
      <c r="F565" s="955"/>
      <c r="L565" s="954"/>
      <c r="M565" s="952"/>
      <c r="N565" s="952"/>
    </row>
    <row r="566" spans="1:14">
      <c r="A566" s="958" t="s">
        <v>369</v>
      </c>
      <c r="B566" s="958">
        <v>21</v>
      </c>
      <c r="C566" s="958" t="s">
        <v>5253</v>
      </c>
      <c r="D566" s="957" t="s">
        <v>9650</v>
      </c>
      <c r="E566" s="956">
        <v>23370</v>
      </c>
      <c r="F566" s="955"/>
      <c r="L566" s="954"/>
      <c r="M566" s="952"/>
      <c r="N566" s="952"/>
    </row>
    <row r="567" spans="1:14">
      <c r="A567" s="958" t="s">
        <v>369</v>
      </c>
      <c r="B567" s="958">
        <v>21</v>
      </c>
      <c r="C567" s="958" t="s">
        <v>5251</v>
      </c>
      <c r="D567" s="957" t="s">
        <v>9649</v>
      </c>
      <c r="E567" s="956">
        <v>33782</v>
      </c>
      <c r="F567" s="955"/>
      <c r="L567" s="954"/>
      <c r="M567" s="952"/>
      <c r="N567" s="952"/>
    </row>
    <row r="568" spans="1:14">
      <c r="A568" s="958" t="s">
        <v>369</v>
      </c>
      <c r="B568" s="958">
        <v>21</v>
      </c>
      <c r="C568" s="958" t="s">
        <v>9648</v>
      </c>
      <c r="D568" s="957" t="s">
        <v>9647</v>
      </c>
      <c r="E568" s="956">
        <v>16745</v>
      </c>
      <c r="F568" s="955"/>
      <c r="L568" s="954"/>
      <c r="M568" s="952"/>
      <c r="N568" s="952"/>
    </row>
    <row r="569" spans="1:14">
      <c r="A569" s="958" t="s">
        <v>369</v>
      </c>
      <c r="B569" s="958">
        <v>21</v>
      </c>
      <c r="C569" s="958" t="s">
        <v>9646</v>
      </c>
      <c r="D569" s="957" t="s">
        <v>9645</v>
      </c>
      <c r="E569" s="956">
        <v>8464</v>
      </c>
      <c r="F569" s="955"/>
      <c r="L569" s="954"/>
      <c r="M569" s="952"/>
      <c r="N569" s="952"/>
    </row>
    <row r="570" spans="1:14">
      <c r="A570" s="958" t="s">
        <v>369</v>
      </c>
      <c r="B570" s="958">
        <v>21</v>
      </c>
      <c r="C570" s="958" t="s">
        <v>5249</v>
      </c>
      <c r="D570" s="957" t="s">
        <v>3702</v>
      </c>
      <c r="E570" s="956">
        <v>21015</v>
      </c>
      <c r="F570" s="955"/>
      <c r="L570" s="954"/>
      <c r="M570" s="952"/>
      <c r="N570" s="952"/>
    </row>
    <row r="571" spans="1:14">
      <c r="A571" s="958" t="s">
        <v>369</v>
      </c>
      <c r="B571" s="958">
        <v>21</v>
      </c>
      <c r="C571" s="958" t="s">
        <v>9644</v>
      </c>
      <c r="D571" s="957" t="s">
        <v>9643</v>
      </c>
      <c r="E571" s="956">
        <v>28381</v>
      </c>
      <c r="F571" s="955"/>
      <c r="L571" s="954"/>
      <c r="M571" s="952"/>
      <c r="N571" s="952"/>
    </row>
    <row r="572" spans="1:14">
      <c r="A572" s="958" t="s">
        <v>369</v>
      </c>
      <c r="B572" s="958">
        <v>21</v>
      </c>
      <c r="C572" s="958" t="s">
        <v>5247</v>
      </c>
      <c r="D572" s="957" t="s">
        <v>9642</v>
      </c>
      <c r="E572" s="956">
        <v>14962</v>
      </c>
      <c r="F572" s="955"/>
      <c r="L572" s="954"/>
      <c r="M572" s="952"/>
      <c r="N572" s="952"/>
    </row>
    <row r="573" spans="1:14">
      <c r="A573" s="958" t="s">
        <v>369</v>
      </c>
      <c r="B573" s="958">
        <v>21</v>
      </c>
      <c r="C573" s="958" t="s">
        <v>5245</v>
      </c>
      <c r="D573" s="957" t="s">
        <v>9641</v>
      </c>
      <c r="E573" s="956">
        <v>33434</v>
      </c>
      <c r="F573" s="955"/>
      <c r="L573" s="954"/>
      <c r="M573" s="952"/>
      <c r="N573" s="952"/>
    </row>
    <row r="574" spans="1:14">
      <c r="A574" s="958" t="s">
        <v>369</v>
      </c>
      <c r="B574" s="958">
        <v>21</v>
      </c>
      <c r="C574" s="958" t="s">
        <v>5243</v>
      </c>
      <c r="D574" s="957" t="s">
        <v>9640</v>
      </c>
      <c r="E574" s="956">
        <v>9160</v>
      </c>
      <c r="F574" s="955"/>
      <c r="L574" s="954"/>
      <c r="M574" s="952"/>
      <c r="N574" s="952"/>
    </row>
    <row r="575" spans="1:14">
      <c r="A575" s="958" t="s">
        <v>369</v>
      </c>
      <c r="B575" s="958">
        <v>21</v>
      </c>
      <c r="C575" s="958" t="s">
        <v>5241</v>
      </c>
      <c r="D575" s="957" t="s">
        <v>9639</v>
      </c>
      <c r="E575" s="956">
        <v>19433</v>
      </c>
      <c r="F575" s="955"/>
      <c r="L575" s="954"/>
      <c r="M575" s="952"/>
      <c r="N575" s="952"/>
    </row>
    <row r="576" spans="1:14">
      <c r="A576" s="958" t="s">
        <v>369</v>
      </c>
      <c r="B576" s="958">
        <v>21</v>
      </c>
      <c r="C576" s="958" t="s">
        <v>5237</v>
      </c>
      <c r="D576" s="957" t="s">
        <v>9638</v>
      </c>
      <c r="E576" s="956">
        <v>14454</v>
      </c>
      <c r="F576" s="955"/>
      <c r="L576" s="954"/>
      <c r="M576" s="952"/>
      <c r="N576" s="952"/>
    </row>
    <row r="577" spans="1:14">
      <c r="A577" s="958" t="s">
        <v>369</v>
      </c>
      <c r="B577" s="958">
        <v>21</v>
      </c>
      <c r="C577" s="958" t="s">
        <v>9637</v>
      </c>
      <c r="D577" s="957" t="s">
        <v>9636</v>
      </c>
      <c r="E577" s="956">
        <v>5384</v>
      </c>
      <c r="F577" s="955"/>
      <c r="L577" s="954"/>
      <c r="M577" s="952"/>
      <c r="N577" s="952"/>
    </row>
    <row r="578" spans="1:14">
      <c r="A578" s="958" t="s">
        <v>369</v>
      </c>
      <c r="B578" s="958">
        <v>21</v>
      </c>
      <c r="C578" s="958" t="s">
        <v>5235</v>
      </c>
      <c r="D578" s="957" t="s">
        <v>9635</v>
      </c>
      <c r="E578" s="956">
        <v>4683</v>
      </c>
      <c r="F578" s="955"/>
      <c r="L578" s="954"/>
      <c r="M578" s="952"/>
      <c r="N578" s="952"/>
    </row>
    <row r="579" spans="1:14">
      <c r="A579" s="958" t="s">
        <v>369</v>
      </c>
      <c r="B579" s="958">
        <v>21</v>
      </c>
      <c r="C579" s="958" t="s">
        <v>9634</v>
      </c>
      <c r="D579" s="957" t="s">
        <v>9633</v>
      </c>
      <c r="E579" s="956">
        <v>20928</v>
      </c>
      <c r="F579" s="955"/>
      <c r="L579" s="954"/>
      <c r="M579" s="952"/>
      <c r="N579" s="952"/>
    </row>
    <row r="580" spans="1:14">
      <c r="A580" s="958" t="s">
        <v>369</v>
      </c>
      <c r="B580" s="958">
        <v>21</v>
      </c>
      <c r="C580" s="958" t="s">
        <v>5233</v>
      </c>
      <c r="D580" s="957" t="s">
        <v>9632</v>
      </c>
      <c r="E580" s="956">
        <v>19505</v>
      </c>
      <c r="F580" s="955"/>
      <c r="L580" s="954"/>
      <c r="M580" s="952"/>
      <c r="N580" s="952"/>
    </row>
    <row r="581" spans="1:14">
      <c r="A581" s="958" t="s">
        <v>369</v>
      </c>
      <c r="B581" s="958">
        <v>21</v>
      </c>
      <c r="C581" s="958" t="s">
        <v>5231</v>
      </c>
      <c r="D581" s="957" t="s">
        <v>9631</v>
      </c>
      <c r="E581" s="956">
        <v>14701</v>
      </c>
      <c r="F581" s="955"/>
      <c r="L581" s="954"/>
      <c r="M581" s="952"/>
      <c r="N581" s="952"/>
    </row>
    <row r="582" spans="1:14" ht="17.25">
      <c r="A582" s="958" t="s">
        <v>369</v>
      </c>
      <c r="B582" s="958">
        <v>21</v>
      </c>
      <c r="C582" s="958" t="s">
        <v>5229</v>
      </c>
      <c r="D582" s="957" t="s">
        <v>9630</v>
      </c>
      <c r="E582" s="956" t="s">
        <v>9629</v>
      </c>
      <c r="F582" s="955"/>
      <c r="L582" s="954"/>
      <c r="M582" s="952"/>
      <c r="N582" s="952"/>
    </row>
    <row r="583" spans="1:14">
      <c r="A583" s="958" t="s">
        <v>369</v>
      </c>
      <c r="B583" s="958">
        <v>21</v>
      </c>
      <c r="C583" s="958" t="s">
        <v>5227</v>
      </c>
      <c r="D583" s="957" t="s">
        <v>9628</v>
      </c>
      <c r="E583" s="956">
        <v>19722</v>
      </c>
      <c r="F583" s="955"/>
      <c r="L583" s="954"/>
      <c r="M583" s="952"/>
      <c r="N583" s="952"/>
    </row>
    <row r="584" spans="1:14">
      <c r="A584" s="958" t="s">
        <v>369</v>
      </c>
      <c r="B584" s="958">
        <v>21</v>
      </c>
      <c r="C584" s="958" t="s">
        <v>5225</v>
      </c>
      <c r="D584" s="957" t="s">
        <v>9627</v>
      </c>
      <c r="E584" s="956">
        <v>21386</v>
      </c>
      <c r="F584" s="955"/>
      <c r="L584" s="954"/>
      <c r="M584" s="952"/>
      <c r="N584" s="952"/>
    </row>
    <row r="585" spans="1:14">
      <c r="A585" s="958" t="s">
        <v>369</v>
      </c>
      <c r="B585" s="958">
        <v>21</v>
      </c>
      <c r="C585" s="958" t="s">
        <v>5221</v>
      </c>
      <c r="D585" s="957" t="s">
        <v>9626</v>
      </c>
      <c r="E585" s="956">
        <v>34907</v>
      </c>
      <c r="F585" s="955"/>
      <c r="L585" s="954"/>
      <c r="M585" s="952"/>
      <c r="N585" s="952"/>
    </row>
    <row r="586" spans="1:14">
      <c r="A586" s="958" t="s">
        <v>369</v>
      </c>
      <c r="B586" s="958">
        <v>21</v>
      </c>
      <c r="C586" s="958" t="s">
        <v>5219</v>
      </c>
      <c r="D586" s="957" t="s">
        <v>9625</v>
      </c>
      <c r="E586" s="956">
        <v>19019</v>
      </c>
      <c r="F586" s="955"/>
      <c r="L586" s="954"/>
      <c r="M586" s="952"/>
      <c r="N586" s="952"/>
    </row>
    <row r="587" spans="1:14">
      <c r="A587" s="958" t="s">
        <v>369</v>
      </c>
      <c r="B587" s="958">
        <v>21</v>
      </c>
      <c r="C587" s="958" t="s">
        <v>5217</v>
      </c>
      <c r="D587" s="957" t="s">
        <v>9624</v>
      </c>
      <c r="E587" s="956">
        <v>19472</v>
      </c>
      <c r="F587" s="955"/>
      <c r="L587" s="954"/>
      <c r="M587" s="952"/>
      <c r="N587" s="952"/>
    </row>
    <row r="588" spans="1:14">
      <c r="A588" s="958" t="s">
        <v>369</v>
      </c>
      <c r="B588" s="958">
        <v>21</v>
      </c>
      <c r="C588" s="958" t="s">
        <v>9623</v>
      </c>
      <c r="D588" s="957" t="s">
        <v>9622</v>
      </c>
      <c r="E588" s="956">
        <v>16035</v>
      </c>
      <c r="F588" s="955"/>
      <c r="L588" s="954"/>
      <c r="M588" s="952"/>
      <c r="N588" s="952"/>
    </row>
    <row r="589" spans="1:14">
      <c r="A589" s="958" t="s">
        <v>369</v>
      </c>
      <c r="B589" s="958">
        <v>21</v>
      </c>
      <c r="C589" s="958" t="s">
        <v>5215</v>
      </c>
      <c r="D589" s="957" t="s">
        <v>9621</v>
      </c>
      <c r="E589" s="956">
        <v>21040</v>
      </c>
      <c r="F589" s="955"/>
      <c r="L589" s="954"/>
      <c r="M589" s="952"/>
      <c r="N589" s="952"/>
    </row>
    <row r="590" spans="1:14">
      <c r="A590" s="958" t="s">
        <v>369</v>
      </c>
      <c r="B590" s="958">
        <v>21</v>
      </c>
      <c r="C590" s="958" t="s">
        <v>5213</v>
      </c>
      <c r="D590" s="957" t="s">
        <v>9620</v>
      </c>
      <c r="E590" s="956">
        <v>39229</v>
      </c>
      <c r="F590" s="955"/>
      <c r="L590" s="954"/>
      <c r="M590" s="952"/>
      <c r="N590" s="952"/>
    </row>
    <row r="591" spans="1:14">
      <c r="A591" s="958" t="s">
        <v>369</v>
      </c>
      <c r="B591" s="958">
        <v>21</v>
      </c>
      <c r="C591" s="958" t="s">
        <v>9619</v>
      </c>
      <c r="D591" s="957" t="s">
        <v>9618</v>
      </c>
      <c r="E591" s="956">
        <v>25144</v>
      </c>
      <c r="F591" s="955"/>
      <c r="L591" s="954"/>
      <c r="M591" s="952"/>
      <c r="N591" s="952"/>
    </row>
    <row r="592" spans="1:14">
      <c r="A592" s="958" t="s">
        <v>369</v>
      </c>
      <c r="B592" s="958">
        <v>21</v>
      </c>
      <c r="C592" s="958" t="s">
        <v>5211</v>
      </c>
      <c r="D592" s="957" t="s">
        <v>9617</v>
      </c>
      <c r="E592" s="956">
        <v>38470</v>
      </c>
      <c r="F592" s="955"/>
      <c r="L592" s="954"/>
      <c r="M592" s="952"/>
      <c r="N592" s="952"/>
    </row>
    <row r="593" spans="1:14">
      <c r="A593" s="958" t="s">
        <v>369</v>
      </c>
      <c r="B593" s="958">
        <v>21</v>
      </c>
      <c r="C593" s="958" t="s">
        <v>5209</v>
      </c>
      <c r="D593" s="957" t="s">
        <v>9616</v>
      </c>
      <c r="E593" s="956">
        <v>14318</v>
      </c>
      <c r="F593" s="955"/>
      <c r="L593" s="954"/>
      <c r="M593" s="952"/>
      <c r="N593" s="952"/>
    </row>
    <row r="594" spans="1:14">
      <c r="A594" s="958" t="s">
        <v>369</v>
      </c>
      <c r="B594" s="958">
        <v>21</v>
      </c>
      <c r="C594" s="958" t="s">
        <v>9615</v>
      </c>
      <c r="D594" s="957" t="s">
        <v>9614</v>
      </c>
      <c r="E594" s="956">
        <v>23196</v>
      </c>
      <c r="F594" s="955"/>
      <c r="L594" s="954"/>
      <c r="M594" s="952"/>
      <c r="N594" s="952"/>
    </row>
    <row r="595" spans="1:14">
      <c r="A595" s="958" t="s">
        <v>369</v>
      </c>
      <c r="B595" s="958">
        <v>21</v>
      </c>
      <c r="C595" s="958" t="s">
        <v>5207</v>
      </c>
      <c r="D595" s="957" t="s">
        <v>9613</v>
      </c>
      <c r="E595" s="956">
        <v>32941</v>
      </c>
      <c r="F595" s="955"/>
      <c r="L595" s="954"/>
      <c r="M595" s="952"/>
      <c r="N595" s="952"/>
    </row>
    <row r="596" spans="1:14">
      <c r="A596" s="958" t="s">
        <v>369</v>
      </c>
      <c r="B596" s="958">
        <v>21</v>
      </c>
      <c r="C596" s="958" t="s">
        <v>5205</v>
      </c>
      <c r="D596" s="957" t="s">
        <v>9612</v>
      </c>
      <c r="E596" s="956">
        <v>83387</v>
      </c>
      <c r="F596" s="955"/>
      <c r="L596" s="954"/>
      <c r="M596" s="952"/>
      <c r="N596" s="952"/>
    </row>
    <row r="597" spans="1:14">
      <c r="A597" s="958" t="s">
        <v>369</v>
      </c>
      <c r="B597" s="958">
        <v>21</v>
      </c>
      <c r="C597" s="958" t="s">
        <v>5203</v>
      </c>
      <c r="D597" s="957" t="s">
        <v>9611</v>
      </c>
      <c r="E597" s="956">
        <v>21485</v>
      </c>
      <c r="F597" s="955"/>
      <c r="L597" s="954"/>
      <c r="M597" s="952"/>
      <c r="N597" s="952"/>
    </row>
    <row r="598" spans="1:14">
      <c r="A598" s="958" t="s">
        <v>369</v>
      </c>
      <c r="B598" s="958">
        <v>21</v>
      </c>
      <c r="C598" s="958" t="s">
        <v>5201</v>
      </c>
      <c r="D598" s="957" t="s">
        <v>9610</v>
      </c>
      <c r="E598" s="956">
        <v>18625</v>
      </c>
      <c r="F598" s="955"/>
      <c r="L598" s="954"/>
      <c r="M598" s="952"/>
      <c r="N598" s="952"/>
    </row>
    <row r="599" spans="1:14">
      <c r="A599" s="958" t="s">
        <v>369</v>
      </c>
      <c r="B599" s="958">
        <v>21</v>
      </c>
      <c r="C599" s="958" t="s">
        <v>5200</v>
      </c>
      <c r="D599" s="957" t="s">
        <v>9609</v>
      </c>
      <c r="E599" s="956">
        <v>17873</v>
      </c>
      <c r="F599" s="955"/>
      <c r="L599" s="954"/>
      <c r="M599" s="952"/>
      <c r="N599" s="952"/>
    </row>
    <row r="600" spans="1:14">
      <c r="A600" s="958" t="s">
        <v>369</v>
      </c>
      <c r="B600" s="958">
        <v>21</v>
      </c>
      <c r="C600" s="958" t="s">
        <v>5198</v>
      </c>
      <c r="D600" s="957" t="s">
        <v>9608</v>
      </c>
      <c r="E600" s="956">
        <v>23885</v>
      </c>
      <c r="F600" s="955"/>
      <c r="L600" s="954"/>
      <c r="M600" s="952"/>
      <c r="N600" s="952"/>
    </row>
    <row r="601" spans="1:14">
      <c r="A601" s="958" t="s">
        <v>369</v>
      </c>
      <c r="B601" s="958">
        <v>21</v>
      </c>
      <c r="C601" s="958" t="s">
        <v>9607</v>
      </c>
      <c r="D601" s="957" t="s">
        <v>9606</v>
      </c>
      <c r="E601" s="956">
        <v>5975</v>
      </c>
      <c r="F601" s="955"/>
      <c r="L601" s="954"/>
      <c r="M601" s="952"/>
      <c r="N601" s="952"/>
    </row>
    <row r="602" spans="1:14">
      <c r="A602" s="958" t="s">
        <v>369</v>
      </c>
      <c r="B602" s="958">
        <v>21</v>
      </c>
      <c r="C602" s="958" t="s">
        <v>5196</v>
      </c>
      <c r="D602" s="957" t="s">
        <v>7466</v>
      </c>
      <c r="E602" s="956">
        <v>47804</v>
      </c>
      <c r="F602" s="955"/>
      <c r="L602" s="954"/>
      <c r="M602" s="952"/>
      <c r="N602" s="952"/>
    </row>
    <row r="603" spans="1:14">
      <c r="A603" s="958" t="s">
        <v>369</v>
      </c>
      <c r="B603" s="958">
        <v>21</v>
      </c>
      <c r="C603" s="958" t="s">
        <v>5194</v>
      </c>
      <c r="D603" s="957" t="s">
        <v>6097</v>
      </c>
      <c r="E603" s="956">
        <v>12734</v>
      </c>
      <c r="F603" s="955"/>
      <c r="L603" s="954"/>
      <c r="M603" s="952"/>
      <c r="N603" s="952"/>
    </row>
    <row r="604" spans="1:14">
      <c r="A604" s="958" t="s">
        <v>369</v>
      </c>
      <c r="B604" s="958">
        <v>21</v>
      </c>
      <c r="C604" s="958" t="s">
        <v>9605</v>
      </c>
      <c r="D604" s="957" t="s">
        <v>9604</v>
      </c>
      <c r="E604" s="956">
        <v>7015</v>
      </c>
      <c r="F604" s="955"/>
      <c r="L604" s="954"/>
      <c r="M604" s="952"/>
      <c r="N604" s="952"/>
    </row>
    <row r="605" spans="1:14">
      <c r="A605" s="958" t="s">
        <v>369</v>
      </c>
      <c r="B605" s="958">
        <v>21</v>
      </c>
      <c r="C605" s="958" t="s">
        <v>9603</v>
      </c>
      <c r="D605" s="957" t="s">
        <v>9602</v>
      </c>
      <c r="E605" s="956">
        <v>18918</v>
      </c>
      <c r="F605" s="955"/>
      <c r="L605" s="954"/>
      <c r="M605" s="952"/>
      <c r="N605" s="952"/>
    </row>
    <row r="606" spans="1:14">
      <c r="A606" s="958" t="s">
        <v>369</v>
      </c>
      <c r="B606" s="958">
        <v>21</v>
      </c>
      <c r="C606" s="958" t="s">
        <v>5190</v>
      </c>
      <c r="D606" s="957" t="s">
        <v>9601</v>
      </c>
      <c r="E606" s="956">
        <v>11193</v>
      </c>
      <c r="F606" s="955"/>
      <c r="L606" s="954"/>
      <c r="M606" s="952"/>
      <c r="N606" s="952"/>
    </row>
    <row r="607" spans="1:14">
      <c r="A607" s="958" t="s">
        <v>369</v>
      </c>
      <c r="B607" s="958">
        <v>21</v>
      </c>
      <c r="C607" s="958" t="s">
        <v>5188</v>
      </c>
      <c r="D607" s="957" t="s">
        <v>9600</v>
      </c>
      <c r="E607" s="956">
        <v>15315</v>
      </c>
      <c r="F607" s="955"/>
      <c r="L607" s="954"/>
      <c r="M607" s="952"/>
      <c r="N607" s="952"/>
    </row>
    <row r="608" spans="1:14">
      <c r="A608" s="958" t="s">
        <v>369</v>
      </c>
      <c r="B608" s="958">
        <v>21</v>
      </c>
      <c r="C608" s="958" t="s">
        <v>5186</v>
      </c>
      <c r="D608" s="957" t="s">
        <v>9599</v>
      </c>
      <c r="E608" s="956">
        <v>30761</v>
      </c>
      <c r="F608" s="955"/>
      <c r="L608" s="954"/>
      <c r="M608" s="952"/>
      <c r="N608" s="952"/>
    </row>
    <row r="609" spans="1:14">
      <c r="A609" s="958" t="s">
        <v>369</v>
      </c>
      <c r="B609" s="958">
        <v>21</v>
      </c>
      <c r="C609" s="958" t="s">
        <v>5184</v>
      </c>
      <c r="D609" s="957" t="s">
        <v>8572</v>
      </c>
      <c r="E609" s="956">
        <v>20195</v>
      </c>
      <c r="F609" s="955"/>
      <c r="L609" s="954"/>
      <c r="M609" s="952"/>
      <c r="N609" s="952"/>
    </row>
    <row r="610" spans="1:14">
      <c r="A610" s="958" t="s">
        <v>369</v>
      </c>
      <c r="B610" s="958">
        <v>21</v>
      </c>
      <c r="C610" s="958" t="s">
        <v>9598</v>
      </c>
      <c r="D610" s="957" t="s">
        <v>9597</v>
      </c>
      <c r="E610" s="956">
        <v>7791</v>
      </c>
      <c r="F610" s="955"/>
      <c r="L610" s="954"/>
      <c r="M610" s="952"/>
      <c r="N610" s="952"/>
    </row>
    <row r="611" spans="1:14">
      <c r="A611" s="958" t="s">
        <v>369</v>
      </c>
      <c r="B611" s="958">
        <v>21</v>
      </c>
      <c r="C611" s="958" t="s">
        <v>5182</v>
      </c>
      <c r="D611" s="957" t="s">
        <v>9596</v>
      </c>
      <c r="E611" s="956">
        <v>42740</v>
      </c>
      <c r="F611" s="955"/>
      <c r="L611" s="954"/>
      <c r="M611" s="952"/>
      <c r="N611" s="952"/>
    </row>
    <row r="612" spans="1:14">
      <c r="A612" s="958" t="s">
        <v>369</v>
      </c>
      <c r="B612" s="958">
        <v>21</v>
      </c>
      <c r="C612" s="958" t="s">
        <v>5180</v>
      </c>
      <c r="D612" s="957" t="s">
        <v>9595</v>
      </c>
      <c r="E612" s="956">
        <v>5671</v>
      </c>
      <c r="F612" s="955"/>
      <c r="L612" s="954"/>
      <c r="M612" s="952"/>
      <c r="N612" s="952"/>
    </row>
    <row r="613" spans="1:14">
      <c r="A613" s="958" t="s">
        <v>369</v>
      </c>
      <c r="B613" s="958">
        <v>21</v>
      </c>
      <c r="C613" s="958" t="s">
        <v>9594</v>
      </c>
      <c r="D613" s="957" t="s">
        <v>9593</v>
      </c>
      <c r="E613" s="956">
        <v>7773</v>
      </c>
      <c r="F613" s="955"/>
      <c r="L613" s="954"/>
      <c r="M613" s="952"/>
      <c r="N613" s="952"/>
    </row>
    <row r="614" spans="1:14">
      <c r="A614" s="958" t="s">
        <v>369</v>
      </c>
      <c r="B614" s="958">
        <v>21</v>
      </c>
      <c r="C614" s="958" t="s">
        <v>5178</v>
      </c>
      <c r="D614" s="957" t="s">
        <v>2896</v>
      </c>
      <c r="E614" s="956">
        <v>42130</v>
      </c>
      <c r="F614" s="955"/>
      <c r="L614" s="954"/>
      <c r="M614" s="952"/>
      <c r="N614" s="952"/>
    </row>
    <row r="615" spans="1:14">
      <c r="A615" s="958" t="s">
        <v>369</v>
      </c>
      <c r="B615" s="958">
        <v>21</v>
      </c>
      <c r="C615" s="958" t="s">
        <v>5176</v>
      </c>
      <c r="D615" s="957" t="s">
        <v>3502</v>
      </c>
      <c r="E615" s="956">
        <v>89044</v>
      </c>
      <c r="F615" s="955"/>
      <c r="L615" s="954"/>
      <c r="M615" s="952"/>
      <c r="N615" s="952"/>
    </row>
    <row r="616" spans="1:14">
      <c r="A616" s="958" t="s">
        <v>369</v>
      </c>
      <c r="B616" s="958">
        <v>21</v>
      </c>
      <c r="C616" s="958" t="s">
        <v>5172</v>
      </c>
      <c r="D616" s="957" t="s">
        <v>5989</v>
      </c>
      <c r="E616" s="956">
        <v>72667</v>
      </c>
      <c r="F616" s="955"/>
      <c r="L616" s="954"/>
      <c r="M616" s="952"/>
      <c r="N616" s="952"/>
    </row>
    <row r="617" spans="1:14">
      <c r="A617" s="958" t="s">
        <v>369</v>
      </c>
      <c r="B617" s="958">
        <v>21</v>
      </c>
      <c r="C617" s="958" t="s">
        <v>9592</v>
      </c>
      <c r="D617" s="957" t="s">
        <v>9591</v>
      </c>
      <c r="E617" s="956">
        <v>25254</v>
      </c>
      <c r="F617" s="955"/>
      <c r="L617" s="954"/>
      <c r="M617" s="952"/>
      <c r="N617" s="952"/>
    </row>
    <row r="618" spans="1:14">
      <c r="A618" s="958" t="s">
        <v>369</v>
      </c>
      <c r="B618" s="958">
        <v>21</v>
      </c>
      <c r="C618" s="958" t="s">
        <v>5170</v>
      </c>
      <c r="D618" s="957" t="s">
        <v>9590</v>
      </c>
      <c r="E618" s="956">
        <v>25642</v>
      </c>
      <c r="F618" s="955"/>
      <c r="L618" s="954"/>
      <c r="M618" s="952"/>
      <c r="N618" s="952"/>
    </row>
    <row r="619" spans="1:14">
      <c r="A619" s="958" t="s">
        <v>369</v>
      </c>
      <c r="B619" s="958">
        <v>21</v>
      </c>
      <c r="C619" s="958" t="s">
        <v>5166</v>
      </c>
      <c r="D619" s="957" t="s">
        <v>8546</v>
      </c>
      <c r="E619" s="956">
        <v>37855</v>
      </c>
      <c r="F619" s="955"/>
      <c r="L619" s="954"/>
      <c r="M619" s="952"/>
      <c r="N619" s="952"/>
    </row>
    <row r="620" spans="1:14">
      <c r="A620" s="958" t="s">
        <v>369</v>
      </c>
      <c r="B620" s="958">
        <v>21</v>
      </c>
      <c r="C620" s="958" t="s">
        <v>9589</v>
      </c>
      <c r="D620" s="957" t="s">
        <v>9588</v>
      </c>
      <c r="E620" s="956">
        <v>13386</v>
      </c>
      <c r="F620" s="955"/>
      <c r="L620" s="954"/>
      <c r="M620" s="952"/>
      <c r="N620" s="952"/>
    </row>
    <row r="621" spans="1:14">
      <c r="A621" s="958" t="s">
        <v>369</v>
      </c>
      <c r="B621" s="958">
        <v>21</v>
      </c>
      <c r="C621" s="958" t="s">
        <v>9587</v>
      </c>
      <c r="D621" s="957" t="s">
        <v>9586</v>
      </c>
      <c r="E621" s="956">
        <v>15846</v>
      </c>
      <c r="F621" s="955"/>
      <c r="L621" s="954"/>
      <c r="M621" s="952"/>
      <c r="N621" s="952"/>
    </row>
    <row r="622" spans="1:14">
      <c r="A622" s="958" t="s">
        <v>369</v>
      </c>
      <c r="B622" s="958">
        <v>21</v>
      </c>
      <c r="C622" s="958" t="s">
        <v>5164</v>
      </c>
      <c r="D622" s="957" t="s">
        <v>9585</v>
      </c>
      <c r="E622" s="956">
        <v>14528</v>
      </c>
      <c r="F622" s="955"/>
      <c r="L622" s="954"/>
      <c r="M622" s="952"/>
      <c r="N622" s="952"/>
    </row>
    <row r="623" spans="1:14">
      <c r="A623" s="958" t="s">
        <v>369</v>
      </c>
      <c r="B623" s="958">
        <v>21</v>
      </c>
      <c r="C623" s="958" t="s">
        <v>5162</v>
      </c>
      <c r="D623" s="957" t="s">
        <v>9584</v>
      </c>
      <c r="E623" s="956">
        <v>18663</v>
      </c>
      <c r="F623" s="955"/>
      <c r="L623" s="954"/>
      <c r="M623" s="952"/>
      <c r="N623" s="952"/>
    </row>
    <row r="624" spans="1:14">
      <c r="A624" s="958" t="s">
        <v>369</v>
      </c>
      <c r="B624" s="958">
        <v>21</v>
      </c>
      <c r="C624" s="958" t="s">
        <v>5160</v>
      </c>
      <c r="D624" s="957" t="s">
        <v>8542</v>
      </c>
      <c r="E624" s="956">
        <v>45211</v>
      </c>
      <c r="F624" s="955"/>
      <c r="L624" s="954"/>
      <c r="M624" s="952"/>
      <c r="N624" s="952"/>
    </row>
    <row r="625" spans="1:14">
      <c r="A625" s="958" t="s">
        <v>369</v>
      </c>
      <c r="B625" s="958">
        <v>21</v>
      </c>
      <c r="C625" s="958" t="s">
        <v>5158</v>
      </c>
      <c r="D625" s="957" t="s">
        <v>9583</v>
      </c>
      <c r="E625" s="956">
        <v>28507</v>
      </c>
      <c r="F625" s="955"/>
      <c r="L625" s="954"/>
      <c r="M625" s="952"/>
      <c r="N625" s="952"/>
    </row>
    <row r="626" spans="1:14">
      <c r="A626" s="958" t="s">
        <v>369</v>
      </c>
      <c r="B626" s="958">
        <v>21</v>
      </c>
      <c r="C626" s="958" t="s">
        <v>9582</v>
      </c>
      <c r="D626" s="957" t="s">
        <v>9581</v>
      </c>
      <c r="E626" s="956">
        <v>7392</v>
      </c>
      <c r="F626" s="955"/>
      <c r="L626" s="954"/>
      <c r="M626" s="952"/>
      <c r="N626" s="952"/>
    </row>
    <row r="627" spans="1:14">
      <c r="A627" s="958" t="s">
        <v>369</v>
      </c>
      <c r="B627" s="958">
        <v>21</v>
      </c>
      <c r="C627" s="958" t="s">
        <v>5156</v>
      </c>
      <c r="D627" s="957" t="s">
        <v>9580</v>
      </c>
      <c r="E627" s="956">
        <v>34376</v>
      </c>
      <c r="F627" s="955"/>
      <c r="L627" s="954"/>
      <c r="M627" s="952"/>
      <c r="N627" s="952"/>
    </row>
    <row r="628" spans="1:14">
      <c r="A628" s="958" t="s">
        <v>369</v>
      </c>
      <c r="B628" s="958">
        <v>21</v>
      </c>
      <c r="C628" s="958" t="s">
        <v>5154</v>
      </c>
      <c r="D628" s="957" t="s">
        <v>9579</v>
      </c>
      <c r="E628" s="956">
        <v>4585</v>
      </c>
      <c r="F628" s="955"/>
      <c r="L628" s="954"/>
      <c r="M628" s="952"/>
      <c r="N628" s="952"/>
    </row>
    <row r="629" spans="1:14">
      <c r="A629" s="958" t="s">
        <v>369</v>
      </c>
      <c r="B629" s="958">
        <v>21</v>
      </c>
      <c r="C629" s="958" t="s">
        <v>9578</v>
      </c>
      <c r="D629" s="957" t="s">
        <v>9577</v>
      </c>
      <c r="E629" s="956">
        <v>11798</v>
      </c>
      <c r="F629" s="955"/>
      <c r="L629" s="954"/>
      <c r="M629" s="952"/>
      <c r="N629" s="952"/>
    </row>
    <row r="630" spans="1:14">
      <c r="A630" s="958" t="s">
        <v>369</v>
      </c>
      <c r="B630" s="958">
        <v>21</v>
      </c>
      <c r="C630" s="958" t="s">
        <v>5152</v>
      </c>
      <c r="D630" s="957" t="s">
        <v>9576</v>
      </c>
      <c r="E630" s="956">
        <v>12210</v>
      </c>
      <c r="F630" s="955"/>
      <c r="L630" s="954"/>
      <c r="M630" s="952"/>
      <c r="N630" s="952"/>
    </row>
    <row r="631" spans="1:14">
      <c r="A631" s="958" t="s">
        <v>369</v>
      </c>
      <c r="B631" s="958">
        <v>21</v>
      </c>
      <c r="C631" s="958" t="s">
        <v>5150</v>
      </c>
      <c r="D631" s="957" t="s">
        <v>2868</v>
      </c>
      <c r="E631" s="956">
        <v>20665</v>
      </c>
      <c r="F631" s="955"/>
      <c r="L631" s="954"/>
      <c r="M631" s="952"/>
      <c r="N631" s="952"/>
    </row>
    <row r="632" spans="1:14">
      <c r="A632" s="958" t="s">
        <v>369</v>
      </c>
      <c r="B632" s="958">
        <v>21</v>
      </c>
      <c r="C632" s="958" t="s">
        <v>9575</v>
      </c>
      <c r="D632" s="957" t="s">
        <v>9574</v>
      </c>
      <c r="E632" s="956">
        <v>15808</v>
      </c>
      <c r="F632" s="955"/>
      <c r="L632" s="954"/>
      <c r="M632" s="952"/>
      <c r="N632" s="952"/>
    </row>
    <row r="633" spans="1:14">
      <c r="A633" s="958" t="s">
        <v>369</v>
      </c>
      <c r="B633" s="958">
        <v>21</v>
      </c>
      <c r="C633" s="958" t="s">
        <v>9573</v>
      </c>
      <c r="D633" s="957" t="s">
        <v>5871</v>
      </c>
      <c r="E633" s="956">
        <v>11177</v>
      </c>
      <c r="F633" s="955"/>
      <c r="L633" s="954"/>
      <c r="M633" s="952"/>
      <c r="N633" s="952"/>
    </row>
    <row r="634" spans="1:14">
      <c r="A634" s="958" t="s">
        <v>369</v>
      </c>
      <c r="B634" s="958">
        <v>21</v>
      </c>
      <c r="C634" s="958" t="s">
        <v>9572</v>
      </c>
      <c r="D634" s="957" t="s">
        <v>9571</v>
      </c>
      <c r="E634" s="956">
        <v>18543</v>
      </c>
      <c r="F634" s="955"/>
      <c r="L634" s="954"/>
      <c r="M634" s="952"/>
      <c r="N634" s="952"/>
    </row>
    <row r="635" spans="1:14">
      <c r="A635" s="958" t="s">
        <v>369</v>
      </c>
      <c r="B635" s="958">
        <v>21</v>
      </c>
      <c r="C635" s="958" t="s">
        <v>5148</v>
      </c>
      <c r="D635" s="957" t="s">
        <v>9570</v>
      </c>
      <c r="E635" s="956">
        <v>25929</v>
      </c>
      <c r="F635" s="955"/>
      <c r="L635" s="954"/>
      <c r="M635" s="952"/>
      <c r="N635" s="952"/>
    </row>
    <row r="636" spans="1:14">
      <c r="A636" s="958" t="s">
        <v>369</v>
      </c>
      <c r="B636" s="958">
        <v>21</v>
      </c>
      <c r="C636" s="958" t="s">
        <v>5146</v>
      </c>
      <c r="D636" s="957" t="s">
        <v>9569</v>
      </c>
      <c r="E636" s="956">
        <v>177687</v>
      </c>
      <c r="F636" s="955"/>
      <c r="L636" s="954"/>
      <c r="M636" s="952"/>
      <c r="N636" s="952"/>
    </row>
    <row r="637" spans="1:14">
      <c r="A637" s="958" t="s">
        <v>369</v>
      </c>
      <c r="B637" s="958">
        <v>21</v>
      </c>
      <c r="C637" s="958" t="s">
        <v>9568</v>
      </c>
      <c r="D637" s="957" t="s">
        <v>9567</v>
      </c>
      <c r="E637" s="956">
        <v>7641</v>
      </c>
      <c r="F637" s="955"/>
      <c r="L637" s="954"/>
      <c r="M637" s="952"/>
      <c r="N637" s="952"/>
    </row>
    <row r="638" spans="1:14">
      <c r="A638" s="958" t="s">
        <v>369</v>
      </c>
      <c r="B638" s="958">
        <v>21</v>
      </c>
      <c r="C638" s="958" t="s">
        <v>5144</v>
      </c>
      <c r="D638" s="957" t="s">
        <v>9566</v>
      </c>
      <c r="E638" s="956">
        <v>1101884</v>
      </c>
      <c r="F638" s="955"/>
      <c r="L638" s="954"/>
      <c r="M638" s="952"/>
      <c r="N638" s="952"/>
    </row>
    <row r="639" spans="1:14">
      <c r="A639" s="958" t="s">
        <v>369</v>
      </c>
      <c r="B639" s="958">
        <v>21</v>
      </c>
      <c r="C639" s="958" t="s">
        <v>5142</v>
      </c>
      <c r="D639" s="957" t="s">
        <v>9565</v>
      </c>
      <c r="E639" s="956">
        <v>18856</v>
      </c>
      <c r="F639" s="955"/>
      <c r="L639" s="954"/>
      <c r="M639" s="952"/>
      <c r="N639" s="952"/>
    </row>
    <row r="640" spans="1:14">
      <c r="A640" s="958" t="s">
        <v>369</v>
      </c>
      <c r="B640" s="958">
        <v>21</v>
      </c>
      <c r="C640" s="958" t="s">
        <v>5140</v>
      </c>
      <c r="D640" s="957" t="s">
        <v>9564</v>
      </c>
      <c r="E640" s="956">
        <v>41529</v>
      </c>
      <c r="F640" s="955"/>
      <c r="L640" s="954"/>
      <c r="M640" s="952"/>
      <c r="N640" s="952"/>
    </row>
    <row r="641" spans="1:14">
      <c r="A641" s="958" t="s">
        <v>369</v>
      </c>
      <c r="B641" s="958">
        <v>21</v>
      </c>
      <c r="C641" s="958" t="s">
        <v>9563</v>
      </c>
      <c r="D641" s="957" t="s">
        <v>9562</v>
      </c>
      <c r="E641" s="956">
        <v>12690</v>
      </c>
      <c r="F641" s="955"/>
      <c r="L641" s="954"/>
      <c r="M641" s="952"/>
      <c r="N641" s="952"/>
    </row>
    <row r="642" spans="1:14">
      <c r="A642" s="958" t="s">
        <v>369</v>
      </c>
      <c r="B642" s="958">
        <v>21</v>
      </c>
      <c r="C642" s="958" t="s">
        <v>9561</v>
      </c>
      <c r="D642" s="957" t="s">
        <v>9560</v>
      </c>
      <c r="E642" s="956">
        <v>4668</v>
      </c>
      <c r="F642" s="955"/>
      <c r="L642" s="954"/>
      <c r="M642" s="952"/>
      <c r="N642" s="952"/>
    </row>
    <row r="643" spans="1:14">
      <c r="A643" s="958" t="s">
        <v>369</v>
      </c>
      <c r="B643" s="958">
        <v>21</v>
      </c>
      <c r="C643" s="958" t="s">
        <v>5138</v>
      </c>
      <c r="D643" s="957" t="s">
        <v>9559</v>
      </c>
      <c r="E643" s="956">
        <v>18868</v>
      </c>
      <c r="F643" s="955"/>
      <c r="L643" s="954"/>
      <c r="M643" s="952"/>
      <c r="N643" s="952"/>
    </row>
    <row r="644" spans="1:14">
      <c r="A644" s="958" t="s">
        <v>369</v>
      </c>
      <c r="B644" s="958">
        <v>21</v>
      </c>
      <c r="C644" s="958" t="s">
        <v>9558</v>
      </c>
      <c r="D644" s="957" t="s">
        <v>9557</v>
      </c>
      <c r="E644" s="956">
        <v>5237</v>
      </c>
      <c r="F644" s="955"/>
      <c r="L644" s="954"/>
      <c r="M644" s="952"/>
      <c r="N644" s="952"/>
    </row>
    <row r="645" spans="1:14">
      <c r="A645" s="958" t="s">
        <v>369</v>
      </c>
      <c r="B645" s="958">
        <v>21</v>
      </c>
      <c r="C645" s="958" t="s">
        <v>9556</v>
      </c>
      <c r="D645" s="957" t="s">
        <v>9555</v>
      </c>
      <c r="E645" s="956">
        <v>6719</v>
      </c>
      <c r="F645" s="955"/>
      <c r="L645" s="954"/>
      <c r="M645" s="952"/>
      <c r="N645" s="952"/>
    </row>
    <row r="646" spans="1:14">
      <c r="A646" s="958" t="s">
        <v>369</v>
      </c>
      <c r="B646" s="958">
        <v>21</v>
      </c>
      <c r="C646" s="958" t="s">
        <v>5136</v>
      </c>
      <c r="D646" s="957" t="s">
        <v>8298</v>
      </c>
      <c r="E646" s="956">
        <v>22247</v>
      </c>
      <c r="F646" s="955"/>
      <c r="L646" s="954"/>
      <c r="M646" s="952"/>
      <c r="N646" s="952"/>
    </row>
    <row r="647" spans="1:14">
      <c r="A647" s="958" t="s">
        <v>369</v>
      </c>
      <c r="B647" s="958">
        <v>21</v>
      </c>
      <c r="C647" s="958" t="s">
        <v>9554</v>
      </c>
      <c r="D647" s="957" t="s">
        <v>9553</v>
      </c>
      <c r="E647" s="956">
        <v>13914</v>
      </c>
      <c r="F647" s="955"/>
      <c r="L647" s="954"/>
      <c r="M647" s="952"/>
      <c r="N647" s="952"/>
    </row>
    <row r="648" spans="1:14">
      <c r="A648" s="958" t="s">
        <v>369</v>
      </c>
      <c r="B648" s="958">
        <v>21</v>
      </c>
      <c r="C648" s="958" t="s">
        <v>9552</v>
      </c>
      <c r="D648" s="957" t="s">
        <v>9551</v>
      </c>
      <c r="E648" s="956">
        <v>11141</v>
      </c>
      <c r="F648" s="955"/>
      <c r="L648" s="954"/>
      <c r="M648" s="952"/>
      <c r="N648" s="952"/>
    </row>
    <row r="649" spans="1:14">
      <c r="A649" s="958" t="s">
        <v>369</v>
      </c>
      <c r="B649" s="958">
        <v>21</v>
      </c>
      <c r="C649" s="958" t="s">
        <v>9550</v>
      </c>
      <c r="D649" s="957" t="s">
        <v>9549</v>
      </c>
      <c r="E649" s="956">
        <v>14293</v>
      </c>
      <c r="F649" s="955"/>
      <c r="L649" s="954"/>
      <c r="M649" s="952"/>
      <c r="N649" s="952"/>
    </row>
    <row r="650" spans="1:14">
      <c r="A650" s="958" t="s">
        <v>369</v>
      </c>
      <c r="B650" s="958">
        <v>21</v>
      </c>
      <c r="C650" s="958" t="s">
        <v>9548</v>
      </c>
      <c r="D650" s="957" t="s">
        <v>9547</v>
      </c>
      <c r="E650" s="956">
        <v>10253</v>
      </c>
      <c r="F650" s="955"/>
      <c r="L650" s="954"/>
      <c r="M650" s="952"/>
      <c r="N650" s="952"/>
    </row>
    <row r="651" spans="1:14">
      <c r="A651" s="958" t="s">
        <v>369</v>
      </c>
      <c r="B651" s="958">
        <v>21</v>
      </c>
      <c r="C651" s="958" t="s">
        <v>9546</v>
      </c>
      <c r="D651" s="957" t="s">
        <v>8880</v>
      </c>
      <c r="E651" s="956">
        <v>18081</v>
      </c>
      <c r="F651" s="955"/>
      <c r="L651" s="954"/>
      <c r="M651" s="952"/>
      <c r="N651" s="952"/>
    </row>
    <row r="652" spans="1:14">
      <c r="A652" s="958" t="s">
        <v>369</v>
      </c>
      <c r="B652" s="958">
        <v>21</v>
      </c>
      <c r="C652" s="958" t="s">
        <v>5134</v>
      </c>
      <c r="D652" s="957" t="s">
        <v>9545</v>
      </c>
      <c r="E652" s="956">
        <v>10636</v>
      </c>
      <c r="F652" s="955"/>
      <c r="L652" s="954"/>
      <c r="M652" s="952"/>
      <c r="N652" s="952"/>
    </row>
    <row r="653" spans="1:14">
      <c r="A653" s="958" t="s">
        <v>369</v>
      </c>
      <c r="B653" s="958">
        <v>21</v>
      </c>
      <c r="C653" s="958" t="s">
        <v>9544</v>
      </c>
      <c r="D653" s="957" t="s">
        <v>9543</v>
      </c>
      <c r="E653" s="956">
        <v>5660</v>
      </c>
      <c r="F653" s="955"/>
      <c r="L653" s="954"/>
      <c r="M653" s="952"/>
      <c r="N653" s="952"/>
    </row>
    <row r="654" spans="1:14">
      <c r="A654" s="958" t="s">
        <v>369</v>
      </c>
      <c r="B654" s="958">
        <v>21</v>
      </c>
      <c r="C654" s="958" t="s">
        <v>5132</v>
      </c>
      <c r="D654" s="957" t="s">
        <v>9542</v>
      </c>
      <c r="E654" s="956">
        <v>8521</v>
      </c>
      <c r="F654" s="955"/>
      <c r="L654" s="954"/>
      <c r="M654" s="952"/>
      <c r="N654" s="952"/>
    </row>
    <row r="655" spans="1:14">
      <c r="A655" s="958" t="s">
        <v>369</v>
      </c>
      <c r="B655" s="958">
        <v>21</v>
      </c>
      <c r="C655" s="958" t="s">
        <v>5130</v>
      </c>
      <c r="D655" s="957" t="s">
        <v>9541</v>
      </c>
      <c r="E655" s="956">
        <v>29124</v>
      </c>
      <c r="F655" s="955"/>
      <c r="L655" s="954"/>
      <c r="M655" s="952"/>
      <c r="N655" s="952"/>
    </row>
    <row r="656" spans="1:14">
      <c r="A656" s="958" t="s">
        <v>369</v>
      </c>
      <c r="B656" s="958">
        <v>21</v>
      </c>
      <c r="C656" s="958" t="s">
        <v>5128</v>
      </c>
      <c r="D656" s="957" t="s">
        <v>9540</v>
      </c>
      <c r="E656" s="956">
        <v>169107</v>
      </c>
      <c r="F656" s="955"/>
      <c r="L656" s="954"/>
      <c r="M656" s="952"/>
      <c r="N656" s="952"/>
    </row>
    <row r="657" spans="1:14">
      <c r="A657" s="958" t="s">
        <v>369</v>
      </c>
      <c r="B657" s="958">
        <v>21</v>
      </c>
      <c r="C657" s="958" t="s">
        <v>9539</v>
      </c>
      <c r="D657" s="957" t="s">
        <v>9538</v>
      </c>
      <c r="E657" s="956">
        <v>21998</v>
      </c>
      <c r="F657" s="955"/>
      <c r="L657" s="954"/>
      <c r="M657" s="952"/>
      <c r="N657" s="952"/>
    </row>
    <row r="658" spans="1:14">
      <c r="A658" s="958" t="s">
        <v>369</v>
      </c>
      <c r="B658" s="958">
        <v>21</v>
      </c>
      <c r="C658" s="958" t="s">
        <v>9537</v>
      </c>
      <c r="D658" s="957" t="s">
        <v>9536</v>
      </c>
      <c r="E658" s="956">
        <v>5840</v>
      </c>
      <c r="F658" s="955"/>
      <c r="L658" s="954"/>
      <c r="M658" s="952"/>
      <c r="N658" s="952"/>
    </row>
    <row r="659" spans="1:14">
      <c r="A659" s="958" t="s">
        <v>369</v>
      </c>
      <c r="B659" s="958">
        <v>21</v>
      </c>
      <c r="C659" s="958" t="s">
        <v>5126</v>
      </c>
      <c r="D659" s="957" t="s">
        <v>9535</v>
      </c>
      <c r="E659" s="956">
        <v>41832</v>
      </c>
      <c r="F659" s="955"/>
      <c r="L659" s="954"/>
      <c r="M659" s="952"/>
      <c r="N659" s="952"/>
    </row>
    <row r="660" spans="1:14">
      <c r="A660" s="958" t="s">
        <v>369</v>
      </c>
      <c r="B660" s="958">
        <v>21</v>
      </c>
      <c r="C660" s="958" t="s">
        <v>5124</v>
      </c>
      <c r="D660" s="957" t="s">
        <v>9534</v>
      </c>
      <c r="E660" s="956">
        <v>35604</v>
      </c>
      <c r="F660" s="955"/>
      <c r="L660" s="954"/>
      <c r="M660" s="952"/>
      <c r="N660" s="952"/>
    </row>
    <row r="661" spans="1:14">
      <c r="A661" s="958" t="s">
        <v>369</v>
      </c>
      <c r="B661" s="958">
        <v>21</v>
      </c>
      <c r="C661" s="958" t="s">
        <v>9533</v>
      </c>
      <c r="D661" s="957" t="s">
        <v>9532</v>
      </c>
      <c r="E661" s="956">
        <v>25619</v>
      </c>
      <c r="F661" s="955"/>
      <c r="L661" s="954"/>
      <c r="M661" s="952"/>
      <c r="N661" s="952"/>
    </row>
    <row r="662" spans="1:14">
      <c r="A662" s="958" t="s">
        <v>369</v>
      </c>
      <c r="B662" s="958">
        <v>21</v>
      </c>
      <c r="C662" s="958" t="s">
        <v>5122</v>
      </c>
      <c r="D662" s="957" t="s">
        <v>9531</v>
      </c>
      <c r="E662" s="956">
        <v>58860</v>
      </c>
      <c r="F662" s="955"/>
      <c r="L662" s="954"/>
      <c r="M662" s="952"/>
      <c r="N662" s="952"/>
    </row>
    <row r="663" spans="1:14">
      <c r="A663" s="958" t="s">
        <v>369</v>
      </c>
      <c r="B663" s="958">
        <v>21</v>
      </c>
      <c r="C663" s="958" t="s">
        <v>5120</v>
      </c>
      <c r="D663" s="957" t="s">
        <v>9530</v>
      </c>
      <c r="E663" s="956">
        <v>33122</v>
      </c>
      <c r="F663" s="955"/>
      <c r="L663" s="954"/>
      <c r="M663" s="952"/>
      <c r="N663" s="952"/>
    </row>
    <row r="664" spans="1:14">
      <c r="A664" s="958" t="s">
        <v>369</v>
      </c>
      <c r="B664" s="958">
        <v>21</v>
      </c>
      <c r="C664" s="958" t="s">
        <v>5118</v>
      </c>
      <c r="D664" s="957" t="s">
        <v>9529</v>
      </c>
      <c r="E664" s="956">
        <v>56510</v>
      </c>
      <c r="F664" s="955"/>
      <c r="L664" s="954"/>
      <c r="M664" s="952"/>
      <c r="N664" s="952"/>
    </row>
    <row r="665" spans="1:14">
      <c r="A665" s="958" t="s">
        <v>369</v>
      </c>
      <c r="B665" s="958">
        <v>21</v>
      </c>
      <c r="C665" s="958" t="s">
        <v>5116</v>
      </c>
      <c r="D665" s="957" t="s">
        <v>5535</v>
      </c>
      <c r="E665" s="956">
        <v>52441</v>
      </c>
      <c r="F665" s="955"/>
      <c r="L665" s="954"/>
      <c r="M665" s="952"/>
      <c r="N665" s="952"/>
    </row>
    <row r="666" spans="1:14">
      <c r="A666" s="958" t="s">
        <v>369</v>
      </c>
      <c r="B666" s="958">
        <v>21</v>
      </c>
      <c r="C666" s="958" t="s">
        <v>9528</v>
      </c>
      <c r="D666" s="957" t="s">
        <v>9527</v>
      </c>
      <c r="E666" s="956">
        <v>13392</v>
      </c>
      <c r="F666" s="955"/>
      <c r="L666" s="954"/>
      <c r="M666" s="952"/>
      <c r="N666" s="952"/>
    </row>
    <row r="667" spans="1:14">
      <c r="A667" s="958" t="s">
        <v>369</v>
      </c>
      <c r="B667" s="958">
        <v>21</v>
      </c>
      <c r="C667" s="958" t="s">
        <v>5114</v>
      </c>
      <c r="D667" s="957" t="s">
        <v>9526</v>
      </c>
      <c r="E667" s="956">
        <v>32764</v>
      </c>
      <c r="F667" s="955"/>
      <c r="L667" s="954"/>
      <c r="M667" s="952"/>
      <c r="N667" s="952"/>
    </row>
    <row r="668" spans="1:14">
      <c r="A668" s="958" t="s">
        <v>369</v>
      </c>
      <c r="B668" s="958">
        <v>21</v>
      </c>
      <c r="C668" s="958" t="s">
        <v>5112</v>
      </c>
      <c r="D668" s="957" t="s">
        <v>9525</v>
      </c>
      <c r="E668" s="956">
        <v>31523</v>
      </c>
      <c r="F668" s="955"/>
      <c r="L668" s="954"/>
      <c r="M668" s="952"/>
      <c r="N668" s="952"/>
    </row>
    <row r="669" spans="1:14">
      <c r="A669" s="958" t="s">
        <v>369</v>
      </c>
      <c r="B669" s="958">
        <v>21</v>
      </c>
      <c r="C669" s="958" t="s">
        <v>5090</v>
      </c>
      <c r="D669" s="957" t="s">
        <v>9524</v>
      </c>
      <c r="E669" s="956">
        <v>51714</v>
      </c>
      <c r="F669" s="955"/>
      <c r="L669" s="954"/>
      <c r="M669" s="952"/>
      <c r="N669" s="952"/>
    </row>
    <row r="670" spans="1:14">
      <c r="A670" s="958" t="s">
        <v>361</v>
      </c>
      <c r="B670" s="958">
        <v>22</v>
      </c>
      <c r="C670" s="958" t="s">
        <v>9523</v>
      </c>
      <c r="D670" s="957" t="s">
        <v>9522</v>
      </c>
      <c r="E670" s="956">
        <v>7084</v>
      </c>
      <c r="F670" s="955"/>
      <c r="L670" s="954"/>
      <c r="M670" s="952"/>
      <c r="N670" s="952"/>
    </row>
    <row r="671" spans="1:14">
      <c r="A671" s="958" t="s">
        <v>361</v>
      </c>
      <c r="B671" s="958">
        <v>22</v>
      </c>
      <c r="C671" s="958" t="s">
        <v>4134</v>
      </c>
      <c r="D671" s="957" t="s">
        <v>9521</v>
      </c>
      <c r="E671" s="956">
        <v>5139</v>
      </c>
      <c r="F671" s="955"/>
      <c r="L671" s="954"/>
      <c r="M671" s="952"/>
      <c r="N671" s="952"/>
    </row>
    <row r="672" spans="1:14">
      <c r="A672" s="958" t="s">
        <v>361</v>
      </c>
      <c r="B672" s="958">
        <v>22</v>
      </c>
      <c r="C672" s="958" t="s">
        <v>4132</v>
      </c>
      <c r="D672" s="957" t="s">
        <v>8270</v>
      </c>
      <c r="E672" s="956">
        <v>17411</v>
      </c>
      <c r="F672" s="955"/>
      <c r="L672" s="954"/>
      <c r="M672" s="952"/>
      <c r="N672" s="952"/>
    </row>
    <row r="673" spans="1:14">
      <c r="A673" s="958" t="s">
        <v>361</v>
      </c>
      <c r="B673" s="958">
        <v>22</v>
      </c>
      <c r="C673" s="958" t="s">
        <v>9520</v>
      </c>
      <c r="D673" s="957" t="s">
        <v>9519</v>
      </c>
      <c r="E673" s="956">
        <v>7651</v>
      </c>
      <c r="F673" s="955"/>
      <c r="L673" s="954"/>
      <c r="M673" s="952"/>
      <c r="N673" s="952"/>
    </row>
    <row r="674" spans="1:14">
      <c r="A674" s="958" t="s">
        <v>361</v>
      </c>
      <c r="B674" s="958">
        <v>22</v>
      </c>
      <c r="C674" s="958" t="s">
        <v>9518</v>
      </c>
      <c r="D674" s="957" t="s">
        <v>9517</v>
      </c>
      <c r="E674" s="956">
        <v>4915</v>
      </c>
      <c r="F674" s="955"/>
      <c r="L674" s="954"/>
      <c r="M674" s="952"/>
      <c r="N674" s="952"/>
    </row>
    <row r="675" spans="1:14">
      <c r="A675" s="958" t="s">
        <v>361</v>
      </c>
      <c r="B675" s="958">
        <v>22</v>
      </c>
      <c r="C675" s="958" t="s">
        <v>4130</v>
      </c>
      <c r="D675" s="957" t="s">
        <v>9516</v>
      </c>
      <c r="E675" s="956">
        <v>14304</v>
      </c>
      <c r="F675" s="955"/>
      <c r="L675" s="954"/>
      <c r="M675" s="952"/>
      <c r="N675" s="952"/>
    </row>
    <row r="676" spans="1:14">
      <c r="A676" s="958" t="s">
        <v>361</v>
      </c>
      <c r="B676" s="958">
        <v>22</v>
      </c>
      <c r="C676" s="958" t="s">
        <v>4128</v>
      </c>
      <c r="D676" s="957" t="s">
        <v>9515</v>
      </c>
      <c r="E676" s="956">
        <v>40524</v>
      </c>
      <c r="F676" s="955"/>
      <c r="L676" s="954"/>
      <c r="M676" s="952"/>
      <c r="N676" s="952"/>
    </row>
    <row r="677" spans="1:14">
      <c r="A677" s="958" t="s">
        <v>361</v>
      </c>
      <c r="B677" s="958">
        <v>22</v>
      </c>
      <c r="C677" s="958" t="s">
        <v>4126</v>
      </c>
      <c r="D677" s="957" t="s">
        <v>9514</v>
      </c>
      <c r="E677" s="956">
        <v>5419</v>
      </c>
      <c r="F677" s="955"/>
      <c r="L677" s="954"/>
      <c r="M677" s="952"/>
      <c r="N677" s="952"/>
    </row>
    <row r="678" spans="1:14">
      <c r="A678" s="958" t="s">
        <v>361</v>
      </c>
      <c r="B678" s="958">
        <v>22</v>
      </c>
      <c r="C678" s="958" t="s">
        <v>4124</v>
      </c>
      <c r="D678" s="957" t="s">
        <v>9513</v>
      </c>
      <c r="E678" s="956">
        <v>17598</v>
      </c>
      <c r="F678" s="955"/>
      <c r="L678" s="954"/>
      <c r="M678" s="952"/>
      <c r="N678" s="952"/>
    </row>
    <row r="679" spans="1:14">
      <c r="A679" s="958" t="s">
        <v>361</v>
      </c>
      <c r="B679" s="958">
        <v>22</v>
      </c>
      <c r="C679" s="958" t="s">
        <v>4122</v>
      </c>
      <c r="D679" s="957" t="s">
        <v>9512</v>
      </c>
      <c r="E679" s="956">
        <v>6788</v>
      </c>
      <c r="F679" s="955"/>
      <c r="L679" s="954"/>
      <c r="M679" s="952"/>
      <c r="N679" s="952"/>
    </row>
    <row r="680" spans="1:14">
      <c r="A680" s="958" t="s">
        <v>361</v>
      </c>
      <c r="B680" s="958">
        <v>22</v>
      </c>
      <c r="C680" s="958" t="s">
        <v>4120</v>
      </c>
      <c r="D680" s="957" t="s">
        <v>9511</v>
      </c>
      <c r="E680" s="956">
        <v>9880</v>
      </c>
      <c r="F680" s="955"/>
      <c r="L680" s="954"/>
      <c r="M680" s="952"/>
      <c r="N680" s="952"/>
    </row>
    <row r="681" spans="1:14">
      <c r="A681" s="958" t="s">
        <v>361</v>
      </c>
      <c r="B681" s="958">
        <v>22</v>
      </c>
      <c r="C681" s="958" t="s">
        <v>4118</v>
      </c>
      <c r="D681" s="957" t="s">
        <v>9510</v>
      </c>
      <c r="E681" s="956">
        <v>3164</v>
      </c>
      <c r="F681" s="955"/>
      <c r="L681" s="954"/>
      <c r="M681" s="952"/>
      <c r="N681" s="952"/>
    </row>
    <row r="682" spans="1:14">
      <c r="A682" s="958" t="s">
        <v>361</v>
      </c>
      <c r="B682" s="958">
        <v>22</v>
      </c>
      <c r="C682" s="958" t="s">
        <v>4116</v>
      </c>
      <c r="D682" s="957" t="s">
        <v>9509</v>
      </c>
      <c r="E682" s="956">
        <v>5835</v>
      </c>
      <c r="F682" s="955"/>
      <c r="L682" s="954"/>
      <c r="M682" s="952"/>
      <c r="N682" s="952"/>
    </row>
    <row r="683" spans="1:14">
      <c r="A683" s="958" t="s">
        <v>361</v>
      </c>
      <c r="B683" s="958">
        <v>22</v>
      </c>
      <c r="C683" s="958" t="s">
        <v>9508</v>
      </c>
      <c r="D683" s="957" t="s">
        <v>9507</v>
      </c>
      <c r="E683" s="956">
        <v>2551</v>
      </c>
      <c r="F683" s="955"/>
      <c r="L683" s="954"/>
      <c r="M683" s="952"/>
      <c r="N683" s="952"/>
    </row>
    <row r="684" spans="1:14">
      <c r="A684" s="958" t="s">
        <v>361</v>
      </c>
      <c r="B684" s="958">
        <v>22</v>
      </c>
      <c r="C684" s="958" t="s">
        <v>4114</v>
      </c>
      <c r="D684" s="957" t="s">
        <v>9506</v>
      </c>
      <c r="E684" s="956">
        <v>4727</v>
      </c>
      <c r="F684" s="955"/>
      <c r="L684" s="954"/>
      <c r="M684" s="952"/>
      <c r="N684" s="952"/>
    </row>
    <row r="685" spans="1:14">
      <c r="A685" s="958" t="s">
        <v>361</v>
      </c>
      <c r="B685" s="958">
        <v>22</v>
      </c>
      <c r="C685" s="958" t="s">
        <v>4112</v>
      </c>
      <c r="D685" s="957" t="s">
        <v>9505</v>
      </c>
      <c r="E685" s="956">
        <v>7846</v>
      </c>
      <c r="F685" s="955"/>
      <c r="L685" s="954"/>
      <c r="M685" s="952"/>
      <c r="N685" s="952"/>
    </row>
    <row r="686" spans="1:14">
      <c r="A686" s="958" t="s">
        <v>361</v>
      </c>
      <c r="B686" s="958">
        <v>22</v>
      </c>
      <c r="C686" s="958" t="s">
        <v>4110</v>
      </c>
      <c r="D686" s="957" t="s">
        <v>9504</v>
      </c>
      <c r="E686" s="956">
        <v>11289</v>
      </c>
      <c r="F686" s="955"/>
      <c r="L686" s="954"/>
      <c r="M686" s="952"/>
      <c r="N686" s="952"/>
    </row>
    <row r="687" spans="1:14">
      <c r="A687" s="958" t="s">
        <v>361</v>
      </c>
      <c r="B687" s="958">
        <v>22</v>
      </c>
      <c r="C687" s="958" t="s">
        <v>4108</v>
      </c>
      <c r="D687" s="957" t="s">
        <v>9503</v>
      </c>
      <c r="E687" s="956">
        <v>11586</v>
      </c>
      <c r="F687" s="955"/>
      <c r="L687" s="954"/>
      <c r="M687" s="952"/>
      <c r="N687" s="952"/>
    </row>
    <row r="688" spans="1:14">
      <c r="A688" s="958" t="s">
        <v>361</v>
      </c>
      <c r="B688" s="958">
        <v>22</v>
      </c>
      <c r="C688" s="958" t="s">
        <v>9502</v>
      </c>
      <c r="D688" s="957" t="s">
        <v>9501</v>
      </c>
      <c r="E688" s="956">
        <v>3951</v>
      </c>
      <c r="F688" s="955"/>
      <c r="L688" s="954"/>
      <c r="M688" s="952"/>
      <c r="N688" s="952"/>
    </row>
    <row r="689" spans="1:14">
      <c r="A689" s="958" t="s">
        <v>361</v>
      </c>
      <c r="B689" s="958">
        <v>22</v>
      </c>
      <c r="C689" s="958" t="s">
        <v>4106</v>
      </c>
      <c r="D689" s="957" t="s">
        <v>9500</v>
      </c>
      <c r="E689" s="956">
        <v>47066</v>
      </c>
      <c r="F689" s="955"/>
      <c r="L689" s="954"/>
      <c r="M689" s="952"/>
      <c r="N689" s="952"/>
    </row>
    <row r="690" spans="1:14">
      <c r="A690" s="958" t="s">
        <v>361</v>
      </c>
      <c r="B690" s="958">
        <v>22</v>
      </c>
      <c r="C690" s="958" t="s">
        <v>4104</v>
      </c>
      <c r="D690" s="957" t="s">
        <v>9499</v>
      </c>
      <c r="E690" s="956">
        <v>3348</v>
      </c>
      <c r="F690" s="955"/>
      <c r="L690" s="954"/>
      <c r="M690" s="952"/>
      <c r="N690" s="952"/>
    </row>
    <row r="691" spans="1:14">
      <c r="A691" s="958" t="s">
        <v>361</v>
      </c>
      <c r="B691" s="958">
        <v>22</v>
      </c>
      <c r="C691" s="958" t="s">
        <v>4102</v>
      </c>
      <c r="D691" s="957" t="s">
        <v>9498</v>
      </c>
      <c r="E691" s="956">
        <v>7032</v>
      </c>
      <c r="F691" s="955"/>
      <c r="L691" s="954"/>
      <c r="M691" s="952"/>
      <c r="N691" s="952"/>
    </row>
    <row r="692" spans="1:14">
      <c r="A692" s="958" t="s">
        <v>361</v>
      </c>
      <c r="B692" s="958">
        <v>22</v>
      </c>
      <c r="C692" s="958" t="s">
        <v>4100</v>
      </c>
      <c r="D692" s="957" t="s">
        <v>8265</v>
      </c>
      <c r="E692" s="956">
        <v>26857</v>
      </c>
      <c r="F692" s="955"/>
      <c r="L692" s="954"/>
      <c r="M692" s="952"/>
      <c r="N692" s="952"/>
    </row>
    <row r="693" spans="1:14">
      <c r="A693" s="958" t="s">
        <v>361</v>
      </c>
      <c r="B693" s="958">
        <v>22</v>
      </c>
      <c r="C693" s="958" t="s">
        <v>9497</v>
      </c>
      <c r="D693" s="957" t="s">
        <v>9496</v>
      </c>
      <c r="E693" s="956">
        <v>4015</v>
      </c>
      <c r="F693" s="955"/>
      <c r="L693" s="954"/>
      <c r="M693" s="952"/>
      <c r="N693" s="952"/>
    </row>
    <row r="694" spans="1:14">
      <c r="A694" s="958" t="s">
        <v>361</v>
      </c>
      <c r="B694" s="958">
        <v>22</v>
      </c>
      <c r="C694" s="958" t="s">
        <v>9495</v>
      </c>
      <c r="D694" s="957" t="s">
        <v>9494</v>
      </c>
      <c r="E694" s="956">
        <v>3566</v>
      </c>
      <c r="F694" s="955"/>
      <c r="L694" s="954"/>
      <c r="M694" s="952"/>
      <c r="N694" s="952"/>
    </row>
    <row r="695" spans="1:14">
      <c r="A695" s="958" t="s">
        <v>361</v>
      </c>
      <c r="B695" s="958">
        <v>22</v>
      </c>
      <c r="C695" s="958" t="s">
        <v>4098</v>
      </c>
      <c r="D695" s="957" t="s">
        <v>9493</v>
      </c>
      <c r="E695" s="956">
        <v>10467</v>
      </c>
      <c r="F695" s="955"/>
      <c r="L695" s="954"/>
      <c r="M695" s="952"/>
      <c r="N695" s="952"/>
    </row>
    <row r="696" spans="1:14">
      <c r="A696" s="958" t="s">
        <v>361</v>
      </c>
      <c r="B696" s="958">
        <v>22</v>
      </c>
      <c r="C696" s="958" t="s">
        <v>4094</v>
      </c>
      <c r="D696" s="957" t="s">
        <v>9492</v>
      </c>
      <c r="E696" s="956">
        <v>5501</v>
      </c>
      <c r="F696" s="955"/>
      <c r="L696" s="954"/>
      <c r="M696" s="952"/>
      <c r="N696" s="952"/>
    </row>
    <row r="697" spans="1:14">
      <c r="A697" s="958" t="s">
        <v>361</v>
      </c>
      <c r="B697" s="958">
        <v>22</v>
      </c>
      <c r="C697" s="958" t="s">
        <v>9491</v>
      </c>
      <c r="D697" s="957" t="s">
        <v>9490</v>
      </c>
      <c r="E697" s="956">
        <v>6205</v>
      </c>
      <c r="F697" s="955"/>
      <c r="L697" s="954"/>
      <c r="M697" s="952"/>
      <c r="N697" s="952"/>
    </row>
    <row r="698" spans="1:14">
      <c r="A698" s="958" t="s">
        <v>361</v>
      </c>
      <c r="B698" s="958">
        <v>22</v>
      </c>
      <c r="C698" s="958" t="s">
        <v>9489</v>
      </c>
      <c r="D698" s="957" t="s">
        <v>9488</v>
      </c>
      <c r="E698" s="956">
        <v>6781</v>
      </c>
      <c r="F698" s="955"/>
      <c r="L698" s="954"/>
      <c r="M698" s="952"/>
      <c r="N698" s="952"/>
    </row>
    <row r="699" spans="1:14">
      <c r="A699" s="958" t="s">
        <v>361</v>
      </c>
      <c r="B699" s="958">
        <v>22</v>
      </c>
      <c r="C699" s="958" t="s">
        <v>4092</v>
      </c>
      <c r="D699" s="957" t="s">
        <v>5246</v>
      </c>
      <c r="E699" s="956">
        <v>4500</v>
      </c>
      <c r="F699" s="955"/>
      <c r="L699" s="954"/>
      <c r="M699" s="952"/>
      <c r="N699" s="952"/>
    </row>
    <row r="700" spans="1:14">
      <c r="A700" s="958" t="s">
        <v>361</v>
      </c>
      <c r="B700" s="958">
        <v>22</v>
      </c>
      <c r="C700" s="958" t="s">
        <v>4088</v>
      </c>
      <c r="D700" s="957" t="s">
        <v>2671</v>
      </c>
      <c r="E700" s="956">
        <v>25179</v>
      </c>
      <c r="F700" s="955"/>
      <c r="L700" s="954"/>
      <c r="M700" s="952"/>
      <c r="N700" s="952"/>
    </row>
    <row r="701" spans="1:14">
      <c r="A701" s="958" t="s">
        <v>361</v>
      </c>
      <c r="B701" s="958">
        <v>22</v>
      </c>
      <c r="C701" s="958" t="s">
        <v>9487</v>
      </c>
      <c r="D701" s="957" t="s">
        <v>9486</v>
      </c>
      <c r="E701" s="956">
        <v>5630</v>
      </c>
      <c r="F701" s="955"/>
      <c r="L701" s="954"/>
      <c r="M701" s="952"/>
      <c r="N701" s="952"/>
    </row>
    <row r="702" spans="1:14">
      <c r="A702" s="958" t="s">
        <v>361</v>
      </c>
      <c r="B702" s="958">
        <v>22</v>
      </c>
      <c r="C702" s="958" t="s">
        <v>9485</v>
      </c>
      <c r="D702" s="957" t="s">
        <v>9484</v>
      </c>
      <c r="E702" s="956">
        <v>5670</v>
      </c>
      <c r="F702" s="955"/>
      <c r="L702" s="954"/>
      <c r="M702" s="952"/>
      <c r="N702" s="952"/>
    </row>
    <row r="703" spans="1:14">
      <c r="A703" s="958" t="s">
        <v>361</v>
      </c>
      <c r="B703" s="958">
        <v>22</v>
      </c>
      <c r="C703" s="958" t="s">
        <v>9483</v>
      </c>
      <c r="D703" s="957" t="s">
        <v>9482</v>
      </c>
      <c r="E703" s="956">
        <v>6407</v>
      </c>
      <c r="F703" s="955"/>
      <c r="L703" s="954"/>
      <c r="M703" s="952"/>
      <c r="N703" s="952"/>
    </row>
    <row r="704" spans="1:14">
      <c r="A704" s="958" t="s">
        <v>361</v>
      </c>
      <c r="B704" s="958">
        <v>22</v>
      </c>
      <c r="C704" s="958" t="s">
        <v>9481</v>
      </c>
      <c r="D704" s="957" t="s">
        <v>9480</v>
      </c>
      <c r="E704" s="956">
        <v>8329</v>
      </c>
      <c r="F704" s="955"/>
      <c r="L704" s="954"/>
      <c r="M704" s="952"/>
      <c r="N704" s="952"/>
    </row>
    <row r="705" spans="1:14">
      <c r="A705" s="958" t="s">
        <v>361</v>
      </c>
      <c r="B705" s="958">
        <v>22</v>
      </c>
      <c r="C705" s="958" t="s">
        <v>9479</v>
      </c>
      <c r="D705" s="957" t="s">
        <v>9478</v>
      </c>
      <c r="E705" s="956">
        <v>3875</v>
      </c>
      <c r="F705" s="955"/>
      <c r="L705" s="954"/>
      <c r="M705" s="952"/>
      <c r="N705" s="952"/>
    </row>
    <row r="706" spans="1:14">
      <c r="A706" s="958" t="s">
        <v>361</v>
      </c>
      <c r="B706" s="958">
        <v>22</v>
      </c>
      <c r="C706" s="958" t="s">
        <v>4086</v>
      </c>
      <c r="D706" s="957" t="s">
        <v>9477</v>
      </c>
      <c r="E706" s="956">
        <v>19781</v>
      </c>
      <c r="F706" s="955"/>
      <c r="L706" s="954"/>
      <c r="M706" s="952"/>
      <c r="N706" s="952"/>
    </row>
    <row r="707" spans="1:14">
      <c r="A707" s="958" t="s">
        <v>361</v>
      </c>
      <c r="B707" s="958">
        <v>22</v>
      </c>
      <c r="C707" s="958" t="s">
        <v>9476</v>
      </c>
      <c r="D707" s="957" t="s">
        <v>9475</v>
      </c>
      <c r="E707" s="956">
        <v>8244</v>
      </c>
      <c r="F707" s="955"/>
      <c r="L707" s="954"/>
      <c r="M707" s="952"/>
      <c r="N707" s="952"/>
    </row>
    <row r="708" spans="1:14">
      <c r="A708" s="958" t="s">
        <v>361</v>
      </c>
      <c r="B708" s="958">
        <v>22</v>
      </c>
      <c r="C708" s="958" t="s">
        <v>9474</v>
      </c>
      <c r="D708" s="957" t="s">
        <v>9473</v>
      </c>
      <c r="E708" s="956">
        <v>10586</v>
      </c>
      <c r="F708" s="955"/>
      <c r="L708" s="954"/>
      <c r="M708" s="952"/>
      <c r="N708" s="952"/>
    </row>
    <row r="709" spans="1:14">
      <c r="A709" s="958" t="s">
        <v>361</v>
      </c>
      <c r="B709" s="958">
        <v>22</v>
      </c>
      <c r="C709" s="958" t="s">
        <v>9472</v>
      </c>
      <c r="D709" s="957" t="s">
        <v>9471</v>
      </c>
      <c r="E709" s="956">
        <v>3559</v>
      </c>
      <c r="F709" s="955"/>
      <c r="L709" s="954"/>
      <c r="M709" s="952"/>
      <c r="N709" s="952"/>
    </row>
    <row r="710" spans="1:14">
      <c r="A710" s="958" t="s">
        <v>361</v>
      </c>
      <c r="B710" s="958">
        <v>22</v>
      </c>
      <c r="C710" s="958" t="s">
        <v>9470</v>
      </c>
      <c r="D710" s="957" t="s">
        <v>9469</v>
      </c>
      <c r="E710" s="956">
        <v>7642</v>
      </c>
      <c r="F710" s="955"/>
      <c r="L710" s="954"/>
      <c r="M710" s="952"/>
      <c r="N710" s="952"/>
    </row>
    <row r="711" spans="1:14">
      <c r="A711" s="958" t="s">
        <v>361</v>
      </c>
      <c r="B711" s="958">
        <v>22</v>
      </c>
      <c r="C711" s="958" t="s">
        <v>9468</v>
      </c>
      <c r="D711" s="957" t="s">
        <v>9467</v>
      </c>
      <c r="E711" s="956">
        <v>5776</v>
      </c>
      <c r="F711" s="955"/>
      <c r="L711" s="954"/>
      <c r="M711" s="952"/>
      <c r="N711" s="952"/>
    </row>
    <row r="712" spans="1:14">
      <c r="A712" s="958" t="s">
        <v>361</v>
      </c>
      <c r="B712" s="958">
        <v>22</v>
      </c>
      <c r="C712" s="958" t="s">
        <v>4084</v>
      </c>
      <c r="D712" s="957" t="s">
        <v>9466</v>
      </c>
      <c r="E712" s="956">
        <v>5613</v>
      </c>
      <c r="F712" s="955"/>
      <c r="L712" s="954"/>
      <c r="M712" s="952"/>
      <c r="N712" s="952"/>
    </row>
    <row r="713" spans="1:14">
      <c r="A713" s="958" t="s">
        <v>361</v>
      </c>
      <c r="B713" s="958">
        <v>22</v>
      </c>
      <c r="C713" s="958" t="s">
        <v>9465</v>
      </c>
      <c r="D713" s="957" t="s">
        <v>9464</v>
      </c>
      <c r="E713" s="956">
        <v>5045</v>
      </c>
      <c r="F713" s="955"/>
      <c r="L713" s="954"/>
      <c r="M713" s="952"/>
      <c r="N713" s="952"/>
    </row>
    <row r="714" spans="1:14">
      <c r="A714" s="958" t="s">
        <v>361</v>
      </c>
      <c r="B714" s="958">
        <v>22</v>
      </c>
      <c r="C714" s="958" t="s">
        <v>9463</v>
      </c>
      <c r="D714" s="957" t="s">
        <v>9462</v>
      </c>
      <c r="E714" s="956">
        <v>5943</v>
      </c>
      <c r="F714" s="955"/>
      <c r="L714" s="954"/>
      <c r="M714" s="952"/>
      <c r="N714" s="952"/>
    </row>
    <row r="715" spans="1:14">
      <c r="A715" s="958" t="s">
        <v>361</v>
      </c>
      <c r="B715" s="958">
        <v>22</v>
      </c>
      <c r="C715" s="958" t="s">
        <v>9461</v>
      </c>
      <c r="D715" s="957" t="s">
        <v>9460</v>
      </c>
      <c r="E715" s="956">
        <v>7279</v>
      </c>
      <c r="F715" s="955"/>
      <c r="L715" s="954"/>
      <c r="M715" s="952"/>
      <c r="N715" s="952"/>
    </row>
    <row r="716" spans="1:14">
      <c r="A716" s="958" t="s">
        <v>361</v>
      </c>
      <c r="B716" s="958">
        <v>22</v>
      </c>
      <c r="C716" s="958" t="s">
        <v>4082</v>
      </c>
      <c r="D716" s="957" t="s">
        <v>9459</v>
      </c>
      <c r="E716" s="956">
        <v>46833</v>
      </c>
      <c r="F716" s="955"/>
      <c r="L716" s="954"/>
      <c r="M716" s="952"/>
      <c r="N716" s="952"/>
    </row>
    <row r="717" spans="1:14">
      <c r="A717" s="958" t="s">
        <v>361</v>
      </c>
      <c r="B717" s="958">
        <v>22</v>
      </c>
      <c r="C717" s="958" t="s">
        <v>9458</v>
      </c>
      <c r="D717" s="957" t="s">
        <v>9457</v>
      </c>
      <c r="E717" s="956">
        <v>3950</v>
      </c>
      <c r="F717" s="955"/>
      <c r="L717" s="954"/>
      <c r="M717" s="952"/>
      <c r="N717" s="952"/>
    </row>
    <row r="718" spans="1:14">
      <c r="A718" s="958" t="s">
        <v>361</v>
      </c>
      <c r="B718" s="958">
        <v>22</v>
      </c>
      <c r="C718" s="958" t="s">
        <v>4080</v>
      </c>
      <c r="D718" s="957" t="s">
        <v>9456</v>
      </c>
      <c r="E718" s="956">
        <v>21187</v>
      </c>
      <c r="F718" s="955"/>
      <c r="L718" s="954"/>
      <c r="M718" s="952"/>
      <c r="N718" s="952"/>
    </row>
    <row r="719" spans="1:14">
      <c r="A719" s="958" t="s">
        <v>361</v>
      </c>
      <c r="B719" s="958">
        <v>22</v>
      </c>
      <c r="C719" s="958" t="s">
        <v>4078</v>
      </c>
      <c r="D719" s="957" t="s">
        <v>9455</v>
      </c>
      <c r="E719" s="956">
        <v>11417</v>
      </c>
      <c r="F719" s="955"/>
      <c r="L719" s="954"/>
      <c r="M719" s="952"/>
      <c r="N719" s="952"/>
    </row>
    <row r="720" spans="1:14">
      <c r="A720" s="958" t="s">
        <v>361</v>
      </c>
      <c r="B720" s="958">
        <v>22</v>
      </c>
      <c r="C720" s="958" t="s">
        <v>9454</v>
      </c>
      <c r="D720" s="957" t="s">
        <v>9453</v>
      </c>
      <c r="E720" s="956">
        <v>4100</v>
      </c>
      <c r="F720" s="955"/>
      <c r="L720" s="954"/>
      <c r="M720" s="952"/>
      <c r="N720" s="952"/>
    </row>
    <row r="721" spans="1:14">
      <c r="A721" s="958" t="s">
        <v>361</v>
      </c>
      <c r="B721" s="958">
        <v>22</v>
      </c>
      <c r="C721" s="958" t="s">
        <v>4077</v>
      </c>
      <c r="D721" s="957" t="s">
        <v>1733</v>
      </c>
      <c r="E721" s="956">
        <v>10916</v>
      </c>
      <c r="F721" s="955"/>
      <c r="L721" s="954"/>
      <c r="M721" s="952"/>
      <c r="N721" s="952"/>
    </row>
    <row r="722" spans="1:14">
      <c r="A722" s="958" t="s">
        <v>361</v>
      </c>
      <c r="B722" s="958">
        <v>22</v>
      </c>
      <c r="C722" s="958" t="s">
        <v>9452</v>
      </c>
      <c r="D722" s="957" t="s">
        <v>9451</v>
      </c>
      <c r="E722" s="956">
        <v>5868</v>
      </c>
      <c r="F722" s="955"/>
      <c r="L722" s="954"/>
      <c r="M722" s="952"/>
      <c r="N722" s="952"/>
    </row>
    <row r="723" spans="1:14">
      <c r="A723" s="958" t="s">
        <v>361</v>
      </c>
      <c r="B723" s="958">
        <v>22</v>
      </c>
      <c r="C723" s="958" t="s">
        <v>9450</v>
      </c>
      <c r="D723" s="957" t="s">
        <v>9449</v>
      </c>
      <c r="E723" s="956">
        <v>5067</v>
      </c>
      <c r="F723" s="955"/>
      <c r="L723" s="954"/>
      <c r="M723" s="952"/>
      <c r="N723" s="952"/>
    </row>
    <row r="724" spans="1:14">
      <c r="A724" s="958" t="s">
        <v>361</v>
      </c>
      <c r="B724" s="958">
        <v>22</v>
      </c>
      <c r="C724" s="958" t="s">
        <v>4075</v>
      </c>
      <c r="D724" s="957" t="s">
        <v>9448</v>
      </c>
      <c r="E724" s="956">
        <v>19716</v>
      </c>
      <c r="F724" s="955"/>
      <c r="L724" s="954"/>
      <c r="M724" s="952"/>
      <c r="N724" s="952"/>
    </row>
    <row r="725" spans="1:14">
      <c r="A725" s="958" t="s">
        <v>361</v>
      </c>
      <c r="B725" s="958">
        <v>22</v>
      </c>
      <c r="C725" s="958" t="s">
        <v>9447</v>
      </c>
      <c r="D725" s="957" t="s">
        <v>9446</v>
      </c>
      <c r="E725" s="956">
        <v>5424</v>
      </c>
      <c r="F725" s="955"/>
      <c r="L725" s="954"/>
      <c r="M725" s="952"/>
      <c r="N725" s="952"/>
    </row>
    <row r="726" spans="1:14">
      <c r="A726" s="958" t="s">
        <v>361</v>
      </c>
      <c r="B726" s="958">
        <v>22</v>
      </c>
      <c r="C726" s="958" t="s">
        <v>4074</v>
      </c>
      <c r="D726" s="957" t="s">
        <v>9445</v>
      </c>
      <c r="E726" s="956">
        <v>27787</v>
      </c>
      <c r="F726" s="955"/>
      <c r="L726" s="954"/>
      <c r="M726" s="952"/>
      <c r="N726" s="952"/>
    </row>
    <row r="727" spans="1:14">
      <c r="A727" s="958" t="s">
        <v>361</v>
      </c>
      <c r="B727" s="958">
        <v>22</v>
      </c>
      <c r="C727" s="958" t="s">
        <v>9444</v>
      </c>
      <c r="D727" s="957" t="s">
        <v>9443</v>
      </c>
      <c r="E727" s="956">
        <v>4891</v>
      </c>
      <c r="F727" s="955"/>
      <c r="L727" s="954"/>
      <c r="M727" s="952"/>
      <c r="N727" s="952"/>
    </row>
    <row r="728" spans="1:14">
      <c r="A728" s="958" t="s">
        <v>361</v>
      </c>
      <c r="B728" s="958">
        <v>22</v>
      </c>
      <c r="C728" s="958" t="s">
        <v>9442</v>
      </c>
      <c r="D728" s="957" t="s">
        <v>9441</v>
      </c>
      <c r="E728" s="956">
        <v>6153</v>
      </c>
      <c r="F728" s="955"/>
      <c r="L728" s="954"/>
      <c r="M728" s="952"/>
      <c r="N728" s="952"/>
    </row>
    <row r="729" spans="1:14">
      <c r="A729" s="958" t="s">
        <v>361</v>
      </c>
      <c r="B729" s="958">
        <v>22</v>
      </c>
      <c r="C729" s="958" t="s">
        <v>9440</v>
      </c>
      <c r="D729" s="957" t="s">
        <v>9439</v>
      </c>
      <c r="E729" s="956">
        <v>4020</v>
      </c>
      <c r="F729" s="955"/>
      <c r="L729" s="954"/>
      <c r="M729" s="952"/>
      <c r="N729" s="952"/>
    </row>
    <row r="730" spans="1:14">
      <c r="A730" s="958" t="s">
        <v>361</v>
      </c>
      <c r="B730" s="958">
        <v>22</v>
      </c>
      <c r="C730" s="958" t="s">
        <v>4072</v>
      </c>
      <c r="D730" s="957" t="s">
        <v>9438</v>
      </c>
      <c r="E730" s="956">
        <v>6484</v>
      </c>
      <c r="F730" s="955"/>
      <c r="L730" s="954"/>
      <c r="M730" s="952"/>
      <c r="N730" s="952"/>
    </row>
    <row r="731" spans="1:14">
      <c r="A731" s="958" t="s">
        <v>361</v>
      </c>
      <c r="B731" s="958">
        <v>22</v>
      </c>
      <c r="C731" s="958" t="s">
        <v>9437</v>
      </c>
      <c r="D731" s="957" t="s">
        <v>9436</v>
      </c>
      <c r="E731" s="956">
        <v>7656</v>
      </c>
      <c r="F731" s="955"/>
      <c r="L731" s="954"/>
      <c r="M731" s="952"/>
      <c r="N731" s="952"/>
    </row>
    <row r="732" spans="1:14">
      <c r="A732" s="958" t="s">
        <v>361</v>
      </c>
      <c r="B732" s="958">
        <v>22</v>
      </c>
      <c r="C732" s="958" t="s">
        <v>4070</v>
      </c>
      <c r="D732" s="957" t="s">
        <v>9435</v>
      </c>
      <c r="E732" s="956">
        <v>4803</v>
      </c>
      <c r="F732" s="955"/>
      <c r="L732" s="954"/>
      <c r="M732" s="952"/>
      <c r="N732" s="952"/>
    </row>
    <row r="733" spans="1:14">
      <c r="A733" s="958" t="s">
        <v>361</v>
      </c>
      <c r="B733" s="958">
        <v>22</v>
      </c>
      <c r="C733" s="958" t="s">
        <v>9434</v>
      </c>
      <c r="D733" s="957" t="s">
        <v>9433</v>
      </c>
      <c r="E733" s="956">
        <v>4682</v>
      </c>
      <c r="F733" s="955"/>
      <c r="L733" s="954"/>
      <c r="M733" s="952"/>
      <c r="N733" s="952"/>
    </row>
    <row r="734" spans="1:14">
      <c r="A734" s="958" t="s">
        <v>361</v>
      </c>
      <c r="B734" s="958">
        <v>22</v>
      </c>
      <c r="C734" s="958" t="s">
        <v>4068</v>
      </c>
      <c r="D734" s="957" t="s">
        <v>9432</v>
      </c>
      <c r="E734" s="956">
        <v>26644</v>
      </c>
      <c r="F734" s="955"/>
      <c r="L734" s="954"/>
      <c r="M734" s="952"/>
      <c r="N734" s="952"/>
    </row>
    <row r="735" spans="1:14">
      <c r="A735" s="958" t="s">
        <v>361</v>
      </c>
      <c r="B735" s="958">
        <v>22</v>
      </c>
      <c r="C735" s="958" t="s">
        <v>4066</v>
      </c>
      <c r="D735" s="957" t="s">
        <v>9431</v>
      </c>
      <c r="E735" s="956">
        <v>8294</v>
      </c>
      <c r="F735" s="955"/>
      <c r="L735" s="954"/>
      <c r="M735" s="952"/>
      <c r="N735" s="952"/>
    </row>
    <row r="736" spans="1:14">
      <c r="A736" s="958" t="s">
        <v>361</v>
      </c>
      <c r="B736" s="958">
        <v>22</v>
      </c>
      <c r="C736" s="958" t="s">
        <v>4058</v>
      </c>
      <c r="D736" s="957" t="s">
        <v>9430</v>
      </c>
      <c r="E736" s="956">
        <v>10423</v>
      </c>
      <c r="F736" s="955"/>
      <c r="L736" s="954"/>
      <c r="M736" s="952"/>
      <c r="N736" s="952"/>
    </row>
    <row r="737" spans="1:14">
      <c r="A737" s="958" t="s">
        <v>361</v>
      </c>
      <c r="B737" s="958">
        <v>22</v>
      </c>
      <c r="C737" s="958" t="s">
        <v>4054</v>
      </c>
      <c r="D737" s="957" t="s">
        <v>9429</v>
      </c>
      <c r="E737" s="956">
        <v>11388</v>
      </c>
      <c r="F737" s="955"/>
      <c r="L737" s="954"/>
      <c r="M737" s="952"/>
      <c r="N737" s="952"/>
    </row>
    <row r="738" spans="1:14">
      <c r="A738" s="958" t="s">
        <v>361</v>
      </c>
      <c r="B738" s="958">
        <v>22</v>
      </c>
      <c r="C738" s="958" t="s">
        <v>9428</v>
      </c>
      <c r="D738" s="957" t="s">
        <v>9427</v>
      </c>
      <c r="E738" s="956">
        <v>4954</v>
      </c>
      <c r="F738" s="955"/>
      <c r="L738" s="954"/>
      <c r="M738" s="952"/>
      <c r="N738" s="952"/>
    </row>
    <row r="739" spans="1:14">
      <c r="A739" s="958" t="s">
        <v>361</v>
      </c>
      <c r="B739" s="958">
        <v>22</v>
      </c>
      <c r="C739" s="958" t="s">
        <v>9426</v>
      </c>
      <c r="D739" s="957" t="s">
        <v>9425</v>
      </c>
      <c r="E739" s="956">
        <v>4443</v>
      </c>
      <c r="F739" s="955"/>
      <c r="L739" s="954"/>
      <c r="M739" s="952"/>
      <c r="N739" s="952"/>
    </row>
    <row r="740" spans="1:14">
      <c r="A740" s="958" t="s">
        <v>361</v>
      </c>
      <c r="B740" s="958">
        <v>22</v>
      </c>
      <c r="C740" s="958" t="s">
        <v>9424</v>
      </c>
      <c r="D740" s="957" t="s">
        <v>9423</v>
      </c>
      <c r="E740" s="956">
        <v>5343</v>
      </c>
      <c r="F740" s="955"/>
      <c r="L740" s="954"/>
      <c r="M740" s="952"/>
      <c r="N740" s="952"/>
    </row>
    <row r="741" spans="1:14">
      <c r="A741" s="958" t="s">
        <v>361</v>
      </c>
      <c r="B741" s="958">
        <v>22</v>
      </c>
      <c r="C741" s="958" t="s">
        <v>4050</v>
      </c>
      <c r="D741" s="957" t="s">
        <v>9422</v>
      </c>
      <c r="E741" s="956">
        <v>13817</v>
      </c>
      <c r="F741" s="955"/>
      <c r="L741" s="954"/>
      <c r="M741" s="952"/>
      <c r="N741" s="952"/>
    </row>
    <row r="742" spans="1:14">
      <c r="A742" s="958" t="s">
        <v>361</v>
      </c>
      <c r="B742" s="958">
        <v>22</v>
      </c>
      <c r="C742" s="958" t="s">
        <v>4048</v>
      </c>
      <c r="D742" s="957" t="s">
        <v>9421</v>
      </c>
      <c r="E742" s="956">
        <v>7011</v>
      </c>
      <c r="F742" s="955"/>
      <c r="L742" s="954"/>
      <c r="M742" s="952"/>
      <c r="N742" s="952"/>
    </row>
    <row r="743" spans="1:14">
      <c r="A743" s="958" t="s">
        <v>361</v>
      </c>
      <c r="B743" s="958">
        <v>22</v>
      </c>
      <c r="C743" s="958" t="s">
        <v>4044</v>
      </c>
      <c r="D743" s="957" t="s">
        <v>9420</v>
      </c>
      <c r="E743" s="956">
        <v>6904</v>
      </c>
      <c r="F743" s="955"/>
      <c r="L743" s="954"/>
      <c r="M743" s="952"/>
      <c r="N743" s="952"/>
    </row>
    <row r="744" spans="1:14">
      <c r="A744" s="958" t="s">
        <v>361</v>
      </c>
      <c r="B744" s="958">
        <v>22</v>
      </c>
      <c r="C744" s="958" t="s">
        <v>9419</v>
      </c>
      <c r="D744" s="957" t="s">
        <v>9418</v>
      </c>
      <c r="E744" s="956">
        <v>4355</v>
      </c>
      <c r="F744" s="955"/>
      <c r="L744" s="954"/>
      <c r="M744" s="952"/>
      <c r="N744" s="952"/>
    </row>
    <row r="745" spans="1:14">
      <c r="A745" s="958" t="s">
        <v>361</v>
      </c>
      <c r="B745" s="958">
        <v>22</v>
      </c>
      <c r="C745" s="958" t="s">
        <v>4042</v>
      </c>
      <c r="D745" s="957" t="s">
        <v>9417</v>
      </c>
      <c r="E745" s="956">
        <v>9556</v>
      </c>
      <c r="F745" s="955"/>
      <c r="L745" s="954"/>
      <c r="M745" s="952"/>
      <c r="N745" s="952"/>
    </row>
    <row r="746" spans="1:14">
      <c r="A746" s="958" t="s">
        <v>361</v>
      </c>
      <c r="B746" s="958">
        <v>22</v>
      </c>
      <c r="C746" s="958" t="s">
        <v>4038</v>
      </c>
      <c r="D746" s="957" t="s">
        <v>9416</v>
      </c>
      <c r="E746" s="956">
        <v>14602</v>
      </c>
      <c r="F746" s="955"/>
      <c r="L746" s="954"/>
      <c r="M746" s="952"/>
      <c r="N746" s="952"/>
    </row>
    <row r="747" spans="1:14">
      <c r="A747" s="958" t="s">
        <v>361</v>
      </c>
      <c r="B747" s="958">
        <v>22</v>
      </c>
      <c r="C747" s="958" t="s">
        <v>4036</v>
      </c>
      <c r="D747" s="957" t="s">
        <v>9415</v>
      </c>
      <c r="E747" s="956">
        <v>4915</v>
      </c>
      <c r="F747" s="955"/>
      <c r="L747" s="954"/>
      <c r="M747" s="952"/>
      <c r="N747" s="952"/>
    </row>
    <row r="748" spans="1:14">
      <c r="A748" s="958" t="s">
        <v>361</v>
      </c>
      <c r="B748" s="958">
        <v>22</v>
      </c>
      <c r="C748" s="958" t="s">
        <v>4034</v>
      </c>
      <c r="D748" s="957" t="s">
        <v>9414</v>
      </c>
      <c r="E748" s="956">
        <v>39737</v>
      </c>
      <c r="F748" s="955"/>
      <c r="L748" s="954"/>
      <c r="M748" s="952"/>
      <c r="N748" s="952"/>
    </row>
    <row r="749" spans="1:14">
      <c r="A749" s="958" t="s">
        <v>361</v>
      </c>
      <c r="B749" s="958">
        <v>22</v>
      </c>
      <c r="C749" s="958" t="s">
        <v>9413</v>
      </c>
      <c r="D749" s="957" t="s">
        <v>9412</v>
      </c>
      <c r="E749" s="956">
        <v>5307</v>
      </c>
      <c r="F749" s="955"/>
      <c r="L749" s="954"/>
      <c r="M749" s="952"/>
      <c r="N749" s="952"/>
    </row>
    <row r="750" spans="1:14">
      <c r="A750" s="958" t="s">
        <v>361</v>
      </c>
      <c r="B750" s="958">
        <v>22</v>
      </c>
      <c r="C750" s="958" t="s">
        <v>4032</v>
      </c>
      <c r="D750" s="957" t="s">
        <v>9411</v>
      </c>
      <c r="E750" s="956">
        <v>4463</v>
      </c>
      <c r="F750" s="955"/>
      <c r="L750" s="954"/>
      <c r="M750" s="952"/>
      <c r="N750" s="952"/>
    </row>
    <row r="751" spans="1:14">
      <c r="A751" s="958" t="s">
        <v>361</v>
      </c>
      <c r="B751" s="958">
        <v>22</v>
      </c>
      <c r="C751" s="958" t="s">
        <v>9410</v>
      </c>
      <c r="D751" s="957" t="s">
        <v>9409</v>
      </c>
      <c r="E751" s="956">
        <v>2558</v>
      </c>
      <c r="F751" s="955"/>
      <c r="L751" s="954"/>
      <c r="M751" s="952"/>
      <c r="N751" s="952"/>
    </row>
    <row r="752" spans="1:14">
      <c r="A752" s="958" t="s">
        <v>361</v>
      </c>
      <c r="B752" s="958">
        <v>22</v>
      </c>
      <c r="C752" s="958" t="s">
        <v>4030</v>
      </c>
      <c r="D752" s="957" t="s">
        <v>9408</v>
      </c>
      <c r="E752" s="956">
        <v>59935</v>
      </c>
      <c r="F752" s="955"/>
      <c r="L752" s="954"/>
      <c r="M752" s="952"/>
      <c r="N752" s="952"/>
    </row>
    <row r="753" spans="1:14">
      <c r="A753" s="958" t="s">
        <v>361</v>
      </c>
      <c r="B753" s="958">
        <v>22</v>
      </c>
      <c r="C753" s="958" t="s">
        <v>4026</v>
      </c>
      <c r="D753" s="957" t="s">
        <v>9407</v>
      </c>
      <c r="E753" s="956">
        <v>5348</v>
      </c>
      <c r="F753" s="955"/>
      <c r="L753" s="954"/>
      <c r="M753" s="952"/>
      <c r="N753" s="952"/>
    </row>
    <row r="754" spans="1:14">
      <c r="A754" s="958" t="s">
        <v>361</v>
      </c>
      <c r="B754" s="958">
        <v>22</v>
      </c>
      <c r="C754" s="958" t="s">
        <v>4022</v>
      </c>
      <c r="D754" s="957" t="s">
        <v>9406</v>
      </c>
      <c r="E754" s="956">
        <v>4348</v>
      </c>
      <c r="F754" s="955"/>
      <c r="L754" s="954"/>
      <c r="M754" s="952"/>
      <c r="N754" s="952"/>
    </row>
    <row r="755" spans="1:14">
      <c r="A755" s="958" t="s">
        <v>361</v>
      </c>
      <c r="B755" s="958">
        <v>22</v>
      </c>
      <c r="C755" s="958" t="s">
        <v>9405</v>
      </c>
      <c r="D755" s="957" t="s">
        <v>9404</v>
      </c>
      <c r="E755" s="956">
        <v>3184</v>
      </c>
      <c r="F755" s="955"/>
      <c r="L755" s="954"/>
      <c r="M755" s="952"/>
      <c r="N755" s="952"/>
    </row>
    <row r="756" spans="1:14">
      <c r="A756" s="958" t="s">
        <v>361</v>
      </c>
      <c r="B756" s="958">
        <v>22</v>
      </c>
      <c r="C756" s="958" t="s">
        <v>4020</v>
      </c>
      <c r="D756" s="957" t="s">
        <v>9403</v>
      </c>
      <c r="E756" s="956">
        <v>9319</v>
      </c>
      <c r="F756" s="955"/>
      <c r="L756" s="954"/>
      <c r="M756" s="952"/>
      <c r="N756" s="952"/>
    </row>
    <row r="757" spans="1:14">
      <c r="A757" s="958" t="s">
        <v>361</v>
      </c>
      <c r="B757" s="958">
        <v>22</v>
      </c>
      <c r="C757" s="958" t="s">
        <v>4016</v>
      </c>
      <c r="D757" s="957" t="s">
        <v>9402</v>
      </c>
      <c r="E757" s="956">
        <v>11625</v>
      </c>
      <c r="F757" s="955"/>
      <c r="L757" s="954"/>
      <c r="M757" s="952"/>
      <c r="N757" s="952"/>
    </row>
    <row r="758" spans="1:14">
      <c r="A758" s="958" t="s">
        <v>361</v>
      </c>
      <c r="B758" s="958">
        <v>22</v>
      </c>
      <c r="C758" s="958" t="s">
        <v>9401</v>
      </c>
      <c r="D758" s="957" t="s">
        <v>9400</v>
      </c>
      <c r="E758" s="956">
        <v>5442</v>
      </c>
      <c r="F758" s="955"/>
      <c r="L758" s="954"/>
      <c r="M758" s="952"/>
      <c r="N758" s="952"/>
    </row>
    <row r="759" spans="1:14">
      <c r="A759" s="958" t="s">
        <v>361</v>
      </c>
      <c r="B759" s="958">
        <v>22</v>
      </c>
      <c r="C759" s="958" t="s">
        <v>4014</v>
      </c>
      <c r="D759" s="957" t="s">
        <v>9399</v>
      </c>
      <c r="E759" s="956">
        <v>10690</v>
      </c>
      <c r="F759" s="955"/>
      <c r="L759" s="954"/>
      <c r="M759" s="952"/>
      <c r="N759" s="952"/>
    </row>
    <row r="760" spans="1:14">
      <c r="A760" s="958" t="s">
        <v>361</v>
      </c>
      <c r="B760" s="958">
        <v>22</v>
      </c>
      <c r="C760" s="958" t="s">
        <v>4008</v>
      </c>
      <c r="D760" s="957" t="s">
        <v>9398</v>
      </c>
      <c r="E760" s="956">
        <v>10499</v>
      </c>
      <c r="F760" s="955"/>
      <c r="L760" s="954"/>
      <c r="M760" s="952"/>
      <c r="N760" s="952"/>
    </row>
    <row r="761" spans="1:14">
      <c r="A761" s="958" t="s">
        <v>361</v>
      </c>
      <c r="B761" s="958">
        <v>22</v>
      </c>
      <c r="C761" s="958" t="s">
        <v>9397</v>
      </c>
      <c r="D761" s="957" t="s">
        <v>9396</v>
      </c>
      <c r="E761" s="956">
        <v>4562</v>
      </c>
      <c r="F761" s="955"/>
      <c r="L761" s="954"/>
      <c r="M761" s="952"/>
      <c r="N761" s="952"/>
    </row>
    <row r="762" spans="1:14">
      <c r="A762" s="958" t="s">
        <v>361</v>
      </c>
      <c r="B762" s="958">
        <v>22</v>
      </c>
      <c r="C762" s="958" t="s">
        <v>4006</v>
      </c>
      <c r="D762" s="957" t="s">
        <v>9395</v>
      </c>
      <c r="E762" s="956">
        <v>3877</v>
      </c>
      <c r="F762" s="955"/>
      <c r="L762" s="954"/>
      <c r="M762" s="952"/>
      <c r="N762" s="952"/>
    </row>
    <row r="763" spans="1:14">
      <c r="A763" s="958" t="s">
        <v>361</v>
      </c>
      <c r="B763" s="958">
        <v>22</v>
      </c>
      <c r="C763" s="958" t="s">
        <v>4004</v>
      </c>
      <c r="D763" s="957" t="s">
        <v>9394</v>
      </c>
      <c r="E763" s="956">
        <v>9426</v>
      </c>
      <c r="F763" s="955"/>
      <c r="L763" s="954"/>
      <c r="M763" s="952"/>
      <c r="N763" s="952"/>
    </row>
    <row r="764" spans="1:14">
      <c r="A764" s="958" t="s">
        <v>361</v>
      </c>
      <c r="B764" s="958">
        <v>22</v>
      </c>
      <c r="C764" s="958" t="s">
        <v>4002</v>
      </c>
      <c r="D764" s="957" t="s">
        <v>9393</v>
      </c>
      <c r="E764" s="956">
        <v>15308</v>
      </c>
      <c r="F764" s="955"/>
      <c r="L764" s="954"/>
      <c r="M764" s="952"/>
      <c r="N764" s="952"/>
    </row>
    <row r="765" spans="1:14">
      <c r="A765" s="958" t="s">
        <v>361</v>
      </c>
      <c r="B765" s="958">
        <v>22</v>
      </c>
      <c r="C765" s="958" t="s">
        <v>4000</v>
      </c>
      <c r="D765" s="957" t="s">
        <v>9392</v>
      </c>
      <c r="E765" s="956">
        <v>9811</v>
      </c>
      <c r="F765" s="955"/>
      <c r="L765" s="954"/>
      <c r="M765" s="952"/>
      <c r="N765" s="952"/>
    </row>
    <row r="766" spans="1:14">
      <c r="A766" s="958" t="s">
        <v>361</v>
      </c>
      <c r="B766" s="958">
        <v>22</v>
      </c>
      <c r="C766" s="958" t="s">
        <v>3998</v>
      </c>
      <c r="D766" s="957" t="s">
        <v>9391</v>
      </c>
      <c r="E766" s="956">
        <v>8549</v>
      </c>
      <c r="F766" s="955"/>
      <c r="L766" s="954"/>
      <c r="M766" s="952"/>
      <c r="N766" s="952"/>
    </row>
    <row r="767" spans="1:14">
      <c r="A767" s="958" t="s">
        <v>361</v>
      </c>
      <c r="B767" s="958">
        <v>22</v>
      </c>
      <c r="C767" s="958" t="s">
        <v>3996</v>
      </c>
      <c r="D767" s="957" t="s">
        <v>9390</v>
      </c>
      <c r="E767" s="956">
        <v>11530</v>
      </c>
      <c r="F767" s="955"/>
      <c r="L767" s="954"/>
      <c r="M767" s="952"/>
      <c r="N767" s="952"/>
    </row>
    <row r="768" spans="1:14">
      <c r="A768" s="958" t="s">
        <v>361</v>
      </c>
      <c r="B768" s="958">
        <v>22</v>
      </c>
      <c r="C768" s="958" t="s">
        <v>3995</v>
      </c>
      <c r="D768" s="957" t="s">
        <v>9389</v>
      </c>
      <c r="E768" s="956">
        <v>11019</v>
      </c>
      <c r="F768" s="955"/>
      <c r="L768" s="954"/>
      <c r="M768" s="952"/>
      <c r="N768" s="952"/>
    </row>
    <row r="769" spans="1:14">
      <c r="A769" s="958" t="s">
        <v>361</v>
      </c>
      <c r="B769" s="958">
        <v>22</v>
      </c>
      <c r="C769" s="958" t="s">
        <v>9388</v>
      </c>
      <c r="D769" s="957" t="s">
        <v>9387</v>
      </c>
      <c r="E769" s="956">
        <v>5741</v>
      </c>
      <c r="F769" s="955"/>
      <c r="L769" s="954"/>
      <c r="M769" s="952"/>
      <c r="N769" s="952"/>
    </row>
    <row r="770" spans="1:14">
      <c r="A770" s="958" t="s">
        <v>361</v>
      </c>
      <c r="B770" s="958">
        <v>22</v>
      </c>
      <c r="C770" s="958" t="s">
        <v>3993</v>
      </c>
      <c r="D770" s="957" t="s">
        <v>9386</v>
      </c>
      <c r="E770" s="956">
        <v>19104</v>
      </c>
      <c r="F770" s="955"/>
      <c r="L770" s="954"/>
      <c r="M770" s="952"/>
      <c r="N770" s="952"/>
    </row>
    <row r="771" spans="1:14">
      <c r="A771" s="958" t="s">
        <v>361</v>
      </c>
      <c r="B771" s="958">
        <v>22</v>
      </c>
      <c r="C771" s="958" t="s">
        <v>9385</v>
      </c>
      <c r="D771" s="957" t="s">
        <v>9384</v>
      </c>
      <c r="E771" s="956">
        <v>4504</v>
      </c>
      <c r="F771" s="955"/>
      <c r="L771" s="954"/>
      <c r="M771" s="952"/>
      <c r="N771" s="952"/>
    </row>
    <row r="772" spans="1:14">
      <c r="A772" s="958" t="s">
        <v>361</v>
      </c>
      <c r="B772" s="958">
        <v>22</v>
      </c>
      <c r="C772" s="958" t="s">
        <v>9383</v>
      </c>
      <c r="D772" s="957" t="s">
        <v>9382</v>
      </c>
      <c r="E772" s="956">
        <v>4865</v>
      </c>
      <c r="F772" s="955"/>
      <c r="L772" s="954"/>
      <c r="M772" s="952"/>
      <c r="N772" s="952"/>
    </row>
    <row r="773" spans="1:14">
      <c r="A773" s="958" t="s">
        <v>361</v>
      </c>
      <c r="B773" s="958">
        <v>22</v>
      </c>
      <c r="C773" s="958" t="s">
        <v>3991</v>
      </c>
      <c r="D773" s="957" t="s">
        <v>9381</v>
      </c>
      <c r="E773" s="956">
        <v>4452</v>
      </c>
      <c r="F773" s="955"/>
      <c r="L773" s="954"/>
      <c r="M773" s="952"/>
      <c r="N773" s="952"/>
    </row>
    <row r="774" spans="1:14">
      <c r="A774" s="958" t="s">
        <v>361</v>
      </c>
      <c r="B774" s="958">
        <v>22</v>
      </c>
      <c r="C774" s="958" t="s">
        <v>9380</v>
      </c>
      <c r="D774" s="957" t="s">
        <v>9379</v>
      </c>
      <c r="E774" s="956">
        <v>3008</v>
      </c>
      <c r="F774" s="955"/>
      <c r="L774" s="954"/>
      <c r="M774" s="952"/>
      <c r="N774" s="952"/>
    </row>
    <row r="775" spans="1:14">
      <c r="A775" s="958" t="s">
        <v>361</v>
      </c>
      <c r="B775" s="958">
        <v>22</v>
      </c>
      <c r="C775" s="958" t="s">
        <v>3989</v>
      </c>
      <c r="D775" s="957" t="s">
        <v>9378</v>
      </c>
      <c r="E775" s="956">
        <v>14354</v>
      </c>
      <c r="F775" s="955"/>
      <c r="L775" s="954"/>
      <c r="M775" s="952"/>
      <c r="N775" s="952"/>
    </row>
    <row r="776" spans="1:14">
      <c r="A776" s="958" t="s">
        <v>361</v>
      </c>
      <c r="B776" s="958">
        <v>22</v>
      </c>
      <c r="C776" s="958" t="s">
        <v>9377</v>
      </c>
      <c r="D776" s="957" t="s">
        <v>9376</v>
      </c>
      <c r="E776" s="956">
        <v>5443</v>
      </c>
      <c r="F776" s="955"/>
      <c r="L776" s="954"/>
      <c r="M776" s="952"/>
      <c r="N776" s="952"/>
    </row>
    <row r="777" spans="1:14">
      <c r="A777" s="958" t="s">
        <v>361</v>
      </c>
      <c r="B777" s="958">
        <v>22</v>
      </c>
      <c r="C777" s="958" t="s">
        <v>3987</v>
      </c>
      <c r="D777" s="957" t="s">
        <v>9375</v>
      </c>
      <c r="E777" s="956">
        <v>39208</v>
      </c>
      <c r="F777" s="955"/>
      <c r="L777" s="954"/>
      <c r="M777" s="952"/>
      <c r="N777" s="952"/>
    </row>
    <row r="778" spans="1:14">
      <c r="A778" s="958" t="s">
        <v>361</v>
      </c>
      <c r="B778" s="958">
        <v>22</v>
      </c>
      <c r="C778" s="958" t="s">
        <v>9374</v>
      </c>
      <c r="D778" s="957" t="s">
        <v>9373</v>
      </c>
      <c r="E778" s="956">
        <v>5478</v>
      </c>
      <c r="F778" s="955"/>
      <c r="L778" s="954"/>
      <c r="M778" s="952"/>
      <c r="N778" s="952"/>
    </row>
    <row r="779" spans="1:14">
      <c r="A779" s="958" t="s">
        <v>361</v>
      </c>
      <c r="B779" s="958">
        <v>22</v>
      </c>
      <c r="C779" s="958" t="s">
        <v>9372</v>
      </c>
      <c r="D779" s="957" t="s">
        <v>9371</v>
      </c>
      <c r="E779" s="956">
        <v>5627</v>
      </c>
      <c r="F779" s="955"/>
      <c r="L779" s="954"/>
      <c r="M779" s="952"/>
      <c r="N779" s="952"/>
    </row>
    <row r="780" spans="1:14">
      <c r="A780" s="958" t="s">
        <v>361</v>
      </c>
      <c r="B780" s="958">
        <v>22</v>
      </c>
      <c r="C780" s="958" t="s">
        <v>9370</v>
      </c>
      <c r="D780" s="957" t="s">
        <v>8362</v>
      </c>
      <c r="E780" s="956">
        <v>4763</v>
      </c>
      <c r="F780" s="955"/>
      <c r="L780" s="954"/>
      <c r="M780" s="952"/>
      <c r="N780" s="952"/>
    </row>
    <row r="781" spans="1:14">
      <c r="A781" s="958" t="s">
        <v>361</v>
      </c>
      <c r="B781" s="958">
        <v>22</v>
      </c>
      <c r="C781" s="958" t="s">
        <v>9369</v>
      </c>
      <c r="D781" s="957" t="s">
        <v>9368</v>
      </c>
      <c r="E781" s="956">
        <v>2845</v>
      </c>
      <c r="F781" s="955"/>
      <c r="L781" s="954"/>
      <c r="M781" s="952"/>
      <c r="N781" s="952"/>
    </row>
    <row r="782" spans="1:14">
      <c r="A782" s="958" t="s">
        <v>361</v>
      </c>
      <c r="B782" s="958">
        <v>22</v>
      </c>
      <c r="C782" s="958" t="s">
        <v>9367</v>
      </c>
      <c r="D782" s="957" t="s">
        <v>9366</v>
      </c>
      <c r="E782" s="956">
        <v>8542</v>
      </c>
      <c r="F782" s="955"/>
      <c r="L782" s="954"/>
      <c r="M782" s="952"/>
      <c r="N782" s="952"/>
    </row>
    <row r="783" spans="1:14">
      <c r="A783" s="958" t="s">
        <v>361</v>
      </c>
      <c r="B783" s="958">
        <v>22</v>
      </c>
      <c r="C783" s="958" t="s">
        <v>9365</v>
      </c>
      <c r="D783" s="957" t="s">
        <v>9364</v>
      </c>
      <c r="E783" s="956">
        <v>4655</v>
      </c>
      <c r="F783" s="955"/>
      <c r="L783" s="954"/>
      <c r="M783" s="952"/>
      <c r="N783" s="952"/>
    </row>
    <row r="784" spans="1:14">
      <c r="A784" s="958" t="s">
        <v>361</v>
      </c>
      <c r="B784" s="958">
        <v>22</v>
      </c>
      <c r="C784" s="958" t="s">
        <v>9363</v>
      </c>
      <c r="D784" s="957" t="s">
        <v>9362</v>
      </c>
      <c r="E784" s="956">
        <v>6758</v>
      </c>
      <c r="F784" s="955"/>
      <c r="L784" s="954"/>
      <c r="M784" s="952"/>
      <c r="N784" s="952"/>
    </row>
    <row r="785" spans="1:14">
      <c r="A785" s="958" t="s">
        <v>361</v>
      </c>
      <c r="B785" s="958">
        <v>22</v>
      </c>
      <c r="C785" s="958" t="s">
        <v>9361</v>
      </c>
      <c r="D785" s="957" t="s">
        <v>9360</v>
      </c>
      <c r="E785" s="956">
        <v>4064</v>
      </c>
      <c r="F785" s="955"/>
      <c r="L785" s="954"/>
      <c r="M785" s="952"/>
      <c r="N785" s="952"/>
    </row>
    <row r="786" spans="1:14">
      <c r="A786" s="958" t="s">
        <v>361</v>
      </c>
      <c r="B786" s="958">
        <v>22</v>
      </c>
      <c r="C786" s="958" t="s">
        <v>9359</v>
      </c>
      <c r="D786" s="957" t="s">
        <v>9358</v>
      </c>
      <c r="E786" s="956">
        <v>5177</v>
      </c>
      <c r="F786" s="955"/>
      <c r="L786" s="954"/>
      <c r="M786" s="952"/>
      <c r="N786" s="952"/>
    </row>
    <row r="787" spans="1:14">
      <c r="A787" s="958" t="s">
        <v>361</v>
      </c>
      <c r="B787" s="958">
        <v>22</v>
      </c>
      <c r="C787" s="958" t="s">
        <v>3985</v>
      </c>
      <c r="D787" s="957" t="s">
        <v>9357</v>
      </c>
      <c r="E787" s="956">
        <v>5295</v>
      </c>
      <c r="F787" s="955"/>
      <c r="L787" s="954"/>
      <c r="M787" s="952"/>
      <c r="N787" s="952"/>
    </row>
    <row r="788" spans="1:14">
      <c r="A788" s="958" t="s">
        <v>361</v>
      </c>
      <c r="B788" s="958">
        <v>22</v>
      </c>
      <c r="C788" s="958" t="s">
        <v>3983</v>
      </c>
      <c r="D788" s="957" t="s">
        <v>9356</v>
      </c>
      <c r="E788" s="956">
        <v>30311</v>
      </c>
      <c r="F788" s="955"/>
      <c r="L788" s="954"/>
      <c r="M788" s="952"/>
      <c r="N788" s="952"/>
    </row>
    <row r="789" spans="1:14">
      <c r="A789" s="958" t="s">
        <v>361</v>
      </c>
      <c r="B789" s="958">
        <v>22</v>
      </c>
      <c r="C789" s="958" t="s">
        <v>3981</v>
      </c>
      <c r="D789" s="957" t="s">
        <v>9355</v>
      </c>
      <c r="E789" s="956">
        <v>25486</v>
      </c>
      <c r="F789" s="955"/>
      <c r="L789" s="954"/>
      <c r="M789" s="952"/>
      <c r="N789" s="952"/>
    </row>
    <row r="790" spans="1:14">
      <c r="A790" s="958" t="s">
        <v>361</v>
      </c>
      <c r="B790" s="958">
        <v>22</v>
      </c>
      <c r="C790" s="958" t="s">
        <v>9354</v>
      </c>
      <c r="D790" s="957" t="s">
        <v>9353</v>
      </c>
      <c r="E790" s="956">
        <v>8310</v>
      </c>
      <c r="F790" s="955"/>
      <c r="L790" s="954"/>
      <c r="M790" s="952"/>
      <c r="N790" s="952"/>
    </row>
    <row r="791" spans="1:14">
      <c r="A791" s="958" t="s">
        <v>361</v>
      </c>
      <c r="B791" s="958">
        <v>22</v>
      </c>
      <c r="C791" s="958" t="s">
        <v>3979</v>
      </c>
      <c r="D791" s="957" t="s">
        <v>9352</v>
      </c>
      <c r="E791" s="956">
        <v>5349</v>
      </c>
      <c r="F791" s="955"/>
      <c r="L791" s="954"/>
      <c r="M791" s="952"/>
      <c r="N791" s="952"/>
    </row>
    <row r="792" spans="1:14">
      <c r="A792" s="958" t="s">
        <v>361</v>
      </c>
      <c r="B792" s="958">
        <v>22</v>
      </c>
      <c r="C792" s="958" t="s">
        <v>9351</v>
      </c>
      <c r="D792" s="957" t="s">
        <v>9350</v>
      </c>
      <c r="E792" s="956">
        <v>8492</v>
      </c>
      <c r="F792" s="955"/>
      <c r="L792" s="954"/>
      <c r="M792" s="952"/>
      <c r="N792" s="952"/>
    </row>
    <row r="793" spans="1:14">
      <c r="A793" s="958" t="s">
        <v>361</v>
      </c>
      <c r="B793" s="958">
        <v>22</v>
      </c>
      <c r="C793" s="958" t="s">
        <v>3978</v>
      </c>
      <c r="D793" s="957" t="s">
        <v>9349</v>
      </c>
      <c r="E793" s="956">
        <v>4549</v>
      </c>
      <c r="F793" s="955"/>
      <c r="L793" s="954"/>
      <c r="M793" s="952"/>
      <c r="N793" s="952"/>
    </row>
    <row r="794" spans="1:14">
      <c r="A794" s="958" t="s">
        <v>361</v>
      </c>
      <c r="B794" s="958">
        <v>22</v>
      </c>
      <c r="C794" s="958" t="s">
        <v>9348</v>
      </c>
      <c r="D794" s="957" t="s">
        <v>9347</v>
      </c>
      <c r="E794" s="956">
        <v>6441</v>
      </c>
      <c r="F794" s="955"/>
      <c r="L794" s="954"/>
      <c r="M794" s="952"/>
      <c r="N794" s="952"/>
    </row>
    <row r="795" spans="1:14">
      <c r="A795" s="958" t="s">
        <v>361</v>
      </c>
      <c r="B795" s="958">
        <v>22</v>
      </c>
      <c r="C795" s="958" t="s">
        <v>3976</v>
      </c>
      <c r="D795" s="957" t="s">
        <v>9346</v>
      </c>
      <c r="E795" s="956">
        <v>10936</v>
      </c>
      <c r="F795" s="955"/>
      <c r="L795" s="954"/>
      <c r="M795" s="952"/>
      <c r="N795" s="952"/>
    </row>
    <row r="796" spans="1:14">
      <c r="A796" s="958" t="s">
        <v>361</v>
      </c>
      <c r="B796" s="958">
        <v>22</v>
      </c>
      <c r="C796" s="958" t="s">
        <v>3974</v>
      </c>
      <c r="D796" s="957" t="s">
        <v>9345</v>
      </c>
      <c r="E796" s="956">
        <v>33760</v>
      </c>
      <c r="F796" s="955"/>
      <c r="L796" s="954"/>
      <c r="M796" s="952"/>
      <c r="N796" s="952"/>
    </row>
    <row r="797" spans="1:14">
      <c r="A797" s="958" t="s">
        <v>361</v>
      </c>
      <c r="B797" s="958">
        <v>22</v>
      </c>
      <c r="C797" s="958" t="s">
        <v>3972</v>
      </c>
      <c r="D797" s="957" t="s">
        <v>9344</v>
      </c>
      <c r="E797" s="956">
        <v>1246</v>
      </c>
      <c r="F797" s="955"/>
      <c r="L797" s="954"/>
      <c r="M797" s="952"/>
      <c r="N797" s="952"/>
    </row>
    <row r="798" spans="1:14">
      <c r="A798" s="958" t="s">
        <v>361</v>
      </c>
      <c r="B798" s="958">
        <v>22</v>
      </c>
      <c r="C798" s="958" t="s">
        <v>9343</v>
      </c>
      <c r="D798" s="957" t="s">
        <v>9342</v>
      </c>
      <c r="E798" s="956">
        <v>6613</v>
      </c>
      <c r="F798" s="955"/>
      <c r="L798" s="954"/>
      <c r="M798" s="952"/>
      <c r="N798" s="952"/>
    </row>
    <row r="799" spans="1:14">
      <c r="A799" s="958" t="s">
        <v>361</v>
      </c>
      <c r="B799" s="958">
        <v>22</v>
      </c>
      <c r="C799" s="958" t="s">
        <v>3970</v>
      </c>
      <c r="D799" s="957" t="s">
        <v>9341</v>
      </c>
      <c r="E799" s="956">
        <v>10564</v>
      </c>
      <c r="F799" s="955"/>
      <c r="L799" s="954"/>
      <c r="M799" s="952"/>
      <c r="N799" s="952"/>
    </row>
    <row r="800" spans="1:14">
      <c r="A800" s="958" t="s">
        <v>361</v>
      </c>
      <c r="B800" s="958">
        <v>22</v>
      </c>
      <c r="C800" s="958" t="s">
        <v>3966</v>
      </c>
      <c r="D800" s="957" t="s">
        <v>9340</v>
      </c>
      <c r="E800" s="956">
        <v>7749</v>
      </c>
      <c r="F800" s="955"/>
      <c r="L800" s="954"/>
      <c r="M800" s="952"/>
      <c r="N800" s="952"/>
    </row>
    <row r="801" spans="1:14">
      <c r="A801" s="958" t="s">
        <v>361</v>
      </c>
      <c r="B801" s="958">
        <v>22</v>
      </c>
      <c r="C801" s="958" t="s">
        <v>3960</v>
      </c>
      <c r="D801" s="957" t="s">
        <v>9339</v>
      </c>
      <c r="E801" s="956">
        <v>10613</v>
      </c>
      <c r="F801" s="955"/>
      <c r="L801" s="954"/>
      <c r="M801" s="952"/>
      <c r="N801" s="952"/>
    </row>
    <row r="802" spans="1:14">
      <c r="A802" s="958" t="s">
        <v>361</v>
      </c>
      <c r="B802" s="958">
        <v>22</v>
      </c>
      <c r="C802" s="958" t="s">
        <v>9338</v>
      </c>
      <c r="D802" s="957" t="s">
        <v>9337</v>
      </c>
      <c r="E802" s="956">
        <v>4532</v>
      </c>
      <c r="F802" s="955"/>
      <c r="L802" s="954"/>
      <c r="M802" s="952"/>
      <c r="N802" s="952"/>
    </row>
    <row r="803" spans="1:14">
      <c r="A803" s="958" t="s">
        <v>361</v>
      </c>
      <c r="B803" s="958">
        <v>22</v>
      </c>
      <c r="C803" s="958" t="s">
        <v>9336</v>
      </c>
      <c r="D803" s="957" t="s">
        <v>9335</v>
      </c>
      <c r="E803" s="956">
        <v>6796</v>
      </c>
      <c r="F803" s="955"/>
      <c r="L803" s="954"/>
      <c r="M803" s="952"/>
      <c r="N803" s="952"/>
    </row>
    <row r="804" spans="1:14">
      <c r="A804" s="958" t="s">
        <v>361</v>
      </c>
      <c r="B804" s="958">
        <v>22</v>
      </c>
      <c r="C804" s="958" t="s">
        <v>9334</v>
      </c>
      <c r="D804" s="957" t="s">
        <v>9333</v>
      </c>
      <c r="E804" s="956">
        <v>9159</v>
      </c>
      <c r="F804" s="955"/>
      <c r="L804" s="954"/>
      <c r="M804" s="952"/>
      <c r="N804" s="952"/>
    </row>
    <row r="805" spans="1:14">
      <c r="A805" s="958" t="s">
        <v>361</v>
      </c>
      <c r="B805" s="958">
        <v>22</v>
      </c>
      <c r="C805" s="958" t="s">
        <v>3958</v>
      </c>
      <c r="D805" s="957" t="s">
        <v>9332</v>
      </c>
      <c r="E805" s="956">
        <v>7339</v>
      </c>
      <c r="F805" s="955"/>
      <c r="L805" s="954"/>
      <c r="M805" s="952"/>
      <c r="N805" s="952"/>
    </row>
    <row r="806" spans="1:14">
      <c r="A806" s="958" t="s">
        <v>361</v>
      </c>
      <c r="B806" s="958">
        <v>22</v>
      </c>
      <c r="C806" s="958" t="s">
        <v>9331</v>
      </c>
      <c r="D806" s="957" t="s">
        <v>9330</v>
      </c>
      <c r="E806" s="956">
        <v>8570</v>
      </c>
      <c r="F806" s="955"/>
      <c r="L806" s="954"/>
      <c r="M806" s="952"/>
      <c r="N806" s="952"/>
    </row>
    <row r="807" spans="1:14">
      <c r="A807" s="958" t="s">
        <v>361</v>
      </c>
      <c r="B807" s="958">
        <v>22</v>
      </c>
      <c r="C807" s="958" t="s">
        <v>9329</v>
      </c>
      <c r="D807" s="957" t="s">
        <v>9328</v>
      </c>
      <c r="E807" s="956">
        <v>4870</v>
      </c>
      <c r="F807" s="955"/>
      <c r="L807" s="954"/>
      <c r="M807" s="952"/>
      <c r="N807" s="952"/>
    </row>
    <row r="808" spans="1:14">
      <c r="A808" s="958" t="s">
        <v>361</v>
      </c>
      <c r="B808" s="958">
        <v>22</v>
      </c>
      <c r="C808" s="958" t="s">
        <v>3957</v>
      </c>
      <c r="D808" s="957" t="s">
        <v>9327</v>
      </c>
      <c r="E808" s="956">
        <v>8692</v>
      </c>
      <c r="F808" s="955"/>
      <c r="L808" s="954"/>
      <c r="M808" s="952"/>
      <c r="N808" s="952"/>
    </row>
    <row r="809" spans="1:14">
      <c r="A809" s="958" t="s">
        <v>361</v>
      </c>
      <c r="B809" s="958">
        <v>22</v>
      </c>
      <c r="C809" s="958" t="s">
        <v>3953</v>
      </c>
      <c r="D809" s="957" t="s">
        <v>9326</v>
      </c>
      <c r="E809" s="956">
        <v>6565</v>
      </c>
      <c r="F809" s="955"/>
      <c r="L809" s="954"/>
      <c r="M809" s="952"/>
      <c r="N809" s="952"/>
    </row>
    <row r="810" spans="1:14">
      <c r="A810" s="958" t="s">
        <v>361</v>
      </c>
      <c r="B810" s="958">
        <v>22</v>
      </c>
      <c r="C810" s="958" t="s">
        <v>9325</v>
      </c>
      <c r="D810" s="957" t="s">
        <v>1444</v>
      </c>
      <c r="E810" s="956">
        <v>2991</v>
      </c>
      <c r="F810" s="955"/>
      <c r="L810" s="954"/>
      <c r="M810" s="952"/>
      <c r="N810" s="952"/>
    </row>
    <row r="811" spans="1:14">
      <c r="A811" s="958" t="s">
        <v>361</v>
      </c>
      <c r="B811" s="958">
        <v>22</v>
      </c>
      <c r="C811" s="958" t="s">
        <v>3951</v>
      </c>
      <c r="D811" s="957" t="s">
        <v>9324</v>
      </c>
      <c r="E811" s="956">
        <v>37029</v>
      </c>
      <c r="F811" s="955"/>
      <c r="L811" s="954"/>
      <c r="M811" s="952"/>
      <c r="N811" s="952"/>
    </row>
    <row r="812" spans="1:14">
      <c r="A812" s="958" t="s">
        <v>361</v>
      </c>
      <c r="B812" s="958">
        <v>22</v>
      </c>
      <c r="C812" s="958" t="s">
        <v>3949</v>
      </c>
      <c r="D812" s="957" t="s">
        <v>9323</v>
      </c>
      <c r="E812" s="956">
        <v>2459</v>
      </c>
      <c r="F812" s="955"/>
      <c r="L812" s="954"/>
      <c r="M812" s="952"/>
      <c r="N812" s="952"/>
    </row>
    <row r="813" spans="1:14">
      <c r="A813" s="958" t="s">
        <v>361</v>
      </c>
      <c r="B813" s="958">
        <v>22</v>
      </c>
      <c r="C813" s="958" t="s">
        <v>3943</v>
      </c>
      <c r="D813" s="957" t="s">
        <v>9322</v>
      </c>
      <c r="E813" s="956">
        <v>6868</v>
      </c>
      <c r="F813" s="955"/>
      <c r="L813" s="954"/>
      <c r="M813" s="952"/>
      <c r="N813" s="952"/>
    </row>
    <row r="814" spans="1:14">
      <c r="A814" s="958" t="s">
        <v>361</v>
      </c>
      <c r="B814" s="958">
        <v>22</v>
      </c>
      <c r="C814" s="958" t="s">
        <v>3940</v>
      </c>
      <c r="D814" s="957" t="s">
        <v>9321</v>
      </c>
      <c r="E814" s="956">
        <v>4129</v>
      </c>
      <c r="F814" s="955"/>
      <c r="L814" s="954"/>
      <c r="M814" s="952"/>
      <c r="N814" s="952"/>
    </row>
    <row r="815" spans="1:14">
      <c r="A815" s="958" t="s">
        <v>361</v>
      </c>
      <c r="B815" s="958">
        <v>22</v>
      </c>
      <c r="C815" s="958" t="s">
        <v>9320</v>
      </c>
      <c r="D815" s="957" t="s">
        <v>9319</v>
      </c>
      <c r="E815" s="956">
        <v>3389</v>
      </c>
      <c r="F815" s="955"/>
      <c r="L815" s="954"/>
      <c r="M815" s="952"/>
      <c r="N815" s="952"/>
    </row>
    <row r="816" spans="1:14">
      <c r="A816" s="958" t="s">
        <v>361</v>
      </c>
      <c r="B816" s="958">
        <v>22</v>
      </c>
      <c r="C816" s="958" t="s">
        <v>3938</v>
      </c>
      <c r="D816" s="957" t="s">
        <v>9318</v>
      </c>
      <c r="E816" s="956">
        <v>5043</v>
      </c>
      <c r="F816" s="955"/>
      <c r="L816" s="954"/>
      <c r="M816" s="952"/>
      <c r="N816" s="952"/>
    </row>
    <row r="817" spans="1:14">
      <c r="A817" s="958" t="s">
        <v>361</v>
      </c>
      <c r="B817" s="958">
        <v>22</v>
      </c>
      <c r="C817" s="958" t="s">
        <v>3936</v>
      </c>
      <c r="D817" s="957" t="s">
        <v>9317</v>
      </c>
      <c r="E817" s="956">
        <v>14539</v>
      </c>
      <c r="F817" s="955"/>
      <c r="L817" s="954"/>
      <c r="M817" s="952"/>
      <c r="N817" s="952"/>
    </row>
    <row r="818" spans="1:14">
      <c r="A818" s="958" t="s">
        <v>361</v>
      </c>
      <c r="B818" s="958">
        <v>22</v>
      </c>
      <c r="C818" s="958" t="s">
        <v>3928</v>
      </c>
      <c r="D818" s="957" t="s">
        <v>9316</v>
      </c>
      <c r="E818" s="956">
        <v>3945</v>
      </c>
      <c r="F818" s="955"/>
      <c r="L818" s="954"/>
      <c r="M818" s="952"/>
      <c r="N818" s="952"/>
    </row>
    <row r="819" spans="1:14">
      <c r="A819" s="958" t="s">
        <v>361</v>
      </c>
      <c r="B819" s="958">
        <v>22</v>
      </c>
      <c r="C819" s="958" t="s">
        <v>3926</v>
      </c>
      <c r="D819" s="957" t="s">
        <v>9315</v>
      </c>
      <c r="E819" s="956">
        <v>10791</v>
      </c>
      <c r="F819" s="955"/>
      <c r="L819" s="954"/>
      <c r="M819" s="952"/>
      <c r="N819" s="952"/>
    </row>
    <row r="820" spans="1:14">
      <c r="A820" s="958" t="s">
        <v>361</v>
      </c>
      <c r="B820" s="958">
        <v>22</v>
      </c>
      <c r="C820" s="958" t="s">
        <v>3922</v>
      </c>
      <c r="D820" s="957" t="s">
        <v>9314</v>
      </c>
      <c r="E820" s="956">
        <v>153078</v>
      </c>
      <c r="F820" s="955"/>
      <c r="L820" s="954"/>
      <c r="M820" s="952"/>
      <c r="N820" s="952"/>
    </row>
    <row r="821" spans="1:14">
      <c r="A821" s="958" t="s">
        <v>361</v>
      </c>
      <c r="B821" s="958">
        <v>22</v>
      </c>
      <c r="C821" s="958" t="s">
        <v>3918</v>
      </c>
      <c r="D821" s="957" t="s">
        <v>9313</v>
      </c>
      <c r="E821" s="956">
        <v>4313</v>
      </c>
      <c r="F821" s="955"/>
      <c r="L821" s="954"/>
      <c r="M821" s="952"/>
      <c r="N821" s="952"/>
    </row>
    <row r="822" spans="1:14">
      <c r="A822" s="958" t="s">
        <v>361</v>
      </c>
      <c r="B822" s="958">
        <v>22</v>
      </c>
      <c r="C822" s="958" t="s">
        <v>9312</v>
      </c>
      <c r="D822" s="957" t="s">
        <v>9311</v>
      </c>
      <c r="E822" s="956">
        <v>6392</v>
      </c>
      <c r="F822" s="955"/>
      <c r="L822" s="954"/>
      <c r="M822" s="952"/>
      <c r="N822" s="952"/>
    </row>
    <row r="823" spans="1:14">
      <c r="A823" s="958" t="s">
        <v>361</v>
      </c>
      <c r="B823" s="958">
        <v>22</v>
      </c>
      <c r="C823" s="958" t="s">
        <v>9310</v>
      </c>
      <c r="D823" s="957" t="s">
        <v>9309</v>
      </c>
      <c r="E823" s="956">
        <v>4045</v>
      </c>
      <c r="F823" s="955"/>
      <c r="L823" s="954"/>
      <c r="M823" s="952"/>
      <c r="N823" s="952"/>
    </row>
    <row r="824" spans="1:14">
      <c r="A824" s="958" t="s">
        <v>361</v>
      </c>
      <c r="B824" s="958">
        <v>22</v>
      </c>
      <c r="C824" s="958" t="s">
        <v>3916</v>
      </c>
      <c r="D824" s="957" t="s">
        <v>9308</v>
      </c>
      <c r="E824" s="956">
        <v>20523</v>
      </c>
      <c r="F824" s="955"/>
      <c r="L824" s="954"/>
      <c r="M824" s="952"/>
      <c r="N824" s="952"/>
    </row>
    <row r="825" spans="1:14">
      <c r="A825" s="958" t="s">
        <v>361</v>
      </c>
      <c r="B825" s="958">
        <v>22</v>
      </c>
      <c r="C825" s="958" t="s">
        <v>3914</v>
      </c>
      <c r="D825" s="957" t="s">
        <v>9307</v>
      </c>
      <c r="E825" s="956">
        <v>3677</v>
      </c>
      <c r="F825" s="955"/>
      <c r="L825" s="954"/>
      <c r="M825" s="952"/>
      <c r="N825" s="952"/>
    </row>
    <row r="826" spans="1:14">
      <c r="A826" s="958" t="s">
        <v>361</v>
      </c>
      <c r="B826" s="958">
        <v>22</v>
      </c>
      <c r="C826" s="958" t="s">
        <v>3912</v>
      </c>
      <c r="D826" s="957" t="s">
        <v>9306</v>
      </c>
      <c r="E826" s="956">
        <v>38742</v>
      </c>
      <c r="F826" s="955"/>
      <c r="L826" s="954"/>
      <c r="M826" s="952"/>
      <c r="N826" s="952"/>
    </row>
    <row r="827" spans="1:14">
      <c r="A827" s="958" t="s">
        <v>361</v>
      </c>
      <c r="B827" s="958">
        <v>22</v>
      </c>
      <c r="C827" s="958" t="s">
        <v>9305</v>
      </c>
      <c r="D827" s="957" t="s">
        <v>9304</v>
      </c>
      <c r="E827" s="956">
        <v>2536</v>
      </c>
      <c r="F827" s="955"/>
      <c r="L827" s="954"/>
      <c r="M827" s="952"/>
      <c r="N827" s="952"/>
    </row>
    <row r="828" spans="1:14">
      <c r="A828" s="958" t="s">
        <v>361</v>
      </c>
      <c r="B828" s="958">
        <v>22</v>
      </c>
      <c r="C828" s="958" t="s">
        <v>9303</v>
      </c>
      <c r="D828" s="957" t="s">
        <v>2199</v>
      </c>
      <c r="E828" s="956">
        <v>4374</v>
      </c>
      <c r="F828" s="955"/>
      <c r="L828" s="954"/>
      <c r="M828" s="952"/>
      <c r="N828" s="952"/>
    </row>
    <row r="829" spans="1:14">
      <c r="A829" s="958" t="s">
        <v>361</v>
      </c>
      <c r="B829" s="958">
        <v>22</v>
      </c>
      <c r="C829" s="958" t="s">
        <v>3910</v>
      </c>
      <c r="D829" s="957" t="s">
        <v>9302</v>
      </c>
      <c r="E829" s="956">
        <v>78222</v>
      </c>
      <c r="F829" s="955"/>
      <c r="L829" s="954"/>
      <c r="M829" s="952"/>
      <c r="N829" s="952"/>
    </row>
    <row r="830" spans="1:14">
      <c r="A830" s="958" t="s">
        <v>361</v>
      </c>
      <c r="B830" s="958">
        <v>22</v>
      </c>
      <c r="C830" s="958" t="s">
        <v>3908</v>
      </c>
      <c r="D830" s="957" t="s">
        <v>9301</v>
      </c>
      <c r="E830" s="956">
        <v>12127</v>
      </c>
      <c r="F830" s="955"/>
      <c r="L830" s="954"/>
      <c r="M830" s="952"/>
      <c r="N830" s="952"/>
    </row>
    <row r="831" spans="1:14">
      <c r="A831" s="958" t="s">
        <v>361</v>
      </c>
      <c r="B831" s="958">
        <v>22</v>
      </c>
      <c r="C831" s="958" t="s">
        <v>3906</v>
      </c>
      <c r="D831" s="957" t="s">
        <v>9300</v>
      </c>
      <c r="E831" s="956">
        <v>18425</v>
      </c>
      <c r="F831" s="955"/>
      <c r="L831" s="954"/>
      <c r="M831" s="952"/>
      <c r="N831" s="952"/>
    </row>
    <row r="832" spans="1:14">
      <c r="A832" s="958" t="s">
        <v>361</v>
      </c>
      <c r="B832" s="958">
        <v>22</v>
      </c>
      <c r="C832" s="958" t="s">
        <v>3904</v>
      </c>
      <c r="D832" s="957" t="s">
        <v>9299</v>
      </c>
      <c r="E832" s="956">
        <v>28791</v>
      </c>
      <c r="F832" s="955"/>
      <c r="L832" s="954"/>
      <c r="M832" s="952"/>
      <c r="N832" s="952"/>
    </row>
    <row r="833" spans="1:14">
      <c r="A833" s="958" t="s">
        <v>361</v>
      </c>
      <c r="B833" s="958">
        <v>22</v>
      </c>
      <c r="C833" s="958" t="s">
        <v>3900</v>
      </c>
      <c r="D833" s="957" t="s">
        <v>9298</v>
      </c>
      <c r="E833" s="956">
        <v>63742</v>
      </c>
      <c r="F833" s="955"/>
      <c r="L833" s="954"/>
      <c r="M833" s="952"/>
      <c r="N833" s="952"/>
    </row>
    <row r="834" spans="1:14">
      <c r="A834" s="958" t="s">
        <v>361</v>
      </c>
      <c r="B834" s="958">
        <v>22</v>
      </c>
      <c r="C834" s="958" t="s">
        <v>3896</v>
      </c>
      <c r="D834" s="957" t="s">
        <v>9297</v>
      </c>
      <c r="E834" s="956">
        <v>12568</v>
      </c>
      <c r="F834" s="955"/>
      <c r="L834" s="954"/>
      <c r="M834" s="952"/>
      <c r="N834" s="952"/>
    </row>
    <row r="835" spans="1:14">
      <c r="A835" s="958" t="s">
        <v>361</v>
      </c>
      <c r="B835" s="958">
        <v>22</v>
      </c>
      <c r="C835" s="958" t="s">
        <v>3895</v>
      </c>
      <c r="D835" s="957" t="s">
        <v>9296</v>
      </c>
      <c r="E835" s="956">
        <v>2710</v>
      </c>
      <c r="F835" s="955"/>
      <c r="L835" s="954"/>
      <c r="M835" s="952"/>
      <c r="N835" s="952"/>
    </row>
    <row r="836" spans="1:14">
      <c r="A836" s="958" t="s">
        <v>361</v>
      </c>
      <c r="B836" s="958">
        <v>22</v>
      </c>
      <c r="C836" s="958" t="s">
        <v>3893</v>
      </c>
      <c r="D836" s="957" t="s">
        <v>9295</v>
      </c>
      <c r="E836" s="956">
        <v>3151</v>
      </c>
      <c r="F836" s="955"/>
      <c r="L836" s="954"/>
      <c r="M836" s="952"/>
      <c r="N836" s="952"/>
    </row>
    <row r="837" spans="1:14">
      <c r="A837" s="958" t="s">
        <v>361</v>
      </c>
      <c r="B837" s="958">
        <v>22</v>
      </c>
      <c r="C837" s="958" t="s">
        <v>3891</v>
      </c>
      <c r="D837" s="957" t="s">
        <v>9294</v>
      </c>
      <c r="E837" s="956">
        <v>8992</v>
      </c>
      <c r="F837" s="955"/>
      <c r="L837" s="954"/>
      <c r="M837" s="952"/>
      <c r="N837" s="952"/>
    </row>
    <row r="838" spans="1:14">
      <c r="A838" s="958" t="s">
        <v>361</v>
      </c>
      <c r="B838" s="958">
        <v>22</v>
      </c>
      <c r="C838" s="958" t="s">
        <v>3889</v>
      </c>
      <c r="D838" s="957" t="s">
        <v>9293</v>
      </c>
      <c r="E838" s="956">
        <v>8778</v>
      </c>
      <c r="F838" s="955"/>
      <c r="L838" s="954"/>
      <c r="M838" s="952"/>
      <c r="N838" s="952"/>
    </row>
    <row r="839" spans="1:14">
      <c r="A839" s="958" t="s">
        <v>361</v>
      </c>
      <c r="B839" s="958">
        <v>22</v>
      </c>
      <c r="C839" s="958" t="s">
        <v>3887</v>
      </c>
      <c r="D839" s="957" t="s">
        <v>9292</v>
      </c>
      <c r="E839" s="956">
        <v>17978</v>
      </c>
      <c r="F839" s="955"/>
      <c r="L839" s="954"/>
      <c r="M839" s="952"/>
      <c r="N839" s="952"/>
    </row>
    <row r="840" spans="1:14">
      <c r="A840" s="958" t="s">
        <v>361</v>
      </c>
      <c r="B840" s="958">
        <v>22</v>
      </c>
      <c r="C840" s="958" t="s">
        <v>9291</v>
      </c>
      <c r="D840" s="957" t="s">
        <v>9290</v>
      </c>
      <c r="E840" s="956">
        <v>4312</v>
      </c>
      <c r="F840" s="955"/>
      <c r="L840" s="954"/>
      <c r="M840" s="952"/>
      <c r="N840" s="952"/>
    </row>
    <row r="841" spans="1:14">
      <c r="A841" s="958" t="s">
        <v>361</v>
      </c>
      <c r="B841" s="958">
        <v>22</v>
      </c>
      <c r="C841" s="958" t="s">
        <v>9289</v>
      </c>
      <c r="D841" s="957" t="s">
        <v>9288</v>
      </c>
      <c r="E841" s="956">
        <v>4477</v>
      </c>
      <c r="F841" s="955"/>
      <c r="L841" s="954"/>
      <c r="M841" s="952"/>
      <c r="N841" s="952"/>
    </row>
    <row r="842" spans="1:14">
      <c r="A842" s="958" t="s">
        <v>361</v>
      </c>
      <c r="B842" s="958">
        <v>22</v>
      </c>
      <c r="C842" s="958" t="s">
        <v>3885</v>
      </c>
      <c r="D842" s="957" t="s">
        <v>9287</v>
      </c>
      <c r="E842" s="956">
        <v>7341</v>
      </c>
      <c r="F842" s="955"/>
      <c r="L842" s="954"/>
      <c r="M842" s="952"/>
      <c r="N842" s="952"/>
    </row>
    <row r="843" spans="1:14">
      <c r="A843" s="958" t="s">
        <v>361</v>
      </c>
      <c r="B843" s="958">
        <v>22</v>
      </c>
      <c r="C843" s="958" t="s">
        <v>3881</v>
      </c>
      <c r="D843" s="957" t="s">
        <v>9286</v>
      </c>
      <c r="E843" s="956">
        <v>6432</v>
      </c>
      <c r="F843" s="955"/>
      <c r="L843" s="954"/>
      <c r="M843" s="952"/>
      <c r="N843" s="952"/>
    </row>
    <row r="844" spans="1:14">
      <c r="A844" s="958" t="s">
        <v>361</v>
      </c>
      <c r="B844" s="958">
        <v>22</v>
      </c>
      <c r="C844" s="958" t="s">
        <v>3879</v>
      </c>
      <c r="D844" s="957" t="s">
        <v>9285</v>
      </c>
      <c r="E844" s="956">
        <v>6240</v>
      </c>
      <c r="F844" s="955"/>
      <c r="L844" s="954"/>
      <c r="M844" s="952"/>
      <c r="N844" s="952"/>
    </row>
    <row r="845" spans="1:14">
      <c r="A845" s="958" t="s">
        <v>361</v>
      </c>
      <c r="B845" s="958">
        <v>22</v>
      </c>
      <c r="C845" s="958" t="s">
        <v>9284</v>
      </c>
      <c r="D845" s="957" t="s">
        <v>9283</v>
      </c>
      <c r="E845" s="956">
        <v>4019</v>
      </c>
      <c r="F845" s="955"/>
      <c r="L845" s="954"/>
      <c r="M845" s="952"/>
      <c r="N845" s="952"/>
    </row>
    <row r="846" spans="1:14">
      <c r="A846" s="958" t="s">
        <v>361</v>
      </c>
      <c r="B846" s="958">
        <v>22</v>
      </c>
      <c r="C846" s="958" t="s">
        <v>3877</v>
      </c>
      <c r="D846" s="957" t="s">
        <v>8309</v>
      </c>
      <c r="E846" s="956">
        <v>6253</v>
      </c>
      <c r="F846" s="955"/>
      <c r="L846" s="954"/>
      <c r="M846" s="952"/>
      <c r="N846" s="952"/>
    </row>
    <row r="847" spans="1:14">
      <c r="A847" s="958" t="s">
        <v>361</v>
      </c>
      <c r="B847" s="958">
        <v>22</v>
      </c>
      <c r="C847" s="958" t="s">
        <v>3875</v>
      </c>
      <c r="D847" s="957" t="s">
        <v>9282</v>
      </c>
      <c r="E847" s="956">
        <v>5860</v>
      </c>
      <c r="F847" s="955"/>
      <c r="L847" s="954"/>
      <c r="M847" s="952"/>
      <c r="N847" s="952"/>
    </row>
    <row r="848" spans="1:14">
      <c r="A848" s="958" t="s">
        <v>361</v>
      </c>
      <c r="B848" s="958">
        <v>22</v>
      </c>
      <c r="C848" s="958" t="s">
        <v>9281</v>
      </c>
      <c r="D848" s="957" t="s">
        <v>9280</v>
      </c>
      <c r="E848" s="956">
        <v>4634</v>
      </c>
      <c r="F848" s="955"/>
      <c r="L848" s="954"/>
      <c r="M848" s="952"/>
      <c r="N848" s="952"/>
    </row>
    <row r="849" spans="1:14">
      <c r="A849" s="958" t="s">
        <v>361</v>
      </c>
      <c r="B849" s="958">
        <v>22</v>
      </c>
      <c r="C849" s="958" t="s">
        <v>9279</v>
      </c>
      <c r="D849" s="957" t="s">
        <v>9278</v>
      </c>
      <c r="E849" s="956">
        <v>5257</v>
      </c>
      <c r="F849" s="955"/>
      <c r="L849" s="954"/>
      <c r="M849" s="952"/>
      <c r="N849" s="952"/>
    </row>
    <row r="850" spans="1:14">
      <c r="A850" s="958" t="s">
        <v>361</v>
      </c>
      <c r="B850" s="958">
        <v>22</v>
      </c>
      <c r="C850" s="958" t="s">
        <v>3873</v>
      </c>
      <c r="D850" s="957" t="s">
        <v>9277</v>
      </c>
      <c r="E850" s="956">
        <v>6415</v>
      </c>
      <c r="F850" s="955"/>
      <c r="L850" s="954"/>
      <c r="M850" s="952"/>
      <c r="N850" s="952"/>
    </row>
    <row r="851" spans="1:14">
      <c r="A851" s="958" t="s">
        <v>361</v>
      </c>
      <c r="B851" s="958">
        <v>22</v>
      </c>
      <c r="C851" s="958" t="s">
        <v>9276</v>
      </c>
      <c r="D851" s="957" t="s">
        <v>9275</v>
      </c>
      <c r="E851" s="956">
        <v>2161</v>
      </c>
      <c r="F851" s="955"/>
      <c r="L851" s="954"/>
      <c r="M851" s="952"/>
      <c r="N851" s="952"/>
    </row>
    <row r="852" spans="1:14">
      <c r="A852" s="958" t="s">
        <v>361</v>
      </c>
      <c r="B852" s="958">
        <v>22</v>
      </c>
      <c r="C852" s="958" t="s">
        <v>3871</v>
      </c>
      <c r="D852" s="957" t="s">
        <v>9274</v>
      </c>
      <c r="E852" s="956">
        <v>3798</v>
      </c>
      <c r="F852" s="955"/>
      <c r="L852" s="954"/>
      <c r="M852" s="952"/>
      <c r="N852" s="952"/>
    </row>
    <row r="853" spans="1:14">
      <c r="A853" s="958" t="s">
        <v>361</v>
      </c>
      <c r="B853" s="958">
        <v>22</v>
      </c>
      <c r="C853" s="958" t="s">
        <v>9273</v>
      </c>
      <c r="D853" s="957" t="s">
        <v>9272</v>
      </c>
      <c r="E853" s="956">
        <v>4448</v>
      </c>
      <c r="F853" s="955"/>
      <c r="L853" s="954"/>
      <c r="M853" s="952"/>
      <c r="N853" s="952"/>
    </row>
    <row r="854" spans="1:14">
      <c r="A854" s="958" t="s">
        <v>361</v>
      </c>
      <c r="B854" s="958">
        <v>22</v>
      </c>
      <c r="C854" s="958" t="s">
        <v>3869</v>
      </c>
      <c r="D854" s="957" t="s">
        <v>9271</v>
      </c>
      <c r="E854" s="956">
        <v>2942</v>
      </c>
      <c r="F854" s="955"/>
      <c r="L854" s="954"/>
      <c r="M854" s="952"/>
      <c r="N854" s="952"/>
    </row>
    <row r="855" spans="1:14">
      <c r="A855" s="958" t="s">
        <v>361</v>
      </c>
      <c r="B855" s="958">
        <v>22</v>
      </c>
      <c r="C855" s="958" t="s">
        <v>3867</v>
      </c>
      <c r="D855" s="957" t="s">
        <v>9270</v>
      </c>
      <c r="E855" s="956">
        <v>5755</v>
      </c>
      <c r="F855" s="955"/>
      <c r="L855" s="954"/>
      <c r="M855" s="952"/>
      <c r="N855" s="952"/>
    </row>
    <row r="856" spans="1:14">
      <c r="A856" s="958" t="s">
        <v>361</v>
      </c>
      <c r="B856" s="958">
        <v>22</v>
      </c>
      <c r="C856" s="958" t="s">
        <v>3865</v>
      </c>
      <c r="D856" s="957" t="s">
        <v>9269</v>
      </c>
      <c r="E856" s="956">
        <v>6423</v>
      </c>
      <c r="F856" s="955"/>
      <c r="L856" s="954"/>
      <c r="M856" s="952"/>
      <c r="N856" s="952"/>
    </row>
    <row r="857" spans="1:14">
      <c r="A857" s="958" t="s">
        <v>361</v>
      </c>
      <c r="B857" s="958">
        <v>22</v>
      </c>
      <c r="C857" s="958" t="s">
        <v>3863</v>
      </c>
      <c r="D857" s="957" t="s">
        <v>9268</v>
      </c>
      <c r="E857" s="956">
        <v>3041</v>
      </c>
      <c r="F857" s="955"/>
      <c r="L857" s="954"/>
      <c r="M857" s="952"/>
      <c r="N857" s="952"/>
    </row>
    <row r="858" spans="1:14">
      <c r="A858" s="958" t="s">
        <v>361</v>
      </c>
      <c r="B858" s="958">
        <v>22</v>
      </c>
      <c r="C858" s="958" t="s">
        <v>3861</v>
      </c>
      <c r="D858" s="957" t="s">
        <v>9267</v>
      </c>
      <c r="E858" s="956">
        <v>5015</v>
      </c>
      <c r="F858" s="955"/>
      <c r="L858" s="954"/>
      <c r="M858" s="952"/>
      <c r="N858" s="952"/>
    </row>
    <row r="859" spans="1:14">
      <c r="A859" s="958" t="s">
        <v>361</v>
      </c>
      <c r="B859" s="958">
        <v>22</v>
      </c>
      <c r="C859" s="958" t="s">
        <v>9266</v>
      </c>
      <c r="D859" s="957" t="s">
        <v>9265</v>
      </c>
      <c r="E859" s="956">
        <v>4608</v>
      </c>
      <c r="F859" s="955"/>
      <c r="L859" s="954"/>
      <c r="M859" s="952"/>
      <c r="N859" s="952"/>
    </row>
    <row r="860" spans="1:14">
      <c r="A860" s="958" t="s">
        <v>361</v>
      </c>
      <c r="B860" s="958">
        <v>22</v>
      </c>
      <c r="C860" s="958" t="s">
        <v>9264</v>
      </c>
      <c r="D860" s="957" t="s">
        <v>9263</v>
      </c>
      <c r="E860" s="956">
        <v>6042</v>
      </c>
      <c r="F860" s="955"/>
      <c r="L860" s="954"/>
      <c r="M860" s="952"/>
      <c r="N860" s="952"/>
    </row>
    <row r="861" spans="1:14">
      <c r="A861" s="958" t="s">
        <v>361</v>
      </c>
      <c r="B861" s="958">
        <v>22</v>
      </c>
      <c r="C861" s="958" t="s">
        <v>3859</v>
      </c>
      <c r="D861" s="957" t="s">
        <v>9262</v>
      </c>
      <c r="E861" s="956">
        <v>6139</v>
      </c>
      <c r="F861" s="955"/>
      <c r="L861" s="954"/>
      <c r="M861" s="952"/>
      <c r="N861" s="952"/>
    </row>
    <row r="862" spans="1:14">
      <c r="A862" s="958" t="s">
        <v>361</v>
      </c>
      <c r="B862" s="958">
        <v>22</v>
      </c>
      <c r="C862" s="958" t="s">
        <v>9261</v>
      </c>
      <c r="D862" s="957" t="s">
        <v>9260</v>
      </c>
      <c r="E862" s="956">
        <v>4840</v>
      </c>
      <c r="F862" s="955"/>
      <c r="L862" s="954"/>
      <c r="M862" s="952"/>
      <c r="N862" s="952"/>
    </row>
    <row r="863" spans="1:14">
      <c r="A863" s="958" t="s">
        <v>361</v>
      </c>
      <c r="B863" s="958">
        <v>22</v>
      </c>
      <c r="C863" s="958" t="s">
        <v>9259</v>
      </c>
      <c r="D863" s="957" t="s">
        <v>9258</v>
      </c>
      <c r="E863" s="956">
        <v>7989</v>
      </c>
      <c r="F863" s="955"/>
      <c r="L863" s="954"/>
      <c r="M863" s="952"/>
      <c r="N863" s="952"/>
    </row>
    <row r="864" spans="1:14">
      <c r="A864" s="958" t="s">
        <v>361</v>
      </c>
      <c r="B864" s="958">
        <v>22</v>
      </c>
      <c r="C864" s="958" t="s">
        <v>3857</v>
      </c>
      <c r="D864" s="957" t="s">
        <v>9257</v>
      </c>
      <c r="E864" s="956">
        <v>20601</v>
      </c>
      <c r="F864" s="955"/>
      <c r="L864" s="954"/>
      <c r="M864" s="952"/>
      <c r="N864" s="952"/>
    </row>
    <row r="865" spans="1:14">
      <c r="A865" s="958" t="s">
        <v>361</v>
      </c>
      <c r="B865" s="958">
        <v>22</v>
      </c>
      <c r="C865" s="958" t="s">
        <v>3855</v>
      </c>
      <c r="D865" s="957" t="s">
        <v>5853</v>
      </c>
      <c r="E865" s="956">
        <v>5346</v>
      </c>
      <c r="F865" s="955"/>
      <c r="L865" s="954"/>
      <c r="M865" s="952"/>
      <c r="N865" s="952"/>
    </row>
    <row r="866" spans="1:14">
      <c r="A866" s="958" t="s">
        <v>361</v>
      </c>
      <c r="B866" s="958">
        <v>22</v>
      </c>
      <c r="C866" s="958" t="s">
        <v>3851</v>
      </c>
      <c r="D866" s="957" t="s">
        <v>9256</v>
      </c>
      <c r="E866" s="956">
        <v>3745</v>
      </c>
      <c r="F866" s="955"/>
      <c r="L866" s="954"/>
      <c r="M866" s="952"/>
      <c r="N866" s="952"/>
    </row>
    <row r="867" spans="1:14">
      <c r="A867" s="958" t="s">
        <v>361</v>
      </c>
      <c r="B867" s="958">
        <v>22</v>
      </c>
      <c r="C867" s="958" t="s">
        <v>3849</v>
      </c>
      <c r="D867" s="957" t="s">
        <v>9255</v>
      </c>
      <c r="E867" s="956">
        <v>6705</v>
      </c>
      <c r="F867" s="955"/>
      <c r="L867" s="954"/>
      <c r="M867" s="952"/>
      <c r="N867" s="952"/>
    </row>
    <row r="868" spans="1:14">
      <c r="A868" s="958" t="s">
        <v>361</v>
      </c>
      <c r="B868" s="958">
        <v>22</v>
      </c>
      <c r="C868" s="958" t="s">
        <v>3847</v>
      </c>
      <c r="D868" s="957" t="s">
        <v>9254</v>
      </c>
      <c r="E868" s="956">
        <v>6363</v>
      </c>
      <c r="F868" s="955"/>
      <c r="L868" s="954"/>
      <c r="M868" s="952"/>
      <c r="N868" s="952"/>
    </row>
    <row r="869" spans="1:14">
      <c r="A869" s="958" t="s">
        <v>361</v>
      </c>
      <c r="B869" s="958">
        <v>22</v>
      </c>
      <c r="C869" s="958" t="s">
        <v>9253</v>
      </c>
      <c r="D869" s="957" t="s">
        <v>9252</v>
      </c>
      <c r="E869" s="956">
        <v>4573</v>
      </c>
      <c r="F869" s="955"/>
      <c r="L869" s="954"/>
      <c r="M869" s="952"/>
      <c r="N869" s="952"/>
    </row>
    <row r="870" spans="1:14">
      <c r="A870" s="958" t="s">
        <v>361</v>
      </c>
      <c r="B870" s="958">
        <v>22</v>
      </c>
      <c r="C870" s="958" t="s">
        <v>9251</v>
      </c>
      <c r="D870" s="957" t="s">
        <v>9250</v>
      </c>
      <c r="E870" s="956">
        <v>2644</v>
      </c>
      <c r="F870" s="955"/>
      <c r="L870" s="954"/>
      <c r="M870" s="952"/>
      <c r="N870" s="952"/>
    </row>
    <row r="871" spans="1:14">
      <c r="A871" s="958" t="s">
        <v>361</v>
      </c>
      <c r="B871" s="958">
        <v>22</v>
      </c>
      <c r="C871" s="958" t="s">
        <v>9249</v>
      </c>
      <c r="D871" s="957" t="s">
        <v>9248</v>
      </c>
      <c r="E871" s="956">
        <v>2452</v>
      </c>
      <c r="F871" s="955"/>
      <c r="L871" s="954"/>
      <c r="M871" s="952"/>
      <c r="N871" s="952"/>
    </row>
    <row r="872" spans="1:14">
      <c r="A872" s="958" t="s">
        <v>361</v>
      </c>
      <c r="B872" s="958">
        <v>22</v>
      </c>
      <c r="C872" s="958" t="s">
        <v>9247</v>
      </c>
      <c r="D872" s="957" t="s">
        <v>9246</v>
      </c>
      <c r="E872" s="956">
        <v>3039</v>
      </c>
      <c r="F872" s="955"/>
      <c r="L872" s="954"/>
      <c r="M872" s="952"/>
      <c r="N872" s="952"/>
    </row>
    <row r="873" spans="1:14">
      <c r="A873" s="958" t="s">
        <v>361</v>
      </c>
      <c r="B873" s="958">
        <v>22</v>
      </c>
      <c r="C873" s="958" t="s">
        <v>3845</v>
      </c>
      <c r="D873" s="957" t="s">
        <v>9245</v>
      </c>
      <c r="E873" s="956">
        <v>17662</v>
      </c>
      <c r="F873" s="955"/>
      <c r="L873" s="954"/>
      <c r="M873" s="952"/>
      <c r="N873" s="952"/>
    </row>
    <row r="874" spans="1:14">
      <c r="A874" s="958" t="s">
        <v>361</v>
      </c>
      <c r="B874" s="958">
        <v>22</v>
      </c>
      <c r="C874" s="958" t="s">
        <v>3843</v>
      </c>
      <c r="D874" s="957" t="s">
        <v>9244</v>
      </c>
      <c r="E874" s="956">
        <v>14291</v>
      </c>
      <c r="F874" s="955"/>
      <c r="L874" s="954"/>
      <c r="M874" s="952"/>
      <c r="N874" s="952"/>
    </row>
    <row r="875" spans="1:14">
      <c r="A875" s="958" t="s">
        <v>361</v>
      </c>
      <c r="B875" s="958">
        <v>22</v>
      </c>
      <c r="C875" s="958" t="s">
        <v>3841</v>
      </c>
      <c r="D875" s="957" t="s">
        <v>9243</v>
      </c>
      <c r="E875" s="956">
        <v>34710</v>
      </c>
      <c r="F875" s="955"/>
      <c r="L875" s="954"/>
      <c r="M875" s="952"/>
      <c r="N875" s="952"/>
    </row>
    <row r="876" spans="1:14">
      <c r="A876" s="958" t="s">
        <v>361</v>
      </c>
      <c r="B876" s="958">
        <v>22</v>
      </c>
      <c r="C876" s="958" t="s">
        <v>9242</v>
      </c>
      <c r="D876" s="957" t="s">
        <v>9241</v>
      </c>
      <c r="E876" s="956">
        <v>3469</v>
      </c>
      <c r="F876" s="955"/>
      <c r="L876" s="954"/>
      <c r="M876" s="952"/>
      <c r="N876" s="952"/>
    </row>
    <row r="877" spans="1:14">
      <c r="A877" s="958" t="s">
        <v>361</v>
      </c>
      <c r="B877" s="958">
        <v>22</v>
      </c>
      <c r="C877" s="958" t="s">
        <v>9240</v>
      </c>
      <c r="D877" s="957" t="s">
        <v>9239</v>
      </c>
      <c r="E877" s="956">
        <v>4294</v>
      </c>
      <c r="F877" s="955"/>
      <c r="L877" s="954"/>
      <c r="M877" s="952"/>
      <c r="N877" s="952"/>
    </row>
    <row r="878" spans="1:14">
      <c r="A878" s="958" t="s">
        <v>361</v>
      </c>
      <c r="B878" s="958">
        <v>22</v>
      </c>
      <c r="C878" s="958" t="s">
        <v>3839</v>
      </c>
      <c r="D878" s="957" t="s">
        <v>9238</v>
      </c>
      <c r="E878" s="956">
        <v>10041</v>
      </c>
      <c r="F878" s="955"/>
      <c r="L878" s="954"/>
      <c r="M878" s="952"/>
      <c r="N878" s="952"/>
    </row>
    <row r="879" spans="1:14">
      <c r="A879" s="958" t="s">
        <v>361</v>
      </c>
      <c r="B879" s="958">
        <v>22</v>
      </c>
      <c r="C879" s="958" t="s">
        <v>3837</v>
      </c>
      <c r="D879" s="957" t="s">
        <v>9237</v>
      </c>
      <c r="E879" s="956">
        <v>14633</v>
      </c>
      <c r="F879" s="955"/>
      <c r="L879" s="954"/>
      <c r="M879" s="952"/>
      <c r="N879" s="952"/>
    </row>
    <row r="880" spans="1:14">
      <c r="A880" s="958" t="s">
        <v>361</v>
      </c>
      <c r="B880" s="958">
        <v>22</v>
      </c>
      <c r="C880" s="958" t="s">
        <v>3836</v>
      </c>
      <c r="D880" s="957" t="s">
        <v>9236</v>
      </c>
      <c r="E880" s="956">
        <v>12711</v>
      </c>
      <c r="F880" s="955"/>
      <c r="L880" s="954"/>
      <c r="M880" s="952"/>
      <c r="N880" s="952"/>
    </row>
    <row r="881" spans="1:14">
      <c r="A881" s="958" t="s">
        <v>361</v>
      </c>
      <c r="B881" s="958">
        <v>22</v>
      </c>
      <c r="C881" s="958" t="s">
        <v>3834</v>
      </c>
      <c r="D881" s="957" t="s">
        <v>9235</v>
      </c>
      <c r="E881" s="956">
        <v>4569</v>
      </c>
      <c r="F881" s="955"/>
      <c r="L881" s="954"/>
      <c r="M881" s="952"/>
      <c r="N881" s="952"/>
    </row>
    <row r="882" spans="1:14">
      <c r="A882" s="958" t="s">
        <v>361</v>
      </c>
      <c r="B882" s="958">
        <v>22</v>
      </c>
      <c r="C882" s="958" t="s">
        <v>9234</v>
      </c>
      <c r="D882" s="957" t="s">
        <v>9233</v>
      </c>
      <c r="E882" s="956">
        <v>6730</v>
      </c>
      <c r="F882" s="955"/>
      <c r="L882" s="954"/>
      <c r="M882" s="952"/>
      <c r="N882" s="952"/>
    </row>
    <row r="883" spans="1:14">
      <c r="A883" s="958" t="s">
        <v>361</v>
      </c>
      <c r="B883" s="958">
        <v>22</v>
      </c>
      <c r="C883" s="958" t="s">
        <v>3832</v>
      </c>
      <c r="D883" s="957" t="s">
        <v>9232</v>
      </c>
      <c r="E883" s="956">
        <v>2919</v>
      </c>
      <c r="F883" s="955"/>
      <c r="L883" s="954"/>
      <c r="M883" s="952"/>
      <c r="N883" s="952"/>
    </row>
    <row r="884" spans="1:14">
      <c r="A884" s="958" t="s">
        <v>361</v>
      </c>
      <c r="B884" s="958">
        <v>22</v>
      </c>
      <c r="C884" s="958" t="s">
        <v>9231</v>
      </c>
      <c r="D884" s="957" t="s">
        <v>9230</v>
      </c>
      <c r="E884" s="956">
        <v>2765</v>
      </c>
      <c r="F884" s="955"/>
      <c r="L884" s="954"/>
      <c r="M884" s="952"/>
      <c r="N884" s="952"/>
    </row>
    <row r="885" spans="1:14">
      <c r="A885" s="958" t="s">
        <v>361</v>
      </c>
      <c r="B885" s="958">
        <v>22</v>
      </c>
      <c r="C885" s="958" t="s">
        <v>3830</v>
      </c>
      <c r="D885" s="957" t="s">
        <v>9229</v>
      </c>
      <c r="E885" s="956">
        <v>864845</v>
      </c>
      <c r="F885" s="955"/>
      <c r="L885" s="954"/>
      <c r="M885" s="952"/>
      <c r="N885" s="952"/>
    </row>
    <row r="886" spans="1:14">
      <c r="A886" s="958" t="s">
        <v>361</v>
      </c>
      <c r="B886" s="958">
        <v>22</v>
      </c>
      <c r="C886" s="958" t="s">
        <v>3828</v>
      </c>
      <c r="D886" s="957" t="s">
        <v>9228</v>
      </c>
      <c r="E886" s="956">
        <v>44485</v>
      </c>
      <c r="F886" s="955"/>
      <c r="L886" s="954"/>
      <c r="M886" s="952"/>
      <c r="N886" s="952"/>
    </row>
    <row r="887" spans="1:14">
      <c r="A887" s="958" t="s">
        <v>361</v>
      </c>
      <c r="B887" s="958">
        <v>22</v>
      </c>
      <c r="C887" s="958" t="s">
        <v>3826</v>
      </c>
      <c r="D887" s="957" t="s">
        <v>9227</v>
      </c>
      <c r="E887" s="956">
        <v>21558</v>
      </c>
      <c r="F887" s="955"/>
      <c r="L887" s="954"/>
      <c r="M887" s="952"/>
      <c r="N887" s="952"/>
    </row>
    <row r="888" spans="1:14">
      <c r="A888" s="958" t="s">
        <v>361</v>
      </c>
      <c r="B888" s="958">
        <v>22</v>
      </c>
      <c r="C888" s="958" t="s">
        <v>3822</v>
      </c>
      <c r="D888" s="957" t="s">
        <v>9226</v>
      </c>
      <c r="E888" s="956">
        <v>20918</v>
      </c>
      <c r="F888" s="955"/>
      <c r="L888" s="954"/>
      <c r="M888" s="952"/>
      <c r="N888" s="952"/>
    </row>
    <row r="889" spans="1:14">
      <c r="A889" s="958" t="s">
        <v>361</v>
      </c>
      <c r="B889" s="958">
        <v>22</v>
      </c>
      <c r="C889" s="958" t="s">
        <v>9225</v>
      </c>
      <c r="D889" s="957" t="s">
        <v>9224</v>
      </c>
      <c r="E889" s="956">
        <v>4947</v>
      </c>
      <c r="F889" s="955"/>
      <c r="L889" s="954"/>
      <c r="M889" s="952"/>
      <c r="N889" s="952"/>
    </row>
    <row r="890" spans="1:14">
      <c r="A890" s="958" t="s">
        <v>361</v>
      </c>
      <c r="B890" s="958">
        <v>22</v>
      </c>
      <c r="C890" s="958" t="s">
        <v>3820</v>
      </c>
      <c r="D890" s="957" t="s">
        <v>1347</v>
      </c>
      <c r="E890" s="956">
        <v>4391</v>
      </c>
      <c r="F890" s="955"/>
      <c r="L890" s="954"/>
      <c r="M890" s="952"/>
      <c r="N890" s="952"/>
    </row>
    <row r="891" spans="1:14">
      <c r="A891" s="958" t="s">
        <v>361</v>
      </c>
      <c r="B891" s="958">
        <v>22</v>
      </c>
      <c r="C891" s="958" t="s">
        <v>3818</v>
      </c>
      <c r="D891" s="957" t="s">
        <v>9223</v>
      </c>
      <c r="E891" s="956">
        <v>3077</v>
      </c>
      <c r="F891" s="955"/>
      <c r="L891" s="954"/>
      <c r="M891" s="952"/>
      <c r="N891" s="952"/>
    </row>
    <row r="892" spans="1:14">
      <c r="A892" s="958" t="s">
        <v>361</v>
      </c>
      <c r="B892" s="958">
        <v>22</v>
      </c>
      <c r="C892" s="958" t="s">
        <v>3814</v>
      </c>
      <c r="D892" s="957" t="s">
        <v>9222</v>
      </c>
      <c r="E892" s="956">
        <v>2971</v>
      </c>
      <c r="F892" s="955"/>
      <c r="L892" s="954"/>
      <c r="M892" s="952"/>
      <c r="N892" s="952"/>
    </row>
    <row r="893" spans="1:14">
      <c r="A893" s="958" t="s">
        <v>361</v>
      </c>
      <c r="B893" s="958">
        <v>22</v>
      </c>
      <c r="C893" s="958" t="s">
        <v>3812</v>
      </c>
      <c r="D893" s="957" t="s">
        <v>9221</v>
      </c>
      <c r="E893" s="956">
        <v>4462</v>
      </c>
      <c r="F893" s="955"/>
      <c r="L893" s="954"/>
      <c r="M893" s="952"/>
      <c r="N893" s="952"/>
    </row>
    <row r="894" spans="1:14">
      <c r="A894" s="958" t="s">
        <v>373</v>
      </c>
      <c r="B894" s="958">
        <v>23</v>
      </c>
      <c r="C894" s="958" t="s">
        <v>3351</v>
      </c>
      <c r="D894" s="957" t="s">
        <v>9220</v>
      </c>
      <c r="E894" s="956">
        <v>11737</v>
      </c>
      <c r="F894" s="955"/>
      <c r="L894" s="954"/>
      <c r="M894" s="952"/>
      <c r="N894" s="952"/>
    </row>
    <row r="895" spans="1:14">
      <c r="A895" s="958" t="s">
        <v>373</v>
      </c>
      <c r="B895" s="958">
        <v>23</v>
      </c>
      <c r="C895" s="958" t="s">
        <v>9219</v>
      </c>
      <c r="D895" s="957" t="s">
        <v>9218</v>
      </c>
      <c r="E895" s="956">
        <v>14929</v>
      </c>
      <c r="F895" s="955"/>
      <c r="L895" s="954"/>
      <c r="M895" s="952"/>
      <c r="N895" s="952"/>
    </row>
    <row r="896" spans="1:14">
      <c r="A896" s="958" t="s">
        <v>373</v>
      </c>
      <c r="B896" s="958">
        <v>23</v>
      </c>
      <c r="C896" s="958" t="s">
        <v>3349</v>
      </c>
      <c r="D896" s="957" t="s">
        <v>9217</v>
      </c>
      <c r="E896" s="956">
        <v>62641</v>
      </c>
      <c r="F896" s="955"/>
      <c r="L896" s="954"/>
      <c r="M896" s="952"/>
      <c r="N896" s="952"/>
    </row>
    <row r="897" spans="1:14">
      <c r="A897" s="958" t="s">
        <v>373</v>
      </c>
      <c r="B897" s="958">
        <v>23</v>
      </c>
      <c r="C897" s="958" t="s">
        <v>3347</v>
      </c>
      <c r="D897" s="957" t="s">
        <v>9216</v>
      </c>
      <c r="E897" s="956">
        <v>54270</v>
      </c>
      <c r="F897" s="955"/>
      <c r="L897" s="954"/>
      <c r="M897" s="952"/>
      <c r="N897" s="952"/>
    </row>
    <row r="898" spans="1:14">
      <c r="A898" s="958" t="s">
        <v>373</v>
      </c>
      <c r="B898" s="958">
        <v>23</v>
      </c>
      <c r="C898" s="958" t="s">
        <v>3345</v>
      </c>
      <c r="D898" s="957" t="s">
        <v>9215</v>
      </c>
      <c r="E898" s="956">
        <v>17399</v>
      </c>
      <c r="F898" s="955"/>
      <c r="L898" s="954"/>
      <c r="M898" s="952"/>
      <c r="N898" s="952"/>
    </row>
    <row r="899" spans="1:14">
      <c r="A899" s="958" t="s">
        <v>373</v>
      </c>
      <c r="B899" s="958">
        <v>23</v>
      </c>
      <c r="C899" s="958" t="s">
        <v>3343</v>
      </c>
      <c r="D899" s="957" t="s">
        <v>9214</v>
      </c>
      <c r="E899" s="956">
        <v>11714</v>
      </c>
      <c r="F899" s="955"/>
      <c r="L899" s="954"/>
      <c r="M899" s="952"/>
      <c r="N899" s="952"/>
    </row>
    <row r="900" spans="1:14">
      <c r="A900" s="958" t="s">
        <v>373</v>
      </c>
      <c r="B900" s="958">
        <v>23</v>
      </c>
      <c r="C900" s="958" t="s">
        <v>3339</v>
      </c>
      <c r="D900" s="957" t="s">
        <v>9213</v>
      </c>
      <c r="E900" s="956">
        <v>7586</v>
      </c>
      <c r="F900" s="955"/>
      <c r="L900" s="954"/>
      <c r="M900" s="952"/>
      <c r="N900" s="952"/>
    </row>
    <row r="901" spans="1:14">
      <c r="A901" s="958" t="s">
        <v>373</v>
      </c>
      <c r="B901" s="958">
        <v>23</v>
      </c>
      <c r="C901" s="958" t="s">
        <v>3337</v>
      </c>
      <c r="D901" s="957" t="s">
        <v>9212</v>
      </c>
      <c r="E901" s="956">
        <v>17146</v>
      </c>
      <c r="F901" s="955"/>
      <c r="L901" s="954"/>
      <c r="M901" s="952"/>
      <c r="N901" s="952"/>
    </row>
    <row r="902" spans="1:14">
      <c r="A902" s="958" t="s">
        <v>373</v>
      </c>
      <c r="B902" s="958">
        <v>23</v>
      </c>
      <c r="C902" s="958" t="s">
        <v>3335</v>
      </c>
      <c r="D902" s="957" t="s">
        <v>9211</v>
      </c>
      <c r="E902" s="956">
        <v>43452</v>
      </c>
      <c r="F902" s="955"/>
      <c r="L902" s="954"/>
      <c r="M902" s="952"/>
      <c r="N902" s="952"/>
    </row>
    <row r="903" spans="1:14">
      <c r="A903" s="958" t="s">
        <v>373</v>
      </c>
      <c r="B903" s="958">
        <v>23</v>
      </c>
      <c r="C903" s="958" t="s">
        <v>3333</v>
      </c>
      <c r="D903" s="957" t="s">
        <v>9210</v>
      </c>
      <c r="E903" s="956">
        <v>7353</v>
      </c>
      <c r="F903" s="955"/>
      <c r="L903" s="954"/>
      <c r="M903" s="952"/>
      <c r="N903" s="952"/>
    </row>
    <row r="904" spans="1:14">
      <c r="A904" s="958" t="s">
        <v>373</v>
      </c>
      <c r="B904" s="958">
        <v>23</v>
      </c>
      <c r="C904" s="958" t="s">
        <v>3331</v>
      </c>
      <c r="D904" s="957" t="s">
        <v>9209</v>
      </c>
      <c r="E904" s="956">
        <v>14600</v>
      </c>
      <c r="F904" s="955"/>
      <c r="L904" s="954"/>
      <c r="M904" s="952"/>
      <c r="N904" s="952"/>
    </row>
    <row r="905" spans="1:14">
      <c r="A905" s="958" t="s">
        <v>373</v>
      </c>
      <c r="B905" s="958">
        <v>23</v>
      </c>
      <c r="C905" s="958" t="s">
        <v>3329</v>
      </c>
      <c r="D905" s="957" t="s">
        <v>9208</v>
      </c>
      <c r="E905" s="956">
        <v>80271</v>
      </c>
      <c r="F905" s="955"/>
      <c r="L905" s="954"/>
      <c r="M905" s="952"/>
      <c r="N905" s="952"/>
    </row>
    <row r="906" spans="1:14">
      <c r="A906" s="958" t="s">
        <v>373</v>
      </c>
      <c r="B906" s="958">
        <v>23</v>
      </c>
      <c r="C906" s="958" t="s">
        <v>3327</v>
      </c>
      <c r="D906" s="957" t="s">
        <v>9207</v>
      </c>
      <c r="E906" s="956">
        <v>74547</v>
      </c>
      <c r="F906" s="955"/>
      <c r="L906" s="954"/>
      <c r="M906" s="952"/>
      <c r="N906" s="952"/>
    </row>
    <row r="907" spans="1:14">
      <c r="A907" s="958" t="s">
        <v>373</v>
      </c>
      <c r="B907" s="958">
        <v>23</v>
      </c>
      <c r="C907" s="958" t="s">
        <v>3325</v>
      </c>
      <c r="D907" s="957" t="s">
        <v>9206</v>
      </c>
      <c r="E907" s="956">
        <v>26469</v>
      </c>
      <c r="F907" s="955"/>
      <c r="L907" s="954"/>
      <c r="M907" s="952"/>
      <c r="N907" s="952"/>
    </row>
    <row r="908" spans="1:14">
      <c r="A908" s="958" t="s">
        <v>373</v>
      </c>
      <c r="B908" s="958">
        <v>23</v>
      </c>
      <c r="C908" s="958" t="s">
        <v>3323</v>
      </c>
      <c r="D908" s="957" t="s">
        <v>9205</v>
      </c>
      <c r="E908" s="956">
        <v>10935</v>
      </c>
      <c r="F908" s="955"/>
      <c r="L908" s="954"/>
      <c r="M908" s="952"/>
      <c r="N908" s="952"/>
    </row>
    <row r="909" spans="1:14">
      <c r="A909" s="958" t="s">
        <v>373</v>
      </c>
      <c r="B909" s="958">
        <v>23</v>
      </c>
      <c r="C909" s="958" t="s">
        <v>3319</v>
      </c>
      <c r="D909" s="957" t="s">
        <v>9204</v>
      </c>
      <c r="E909" s="956">
        <v>21600</v>
      </c>
      <c r="F909" s="955"/>
      <c r="L909" s="954"/>
      <c r="M909" s="952"/>
      <c r="N909" s="952"/>
    </row>
    <row r="910" spans="1:14">
      <c r="A910" s="958" t="s">
        <v>373</v>
      </c>
      <c r="B910" s="958">
        <v>23</v>
      </c>
      <c r="C910" s="958" t="s">
        <v>3317</v>
      </c>
      <c r="D910" s="957" t="s">
        <v>9203</v>
      </c>
      <c r="E910" s="956">
        <v>11847</v>
      </c>
      <c r="F910" s="955"/>
      <c r="L910" s="954"/>
      <c r="M910" s="952"/>
      <c r="N910" s="952"/>
    </row>
    <row r="911" spans="1:14">
      <c r="A911" s="958" t="s">
        <v>373</v>
      </c>
      <c r="B911" s="958">
        <v>23</v>
      </c>
      <c r="C911" s="958" t="s">
        <v>3315</v>
      </c>
      <c r="D911" s="957" t="s">
        <v>9202</v>
      </c>
      <c r="E911" s="956">
        <v>7840</v>
      </c>
      <c r="F911" s="955"/>
      <c r="L911" s="954"/>
      <c r="M911" s="952"/>
      <c r="N911" s="952"/>
    </row>
    <row r="912" spans="1:14">
      <c r="A912" s="958" t="s">
        <v>373</v>
      </c>
      <c r="B912" s="958">
        <v>23</v>
      </c>
      <c r="C912" s="958" t="s">
        <v>3313</v>
      </c>
      <c r="D912" s="957" t="s">
        <v>9201</v>
      </c>
      <c r="E912" s="956">
        <v>23417</v>
      </c>
      <c r="F912" s="955"/>
      <c r="L912" s="954"/>
      <c r="M912" s="952"/>
      <c r="N912" s="952"/>
    </row>
    <row r="913" spans="1:14">
      <c r="A913" s="958" t="s">
        <v>373</v>
      </c>
      <c r="B913" s="958">
        <v>23</v>
      </c>
      <c r="C913" s="958" t="s">
        <v>3309</v>
      </c>
      <c r="D913" s="957" t="s">
        <v>3304</v>
      </c>
      <c r="E913" s="956">
        <v>24654</v>
      </c>
      <c r="F913" s="955"/>
      <c r="L913" s="954"/>
      <c r="M913" s="952"/>
      <c r="N913" s="952"/>
    </row>
    <row r="914" spans="1:14">
      <c r="A914" s="958" t="s">
        <v>373</v>
      </c>
      <c r="B914" s="958">
        <v>23</v>
      </c>
      <c r="C914" s="958" t="s">
        <v>3307</v>
      </c>
      <c r="D914" s="957" t="s">
        <v>9200</v>
      </c>
      <c r="E914" s="956">
        <v>6288</v>
      </c>
      <c r="F914" s="955"/>
      <c r="L914" s="954"/>
      <c r="M914" s="952"/>
      <c r="N914" s="952"/>
    </row>
    <row r="915" spans="1:14">
      <c r="A915" s="958" t="s">
        <v>373</v>
      </c>
      <c r="B915" s="958">
        <v>23</v>
      </c>
      <c r="C915" s="958" t="s">
        <v>9199</v>
      </c>
      <c r="D915" s="957" t="s">
        <v>9198</v>
      </c>
      <c r="E915" s="956">
        <v>18197</v>
      </c>
      <c r="F915" s="955"/>
      <c r="L915" s="954"/>
      <c r="M915" s="952"/>
      <c r="N915" s="952"/>
    </row>
    <row r="916" spans="1:14">
      <c r="A916" s="958" t="s">
        <v>373</v>
      </c>
      <c r="B916" s="958">
        <v>23</v>
      </c>
      <c r="C916" s="958" t="s">
        <v>3305</v>
      </c>
      <c r="D916" s="957" t="s">
        <v>9197</v>
      </c>
      <c r="E916" s="956">
        <v>59732</v>
      </c>
      <c r="F916" s="955"/>
      <c r="L916" s="954"/>
      <c r="M916" s="952"/>
      <c r="N916" s="952"/>
    </row>
    <row r="917" spans="1:14">
      <c r="A917" s="958" t="s">
        <v>373</v>
      </c>
      <c r="B917" s="958">
        <v>23</v>
      </c>
      <c r="C917" s="958" t="s">
        <v>3303</v>
      </c>
      <c r="D917" s="957" t="s">
        <v>9196</v>
      </c>
      <c r="E917" s="956">
        <v>22425</v>
      </c>
      <c r="F917" s="955"/>
      <c r="L917" s="954"/>
      <c r="M917" s="952"/>
      <c r="N917" s="952"/>
    </row>
    <row r="918" spans="1:14">
      <c r="A918" s="958" t="s">
        <v>373</v>
      </c>
      <c r="B918" s="958">
        <v>23</v>
      </c>
      <c r="C918" s="958" t="s">
        <v>3301</v>
      </c>
      <c r="D918" s="957" t="s">
        <v>9195</v>
      </c>
      <c r="E918" s="956">
        <v>22680</v>
      </c>
      <c r="F918" s="955"/>
      <c r="L918" s="954"/>
      <c r="M918" s="952"/>
      <c r="N918" s="952"/>
    </row>
    <row r="919" spans="1:14">
      <c r="A919" s="958" t="s">
        <v>373</v>
      </c>
      <c r="B919" s="958">
        <v>23</v>
      </c>
      <c r="C919" s="958" t="s">
        <v>3299</v>
      </c>
      <c r="D919" s="957" t="s">
        <v>9194</v>
      </c>
      <c r="E919" s="956">
        <v>15017</v>
      </c>
      <c r="F919" s="955"/>
      <c r="L919" s="954"/>
      <c r="M919" s="952"/>
      <c r="N919" s="952"/>
    </row>
    <row r="920" spans="1:14">
      <c r="A920" s="958" t="s">
        <v>373</v>
      </c>
      <c r="B920" s="958">
        <v>23</v>
      </c>
      <c r="C920" s="958" t="s">
        <v>3291</v>
      </c>
      <c r="D920" s="957" t="s">
        <v>9193</v>
      </c>
      <c r="E920" s="956">
        <v>35750</v>
      </c>
      <c r="F920" s="955"/>
      <c r="L920" s="954"/>
      <c r="M920" s="952"/>
      <c r="N920" s="952"/>
    </row>
    <row r="921" spans="1:14">
      <c r="A921" s="958" t="s">
        <v>373</v>
      </c>
      <c r="B921" s="958">
        <v>23</v>
      </c>
      <c r="C921" s="958" t="s">
        <v>3285</v>
      </c>
      <c r="D921" s="957" t="s">
        <v>9192</v>
      </c>
      <c r="E921" s="956">
        <v>53573</v>
      </c>
      <c r="F921" s="955"/>
      <c r="L921" s="954"/>
      <c r="M921" s="952"/>
      <c r="N921" s="952"/>
    </row>
    <row r="922" spans="1:14">
      <c r="A922" s="958" t="s">
        <v>373</v>
      </c>
      <c r="B922" s="958">
        <v>23</v>
      </c>
      <c r="C922" s="958" t="s">
        <v>3283</v>
      </c>
      <c r="D922" s="957" t="s">
        <v>9191</v>
      </c>
      <c r="E922" s="956">
        <v>32591</v>
      </c>
      <c r="F922" s="955"/>
      <c r="L922" s="954"/>
      <c r="M922" s="952"/>
      <c r="N922" s="952"/>
    </row>
    <row r="923" spans="1:14">
      <c r="A923" s="958" t="s">
        <v>373</v>
      </c>
      <c r="B923" s="958">
        <v>23</v>
      </c>
      <c r="C923" s="958" t="s">
        <v>3281</v>
      </c>
      <c r="D923" s="957" t="s">
        <v>9190</v>
      </c>
      <c r="E923" s="956">
        <v>54470</v>
      </c>
      <c r="F923" s="955"/>
      <c r="L923" s="954"/>
      <c r="M923" s="952"/>
      <c r="N923" s="952"/>
    </row>
    <row r="924" spans="1:14">
      <c r="A924" s="958" t="s">
        <v>373</v>
      </c>
      <c r="B924" s="958">
        <v>23</v>
      </c>
      <c r="C924" s="958" t="s">
        <v>3275</v>
      </c>
      <c r="D924" s="957" t="s">
        <v>9189</v>
      </c>
      <c r="E924" s="956">
        <v>49477</v>
      </c>
      <c r="F924" s="955"/>
      <c r="L924" s="954"/>
      <c r="M924" s="952"/>
      <c r="N924" s="952"/>
    </row>
    <row r="925" spans="1:14">
      <c r="A925" s="958" t="s">
        <v>373</v>
      </c>
      <c r="B925" s="958">
        <v>23</v>
      </c>
      <c r="C925" s="958" t="s">
        <v>3270</v>
      </c>
      <c r="D925" s="957" t="s">
        <v>9188</v>
      </c>
      <c r="E925" s="956">
        <v>63661</v>
      </c>
      <c r="F925" s="955"/>
      <c r="L925" s="954"/>
      <c r="M925" s="952"/>
      <c r="N925" s="952"/>
    </row>
    <row r="926" spans="1:14">
      <c r="A926" s="958" t="s">
        <v>373</v>
      </c>
      <c r="B926" s="958">
        <v>23</v>
      </c>
      <c r="C926" s="958" t="s">
        <v>3268</v>
      </c>
      <c r="D926" s="957" t="s">
        <v>9187</v>
      </c>
      <c r="E926" s="956">
        <v>27426</v>
      </c>
      <c r="F926" s="955"/>
      <c r="L926" s="954"/>
      <c r="M926" s="952"/>
      <c r="N926" s="952"/>
    </row>
    <row r="927" spans="1:14">
      <c r="A927" s="958" t="s">
        <v>373</v>
      </c>
      <c r="B927" s="958">
        <v>23</v>
      </c>
      <c r="C927" s="958" t="s">
        <v>3266</v>
      </c>
      <c r="D927" s="957" t="s">
        <v>9186</v>
      </c>
      <c r="E927" s="956">
        <v>76997</v>
      </c>
      <c r="F927" s="955"/>
      <c r="L927" s="954"/>
      <c r="M927" s="952"/>
      <c r="N927" s="952"/>
    </row>
    <row r="928" spans="1:14">
      <c r="A928" s="958" t="s">
        <v>373</v>
      </c>
      <c r="B928" s="958">
        <v>23</v>
      </c>
      <c r="C928" s="958" t="s">
        <v>3260</v>
      </c>
      <c r="D928" s="957" t="s">
        <v>9185</v>
      </c>
      <c r="E928" s="956">
        <v>17738</v>
      </c>
      <c r="F928" s="955"/>
      <c r="L928" s="954"/>
      <c r="M928" s="952"/>
      <c r="N928" s="952"/>
    </row>
    <row r="929" spans="1:14">
      <c r="A929" s="958" t="s">
        <v>373</v>
      </c>
      <c r="B929" s="958">
        <v>23</v>
      </c>
      <c r="C929" s="958" t="s">
        <v>3258</v>
      </c>
      <c r="D929" s="957" t="s">
        <v>9184</v>
      </c>
      <c r="E929" s="956">
        <v>22547</v>
      </c>
      <c r="F929" s="955"/>
      <c r="L929" s="954"/>
      <c r="M929" s="952"/>
      <c r="N929" s="952"/>
    </row>
    <row r="930" spans="1:14">
      <c r="A930" s="958" t="s">
        <v>373</v>
      </c>
      <c r="B930" s="958">
        <v>23</v>
      </c>
      <c r="C930" s="958" t="s">
        <v>3256</v>
      </c>
      <c r="D930" s="957" t="s">
        <v>9183</v>
      </c>
      <c r="E930" s="956">
        <v>18448</v>
      </c>
      <c r="F930" s="955"/>
      <c r="L930" s="954"/>
      <c r="M930" s="952"/>
      <c r="N930" s="952"/>
    </row>
    <row r="931" spans="1:14">
      <c r="A931" s="958" t="s">
        <v>373</v>
      </c>
      <c r="B931" s="958">
        <v>23</v>
      </c>
      <c r="C931" s="958" t="s">
        <v>3252</v>
      </c>
      <c r="D931" s="957" t="s">
        <v>9182</v>
      </c>
      <c r="E931" s="956">
        <v>26965</v>
      </c>
      <c r="F931" s="955"/>
      <c r="L931" s="954"/>
      <c r="M931" s="952"/>
      <c r="N931" s="952"/>
    </row>
    <row r="932" spans="1:14">
      <c r="A932" s="958" t="s">
        <v>373</v>
      </c>
      <c r="B932" s="958">
        <v>23</v>
      </c>
      <c r="C932" s="958" t="s">
        <v>3248</v>
      </c>
      <c r="D932" s="957" t="s">
        <v>9181</v>
      </c>
      <c r="E932" s="956">
        <v>18699</v>
      </c>
      <c r="F932" s="955"/>
      <c r="L932" s="954"/>
      <c r="M932" s="952"/>
      <c r="N932" s="952"/>
    </row>
    <row r="933" spans="1:14">
      <c r="A933" s="958" t="s">
        <v>373</v>
      </c>
      <c r="B933" s="958">
        <v>23</v>
      </c>
      <c r="C933" s="958" t="s">
        <v>3246</v>
      </c>
      <c r="D933" s="957" t="s">
        <v>9180</v>
      </c>
      <c r="E933" s="956">
        <v>17606</v>
      </c>
      <c r="F933" s="955"/>
      <c r="L933" s="954"/>
      <c r="M933" s="952"/>
      <c r="N933" s="952"/>
    </row>
    <row r="934" spans="1:14">
      <c r="A934" s="958" t="s">
        <v>373</v>
      </c>
      <c r="B934" s="958">
        <v>23</v>
      </c>
      <c r="C934" s="958" t="s">
        <v>3244</v>
      </c>
      <c r="D934" s="957" t="s">
        <v>3999</v>
      </c>
      <c r="E934" s="956">
        <v>71743</v>
      </c>
      <c r="F934" s="955"/>
      <c r="L934" s="954"/>
      <c r="M934" s="952"/>
      <c r="N934" s="952"/>
    </row>
    <row r="935" spans="1:14">
      <c r="A935" s="958" t="s">
        <v>373</v>
      </c>
      <c r="B935" s="958">
        <v>23</v>
      </c>
      <c r="C935" s="958" t="s">
        <v>3242</v>
      </c>
      <c r="D935" s="957" t="s">
        <v>9179</v>
      </c>
      <c r="E935" s="956">
        <v>20698</v>
      </c>
      <c r="F935" s="955"/>
      <c r="L935" s="954"/>
      <c r="M935" s="952"/>
      <c r="N935" s="952"/>
    </row>
    <row r="936" spans="1:14">
      <c r="A936" s="958" t="s">
        <v>373</v>
      </c>
      <c r="B936" s="958">
        <v>23</v>
      </c>
      <c r="C936" s="958" t="s">
        <v>9178</v>
      </c>
      <c r="D936" s="957" t="s">
        <v>9177</v>
      </c>
      <c r="E936" s="956">
        <v>10342</v>
      </c>
      <c r="F936" s="955"/>
      <c r="L936" s="954"/>
      <c r="M936" s="952"/>
      <c r="N936" s="952"/>
    </row>
    <row r="937" spans="1:14">
      <c r="A937" s="958" t="s">
        <v>373</v>
      </c>
      <c r="B937" s="958">
        <v>23</v>
      </c>
      <c r="C937" s="958" t="s">
        <v>3240</v>
      </c>
      <c r="D937" s="957" t="s">
        <v>9176</v>
      </c>
      <c r="E937" s="956">
        <v>361400</v>
      </c>
      <c r="F937" s="955"/>
      <c r="L937" s="954"/>
      <c r="M937" s="952"/>
      <c r="N937" s="952"/>
    </row>
    <row r="938" spans="1:14">
      <c r="A938" s="958" t="s">
        <v>373</v>
      </c>
      <c r="B938" s="958">
        <v>23</v>
      </c>
      <c r="C938" s="958" t="s">
        <v>3238</v>
      </c>
      <c r="D938" s="957" t="s">
        <v>8410</v>
      </c>
      <c r="E938" s="956">
        <v>25557</v>
      </c>
      <c r="F938" s="955"/>
      <c r="L938" s="954"/>
      <c r="M938" s="952"/>
      <c r="N938" s="952"/>
    </row>
    <row r="939" spans="1:14">
      <c r="A939" s="958" t="s">
        <v>373</v>
      </c>
      <c r="B939" s="958">
        <v>23</v>
      </c>
      <c r="C939" s="958" t="s">
        <v>3236</v>
      </c>
      <c r="D939" s="957" t="s">
        <v>9175</v>
      </c>
      <c r="E939" s="956">
        <v>13069</v>
      </c>
      <c r="F939" s="955"/>
      <c r="L939" s="954"/>
      <c r="M939" s="952"/>
      <c r="N939" s="952"/>
    </row>
    <row r="940" spans="1:14">
      <c r="A940" s="958" t="s">
        <v>373</v>
      </c>
      <c r="B940" s="958">
        <v>23</v>
      </c>
      <c r="C940" s="958" t="s">
        <v>9174</v>
      </c>
      <c r="D940" s="957" t="s">
        <v>9173</v>
      </c>
      <c r="E940" s="956">
        <v>13521</v>
      </c>
      <c r="F940" s="955"/>
      <c r="L940" s="954"/>
      <c r="M940" s="952"/>
      <c r="N940" s="952"/>
    </row>
    <row r="941" spans="1:14">
      <c r="A941" s="958" t="s">
        <v>373</v>
      </c>
      <c r="B941" s="958">
        <v>23</v>
      </c>
      <c r="C941" s="958" t="s">
        <v>3234</v>
      </c>
      <c r="D941" s="957" t="s">
        <v>9172</v>
      </c>
      <c r="E941" s="956">
        <v>20264</v>
      </c>
      <c r="F941" s="955"/>
      <c r="L941" s="954"/>
      <c r="M941" s="952"/>
      <c r="N941" s="952"/>
    </row>
    <row r="942" spans="1:14">
      <c r="A942" s="958" t="s">
        <v>373</v>
      </c>
      <c r="B942" s="958">
        <v>23</v>
      </c>
      <c r="C942" s="958" t="s">
        <v>3232</v>
      </c>
      <c r="D942" s="957" t="s">
        <v>9171</v>
      </c>
      <c r="E942" s="956">
        <v>23136</v>
      </c>
      <c r="F942" s="955"/>
      <c r="L942" s="954"/>
      <c r="M942" s="952"/>
      <c r="N942" s="952"/>
    </row>
    <row r="943" spans="1:14">
      <c r="A943" s="958" t="s">
        <v>373</v>
      </c>
      <c r="B943" s="958">
        <v>23</v>
      </c>
      <c r="C943" s="958" t="s">
        <v>3230</v>
      </c>
      <c r="D943" s="957" t="s">
        <v>9170</v>
      </c>
      <c r="E943" s="956">
        <v>75074</v>
      </c>
      <c r="F943" s="955"/>
      <c r="L943" s="954"/>
      <c r="M943" s="952"/>
      <c r="N943" s="952"/>
    </row>
    <row r="944" spans="1:14">
      <c r="A944" s="958" t="s">
        <v>373</v>
      </c>
      <c r="B944" s="958">
        <v>23</v>
      </c>
      <c r="C944" s="958" t="s">
        <v>3222</v>
      </c>
      <c r="D944" s="957" t="s">
        <v>9169</v>
      </c>
      <c r="E944" s="956">
        <v>132123</v>
      </c>
      <c r="F944" s="955"/>
      <c r="L944" s="954"/>
      <c r="M944" s="952"/>
      <c r="N944" s="952"/>
    </row>
    <row r="945" spans="1:14">
      <c r="A945" s="958" t="s">
        <v>373</v>
      </c>
      <c r="B945" s="958">
        <v>23</v>
      </c>
      <c r="C945" s="958" t="s">
        <v>9168</v>
      </c>
      <c r="D945" s="957" t="s">
        <v>9167</v>
      </c>
      <c r="E945" s="956">
        <v>18063</v>
      </c>
      <c r="F945" s="955"/>
      <c r="L945" s="954"/>
      <c r="M945" s="952"/>
      <c r="N945" s="952"/>
    </row>
    <row r="946" spans="1:14">
      <c r="A946" s="958" t="s">
        <v>373</v>
      </c>
      <c r="B946" s="958">
        <v>23</v>
      </c>
      <c r="C946" s="958" t="s">
        <v>3220</v>
      </c>
      <c r="D946" s="957" t="s">
        <v>9166</v>
      </c>
      <c r="E946" s="956">
        <v>24827</v>
      </c>
      <c r="F946" s="955"/>
      <c r="L946" s="954"/>
      <c r="M946" s="952"/>
      <c r="N946" s="952"/>
    </row>
    <row r="947" spans="1:14">
      <c r="A947" s="958" t="s">
        <v>373</v>
      </c>
      <c r="B947" s="958">
        <v>23</v>
      </c>
      <c r="C947" s="958" t="s">
        <v>9165</v>
      </c>
      <c r="D947" s="957" t="s">
        <v>9164</v>
      </c>
      <c r="E947" s="956">
        <v>9625</v>
      </c>
      <c r="F947" s="955"/>
      <c r="L947" s="954"/>
      <c r="M947" s="952"/>
      <c r="N947" s="952"/>
    </row>
    <row r="948" spans="1:14">
      <c r="A948" s="958" t="s">
        <v>373</v>
      </c>
      <c r="B948" s="958">
        <v>23</v>
      </c>
      <c r="C948" s="958" t="s">
        <v>9163</v>
      </c>
      <c r="D948" s="957" t="s">
        <v>9162</v>
      </c>
      <c r="E948" s="956">
        <v>7198</v>
      </c>
      <c r="F948" s="955"/>
      <c r="L948" s="954"/>
      <c r="M948" s="952"/>
      <c r="N948" s="952"/>
    </row>
    <row r="949" spans="1:14">
      <c r="A949" s="958" t="s">
        <v>373</v>
      </c>
      <c r="B949" s="958">
        <v>23</v>
      </c>
      <c r="C949" s="958" t="s">
        <v>9161</v>
      </c>
      <c r="D949" s="957" t="s">
        <v>9160</v>
      </c>
      <c r="E949" s="956">
        <v>53618</v>
      </c>
      <c r="F949" s="955"/>
      <c r="L949" s="954"/>
      <c r="M949" s="952"/>
      <c r="N949" s="952"/>
    </row>
    <row r="950" spans="1:14">
      <c r="A950" s="958" t="s">
        <v>373</v>
      </c>
      <c r="B950" s="958">
        <v>23</v>
      </c>
      <c r="C950" s="958" t="s">
        <v>3218</v>
      </c>
      <c r="D950" s="957" t="s">
        <v>9159</v>
      </c>
      <c r="E950" s="956">
        <v>19450</v>
      </c>
      <c r="F950" s="955"/>
      <c r="L950" s="954"/>
      <c r="M950" s="952"/>
      <c r="N950" s="952"/>
    </row>
    <row r="951" spans="1:14">
      <c r="A951" s="958" t="s">
        <v>373</v>
      </c>
      <c r="B951" s="958">
        <v>23</v>
      </c>
      <c r="C951" s="958" t="s">
        <v>3216</v>
      </c>
      <c r="D951" s="957" t="s">
        <v>9158</v>
      </c>
      <c r="E951" s="956">
        <v>24218</v>
      </c>
      <c r="F951" s="955"/>
      <c r="L951" s="954"/>
      <c r="M951" s="952"/>
      <c r="N951" s="952"/>
    </row>
    <row r="952" spans="1:14">
      <c r="A952" s="958" t="s">
        <v>373</v>
      </c>
      <c r="B952" s="958">
        <v>23</v>
      </c>
      <c r="C952" s="958" t="s">
        <v>3214</v>
      </c>
      <c r="D952" s="957" t="s">
        <v>9157</v>
      </c>
      <c r="E952" s="956">
        <v>2669342</v>
      </c>
      <c r="F952" s="955"/>
      <c r="L952" s="954"/>
      <c r="M952" s="952"/>
      <c r="N952" s="952"/>
    </row>
    <row r="953" spans="1:14">
      <c r="A953" s="958" t="s">
        <v>373</v>
      </c>
      <c r="B953" s="958">
        <v>23</v>
      </c>
      <c r="C953" s="958" t="s">
        <v>3212</v>
      </c>
      <c r="D953" s="957" t="s">
        <v>9156</v>
      </c>
      <c r="E953" s="956">
        <v>16480</v>
      </c>
      <c r="F953" s="955"/>
      <c r="L953" s="954"/>
      <c r="M953" s="952"/>
      <c r="N953" s="952"/>
    </row>
    <row r="954" spans="1:14">
      <c r="A954" s="958" t="s">
        <v>373</v>
      </c>
      <c r="B954" s="958">
        <v>23</v>
      </c>
      <c r="C954" s="958" t="s">
        <v>3210</v>
      </c>
      <c r="D954" s="957" t="s">
        <v>9155</v>
      </c>
      <c r="E954" s="956">
        <v>14072</v>
      </c>
      <c r="F954" s="955"/>
      <c r="L954" s="954"/>
      <c r="M954" s="952"/>
      <c r="N954" s="952"/>
    </row>
    <row r="955" spans="1:14">
      <c r="A955" s="958" t="s">
        <v>373</v>
      </c>
      <c r="B955" s="958">
        <v>23</v>
      </c>
      <c r="C955" s="958" t="s">
        <v>3206</v>
      </c>
      <c r="D955" s="957" t="s">
        <v>9154</v>
      </c>
      <c r="E955" s="956">
        <v>7618</v>
      </c>
      <c r="F955" s="955"/>
      <c r="L955" s="954"/>
      <c r="M955" s="952"/>
      <c r="N955" s="952"/>
    </row>
    <row r="956" spans="1:14">
      <c r="A956" s="958" t="s">
        <v>373</v>
      </c>
      <c r="B956" s="958">
        <v>23</v>
      </c>
      <c r="C956" s="958" t="s">
        <v>9153</v>
      </c>
      <c r="D956" s="957" t="s">
        <v>9152</v>
      </c>
      <c r="E956" s="956">
        <v>14399</v>
      </c>
      <c r="F956" s="955"/>
      <c r="L956" s="954"/>
      <c r="M956" s="952"/>
      <c r="N956" s="952"/>
    </row>
    <row r="957" spans="1:14">
      <c r="A957" s="958" t="s">
        <v>373</v>
      </c>
      <c r="B957" s="958">
        <v>23</v>
      </c>
      <c r="C957" s="958" t="s">
        <v>3204</v>
      </c>
      <c r="D957" s="957" t="s">
        <v>9151</v>
      </c>
      <c r="E957" s="956">
        <v>54748</v>
      </c>
      <c r="F957" s="955"/>
      <c r="L957" s="954"/>
      <c r="M957" s="952"/>
      <c r="N957" s="952"/>
    </row>
    <row r="958" spans="1:14">
      <c r="A958" s="958" t="s">
        <v>373</v>
      </c>
      <c r="B958" s="958">
        <v>23</v>
      </c>
      <c r="C958" s="958" t="s">
        <v>3200</v>
      </c>
      <c r="D958" s="957" t="s">
        <v>9150</v>
      </c>
      <c r="E958" s="956">
        <v>4844</v>
      </c>
      <c r="F958" s="955"/>
      <c r="L958" s="954"/>
      <c r="M958" s="952"/>
      <c r="N958" s="952"/>
    </row>
    <row r="959" spans="1:14">
      <c r="A959" s="958" t="s">
        <v>373</v>
      </c>
      <c r="B959" s="958">
        <v>23</v>
      </c>
      <c r="C959" s="958" t="s">
        <v>3198</v>
      </c>
      <c r="D959" s="957" t="s">
        <v>9149</v>
      </c>
      <c r="E959" s="956">
        <v>11068</v>
      </c>
      <c r="F959" s="955"/>
      <c r="L959" s="954"/>
      <c r="M959" s="952"/>
      <c r="N959" s="952"/>
    </row>
    <row r="960" spans="1:14">
      <c r="A960" s="958" t="s">
        <v>373</v>
      </c>
      <c r="B960" s="958">
        <v>23</v>
      </c>
      <c r="C960" s="958" t="s">
        <v>9148</v>
      </c>
      <c r="D960" s="957" t="s">
        <v>9147</v>
      </c>
      <c r="E960" s="956">
        <v>26064</v>
      </c>
      <c r="F960" s="955"/>
      <c r="L960" s="954"/>
      <c r="M960" s="952"/>
      <c r="N960" s="952"/>
    </row>
    <row r="961" spans="1:14">
      <c r="A961" s="958" t="s">
        <v>373</v>
      </c>
      <c r="B961" s="958">
        <v>23</v>
      </c>
      <c r="C961" s="958" t="s">
        <v>3196</v>
      </c>
      <c r="D961" s="957" t="s">
        <v>9146</v>
      </c>
      <c r="E961" s="956">
        <v>40642</v>
      </c>
      <c r="F961" s="955"/>
      <c r="L961" s="954"/>
      <c r="M961" s="952"/>
      <c r="N961" s="952"/>
    </row>
    <row r="962" spans="1:14">
      <c r="A962" s="958" t="s">
        <v>373</v>
      </c>
      <c r="B962" s="958">
        <v>23</v>
      </c>
      <c r="C962" s="958" t="s">
        <v>3194</v>
      </c>
      <c r="D962" s="957" t="s">
        <v>9145</v>
      </c>
      <c r="E962" s="956">
        <v>5193</v>
      </c>
      <c r="F962" s="955"/>
      <c r="L962" s="954"/>
      <c r="M962" s="952"/>
      <c r="N962" s="952"/>
    </row>
    <row r="963" spans="1:14">
      <c r="A963" s="958" t="s">
        <v>373</v>
      </c>
      <c r="B963" s="958">
        <v>23</v>
      </c>
      <c r="C963" s="958" t="s">
        <v>3186</v>
      </c>
      <c r="D963" s="957" t="s">
        <v>1125</v>
      </c>
      <c r="E963" s="956">
        <v>19978</v>
      </c>
      <c r="F963" s="955"/>
      <c r="L963" s="954"/>
      <c r="M963" s="952"/>
      <c r="N963" s="952"/>
    </row>
    <row r="964" spans="1:14">
      <c r="A964" s="958" t="s">
        <v>373</v>
      </c>
      <c r="B964" s="958">
        <v>23</v>
      </c>
      <c r="C964" s="958" t="s">
        <v>9144</v>
      </c>
      <c r="D964" s="957" t="s">
        <v>9143</v>
      </c>
      <c r="E964" s="956">
        <v>67337</v>
      </c>
      <c r="F964" s="955"/>
      <c r="L964" s="954"/>
      <c r="M964" s="952"/>
      <c r="N964" s="952"/>
    </row>
    <row r="965" spans="1:14">
      <c r="A965" s="958" t="s">
        <v>373</v>
      </c>
      <c r="B965" s="958">
        <v>23</v>
      </c>
      <c r="C965" s="958" t="s">
        <v>9142</v>
      </c>
      <c r="D965" s="957" t="s">
        <v>9141</v>
      </c>
      <c r="E965" s="956">
        <v>13353</v>
      </c>
      <c r="F965" s="955"/>
      <c r="L965" s="954"/>
      <c r="M965" s="952"/>
      <c r="N965" s="952"/>
    </row>
    <row r="966" spans="1:14">
      <c r="A966" s="958" t="s">
        <v>373</v>
      </c>
      <c r="B966" s="958">
        <v>23</v>
      </c>
      <c r="C966" s="958" t="s">
        <v>3184</v>
      </c>
      <c r="D966" s="957" t="s">
        <v>9140</v>
      </c>
      <c r="E966" s="956">
        <v>24997</v>
      </c>
      <c r="F966" s="955"/>
      <c r="L966" s="954"/>
      <c r="M966" s="952"/>
      <c r="N966" s="952"/>
    </row>
    <row r="967" spans="1:14">
      <c r="A967" s="958" t="s">
        <v>373</v>
      </c>
      <c r="B967" s="958">
        <v>23</v>
      </c>
      <c r="C967" s="958" t="s">
        <v>9139</v>
      </c>
      <c r="D967" s="957" t="s">
        <v>9138</v>
      </c>
      <c r="E967" s="956">
        <v>12525</v>
      </c>
      <c r="F967" s="955"/>
      <c r="L967" s="954"/>
      <c r="M967" s="952"/>
      <c r="N967" s="952"/>
    </row>
    <row r="968" spans="1:14">
      <c r="A968" s="958" t="s">
        <v>373</v>
      </c>
      <c r="B968" s="958">
        <v>23</v>
      </c>
      <c r="C968" s="958" t="s">
        <v>3182</v>
      </c>
      <c r="D968" s="957" t="s">
        <v>9137</v>
      </c>
      <c r="E968" s="956">
        <v>19934</v>
      </c>
      <c r="F968" s="955"/>
      <c r="L968" s="954"/>
      <c r="M968" s="952"/>
      <c r="N968" s="952"/>
    </row>
    <row r="969" spans="1:14">
      <c r="A969" s="958" t="s">
        <v>373</v>
      </c>
      <c r="B969" s="958">
        <v>23</v>
      </c>
      <c r="C969" s="958" t="s">
        <v>3180</v>
      </c>
      <c r="D969" s="957" t="s">
        <v>9136</v>
      </c>
      <c r="E969" s="956">
        <v>68018</v>
      </c>
      <c r="F969" s="955"/>
      <c r="L969" s="954"/>
      <c r="M969" s="952"/>
      <c r="N969" s="952"/>
    </row>
    <row r="970" spans="1:14">
      <c r="A970" s="958" t="s">
        <v>373</v>
      </c>
      <c r="B970" s="958">
        <v>23</v>
      </c>
      <c r="C970" s="958" t="s">
        <v>3174</v>
      </c>
      <c r="D970" s="957" t="s">
        <v>3854</v>
      </c>
      <c r="E970" s="956">
        <v>102498</v>
      </c>
      <c r="F970" s="955"/>
      <c r="L970" s="954"/>
      <c r="M970" s="952"/>
      <c r="N970" s="952"/>
    </row>
    <row r="971" spans="1:14">
      <c r="A971" s="958" t="s">
        <v>373</v>
      </c>
      <c r="B971" s="958">
        <v>23</v>
      </c>
      <c r="C971" s="958" t="s">
        <v>3170</v>
      </c>
      <c r="D971" s="957" t="s">
        <v>2357</v>
      </c>
      <c r="E971" s="956">
        <v>26178</v>
      </c>
      <c r="F971" s="955"/>
      <c r="L971" s="954"/>
      <c r="M971" s="952"/>
      <c r="N971" s="952"/>
    </row>
    <row r="972" spans="1:14">
      <c r="A972" s="958" t="s">
        <v>373</v>
      </c>
      <c r="B972" s="958">
        <v>23</v>
      </c>
      <c r="C972" s="958" t="s">
        <v>9135</v>
      </c>
      <c r="D972" s="957" t="s">
        <v>9134</v>
      </c>
      <c r="E972" s="956">
        <v>11593</v>
      </c>
      <c r="F972" s="955"/>
      <c r="L972" s="954"/>
      <c r="M972" s="952"/>
      <c r="N972" s="952"/>
    </row>
    <row r="973" spans="1:14">
      <c r="A973" s="958" t="s">
        <v>373</v>
      </c>
      <c r="B973" s="958">
        <v>23</v>
      </c>
      <c r="C973" s="958" t="s">
        <v>3168</v>
      </c>
      <c r="D973" s="957" t="s">
        <v>9133</v>
      </c>
      <c r="E973" s="956">
        <v>12463</v>
      </c>
      <c r="F973" s="955"/>
      <c r="L973" s="954"/>
      <c r="M973" s="952"/>
      <c r="N973" s="952"/>
    </row>
    <row r="974" spans="1:14">
      <c r="A974" s="958" t="s">
        <v>373</v>
      </c>
      <c r="B974" s="958">
        <v>23</v>
      </c>
      <c r="C974" s="958" t="s">
        <v>3166</v>
      </c>
      <c r="D974" s="957" t="s">
        <v>9132</v>
      </c>
      <c r="E974" s="956">
        <v>41964</v>
      </c>
      <c r="F974" s="955"/>
      <c r="L974" s="954"/>
      <c r="M974" s="952"/>
      <c r="N974" s="952"/>
    </row>
    <row r="975" spans="1:14">
      <c r="A975" s="958" t="s">
        <v>373</v>
      </c>
      <c r="B975" s="958">
        <v>23</v>
      </c>
      <c r="C975" s="958" t="s">
        <v>3164</v>
      </c>
      <c r="D975" s="957" t="s">
        <v>9131</v>
      </c>
      <c r="E975" s="956">
        <v>38166</v>
      </c>
      <c r="F975" s="955"/>
      <c r="L975" s="954"/>
      <c r="M975" s="952"/>
      <c r="N975" s="952"/>
    </row>
    <row r="976" spans="1:14">
      <c r="A976" s="958" t="s">
        <v>373</v>
      </c>
      <c r="B976" s="958">
        <v>23</v>
      </c>
      <c r="C976" s="958" t="s">
        <v>3162</v>
      </c>
      <c r="D976" s="957" t="s">
        <v>9130</v>
      </c>
      <c r="E976" s="956">
        <v>14297</v>
      </c>
      <c r="F976" s="955"/>
      <c r="L976" s="954"/>
      <c r="M976" s="952"/>
      <c r="N976" s="952"/>
    </row>
    <row r="977" spans="1:14">
      <c r="A977" s="958" t="s">
        <v>373</v>
      </c>
      <c r="B977" s="958">
        <v>23</v>
      </c>
      <c r="C977" s="958" t="s">
        <v>3160</v>
      </c>
      <c r="D977" s="957" t="s">
        <v>9129</v>
      </c>
      <c r="E977" s="956">
        <v>24156</v>
      </c>
      <c r="F977" s="955"/>
      <c r="L977" s="954"/>
      <c r="M977" s="952"/>
      <c r="N977" s="952"/>
    </row>
    <row r="978" spans="1:14">
      <c r="A978" s="958" t="s">
        <v>373</v>
      </c>
      <c r="B978" s="958">
        <v>23</v>
      </c>
      <c r="C978" s="958" t="s">
        <v>3158</v>
      </c>
      <c r="D978" s="957" t="s">
        <v>9128</v>
      </c>
      <c r="E978" s="956">
        <v>7827</v>
      </c>
      <c r="F978" s="955"/>
      <c r="L978" s="954"/>
      <c r="M978" s="952"/>
      <c r="N978" s="952"/>
    </row>
    <row r="979" spans="1:14">
      <c r="A979" s="958" t="s">
        <v>373</v>
      </c>
      <c r="B979" s="958">
        <v>23</v>
      </c>
      <c r="C979" s="958" t="s">
        <v>9127</v>
      </c>
      <c r="D979" s="957" t="s">
        <v>9126</v>
      </c>
      <c r="E979" s="956">
        <v>37980</v>
      </c>
      <c r="F979" s="955"/>
      <c r="L979" s="954"/>
      <c r="M979" s="952"/>
      <c r="N979" s="952"/>
    </row>
    <row r="980" spans="1:14">
      <c r="A980" s="958" t="s">
        <v>373</v>
      </c>
      <c r="B980" s="958">
        <v>23</v>
      </c>
      <c r="C980" s="958" t="s">
        <v>3156</v>
      </c>
      <c r="D980" s="957" t="s">
        <v>9125</v>
      </c>
      <c r="E980" s="956">
        <v>52675</v>
      </c>
      <c r="F980" s="955"/>
      <c r="L980" s="954"/>
      <c r="M980" s="952"/>
      <c r="N980" s="952"/>
    </row>
    <row r="981" spans="1:14">
      <c r="A981" s="958" t="s">
        <v>373</v>
      </c>
      <c r="B981" s="958">
        <v>23</v>
      </c>
      <c r="C981" s="958" t="s">
        <v>3154</v>
      </c>
      <c r="D981" s="957" t="s">
        <v>9124</v>
      </c>
      <c r="E981" s="956">
        <v>129358</v>
      </c>
      <c r="F981" s="955"/>
      <c r="L981" s="954"/>
      <c r="M981" s="952"/>
      <c r="N981" s="952"/>
    </row>
    <row r="982" spans="1:14">
      <c r="A982" s="958" t="s">
        <v>373</v>
      </c>
      <c r="B982" s="958">
        <v>23</v>
      </c>
      <c r="C982" s="958" t="s">
        <v>3152</v>
      </c>
      <c r="D982" s="957" t="s">
        <v>9123</v>
      </c>
      <c r="E982" s="956">
        <v>20382</v>
      </c>
      <c r="F982" s="955"/>
      <c r="L982" s="954"/>
      <c r="M982" s="952"/>
      <c r="N982" s="952"/>
    </row>
    <row r="983" spans="1:14">
      <c r="A983" s="958" t="s">
        <v>373</v>
      </c>
      <c r="B983" s="958">
        <v>23</v>
      </c>
      <c r="C983" s="958" t="s">
        <v>9122</v>
      </c>
      <c r="D983" s="957" t="s">
        <v>9121</v>
      </c>
      <c r="E983" s="956">
        <v>41826</v>
      </c>
      <c r="F983" s="955"/>
      <c r="L983" s="954"/>
      <c r="M983" s="952"/>
      <c r="N983" s="952"/>
    </row>
    <row r="984" spans="1:14">
      <c r="A984" s="958" t="s">
        <v>373</v>
      </c>
      <c r="B984" s="958">
        <v>23</v>
      </c>
      <c r="C984" s="958" t="s">
        <v>3150</v>
      </c>
      <c r="D984" s="957" t="s">
        <v>9120</v>
      </c>
      <c r="E984" s="956">
        <v>21647</v>
      </c>
      <c r="F984" s="955"/>
      <c r="L984" s="954"/>
      <c r="M984" s="952"/>
      <c r="N984" s="952"/>
    </row>
    <row r="985" spans="1:14">
      <c r="A985" s="958" t="s">
        <v>373</v>
      </c>
      <c r="B985" s="958">
        <v>23</v>
      </c>
      <c r="C985" s="958" t="s">
        <v>3146</v>
      </c>
      <c r="D985" s="957" t="s">
        <v>9119</v>
      </c>
      <c r="E985" s="956">
        <v>18162</v>
      </c>
      <c r="F985" s="955"/>
      <c r="L985" s="954"/>
      <c r="M985" s="952"/>
      <c r="N985" s="952"/>
    </row>
    <row r="986" spans="1:14">
      <c r="A986" s="958" t="s">
        <v>373</v>
      </c>
      <c r="B986" s="958">
        <v>23</v>
      </c>
      <c r="C986" s="958" t="s">
        <v>3142</v>
      </c>
      <c r="D986" s="957" t="s">
        <v>9118</v>
      </c>
      <c r="E986" s="956">
        <v>11401</v>
      </c>
      <c r="F986" s="955"/>
      <c r="L986" s="954"/>
      <c r="M986" s="952"/>
      <c r="N986" s="952"/>
    </row>
    <row r="987" spans="1:14">
      <c r="A987" s="958" t="s">
        <v>373</v>
      </c>
      <c r="B987" s="958">
        <v>23</v>
      </c>
      <c r="C987" s="958" t="s">
        <v>3140</v>
      </c>
      <c r="D987" s="957" t="s">
        <v>9117</v>
      </c>
      <c r="E987" s="956">
        <v>34682</v>
      </c>
      <c r="F987" s="955"/>
      <c r="L987" s="954"/>
      <c r="M987" s="952"/>
      <c r="N987" s="952"/>
    </row>
    <row r="988" spans="1:14">
      <c r="A988" s="958" t="s">
        <v>373</v>
      </c>
      <c r="B988" s="958">
        <v>23</v>
      </c>
      <c r="C988" s="958" t="s">
        <v>3138</v>
      </c>
      <c r="D988" s="957" t="s">
        <v>9116</v>
      </c>
      <c r="E988" s="956">
        <v>33705</v>
      </c>
      <c r="F988" s="955"/>
      <c r="L988" s="954"/>
      <c r="M988" s="952"/>
      <c r="N988" s="952"/>
    </row>
    <row r="989" spans="1:14">
      <c r="A989" s="958" t="s">
        <v>373</v>
      </c>
      <c r="B989" s="958">
        <v>23</v>
      </c>
      <c r="C989" s="958" t="s">
        <v>3136</v>
      </c>
      <c r="D989" s="957" t="s">
        <v>1685</v>
      </c>
      <c r="E989" s="956">
        <v>27174</v>
      </c>
      <c r="F989" s="955"/>
      <c r="L989" s="954"/>
      <c r="M989" s="952"/>
      <c r="N989" s="952"/>
    </row>
    <row r="990" spans="1:14">
      <c r="A990" s="958" t="s">
        <v>373</v>
      </c>
      <c r="B990" s="958">
        <v>23</v>
      </c>
      <c r="C990" s="958" t="s">
        <v>3134</v>
      </c>
      <c r="D990" s="957" t="s">
        <v>9115</v>
      </c>
      <c r="E990" s="956">
        <v>8111</v>
      </c>
      <c r="F990" s="955"/>
      <c r="L990" s="954"/>
      <c r="M990" s="952"/>
      <c r="N990" s="952"/>
    </row>
    <row r="991" spans="1:14">
      <c r="A991" s="958" t="s">
        <v>373</v>
      </c>
      <c r="B991" s="958">
        <v>23</v>
      </c>
      <c r="C991" s="958" t="s">
        <v>9114</v>
      </c>
      <c r="D991" s="957" t="s">
        <v>9113</v>
      </c>
      <c r="E991" s="956">
        <v>19816</v>
      </c>
      <c r="F991" s="955"/>
      <c r="L991" s="954"/>
      <c r="M991" s="952"/>
      <c r="N991" s="952"/>
    </row>
    <row r="992" spans="1:14">
      <c r="A992" s="958" t="s">
        <v>373</v>
      </c>
      <c r="B992" s="958">
        <v>23</v>
      </c>
      <c r="C992" s="958" t="s">
        <v>3132</v>
      </c>
      <c r="D992" s="957" t="s">
        <v>9112</v>
      </c>
      <c r="E992" s="956">
        <v>274207</v>
      </c>
      <c r="F992" s="955"/>
      <c r="L992" s="954"/>
      <c r="M992" s="952"/>
      <c r="N992" s="952"/>
    </row>
    <row r="993" spans="1:14">
      <c r="A993" s="958" t="s">
        <v>373</v>
      </c>
      <c r="B993" s="958">
        <v>23</v>
      </c>
      <c r="C993" s="958" t="s">
        <v>3130</v>
      </c>
      <c r="D993" s="957" t="s">
        <v>9111</v>
      </c>
      <c r="E993" s="956">
        <v>24833</v>
      </c>
      <c r="F993" s="955"/>
      <c r="L993" s="954"/>
      <c r="M993" s="952"/>
      <c r="N993" s="952"/>
    </row>
    <row r="994" spans="1:14">
      <c r="A994" s="958" t="s">
        <v>373</v>
      </c>
      <c r="B994" s="958">
        <v>23</v>
      </c>
      <c r="C994" s="958" t="s">
        <v>3128</v>
      </c>
      <c r="D994" s="957" t="s">
        <v>9110</v>
      </c>
      <c r="E994" s="956">
        <v>31508</v>
      </c>
      <c r="F994" s="955"/>
      <c r="L994" s="954"/>
      <c r="M994" s="952"/>
      <c r="N994" s="952"/>
    </row>
    <row r="995" spans="1:14">
      <c r="A995" s="958" t="s">
        <v>373</v>
      </c>
      <c r="B995" s="958">
        <v>23</v>
      </c>
      <c r="C995" s="958" t="s">
        <v>3124</v>
      </c>
      <c r="D995" s="957" t="s">
        <v>9109</v>
      </c>
      <c r="E995" s="956">
        <v>59540</v>
      </c>
      <c r="F995" s="955"/>
      <c r="L995" s="954"/>
      <c r="M995" s="952"/>
      <c r="N995" s="952"/>
    </row>
    <row r="996" spans="1:14">
      <c r="A996" s="958" t="s">
        <v>373</v>
      </c>
      <c r="B996" s="958">
        <v>23</v>
      </c>
      <c r="C996" s="958" t="s">
        <v>9108</v>
      </c>
      <c r="D996" s="957" t="s">
        <v>9107</v>
      </c>
      <c r="E996" s="956">
        <v>19691</v>
      </c>
      <c r="F996" s="955"/>
      <c r="L996" s="954"/>
      <c r="M996" s="952"/>
      <c r="N996" s="952"/>
    </row>
    <row r="997" spans="1:14">
      <c r="A997" s="958" t="s">
        <v>373</v>
      </c>
      <c r="B997" s="958">
        <v>23</v>
      </c>
      <c r="C997" s="958" t="s">
        <v>3122</v>
      </c>
      <c r="D997" s="957" t="s">
        <v>9106</v>
      </c>
      <c r="E997" s="956">
        <v>227886</v>
      </c>
      <c r="F997" s="955"/>
      <c r="L997" s="954"/>
      <c r="M997" s="952"/>
      <c r="N997" s="952"/>
    </row>
    <row r="998" spans="1:14">
      <c r="A998" s="958" t="s">
        <v>373</v>
      </c>
      <c r="B998" s="958">
        <v>23</v>
      </c>
      <c r="C998" s="958" t="s">
        <v>3118</v>
      </c>
      <c r="D998" s="957" t="s">
        <v>9105</v>
      </c>
      <c r="E998" s="956">
        <v>128978</v>
      </c>
      <c r="F998" s="955"/>
      <c r="L998" s="954"/>
      <c r="M998" s="952"/>
      <c r="N998" s="952"/>
    </row>
    <row r="999" spans="1:14">
      <c r="A999" s="958" t="s">
        <v>373</v>
      </c>
      <c r="B999" s="958">
        <v>23</v>
      </c>
      <c r="C999" s="958" t="s">
        <v>3114</v>
      </c>
      <c r="D999" s="957" t="s">
        <v>9104</v>
      </c>
      <c r="E999" s="956">
        <v>27361</v>
      </c>
      <c r="F999" s="955"/>
      <c r="L999" s="954"/>
      <c r="M999" s="952"/>
      <c r="N999" s="952"/>
    </row>
    <row r="1000" spans="1:14">
      <c r="A1000" s="958" t="s">
        <v>373</v>
      </c>
      <c r="B1000" s="958">
        <v>23</v>
      </c>
      <c r="C1000" s="958" t="s">
        <v>3110</v>
      </c>
      <c r="D1000" s="957" t="s">
        <v>9103</v>
      </c>
      <c r="E1000" s="956">
        <v>11233</v>
      </c>
      <c r="F1000" s="955"/>
      <c r="L1000" s="954"/>
      <c r="M1000" s="952"/>
      <c r="N1000" s="952"/>
    </row>
    <row r="1001" spans="1:14">
      <c r="A1001" s="958" t="s">
        <v>373</v>
      </c>
      <c r="B1001" s="958">
        <v>23</v>
      </c>
      <c r="C1001" s="958" t="s">
        <v>3108</v>
      </c>
      <c r="D1001" s="957" t="s">
        <v>9102</v>
      </c>
      <c r="E1001" s="956">
        <v>38737</v>
      </c>
      <c r="F1001" s="955"/>
      <c r="L1001" s="954"/>
      <c r="M1001" s="952"/>
      <c r="N1001" s="952"/>
    </row>
    <row r="1002" spans="1:14">
      <c r="A1002" s="958" t="s">
        <v>373</v>
      </c>
      <c r="B1002" s="958">
        <v>23</v>
      </c>
      <c r="C1002" s="958" t="s">
        <v>3106</v>
      </c>
      <c r="D1002" s="957" t="s">
        <v>9101</v>
      </c>
      <c r="E1002" s="956">
        <v>47962</v>
      </c>
      <c r="F1002" s="955"/>
      <c r="L1002" s="954"/>
      <c r="M1002" s="952"/>
      <c r="N1002" s="952"/>
    </row>
    <row r="1003" spans="1:14">
      <c r="A1003" s="958" t="s">
        <v>373</v>
      </c>
      <c r="B1003" s="958">
        <v>23</v>
      </c>
      <c r="C1003" s="958" t="s">
        <v>3104</v>
      </c>
      <c r="D1003" s="957" t="s">
        <v>9100</v>
      </c>
      <c r="E1003" s="956">
        <v>15057</v>
      </c>
      <c r="F1003" s="955"/>
      <c r="L1003" s="954"/>
      <c r="M1003" s="952"/>
      <c r="N1003" s="952"/>
    </row>
    <row r="1004" spans="1:14">
      <c r="A1004" s="958" t="s">
        <v>373</v>
      </c>
      <c r="B1004" s="958">
        <v>23</v>
      </c>
      <c r="C1004" s="958" t="s">
        <v>3102</v>
      </c>
      <c r="D1004" s="957" t="s">
        <v>7576</v>
      </c>
      <c r="E1004" s="956">
        <v>27512</v>
      </c>
      <c r="F1004" s="955"/>
      <c r="L1004" s="954"/>
      <c r="M1004" s="952"/>
      <c r="N1004" s="952"/>
    </row>
    <row r="1005" spans="1:14">
      <c r="A1005" s="958" t="s">
        <v>373</v>
      </c>
      <c r="B1005" s="958">
        <v>23</v>
      </c>
      <c r="C1005" s="958" t="s">
        <v>9099</v>
      </c>
      <c r="D1005" s="957" t="s">
        <v>9098</v>
      </c>
      <c r="E1005" s="956">
        <v>13155</v>
      </c>
      <c r="F1005" s="955"/>
      <c r="L1005" s="954"/>
      <c r="M1005" s="952"/>
      <c r="N1005" s="952"/>
    </row>
    <row r="1006" spans="1:14">
      <c r="A1006" s="958" t="s">
        <v>373</v>
      </c>
      <c r="B1006" s="958">
        <v>23</v>
      </c>
      <c r="C1006" s="958" t="s">
        <v>9097</v>
      </c>
      <c r="D1006" s="957" t="s">
        <v>9096</v>
      </c>
      <c r="E1006" s="956">
        <v>13818</v>
      </c>
      <c r="F1006" s="955"/>
      <c r="L1006" s="954"/>
      <c r="M1006" s="952"/>
      <c r="N1006" s="952"/>
    </row>
    <row r="1007" spans="1:14">
      <c r="A1007" s="958" t="s">
        <v>373</v>
      </c>
      <c r="B1007" s="958">
        <v>23</v>
      </c>
      <c r="C1007" s="958" t="s">
        <v>3100</v>
      </c>
      <c r="D1007" s="957" t="s">
        <v>9095</v>
      </c>
      <c r="E1007" s="956">
        <v>36442</v>
      </c>
      <c r="F1007" s="955"/>
      <c r="L1007" s="954"/>
      <c r="M1007" s="952"/>
      <c r="N1007" s="952"/>
    </row>
    <row r="1008" spans="1:14">
      <c r="A1008" s="958" t="s">
        <v>373</v>
      </c>
      <c r="B1008" s="958">
        <v>23</v>
      </c>
      <c r="C1008" s="958" t="s">
        <v>3096</v>
      </c>
      <c r="D1008" s="957" t="s">
        <v>9094</v>
      </c>
      <c r="E1008" s="956">
        <v>43797</v>
      </c>
      <c r="F1008" s="955"/>
      <c r="L1008" s="954"/>
      <c r="M1008" s="952"/>
      <c r="N1008" s="952"/>
    </row>
    <row r="1009" spans="1:14">
      <c r="A1009" s="958" t="s">
        <v>373</v>
      </c>
      <c r="B1009" s="958">
        <v>23</v>
      </c>
      <c r="C1009" s="958" t="s">
        <v>3094</v>
      </c>
      <c r="D1009" s="957" t="s">
        <v>9093</v>
      </c>
      <c r="E1009" s="956">
        <v>17234</v>
      </c>
      <c r="F1009" s="955"/>
      <c r="L1009" s="954"/>
      <c r="M1009" s="952"/>
      <c r="N1009" s="952"/>
    </row>
    <row r="1010" spans="1:14">
      <c r="A1010" s="958" t="s">
        <v>373</v>
      </c>
      <c r="B1010" s="958">
        <v>23</v>
      </c>
      <c r="C1010" s="958" t="s">
        <v>3092</v>
      </c>
      <c r="D1010" s="957" t="s">
        <v>9092</v>
      </c>
      <c r="E1010" s="956">
        <v>61890</v>
      </c>
      <c r="F1010" s="955"/>
      <c r="L1010" s="954"/>
      <c r="M1010" s="952"/>
      <c r="N1010" s="952"/>
    </row>
    <row r="1011" spans="1:14">
      <c r="A1011" s="958" t="s">
        <v>373</v>
      </c>
      <c r="B1011" s="958">
        <v>23</v>
      </c>
      <c r="C1011" s="958" t="s">
        <v>3090</v>
      </c>
      <c r="D1011" s="957" t="s">
        <v>9091</v>
      </c>
      <c r="E1011" s="956">
        <v>8724</v>
      </c>
      <c r="F1011" s="955"/>
      <c r="L1011" s="954"/>
      <c r="M1011" s="952"/>
      <c r="N1011" s="952"/>
    </row>
    <row r="1012" spans="1:14">
      <c r="A1012" s="958" t="s">
        <v>373</v>
      </c>
      <c r="B1012" s="958">
        <v>23</v>
      </c>
      <c r="C1012" s="958" t="s">
        <v>3088</v>
      </c>
      <c r="D1012" s="957" t="s">
        <v>1035</v>
      </c>
      <c r="E1012" s="956">
        <v>22534</v>
      </c>
      <c r="F1012" s="955"/>
      <c r="L1012" s="954"/>
      <c r="M1012" s="952"/>
      <c r="N1012" s="952"/>
    </row>
    <row r="1013" spans="1:14">
      <c r="A1013" s="958" t="s">
        <v>373</v>
      </c>
      <c r="B1013" s="958">
        <v>23</v>
      </c>
      <c r="C1013" s="958" t="s">
        <v>3084</v>
      </c>
      <c r="D1013" s="957" t="s">
        <v>9090</v>
      </c>
      <c r="E1013" s="956">
        <v>14537</v>
      </c>
      <c r="F1013" s="955"/>
      <c r="L1013" s="954"/>
      <c r="M1013" s="952"/>
      <c r="N1013" s="952"/>
    </row>
    <row r="1014" spans="1:14">
      <c r="A1014" s="958" t="s">
        <v>373</v>
      </c>
      <c r="B1014" s="958">
        <v>23</v>
      </c>
      <c r="C1014" s="958" t="s">
        <v>3082</v>
      </c>
      <c r="D1014" s="957" t="s">
        <v>8635</v>
      </c>
      <c r="E1014" s="956">
        <v>10823</v>
      </c>
      <c r="F1014" s="955"/>
      <c r="L1014" s="954"/>
      <c r="M1014" s="952"/>
      <c r="N1014" s="952"/>
    </row>
    <row r="1015" spans="1:14">
      <c r="A1015" s="958" t="s">
        <v>373</v>
      </c>
      <c r="B1015" s="958">
        <v>23</v>
      </c>
      <c r="C1015" s="958" t="s">
        <v>3076</v>
      </c>
      <c r="D1015" s="957" t="s">
        <v>8627</v>
      </c>
      <c r="E1015" s="956">
        <v>15565</v>
      </c>
      <c r="F1015" s="955"/>
      <c r="L1015" s="954"/>
      <c r="M1015" s="952"/>
      <c r="N1015" s="952"/>
    </row>
    <row r="1016" spans="1:14">
      <c r="A1016" s="958" t="s">
        <v>373</v>
      </c>
      <c r="B1016" s="958">
        <v>23</v>
      </c>
      <c r="C1016" s="958" t="s">
        <v>3074</v>
      </c>
      <c r="D1016" s="957" t="s">
        <v>9089</v>
      </c>
      <c r="E1016" s="956">
        <v>32328</v>
      </c>
      <c r="F1016" s="955"/>
      <c r="L1016" s="954"/>
      <c r="M1016" s="952"/>
      <c r="N1016" s="952"/>
    </row>
    <row r="1017" spans="1:14">
      <c r="A1017" s="958" t="s">
        <v>373</v>
      </c>
      <c r="B1017" s="958">
        <v>23</v>
      </c>
      <c r="C1017" s="958" t="s">
        <v>3072</v>
      </c>
      <c r="D1017" s="957" t="s">
        <v>9088</v>
      </c>
      <c r="E1017" s="956">
        <v>28607</v>
      </c>
      <c r="F1017" s="955"/>
      <c r="L1017" s="954"/>
      <c r="M1017" s="952"/>
      <c r="N1017" s="952"/>
    </row>
    <row r="1018" spans="1:14">
      <c r="A1018" s="958" t="s">
        <v>373</v>
      </c>
      <c r="B1018" s="958">
        <v>23</v>
      </c>
      <c r="C1018" s="958" t="s">
        <v>3070</v>
      </c>
      <c r="D1018" s="957" t="s">
        <v>9087</v>
      </c>
      <c r="E1018" s="956">
        <v>25703</v>
      </c>
      <c r="F1018" s="955"/>
      <c r="L1018" s="954"/>
      <c r="M1018" s="952"/>
      <c r="N1018" s="952"/>
    </row>
    <row r="1019" spans="1:14">
      <c r="A1019" s="958" t="s">
        <v>373</v>
      </c>
      <c r="B1019" s="958">
        <v>23</v>
      </c>
      <c r="C1019" s="958" t="s">
        <v>3068</v>
      </c>
      <c r="D1019" s="957" t="s">
        <v>9086</v>
      </c>
      <c r="E1019" s="956">
        <v>21427</v>
      </c>
      <c r="F1019" s="955"/>
      <c r="L1019" s="954"/>
      <c r="M1019" s="952"/>
      <c r="N1019" s="952"/>
    </row>
    <row r="1020" spans="1:14">
      <c r="A1020" s="958" t="s">
        <v>373</v>
      </c>
      <c r="B1020" s="958">
        <v>23</v>
      </c>
      <c r="C1020" s="958" t="s">
        <v>3066</v>
      </c>
      <c r="D1020" s="957" t="s">
        <v>9085</v>
      </c>
      <c r="E1020" s="956">
        <v>72203</v>
      </c>
      <c r="F1020" s="955"/>
      <c r="L1020" s="954"/>
      <c r="M1020" s="952"/>
      <c r="N1020" s="952"/>
    </row>
    <row r="1021" spans="1:14">
      <c r="A1021" s="958" t="s">
        <v>373</v>
      </c>
      <c r="B1021" s="958">
        <v>23</v>
      </c>
      <c r="C1021" s="958" t="s">
        <v>3064</v>
      </c>
      <c r="D1021" s="957" t="s">
        <v>8112</v>
      </c>
      <c r="E1021" s="956">
        <v>83432</v>
      </c>
      <c r="F1021" s="955"/>
      <c r="L1021" s="954"/>
      <c r="M1021" s="952"/>
      <c r="N1021" s="952"/>
    </row>
    <row r="1022" spans="1:14">
      <c r="A1022" s="958" t="s">
        <v>373</v>
      </c>
      <c r="B1022" s="958">
        <v>23</v>
      </c>
      <c r="C1022" s="958" t="s">
        <v>3062</v>
      </c>
      <c r="D1022" s="957" t="s">
        <v>9084</v>
      </c>
      <c r="E1022" s="956">
        <v>12261</v>
      </c>
      <c r="F1022" s="955"/>
      <c r="L1022" s="954"/>
      <c r="M1022" s="952"/>
      <c r="N1022" s="952"/>
    </row>
    <row r="1023" spans="1:14">
      <c r="A1023" s="958" t="s">
        <v>373</v>
      </c>
      <c r="B1023" s="958">
        <v>23</v>
      </c>
      <c r="C1023" s="958" t="s">
        <v>3058</v>
      </c>
      <c r="D1023" s="957" t="s">
        <v>9083</v>
      </c>
      <c r="E1023" s="956">
        <v>6533</v>
      </c>
      <c r="F1023" s="955"/>
      <c r="L1023" s="954"/>
      <c r="M1023" s="952"/>
      <c r="N1023" s="952"/>
    </row>
    <row r="1024" spans="1:14">
      <c r="A1024" s="958" t="s">
        <v>373</v>
      </c>
      <c r="B1024" s="958">
        <v>23</v>
      </c>
      <c r="C1024" s="958" t="s">
        <v>3056</v>
      </c>
      <c r="D1024" s="957" t="s">
        <v>9082</v>
      </c>
      <c r="E1024" s="956">
        <v>9386</v>
      </c>
      <c r="F1024" s="955"/>
      <c r="L1024" s="954"/>
      <c r="M1024" s="952"/>
      <c r="N1024" s="952"/>
    </row>
    <row r="1025" spans="1:14">
      <c r="A1025" s="958" t="s">
        <v>373</v>
      </c>
      <c r="B1025" s="958">
        <v>23</v>
      </c>
      <c r="C1025" s="958" t="s">
        <v>3050</v>
      </c>
      <c r="D1025" s="957" t="s">
        <v>9081</v>
      </c>
      <c r="E1025" s="956">
        <v>13322</v>
      </c>
      <c r="F1025" s="955"/>
      <c r="L1025" s="954"/>
      <c r="M1025" s="952"/>
      <c r="N1025" s="952"/>
    </row>
    <row r="1026" spans="1:14">
      <c r="A1026" s="958" t="s">
        <v>373</v>
      </c>
      <c r="B1026" s="958">
        <v>23</v>
      </c>
      <c r="C1026" s="958" t="s">
        <v>3048</v>
      </c>
      <c r="D1026" s="957" t="s">
        <v>9080</v>
      </c>
      <c r="E1026" s="956">
        <v>35076</v>
      </c>
      <c r="F1026" s="955"/>
      <c r="L1026" s="954"/>
      <c r="M1026" s="952"/>
      <c r="N1026" s="952"/>
    </row>
    <row r="1027" spans="1:14">
      <c r="A1027" s="958" t="s">
        <v>373</v>
      </c>
      <c r="B1027" s="958">
        <v>23</v>
      </c>
      <c r="C1027" s="958" t="s">
        <v>9079</v>
      </c>
      <c r="D1027" s="957" t="s">
        <v>9078</v>
      </c>
      <c r="E1027" s="956">
        <v>32744</v>
      </c>
      <c r="F1027" s="955"/>
      <c r="L1027" s="954"/>
      <c r="M1027" s="952"/>
      <c r="N1027" s="952"/>
    </row>
    <row r="1028" spans="1:14">
      <c r="A1028" s="958" t="s">
        <v>373</v>
      </c>
      <c r="B1028" s="958">
        <v>23</v>
      </c>
      <c r="C1028" s="958" t="s">
        <v>3046</v>
      </c>
      <c r="D1028" s="957" t="s">
        <v>9077</v>
      </c>
      <c r="E1028" s="956">
        <v>31521</v>
      </c>
      <c r="F1028" s="955"/>
      <c r="L1028" s="954"/>
      <c r="M1028" s="952"/>
      <c r="N1028" s="952"/>
    </row>
    <row r="1029" spans="1:14">
      <c r="A1029" s="958" t="s">
        <v>373</v>
      </c>
      <c r="B1029" s="958">
        <v>23</v>
      </c>
      <c r="C1029" s="958" t="s">
        <v>3044</v>
      </c>
      <c r="D1029" s="957" t="s">
        <v>9076</v>
      </c>
      <c r="E1029" s="956">
        <v>12226</v>
      </c>
      <c r="F1029" s="955"/>
      <c r="L1029" s="954"/>
      <c r="M1029" s="952"/>
      <c r="N1029" s="952"/>
    </row>
    <row r="1030" spans="1:14">
      <c r="A1030" s="958" t="s">
        <v>373</v>
      </c>
      <c r="B1030" s="958">
        <v>23</v>
      </c>
      <c r="C1030" s="958" t="s">
        <v>3042</v>
      </c>
      <c r="D1030" s="957" t="s">
        <v>8610</v>
      </c>
      <c r="E1030" s="956">
        <v>43258</v>
      </c>
      <c r="F1030" s="955"/>
      <c r="L1030" s="954"/>
      <c r="M1030" s="952"/>
      <c r="N1030" s="952"/>
    </row>
    <row r="1031" spans="1:14">
      <c r="A1031" s="958" t="s">
        <v>373</v>
      </c>
      <c r="B1031" s="958">
        <v>23</v>
      </c>
      <c r="C1031" s="958" t="s">
        <v>3038</v>
      </c>
      <c r="D1031" s="957" t="s">
        <v>9075</v>
      </c>
      <c r="E1031" s="956">
        <v>9077</v>
      </c>
      <c r="F1031" s="955"/>
      <c r="L1031" s="954"/>
      <c r="M1031" s="952"/>
      <c r="N1031" s="952"/>
    </row>
    <row r="1032" spans="1:14">
      <c r="A1032" s="958" t="s">
        <v>373</v>
      </c>
      <c r="B1032" s="958">
        <v>23</v>
      </c>
      <c r="C1032" s="958" t="s">
        <v>3036</v>
      </c>
      <c r="D1032" s="957" t="s">
        <v>9074</v>
      </c>
      <c r="E1032" s="956">
        <v>37751</v>
      </c>
      <c r="F1032" s="955"/>
      <c r="L1032" s="954"/>
      <c r="M1032" s="952"/>
      <c r="N1032" s="952"/>
    </row>
    <row r="1033" spans="1:14">
      <c r="A1033" s="958" t="s">
        <v>373</v>
      </c>
      <c r="B1033" s="958">
        <v>23</v>
      </c>
      <c r="C1033" s="958" t="s">
        <v>3034</v>
      </c>
      <c r="D1033" s="957" t="s">
        <v>9073</v>
      </c>
      <c r="E1033" s="956">
        <v>16307</v>
      </c>
      <c r="F1033" s="955"/>
      <c r="L1033" s="954"/>
      <c r="M1033" s="952"/>
      <c r="N1033" s="952"/>
    </row>
    <row r="1034" spans="1:14">
      <c r="A1034" s="958" t="s">
        <v>373</v>
      </c>
      <c r="B1034" s="958">
        <v>23</v>
      </c>
      <c r="C1034" s="958" t="s">
        <v>3032</v>
      </c>
      <c r="D1034" s="957" t="s">
        <v>9072</v>
      </c>
      <c r="E1034" s="956">
        <v>20567</v>
      </c>
      <c r="F1034" s="955"/>
      <c r="L1034" s="954"/>
      <c r="M1034" s="952"/>
      <c r="N1034" s="952"/>
    </row>
    <row r="1035" spans="1:14">
      <c r="A1035" s="958" t="s">
        <v>373</v>
      </c>
      <c r="B1035" s="958">
        <v>23</v>
      </c>
      <c r="C1035" s="958" t="s">
        <v>3030</v>
      </c>
      <c r="D1035" s="957" t="s">
        <v>9071</v>
      </c>
      <c r="E1035" s="956">
        <v>16959</v>
      </c>
      <c r="F1035" s="955"/>
      <c r="L1035" s="954"/>
      <c r="M1035" s="952"/>
      <c r="N1035" s="952"/>
    </row>
    <row r="1036" spans="1:14">
      <c r="A1036" s="958" t="s">
        <v>373</v>
      </c>
      <c r="B1036" s="958">
        <v>23</v>
      </c>
      <c r="C1036" s="958" t="s">
        <v>9070</v>
      </c>
      <c r="D1036" s="957" t="s">
        <v>9069</v>
      </c>
      <c r="E1036" s="956">
        <v>10951</v>
      </c>
      <c r="F1036" s="955"/>
      <c r="L1036" s="954"/>
      <c r="M1036" s="952"/>
      <c r="N1036" s="952"/>
    </row>
    <row r="1037" spans="1:14">
      <c r="A1037" s="958" t="s">
        <v>373</v>
      </c>
      <c r="B1037" s="958">
        <v>23</v>
      </c>
      <c r="C1037" s="958" t="s">
        <v>3028</v>
      </c>
      <c r="D1037" s="957" t="s">
        <v>9068</v>
      </c>
      <c r="E1037" s="956">
        <v>12336</v>
      </c>
      <c r="F1037" s="955"/>
      <c r="L1037" s="954"/>
      <c r="M1037" s="952"/>
      <c r="N1037" s="952"/>
    </row>
    <row r="1038" spans="1:14">
      <c r="A1038" s="958" t="s">
        <v>373</v>
      </c>
      <c r="B1038" s="958">
        <v>23</v>
      </c>
      <c r="C1038" s="958" t="s">
        <v>3024</v>
      </c>
      <c r="D1038" s="957" t="s">
        <v>9067</v>
      </c>
      <c r="E1038" s="956">
        <v>14996</v>
      </c>
      <c r="F1038" s="955"/>
      <c r="L1038" s="954"/>
      <c r="M1038" s="952"/>
      <c r="N1038" s="952"/>
    </row>
    <row r="1039" spans="1:14">
      <c r="A1039" s="958" t="s">
        <v>373</v>
      </c>
      <c r="B1039" s="958">
        <v>23</v>
      </c>
      <c r="C1039" s="958" t="s">
        <v>3022</v>
      </c>
      <c r="D1039" s="957" t="s">
        <v>9066</v>
      </c>
      <c r="E1039" s="956">
        <v>11045</v>
      </c>
      <c r="F1039" s="955"/>
      <c r="L1039" s="954"/>
      <c r="M1039" s="952"/>
      <c r="N1039" s="952"/>
    </row>
    <row r="1040" spans="1:14">
      <c r="A1040" s="958" t="s">
        <v>373</v>
      </c>
      <c r="B1040" s="958">
        <v>23</v>
      </c>
      <c r="C1040" s="958" t="s">
        <v>9065</v>
      </c>
      <c r="D1040" s="957" t="s">
        <v>9064</v>
      </c>
      <c r="E1040" s="956">
        <v>6419</v>
      </c>
      <c r="F1040" s="955"/>
      <c r="L1040" s="954"/>
      <c r="M1040" s="952"/>
      <c r="N1040" s="952"/>
    </row>
    <row r="1041" spans="1:14">
      <c r="A1041" s="958" t="s">
        <v>373</v>
      </c>
      <c r="B1041" s="958">
        <v>23</v>
      </c>
      <c r="C1041" s="958" t="s">
        <v>9063</v>
      </c>
      <c r="D1041" s="957" t="s">
        <v>9062</v>
      </c>
      <c r="E1041" s="956">
        <v>21084</v>
      </c>
      <c r="F1041" s="955"/>
      <c r="L1041" s="954"/>
      <c r="M1041" s="952"/>
      <c r="N1041" s="952"/>
    </row>
    <row r="1042" spans="1:14">
      <c r="A1042" s="958" t="s">
        <v>373</v>
      </c>
      <c r="B1042" s="958">
        <v>23</v>
      </c>
      <c r="C1042" s="958" t="s">
        <v>3018</v>
      </c>
      <c r="D1042" s="957" t="s">
        <v>9061</v>
      </c>
      <c r="E1042" s="956">
        <v>87728</v>
      </c>
      <c r="F1042" s="955"/>
      <c r="L1042" s="954"/>
      <c r="M1042" s="952"/>
      <c r="N1042" s="952"/>
    </row>
    <row r="1043" spans="1:14">
      <c r="A1043" s="958" t="s">
        <v>373</v>
      </c>
      <c r="B1043" s="958">
        <v>23</v>
      </c>
      <c r="C1043" s="958" t="s">
        <v>9060</v>
      </c>
      <c r="D1043" s="957" t="s">
        <v>9059</v>
      </c>
      <c r="E1043" s="956">
        <v>16178</v>
      </c>
      <c r="F1043" s="955"/>
      <c r="L1043" s="954"/>
      <c r="M1043" s="952"/>
      <c r="N1043" s="952"/>
    </row>
    <row r="1044" spans="1:14">
      <c r="A1044" s="958" t="s">
        <v>373</v>
      </c>
      <c r="B1044" s="958">
        <v>23</v>
      </c>
      <c r="C1044" s="958" t="s">
        <v>3016</v>
      </c>
      <c r="D1044" s="957" t="s">
        <v>9058</v>
      </c>
      <c r="E1044" s="956">
        <v>81082</v>
      </c>
      <c r="F1044" s="955"/>
      <c r="L1044" s="954"/>
      <c r="M1044" s="952"/>
      <c r="N1044" s="952"/>
    </row>
    <row r="1045" spans="1:14">
      <c r="A1045" s="958" t="s">
        <v>373</v>
      </c>
      <c r="B1045" s="958">
        <v>23</v>
      </c>
      <c r="C1045" s="958" t="s">
        <v>3012</v>
      </c>
      <c r="D1045" s="957" t="s">
        <v>9057</v>
      </c>
      <c r="E1045" s="956">
        <v>22149</v>
      </c>
      <c r="F1045" s="955"/>
      <c r="L1045" s="954"/>
      <c r="M1045" s="952"/>
      <c r="N1045" s="952"/>
    </row>
    <row r="1046" spans="1:14">
      <c r="A1046" s="958" t="s">
        <v>373</v>
      </c>
      <c r="B1046" s="958">
        <v>23</v>
      </c>
      <c r="C1046" s="958" t="s">
        <v>3010</v>
      </c>
      <c r="D1046" s="957" t="s">
        <v>9056</v>
      </c>
      <c r="E1046" s="956">
        <v>29053</v>
      </c>
      <c r="F1046" s="955"/>
      <c r="L1046" s="954"/>
      <c r="M1046" s="952"/>
      <c r="N1046" s="952"/>
    </row>
    <row r="1047" spans="1:14">
      <c r="A1047" s="958" t="s">
        <v>373</v>
      </c>
      <c r="B1047" s="958">
        <v>23</v>
      </c>
      <c r="C1047" s="958" t="s">
        <v>3007</v>
      </c>
      <c r="D1047" s="957" t="s">
        <v>9055</v>
      </c>
      <c r="E1047" s="956">
        <v>18491</v>
      </c>
      <c r="F1047" s="955"/>
      <c r="L1047" s="954"/>
      <c r="M1047" s="952"/>
      <c r="N1047" s="952"/>
    </row>
    <row r="1048" spans="1:14">
      <c r="A1048" s="958" t="s">
        <v>373</v>
      </c>
      <c r="B1048" s="958">
        <v>23</v>
      </c>
      <c r="C1048" s="958" t="s">
        <v>3003</v>
      </c>
      <c r="D1048" s="957" t="s">
        <v>9054</v>
      </c>
      <c r="E1048" s="956">
        <v>78194</v>
      </c>
      <c r="F1048" s="955"/>
      <c r="L1048" s="954"/>
      <c r="M1048" s="952"/>
      <c r="N1048" s="952"/>
    </row>
    <row r="1049" spans="1:14">
      <c r="A1049" s="958" t="s">
        <v>373</v>
      </c>
      <c r="B1049" s="958">
        <v>23</v>
      </c>
      <c r="C1049" s="958" t="s">
        <v>2995</v>
      </c>
      <c r="D1049" s="957" t="s">
        <v>9053</v>
      </c>
      <c r="E1049" s="956">
        <v>15819</v>
      </c>
      <c r="F1049" s="955"/>
      <c r="L1049" s="954"/>
      <c r="M1049" s="952"/>
      <c r="N1049" s="952"/>
    </row>
    <row r="1050" spans="1:14">
      <c r="A1050" s="958" t="s">
        <v>373</v>
      </c>
      <c r="B1050" s="958">
        <v>23</v>
      </c>
      <c r="C1050" s="958" t="s">
        <v>9052</v>
      </c>
      <c r="D1050" s="957" t="s">
        <v>9051</v>
      </c>
      <c r="E1050" s="956">
        <v>16554</v>
      </c>
      <c r="F1050" s="955"/>
      <c r="L1050" s="954"/>
      <c r="M1050" s="952"/>
      <c r="N1050" s="952"/>
    </row>
    <row r="1051" spans="1:14">
      <c r="A1051" s="958" t="s">
        <v>373</v>
      </c>
      <c r="B1051" s="958">
        <v>23</v>
      </c>
      <c r="C1051" s="958" t="s">
        <v>2993</v>
      </c>
      <c r="D1051" s="957" t="s">
        <v>9050</v>
      </c>
      <c r="E1051" s="956">
        <v>32452</v>
      </c>
      <c r="F1051" s="955"/>
      <c r="L1051" s="954"/>
      <c r="M1051" s="952"/>
      <c r="N1051" s="952"/>
    </row>
    <row r="1052" spans="1:14">
      <c r="A1052" s="958" t="s">
        <v>373</v>
      </c>
      <c r="B1052" s="958">
        <v>23</v>
      </c>
      <c r="C1052" s="958" t="s">
        <v>2989</v>
      </c>
      <c r="D1052" s="957" t="s">
        <v>9049</v>
      </c>
      <c r="E1052" s="956">
        <v>17700</v>
      </c>
      <c r="F1052" s="955"/>
      <c r="L1052" s="954"/>
      <c r="M1052" s="952"/>
      <c r="N1052" s="952"/>
    </row>
    <row r="1053" spans="1:14">
      <c r="A1053" s="958" t="s">
        <v>373</v>
      </c>
      <c r="B1053" s="958">
        <v>23</v>
      </c>
      <c r="C1053" s="958" t="s">
        <v>2987</v>
      </c>
      <c r="D1053" s="957" t="s">
        <v>9048</v>
      </c>
      <c r="E1053" s="956">
        <v>43703</v>
      </c>
      <c r="F1053" s="955"/>
      <c r="L1053" s="954"/>
      <c r="M1053" s="952"/>
      <c r="N1053" s="952"/>
    </row>
    <row r="1054" spans="1:14">
      <c r="A1054" s="958" t="s">
        <v>373</v>
      </c>
      <c r="B1054" s="958">
        <v>23</v>
      </c>
      <c r="C1054" s="958" t="s">
        <v>2979</v>
      </c>
      <c r="D1054" s="957" t="s">
        <v>9047</v>
      </c>
      <c r="E1054" s="956">
        <v>47903</v>
      </c>
      <c r="F1054" s="955"/>
      <c r="L1054" s="954"/>
      <c r="M1054" s="952"/>
      <c r="N1054" s="952"/>
    </row>
    <row r="1055" spans="1:14">
      <c r="A1055" s="958" t="s">
        <v>373</v>
      </c>
      <c r="B1055" s="958">
        <v>23</v>
      </c>
      <c r="C1055" s="958" t="s">
        <v>2977</v>
      </c>
      <c r="D1055" s="957" t="s">
        <v>8899</v>
      </c>
      <c r="E1055" s="956">
        <v>48422</v>
      </c>
      <c r="F1055" s="955"/>
      <c r="L1055" s="954"/>
      <c r="M1055" s="952"/>
      <c r="N1055" s="952"/>
    </row>
    <row r="1056" spans="1:14">
      <c r="A1056" s="958" t="s">
        <v>373</v>
      </c>
      <c r="B1056" s="958">
        <v>23</v>
      </c>
      <c r="C1056" s="958" t="s">
        <v>2975</v>
      </c>
      <c r="D1056" s="957" t="s">
        <v>9046</v>
      </c>
      <c r="E1056" s="956">
        <v>7645</v>
      </c>
      <c r="F1056" s="955"/>
      <c r="L1056" s="954"/>
      <c r="M1056" s="952"/>
      <c r="N1056" s="952"/>
    </row>
    <row r="1057" spans="1:14">
      <c r="A1057" s="958" t="s">
        <v>373</v>
      </c>
      <c r="B1057" s="958">
        <v>23</v>
      </c>
      <c r="C1057" s="958" t="s">
        <v>2973</v>
      </c>
      <c r="D1057" s="957" t="s">
        <v>9045</v>
      </c>
      <c r="E1057" s="956">
        <v>13000</v>
      </c>
      <c r="F1057" s="955"/>
      <c r="L1057" s="954"/>
      <c r="M1057" s="952"/>
      <c r="N1057" s="952"/>
    </row>
    <row r="1058" spans="1:14">
      <c r="A1058" s="958" t="s">
        <v>373</v>
      </c>
      <c r="B1058" s="958">
        <v>23</v>
      </c>
      <c r="C1058" s="958" t="s">
        <v>2969</v>
      </c>
      <c r="D1058" s="957" t="s">
        <v>9044</v>
      </c>
      <c r="E1058" s="956">
        <v>25496</v>
      </c>
      <c r="F1058" s="955"/>
      <c r="L1058" s="954"/>
      <c r="M1058" s="952"/>
      <c r="N1058" s="952"/>
    </row>
    <row r="1059" spans="1:14">
      <c r="A1059" s="958" t="s">
        <v>373</v>
      </c>
      <c r="B1059" s="958">
        <v>23</v>
      </c>
      <c r="C1059" s="958" t="s">
        <v>2967</v>
      </c>
      <c r="D1059" s="957" t="s">
        <v>9043</v>
      </c>
      <c r="E1059" s="956">
        <v>7623</v>
      </c>
      <c r="F1059" s="955"/>
      <c r="L1059" s="954"/>
      <c r="M1059" s="952"/>
      <c r="N1059" s="952"/>
    </row>
    <row r="1060" spans="1:14">
      <c r="A1060" s="958" t="s">
        <v>373</v>
      </c>
      <c r="B1060" s="958">
        <v>23</v>
      </c>
      <c r="C1060" s="958" t="s">
        <v>2965</v>
      </c>
      <c r="D1060" s="957" t="s">
        <v>9042</v>
      </c>
      <c r="E1060" s="956">
        <v>208935</v>
      </c>
      <c r="F1060" s="955"/>
      <c r="L1060" s="954"/>
      <c r="M1060" s="952"/>
      <c r="N1060" s="952"/>
    </row>
    <row r="1061" spans="1:14">
      <c r="A1061" s="958" t="s">
        <v>373</v>
      </c>
      <c r="B1061" s="958">
        <v>23</v>
      </c>
      <c r="C1061" s="958" t="s">
        <v>2963</v>
      </c>
      <c r="D1061" s="957" t="s">
        <v>9041</v>
      </c>
      <c r="E1061" s="956">
        <v>18324</v>
      </c>
      <c r="F1061" s="955"/>
      <c r="L1061" s="954"/>
      <c r="M1061" s="952"/>
      <c r="N1061" s="952"/>
    </row>
    <row r="1062" spans="1:14">
      <c r="A1062" s="958" t="s">
        <v>373</v>
      </c>
      <c r="B1062" s="958">
        <v>23</v>
      </c>
      <c r="C1062" s="958" t="s">
        <v>2961</v>
      </c>
      <c r="D1062" s="957" t="s">
        <v>9040</v>
      </c>
      <c r="E1062" s="956">
        <v>30697</v>
      </c>
      <c r="F1062" s="955"/>
      <c r="L1062" s="954"/>
      <c r="M1062" s="952"/>
      <c r="N1062" s="952"/>
    </row>
    <row r="1063" spans="1:14">
      <c r="A1063" s="958" t="s">
        <v>373</v>
      </c>
      <c r="B1063" s="958">
        <v>23</v>
      </c>
      <c r="C1063" s="958" t="s">
        <v>2957</v>
      </c>
      <c r="D1063" s="957" t="s">
        <v>9039</v>
      </c>
      <c r="E1063" s="956">
        <v>26251</v>
      </c>
      <c r="F1063" s="955"/>
      <c r="L1063" s="954"/>
      <c r="M1063" s="952"/>
      <c r="N1063" s="952"/>
    </row>
    <row r="1064" spans="1:14">
      <c r="A1064" s="958" t="s">
        <v>373</v>
      </c>
      <c r="B1064" s="958">
        <v>23</v>
      </c>
      <c r="C1064" s="958" t="s">
        <v>9038</v>
      </c>
      <c r="D1064" s="957" t="s">
        <v>9037</v>
      </c>
      <c r="E1064" s="956">
        <v>8592</v>
      </c>
      <c r="F1064" s="955"/>
      <c r="L1064" s="954"/>
      <c r="M1064" s="952"/>
      <c r="N1064" s="952"/>
    </row>
    <row r="1065" spans="1:14">
      <c r="A1065" s="958" t="s">
        <v>373</v>
      </c>
      <c r="B1065" s="958">
        <v>23</v>
      </c>
      <c r="C1065" s="958" t="s">
        <v>2955</v>
      </c>
      <c r="D1065" s="957" t="s">
        <v>9036</v>
      </c>
      <c r="E1065" s="956">
        <v>58859</v>
      </c>
      <c r="F1065" s="955"/>
      <c r="L1065" s="954"/>
      <c r="M1065" s="952"/>
      <c r="N1065" s="952"/>
    </row>
    <row r="1066" spans="1:14">
      <c r="A1066" s="958" t="s">
        <v>373</v>
      </c>
      <c r="B1066" s="958">
        <v>23</v>
      </c>
      <c r="C1066" s="958" t="s">
        <v>2953</v>
      </c>
      <c r="D1066" s="957" t="s">
        <v>9035</v>
      </c>
      <c r="E1066" s="956">
        <v>19187</v>
      </c>
      <c r="F1066" s="955"/>
      <c r="L1066" s="954"/>
      <c r="M1066" s="952"/>
      <c r="N1066" s="952"/>
    </row>
    <row r="1067" spans="1:14">
      <c r="A1067" s="958" t="s">
        <v>373</v>
      </c>
      <c r="B1067" s="958">
        <v>23</v>
      </c>
      <c r="C1067" s="958" t="s">
        <v>2951</v>
      </c>
      <c r="D1067" s="957" t="s">
        <v>9034</v>
      </c>
      <c r="E1067" s="956">
        <v>75946</v>
      </c>
      <c r="F1067" s="955"/>
      <c r="L1067" s="954"/>
      <c r="M1067" s="952"/>
      <c r="N1067" s="952"/>
    </row>
    <row r="1068" spans="1:14">
      <c r="A1068" s="958" t="s">
        <v>373</v>
      </c>
      <c r="B1068" s="958">
        <v>23</v>
      </c>
      <c r="C1068" s="958" t="s">
        <v>2949</v>
      </c>
      <c r="D1068" s="957" t="s">
        <v>9033</v>
      </c>
      <c r="E1068" s="956">
        <v>55918</v>
      </c>
      <c r="F1068" s="955"/>
      <c r="L1068" s="954"/>
      <c r="M1068" s="952"/>
      <c r="N1068" s="952"/>
    </row>
    <row r="1069" spans="1:14">
      <c r="A1069" s="958" t="s">
        <v>373</v>
      </c>
      <c r="B1069" s="958">
        <v>23</v>
      </c>
      <c r="C1069" s="958" t="s">
        <v>9032</v>
      </c>
      <c r="D1069" s="957" t="s">
        <v>9031</v>
      </c>
      <c r="E1069" s="956">
        <v>16271</v>
      </c>
      <c r="F1069" s="955"/>
      <c r="L1069" s="954"/>
      <c r="M1069" s="952"/>
      <c r="N1069" s="952"/>
    </row>
    <row r="1070" spans="1:14">
      <c r="A1070" s="958" t="s">
        <v>373</v>
      </c>
      <c r="B1070" s="958">
        <v>23</v>
      </c>
      <c r="C1070" s="958" t="s">
        <v>2947</v>
      </c>
      <c r="D1070" s="957" t="s">
        <v>9030</v>
      </c>
      <c r="E1070" s="956">
        <v>34792</v>
      </c>
      <c r="F1070" s="955"/>
      <c r="L1070" s="954"/>
      <c r="M1070" s="952"/>
      <c r="N1070" s="952"/>
    </row>
    <row r="1071" spans="1:14">
      <c r="A1071" s="958" t="s">
        <v>373</v>
      </c>
      <c r="B1071" s="958">
        <v>23</v>
      </c>
      <c r="C1071" s="958" t="s">
        <v>2945</v>
      </c>
      <c r="D1071" s="957" t="s">
        <v>9029</v>
      </c>
      <c r="E1071" s="956">
        <v>7733</v>
      </c>
      <c r="F1071" s="955"/>
      <c r="L1071" s="954"/>
      <c r="M1071" s="952"/>
      <c r="N1071" s="952"/>
    </row>
    <row r="1072" spans="1:14">
      <c r="A1072" s="958" t="s">
        <v>373</v>
      </c>
      <c r="B1072" s="958">
        <v>23</v>
      </c>
      <c r="C1072" s="958" t="s">
        <v>9028</v>
      </c>
      <c r="D1072" s="957" t="s">
        <v>9027</v>
      </c>
      <c r="E1072" s="956">
        <v>19825</v>
      </c>
      <c r="F1072" s="955"/>
      <c r="L1072" s="954"/>
      <c r="M1072" s="952"/>
      <c r="N1072" s="952"/>
    </row>
    <row r="1073" spans="1:14">
      <c r="A1073" s="958" t="s">
        <v>373</v>
      </c>
      <c r="B1073" s="958">
        <v>23</v>
      </c>
      <c r="C1073" s="958" t="s">
        <v>2943</v>
      </c>
      <c r="D1073" s="957" t="s">
        <v>9026</v>
      </c>
      <c r="E1073" s="956">
        <v>21850</v>
      </c>
      <c r="F1073" s="955"/>
      <c r="L1073" s="954"/>
      <c r="M1073" s="952"/>
      <c r="N1073" s="952"/>
    </row>
    <row r="1074" spans="1:14">
      <c r="A1074" s="958" t="s">
        <v>373</v>
      </c>
      <c r="B1074" s="958">
        <v>23</v>
      </c>
      <c r="C1074" s="958" t="s">
        <v>2941</v>
      </c>
      <c r="D1074" s="957" t="s">
        <v>9025</v>
      </c>
      <c r="E1074" s="956">
        <v>13840</v>
      </c>
      <c r="F1074" s="955"/>
      <c r="L1074" s="954"/>
      <c r="M1074" s="952"/>
      <c r="N1074" s="952"/>
    </row>
    <row r="1075" spans="1:14">
      <c r="A1075" s="958" t="s">
        <v>373</v>
      </c>
      <c r="B1075" s="958">
        <v>23</v>
      </c>
      <c r="C1075" s="958" t="s">
        <v>9024</v>
      </c>
      <c r="D1075" s="957" t="s">
        <v>9023</v>
      </c>
      <c r="E1075" s="956">
        <v>18420</v>
      </c>
      <c r="F1075" s="955"/>
      <c r="L1075" s="954"/>
      <c r="M1075" s="952"/>
      <c r="N1075" s="952"/>
    </row>
    <row r="1076" spans="1:14">
      <c r="A1076" s="958" t="s">
        <v>373</v>
      </c>
      <c r="B1076" s="958">
        <v>23</v>
      </c>
      <c r="C1076" s="958" t="s">
        <v>2939</v>
      </c>
      <c r="D1076" s="957" t="s">
        <v>9022</v>
      </c>
      <c r="E1076" s="956">
        <v>40721</v>
      </c>
      <c r="F1076" s="955"/>
      <c r="L1076" s="954"/>
      <c r="M1076" s="952"/>
      <c r="N1076" s="952"/>
    </row>
    <row r="1077" spans="1:14">
      <c r="A1077" s="958" t="s">
        <v>373</v>
      </c>
      <c r="B1077" s="958">
        <v>23</v>
      </c>
      <c r="C1077" s="958" t="s">
        <v>2937</v>
      </c>
      <c r="D1077" s="957" t="s">
        <v>9021</v>
      </c>
      <c r="E1077" s="956">
        <v>60889</v>
      </c>
      <c r="F1077" s="955"/>
      <c r="L1077" s="954"/>
      <c r="M1077" s="952"/>
      <c r="N1077" s="952"/>
    </row>
    <row r="1078" spans="1:14">
      <c r="A1078" s="958" t="s">
        <v>359</v>
      </c>
      <c r="B1078" s="958">
        <v>24</v>
      </c>
      <c r="C1078" s="958" t="s">
        <v>2764</v>
      </c>
      <c r="D1078" s="957" t="s">
        <v>9020</v>
      </c>
      <c r="E1078" s="956">
        <v>11136</v>
      </c>
      <c r="F1078" s="955"/>
      <c r="L1078" s="954"/>
      <c r="M1078" s="952"/>
      <c r="N1078" s="952"/>
    </row>
    <row r="1079" spans="1:14">
      <c r="A1079" s="958" t="s">
        <v>359</v>
      </c>
      <c r="B1079" s="958">
        <v>24</v>
      </c>
      <c r="C1079" s="958" t="s">
        <v>2762</v>
      </c>
      <c r="D1079" s="957" t="s">
        <v>9019</v>
      </c>
      <c r="E1079" s="956">
        <v>58017</v>
      </c>
      <c r="F1079" s="955"/>
      <c r="L1079" s="954"/>
      <c r="M1079" s="952"/>
      <c r="N1079" s="952"/>
    </row>
    <row r="1080" spans="1:14">
      <c r="A1080" s="958" t="s">
        <v>359</v>
      </c>
      <c r="B1080" s="958">
        <v>24</v>
      </c>
      <c r="C1080" s="958" t="s">
        <v>2760</v>
      </c>
      <c r="D1080" s="957" t="s">
        <v>9018</v>
      </c>
      <c r="E1080" s="956">
        <v>11035</v>
      </c>
      <c r="F1080" s="955"/>
      <c r="L1080" s="954"/>
      <c r="M1080" s="952"/>
      <c r="N1080" s="952"/>
    </row>
    <row r="1081" spans="1:14">
      <c r="A1081" s="958" t="s">
        <v>359</v>
      </c>
      <c r="B1081" s="958">
        <v>24</v>
      </c>
      <c r="C1081" s="958" t="s">
        <v>2758</v>
      </c>
      <c r="D1081" s="957" t="s">
        <v>9017</v>
      </c>
      <c r="E1081" s="956">
        <v>3252</v>
      </c>
      <c r="F1081" s="955"/>
      <c r="L1081" s="954"/>
      <c r="M1081" s="952"/>
      <c r="N1081" s="952"/>
    </row>
    <row r="1082" spans="1:14">
      <c r="A1082" s="958" t="s">
        <v>359</v>
      </c>
      <c r="B1082" s="958">
        <v>24</v>
      </c>
      <c r="C1082" s="958" t="s">
        <v>2752</v>
      </c>
      <c r="D1082" s="957" t="s">
        <v>9016</v>
      </c>
      <c r="E1082" s="956">
        <v>13577</v>
      </c>
      <c r="F1082" s="955"/>
      <c r="L1082" s="954"/>
      <c r="M1082" s="952"/>
      <c r="N1082" s="952"/>
    </row>
    <row r="1083" spans="1:14">
      <c r="A1083" s="958" t="s">
        <v>359</v>
      </c>
      <c r="B1083" s="958">
        <v>24</v>
      </c>
      <c r="C1083" s="958" t="s">
        <v>2746</v>
      </c>
      <c r="D1083" s="957" t="s">
        <v>9015</v>
      </c>
      <c r="E1083" s="956">
        <v>4735</v>
      </c>
      <c r="F1083" s="955"/>
      <c r="L1083" s="954"/>
      <c r="M1083" s="952"/>
      <c r="N1083" s="952"/>
    </row>
    <row r="1084" spans="1:14">
      <c r="A1084" s="958" t="s">
        <v>359</v>
      </c>
      <c r="B1084" s="958">
        <v>24</v>
      </c>
      <c r="C1084" s="958" t="s">
        <v>2738</v>
      </c>
      <c r="D1084" s="957" t="s">
        <v>9014</v>
      </c>
      <c r="E1084" s="956">
        <v>14529</v>
      </c>
      <c r="F1084" s="955"/>
      <c r="L1084" s="954"/>
      <c r="M1084" s="952"/>
      <c r="N1084" s="952"/>
    </row>
    <row r="1085" spans="1:14">
      <c r="A1085" s="958" t="s">
        <v>359</v>
      </c>
      <c r="B1085" s="958">
        <v>24</v>
      </c>
      <c r="C1085" s="958" t="s">
        <v>2736</v>
      </c>
      <c r="D1085" s="957" t="s">
        <v>9013</v>
      </c>
      <c r="E1085" s="956">
        <v>11714</v>
      </c>
      <c r="F1085" s="955"/>
      <c r="L1085" s="954"/>
      <c r="M1085" s="952"/>
      <c r="N1085" s="952"/>
    </row>
    <row r="1086" spans="1:14">
      <c r="A1086" s="958" t="s">
        <v>359</v>
      </c>
      <c r="B1086" s="958">
        <v>24</v>
      </c>
      <c r="C1086" s="958" t="s">
        <v>2730</v>
      </c>
      <c r="D1086" s="957" t="s">
        <v>9012</v>
      </c>
      <c r="E1086" s="956">
        <v>7145</v>
      </c>
      <c r="F1086" s="955"/>
      <c r="L1086" s="954"/>
      <c r="M1086" s="952"/>
      <c r="N1086" s="952"/>
    </row>
    <row r="1087" spans="1:14">
      <c r="A1087" s="958" t="s">
        <v>359</v>
      </c>
      <c r="B1087" s="958">
        <v>24</v>
      </c>
      <c r="C1087" s="958" t="s">
        <v>2728</v>
      </c>
      <c r="D1087" s="957" t="s">
        <v>9011</v>
      </c>
      <c r="E1087" s="956">
        <v>35845</v>
      </c>
      <c r="F1087" s="955"/>
      <c r="L1087" s="954"/>
      <c r="M1087" s="952"/>
      <c r="N1087" s="952"/>
    </row>
    <row r="1088" spans="1:14">
      <c r="A1088" s="958" t="s">
        <v>359</v>
      </c>
      <c r="B1088" s="958">
        <v>24</v>
      </c>
      <c r="C1088" s="958" t="s">
        <v>2722</v>
      </c>
      <c r="D1088" s="957" t="s">
        <v>8157</v>
      </c>
      <c r="E1088" s="956">
        <v>27774</v>
      </c>
      <c r="F1088" s="955"/>
      <c r="L1088" s="954"/>
      <c r="M1088" s="952"/>
      <c r="N1088" s="952"/>
    </row>
    <row r="1089" spans="1:14">
      <c r="A1089" s="958" t="s">
        <v>359</v>
      </c>
      <c r="B1089" s="958">
        <v>24</v>
      </c>
      <c r="C1089" s="958" t="s">
        <v>2720</v>
      </c>
      <c r="D1089" s="957" t="s">
        <v>9010</v>
      </c>
      <c r="E1089" s="956">
        <v>14306</v>
      </c>
      <c r="F1089" s="955"/>
      <c r="L1089" s="954"/>
      <c r="M1089" s="952"/>
      <c r="N1089" s="952"/>
    </row>
    <row r="1090" spans="1:14">
      <c r="A1090" s="958" t="s">
        <v>359</v>
      </c>
      <c r="B1090" s="958">
        <v>24</v>
      </c>
      <c r="C1090" s="958" t="s">
        <v>2718</v>
      </c>
      <c r="D1090" s="957" t="s">
        <v>9009</v>
      </c>
      <c r="E1090" s="956">
        <v>9655</v>
      </c>
      <c r="F1090" s="955"/>
      <c r="L1090" s="954"/>
      <c r="M1090" s="952"/>
      <c r="N1090" s="952"/>
    </row>
    <row r="1091" spans="1:14">
      <c r="A1091" s="958" t="s">
        <v>359</v>
      </c>
      <c r="B1091" s="958">
        <v>24</v>
      </c>
      <c r="C1091" s="958" t="s">
        <v>2716</v>
      </c>
      <c r="D1091" s="957" t="s">
        <v>9008</v>
      </c>
      <c r="E1091" s="956">
        <v>9271</v>
      </c>
      <c r="F1091" s="955"/>
      <c r="L1091" s="954"/>
      <c r="M1091" s="952"/>
      <c r="N1091" s="952"/>
    </row>
    <row r="1092" spans="1:14">
      <c r="A1092" s="958" t="s">
        <v>359</v>
      </c>
      <c r="B1092" s="958">
        <v>24</v>
      </c>
      <c r="C1092" s="958" t="s">
        <v>9007</v>
      </c>
      <c r="D1092" s="957" t="s">
        <v>8829</v>
      </c>
      <c r="E1092" s="956">
        <v>28374</v>
      </c>
      <c r="F1092" s="955"/>
      <c r="L1092" s="954"/>
      <c r="M1092" s="952"/>
      <c r="N1092" s="952"/>
    </row>
    <row r="1093" spans="1:14">
      <c r="A1093" s="958" t="s">
        <v>359</v>
      </c>
      <c r="B1093" s="958">
        <v>24</v>
      </c>
      <c r="C1093" s="958" t="s">
        <v>2714</v>
      </c>
      <c r="D1093" s="957" t="s">
        <v>9006</v>
      </c>
      <c r="E1093" s="956">
        <v>3998</v>
      </c>
      <c r="F1093" s="955"/>
      <c r="L1093" s="954"/>
      <c r="M1093" s="952"/>
      <c r="N1093" s="952"/>
    </row>
    <row r="1094" spans="1:14">
      <c r="A1094" s="958" t="s">
        <v>359</v>
      </c>
      <c r="B1094" s="958">
        <v>24</v>
      </c>
      <c r="C1094" s="958" t="s">
        <v>2710</v>
      </c>
      <c r="D1094" s="957" t="s">
        <v>9005</v>
      </c>
      <c r="E1094" s="956">
        <v>5497</v>
      </c>
      <c r="F1094" s="955"/>
      <c r="L1094" s="954"/>
      <c r="M1094" s="952"/>
      <c r="N1094" s="952"/>
    </row>
    <row r="1095" spans="1:14">
      <c r="A1095" s="958" t="s">
        <v>359</v>
      </c>
      <c r="B1095" s="958">
        <v>24</v>
      </c>
      <c r="C1095" s="958" t="s">
        <v>2706</v>
      </c>
      <c r="D1095" s="957" t="s">
        <v>9004</v>
      </c>
      <c r="E1095" s="956">
        <v>2223</v>
      </c>
      <c r="F1095" s="955"/>
      <c r="L1095" s="954"/>
      <c r="M1095" s="952"/>
      <c r="N1095" s="952"/>
    </row>
    <row r="1096" spans="1:14">
      <c r="A1096" s="958" t="s">
        <v>359</v>
      </c>
      <c r="B1096" s="958">
        <v>24</v>
      </c>
      <c r="C1096" s="958" t="s">
        <v>2704</v>
      </c>
      <c r="D1096" s="957" t="s">
        <v>2671</v>
      </c>
      <c r="E1096" s="956">
        <v>10210</v>
      </c>
      <c r="F1096" s="955"/>
      <c r="L1096" s="954"/>
      <c r="M1096" s="952"/>
      <c r="N1096" s="952"/>
    </row>
    <row r="1097" spans="1:14">
      <c r="A1097" s="958" t="s">
        <v>359</v>
      </c>
      <c r="B1097" s="958">
        <v>24</v>
      </c>
      <c r="C1097" s="958" t="s">
        <v>2700</v>
      </c>
      <c r="D1097" s="957" t="s">
        <v>8432</v>
      </c>
      <c r="E1097" s="956">
        <v>12699</v>
      </c>
      <c r="F1097" s="955"/>
      <c r="L1097" s="954"/>
      <c r="M1097" s="952"/>
      <c r="N1097" s="952"/>
    </row>
    <row r="1098" spans="1:14">
      <c r="A1098" s="958" t="s">
        <v>359</v>
      </c>
      <c r="B1098" s="958">
        <v>24</v>
      </c>
      <c r="C1098" s="958" t="s">
        <v>2698</v>
      </c>
      <c r="D1098" s="957" t="s">
        <v>9003</v>
      </c>
      <c r="E1098" s="956">
        <v>6549</v>
      </c>
      <c r="F1098" s="955"/>
      <c r="L1098" s="954"/>
      <c r="M1098" s="952"/>
      <c r="N1098" s="952"/>
    </row>
    <row r="1099" spans="1:14">
      <c r="A1099" s="958" t="s">
        <v>359</v>
      </c>
      <c r="B1099" s="958">
        <v>24</v>
      </c>
      <c r="C1099" s="958" t="s">
        <v>2694</v>
      </c>
      <c r="D1099" s="957" t="s">
        <v>9002</v>
      </c>
      <c r="E1099" s="956">
        <v>3684</v>
      </c>
      <c r="F1099" s="955"/>
      <c r="L1099" s="954"/>
      <c r="M1099" s="952"/>
      <c r="N1099" s="952"/>
    </row>
    <row r="1100" spans="1:14">
      <c r="A1100" s="958" t="s">
        <v>359</v>
      </c>
      <c r="B1100" s="958">
        <v>24</v>
      </c>
      <c r="C1100" s="958" t="s">
        <v>2688</v>
      </c>
      <c r="D1100" s="957" t="s">
        <v>9001</v>
      </c>
      <c r="E1100" s="956">
        <v>67952</v>
      </c>
      <c r="F1100" s="955"/>
      <c r="L1100" s="954"/>
      <c r="M1100" s="952"/>
      <c r="N1100" s="952"/>
    </row>
    <row r="1101" spans="1:14">
      <c r="A1101" s="958" t="s">
        <v>359</v>
      </c>
      <c r="B1101" s="958">
        <v>24</v>
      </c>
      <c r="C1101" s="958" t="s">
        <v>2684</v>
      </c>
      <c r="D1101" s="957" t="s">
        <v>9000</v>
      </c>
      <c r="E1101" s="956">
        <v>11217</v>
      </c>
      <c r="F1101" s="955"/>
      <c r="L1101" s="954"/>
      <c r="M1101" s="952"/>
      <c r="N1101" s="952"/>
    </row>
    <row r="1102" spans="1:14">
      <c r="A1102" s="958" t="s">
        <v>359</v>
      </c>
      <c r="B1102" s="958">
        <v>24</v>
      </c>
      <c r="C1102" s="958" t="s">
        <v>2680</v>
      </c>
      <c r="D1102" s="957" t="s">
        <v>8999</v>
      </c>
      <c r="E1102" s="956">
        <v>34276</v>
      </c>
      <c r="F1102" s="955"/>
      <c r="L1102" s="954"/>
      <c r="M1102" s="952"/>
      <c r="N1102" s="952"/>
    </row>
    <row r="1103" spans="1:14">
      <c r="A1103" s="958" t="s">
        <v>359</v>
      </c>
      <c r="B1103" s="958">
        <v>24</v>
      </c>
      <c r="C1103" s="958" t="s">
        <v>2672</v>
      </c>
      <c r="D1103" s="957" t="s">
        <v>8771</v>
      </c>
      <c r="E1103" s="956">
        <v>20493</v>
      </c>
      <c r="F1103" s="955"/>
      <c r="L1103" s="954"/>
      <c r="M1103" s="952"/>
      <c r="N1103" s="952"/>
    </row>
    <row r="1104" spans="1:14">
      <c r="A1104" s="958" t="s">
        <v>359</v>
      </c>
      <c r="B1104" s="958">
        <v>24</v>
      </c>
      <c r="C1104" s="958" t="s">
        <v>2666</v>
      </c>
      <c r="D1104" s="957" t="s">
        <v>8998</v>
      </c>
      <c r="E1104" s="956">
        <v>8180</v>
      </c>
      <c r="F1104" s="955"/>
      <c r="L1104" s="954"/>
      <c r="M1104" s="952"/>
      <c r="N1104" s="952"/>
    </row>
    <row r="1105" spans="1:14">
      <c r="A1105" s="958" t="s">
        <v>359</v>
      </c>
      <c r="B1105" s="958">
        <v>24</v>
      </c>
      <c r="C1105" s="958" t="s">
        <v>2662</v>
      </c>
      <c r="D1105" s="957" t="s">
        <v>8997</v>
      </c>
      <c r="E1105" s="956">
        <v>10759</v>
      </c>
      <c r="F1105" s="955"/>
      <c r="L1105" s="954"/>
      <c r="M1105" s="952"/>
      <c r="N1105" s="952"/>
    </row>
    <row r="1106" spans="1:14">
      <c r="A1106" s="958" t="s">
        <v>359</v>
      </c>
      <c r="B1106" s="958">
        <v>24</v>
      </c>
      <c r="C1106" s="958" t="s">
        <v>2658</v>
      </c>
      <c r="D1106" s="957" t="s">
        <v>8996</v>
      </c>
      <c r="E1106" s="956">
        <v>73497</v>
      </c>
      <c r="F1106" s="955"/>
      <c r="L1106" s="954"/>
      <c r="M1106" s="952"/>
      <c r="N1106" s="952"/>
    </row>
    <row r="1107" spans="1:14">
      <c r="A1107" s="958" t="s">
        <v>359</v>
      </c>
      <c r="B1107" s="958">
        <v>24</v>
      </c>
      <c r="C1107" s="958" t="s">
        <v>2654</v>
      </c>
      <c r="D1107" s="957" t="s">
        <v>8995</v>
      </c>
      <c r="E1107" s="956">
        <v>11179</v>
      </c>
      <c r="F1107" s="955"/>
      <c r="L1107" s="954"/>
      <c r="M1107" s="952"/>
      <c r="N1107" s="952"/>
    </row>
    <row r="1108" spans="1:14">
      <c r="A1108" s="958" t="s">
        <v>359</v>
      </c>
      <c r="B1108" s="958">
        <v>24</v>
      </c>
      <c r="C1108" s="958" t="s">
        <v>2652</v>
      </c>
      <c r="D1108" s="957" t="s">
        <v>8994</v>
      </c>
      <c r="E1108" s="956">
        <v>5506</v>
      </c>
      <c r="F1108" s="955"/>
      <c r="L1108" s="954"/>
      <c r="M1108" s="952"/>
      <c r="N1108" s="952"/>
    </row>
    <row r="1109" spans="1:14">
      <c r="A1109" s="958" t="s">
        <v>359</v>
      </c>
      <c r="B1109" s="958">
        <v>24</v>
      </c>
      <c r="C1109" s="958" t="s">
        <v>2650</v>
      </c>
      <c r="D1109" s="957" t="s">
        <v>8993</v>
      </c>
      <c r="E1109" s="956">
        <v>4912</v>
      </c>
      <c r="F1109" s="955"/>
      <c r="L1109" s="954"/>
      <c r="M1109" s="952"/>
      <c r="N1109" s="952"/>
    </row>
    <row r="1110" spans="1:14">
      <c r="A1110" s="958" t="s">
        <v>359</v>
      </c>
      <c r="B1110" s="958">
        <v>24</v>
      </c>
      <c r="C1110" s="958" t="s">
        <v>2648</v>
      </c>
      <c r="D1110" s="957" t="s">
        <v>8992</v>
      </c>
      <c r="E1110" s="956">
        <v>7998</v>
      </c>
      <c r="F1110" s="955"/>
      <c r="L1110" s="954"/>
      <c r="M1110" s="952"/>
      <c r="N1110" s="952"/>
    </row>
    <row r="1111" spans="1:14">
      <c r="A1111" s="958" t="s">
        <v>359</v>
      </c>
      <c r="B1111" s="958">
        <v>24</v>
      </c>
      <c r="C1111" s="958" t="s">
        <v>2646</v>
      </c>
      <c r="D1111" s="957" t="s">
        <v>8991</v>
      </c>
      <c r="E1111" s="956">
        <v>44786</v>
      </c>
      <c r="F1111" s="955"/>
      <c r="L1111" s="954"/>
      <c r="M1111" s="952"/>
      <c r="N1111" s="952"/>
    </row>
    <row r="1112" spans="1:14">
      <c r="A1112" s="958" t="s">
        <v>359</v>
      </c>
      <c r="B1112" s="958">
        <v>24</v>
      </c>
      <c r="C1112" s="958" t="s">
        <v>2644</v>
      </c>
      <c r="D1112" s="957" t="s">
        <v>8990</v>
      </c>
      <c r="E1112" s="956">
        <v>7076</v>
      </c>
      <c r="F1112" s="955"/>
      <c r="L1112" s="954"/>
      <c r="M1112" s="952"/>
      <c r="N1112" s="952"/>
    </row>
    <row r="1113" spans="1:14">
      <c r="A1113" s="958" t="s">
        <v>359</v>
      </c>
      <c r="B1113" s="958">
        <v>24</v>
      </c>
      <c r="C1113" s="958" t="s">
        <v>8989</v>
      </c>
      <c r="D1113" s="957" t="s">
        <v>8337</v>
      </c>
      <c r="E1113" s="956">
        <v>261469</v>
      </c>
      <c r="F1113" s="955"/>
      <c r="L1113" s="954"/>
      <c r="M1113" s="952"/>
      <c r="N1113" s="952"/>
    </row>
    <row r="1114" spans="1:14">
      <c r="A1114" s="958" t="s">
        <v>359</v>
      </c>
      <c r="B1114" s="958">
        <v>24</v>
      </c>
      <c r="C1114" s="958" t="s">
        <v>2642</v>
      </c>
      <c r="D1114" s="957" t="s">
        <v>8988</v>
      </c>
      <c r="E1114" s="956">
        <v>5638</v>
      </c>
      <c r="F1114" s="955"/>
      <c r="L1114" s="954"/>
      <c r="M1114" s="952"/>
      <c r="N1114" s="952"/>
    </row>
    <row r="1115" spans="1:14">
      <c r="A1115" s="958" t="s">
        <v>359</v>
      </c>
      <c r="B1115" s="958">
        <v>24</v>
      </c>
      <c r="C1115" s="958" t="s">
        <v>2640</v>
      </c>
      <c r="D1115" s="957" t="s">
        <v>8987</v>
      </c>
      <c r="E1115" s="956">
        <v>6045</v>
      </c>
      <c r="F1115" s="955"/>
      <c r="L1115" s="954"/>
      <c r="M1115" s="952"/>
      <c r="N1115" s="952"/>
    </row>
    <row r="1116" spans="1:14">
      <c r="A1116" s="958" t="s">
        <v>359</v>
      </c>
      <c r="B1116" s="958">
        <v>24</v>
      </c>
      <c r="C1116" s="958" t="s">
        <v>2638</v>
      </c>
      <c r="D1116" s="957" t="s">
        <v>8986</v>
      </c>
      <c r="E1116" s="956">
        <v>10505</v>
      </c>
      <c r="F1116" s="955"/>
      <c r="L1116" s="954"/>
      <c r="M1116" s="952"/>
      <c r="N1116" s="952"/>
    </row>
    <row r="1117" spans="1:14">
      <c r="A1117" s="958" t="s">
        <v>359</v>
      </c>
      <c r="B1117" s="958">
        <v>24</v>
      </c>
      <c r="C1117" s="958" t="s">
        <v>2634</v>
      </c>
      <c r="D1117" s="957" t="s">
        <v>8985</v>
      </c>
      <c r="E1117" s="956">
        <v>28583</v>
      </c>
      <c r="F1117" s="955"/>
      <c r="L1117" s="954"/>
      <c r="M1117" s="952"/>
      <c r="N1117" s="952"/>
    </row>
    <row r="1118" spans="1:14">
      <c r="A1118" s="958" t="s">
        <v>359</v>
      </c>
      <c r="B1118" s="958">
        <v>24</v>
      </c>
      <c r="C1118" s="958" t="s">
        <v>2630</v>
      </c>
      <c r="D1118" s="957" t="s">
        <v>8984</v>
      </c>
      <c r="E1118" s="956">
        <v>5985</v>
      </c>
      <c r="F1118" s="955"/>
      <c r="L1118" s="954"/>
      <c r="M1118" s="952"/>
      <c r="N1118" s="952"/>
    </row>
    <row r="1119" spans="1:14">
      <c r="A1119" s="958" t="s">
        <v>359</v>
      </c>
      <c r="B1119" s="958">
        <v>24</v>
      </c>
      <c r="C1119" s="958" t="s">
        <v>8983</v>
      </c>
      <c r="D1119" s="957" t="s">
        <v>8982</v>
      </c>
      <c r="E1119" s="956">
        <v>3054</v>
      </c>
      <c r="F1119" s="955"/>
      <c r="L1119" s="954"/>
      <c r="M1119" s="952"/>
      <c r="N1119" s="952"/>
    </row>
    <row r="1120" spans="1:14">
      <c r="A1120" s="958" t="s">
        <v>359</v>
      </c>
      <c r="B1120" s="958">
        <v>24</v>
      </c>
      <c r="C1120" s="958" t="s">
        <v>2628</v>
      </c>
      <c r="D1120" s="957" t="s">
        <v>8981</v>
      </c>
      <c r="E1120" s="956">
        <v>9116</v>
      </c>
      <c r="F1120" s="955"/>
      <c r="L1120" s="954"/>
      <c r="M1120" s="952"/>
      <c r="N1120" s="952"/>
    </row>
    <row r="1121" spans="1:14">
      <c r="A1121" s="958" t="s">
        <v>359</v>
      </c>
      <c r="B1121" s="958">
        <v>24</v>
      </c>
      <c r="C1121" s="958" t="s">
        <v>2626</v>
      </c>
      <c r="D1121" s="957" t="s">
        <v>8980</v>
      </c>
      <c r="E1121" s="956">
        <v>2824</v>
      </c>
      <c r="F1121" s="955"/>
      <c r="L1121" s="954"/>
      <c r="M1121" s="952"/>
      <c r="N1121" s="952"/>
    </row>
    <row r="1122" spans="1:14">
      <c r="A1122" s="958" t="s">
        <v>359</v>
      </c>
      <c r="B1122" s="958">
        <v>24</v>
      </c>
      <c r="C1122" s="958" t="s">
        <v>2624</v>
      </c>
      <c r="D1122" s="957" t="s">
        <v>8979</v>
      </c>
      <c r="E1122" s="956">
        <v>4068</v>
      </c>
      <c r="F1122" s="955"/>
      <c r="L1122" s="954"/>
      <c r="M1122" s="952"/>
      <c r="N1122" s="952"/>
    </row>
    <row r="1123" spans="1:14">
      <c r="A1123" s="958" t="s">
        <v>359</v>
      </c>
      <c r="B1123" s="958">
        <v>24</v>
      </c>
      <c r="C1123" s="958" t="s">
        <v>2622</v>
      </c>
      <c r="D1123" s="957" t="s">
        <v>8978</v>
      </c>
      <c r="E1123" s="956">
        <v>2786</v>
      </c>
      <c r="F1123" s="955"/>
      <c r="L1123" s="954"/>
      <c r="M1123" s="952"/>
      <c r="N1123" s="952"/>
    </row>
    <row r="1124" spans="1:14">
      <c r="A1124" s="958" t="s">
        <v>359</v>
      </c>
      <c r="B1124" s="958">
        <v>24</v>
      </c>
      <c r="C1124" s="958" t="s">
        <v>2620</v>
      </c>
      <c r="D1124" s="957" t="s">
        <v>8977</v>
      </c>
      <c r="E1124" s="956">
        <v>26328</v>
      </c>
      <c r="F1124" s="955"/>
      <c r="L1124" s="954"/>
      <c r="M1124" s="952"/>
      <c r="N1124" s="952"/>
    </row>
    <row r="1125" spans="1:14">
      <c r="A1125" s="958" t="s">
        <v>359</v>
      </c>
      <c r="B1125" s="958">
        <v>24</v>
      </c>
      <c r="C1125" s="958" t="s">
        <v>2618</v>
      </c>
      <c r="D1125" s="957" t="s">
        <v>8976</v>
      </c>
      <c r="E1125" s="956">
        <v>13037</v>
      </c>
      <c r="F1125" s="955"/>
      <c r="L1125" s="954"/>
      <c r="M1125" s="952"/>
      <c r="N1125" s="952"/>
    </row>
    <row r="1126" spans="1:14">
      <c r="A1126" s="958" t="s">
        <v>359</v>
      </c>
      <c r="B1126" s="958">
        <v>24</v>
      </c>
      <c r="C1126" s="958" t="s">
        <v>2614</v>
      </c>
      <c r="D1126" s="957" t="s">
        <v>8975</v>
      </c>
      <c r="E1126" s="956">
        <v>10383</v>
      </c>
      <c r="F1126" s="955"/>
      <c r="L1126" s="954"/>
      <c r="M1126" s="952"/>
      <c r="N1126" s="952"/>
    </row>
    <row r="1127" spans="1:14">
      <c r="A1127" s="958" t="s">
        <v>359</v>
      </c>
      <c r="B1127" s="958">
        <v>24</v>
      </c>
      <c r="C1127" s="958" t="s">
        <v>2612</v>
      </c>
      <c r="D1127" s="957" t="s">
        <v>8974</v>
      </c>
      <c r="E1127" s="956">
        <v>15659</v>
      </c>
      <c r="F1127" s="955"/>
      <c r="L1127" s="954"/>
      <c r="M1127" s="952"/>
      <c r="N1127" s="952"/>
    </row>
    <row r="1128" spans="1:14">
      <c r="A1128" s="958" t="s">
        <v>359</v>
      </c>
      <c r="B1128" s="958">
        <v>24</v>
      </c>
      <c r="C1128" s="958" t="s">
        <v>2610</v>
      </c>
      <c r="D1128" s="957" t="s">
        <v>8973</v>
      </c>
      <c r="E1128" s="956">
        <v>13766</v>
      </c>
      <c r="F1128" s="955"/>
      <c r="L1128" s="954"/>
      <c r="M1128" s="952"/>
      <c r="N1128" s="952"/>
    </row>
    <row r="1129" spans="1:14">
      <c r="A1129" s="958" t="s">
        <v>359</v>
      </c>
      <c r="B1129" s="958">
        <v>24</v>
      </c>
      <c r="C1129" s="958" t="s">
        <v>2592</v>
      </c>
      <c r="D1129" s="957" t="s">
        <v>8972</v>
      </c>
      <c r="E1129" s="956">
        <v>15491</v>
      </c>
      <c r="F1129" s="955"/>
      <c r="L1129" s="954"/>
      <c r="M1129" s="952"/>
      <c r="N1129" s="952"/>
    </row>
    <row r="1130" spans="1:14">
      <c r="A1130" s="958" t="s">
        <v>359</v>
      </c>
      <c r="B1130" s="958">
        <v>24</v>
      </c>
      <c r="C1130" s="958" t="s">
        <v>2588</v>
      </c>
      <c r="D1130" s="957" t="s">
        <v>8971</v>
      </c>
      <c r="E1130" s="956">
        <v>2241</v>
      </c>
      <c r="F1130" s="955"/>
      <c r="L1130" s="954"/>
      <c r="M1130" s="952"/>
      <c r="N1130" s="952"/>
    </row>
    <row r="1131" spans="1:14">
      <c r="A1131" s="958" t="s">
        <v>359</v>
      </c>
      <c r="B1131" s="958">
        <v>24</v>
      </c>
      <c r="C1131" s="958" t="s">
        <v>2586</v>
      </c>
      <c r="D1131" s="957" t="s">
        <v>1099</v>
      </c>
      <c r="E1131" s="956">
        <v>7548</v>
      </c>
      <c r="F1131" s="955"/>
      <c r="L1131" s="954"/>
      <c r="M1131" s="952"/>
      <c r="N1131" s="952"/>
    </row>
    <row r="1132" spans="1:14">
      <c r="A1132" s="958" t="s">
        <v>359</v>
      </c>
      <c r="B1132" s="958">
        <v>24</v>
      </c>
      <c r="C1132" s="958" t="s">
        <v>2584</v>
      </c>
      <c r="D1132" s="957" t="s">
        <v>8970</v>
      </c>
      <c r="E1132" s="956">
        <v>5878</v>
      </c>
      <c r="F1132" s="955"/>
      <c r="L1132" s="954"/>
      <c r="M1132" s="952"/>
      <c r="N1132" s="952"/>
    </row>
    <row r="1133" spans="1:14">
      <c r="A1133" s="958" t="s">
        <v>359</v>
      </c>
      <c r="B1133" s="958">
        <v>24</v>
      </c>
      <c r="C1133" s="958" t="s">
        <v>2580</v>
      </c>
      <c r="D1133" s="957" t="s">
        <v>8969</v>
      </c>
      <c r="E1133" s="956">
        <v>9133</v>
      </c>
      <c r="F1133" s="955"/>
      <c r="L1133" s="954"/>
      <c r="M1133" s="952"/>
      <c r="N1133" s="952"/>
    </row>
    <row r="1134" spans="1:14">
      <c r="A1134" s="958" t="s">
        <v>359</v>
      </c>
      <c r="B1134" s="958">
        <v>24</v>
      </c>
      <c r="C1134" s="958" t="s">
        <v>2578</v>
      </c>
      <c r="D1134" s="957" t="s">
        <v>7665</v>
      </c>
      <c r="E1134" s="956">
        <v>6878</v>
      </c>
      <c r="F1134" s="955"/>
      <c r="L1134" s="954"/>
      <c r="M1134" s="952"/>
      <c r="N1134" s="952"/>
    </row>
    <row r="1135" spans="1:14">
      <c r="A1135" s="958" t="s">
        <v>359</v>
      </c>
      <c r="B1135" s="958">
        <v>24</v>
      </c>
      <c r="C1135" s="958" t="s">
        <v>2566</v>
      </c>
      <c r="D1135" s="957" t="s">
        <v>8968</v>
      </c>
      <c r="E1135" s="956">
        <v>5268</v>
      </c>
      <c r="F1135" s="955"/>
      <c r="L1135" s="954"/>
      <c r="M1135" s="952"/>
      <c r="N1135" s="952"/>
    </row>
    <row r="1136" spans="1:14">
      <c r="A1136" s="958" t="s">
        <v>359</v>
      </c>
      <c r="B1136" s="958">
        <v>24</v>
      </c>
      <c r="C1136" s="958" t="s">
        <v>2564</v>
      </c>
      <c r="D1136" s="957" t="s">
        <v>8967</v>
      </c>
      <c r="E1136" s="956">
        <v>10181</v>
      </c>
      <c r="F1136" s="955"/>
      <c r="L1136" s="954"/>
      <c r="M1136" s="952"/>
      <c r="N1136" s="952"/>
    </row>
    <row r="1137" spans="1:14">
      <c r="A1137" s="958" t="s">
        <v>359</v>
      </c>
      <c r="B1137" s="958">
        <v>24</v>
      </c>
      <c r="C1137" s="958" t="s">
        <v>2558</v>
      </c>
      <c r="D1137" s="957" t="s">
        <v>8966</v>
      </c>
      <c r="E1137" s="956">
        <v>5055</v>
      </c>
      <c r="F1137" s="955"/>
      <c r="L1137" s="954"/>
      <c r="M1137" s="952"/>
      <c r="N1137" s="952"/>
    </row>
    <row r="1138" spans="1:14">
      <c r="A1138" s="958" t="s">
        <v>359</v>
      </c>
      <c r="B1138" s="958">
        <v>24</v>
      </c>
      <c r="C1138" s="958" t="s">
        <v>2550</v>
      </c>
      <c r="D1138" s="957" t="s">
        <v>8965</v>
      </c>
      <c r="E1138" s="956">
        <v>2612</v>
      </c>
      <c r="F1138" s="955"/>
      <c r="L1138" s="954"/>
      <c r="M1138" s="952"/>
      <c r="N1138" s="952"/>
    </row>
    <row r="1139" spans="1:14">
      <c r="A1139" s="958" t="s">
        <v>359</v>
      </c>
      <c r="B1139" s="958">
        <v>24</v>
      </c>
      <c r="C1139" s="958" t="s">
        <v>2546</v>
      </c>
      <c r="D1139" s="957" t="s">
        <v>8964</v>
      </c>
      <c r="E1139" s="956">
        <v>14837</v>
      </c>
      <c r="F1139" s="955"/>
      <c r="L1139" s="954"/>
      <c r="M1139" s="952"/>
      <c r="N1139" s="952"/>
    </row>
    <row r="1140" spans="1:14">
      <c r="A1140" s="958" t="s">
        <v>359</v>
      </c>
      <c r="B1140" s="958">
        <v>24</v>
      </c>
      <c r="C1140" s="958" t="s">
        <v>2544</v>
      </c>
      <c r="D1140" s="957" t="s">
        <v>8963</v>
      </c>
      <c r="E1140" s="956">
        <v>12396</v>
      </c>
      <c r="F1140" s="955"/>
      <c r="L1140" s="954"/>
      <c r="M1140" s="952"/>
      <c r="N1140" s="952"/>
    </row>
    <row r="1141" spans="1:14">
      <c r="A1141" s="958" t="s">
        <v>359</v>
      </c>
      <c r="B1141" s="958">
        <v>24</v>
      </c>
      <c r="C1141" s="958" t="s">
        <v>2542</v>
      </c>
      <c r="D1141" s="957" t="s">
        <v>8962</v>
      </c>
      <c r="E1141" s="956">
        <v>34955</v>
      </c>
      <c r="F1141" s="955"/>
      <c r="L1141" s="954"/>
      <c r="M1141" s="952"/>
      <c r="N1141" s="952"/>
    </row>
    <row r="1142" spans="1:14">
      <c r="A1142" s="958" t="s">
        <v>359</v>
      </c>
      <c r="B1142" s="958">
        <v>24</v>
      </c>
      <c r="C1142" s="958" t="s">
        <v>2534</v>
      </c>
      <c r="D1142" s="957" t="s">
        <v>8961</v>
      </c>
      <c r="E1142" s="956">
        <v>2654</v>
      </c>
      <c r="F1142" s="955"/>
      <c r="L1142" s="954"/>
      <c r="M1142" s="952"/>
      <c r="N1142" s="952"/>
    </row>
    <row r="1143" spans="1:14">
      <c r="A1143" s="958" t="s">
        <v>359</v>
      </c>
      <c r="B1143" s="958">
        <v>24</v>
      </c>
      <c r="C1143" s="958" t="s">
        <v>2526</v>
      </c>
      <c r="D1143" s="957" t="s">
        <v>8960</v>
      </c>
      <c r="E1143" s="956">
        <v>5951</v>
      </c>
      <c r="F1143" s="955"/>
      <c r="L1143" s="954"/>
      <c r="M1143" s="952"/>
      <c r="N1143" s="952"/>
    </row>
    <row r="1144" spans="1:14">
      <c r="A1144" s="958" t="s">
        <v>359</v>
      </c>
      <c r="B1144" s="958">
        <v>24</v>
      </c>
      <c r="C1144" s="958" t="s">
        <v>2520</v>
      </c>
      <c r="D1144" s="957" t="s">
        <v>8959</v>
      </c>
      <c r="E1144" s="956">
        <v>18295</v>
      </c>
      <c r="F1144" s="955"/>
      <c r="L1144" s="954"/>
      <c r="M1144" s="952"/>
      <c r="N1144" s="952"/>
    </row>
    <row r="1145" spans="1:14">
      <c r="A1145" s="958" t="s">
        <v>359</v>
      </c>
      <c r="B1145" s="958">
        <v>24</v>
      </c>
      <c r="C1145" s="958" t="s">
        <v>8958</v>
      </c>
      <c r="D1145" s="957" t="s">
        <v>8230</v>
      </c>
      <c r="E1145" s="956">
        <v>3898</v>
      </c>
      <c r="F1145" s="955"/>
      <c r="L1145" s="954"/>
      <c r="M1145" s="952"/>
      <c r="N1145" s="952"/>
    </row>
    <row r="1146" spans="1:14">
      <c r="A1146" s="958" t="s">
        <v>359</v>
      </c>
      <c r="B1146" s="958">
        <v>24</v>
      </c>
      <c r="C1146" s="958" t="s">
        <v>2516</v>
      </c>
      <c r="D1146" s="957" t="s">
        <v>8957</v>
      </c>
      <c r="E1146" s="956">
        <v>6769</v>
      </c>
      <c r="F1146" s="955"/>
      <c r="L1146" s="954"/>
      <c r="M1146" s="952"/>
      <c r="N1146" s="952"/>
    </row>
    <row r="1147" spans="1:14">
      <c r="A1147" s="958" t="s">
        <v>359</v>
      </c>
      <c r="B1147" s="958">
        <v>24</v>
      </c>
      <c r="C1147" s="958" t="s">
        <v>2514</v>
      </c>
      <c r="D1147" s="957" t="s">
        <v>8956</v>
      </c>
      <c r="E1147" s="956">
        <v>7544</v>
      </c>
      <c r="F1147" s="955"/>
      <c r="L1147" s="954"/>
      <c r="M1147" s="952"/>
      <c r="N1147" s="952"/>
    </row>
    <row r="1148" spans="1:14">
      <c r="A1148" s="958" t="s">
        <v>359</v>
      </c>
      <c r="B1148" s="958">
        <v>24</v>
      </c>
      <c r="C1148" s="958" t="s">
        <v>2506</v>
      </c>
      <c r="D1148" s="957" t="s">
        <v>8955</v>
      </c>
      <c r="E1148" s="956">
        <v>2732</v>
      </c>
      <c r="F1148" s="955"/>
      <c r="L1148" s="954"/>
      <c r="M1148" s="952"/>
      <c r="N1148" s="952"/>
    </row>
    <row r="1149" spans="1:14">
      <c r="A1149" s="958" t="s">
        <v>359</v>
      </c>
      <c r="B1149" s="958">
        <v>24</v>
      </c>
      <c r="C1149" s="958" t="s">
        <v>2500</v>
      </c>
      <c r="D1149" s="957" t="s">
        <v>8954</v>
      </c>
      <c r="E1149" s="956">
        <v>15614</v>
      </c>
      <c r="F1149" s="955"/>
      <c r="L1149" s="954"/>
      <c r="M1149" s="952"/>
      <c r="N1149" s="952"/>
    </row>
    <row r="1150" spans="1:14">
      <c r="A1150" s="958" t="s">
        <v>359</v>
      </c>
      <c r="B1150" s="958">
        <v>24</v>
      </c>
      <c r="C1150" s="958" t="s">
        <v>2496</v>
      </c>
      <c r="D1150" s="957" t="s">
        <v>8953</v>
      </c>
      <c r="E1150" s="956">
        <v>8245</v>
      </c>
      <c r="F1150" s="955"/>
      <c r="L1150" s="954"/>
      <c r="M1150" s="952"/>
      <c r="N1150" s="952"/>
    </row>
    <row r="1151" spans="1:14">
      <c r="A1151" s="958" t="s">
        <v>359</v>
      </c>
      <c r="B1151" s="958">
        <v>24</v>
      </c>
      <c r="C1151" s="958" t="s">
        <v>2494</v>
      </c>
      <c r="D1151" s="957" t="s">
        <v>8952</v>
      </c>
      <c r="E1151" s="956">
        <v>11277</v>
      </c>
      <c r="F1151" s="955"/>
      <c r="L1151" s="954"/>
      <c r="M1151" s="952"/>
      <c r="N1151" s="952"/>
    </row>
    <row r="1152" spans="1:14">
      <c r="A1152" s="958" t="s">
        <v>359</v>
      </c>
      <c r="B1152" s="958">
        <v>24</v>
      </c>
      <c r="C1152" s="958" t="s">
        <v>2486</v>
      </c>
      <c r="D1152" s="957" t="s">
        <v>8951</v>
      </c>
      <c r="E1152" s="956">
        <v>4759</v>
      </c>
      <c r="F1152" s="955"/>
      <c r="L1152" s="954"/>
      <c r="M1152" s="952"/>
      <c r="N1152" s="952"/>
    </row>
    <row r="1153" spans="1:14">
      <c r="A1153" s="958" t="s">
        <v>359</v>
      </c>
      <c r="B1153" s="958">
        <v>24</v>
      </c>
      <c r="C1153" s="958" t="s">
        <v>2484</v>
      </c>
      <c r="D1153" s="957" t="s">
        <v>8950</v>
      </c>
      <c r="E1153" s="956">
        <v>3996</v>
      </c>
      <c r="F1153" s="955"/>
      <c r="L1153" s="954"/>
      <c r="M1153" s="952"/>
      <c r="N1153" s="952"/>
    </row>
    <row r="1154" spans="1:14">
      <c r="A1154" s="958" t="s">
        <v>359</v>
      </c>
      <c r="B1154" s="958">
        <v>24</v>
      </c>
      <c r="C1154" s="958" t="s">
        <v>2474</v>
      </c>
      <c r="D1154" s="957" t="s">
        <v>8949</v>
      </c>
      <c r="E1154" s="956">
        <v>10116</v>
      </c>
      <c r="F1154" s="955"/>
      <c r="L1154" s="954"/>
      <c r="M1154" s="952"/>
      <c r="N1154" s="952"/>
    </row>
    <row r="1155" spans="1:14">
      <c r="A1155" s="958" t="s">
        <v>359</v>
      </c>
      <c r="B1155" s="958">
        <v>24</v>
      </c>
      <c r="C1155" s="958" t="s">
        <v>2470</v>
      </c>
      <c r="D1155" s="957" t="s">
        <v>8948</v>
      </c>
      <c r="E1155" s="956">
        <v>80792</v>
      </c>
      <c r="F1155" s="955"/>
      <c r="L1155" s="954"/>
      <c r="M1155" s="952"/>
      <c r="N1155" s="952"/>
    </row>
    <row r="1156" spans="1:14">
      <c r="A1156" s="958" t="s">
        <v>359</v>
      </c>
      <c r="B1156" s="958">
        <v>24</v>
      </c>
      <c r="C1156" s="958" t="s">
        <v>2468</v>
      </c>
      <c r="D1156" s="957" t="s">
        <v>8947</v>
      </c>
      <c r="E1156" s="956">
        <v>31814</v>
      </c>
      <c r="F1156" s="955"/>
      <c r="L1156" s="954"/>
      <c r="M1156" s="952"/>
      <c r="N1156" s="952"/>
    </row>
    <row r="1157" spans="1:14">
      <c r="A1157" s="958" t="s">
        <v>359</v>
      </c>
      <c r="B1157" s="958">
        <v>24</v>
      </c>
      <c r="C1157" s="958" t="s">
        <v>8946</v>
      </c>
      <c r="D1157" s="957" t="s">
        <v>8945</v>
      </c>
      <c r="E1157" s="956">
        <v>4020</v>
      </c>
      <c r="F1157" s="955"/>
      <c r="L1157" s="954"/>
      <c r="M1157" s="952"/>
      <c r="N1157" s="952"/>
    </row>
    <row r="1158" spans="1:14">
      <c r="A1158" s="958" t="s">
        <v>359</v>
      </c>
      <c r="B1158" s="958">
        <v>24</v>
      </c>
      <c r="C1158" s="958" t="s">
        <v>2466</v>
      </c>
      <c r="D1158" s="957" t="s">
        <v>8944</v>
      </c>
      <c r="E1158" s="956">
        <v>8347</v>
      </c>
      <c r="F1158" s="955"/>
      <c r="L1158" s="954"/>
      <c r="M1158" s="952"/>
      <c r="N1158" s="952"/>
    </row>
    <row r="1159" spans="1:14">
      <c r="A1159" s="958" t="s">
        <v>359</v>
      </c>
      <c r="B1159" s="958">
        <v>24</v>
      </c>
      <c r="C1159" s="958" t="s">
        <v>2464</v>
      </c>
      <c r="D1159" s="957" t="s">
        <v>8943</v>
      </c>
      <c r="E1159" s="956">
        <v>8725</v>
      </c>
      <c r="F1159" s="955"/>
      <c r="L1159" s="954"/>
      <c r="M1159" s="952"/>
      <c r="N1159" s="952"/>
    </row>
    <row r="1160" spans="1:14">
      <c r="A1160" s="958" t="s">
        <v>359</v>
      </c>
      <c r="B1160" s="958">
        <v>24</v>
      </c>
      <c r="C1160" s="958" t="s">
        <v>2460</v>
      </c>
      <c r="D1160" s="957" t="s">
        <v>8942</v>
      </c>
      <c r="E1160" s="956">
        <v>12371</v>
      </c>
      <c r="F1160" s="955"/>
      <c r="L1160" s="954"/>
      <c r="M1160" s="952"/>
      <c r="N1160" s="952"/>
    </row>
    <row r="1161" spans="1:14">
      <c r="A1161" s="958" t="s">
        <v>359</v>
      </c>
      <c r="B1161" s="958">
        <v>24</v>
      </c>
      <c r="C1161" s="958" t="s">
        <v>2456</v>
      </c>
      <c r="D1161" s="957" t="s">
        <v>8941</v>
      </c>
      <c r="E1161" s="956">
        <v>4601</v>
      </c>
      <c r="F1161" s="955"/>
      <c r="L1161" s="954"/>
      <c r="M1161" s="952"/>
      <c r="N1161" s="952"/>
    </row>
    <row r="1162" spans="1:14">
      <c r="A1162" s="958" t="s">
        <v>359</v>
      </c>
      <c r="B1162" s="958">
        <v>24</v>
      </c>
      <c r="C1162" s="958" t="s">
        <v>2454</v>
      </c>
      <c r="D1162" s="957" t="s">
        <v>8940</v>
      </c>
      <c r="E1162" s="956">
        <v>11251</v>
      </c>
      <c r="F1162" s="955"/>
      <c r="L1162" s="954"/>
      <c r="M1162" s="952"/>
      <c r="N1162" s="952"/>
    </row>
    <row r="1163" spans="1:14">
      <c r="A1163" s="958" t="s">
        <v>359</v>
      </c>
      <c r="B1163" s="958">
        <v>24</v>
      </c>
      <c r="C1163" s="958" t="s">
        <v>2452</v>
      </c>
      <c r="D1163" s="957" t="s">
        <v>8939</v>
      </c>
      <c r="E1163" s="956">
        <v>22451</v>
      </c>
      <c r="F1163" s="955"/>
      <c r="L1163" s="954"/>
      <c r="M1163" s="952"/>
      <c r="N1163" s="952"/>
    </row>
    <row r="1164" spans="1:14">
      <c r="A1164" s="958" t="s">
        <v>359</v>
      </c>
      <c r="B1164" s="958">
        <v>24</v>
      </c>
      <c r="C1164" s="958" t="s">
        <v>2444</v>
      </c>
      <c r="D1164" s="957" t="s">
        <v>8938</v>
      </c>
      <c r="E1164" s="956">
        <v>2105</v>
      </c>
      <c r="F1164" s="955"/>
      <c r="L1164" s="954"/>
      <c r="M1164" s="952"/>
      <c r="N1164" s="952"/>
    </row>
    <row r="1165" spans="1:14">
      <c r="A1165" s="958" t="s">
        <v>359</v>
      </c>
      <c r="B1165" s="958">
        <v>24</v>
      </c>
      <c r="C1165" s="958" t="s">
        <v>2442</v>
      </c>
      <c r="D1165" s="957" t="s">
        <v>8937</v>
      </c>
      <c r="E1165" s="956">
        <v>297378</v>
      </c>
      <c r="F1165" s="955"/>
      <c r="L1165" s="954"/>
      <c r="M1165" s="952"/>
      <c r="N1165" s="952"/>
    </row>
    <row r="1166" spans="1:14">
      <c r="A1166" s="958" t="s">
        <v>359</v>
      </c>
      <c r="B1166" s="958">
        <v>24</v>
      </c>
      <c r="C1166" s="958" t="s">
        <v>2436</v>
      </c>
      <c r="D1166" s="957" t="s">
        <v>8936</v>
      </c>
      <c r="E1166" s="956">
        <v>884122</v>
      </c>
      <c r="F1166" s="955"/>
      <c r="L1166" s="954"/>
      <c r="M1166" s="952"/>
      <c r="N1166" s="952"/>
    </row>
    <row r="1167" spans="1:14">
      <c r="A1167" s="958" t="s">
        <v>359</v>
      </c>
      <c r="B1167" s="958">
        <v>24</v>
      </c>
      <c r="C1167" s="958" t="s">
        <v>2434</v>
      </c>
      <c r="D1167" s="957" t="s">
        <v>8935</v>
      </c>
      <c r="E1167" s="956">
        <v>27602</v>
      </c>
      <c r="F1167" s="955"/>
      <c r="L1167" s="954"/>
      <c r="M1167" s="952"/>
      <c r="N1167" s="952"/>
    </row>
    <row r="1168" spans="1:14">
      <c r="A1168" s="958" t="s">
        <v>359</v>
      </c>
      <c r="B1168" s="958">
        <v>24</v>
      </c>
      <c r="C1168" s="958" t="s">
        <v>2430</v>
      </c>
      <c r="D1168" s="957" t="s">
        <v>8934</v>
      </c>
      <c r="E1168" s="956">
        <v>37343</v>
      </c>
      <c r="F1168" s="955"/>
      <c r="L1168" s="954"/>
      <c r="M1168" s="952"/>
      <c r="N1168" s="952"/>
    </row>
    <row r="1169" spans="1:14">
      <c r="A1169" s="958" t="s">
        <v>359</v>
      </c>
      <c r="B1169" s="958">
        <v>24</v>
      </c>
      <c r="C1169" s="958" t="s">
        <v>2428</v>
      </c>
      <c r="D1169" s="957" t="s">
        <v>8933</v>
      </c>
      <c r="E1169" s="956">
        <v>4258</v>
      </c>
      <c r="F1169" s="955"/>
      <c r="L1169" s="954"/>
      <c r="M1169" s="952"/>
      <c r="N1169" s="952"/>
    </row>
    <row r="1170" spans="1:14">
      <c r="A1170" s="958" t="s">
        <v>359</v>
      </c>
      <c r="B1170" s="958">
        <v>24</v>
      </c>
      <c r="C1170" s="958" t="s">
        <v>2422</v>
      </c>
      <c r="D1170" s="957" t="s">
        <v>6264</v>
      </c>
      <c r="E1170" s="956">
        <v>4812</v>
      </c>
      <c r="F1170" s="955"/>
      <c r="L1170" s="954"/>
      <c r="M1170" s="952"/>
      <c r="N1170" s="952"/>
    </row>
    <row r="1171" spans="1:14">
      <c r="A1171" s="958" t="s">
        <v>359</v>
      </c>
      <c r="B1171" s="958">
        <v>24</v>
      </c>
      <c r="C1171" s="958" t="s">
        <v>2420</v>
      </c>
      <c r="D1171" s="957" t="s">
        <v>8932</v>
      </c>
      <c r="E1171" s="956">
        <v>4254</v>
      </c>
      <c r="F1171" s="955"/>
      <c r="L1171" s="954"/>
      <c r="M1171" s="952"/>
      <c r="N1171" s="952"/>
    </row>
    <row r="1172" spans="1:14">
      <c r="A1172" s="958" t="s">
        <v>359</v>
      </c>
      <c r="B1172" s="958">
        <v>24</v>
      </c>
      <c r="C1172" s="958" t="s">
        <v>2416</v>
      </c>
      <c r="D1172" s="957" t="s">
        <v>8931</v>
      </c>
      <c r="E1172" s="956">
        <v>3768</v>
      </c>
      <c r="F1172" s="955"/>
      <c r="L1172" s="954"/>
      <c r="M1172" s="952"/>
      <c r="N1172" s="952"/>
    </row>
    <row r="1173" spans="1:14">
      <c r="A1173" s="958" t="s">
        <v>359</v>
      </c>
      <c r="B1173" s="958">
        <v>24</v>
      </c>
      <c r="C1173" s="958" t="s">
        <v>2414</v>
      </c>
      <c r="D1173" s="957" t="s">
        <v>8930</v>
      </c>
      <c r="E1173" s="956">
        <v>5237</v>
      </c>
      <c r="F1173" s="955"/>
      <c r="L1173" s="954"/>
      <c r="M1173" s="952"/>
      <c r="N1173" s="952"/>
    </row>
    <row r="1174" spans="1:14">
      <c r="A1174" s="958" t="s">
        <v>359</v>
      </c>
      <c r="B1174" s="958">
        <v>24</v>
      </c>
      <c r="C1174" s="958" t="s">
        <v>2410</v>
      </c>
      <c r="D1174" s="957" t="s">
        <v>8929</v>
      </c>
      <c r="E1174" s="956">
        <v>21477</v>
      </c>
      <c r="F1174" s="955"/>
      <c r="L1174" s="954"/>
      <c r="M1174" s="952"/>
      <c r="N1174" s="952"/>
    </row>
    <row r="1175" spans="1:14">
      <c r="A1175" s="958" t="s">
        <v>359</v>
      </c>
      <c r="B1175" s="958">
        <v>24</v>
      </c>
      <c r="C1175" s="958" t="s">
        <v>8928</v>
      </c>
      <c r="D1175" s="957" t="s">
        <v>8927</v>
      </c>
      <c r="E1175" s="956">
        <v>10848</v>
      </c>
      <c r="F1175" s="955"/>
      <c r="L1175" s="954"/>
      <c r="M1175" s="952"/>
      <c r="N1175" s="952"/>
    </row>
    <row r="1176" spans="1:14">
      <c r="A1176" s="958" t="s">
        <v>359</v>
      </c>
      <c r="B1176" s="958">
        <v>24</v>
      </c>
      <c r="C1176" s="958" t="s">
        <v>2404</v>
      </c>
      <c r="D1176" s="957" t="s">
        <v>8926</v>
      </c>
      <c r="E1176" s="956">
        <v>13277</v>
      </c>
      <c r="F1176" s="955"/>
      <c r="L1176" s="954"/>
      <c r="M1176" s="952"/>
      <c r="N1176" s="952"/>
    </row>
    <row r="1177" spans="1:14">
      <c r="A1177" s="958" t="s">
        <v>359</v>
      </c>
      <c r="B1177" s="958">
        <v>24</v>
      </c>
      <c r="C1177" s="958" t="s">
        <v>2398</v>
      </c>
      <c r="D1177" s="957" t="s">
        <v>8615</v>
      </c>
      <c r="E1177" s="956">
        <v>3089</v>
      </c>
      <c r="F1177" s="955"/>
      <c r="L1177" s="954"/>
      <c r="M1177" s="952"/>
      <c r="N1177" s="952"/>
    </row>
    <row r="1178" spans="1:14">
      <c r="A1178" s="958" t="s">
        <v>359</v>
      </c>
      <c r="B1178" s="958">
        <v>24</v>
      </c>
      <c r="C1178" s="958" t="s">
        <v>2394</v>
      </c>
      <c r="D1178" s="957" t="s">
        <v>8925</v>
      </c>
      <c r="E1178" s="956">
        <v>12755</v>
      </c>
      <c r="F1178" s="955"/>
      <c r="L1178" s="954"/>
      <c r="M1178" s="952"/>
      <c r="N1178" s="952"/>
    </row>
    <row r="1179" spans="1:14">
      <c r="A1179" s="958" t="s">
        <v>359</v>
      </c>
      <c r="B1179" s="958">
        <v>24</v>
      </c>
      <c r="C1179" s="958" t="s">
        <v>8924</v>
      </c>
      <c r="D1179" s="957" t="s">
        <v>2039</v>
      </c>
      <c r="E1179" s="956">
        <v>5551</v>
      </c>
      <c r="F1179" s="955"/>
      <c r="L1179" s="954"/>
      <c r="M1179" s="952"/>
      <c r="N1179" s="952"/>
    </row>
    <row r="1180" spans="1:14">
      <c r="A1180" s="958" t="s">
        <v>359</v>
      </c>
      <c r="B1180" s="958">
        <v>24</v>
      </c>
      <c r="C1180" s="958" t="s">
        <v>2392</v>
      </c>
      <c r="D1180" s="957" t="s">
        <v>8923</v>
      </c>
      <c r="E1180" s="956">
        <v>30394</v>
      </c>
      <c r="F1180" s="955"/>
      <c r="L1180" s="954"/>
      <c r="M1180" s="952"/>
      <c r="N1180" s="952"/>
    </row>
    <row r="1181" spans="1:14">
      <c r="A1181" s="958" t="s">
        <v>359</v>
      </c>
      <c r="B1181" s="958">
        <v>24</v>
      </c>
      <c r="C1181" s="958" t="s">
        <v>2390</v>
      </c>
      <c r="D1181" s="957" t="s">
        <v>8922</v>
      </c>
      <c r="E1181" s="956">
        <v>3237</v>
      </c>
      <c r="F1181" s="955"/>
      <c r="L1181" s="954"/>
      <c r="M1181" s="952"/>
      <c r="N1181" s="952"/>
    </row>
    <row r="1182" spans="1:14">
      <c r="A1182" s="958" t="s">
        <v>359</v>
      </c>
      <c r="B1182" s="958">
        <v>24</v>
      </c>
      <c r="C1182" s="958" t="s">
        <v>2384</v>
      </c>
      <c r="D1182" s="957" t="s">
        <v>1442</v>
      </c>
      <c r="E1182" s="956">
        <v>2458</v>
      </c>
      <c r="F1182" s="955"/>
      <c r="L1182" s="954"/>
      <c r="M1182" s="952"/>
      <c r="N1182" s="952"/>
    </row>
    <row r="1183" spans="1:14">
      <c r="A1183" s="958" t="s">
        <v>359</v>
      </c>
      <c r="B1183" s="958">
        <v>24</v>
      </c>
      <c r="C1183" s="958" t="s">
        <v>2380</v>
      </c>
      <c r="D1183" s="957" t="s">
        <v>8921</v>
      </c>
      <c r="E1183" s="956">
        <v>6716</v>
      </c>
      <c r="F1183" s="955"/>
      <c r="L1183" s="954"/>
      <c r="M1183" s="952"/>
      <c r="N1183" s="952"/>
    </row>
    <row r="1184" spans="1:14">
      <c r="A1184" s="958" t="s">
        <v>359</v>
      </c>
      <c r="B1184" s="958">
        <v>24</v>
      </c>
      <c r="C1184" s="958" t="s">
        <v>2376</v>
      </c>
      <c r="D1184" s="957" t="s">
        <v>8920</v>
      </c>
      <c r="E1184" s="956">
        <v>14806</v>
      </c>
      <c r="F1184" s="955"/>
      <c r="L1184" s="954"/>
      <c r="M1184" s="952"/>
      <c r="N1184" s="952"/>
    </row>
    <row r="1185" spans="1:14">
      <c r="A1185" s="958" t="s">
        <v>359</v>
      </c>
      <c r="B1185" s="958">
        <v>24</v>
      </c>
      <c r="C1185" s="958" t="s">
        <v>2374</v>
      </c>
      <c r="D1185" s="957" t="s">
        <v>8919</v>
      </c>
      <c r="E1185" s="956">
        <v>15129</v>
      </c>
      <c r="F1185" s="955"/>
      <c r="L1185" s="954"/>
      <c r="M1185" s="952"/>
      <c r="N1185" s="952"/>
    </row>
    <row r="1186" spans="1:14">
      <c r="A1186" s="958" t="s">
        <v>359</v>
      </c>
      <c r="B1186" s="958">
        <v>24</v>
      </c>
      <c r="C1186" s="958" t="s">
        <v>2370</v>
      </c>
      <c r="D1186" s="957" t="s">
        <v>8599</v>
      </c>
      <c r="E1186" s="956">
        <v>3838</v>
      </c>
      <c r="F1186" s="955"/>
      <c r="L1186" s="954"/>
      <c r="M1186" s="952"/>
      <c r="N1186" s="952"/>
    </row>
    <row r="1187" spans="1:14">
      <c r="A1187" s="958" t="s">
        <v>359</v>
      </c>
      <c r="B1187" s="958">
        <v>24</v>
      </c>
      <c r="C1187" s="958" t="s">
        <v>2368</v>
      </c>
      <c r="D1187" s="957" t="s">
        <v>8918</v>
      </c>
      <c r="E1187" s="956">
        <v>15413</v>
      </c>
      <c r="F1187" s="955"/>
      <c r="L1187" s="954"/>
      <c r="M1187" s="952"/>
      <c r="N1187" s="952"/>
    </row>
    <row r="1188" spans="1:14">
      <c r="A1188" s="958" t="s">
        <v>359</v>
      </c>
      <c r="B1188" s="958">
        <v>24</v>
      </c>
      <c r="C1188" s="958" t="s">
        <v>2366</v>
      </c>
      <c r="D1188" s="957" t="s">
        <v>8917</v>
      </c>
      <c r="E1188" s="956">
        <v>7867</v>
      </c>
      <c r="F1188" s="955"/>
      <c r="L1188" s="954"/>
      <c r="M1188" s="952"/>
      <c r="N1188" s="952"/>
    </row>
    <row r="1189" spans="1:14">
      <c r="A1189" s="958" t="s">
        <v>359</v>
      </c>
      <c r="B1189" s="958">
        <v>24</v>
      </c>
      <c r="C1189" s="958" t="s">
        <v>8916</v>
      </c>
      <c r="D1189" s="957" t="s">
        <v>8915</v>
      </c>
      <c r="E1189" s="956">
        <v>6437</v>
      </c>
      <c r="F1189" s="955"/>
      <c r="L1189" s="954"/>
      <c r="M1189" s="952"/>
      <c r="N1189" s="952"/>
    </row>
    <row r="1190" spans="1:14">
      <c r="A1190" s="958" t="s">
        <v>359</v>
      </c>
      <c r="B1190" s="958">
        <v>24</v>
      </c>
      <c r="C1190" s="958" t="s">
        <v>2364</v>
      </c>
      <c r="D1190" s="957" t="s">
        <v>8914</v>
      </c>
      <c r="E1190" s="956">
        <v>10395</v>
      </c>
      <c r="F1190" s="955"/>
      <c r="L1190" s="954"/>
      <c r="M1190" s="952"/>
      <c r="N1190" s="952"/>
    </row>
    <row r="1191" spans="1:14">
      <c r="A1191" s="958" t="s">
        <v>359</v>
      </c>
      <c r="B1191" s="958">
        <v>24</v>
      </c>
      <c r="C1191" s="958" t="s">
        <v>2358</v>
      </c>
      <c r="D1191" s="957" t="s">
        <v>8913</v>
      </c>
      <c r="E1191" s="956">
        <v>9621</v>
      </c>
      <c r="F1191" s="955"/>
      <c r="L1191" s="954"/>
      <c r="M1191" s="952"/>
      <c r="N1191" s="952"/>
    </row>
    <row r="1192" spans="1:14">
      <c r="A1192" s="958" t="s">
        <v>359</v>
      </c>
      <c r="B1192" s="958">
        <v>24</v>
      </c>
      <c r="C1192" s="958" t="s">
        <v>2350</v>
      </c>
      <c r="D1192" s="957" t="s">
        <v>8912</v>
      </c>
      <c r="E1192" s="956">
        <v>5098</v>
      </c>
      <c r="F1192" s="955"/>
      <c r="L1192" s="954"/>
      <c r="M1192" s="952"/>
      <c r="N1192" s="952"/>
    </row>
    <row r="1193" spans="1:14">
      <c r="A1193" s="958" t="s">
        <v>359</v>
      </c>
      <c r="B1193" s="958">
        <v>24</v>
      </c>
      <c r="C1193" s="958" t="s">
        <v>2342</v>
      </c>
      <c r="D1193" s="957" t="s">
        <v>8911</v>
      </c>
      <c r="E1193" s="956">
        <v>3201</v>
      </c>
      <c r="F1193" s="955"/>
      <c r="L1193" s="954"/>
      <c r="M1193" s="952"/>
      <c r="N1193" s="952"/>
    </row>
    <row r="1194" spans="1:14">
      <c r="A1194" s="958" t="s">
        <v>359</v>
      </c>
      <c r="B1194" s="958">
        <v>24</v>
      </c>
      <c r="C1194" s="958" t="s">
        <v>2338</v>
      </c>
      <c r="D1194" s="957" t="s">
        <v>8910</v>
      </c>
      <c r="E1194" s="956">
        <v>3579</v>
      </c>
      <c r="F1194" s="955"/>
      <c r="L1194" s="954"/>
      <c r="M1194" s="952"/>
      <c r="N1194" s="952"/>
    </row>
    <row r="1195" spans="1:14">
      <c r="A1195" s="958" t="s">
        <v>359</v>
      </c>
      <c r="B1195" s="958">
        <v>24</v>
      </c>
      <c r="C1195" s="958" t="s">
        <v>2334</v>
      </c>
      <c r="D1195" s="957" t="s">
        <v>7444</v>
      </c>
      <c r="E1195" s="956">
        <v>4204</v>
      </c>
      <c r="F1195" s="955"/>
      <c r="L1195" s="954"/>
      <c r="M1195" s="952"/>
      <c r="N1195" s="952"/>
    </row>
    <row r="1196" spans="1:14">
      <c r="A1196" s="958" t="s">
        <v>359</v>
      </c>
      <c r="B1196" s="958">
        <v>24</v>
      </c>
      <c r="C1196" s="958" t="s">
        <v>2328</v>
      </c>
      <c r="D1196" s="957" t="s">
        <v>8103</v>
      </c>
      <c r="E1196" s="956">
        <v>8128</v>
      </c>
      <c r="F1196" s="955"/>
      <c r="L1196" s="954"/>
      <c r="M1196" s="952"/>
      <c r="N1196" s="952"/>
    </row>
    <row r="1197" spans="1:14">
      <c r="A1197" s="958" t="s">
        <v>359</v>
      </c>
      <c r="B1197" s="958">
        <v>24</v>
      </c>
      <c r="C1197" s="958" t="s">
        <v>2326</v>
      </c>
      <c r="D1197" s="957" t="s">
        <v>8909</v>
      </c>
      <c r="E1197" s="956">
        <v>4467</v>
      </c>
      <c r="F1197" s="955"/>
      <c r="L1197" s="954"/>
      <c r="M1197" s="952"/>
      <c r="N1197" s="952"/>
    </row>
    <row r="1198" spans="1:14">
      <c r="A1198" s="958" t="s">
        <v>359</v>
      </c>
      <c r="B1198" s="958">
        <v>24</v>
      </c>
      <c r="C1198" s="958" t="s">
        <v>8908</v>
      </c>
      <c r="D1198" s="957" t="s">
        <v>8907</v>
      </c>
      <c r="E1198" s="956">
        <v>4106</v>
      </c>
      <c r="F1198" s="955"/>
      <c r="L1198" s="954"/>
      <c r="M1198" s="952"/>
      <c r="N1198" s="952"/>
    </row>
    <row r="1199" spans="1:14">
      <c r="A1199" s="958" t="s">
        <v>359</v>
      </c>
      <c r="B1199" s="958">
        <v>24</v>
      </c>
      <c r="C1199" s="958" t="s">
        <v>2324</v>
      </c>
      <c r="D1199" s="957" t="s">
        <v>7425</v>
      </c>
      <c r="E1199" s="956">
        <v>3600</v>
      </c>
      <c r="F1199" s="955"/>
      <c r="L1199" s="954"/>
      <c r="M1199" s="952"/>
      <c r="N1199" s="952"/>
    </row>
    <row r="1200" spans="1:14">
      <c r="A1200" s="958" t="s">
        <v>359</v>
      </c>
      <c r="B1200" s="958">
        <v>24</v>
      </c>
      <c r="C1200" s="958" t="s">
        <v>2316</v>
      </c>
      <c r="D1200" s="957" t="s">
        <v>8314</v>
      </c>
      <c r="E1200" s="956">
        <v>39674</v>
      </c>
      <c r="F1200" s="955"/>
      <c r="L1200" s="954"/>
      <c r="M1200" s="952"/>
      <c r="N1200" s="952"/>
    </row>
    <row r="1201" spans="1:14">
      <c r="A1201" s="958" t="s">
        <v>359</v>
      </c>
      <c r="B1201" s="958">
        <v>24</v>
      </c>
      <c r="C1201" s="958" t="s">
        <v>2306</v>
      </c>
      <c r="D1201" s="957" t="s">
        <v>8906</v>
      </c>
      <c r="E1201" s="956">
        <v>12791</v>
      </c>
      <c r="F1201" s="955"/>
      <c r="L1201" s="954"/>
      <c r="M1201" s="952"/>
      <c r="N1201" s="952"/>
    </row>
    <row r="1202" spans="1:14">
      <c r="A1202" s="958" t="s">
        <v>359</v>
      </c>
      <c r="B1202" s="958">
        <v>24</v>
      </c>
      <c r="C1202" s="958" t="s">
        <v>2304</v>
      </c>
      <c r="D1202" s="957" t="s">
        <v>8905</v>
      </c>
      <c r="E1202" s="956">
        <v>2680</v>
      </c>
      <c r="F1202" s="955"/>
      <c r="L1202" s="954"/>
      <c r="M1202" s="952"/>
      <c r="N1202" s="952"/>
    </row>
    <row r="1203" spans="1:14">
      <c r="A1203" s="958" t="s">
        <v>359</v>
      </c>
      <c r="B1203" s="958">
        <v>24</v>
      </c>
      <c r="C1203" s="958" t="s">
        <v>2302</v>
      </c>
      <c r="D1203" s="957" t="s">
        <v>8904</v>
      </c>
      <c r="E1203" s="956">
        <v>24136</v>
      </c>
      <c r="F1203" s="955"/>
      <c r="L1203" s="954"/>
      <c r="M1203" s="952"/>
      <c r="N1203" s="952"/>
    </row>
    <row r="1204" spans="1:14">
      <c r="A1204" s="958" t="s">
        <v>359</v>
      </c>
      <c r="B1204" s="958">
        <v>24</v>
      </c>
      <c r="C1204" s="958" t="s">
        <v>2300</v>
      </c>
      <c r="D1204" s="957" t="s">
        <v>8903</v>
      </c>
      <c r="E1204" s="956">
        <v>2747</v>
      </c>
      <c r="F1204" s="955"/>
      <c r="L1204" s="954"/>
      <c r="M1204" s="952"/>
      <c r="N1204" s="952"/>
    </row>
    <row r="1205" spans="1:14">
      <c r="A1205" s="958" t="s">
        <v>359</v>
      </c>
      <c r="B1205" s="958">
        <v>24</v>
      </c>
      <c r="C1205" s="958" t="s">
        <v>2294</v>
      </c>
      <c r="D1205" s="957" t="s">
        <v>8902</v>
      </c>
      <c r="E1205" s="956">
        <v>4449</v>
      </c>
      <c r="F1205" s="955"/>
      <c r="L1205" s="954"/>
      <c r="M1205" s="952"/>
      <c r="N1205" s="952"/>
    </row>
    <row r="1206" spans="1:14">
      <c r="A1206" s="958" t="s">
        <v>359</v>
      </c>
      <c r="B1206" s="958">
        <v>24</v>
      </c>
      <c r="C1206" s="958" t="s">
        <v>2282</v>
      </c>
      <c r="D1206" s="957" t="s">
        <v>8901</v>
      </c>
      <c r="E1206" s="956">
        <v>3584</v>
      </c>
      <c r="F1206" s="955"/>
      <c r="L1206" s="954"/>
      <c r="M1206" s="952"/>
      <c r="N1206" s="952"/>
    </row>
    <row r="1207" spans="1:14">
      <c r="A1207" s="958" t="s">
        <v>359</v>
      </c>
      <c r="B1207" s="958">
        <v>24</v>
      </c>
      <c r="C1207" s="958" t="s">
        <v>2280</v>
      </c>
      <c r="D1207" s="957" t="s">
        <v>8900</v>
      </c>
      <c r="E1207" s="956">
        <v>4228</v>
      </c>
      <c r="F1207" s="955"/>
      <c r="L1207" s="954"/>
      <c r="M1207" s="952"/>
      <c r="N1207" s="952"/>
    </row>
    <row r="1208" spans="1:14" ht="17.25">
      <c r="A1208" s="958" t="s">
        <v>359</v>
      </c>
      <c r="B1208" s="958">
        <v>24</v>
      </c>
      <c r="C1208" s="958" t="s">
        <v>2276</v>
      </c>
      <c r="D1208" s="957" t="s">
        <v>8899</v>
      </c>
      <c r="E1208" s="956" t="s">
        <v>8898</v>
      </c>
      <c r="F1208" s="955"/>
      <c r="L1208" s="954"/>
      <c r="M1208" s="952"/>
      <c r="N1208" s="952"/>
    </row>
    <row r="1209" spans="1:14">
      <c r="A1209" s="958" t="s">
        <v>359</v>
      </c>
      <c r="B1209" s="958">
        <v>24</v>
      </c>
      <c r="C1209" s="958" t="s">
        <v>2272</v>
      </c>
      <c r="D1209" s="957" t="s">
        <v>8897</v>
      </c>
      <c r="E1209" s="956">
        <v>6193</v>
      </c>
      <c r="F1209" s="955"/>
      <c r="L1209" s="954"/>
      <c r="M1209" s="952"/>
      <c r="N1209" s="952"/>
    </row>
    <row r="1210" spans="1:14">
      <c r="A1210" s="958" t="s">
        <v>359</v>
      </c>
      <c r="B1210" s="958">
        <v>24</v>
      </c>
      <c r="C1210" s="958" t="s">
        <v>2264</v>
      </c>
      <c r="D1210" s="957" t="s">
        <v>8896</v>
      </c>
      <c r="E1210" s="956">
        <v>43899</v>
      </c>
      <c r="F1210" s="955"/>
      <c r="L1210" s="954"/>
      <c r="M1210" s="952"/>
      <c r="N1210" s="952"/>
    </row>
    <row r="1211" spans="1:14">
      <c r="A1211" s="958" t="s">
        <v>359</v>
      </c>
      <c r="B1211" s="958">
        <v>24</v>
      </c>
      <c r="C1211" s="958" t="s">
        <v>2260</v>
      </c>
      <c r="D1211" s="957" t="s">
        <v>8895</v>
      </c>
      <c r="E1211" s="956">
        <v>12856</v>
      </c>
      <c r="F1211" s="955"/>
      <c r="L1211" s="954"/>
      <c r="M1211" s="952"/>
      <c r="N1211" s="952"/>
    </row>
    <row r="1212" spans="1:14">
      <c r="A1212" s="958" t="s">
        <v>359</v>
      </c>
      <c r="B1212" s="958">
        <v>24</v>
      </c>
      <c r="C1212" s="958" t="s">
        <v>2252</v>
      </c>
      <c r="D1212" s="957" t="s">
        <v>8894</v>
      </c>
      <c r="E1212" s="956">
        <v>4634</v>
      </c>
      <c r="F1212" s="955"/>
      <c r="L1212" s="954"/>
      <c r="M1212" s="952"/>
      <c r="N1212" s="952"/>
    </row>
    <row r="1213" spans="1:14">
      <c r="A1213" s="958" t="s">
        <v>359</v>
      </c>
      <c r="B1213" s="958">
        <v>24</v>
      </c>
      <c r="C1213" s="958" t="s">
        <v>2242</v>
      </c>
      <c r="D1213" s="957" t="s">
        <v>8893</v>
      </c>
      <c r="E1213" s="956">
        <v>23519</v>
      </c>
      <c r="F1213" s="955"/>
      <c r="L1213" s="954"/>
      <c r="M1213" s="952"/>
      <c r="N1213" s="952"/>
    </row>
    <row r="1214" spans="1:14">
      <c r="A1214" s="958" t="s">
        <v>359</v>
      </c>
      <c r="B1214" s="958">
        <v>24</v>
      </c>
      <c r="C1214" s="958" t="s">
        <v>8892</v>
      </c>
      <c r="D1214" s="957" t="s">
        <v>8891</v>
      </c>
      <c r="E1214" s="956">
        <v>10282</v>
      </c>
      <c r="F1214" s="955"/>
      <c r="L1214" s="954"/>
      <c r="M1214" s="952"/>
      <c r="N1214" s="952"/>
    </row>
    <row r="1215" spans="1:14">
      <c r="A1215" s="958" t="s">
        <v>359</v>
      </c>
      <c r="B1215" s="958">
        <v>24</v>
      </c>
      <c r="C1215" s="958" t="s">
        <v>2240</v>
      </c>
      <c r="D1215" s="957" t="s">
        <v>8890</v>
      </c>
      <c r="E1215" s="956">
        <v>17579</v>
      </c>
      <c r="F1215" s="955"/>
      <c r="L1215" s="954"/>
      <c r="M1215" s="952"/>
      <c r="N1215" s="952"/>
    </row>
    <row r="1216" spans="1:14">
      <c r="A1216" s="958" t="s">
        <v>359</v>
      </c>
      <c r="B1216" s="958">
        <v>24</v>
      </c>
      <c r="C1216" s="958" t="s">
        <v>2230</v>
      </c>
      <c r="D1216" s="957" t="s">
        <v>4293</v>
      </c>
      <c r="E1216" s="956">
        <v>5971</v>
      </c>
      <c r="F1216" s="955"/>
      <c r="L1216" s="954"/>
      <c r="M1216" s="952"/>
      <c r="N1216" s="952"/>
    </row>
    <row r="1217" spans="1:14">
      <c r="A1217" s="958" t="s">
        <v>359</v>
      </c>
      <c r="B1217" s="958">
        <v>24</v>
      </c>
      <c r="C1217" s="958" t="s">
        <v>2226</v>
      </c>
      <c r="D1217" s="957" t="s">
        <v>8889</v>
      </c>
      <c r="E1217" s="956">
        <v>8202</v>
      </c>
      <c r="F1217" s="955"/>
      <c r="L1217" s="954"/>
      <c r="M1217" s="952"/>
      <c r="N1217" s="952"/>
    </row>
    <row r="1218" spans="1:14">
      <c r="A1218" s="958" t="s">
        <v>359</v>
      </c>
      <c r="B1218" s="958">
        <v>24</v>
      </c>
      <c r="C1218" s="958" t="s">
        <v>2224</v>
      </c>
      <c r="D1218" s="957" t="s">
        <v>3433</v>
      </c>
      <c r="E1218" s="956">
        <v>11055</v>
      </c>
      <c r="F1218" s="955"/>
      <c r="L1218" s="954"/>
      <c r="M1218" s="952"/>
      <c r="N1218" s="952"/>
    </row>
    <row r="1219" spans="1:14">
      <c r="A1219" s="958" t="s">
        <v>359</v>
      </c>
      <c r="B1219" s="958">
        <v>24</v>
      </c>
      <c r="C1219" s="958" t="s">
        <v>2220</v>
      </c>
      <c r="D1219" s="957" t="s">
        <v>4282</v>
      </c>
      <c r="E1219" s="956">
        <v>6424</v>
      </c>
      <c r="F1219" s="955"/>
      <c r="L1219" s="954"/>
      <c r="M1219" s="952"/>
      <c r="N1219" s="952"/>
    </row>
    <row r="1220" spans="1:14">
      <c r="A1220" s="958" t="s">
        <v>359</v>
      </c>
      <c r="B1220" s="958">
        <v>24</v>
      </c>
      <c r="C1220" s="958" t="s">
        <v>2210</v>
      </c>
      <c r="D1220" s="957" t="s">
        <v>8888</v>
      </c>
      <c r="E1220" s="956">
        <v>6086</v>
      </c>
      <c r="F1220" s="955"/>
      <c r="L1220" s="954"/>
      <c r="M1220" s="952"/>
      <c r="N1220" s="952"/>
    </row>
    <row r="1221" spans="1:14">
      <c r="A1221" s="958" t="s">
        <v>359</v>
      </c>
      <c r="B1221" s="958">
        <v>24</v>
      </c>
      <c r="C1221" s="958" t="s">
        <v>2208</v>
      </c>
      <c r="D1221" s="957" t="s">
        <v>8887</v>
      </c>
      <c r="E1221" s="956">
        <v>4440</v>
      </c>
      <c r="F1221" s="955"/>
      <c r="L1221" s="954"/>
      <c r="M1221" s="952"/>
      <c r="N1221" s="952"/>
    </row>
    <row r="1222" spans="1:14">
      <c r="A1222" s="958" t="s">
        <v>359</v>
      </c>
      <c r="B1222" s="958">
        <v>24</v>
      </c>
      <c r="C1222" s="958" t="s">
        <v>2206</v>
      </c>
      <c r="D1222" s="957" t="s">
        <v>8886</v>
      </c>
      <c r="E1222" s="956">
        <v>5762</v>
      </c>
      <c r="F1222" s="955"/>
      <c r="L1222" s="954"/>
      <c r="M1222" s="952"/>
      <c r="N1222" s="952"/>
    </row>
    <row r="1223" spans="1:14">
      <c r="A1223" s="958" t="s">
        <v>359</v>
      </c>
      <c r="B1223" s="958">
        <v>24</v>
      </c>
      <c r="C1223" s="958" t="s">
        <v>2202</v>
      </c>
      <c r="D1223" s="957" t="s">
        <v>8885</v>
      </c>
      <c r="E1223" s="956">
        <v>11938</v>
      </c>
      <c r="F1223" s="955"/>
      <c r="L1223" s="954"/>
      <c r="M1223" s="952"/>
      <c r="N1223" s="952"/>
    </row>
    <row r="1224" spans="1:14">
      <c r="A1224" s="958" t="s">
        <v>359</v>
      </c>
      <c r="B1224" s="958">
        <v>24</v>
      </c>
      <c r="C1224" s="958" t="s">
        <v>2196</v>
      </c>
      <c r="D1224" s="957" t="s">
        <v>8884</v>
      </c>
      <c r="E1224" s="956">
        <v>8078</v>
      </c>
      <c r="F1224" s="955"/>
      <c r="L1224" s="954"/>
      <c r="M1224" s="952"/>
      <c r="N1224" s="952"/>
    </row>
    <row r="1225" spans="1:14">
      <c r="A1225" s="958" t="s">
        <v>359</v>
      </c>
      <c r="B1225" s="958">
        <v>24</v>
      </c>
      <c r="C1225" s="958" t="s">
        <v>2186</v>
      </c>
      <c r="D1225" s="957" t="s">
        <v>7348</v>
      </c>
      <c r="E1225" s="956">
        <v>6229</v>
      </c>
      <c r="F1225" s="955"/>
      <c r="L1225" s="954"/>
      <c r="M1225" s="952"/>
      <c r="N1225" s="952"/>
    </row>
    <row r="1226" spans="1:14">
      <c r="A1226" s="958" t="s">
        <v>359</v>
      </c>
      <c r="B1226" s="958">
        <v>24</v>
      </c>
      <c r="C1226" s="958" t="s">
        <v>8883</v>
      </c>
      <c r="D1226" s="957" t="s">
        <v>8882</v>
      </c>
      <c r="E1226" s="956">
        <v>4800</v>
      </c>
      <c r="F1226" s="955"/>
      <c r="L1226" s="954"/>
      <c r="M1226" s="952"/>
      <c r="N1226" s="952"/>
    </row>
    <row r="1227" spans="1:14">
      <c r="A1227" s="958" t="s">
        <v>359</v>
      </c>
      <c r="B1227" s="958">
        <v>24</v>
      </c>
      <c r="C1227" s="958" t="s">
        <v>2184</v>
      </c>
      <c r="D1227" s="957" t="s">
        <v>8881</v>
      </c>
      <c r="E1227" s="956">
        <v>2440</v>
      </c>
      <c r="F1227" s="955"/>
      <c r="L1227" s="954"/>
      <c r="M1227" s="952"/>
      <c r="N1227" s="952"/>
    </row>
    <row r="1228" spans="1:14">
      <c r="A1228" s="958" t="s">
        <v>359</v>
      </c>
      <c r="B1228" s="958">
        <v>24</v>
      </c>
      <c r="C1228" s="958" t="s">
        <v>2180</v>
      </c>
      <c r="D1228" s="957" t="s">
        <v>8880</v>
      </c>
      <c r="E1228" s="956">
        <v>5522</v>
      </c>
      <c r="F1228" s="955"/>
      <c r="L1228" s="954"/>
      <c r="M1228" s="952"/>
      <c r="N1228" s="952"/>
    </row>
    <row r="1229" spans="1:14">
      <c r="A1229" s="958" t="s">
        <v>359</v>
      </c>
      <c r="B1229" s="958">
        <v>24</v>
      </c>
      <c r="C1229" s="958" t="s">
        <v>2178</v>
      </c>
      <c r="D1229" s="957" t="s">
        <v>8879</v>
      </c>
      <c r="E1229" s="956">
        <v>2566</v>
      </c>
      <c r="F1229" s="955"/>
      <c r="L1229" s="954"/>
      <c r="M1229" s="952"/>
      <c r="N1229" s="952"/>
    </row>
    <row r="1230" spans="1:14">
      <c r="A1230" s="958" t="s">
        <v>359</v>
      </c>
      <c r="B1230" s="958">
        <v>24</v>
      </c>
      <c r="C1230" s="958" t="s">
        <v>2176</v>
      </c>
      <c r="D1230" s="957" t="s">
        <v>8878</v>
      </c>
      <c r="E1230" s="956">
        <v>12279</v>
      </c>
      <c r="F1230" s="955"/>
      <c r="L1230" s="954"/>
      <c r="M1230" s="952"/>
      <c r="N1230" s="952"/>
    </row>
    <row r="1231" spans="1:14">
      <c r="A1231" s="958" t="s">
        <v>359</v>
      </c>
      <c r="B1231" s="958">
        <v>24</v>
      </c>
      <c r="C1231" s="958" t="s">
        <v>2172</v>
      </c>
      <c r="D1231" s="957" t="s">
        <v>2827</v>
      </c>
      <c r="E1231" s="956">
        <v>15727</v>
      </c>
      <c r="F1231" s="955"/>
      <c r="L1231" s="954"/>
      <c r="M1231" s="952"/>
      <c r="N1231" s="952"/>
    </row>
    <row r="1232" spans="1:14">
      <c r="A1232" s="958" t="s">
        <v>359</v>
      </c>
      <c r="B1232" s="958">
        <v>24</v>
      </c>
      <c r="C1232" s="958" t="s">
        <v>2160</v>
      </c>
      <c r="D1232" s="957" t="s">
        <v>8877</v>
      </c>
      <c r="E1232" s="956">
        <v>10786</v>
      </c>
      <c r="F1232" s="955"/>
      <c r="L1232" s="954"/>
      <c r="M1232" s="952"/>
      <c r="N1232" s="952"/>
    </row>
    <row r="1233" spans="1:14">
      <c r="A1233" s="958" t="s">
        <v>359</v>
      </c>
      <c r="B1233" s="958">
        <v>24</v>
      </c>
      <c r="C1233" s="958" t="s">
        <v>2156</v>
      </c>
      <c r="D1233" s="957" t="s">
        <v>8876</v>
      </c>
      <c r="E1233" s="956">
        <v>5952</v>
      </c>
      <c r="F1233" s="955"/>
      <c r="L1233" s="954"/>
      <c r="M1233" s="952"/>
      <c r="N1233" s="952"/>
    </row>
    <row r="1234" spans="1:14">
      <c r="A1234" s="958" t="s">
        <v>359</v>
      </c>
      <c r="B1234" s="958">
        <v>24</v>
      </c>
      <c r="C1234" s="958" t="s">
        <v>2152</v>
      </c>
      <c r="D1234" s="957" t="s">
        <v>8875</v>
      </c>
      <c r="E1234" s="956">
        <v>14180</v>
      </c>
      <c r="F1234" s="955"/>
      <c r="L1234" s="954"/>
      <c r="M1234" s="952"/>
      <c r="N1234" s="952"/>
    </row>
    <row r="1235" spans="1:14">
      <c r="A1235" s="958" t="s">
        <v>359</v>
      </c>
      <c r="B1235" s="958">
        <v>24</v>
      </c>
      <c r="C1235" s="958" t="s">
        <v>2150</v>
      </c>
      <c r="D1235" s="957" t="s">
        <v>8874</v>
      </c>
      <c r="E1235" s="956">
        <v>2414</v>
      </c>
      <c r="F1235" s="955"/>
      <c r="L1235" s="954"/>
      <c r="M1235" s="952"/>
      <c r="N1235" s="952"/>
    </row>
    <row r="1236" spans="1:14">
      <c r="A1236" s="958" t="s">
        <v>359</v>
      </c>
      <c r="B1236" s="958">
        <v>24</v>
      </c>
      <c r="C1236" s="958" t="s">
        <v>2148</v>
      </c>
      <c r="D1236" s="957" t="s">
        <v>8873</v>
      </c>
      <c r="E1236" s="956">
        <v>33287</v>
      </c>
      <c r="F1236" s="955"/>
      <c r="L1236" s="954"/>
      <c r="M1236" s="952"/>
      <c r="N1236" s="952"/>
    </row>
    <row r="1237" spans="1:14">
      <c r="A1237" s="958" t="s">
        <v>359</v>
      </c>
      <c r="B1237" s="958">
        <v>24</v>
      </c>
      <c r="C1237" s="958" t="s">
        <v>2144</v>
      </c>
      <c r="D1237" s="957" t="s">
        <v>8872</v>
      </c>
      <c r="E1237" s="956">
        <v>3237</v>
      </c>
      <c r="F1237" s="955"/>
      <c r="L1237" s="954"/>
      <c r="M1237" s="952"/>
      <c r="N1237" s="952"/>
    </row>
    <row r="1238" spans="1:14">
      <c r="A1238" s="958" t="s">
        <v>359</v>
      </c>
      <c r="B1238" s="958">
        <v>24</v>
      </c>
      <c r="C1238" s="958" t="s">
        <v>2136</v>
      </c>
      <c r="D1238" s="957" t="s">
        <v>8871</v>
      </c>
      <c r="E1238" s="956">
        <v>10555</v>
      </c>
      <c r="F1238" s="955"/>
      <c r="L1238" s="954"/>
      <c r="M1238" s="952"/>
      <c r="N1238" s="952"/>
    </row>
    <row r="1239" spans="1:14">
      <c r="A1239" s="958" t="s">
        <v>359</v>
      </c>
      <c r="B1239" s="958">
        <v>24</v>
      </c>
      <c r="C1239" s="958" t="s">
        <v>2130</v>
      </c>
      <c r="D1239" s="957" t="s">
        <v>8870</v>
      </c>
      <c r="E1239" s="956">
        <v>14659</v>
      </c>
      <c r="F1239" s="955"/>
      <c r="L1239" s="954"/>
      <c r="M1239" s="952"/>
      <c r="N1239" s="952"/>
    </row>
    <row r="1240" spans="1:14">
      <c r="A1240" s="958" t="s">
        <v>359</v>
      </c>
      <c r="B1240" s="958">
        <v>24</v>
      </c>
      <c r="C1240" s="958" t="s">
        <v>2128</v>
      </c>
      <c r="D1240" s="957" t="s">
        <v>8463</v>
      </c>
      <c r="E1240" s="956">
        <v>5500</v>
      </c>
      <c r="F1240" s="955"/>
      <c r="L1240" s="954"/>
      <c r="M1240" s="952"/>
      <c r="N1240" s="952"/>
    </row>
    <row r="1241" spans="1:14">
      <c r="A1241" s="958" t="s">
        <v>359</v>
      </c>
      <c r="B1241" s="958">
        <v>24</v>
      </c>
      <c r="C1241" s="958" t="s">
        <v>2126</v>
      </c>
      <c r="D1241" s="957" t="s">
        <v>8869</v>
      </c>
      <c r="E1241" s="956">
        <v>4177</v>
      </c>
      <c r="F1241" s="955"/>
      <c r="L1241" s="954"/>
      <c r="M1241" s="952"/>
      <c r="N1241" s="952"/>
    </row>
    <row r="1242" spans="1:14">
      <c r="A1242" s="958" t="s">
        <v>359</v>
      </c>
      <c r="B1242" s="958">
        <v>24</v>
      </c>
      <c r="C1242" s="958" t="s">
        <v>2120</v>
      </c>
      <c r="D1242" s="957" t="s">
        <v>1807</v>
      </c>
      <c r="E1242" s="956">
        <v>12481</v>
      </c>
      <c r="F1242" s="955"/>
      <c r="L1242" s="954"/>
      <c r="M1242" s="952"/>
      <c r="N1242" s="952"/>
    </row>
    <row r="1243" spans="1:14">
      <c r="A1243" s="958" t="s">
        <v>359</v>
      </c>
      <c r="B1243" s="958">
        <v>24</v>
      </c>
      <c r="C1243" s="958" t="s">
        <v>2118</v>
      </c>
      <c r="D1243" s="957" t="s">
        <v>5658</v>
      </c>
      <c r="E1243" s="956">
        <v>1718</v>
      </c>
      <c r="F1243" s="955"/>
      <c r="L1243" s="954"/>
      <c r="M1243" s="952"/>
      <c r="N1243" s="952"/>
    </row>
    <row r="1244" spans="1:14">
      <c r="A1244" s="958" t="s">
        <v>359</v>
      </c>
      <c r="B1244" s="958">
        <v>24</v>
      </c>
      <c r="C1244" s="958" t="s">
        <v>2116</v>
      </c>
      <c r="D1244" s="957" t="s">
        <v>8868</v>
      </c>
      <c r="E1244" s="956">
        <v>3170</v>
      </c>
      <c r="F1244" s="955"/>
      <c r="L1244" s="954"/>
      <c r="M1244" s="952"/>
      <c r="N1244" s="952"/>
    </row>
    <row r="1245" spans="1:14">
      <c r="A1245" s="958" t="s">
        <v>364</v>
      </c>
      <c r="B1245" s="958">
        <v>25</v>
      </c>
      <c r="C1245" s="958" t="s">
        <v>8867</v>
      </c>
      <c r="D1245" s="957" t="s">
        <v>8270</v>
      </c>
      <c r="E1245" s="956">
        <v>10234</v>
      </c>
      <c r="F1245" s="955"/>
      <c r="L1245" s="954"/>
      <c r="M1245" s="952"/>
      <c r="N1245" s="952"/>
    </row>
    <row r="1246" spans="1:14">
      <c r="A1246" s="958" t="s">
        <v>364</v>
      </c>
      <c r="B1246" s="958">
        <v>25</v>
      </c>
      <c r="C1246" s="958" t="s">
        <v>8866</v>
      </c>
      <c r="D1246" s="957" t="s">
        <v>8865</v>
      </c>
      <c r="E1246" s="956">
        <v>5640</v>
      </c>
      <c r="F1246" s="955"/>
      <c r="L1246" s="954"/>
      <c r="M1246" s="952"/>
      <c r="N1246" s="952"/>
    </row>
    <row r="1247" spans="1:14">
      <c r="A1247" s="958" t="s">
        <v>364</v>
      </c>
      <c r="B1247" s="958">
        <v>25</v>
      </c>
      <c r="C1247" s="958" t="s">
        <v>8864</v>
      </c>
      <c r="D1247" s="957" t="s">
        <v>8863</v>
      </c>
      <c r="E1247" s="956">
        <v>28496</v>
      </c>
      <c r="F1247" s="955"/>
      <c r="L1247" s="954"/>
      <c r="M1247" s="952"/>
      <c r="N1247" s="952"/>
    </row>
    <row r="1248" spans="1:14">
      <c r="A1248" s="958" t="s">
        <v>364</v>
      </c>
      <c r="B1248" s="958">
        <v>25</v>
      </c>
      <c r="C1248" s="958" t="s">
        <v>8862</v>
      </c>
      <c r="D1248" s="957" t="s">
        <v>8861</v>
      </c>
      <c r="E1248" s="956">
        <v>20849</v>
      </c>
      <c r="F1248" s="955"/>
      <c r="L1248" s="954"/>
      <c r="M1248" s="952"/>
      <c r="N1248" s="952"/>
    </row>
    <row r="1249" spans="1:14">
      <c r="A1249" s="958" t="s">
        <v>364</v>
      </c>
      <c r="B1249" s="958">
        <v>25</v>
      </c>
      <c r="C1249" s="958" t="s">
        <v>8860</v>
      </c>
      <c r="D1249" s="957" t="s">
        <v>8451</v>
      </c>
      <c r="E1249" s="956">
        <v>14489</v>
      </c>
      <c r="F1249" s="955"/>
      <c r="L1249" s="954"/>
      <c r="M1249" s="952"/>
      <c r="N1249" s="952"/>
    </row>
    <row r="1250" spans="1:14">
      <c r="A1250" s="958" t="s">
        <v>364</v>
      </c>
      <c r="B1250" s="958">
        <v>25</v>
      </c>
      <c r="C1250" s="958" t="s">
        <v>8859</v>
      </c>
      <c r="D1250" s="957" t="s">
        <v>8858</v>
      </c>
      <c r="E1250" s="956">
        <v>5492</v>
      </c>
      <c r="F1250" s="955"/>
      <c r="L1250" s="954"/>
      <c r="M1250" s="952"/>
      <c r="N1250" s="952"/>
    </row>
    <row r="1251" spans="1:14">
      <c r="A1251" s="958" t="s">
        <v>364</v>
      </c>
      <c r="B1251" s="958">
        <v>25</v>
      </c>
      <c r="C1251" s="958" t="s">
        <v>8857</v>
      </c>
      <c r="D1251" s="957" t="s">
        <v>8856</v>
      </c>
      <c r="E1251" s="956">
        <v>2567</v>
      </c>
      <c r="F1251" s="955"/>
      <c r="L1251" s="954"/>
      <c r="M1251" s="952"/>
      <c r="N1251" s="952"/>
    </row>
    <row r="1252" spans="1:14">
      <c r="A1252" s="958" t="s">
        <v>364</v>
      </c>
      <c r="B1252" s="958">
        <v>25</v>
      </c>
      <c r="C1252" s="958" t="s">
        <v>8855</v>
      </c>
      <c r="D1252" s="957" t="s">
        <v>8854</v>
      </c>
      <c r="E1252" s="956">
        <v>19588</v>
      </c>
      <c r="F1252" s="955"/>
      <c r="L1252" s="954"/>
      <c r="M1252" s="952"/>
      <c r="N1252" s="952"/>
    </row>
    <row r="1253" spans="1:14">
      <c r="A1253" s="958" t="s">
        <v>364</v>
      </c>
      <c r="B1253" s="958">
        <v>25</v>
      </c>
      <c r="C1253" s="958" t="s">
        <v>8853</v>
      </c>
      <c r="D1253" s="957" t="s">
        <v>8852</v>
      </c>
      <c r="E1253" s="956">
        <v>18034</v>
      </c>
      <c r="F1253" s="955"/>
      <c r="L1253" s="954"/>
      <c r="M1253" s="952"/>
      <c r="N1253" s="952"/>
    </row>
    <row r="1254" spans="1:14">
      <c r="A1254" s="958" t="s">
        <v>364</v>
      </c>
      <c r="B1254" s="958">
        <v>25</v>
      </c>
      <c r="C1254" s="958" t="s">
        <v>8851</v>
      </c>
      <c r="D1254" s="957" t="s">
        <v>5355</v>
      </c>
      <c r="E1254" s="956">
        <v>2238</v>
      </c>
      <c r="F1254" s="955"/>
      <c r="L1254" s="954"/>
      <c r="M1254" s="952"/>
      <c r="N1254" s="952"/>
    </row>
    <row r="1255" spans="1:14">
      <c r="A1255" s="958" t="s">
        <v>364</v>
      </c>
      <c r="B1255" s="958">
        <v>25</v>
      </c>
      <c r="C1255" s="958" t="s">
        <v>8850</v>
      </c>
      <c r="D1255" s="957" t="s">
        <v>5343</v>
      </c>
      <c r="E1255" s="956">
        <v>8347</v>
      </c>
      <c r="F1255" s="955"/>
      <c r="L1255" s="954"/>
      <c r="M1255" s="952"/>
      <c r="N1255" s="952"/>
    </row>
    <row r="1256" spans="1:14">
      <c r="A1256" s="958" t="s">
        <v>364</v>
      </c>
      <c r="B1256" s="958">
        <v>25</v>
      </c>
      <c r="C1256" s="958" t="s">
        <v>8849</v>
      </c>
      <c r="D1256" s="957" t="s">
        <v>8848</v>
      </c>
      <c r="E1256" s="956">
        <v>16987</v>
      </c>
      <c r="F1256" s="955"/>
      <c r="L1256" s="954"/>
      <c r="M1256" s="952"/>
      <c r="N1256" s="952"/>
    </row>
    <row r="1257" spans="1:14">
      <c r="A1257" s="958" t="s">
        <v>364</v>
      </c>
      <c r="B1257" s="958">
        <v>25</v>
      </c>
      <c r="C1257" s="958" t="s">
        <v>8847</v>
      </c>
      <c r="D1257" s="957" t="s">
        <v>8846</v>
      </c>
      <c r="E1257" s="956">
        <v>13470</v>
      </c>
      <c r="F1257" s="955"/>
      <c r="L1257" s="954"/>
      <c r="M1257" s="952"/>
      <c r="N1257" s="952"/>
    </row>
    <row r="1258" spans="1:14">
      <c r="A1258" s="958" t="s">
        <v>364</v>
      </c>
      <c r="B1258" s="958">
        <v>25</v>
      </c>
      <c r="C1258" s="958" t="s">
        <v>8845</v>
      </c>
      <c r="D1258" s="957" t="s">
        <v>4093</v>
      </c>
      <c r="E1258" s="956">
        <v>20312</v>
      </c>
      <c r="F1258" s="955"/>
      <c r="L1258" s="954"/>
      <c r="M1258" s="952"/>
      <c r="N1258" s="952"/>
    </row>
    <row r="1259" spans="1:14">
      <c r="A1259" s="958" t="s">
        <v>364</v>
      </c>
      <c r="B1259" s="958">
        <v>25</v>
      </c>
      <c r="C1259" s="958" t="s">
        <v>8844</v>
      </c>
      <c r="D1259" s="957" t="s">
        <v>8843</v>
      </c>
      <c r="E1259" s="956">
        <v>22819</v>
      </c>
      <c r="F1259" s="955"/>
      <c r="L1259" s="954"/>
      <c r="M1259" s="952"/>
      <c r="N1259" s="952"/>
    </row>
    <row r="1260" spans="1:14">
      <c r="A1260" s="958" t="s">
        <v>364</v>
      </c>
      <c r="B1260" s="958">
        <v>25</v>
      </c>
      <c r="C1260" s="958" t="s">
        <v>8842</v>
      </c>
      <c r="D1260" s="957" t="s">
        <v>8841</v>
      </c>
      <c r="E1260" s="956">
        <v>2128</v>
      </c>
      <c r="F1260" s="955"/>
      <c r="L1260" s="954"/>
      <c r="M1260" s="952"/>
      <c r="N1260" s="952"/>
    </row>
    <row r="1261" spans="1:14">
      <c r="A1261" s="958" t="s">
        <v>364</v>
      </c>
      <c r="B1261" s="958">
        <v>25</v>
      </c>
      <c r="C1261" s="958" t="s">
        <v>8840</v>
      </c>
      <c r="D1261" s="957" t="s">
        <v>8839</v>
      </c>
      <c r="E1261" s="956">
        <v>6998</v>
      </c>
      <c r="F1261" s="955"/>
      <c r="L1261" s="954"/>
      <c r="M1261" s="952"/>
      <c r="N1261" s="952"/>
    </row>
    <row r="1262" spans="1:14">
      <c r="A1262" s="958" t="s">
        <v>364</v>
      </c>
      <c r="B1262" s="958">
        <v>25</v>
      </c>
      <c r="C1262" s="958" t="s">
        <v>8838</v>
      </c>
      <c r="D1262" s="957" t="s">
        <v>8837</v>
      </c>
      <c r="E1262" s="956">
        <v>19153</v>
      </c>
      <c r="F1262" s="955"/>
      <c r="L1262" s="954"/>
      <c r="M1262" s="952"/>
      <c r="N1262" s="952"/>
    </row>
    <row r="1263" spans="1:14">
      <c r="A1263" s="958" t="s">
        <v>364</v>
      </c>
      <c r="B1263" s="958">
        <v>25</v>
      </c>
      <c r="C1263" s="958" t="s">
        <v>8836</v>
      </c>
      <c r="D1263" s="957" t="s">
        <v>8835</v>
      </c>
      <c r="E1263" s="956">
        <v>3990</v>
      </c>
      <c r="F1263" s="955"/>
      <c r="L1263" s="954"/>
      <c r="M1263" s="952"/>
      <c r="N1263" s="952"/>
    </row>
    <row r="1264" spans="1:14">
      <c r="A1264" s="958" t="s">
        <v>364</v>
      </c>
      <c r="B1264" s="958">
        <v>25</v>
      </c>
      <c r="C1264" s="958" t="s">
        <v>8834</v>
      </c>
      <c r="D1264" s="957" t="s">
        <v>8833</v>
      </c>
      <c r="E1264" s="956">
        <v>8993</v>
      </c>
      <c r="F1264" s="955"/>
      <c r="L1264" s="954"/>
      <c r="M1264" s="952"/>
      <c r="N1264" s="952"/>
    </row>
    <row r="1265" spans="1:14">
      <c r="A1265" s="958" t="s">
        <v>364</v>
      </c>
      <c r="B1265" s="958">
        <v>25</v>
      </c>
      <c r="C1265" s="958" t="s">
        <v>8832</v>
      </c>
      <c r="D1265" s="957" t="s">
        <v>8831</v>
      </c>
      <c r="E1265" s="956">
        <v>21318</v>
      </c>
      <c r="F1265" s="955"/>
      <c r="L1265" s="954"/>
      <c r="M1265" s="952"/>
      <c r="N1265" s="952"/>
    </row>
    <row r="1266" spans="1:14">
      <c r="A1266" s="958" t="s">
        <v>364</v>
      </c>
      <c r="B1266" s="958">
        <v>25</v>
      </c>
      <c r="C1266" s="958" t="s">
        <v>8830</v>
      </c>
      <c r="D1266" s="957" t="s">
        <v>8829</v>
      </c>
      <c r="E1266" s="956">
        <v>4892</v>
      </c>
      <c r="F1266" s="955"/>
      <c r="L1266" s="954"/>
      <c r="M1266" s="952"/>
      <c r="N1266" s="952"/>
    </row>
    <row r="1267" spans="1:14">
      <c r="A1267" s="958" t="s">
        <v>364</v>
      </c>
      <c r="B1267" s="958">
        <v>25</v>
      </c>
      <c r="C1267" s="958" t="s">
        <v>8828</v>
      </c>
      <c r="D1267" s="957" t="s">
        <v>8827</v>
      </c>
      <c r="E1267" s="956">
        <v>8359</v>
      </c>
      <c r="F1267" s="955"/>
      <c r="L1267" s="954"/>
      <c r="M1267" s="952"/>
      <c r="N1267" s="952"/>
    </row>
    <row r="1268" spans="1:14">
      <c r="A1268" s="958" t="s">
        <v>364</v>
      </c>
      <c r="B1268" s="958">
        <v>25</v>
      </c>
      <c r="C1268" s="958" t="s">
        <v>8826</v>
      </c>
      <c r="D1268" s="957" t="s">
        <v>8825</v>
      </c>
      <c r="E1268" s="956">
        <v>15384</v>
      </c>
      <c r="F1268" s="955"/>
      <c r="L1268" s="954"/>
      <c r="M1268" s="952"/>
      <c r="N1268" s="952"/>
    </row>
    <row r="1269" spans="1:14">
      <c r="A1269" s="958" t="s">
        <v>364</v>
      </c>
      <c r="B1269" s="958">
        <v>25</v>
      </c>
      <c r="C1269" s="958" t="s">
        <v>8824</v>
      </c>
      <c r="D1269" s="957" t="s">
        <v>8266</v>
      </c>
      <c r="E1269" s="956">
        <v>6036</v>
      </c>
      <c r="F1269" s="955"/>
      <c r="L1269" s="954"/>
      <c r="M1269" s="952"/>
      <c r="N1269" s="952"/>
    </row>
    <row r="1270" spans="1:14">
      <c r="A1270" s="958" t="s">
        <v>364</v>
      </c>
      <c r="B1270" s="958">
        <v>25</v>
      </c>
      <c r="C1270" s="958" t="s">
        <v>8823</v>
      </c>
      <c r="D1270" s="957" t="s">
        <v>8822</v>
      </c>
      <c r="E1270" s="956">
        <v>96880</v>
      </c>
      <c r="F1270" s="955"/>
      <c r="L1270" s="954"/>
      <c r="M1270" s="952"/>
      <c r="N1270" s="952"/>
    </row>
    <row r="1271" spans="1:14">
      <c r="A1271" s="958" t="s">
        <v>364</v>
      </c>
      <c r="B1271" s="958">
        <v>25</v>
      </c>
      <c r="C1271" s="958" t="s">
        <v>8821</v>
      </c>
      <c r="D1271" s="957" t="s">
        <v>8264</v>
      </c>
      <c r="E1271" s="956">
        <v>17676</v>
      </c>
      <c r="F1271" s="955"/>
      <c r="L1271" s="954"/>
      <c r="M1271" s="952"/>
      <c r="N1271" s="952"/>
    </row>
    <row r="1272" spans="1:14">
      <c r="A1272" s="958" t="s">
        <v>364</v>
      </c>
      <c r="B1272" s="958">
        <v>25</v>
      </c>
      <c r="C1272" s="958" t="s">
        <v>8820</v>
      </c>
      <c r="D1272" s="957" t="s">
        <v>8819</v>
      </c>
      <c r="E1272" s="956">
        <v>7342</v>
      </c>
      <c r="F1272" s="955"/>
      <c r="L1272" s="954"/>
      <c r="M1272" s="952"/>
      <c r="N1272" s="952"/>
    </row>
    <row r="1273" spans="1:14">
      <c r="A1273" s="958" t="s">
        <v>364</v>
      </c>
      <c r="B1273" s="958">
        <v>25</v>
      </c>
      <c r="C1273" s="958" t="s">
        <v>8818</v>
      </c>
      <c r="D1273" s="957" t="s">
        <v>8817</v>
      </c>
      <c r="E1273" s="956">
        <v>3501</v>
      </c>
      <c r="F1273" s="955"/>
      <c r="L1273" s="954"/>
      <c r="M1273" s="952"/>
      <c r="N1273" s="952"/>
    </row>
    <row r="1274" spans="1:14">
      <c r="A1274" s="958" t="s">
        <v>364</v>
      </c>
      <c r="B1274" s="958">
        <v>25</v>
      </c>
      <c r="C1274" s="958" t="s">
        <v>8816</v>
      </c>
      <c r="D1274" s="957" t="s">
        <v>8815</v>
      </c>
      <c r="E1274" s="956">
        <v>5366</v>
      </c>
      <c r="F1274" s="955"/>
      <c r="L1274" s="954"/>
      <c r="M1274" s="952"/>
      <c r="N1274" s="952"/>
    </row>
    <row r="1275" spans="1:14">
      <c r="A1275" s="958" t="s">
        <v>364</v>
      </c>
      <c r="B1275" s="958">
        <v>25</v>
      </c>
      <c r="C1275" s="958" t="s">
        <v>8814</v>
      </c>
      <c r="D1275" s="957" t="s">
        <v>8813</v>
      </c>
      <c r="E1275" s="956">
        <v>7051</v>
      </c>
      <c r="F1275" s="955"/>
      <c r="L1275" s="954"/>
      <c r="M1275" s="952"/>
      <c r="N1275" s="952"/>
    </row>
    <row r="1276" spans="1:14">
      <c r="A1276" s="958" t="s">
        <v>364</v>
      </c>
      <c r="B1276" s="958">
        <v>25</v>
      </c>
      <c r="C1276" s="958" t="s">
        <v>8812</v>
      </c>
      <c r="D1276" s="957" t="s">
        <v>2671</v>
      </c>
      <c r="E1276" s="956">
        <v>2561</v>
      </c>
      <c r="F1276" s="955"/>
      <c r="L1276" s="954"/>
      <c r="M1276" s="952"/>
      <c r="N1276" s="952"/>
    </row>
    <row r="1277" spans="1:14">
      <c r="A1277" s="958" t="s">
        <v>364</v>
      </c>
      <c r="B1277" s="958">
        <v>25</v>
      </c>
      <c r="C1277" s="958" t="s">
        <v>8811</v>
      </c>
      <c r="D1277" s="957" t="s">
        <v>4053</v>
      </c>
      <c r="E1277" s="956">
        <v>4975</v>
      </c>
      <c r="F1277" s="955"/>
      <c r="L1277" s="954"/>
      <c r="M1277" s="952"/>
      <c r="N1277" s="952"/>
    </row>
    <row r="1278" spans="1:14">
      <c r="A1278" s="958" t="s">
        <v>364</v>
      </c>
      <c r="B1278" s="958">
        <v>25</v>
      </c>
      <c r="C1278" s="958" t="s">
        <v>8810</v>
      </c>
      <c r="D1278" s="957" t="s">
        <v>8809</v>
      </c>
      <c r="E1278" s="956">
        <v>11917</v>
      </c>
      <c r="F1278" s="955"/>
      <c r="L1278" s="954"/>
      <c r="M1278" s="952"/>
      <c r="N1278" s="952"/>
    </row>
    <row r="1279" spans="1:14">
      <c r="A1279" s="958" t="s">
        <v>364</v>
      </c>
      <c r="B1279" s="958">
        <v>25</v>
      </c>
      <c r="C1279" s="958" t="s">
        <v>8808</v>
      </c>
      <c r="D1279" s="957" t="s">
        <v>8807</v>
      </c>
      <c r="E1279" s="956">
        <v>17804</v>
      </c>
      <c r="F1279" s="955"/>
      <c r="L1279" s="954"/>
      <c r="M1279" s="952"/>
      <c r="N1279" s="952"/>
    </row>
    <row r="1280" spans="1:14">
      <c r="A1280" s="958" t="s">
        <v>364</v>
      </c>
      <c r="B1280" s="958">
        <v>25</v>
      </c>
      <c r="C1280" s="958" t="s">
        <v>8806</v>
      </c>
      <c r="D1280" s="957" t="s">
        <v>8805</v>
      </c>
      <c r="E1280" s="956">
        <v>6117</v>
      </c>
      <c r="F1280" s="955"/>
      <c r="L1280" s="954"/>
      <c r="M1280" s="952"/>
      <c r="N1280" s="952"/>
    </row>
    <row r="1281" spans="1:14">
      <c r="A1281" s="958" t="s">
        <v>364</v>
      </c>
      <c r="B1281" s="958">
        <v>25</v>
      </c>
      <c r="C1281" s="958" t="s">
        <v>8804</v>
      </c>
      <c r="D1281" s="957" t="s">
        <v>5232</v>
      </c>
      <c r="E1281" s="956">
        <v>5263</v>
      </c>
      <c r="F1281" s="955"/>
      <c r="L1281" s="954"/>
      <c r="M1281" s="952"/>
      <c r="N1281" s="952"/>
    </row>
    <row r="1282" spans="1:14">
      <c r="A1282" s="958" t="s">
        <v>364</v>
      </c>
      <c r="B1282" s="958">
        <v>25</v>
      </c>
      <c r="C1282" s="958" t="s">
        <v>8803</v>
      </c>
      <c r="D1282" s="957" t="s">
        <v>8802</v>
      </c>
      <c r="E1282" s="956">
        <v>14122</v>
      </c>
      <c r="F1282" s="955"/>
      <c r="L1282" s="954"/>
      <c r="M1282" s="952"/>
      <c r="N1282" s="952"/>
    </row>
    <row r="1283" spans="1:14">
      <c r="A1283" s="958" t="s">
        <v>364</v>
      </c>
      <c r="B1283" s="958">
        <v>25</v>
      </c>
      <c r="C1283" s="958" t="s">
        <v>8801</v>
      </c>
      <c r="D1283" s="957" t="s">
        <v>8800</v>
      </c>
      <c r="E1283" s="956">
        <v>6449</v>
      </c>
      <c r="F1283" s="955"/>
      <c r="L1283" s="954"/>
      <c r="M1283" s="952"/>
      <c r="N1283" s="952"/>
    </row>
    <row r="1284" spans="1:14">
      <c r="A1284" s="958" t="s">
        <v>364</v>
      </c>
      <c r="B1284" s="958">
        <v>25</v>
      </c>
      <c r="C1284" s="958" t="s">
        <v>8799</v>
      </c>
      <c r="D1284" s="957" t="s">
        <v>8798</v>
      </c>
      <c r="E1284" s="956">
        <v>21828</v>
      </c>
      <c r="F1284" s="955"/>
      <c r="L1284" s="954"/>
      <c r="M1284" s="952"/>
      <c r="N1284" s="952"/>
    </row>
    <row r="1285" spans="1:14">
      <c r="A1285" s="958" t="s">
        <v>364</v>
      </c>
      <c r="B1285" s="958">
        <v>25</v>
      </c>
      <c r="C1285" s="958" t="s">
        <v>8797</v>
      </c>
      <c r="D1285" s="957" t="s">
        <v>8796</v>
      </c>
      <c r="E1285" s="956">
        <v>5611</v>
      </c>
      <c r="F1285" s="955"/>
      <c r="L1285" s="954"/>
      <c r="M1285" s="952"/>
      <c r="N1285" s="952"/>
    </row>
    <row r="1286" spans="1:14">
      <c r="A1286" s="958" t="s">
        <v>364</v>
      </c>
      <c r="B1286" s="958">
        <v>25</v>
      </c>
      <c r="C1286" s="958" t="s">
        <v>8795</v>
      </c>
      <c r="D1286" s="957" t="s">
        <v>8794</v>
      </c>
      <c r="E1286" s="956">
        <v>67736</v>
      </c>
      <c r="F1286" s="955"/>
      <c r="L1286" s="954"/>
      <c r="M1286" s="952"/>
      <c r="N1286" s="952"/>
    </row>
    <row r="1287" spans="1:14">
      <c r="A1287" s="958" t="s">
        <v>364</v>
      </c>
      <c r="B1287" s="958">
        <v>25</v>
      </c>
      <c r="C1287" s="958" t="s">
        <v>8793</v>
      </c>
      <c r="D1287" s="957" t="s">
        <v>8792</v>
      </c>
      <c r="E1287" s="956">
        <v>10244</v>
      </c>
      <c r="F1287" s="955"/>
      <c r="L1287" s="954"/>
      <c r="M1287" s="952"/>
      <c r="N1287" s="952"/>
    </row>
    <row r="1288" spans="1:14">
      <c r="A1288" s="958" t="s">
        <v>364</v>
      </c>
      <c r="B1288" s="958">
        <v>25</v>
      </c>
      <c r="C1288" s="958" t="s">
        <v>8791</v>
      </c>
      <c r="D1288" s="957" t="s">
        <v>8790</v>
      </c>
      <c r="E1288" s="956">
        <v>3682</v>
      </c>
      <c r="F1288" s="955"/>
      <c r="L1288" s="954"/>
      <c r="M1288" s="952"/>
      <c r="N1288" s="952"/>
    </row>
    <row r="1289" spans="1:14">
      <c r="A1289" s="958" t="s">
        <v>364</v>
      </c>
      <c r="B1289" s="958">
        <v>25</v>
      </c>
      <c r="C1289" s="958" t="s">
        <v>8789</v>
      </c>
      <c r="D1289" s="957" t="s">
        <v>8788</v>
      </c>
      <c r="E1289" s="956">
        <v>17187</v>
      </c>
      <c r="F1289" s="955"/>
      <c r="L1289" s="954"/>
      <c r="M1289" s="952"/>
      <c r="N1289" s="952"/>
    </row>
    <row r="1290" spans="1:14">
      <c r="A1290" s="958" t="s">
        <v>364</v>
      </c>
      <c r="B1290" s="958">
        <v>25</v>
      </c>
      <c r="C1290" s="958" t="s">
        <v>8787</v>
      </c>
      <c r="D1290" s="957" t="s">
        <v>8786</v>
      </c>
      <c r="E1290" s="956">
        <v>7173</v>
      </c>
      <c r="F1290" s="955"/>
      <c r="L1290" s="954"/>
      <c r="M1290" s="952"/>
      <c r="N1290" s="952"/>
    </row>
    <row r="1291" spans="1:14">
      <c r="A1291" s="958" t="s">
        <v>364</v>
      </c>
      <c r="B1291" s="958">
        <v>25</v>
      </c>
      <c r="C1291" s="958" t="s">
        <v>8785</v>
      </c>
      <c r="D1291" s="957" t="s">
        <v>2639</v>
      </c>
      <c r="E1291" s="956">
        <v>7201</v>
      </c>
      <c r="F1291" s="955"/>
      <c r="L1291" s="954"/>
      <c r="M1291" s="952"/>
      <c r="N1291" s="952"/>
    </row>
    <row r="1292" spans="1:14">
      <c r="A1292" s="958" t="s">
        <v>364</v>
      </c>
      <c r="B1292" s="958">
        <v>25</v>
      </c>
      <c r="C1292" s="958" t="s">
        <v>8784</v>
      </c>
      <c r="D1292" s="957" t="s">
        <v>8783</v>
      </c>
      <c r="E1292" s="956">
        <v>61993</v>
      </c>
      <c r="F1292" s="955"/>
      <c r="L1292" s="954"/>
      <c r="M1292" s="952"/>
      <c r="N1292" s="952"/>
    </row>
    <row r="1293" spans="1:14">
      <c r="A1293" s="958" t="s">
        <v>364</v>
      </c>
      <c r="B1293" s="958">
        <v>25</v>
      </c>
      <c r="C1293" s="958" t="s">
        <v>8782</v>
      </c>
      <c r="D1293" s="957" t="s">
        <v>8781</v>
      </c>
      <c r="E1293" s="956">
        <v>3193</v>
      </c>
      <c r="F1293" s="955"/>
      <c r="L1293" s="954"/>
      <c r="M1293" s="952"/>
      <c r="N1293" s="952"/>
    </row>
    <row r="1294" spans="1:14">
      <c r="A1294" s="958" t="s">
        <v>364</v>
      </c>
      <c r="B1294" s="958">
        <v>25</v>
      </c>
      <c r="C1294" s="958" t="s">
        <v>8780</v>
      </c>
      <c r="D1294" s="957" t="s">
        <v>8779</v>
      </c>
      <c r="E1294" s="956">
        <v>6014</v>
      </c>
      <c r="F1294" s="955"/>
      <c r="L1294" s="954"/>
      <c r="M1294" s="952"/>
      <c r="N1294" s="952"/>
    </row>
    <row r="1295" spans="1:14">
      <c r="A1295" s="958" t="s">
        <v>364</v>
      </c>
      <c r="B1295" s="958">
        <v>25</v>
      </c>
      <c r="C1295" s="958" t="s">
        <v>8778</v>
      </c>
      <c r="D1295" s="957" t="s">
        <v>8777</v>
      </c>
      <c r="E1295" s="956">
        <v>6013</v>
      </c>
      <c r="F1295" s="955"/>
      <c r="L1295" s="954"/>
      <c r="M1295" s="952"/>
      <c r="N1295" s="952"/>
    </row>
    <row r="1296" spans="1:14">
      <c r="A1296" s="958" t="s">
        <v>364</v>
      </c>
      <c r="B1296" s="958">
        <v>25</v>
      </c>
      <c r="C1296" s="958" t="s">
        <v>8776</v>
      </c>
      <c r="D1296" s="957" t="s">
        <v>8775</v>
      </c>
      <c r="E1296" s="956">
        <v>409731</v>
      </c>
      <c r="F1296" s="955"/>
      <c r="L1296" s="954"/>
      <c r="M1296" s="952"/>
      <c r="N1296" s="952"/>
    </row>
    <row r="1297" spans="1:14">
      <c r="A1297" s="958" t="s">
        <v>364</v>
      </c>
      <c r="B1297" s="958">
        <v>25</v>
      </c>
      <c r="C1297" s="958" t="s">
        <v>8774</v>
      </c>
      <c r="D1297" s="957" t="s">
        <v>8773</v>
      </c>
      <c r="E1297" s="956">
        <v>6523</v>
      </c>
      <c r="F1297" s="955"/>
      <c r="L1297" s="954"/>
      <c r="M1297" s="952"/>
      <c r="N1297" s="952"/>
    </row>
    <row r="1298" spans="1:14">
      <c r="A1298" s="958" t="s">
        <v>364</v>
      </c>
      <c r="B1298" s="958">
        <v>25</v>
      </c>
      <c r="C1298" s="958" t="s">
        <v>8772</v>
      </c>
      <c r="D1298" s="957" t="s">
        <v>8771</v>
      </c>
      <c r="E1298" s="956">
        <v>4162</v>
      </c>
      <c r="F1298" s="955"/>
      <c r="L1298" s="954"/>
      <c r="M1298" s="952"/>
      <c r="N1298" s="952"/>
    </row>
    <row r="1299" spans="1:14">
      <c r="A1299" s="958" t="s">
        <v>364</v>
      </c>
      <c r="B1299" s="958">
        <v>25</v>
      </c>
      <c r="C1299" s="958" t="s">
        <v>8770</v>
      </c>
      <c r="D1299" s="957" t="s">
        <v>8769</v>
      </c>
      <c r="E1299" s="956">
        <v>2659</v>
      </c>
      <c r="F1299" s="955"/>
      <c r="L1299" s="954"/>
      <c r="M1299" s="952"/>
      <c r="N1299" s="952"/>
    </row>
    <row r="1300" spans="1:14">
      <c r="A1300" s="958" t="s">
        <v>364</v>
      </c>
      <c r="B1300" s="958">
        <v>25</v>
      </c>
      <c r="C1300" s="958" t="s">
        <v>8768</v>
      </c>
      <c r="D1300" s="957" t="s">
        <v>8767</v>
      </c>
      <c r="E1300" s="956">
        <v>7468</v>
      </c>
      <c r="F1300" s="955"/>
      <c r="L1300" s="954"/>
      <c r="M1300" s="952"/>
      <c r="N1300" s="952"/>
    </row>
    <row r="1301" spans="1:14">
      <c r="A1301" s="958" t="s">
        <v>364</v>
      </c>
      <c r="B1301" s="958">
        <v>25</v>
      </c>
      <c r="C1301" s="958" t="s">
        <v>8766</v>
      </c>
      <c r="D1301" s="957" t="s">
        <v>8765</v>
      </c>
      <c r="E1301" s="956">
        <v>4932</v>
      </c>
      <c r="F1301" s="955"/>
      <c r="L1301" s="954"/>
      <c r="M1301" s="952"/>
      <c r="N1301" s="952"/>
    </row>
    <row r="1302" spans="1:14">
      <c r="A1302" s="958" t="s">
        <v>364</v>
      </c>
      <c r="B1302" s="958">
        <v>25</v>
      </c>
      <c r="C1302" s="958" t="s">
        <v>8764</v>
      </c>
      <c r="D1302" s="957" t="s">
        <v>8763</v>
      </c>
      <c r="E1302" s="956">
        <v>30546</v>
      </c>
      <c r="F1302" s="955"/>
      <c r="L1302" s="954"/>
      <c r="M1302" s="952"/>
      <c r="N1302" s="952"/>
    </row>
    <row r="1303" spans="1:14">
      <c r="A1303" s="958" t="s">
        <v>364</v>
      </c>
      <c r="B1303" s="958">
        <v>25</v>
      </c>
      <c r="C1303" s="958" t="s">
        <v>8762</v>
      </c>
      <c r="D1303" s="957" t="s">
        <v>8761</v>
      </c>
      <c r="E1303" s="956">
        <v>4852</v>
      </c>
      <c r="F1303" s="955"/>
      <c r="L1303" s="954"/>
      <c r="M1303" s="952"/>
      <c r="N1303" s="952"/>
    </row>
    <row r="1304" spans="1:14">
      <c r="A1304" s="958" t="s">
        <v>364</v>
      </c>
      <c r="B1304" s="958">
        <v>25</v>
      </c>
      <c r="C1304" s="958" t="s">
        <v>8760</v>
      </c>
      <c r="D1304" s="957" t="s">
        <v>8759</v>
      </c>
      <c r="E1304" s="956">
        <v>18982</v>
      </c>
      <c r="F1304" s="955"/>
      <c r="L1304" s="954"/>
      <c r="M1304" s="952"/>
      <c r="N1304" s="952"/>
    </row>
    <row r="1305" spans="1:14">
      <c r="A1305" s="958" t="s">
        <v>364</v>
      </c>
      <c r="B1305" s="958">
        <v>25</v>
      </c>
      <c r="C1305" s="958" t="s">
        <v>8758</v>
      </c>
      <c r="D1305" s="957" t="s">
        <v>8407</v>
      </c>
      <c r="E1305" s="956">
        <v>6654</v>
      </c>
      <c r="F1305" s="955"/>
      <c r="L1305" s="954"/>
      <c r="M1305" s="952"/>
      <c r="N1305" s="952"/>
    </row>
    <row r="1306" spans="1:14">
      <c r="A1306" s="958" t="s">
        <v>364</v>
      </c>
      <c r="B1306" s="958">
        <v>25</v>
      </c>
      <c r="C1306" s="958" t="s">
        <v>8757</v>
      </c>
      <c r="D1306" s="957" t="s">
        <v>7880</v>
      </c>
      <c r="E1306" s="956">
        <v>24670</v>
      </c>
      <c r="F1306" s="955"/>
      <c r="L1306" s="954"/>
      <c r="M1306" s="952"/>
      <c r="N1306" s="952"/>
    </row>
    <row r="1307" spans="1:14">
      <c r="A1307" s="958" t="s">
        <v>364</v>
      </c>
      <c r="B1307" s="958">
        <v>25</v>
      </c>
      <c r="C1307" s="958" t="s">
        <v>8756</v>
      </c>
      <c r="D1307" s="957" t="s">
        <v>8755</v>
      </c>
      <c r="E1307" s="956">
        <v>4786</v>
      </c>
      <c r="F1307" s="955"/>
      <c r="L1307" s="954"/>
      <c r="M1307" s="952"/>
      <c r="N1307" s="952"/>
    </row>
    <row r="1308" spans="1:14">
      <c r="A1308" s="958" t="s">
        <v>364</v>
      </c>
      <c r="B1308" s="958">
        <v>25</v>
      </c>
      <c r="C1308" s="958" t="s">
        <v>8754</v>
      </c>
      <c r="D1308" s="957" t="s">
        <v>8753</v>
      </c>
      <c r="E1308" s="956">
        <v>15445</v>
      </c>
      <c r="F1308" s="955"/>
      <c r="L1308" s="954"/>
      <c r="M1308" s="952"/>
      <c r="N1308" s="952"/>
    </row>
    <row r="1309" spans="1:14">
      <c r="A1309" s="958" t="s">
        <v>364</v>
      </c>
      <c r="B1309" s="958">
        <v>25</v>
      </c>
      <c r="C1309" s="958" t="s">
        <v>8752</v>
      </c>
      <c r="D1309" s="957" t="s">
        <v>8751</v>
      </c>
      <c r="E1309" s="956">
        <v>1921</v>
      </c>
      <c r="F1309" s="955"/>
      <c r="L1309" s="954"/>
      <c r="M1309" s="952"/>
      <c r="N1309" s="952"/>
    </row>
    <row r="1310" spans="1:14">
      <c r="A1310" s="958" t="s">
        <v>364</v>
      </c>
      <c r="B1310" s="958">
        <v>25</v>
      </c>
      <c r="C1310" s="958" t="s">
        <v>8750</v>
      </c>
      <c r="D1310" s="957" t="s">
        <v>8749</v>
      </c>
      <c r="E1310" s="956">
        <v>17319</v>
      </c>
      <c r="F1310" s="955"/>
      <c r="L1310" s="954"/>
      <c r="M1310" s="952"/>
      <c r="N1310" s="952"/>
    </row>
    <row r="1311" spans="1:14">
      <c r="A1311" s="958" t="s">
        <v>364</v>
      </c>
      <c r="B1311" s="958">
        <v>25</v>
      </c>
      <c r="C1311" s="958" t="s">
        <v>8748</v>
      </c>
      <c r="D1311" s="957" t="s">
        <v>8747</v>
      </c>
      <c r="E1311" s="956">
        <v>7797</v>
      </c>
      <c r="F1311" s="955"/>
      <c r="L1311" s="954"/>
      <c r="M1311" s="952"/>
      <c r="N1311" s="952"/>
    </row>
    <row r="1312" spans="1:14">
      <c r="A1312" s="958" t="s">
        <v>364</v>
      </c>
      <c r="B1312" s="958">
        <v>25</v>
      </c>
      <c r="C1312" s="958" t="s">
        <v>8746</v>
      </c>
      <c r="D1312" s="957" t="s">
        <v>8745</v>
      </c>
      <c r="E1312" s="956">
        <v>20338</v>
      </c>
      <c r="F1312" s="955"/>
      <c r="L1312" s="954"/>
      <c r="M1312" s="952"/>
      <c r="N1312" s="952"/>
    </row>
    <row r="1313" spans="1:14">
      <c r="A1313" s="958" t="s">
        <v>364</v>
      </c>
      <c r="B1313" s="958">
        <v>25</v>
      </c>
      <c r="C1313" s="958" t="s">
        <v>8744</v>
      </c>
      <c r="D1313" s="957" t="s">
        <v>8743</v>
      </c>
      <c r="E1313" s="956">
        <v>6803</v>
      </c>
      <c r="F1313" s="955"/>
      <c r="L1313" s="954"/>
      <c r="M1313" s="952"/>
      <c r="N1313" s="952"/>
    </row>
    <row r="1314" spans="1:14">
      <c r="A1314" s="958" t="s">
        <v>364</v>
      </c>
      <c r="B1314" s="958">
        <v>25</v>
      </c>
      <c r="C1314" s="958" t="s">
        <v>8742</v>
      </c>
      <c r="D1314" s="957" t="s">
        <v>8741</v>
      </c>
      <c r="E1314" s="956">
        <v>6353</v>
      </c>
      <c r="F1314" s="955"/>
      <c r="L1314" s="954"/>
      <c r="M1314" s="952"/>
      <c r="N1314" s="952"/>
    </row>
    <row r="1315" spans="1:14">
      <c r="A1315" s="958" t="s">
        <v>364</v>
      </c>
      <c r="B1315" s="958">
        <v>25</v>
      </c>
      <c r="C1315" s="958" t="s">
        <v>8740</v>
      </c>
      <c r="D1315" s="957" t="s">
        <v>8739</v>
      </c>
      <c r="E1315" s="956">
        <v>5227</v>
      </c>
      <c r="F1315" s="955"/>
      <c r="L1315" s="954"/>
      <c r="M1315" s="952"/>
      <c r="N1315" s="952"/>
    </row>
    <row r="1316" spans="1:14">
      <c r="A1316" s="958" t="s">
        <v>364</v>
      </c>
      <c r="B1316" s="958">
        <v>25</v>
      </c>
      <c r="C1316" s="958" t="s">
        <v>8738</v>
      </c>
      <c r="D1316" s="957" t="s">
        <v>8737</v>
      </c>
      <c r="E1316" s="956">
        <v>2516</v>
      </c>
      <c r="F1316" s="955"/>
      <c r="L1316" s="954"/>
      <c r="M1316" s="952"/>
      <c r="N1316" s="952"/>
    </row>
    <row r="1317" spans="1:14">
      <c r="A1317" s="958" t="s">
        <v>364</v>
      </c>
      <c r="B1317" s="958">
        <v>25</v>
      </c>
      <c r="C1317" s="958" t="s">
        <v>8736</v>
      </c>
      <c r="D1317" s="957" t="s">
        <v>8735</v>
      </c>
      <c r="E1317" s="956">
        <v>5330</v>
      </c>
      <c r="F1317" s="955"/>
      <c r="L1317" s="954"/>
      <c r="M1317" s="952"/>
      <c r="N1317" s="952"/>
    </row>
    <row r="1318" spans="1:14">
      <c r="A1318" s="958" t="s">
        <v>364</v>
      </c>
      <c r="B1318" s="958">
        <v>25</v>
      </c>
      <c r="C1318" s="958" t="s">
        <v>8734</v>
      </c>
      <c r="D1318" s="957" t="s">
        <v>8733</v>
      </c>
      <c r="E1318" s="956">
        <v>8297</v>
      </c>
      <c r="F1318" s="955"/>
      <c r="L1318" s="954"/>
      <c r="M1318" s="952"/>
      <c r="N1318" s="952"/>
    </row>
    <row r="1319" spans="1:14">
      <c r="A1319" s="958" t="s">
        <v>364</v>
      </c>
      <c r="B1319" s="958">
        <v>25</v>
      </c>
      <c r="C1319" s="958" t="s">
        <v>8732</v>
      </c>
      <c r="D1319" s="957" t="s">
        <v>8731</v>
      </c>
      <c r="E1319" s="956">
        <v>3798</v>
      </c>
      <c r="F1319" s="955"/>
      <c r="L1319" s="954"/>
      <c r="M1319" s="952"/>
      <c r="N1319" s="952"/>
    </row>
    <row r="1320" spans="1:14">
      <c r="A1320" s="958" t="s">
        <v>364</v>
      </c>
      <c r="B1320" s="958">
        <v>25</v>
      </c>
      <c r="C1320" s="958" t="s">
        <v>8730</v>
      </c>
      <c r="D1320" s="957" t="s">
        <v>8729</v>
      </c>
      <c r="E1320" s="956">
        <v>6552</v>
      </c>
      <c r="F1320" s="955"/>
      <c r="L1320" s="954"/>
      <c r="M1320" s="952"/>
      <c r="N1320" s="952"/>
    </row>
    <row r="1321" spans="1:14">
      <c r="A1321" s="958" t="s">
        <v>364</v>
      </c>
      <c r="B1321" s="958">
        <v>25</v>
      </c>
      <c r="C1321" s="958" t="s">
        <v>8728</v>
      </c>
      <c r="D1321" s="957" t="s">
        <v>8727</v>
      </c>
      <c r="E1321" s="956">
        <v>10453</v>
      </c>
      <c r="F1321" s="955"/>
      <c r="L1321" s="954"/>
      <c r="M1321" s="952"/>
      <c r="N1321" s="952"/>
    </row>
    <row r="1322" spans="1:14">
      <c r="A1322" s="958" t="s">
        <v>364</v>
      </c>
      <c r="B1322" s="958">
        <v>25</v>
      </c>
      <c r="C1322" s="958" t="s">
        <v>8726</v>
      </c>
      <c r="D1322" s="957" t="s">
        <v>8725</v>
      </c>
      <c r="E1322" s="956">
        <v>3596</v>
      </c>
      <c r="F1322" s="955"/>
      <c r="L1322" s="954"/>
      <c r="M1322" s="952"/>
      <c r="N1322" s="952"/>
    </row>
    <row r="1323" spans="1:14">
      <c r="A1323" s="958" t="s">
        <v>364</v>
      </c>
      <c r="B1323" s="958">
        <v>25</v>
      </c>
      <c r="C1323" s="958" t="s">
        <v>8724</v>
      </c>
      <c r="D1323" s="957" t="s">
        <v>8723</v>
      </c>
      <c r="E1323" s="956">
        <v>3522</v>
      </c>
      <c r="F1323" s="955"/>
      <c r="L1323" s="954"/>
      <c r="M1323" s="952"/>
      <c r="N1323" s="952"/>
    </row>
    <row r="1324" spans="1:14">
      <c r="A1324" s="958" t="s">
        <v>364</v>
      </c>
      <c r="B1324" s="958">
        <v>25</v>
      </c>
      <c r="C1324" s="958" t="s">
        <v>8722</v>
      </c>
      <c r="D1324" s="957" t="s">
        <v>8721</v>
      </c>
      <c r="E1324" s="956">
        <v>33007</v>
      </c>
      <c r="F1324" s="955"/>
      <c r="L1324" s="954"/>
      <c r="M1324" s="952"/>
      <c r="N1324" s="952"/>
    </row>
    <row r="1325" spans="1:14">
      <c r="A1325" s="958" t="s">
        <v>364</v>
      </c>
      <c r="B1325" s="958">
        <v>25</v>
      </c>
      <c r="C1325" s="958" t="s">
        <v>8720</v>
      </c>
      <c r="D1325" s="957" t="s">
        <v>8719</v>
      </c>
      <c r="E1325" s="956">
        <v>11253</v>
      </c>
      <c r="F1325" s="955"/>
      <c r="L1325" s="954"/>
      <c r="M1325" s="952"/>
      <c r="N1325" s="952"/>
    </row>
    <row r="1326" spans="1:14">
      <c r="A1326" s="958" t="s">
        <v>364</v>
      </c>
      <c r="B1326" s="958">
        <v>25</v>
      </c>
      <c r="C1326" s="958" t="s">
        <v>8718</v>
      </c>
      <c r="D1326" s="957" t="s">
        <v>8717</v>
      </c>
      <c r="E1326" s="956">
        <v>2989</v>
      </c>
      <c r="F1326" s="955"/>
      <c r="L1326" s="954"/>
      <c r="M1326" s="952"/>
      <c r="N1326" s="952"/>
    </row>
    <row r="1327" spans="1:14">
      <c r="A1327" s="958" t="s">
        <v>364</v>
      </c>
      <c r="B1327" s="958">
        <v>25</v>
      </c>
      <c r="C1327" s="958" t="s">
        <v>8716</v>
      </c>
      <c r="D1327" s="957" t="s">
        <v>8715</v>
      </c>
      <c r="E1327" s="956">
        <v>8316</v>
      </c>
      <c r="F1327" s="955"/>
      <c r="L1327" s="954"/>
      <c r="M1327" s="952"/>
      <c r="N1327" s="952"/>
    </row>
    <row r="1328" spans="1:14">
      <c r="A1328" s="958" t="s">
        <v>364</v>
      </c>
      <c r="B1328" s="958">
        <v>25</v>
      </c>
      <c r="C1328" s="958" t="s">
        <v>8714</v>
      </c>
      <c r="D1328" s="957" t="s">
        <v>8713</v>
      </c>
      <c r="E1328" s="956">
        <v>58833</v>
      </c>
      <c r="F1328" s="955"/>
      <c r="L1328" s="954"/>
      <c r="M1328" s="952"/>
      <c r="N1328" s="952"/>
    </row>
    <row r="1329" spans="1:14">
      <c r="A1329" s="958" t="s">
        <v>364</v>
      </c>
      <c r="B1329" s="958">
        <v>25</v>
      </c>
      <c r="C1329" s="958" t="s">
        <v>8712</v>
      </c>
      <c r="D1329" s="957" t="s">
        <v>8711</v>
      </c>
      <c r="E1329" s="956">
        <v>14129</v>
      </c>
      <c r="F1329" s="955"/>
      <c r="L1329" s="954"/>
      <c r="M1329" s="952"/>
      <c r="N1329" s="952"/>
    </row>
    <row r="1330" spans="1:14">
      <c r="A1330" s="958" t="s">
        <v>364</v>
      </c>
      <c r="B1330" s="958">
        <v>25</v>
      </c>
      <c r="C1330" s="958" t="s">
        <v>8710</v>
      </c>
      <c r="D1330" s="957" t="s">
        <v>8709</v>
      </c>
      <c r="E1330" s="956">
        <v>3428</v>
      </c>
      <c r="F1330" s="955"/>
      <c r="L1330" s="954"/>
      <c r="M1330" s="952"/>
      <c r="N1330" s="952"/>
    </row>
    <row r="1331" spans="1:14">
      <c r="A1331" s="958" t="s">
        <v>364</v>
      </c>
      <c r="B1331" s="958">
        <v>25</v>
      </c>
      <c r="C1331" s="958" t="s">
        <v>8708</v>
      </c>
      <c r="D1331" s="957" t="s">
        <v>8707</v>
      </c>
      <c r="E1331" s="956">
        <v>5929</v>
      </c>
      <c r="F1331" s="955"/>
      <c r="L1331" s="954"/>
      <c r="M1331" s="952"/>
      <c r="N1331" s="952"/>
    </row>
    <row r="1332" spans="1:14">
      <c r="A1332" s="958" t="s">
        <v>364</v>
      </c>
      <c r="B1332" s="958">
        <v>25</v>
      </c>
      <c r="C1332" s="958" t="s">
        <v>8706</v>
      </c>
      <c r="D1332" s="957" t="s">
        <v>8705</v>
      </c>
      <c r="E1332" s="956">
        <v>11819</v>
      </c>
      <c r="F1332" s="955"/>
      <c r="L1332" s="954"/>
      <c r="M1332" s="952"/>
      <c r="N1332" s="952"/>
    </row>
    <row r="1333" spans="1:14">
      <c r="A1333" s="958" t="s">
        <v>364</v>
      </c>
      <c r="B1333" s="958">
        <v>25</v>
      </c>
      <c r="C1333" s="958" t="s">
        <v>8704</v>
      </c>
      <c r="D1333" s="957" t="s">
        <v>8703</v>
      </c>
      <c r="E1333" s="956">
        <v>18103</v>
      </c>
      <c r="F1333" s="955"/>
      <c r="L1333" s="954"/>
      <c r="M1333" s="952"/>
      <c r="N1333" s="952"/>
    </row>
    <row r="1334" spans="1:14">
      <c r="A1334" s="958" t="s">
        <v>364</v>
      </c>
      <c r="B1334" s="958">
        <v>25</v>
      </c>
      <c r="C1334" s="958" t="s">
        <v>8702</v>
      </c>
      <c r="D1334" s="957" t="s">
        <v>8134</v>
      </c>
      <c r="E1334" s="956">
        <v>24477</v>
      </c>
      <c r="F1334" s="955"/>
      <c r="L1334" s="954"/>
      <c r="M1334" s="952"/>
      <c r="N1334" s="952"/>
    </row>
    <row r="1335" spans="1:14">
      <c r="A1335" s="958" t="s">
        <v>364</v>
      </c>
      <c r="B1335" s="958">
        <v>25</v>
      </c>
      <c r="C1335" s="958" t="s">
        <v>8701</v>
      </c>
      <c r="D1335" s="957" t="s">
        <v>4881</v>
      </c>
      <c r="E1335" s="956">
        <v>24692</v>
      </c>
      <c r="F1335" s="955"/>
      <c r="L1335" s="954"/>
      <c r="M1335" s="952"/>
      <c r="N1335" s="952"/>
    </row>
    <row r="1336" spans="1:14">
      <c r="A1336" s="958" t="s">
        <v>364</v>
      </c>
      <c r="B1336" s="958">
        <v>25</v>
      </c>
      <c r="C1336" s="958" t="s">
        <v>8700</v>
      </c>
      <c r="D1336" s="957" t="s">
        <v>8699</v>
      </c>
      <c r="E1336" s="956">
        <v>18664</v>
      </c>
      <c r="F1336" s="955"/>
      <c r="L1336" s="954"/>
      <c r="M1336" s="952"/>
      <c r="N1336" s="952"/>
    </row>
    <row r="1337" spans="1:14">
      <c r="A1337" s="958" t="s">
        <v>364</v>
      </c>
      <c r="B1337" s="958">
        <v>25</v>
      </c>
      <c r="C1337" s="958" t="s">
        <v>8698</v>
      </c>
      <c r="D1337" s="957" t="s">
        <v>8697</v>
      </c>
      <c r="E1337" s="956">
        <v>10962</v>
      </c>
      <c r="F1337" s="955"/>
      <c r="L1337" s="954"/>
      <c r="M1337" s="952"/>
      <c r="N1337" s="952"/>
    </row>
    <row r="1338" spans="1:14">
      <c r="A1338" s="958" t="s">
        <v>364</v>
      </c>
      <c r="B1338" s="958">
        <v>25</v>
      </c>
      <c r="C1338" s="958" t="s">
        <v>8696</v>
      </c>
      <c r="D1338" s="957" t="s">
        <v>8695</v>
      </c>
      <c r="E1338" s="956">
        <v>14431</v>
      </c>
      <c r="F1338" s="955"/>
      <c r="L1338" s="954"/>
      <c r="M1338" s="952"/>
      <c r="N1338" s="952"/>
    </row>
    <row r="1339" spans="1:14">
      <c r="A1339" s="958" t="s">
        <v>364</v>
      </c>
      <c r="B1339" s="958">
        <v>25</v>
      </c>
      <c r="C1339" s="958" t="s">
        <v>8694</v>
      </c>
      <c r="D1339" s="957" t="s">
        <v>8693</v>
      </c>
      <c r="E1339" s="956">
        <v>7739</v>
      </c>
      <c r="F1339" s="955"/>
      <c r="L1339" s="954"/>
      <c r="M1339" s="952"/>
      <c r="N1339" s="952"/>
    </row>
    <row r="1340" spans="1:14">
      <c r="A1340" s="958" t="s">
        <v>364</v>
      </c>
      <c r="B1340" s="958">
        <v>25</v>
      </c>
      <c r="C1340" s="958" t="s">
        <v>8692</v>
      </c>
      <c r="D1340" s="957" t="s">
        <v>8691</v>
      </c>
      <c r="E1340" s="956">
        <v>809015</v>
      </c>
      <c r="F1340" s="955"/>
      <c r="L1340" s="954"/>
      <c r="M1340" s="952"/>
      <c r="N1340" s="952"/>
    </row>
    <row r="1341" spans="1:14">
      <c r="A1341" s="958" t="s">
        <v>364</v>
      </c>
      <c r="B1341" s="958">
        <v>25</v>
      </c>
      <c r="C1341" s="958" t="s">
        <v>8690</v>
      </c>
      <c r="D1341" s="957" t="s">
        <v>8689</v>
      </c>
      <c r="E1341" s="956">
        <v>7936</v>
      </c>
      <c r="F1341" s="955"/>
      <c r="L1341" s="954"/>
      <c r="M1341" s="952"/>
      <c r="N1341" s="952"/>
    </row>
    <row r="1342" spans="1:14">
      <c r="A1342" s="958" t="s">
        <v>364</v>
      </c>
      <c r="B1342" s="958">
        <v>25</v>
      </c>
      <c r="C1342" s="958" t="s">
        <v>8688</v>
      </c>
      <c r="D1342" s="957" t="s">
        <v>8687</v>
      </c>
      <c r="E1342" s="956">
        <v>18171</v>
      </c>
      <c r="F1342" s="955"/>
      <c r="L1342" s="954"/>
      <c r="M1342" s="952"/>
      <c r="N1342" s="952"/>
    </row>
    <row r="1343" spans="1:14">
      <c r="A1343" s="958" t="s">
        <v>364</v>
      </c>
      <c r="B1343" s="958">
        <v>25</v>
      </c>
      <c r="C1343" s="958" t="s">
        <v>8686</v>
      </c>
      <c r="D1343" s="957" t="s">
        <v>8685</v>
      </c>
      <c r="E1343" s="956">
        <v>7150</v>
      </c>
      <c r="F1343" s="955"/>
      <c r="L1343" s="954"/>
      <c r="M1343" s="952"/>
      <c r="N1343" s="952"/>
    </row>
    <row r="1344" spans="1:14">
      <c r="A1344" s="958" t="s">
        <v>364</v>
      </c>
      <c r="B1344" s="958">
        <v>25</v>
      </c>
      <c r="C1344" s="958" t="s">
        <v>8684</v>
      </c>
      <c r="D1344" s="957" t="s">
        <v>8683</v>
      </c>
      <c r="E1344" s="956">
        <v>10756</v>
      </c>
      <c r="F1344" s="955"/>
      <c r="L1344" s="954"/>
      <c r="M1344" s="952"/>
      <c r="N1344" s="952"/>
    </row>
    <row r="1345" spans="1:14">
      <c r="A1345" s="958" t="s">
        <v>364</v>
      </c>
      <c r="B1345" s="958">
        <v>25</v>
      </c>
      <c r="C1345" s="958" t="s">
        <v>8682</v>
      </c>
      <c r="D1345" s="957" t="s">
        <v>8681</v>
      </c>
      <c r="E1345" s="956">
        <v>9867</v>
      </c>
      <c r="F1345" s="955"/>
      <c r="L1345" s="954"/>
      <c r="M1345" s="952"/>
      <c r="N1345" s="952"/>
    </row>
    <row r="1346" spans="1:14">
      <c r="A1346" s="958" t="s">
        <v>364</v>
      </c>
      <c r="B1346" s="958">
        <v>25</v>
      </c>
      <c r="C1346" s="958" t="s">
        <v>8680</v>
      </c>
      <c r="D1346" s="957" t="s">
        <v>8679</v>
      </c>
      <c r="E1346" s="956">
        <v>4666</v>
      </c>
      <c r="F1346" s="955"/>
      <c r="L1346" s="954"/>
      <c r="M1346" s="952"/>
      <c r="N1346" s="952"/>
    </row>
    <row r="1347" spans="1:14">
      <c r="A1347" s="958" t="s">
        <v>364</v>
      </c>
      <c r="B1347" s="958">
        <v>25</v>
      </c>
      <c r="C1347" s="958" t="s">
        <v>8678</v>
      </c>
      <c r="D1347" s="957" t="s">
        <v>8677</v>
      </c>
      <c r="E1347" s="956">
        <v>7719</v>
      </c>
      <c r="F1347" s="955"/>
      <c r="L1347" s="954"/>
      <c r="M1347" s="952"/>
      <c r="N1347" s="952"/>
    </row>
    <row r="1348" spans="1:14">
      <c r="A1348" s="958" t="s">
        <v>364</v>
      </c>
      <c r="B1348" s="958">
        <v>25</v>
      </c>
      <c r="C1348" s="958" t="s">
        <v>8676</v>
      </c>
      <c r="D1348" s="957" t="s">
        <v>8675</v>
      </c>
      <c r="E1348" s="956">
        <v>27503</v>
      </c>
      <c r="F1348" s="955"/>
      <c r="L1348" s="954"/>
      <c r="M1348" s="952"/>
      <c r="N1348" s="952"/>
    </row>
    <row r="1349" spans="1:14">
      <c r="A1349" s="958" t="s">
        <v>364</v>
      </c>
      <c r="B1349" s="958">
        <v>25</v>
      </c>
      <c r="C1349" s="958" t="s">
        <v>8674</v>
      </c>
      <c r="D1349" s="957" t="s">
        <v>8673</v>
      </c>
      <c r="E1349" s="956">
        <v>2737</v>
      </c>
      <c r="F1349" s="955"/>
      <c r="L1349" s="954"/>
      <c r="M1349" s="952"/>
      <c r="N1349" s="952"/>
    </row>
    <row r="1350" spans="1:14">
      <c r="A1350" s="958" t="s">
        <v>364</v>
      </c>
      <c r="B1350" s="958">
        <v>25</v>
      </c>
      <c r="C1350" s="958" t="s">
        <v>8672</v>
      </c>
      <c r="D1350" s="957" t="s">
        <v>8671</v>
      </c>
      <c r="E1350" s="956">
        <v>7256</v>
      </c>
      <c r="F1350" s="955"/>
      <c r="L1350" s="954"/>
      <c r="M1350" s="952"/>
      <c r="N1350" s="952"/>
    </row>
    <row r="1351" spans="1:14">
      <c r="A1351" s="958" t="s">
        <v>364</v>
      </c>
      <c r="B1351" s="958">
        <v>25</v>
      </c>
      <c r="C1351" s="958" t="s">
        <v>8670</v>
      </c>
      <c r="D1351" s="957" t="s">
        <v>448</v>
      </c>
      <c r="E1351" s="956">
        <v>4332</v>
      </c>
      <c r="F1351" s="955"/>
      <c r="L1351" s="954"/>
      <c r="M1351" s="952"/>
      <c r="N1351" s="952"/>
    </row>
    <row r="1352" spans="1:14">
      <c r="A1352" s="958" t="s">
        <v>364</v>
      </c>
      <c r="B1352" s="958">
        <v>25</v>
      </c>
      <c r="C1352" s="958" t="s">
        <v>8669</v>
      </c>
      <c r="D1352" s="957" t="s">
        <v>8668</v>
      </c>
      <c r="E1352" s="956">
        <v>13080</v>
      </c>
      <c r="F1352" s="955"/>
      <c r="L1352" s="954"/>
      <c r="M1352" s="952"/>
      <c r="N1352" s="952"/>
    </row>
    <row r="1353" spans="1:14">
      <c r="A1353" s="958" t="s">
        <v>364</v>
      </c>
      <c r="B1353" s="958">
        <v>25</v>
      </c>
      <c r="C1353" s="958" t="s">
        <v>8667</v>
      </c>
      <c r="D1353" s="957" t="s">
        <v>8666</v>
      </c>
      <c r="E1353" s="956">
        <v>4009</v>
      </c>
      <c r="F1353" s="955"/>
      <c r="L1353" s="954"/>
      <c r="M1353" s="952"/>
      <c r="N1353" s="952"/>
    </row>
    <row r="1354" spans="1:14">
      <c r="A1354" s="958" t="s">
        <v>364</v>
      </c>
      <c r="B1354" s="958">
        <v>25</v>
      </c>
      <c r="C1354" s="958" t="s">
        <v>8665</v>
      </c>
      <c r="D1354" s="957" t="s">
        <v>8664</v>
      </c>
      <c r="E1354" s="956">
        <v>5759</v>
      </c>
      <c r="F1354" s="955"/>
      <c r="L1354" s="954"/>
      <c r="M1354" s="952"/>
      <c r="N1354" s="952"/>
    </row>
    <row r="1355" spans="1:14">
      <c r="A1355" s="958" t="s">
        <v>364</v>
      </c>
      <c r="B1355" s="958">
        <v>25</v>
      </c>
      <c r="C1355" s="958" t="s">
        <v>8663</v>
      </c>
      <c r="D1355" s="957" t="s">
        <v>8662</v>
      </c>
      <c r="E1355" s="956">
        <v>44882</v>
      </c>
      <c r="F1355" s="955"/>
      <c r="L1355" s="954"/>
      <c r="M1355" s="952"/>
      <c r="N1355" s="952"/>
    </row>
    <row r="1356" spans="1:14">
      <c r="A1356" s="958" t="s">
        <v>364</v>
      </c>
      <c r="B1356" s="958">
        <v>25</v>
      </c>
      <c r="C1356" s="958" t="s">
        <v>8661</v>
      </c>
      <c r="D1356" s="957" t="s">
        <v>8660</v>
      </c>
      <c r="E1356" s="956">
        <v>10955</v>
      </c>
      <c r="F1356" s="955"/>
      <c r="L1356" s="954"/>
      <c r="M1356" s="952"/>
      <c r="N1356" s="952"/>
    </row>
    <row r="1357" spans="1:14">
      <c r="A1357" s="958" t="s">
        <v>364</v>
      </c>
      <c r="B1357" s="958">
        <v>25</v>
      </c>
      <c r="C1357" s="958" t="s">
        <v>8659</v>
      </c>
      <c r="D1357" s="957" t="s">
        <v>8658</v>
      </c>
      <c r="E1357" s="956">
        <v>8558</v>
      </c>
      <c r="F1357" s="955"/>
      <c r="L1357" s="954"/>
      <c r="M1357" s="952"/>
      <c r="N1357" s="952"/>
    </row>
    <row r="1358" spans="1:14">
      <c r="A1358" s="958" t="s">
        <v>364</v>
      </c>
      <c r="B1358" s="958">
        <v>25</v>
      </c>
      <c r="C1358" s="958" t="s">
        <v>8657</v>
      </c>
      <c r="D1358" s="957" t="s">
        <v>8656</v>
      </c>
      <c r="E1358" s="956">
        <v>21837</v>
      </c>
      <c r="F1358" s="955"/>
      <c r="L1358" s="954"/>
      <c r="M1358" s="952"/>
      <c r="N1358" s="952"/>
    </row>
    <row r="1359" spans="1:14">
      <c r="A1359" s="958" t="s">
        <v>364</v>
      </c>
      <c r="B1359" s="958">
        <v>25</v>
      </c>
      <c r="C1359" s="958" t="s">
        <v>8655</v>
      </c>
      <c r="D1359" s="957" t="s">
        <v>8654</v>
      </c>
      <c r="E1359" s="956">
        <v>6617</v>
      </c>
      <c r="F1359" s="955"/>
      <c r="L1359" s="954"/>
      <c r="M1359" s="952"/>
      <c r="N1359" s="952"/>
    </row>
    <row r="1360" spans="1:14">
      <c r="A1360" s="958" t="s">
        <v>364</v>
      </c>
      <c r="B1360" s="958">
        <v>25</v>
      </c>
      <c r="C1360" s="958" t="s">
        <v>8653</v>
      </c>
      <c r="D1360" s="957" t="s">
        <v>3037</v>
      </c>
      <c r="E1360" s="956">
        <v>13918</v>
      </c>
      <c r="F1360" s="955"/>
      <c r="L1360" s="954"/>
      <c r="M1360" s="952"/>
      <c r="N1360" s="952"/>
    </row>
    <row r="1361" spans="1:14">
      <c r="A1361" s="958" t="s">
        <v>364</v>
      </c>
      <c r="B1361" s="958">
        <v>25</v>
      </c>
      <c r="C1361" s="958" t="s">
        <v>8652</v>
      </c>
      <c r="D1361" s="957" t="s">
        <v>8651</v>
      </c>
      <c r="E1361" s="956">
        <v>8434</v>
      </c>
      <c r="F1361" s="955"/>
      <c r="L1361" s="954"/>
      <c r="M1361" s="952"/>
      <c r="N1361" s="952"/>
    </row>
    <row r="1362" spans="1:14">
      <c r="A1362" s="958" t="s">
        <v>364</v>
      </c>
      <c r="B1362" s="958">
        <v>25</v>
      </c>
      <c r="C1362" s="958" t="s">
        <v>8650</v>
      </c>
      <c r="D1362" s="957" t="s">
        <v>8649</v>
      </c>
      <c r="E1362" s="956">
        <v>4500</v>
      </c>
      <c r="F1362" s="955"/>
      <c r="L1362" s="954"/>
      <c r="M1362" s="952"/>
      <c r="N1362" s="952"/>
    </row>
    <row r="1363" spans="1:14">
      <c r="A1363" s="958" t="s">
        <v>364</v>
      </c>
      <c r="B1363" s="958">
        <v>25</v>
      </c>
      <c r="C1363" s="958" t="s">
        <v>8648</v>
      </c>
      <c r="D1363" s="957" t="s">
        <v>8647</v>
      </c>
      <c r="E1363" s="956">
        <v>2908</v>
      </c>
      <c r="F1363" s="955"/>
      <c r="L1363" s="954"/>
      <c r="M1363" s="952"/>
      <c r="N1363" s="952"/>
    </row>
    <row r="1364" spans="1:14">
      <c r="A1364" s="958" t="s">
        <v>364</v>
      </c>
      <c r="B1364" s="958">
        <v>25</v>
      </c>
      <c r="C1364" s="958" t="s">
        <v>8646</v>
      </c>
      <c r="D1364" s="957" t="s">
        <v>8645</v>
      </c>
      <c r="E1364" s="956">
        <v>6569</v>
      </c>
      <c r="F1364" s="955"/>
      <c r="L1364" s="954"/>
      <c r="M1364" s="952"/>
      <c r="N1364" s="952"/>
    </row>
    <row r="1365" spans="1:14">
      <c r="A1365" s="958" t="s">
        <v>364</v>
      </c>
      <c r="B1365" s="958">
        <v>25</v>
      </c>
      <c r="C1365" s="958" t="s">
        <v>8644</v>
      </c>
      <c r="D1365" s="957" t="s">
        <v>8643</v>
      </c>
      <c r="E1365" s="956">
        <v>13284</v>
      </c>
      <c r="F1365" s="955"/>
      <c r="L1365" s="954"/>
      <c r="M1365" s="952"/>
      <c r="N1365" s="952"/>
    </row>
    <row r="1366" spans="1:14">
      <c r="A1366" s="958" t="s">
        <v>364</v>
      </c>
      <c r="B1366" s="958">
        <v>25</v>
      </c>
      <c r="C1366" s="958" t="s">
        <v>8642</v>
      </c>
      <c r="D1366" s="957" t="s">
        <v>8641</v>
      </c>
      <c r="E1366" s="956">
        <v>5669</v>
      </c>
      <c r="F1366" s="955"/>
      <c r="L1366" s="954"/>
      <c r="M1366" s="952"/>
      <c r="N1366" s="952"/>
    </row>
    <row r="1367" spans="1:14">
      <c r="A1367" s="958" t="s">
        <v>364</v>
      </c>
      <c r="B1367" s="958">
        <v>25</v>
      </c>
      <c r="C1367" s="958" t="s">
        <v>8640</v>
      </c>
      <c r="D1367" s="957" t="s">
        <v>8639</v>
      </c>
      <c r="E1367" s="956">
        <v>4816</v>
      </c>
      <c r="F1367" s="955"/>
      <c r="L1367" s="954"/>
      <c r="M1367" s="952"/>
      <c r="N1367" s="952"/>
    </row>
    <row r="1368" spans="1:14">
      <c r="A1368" s="958" t="s">
        <v>364</v>
      </c>
      <c r="B1368" s="958">
        <v>25</v>
      </c>
      <c r="C1368" s="958" t="s">
        <v>8638</v>
      </c>
      <c r="D1368" s="957" t="s">
        <v>8637</v>
      </c>
      <c r="E1368" s="956">
        <v>33222</v>
      </c>
      <c r="F1368" s="955"/>
      <c r="L1368" s="954"/>
      <c r="M1368" s="952"/>
      <c r="N1368" s="952"/>
    </row>
    <row r="1369" spans="1:14">
      <c r="A1369" s="958" t="s">
        <v>364</v>
      </c>
      <c r="B1369" s="958">
        <v>25</v>
      </c>
      <c r="C1369" s="958" t="s">
        <v>8636</v>
      </c>
      <c r="D1369" s="957" t="s">
        <v>8635</v>
      </c>
      <c r="E1369" s="956">
        <v>9902</v>
      </c>
      <c r="F1369" s="955"/>
      <c r="L1369" s="954"/>
      <c r="M1369" s="952"/>
      <c r="N1369" s="952"/>
    </row>
    <row r="1370" spans="1:14">
      <c r="A1370" s="958" t="s">
        <v>364</v>
      </c>
      <c r="B1370" s="958">
        <v>25</v>
      </c>
      <c r="C1370" s="958" t="s">
        <v>8634</v>
      </c>
      <c r="D1370" s="957" t="s">
        <v>8633</v>
      </c>
      <c r="E1370" s="956">
        <v>10454</v>
      </c>
      <c r="F1370" s="955"/>
      <c r="L1370" s="954"/>
      <c r="M1370" s="952"/>
      <c r="N1370" s="952"/>
    </row>
    <row r="1371" spans="1:14">
      <c r="A1371" s="958" t="s">
        <v>364</v>
      </c>
      <c r="B1371" s="958">
        <v>25</v>
      </c>
      <c r="C1371" s="958" t="s">
        <v>8632</v>
      </c>
      <c r="D1371" s="957" t="s">
        <v>8631</v>
      </c>
      <c r="E1371" s="956">
        <v>7301</v>
      </c>
      <c r="F1371" s="955"/>
      <c r="L1371" s="954"/>
      <c r="M1371" s="952"/>
      <c r="N1371" s="952"/>
    </row>
    <row r="1372" spans="1:14">
      <c r="A1372" s="958" t="s">
        <v>364</v>
      </c>
      <c r="B1372" s="958">
        <v>25</v>
      </c>
      <c r="C1372" s="958" t="s">
        <v>8630</v>
      </c>
      <c r="D1372" s="957" t="s">
        <v>8629</v>
      </c>
      <c r="E1372" s="956">
        <v>10638</v>
      </c>
      <c r="F1372" s="955"/>
      <c r="L1372" s="954"/>
      <c r="M1372" s="952"/>
      <c r="N1372" s="952"/>
    </row>
    <row r="1373" spans="1:14">
      <c r="A1373" s="958" t="s">
        <v>364</v>
      </c>
      <c r="B1373" s="958">
        <v>25</v>
      </c>
      <c r="C1373" s="958" t="s">
        <v>8628</v>
      </c>
      <c r="D1373" s="957" t="s">
        <v>8627</v>
      </c>
      <c r="E1373" s="956">
        <v>5949</v>
      </c>
      <c r="F1373" s="955"/>
      <c r="L1373" s="954"/>
      <c r="M1373" s="952"/>
      <c r="N1373" s="952"/>
    </row>
    <row r="1374" spans="1:14">
      <c r="A1374" s="958" t="s">
        <v>364</v>
      </c>
      <c r="B1374" s="958">
        <v>25</v>
      </c>
      <c r="C1374" s="958" t="s">
        <v>8626</v>
      </c>
      <c r="D1374" s="957" t="s">
        <v>8625</v>
      </c>
      <c r="E1374" s="956">
        <v>4906</v>
      </c>
      <c r="F1374" s="955"/>
      <c r="L1374" s="954"/>
      <c r="M1374" s="952"/>
      <c r="N1374" s="952"/>
    </row>
    <row r="1375" spans="1:14">
      <c r="A1375" s="958" t="s">
        <v>364</v>
      </c>
      <c r="B1375" s="958">
        <v>25</v>
      </c>
      <c r="C1375" s="958" t="s">
        <v>8624</v>
      </c>
      <c r="D1375" s="957" t="s">
        <v>8623</v>
      </c>
      <c r="E1375" s="956">
        <v>6526</v>
      </c>
      <c r="F1375" s="955"/>
      <c r="L1375" s="954"/>
      <c r="M1375" s="952"/>
      <c r="N1375" s="952"/>
    </row>
    <row r="1376" spans="1:14">
      <c r="A1376" s="958" t="s">
        <v>364</v>
      </c>
      <c r="B1376" s="958">
        <v>25</v>
      </c>
      <c r="C1376" s="958" t="s">
        <v>8622</v>
      </c>
      <c r="D1376" s="957" t="s">
        <v>8621</v>
      </c>
      <c r="E1376" s="956">
        <v>3932</v>
      </c>
      <c r="F1376" s="955"/>
      <c r="L1376" s="954"/>
      <c r="M1376" s="952"/>
      <c r="N1376" s="952"/>
    </row>
    <row r="1377" spans="1:14">
      <c r="A1377" s="958" t="s">
        <v>364</v>
      </c>
      <c r="B1377" s="958">
        <v>25</v>
      </c>
      <c r="C1377" s="958" t="s">
        <v>8620</v>
      </c>
      <c r="D1377" s="957" t="s">
        <v>8619</v>
      </c>
      <c r="E1377" s="956">
        <v>3039</v>
      </c>
      <c r="F1377" s="955"/>
      <c r="L1377" s="954"/>
      <c r="M1377" s="952"/>
      <c r="N1377" s="952"/>
    </row>
    <row r="1378" spans="1:14">
      <c r="A1378" s="958" t="s">
        <v>364</v>
      </c>
      <c r="B1378" s="958">
        <v>25</v>
      </c>
      <c r="C1378" s="958" t="s">
        <v>8618</v>
      </c>
      <c r="D1378" s="957" t="s">
        <v>8617</v>
      </c>
      <c r="E1378" s="956">
        <v>1771</v>
      </c>
      <c r="F1378" s="955"/>
      <c r="L1378" s="954"/>
      <c r="M1378" s="952"/>
      <c r="N1378" s="952"/>
    </row>
    <row r="1379" spans="1:14">
      <c r="A1379" s="958" t="s">
        <v>364</v>
      </c>
      <c r="B1379" s="958">
        <v>25</v>
      </c>
      <c r="C1379" s="958" t="s">
        <v>8616</v>
      </c>
      <c r="D1379" s="957" t="s">
        <v>8615</v>
      </c>
      <c r="E1379" s="956">
        <v>2419</v>
      </c>
      <c r="F1379" s="955"/>
      <c r="L1379" s="954"/>
      <c r="M1379" s="952"/>
      <c r="N1379" s="952"/>
    </row>
    <row r="1380" spans="1:14">
      <c r="A1380" s="958" t="s">
        <v>364</v>
      </c>
      <c r="B1380" s="958">
        <v>25</v>
      </c>
      <c r="C1380" s="958" t="s">
        <v>8614</v>
      </c>
      <c r="D1380" s="957" t="s">
        <v>8613</v>
      </c>
      <c r="E1380" s="956">
        <v>107605</v>
      </c>
      <c r="F1380" s="955"/>
      <c r="L1380" s="954"/>
      <c r="M1380" s="952"/>
      <c r="N1380" s="952"/>
    </row>
    <row r="1381" spans="1:14">
      <c r="A1381" s="958" t="s">
        <v>364</v>
      </c>
      <c r="B1381" s="958">
        <v>25</v>
      </c>
      <c r="C1381" s="958" t="s">
        <v>8612</v>
      </c>
      <c r="D1381" s="957" t="s">
        <v>8334</v>
      </c>
      <c r="E1381" s="956">
        <v>12347</v>
      </c>
      <c r="F1381" s="955"/>
      <c r="L1381" s="954"/>
      <c r="M1381" s="952"/>
      <c r="N1381" s="952"/>
    </row>
    <row r="1382" spans="1:14">
      <c r="A1382" s="958" t="s">
        <v>364</v>
      </c>
      <c r="B1382" s="958">
        <v>25</v>
      </c>
      <c r="C1382" s="958" t="s">
        <v>8611</v>
      </c>
      <c r="D1382" s="957" t="s">
        <v>8610</v>
      </c>
      <c r="E1382" s="956">
        <v>3801</v>
      </c>
      <c r="F1382" s="955"/>
      <c r="L1382" s="954"/>
      <c r="M1382" s="952"/>
      <c r="N1382" s="952"/>
    </row>
    <row r="1383" spans="1:14">
      <c r="A1383" s="958" t="s">
        <v>364</v>
      </c>
      <c r="B1383" s="958">
        <v>25</v>
      </c>
      <c r="C1383" s="958" t="s">
        <v>8609</v>
      </c>
      <c r="D1383" s="957" t="s">
        <v>8608</v>
      </c>
      <c r="E1383" s="956">
        <v>7843</v>
      </c>
      <c r="F1383" s="955"/>
      <c r="L1383" s="954"/>
      <c r="M1383" s="952"/>
      <c r="N1383" s="952"/>
    </row>
    <row r="1384" spans="1:14">
      <c r="A1384" s="958" t="s">
        <v>364</v>
      </c>
      <c r="B1384" s="958">
        <v>25</v>
      </c>
      <c r="C1384" s="958" t="s">
        <v>8607</v>
      </c>
      <c r="D1384" s="957" t="s">
        <v>8606</v>
      </c>
      <c r="E1384" s="956">
        <v>28458</v>
      </c>
      <c r="F1384" s="955"/>
      <c r="L1384" s="954"/>
      <c r="M1384" s="952"/>
      <c r="N1384" s="952"/>
    </row>
    <row r="1385" spans="1:14">
      <c r="A1385" s="958" t="s">
        <v>364</v>
      </c>
      <c r="B1385" s="958">
        <v>25</v>
      </c>
      <c r="C1385" s="958" t="s">
        <v>8605</v>
      </c>
      <c r="D1385" s="957" t="s">
        <v>8604</v>
      </c>
      <c r="E1385" s="956">
        <v>16075</v>
      </c>
      <c r="F1385" s="955"/>
      <c r="L1385" s="954"/>
      <c r="M1385" s="952"/>
      <c r="N1385" s="952"/>
    </row>
    <row r="1386" spans="1:14">
      <c r="A1386" s="958" t="s">
        <v>364</v>
      </c>
      <c r="B1386" s="958">
        <v>25</v>
      </c>
      <c r="C1386" s="958" t="s">
        <v>8603</v>
      </c>
      <c r="D1386" s="957" t="s">
        <v>8602</v>
      </c>
      <c r="E1386" s="956">
        <v>18703</v>
      </c>
      <c r="F1386" s="955"/>
      <c r="L1386" s="954"/>
      <c r="M1386" s="952"/>
      <c r="N1386" s="952"/>
    </row>
    <row r="1387" spans="1:14">
      <c r="A1387" s="958" t="s">
        <v>364</v>
      </c>
      <c r="B1387" s="958">
        <v>25</v>
      </c>
      <c r="C1387" s="958" t="s">
        <v>8601</v>
      </c>
      <c r="D1387" s="957" t="s">
        <v>8194</v>
      </c>
      <c r="E1387" s="956">
        <v>11917</v>
      </c>
      <c r="F1387" s="955"/>
      <c r="L1387" s="954"/>
      <c r="M1387" s="952"/>
      <c r="N1387" s="952"/>
    </row>
    <row r="1388" spans="1:14">
      <c r="A1388" s="958" t="s">
        <v>364</v>
      </c>
      <c r="B1388" s="958">
        <v>25</v>
      </c>
      <c r="C1388" s="958" t="s">
        <v>8600</v>
      </c>
      <c r="D1388" s="957" t="s">
        <v>8599</v>
      </c>
      <c r="E1388" s="956">
        <v>6635</v>
      </c>
      <c r="F1388" s="955"/>
      <c r="L1388" s="954"/>
      <c r="M1388" s="952"/>
      <c r="N1388" s="952"/>
    </row>
    <row r="1389" spans="1:14">
      <c r="A1389" s="958" t="s">
        <v>364</v>
      </c>
      <c r="B1389" s="958">
        <v>25</v>
      </c>
      <c r="C1389" s="958" t="s">
        <v>8598</v>
      </c>
      <c r="D1389" s="957" t="s">
        <v>8597</v>
      </c>
      <c r="E1389" s="956">
        <v>4976</v>
      </c>
      <c r="F1389" s="955"/>
      <c r="L1389" s="954"/>
      <c r="M1389" s="952"/>
      <c r="N1389" s="952"/>
    </row>
    <row r="1390" spans="1:14">
      <c r="A1390" s="958" t="s">
        <v>364</v>
      </c>
      <c r="B1390" s="958">
        <v>25</v>
      </c>
      <c r="C1390" s="958" t="s">
        <v>8596</v>
      </c>
      <c r="D1390" s="957" t="s">
        <v>8595</v>
      </c>
      <c r="E1390" s="956">
        <v>10579</v>
      </c>
      <c r="F1390" s="955"/>
      <c r="L1390" s="954"/>
      <c r="M1390" s="952"/>
      <c r="N1390" s="952"/>
    </row>
    <row r="1391" spans="1:14">
      <c r="A1391" s="958" t="s">
        <v>364</v>
      </c>
      <c r="B1391" s="958">
        <v>25</v>
      </c>
      <c r="C1391" s="958" t="s">
        <v>8594</v>
      </c>
      <c r="D1391" s="957" t="s">
        <v>8593</v>
      </c>
      <c r="E1391" s="956">
        <v>19065</v>
      </c>
      <c r="F1391" s="955"/>
      <c r="L1391" s="954"/>
      <c r="M1391" s="952"/>
      <c r="N1391" s="952"/>
    </row>
    <row r="1392" spans="1:14">
      <c r="A1392" s="958" t="s">
        <v>364</v>
      </c>
      <c r="B1392" s="958">
        <v>25</v>
      </c>
      <c r="C1392" s="958" t="s">
        <v>8592</v>
      </c>
      <c r="D1392" s="957" t="s">
        <v>8591</v>
      </c>
      <c r="E1392" s="956">
        <v>18564</v>
      </c>
      <c r="F1392" s="955"/>
      <c r="L1392" s="954"/>
      <c r="M1392" s="952"/>
      <c r="N1392" s="952"/>
    </row>
    <row r="1393" spans="1:14">
      <c r="A1393" s="958" t="s">
        <v>364</v>
      </c>
      <c r="B1393" s="958">
        <v>25</v>
      </c>
      <c r="C1393" s="958" t="s">
        <v>8590</v>
      </c>
      <c r="D1393" s="957" t="s">
        <v>8589</v>
      </c>
      <c r="E1393" s="956">
        <v>3888</v>
      </c>
      <c r="F1393" s="955"/>
      <c r="L1393" s="954"/>
      <c r="M1393" s="952"/>
      <c r="N1393" s="952"/>
    </row>
    <row r="1394" spans="1:14">
      <c r="A1394" s="958" t="s">
        <v>364</v>
      </c>
      <c r="B1394" s="958">
        <v>25</v>
      </c>
      <c r="C1394" s="958" t="s">
        <v>8588</v>
      </c>
      <c r="D1394" s="957" t="s">
        <v>8587</v>
      </c>
      <c r="E1394" s="956">
        <v>4307</v>
      </c>
      <c r="F1394" s="955"/>
      <c r="L1394" s="954"/>
      <c r="M1394" s="952"/>
      <c r="N1394" s="952"/>
    </row>
    <row r="1395" spans="1:14">
      <c r="A1395" s="958" t="s">
        <v>364</v>
      </c>
      <c r="B1395" s="958">
        <v>25</v>
      </c>
      <c r="C1395" s="958" t="s">
        <v>8586</v>
      </c>
      <c r="D1395" s="957" t="s">
        <v>8585</v>
      </c>
      <c r="E1395" s="956">
        <v>32801</v>
      </c>
      <c r="F1395" s="955"/>
      <c r="L1395" s="954"/>
      <c r="M1395" s="952"/>
      <c r="N1395" s="952"/>
    </row>
    <row r="1396" spans="1:14">
      <c r="A1396" s="958" t="s">
        <v>364</v>
      </c>
      <c r="B1396" s="958">
        <v>25</v>
      </c>
      <c r="C1396" s="958" t="s">
        <v>8584</v>
      </c>
      <c r="D1396" s="957" t="s">
        <v>6104</v>
      </c>
      <c r="E1396" s="956">
        <v>4209</v>
      </c>
      <c r="F1396" s="955"/>
      <c r="L1396" s="954"/>
      <c r="M1396" s="952"/>
      <c r="N1396" s="952"/>
    </row>
    <row r="1397" spans="1:14">
      <c r="A1397" s="958" t="s">
        <v>364</v>
      </c>
      <c r="B1397" s="958">
        <v>25</v>
      </c>
      <c r="C1397" s="958" t="s">
        <v>8583</v>
      </c>
      <c r="D1397" s="957" t="s">
        <v>8582</v>
      </c>
      <c r="E1397" s="956">
        <v>23345</v>
      </c>
      <c r="F1397" s="955"/>
      <c r="L1397" s="954"/>
      <c r="M1397" s="952"/>
      <c r="N1397" s="952"/>
    </row>
    <row r="1398" spans="1:14">
      <c r="A1398" s="958" t="s">
        <v>364</v>
      </c>
      <c r="B1398" s="958">
        <v>25</v>
      </c>
      <c r="C1398" s="958" t="s">
        <v>8581</v>
      </c>
      <c r="D1398" s="957" t="s">
        <v>8580</v>
      </c>
      <c r="E1398" s="956">
        <v>13680</v>
      </c>
      <c r="F1398" s="955"/>
      <c r="L1398" s="954"/>
      <c r="M1398" s="952"/>
      <c r="N1398" s="952"/>
    </row>
    <row r="1399" spans="1:14">
      <c r="A1399" s="958" t="s">
        <v>364</v>
      </c>
      <c r="B1399" s="958">
        <v>25</v>
      </c>
      <c r="C1399" s="958" t="s">
        <v>8579</v>
      </c>
      <c r="D1399" s="957" t="s">
        <v>7460</v>
      </c>
      <c r="E1399" s="956">
        <v>43967</v>
      </c>
      <c r="F1399" s="955"/>
      <c r="L1399" s="954"/>
      <c r="M1399" s="952"/>
      <c r="N1399" s="952"/>
    </row>
    <row r="1400" spans="1:14">
      <c r="A1400" s="958" t="s">
        <v>364</v>
      </c>
      <c r="B1400" s="958">
        <v>25</v>
      </c>
      <c r="C1400" s="958" t="s">
        <v>8578</v>
      </c>
      <c r="D1400" s="957" t="s">
        <v>8325</v>
      </c>
      <c r="E1400" s="956">
        <v>1956</v>
      </c>
      <c r="F1400" s="955"/>
      <c r="L1400" s="954"/>
      <c r="M1400" s="952"/>
      <c r="N1400" s="952"/>
    </row>
    <row r="1401" spans="1:14">
      <c r="A1401" s="958" t="s">
        <v>364</v>
      </c>
      <c r="B1401" s="958">
        <v>25</v>
      </c>
      <c r="C1401" s="958" t="s">
        <v>8577</v>
      </c>
      <c r="D1401" s="957" t="s">
        <v>8576</v>
      </c>
      <c r="E1401" s="956">
        <v>19621</v>
      </c>
      <c r="F1401" s="955"/>
      <c r="L1401" s="954"/>
      <c r="M1401" s="952"/>
      <c r="N1401" s="952"/>
    </row>
    <row r="1402" spans="1:14">
      <c r="A1402" s="958" t="s">
        <v>364</v>
      </c>
      <c r="B1402" s="958">
        <v>25</v>
      </c>
      <c r="C1402" s="958" t="s">
        <v>8575</v>
      </c>
      <c r="D1402" s="957" t="s">
        <v>8574</v>
      </c>
      <c r="E1402" s="956">
        <v>6089</v>
      </c>
      <c r="F1402" s="955"/>
      <c r="L1402" s="954"/>
      <c r="M1402" s="952"/>
      <c r="N1402" s="952"/>
    </row>
    <row r="1403" spans="1:14">
      <c r="A1403" s="958" t="s">
        <v>364</v>
      </c>
      <c r="B1403" s="958">
        <v>25</v>
      </c>
      <c r="C1403" s="958" t="s">
        <v>8573</v>
      </c>
      <c r="D1403" s="957" t="s">
        <v>8572</v>
      </c>
      <c r="E1403" s="956">
        <v>3588</v>
      </c>
      <c r="F1403" s="955"/>
      <c r="L1403" s="954"/>
      <c r="M1403" s="952"/>
      <c r="N1403" s="952"/>
    </row>
    <row r="1404" spans="1:14">
      <c r="A1404" s="958" t="s">
        <v>364</v>
      </c>
      <c r="B1404" s="958">
        <v>25</v>
      </c>
      <c r="C1404" s="958" t="s">
        <v>8571</v>
      </c>
      <c r="D1404" s="957" t="s">
        <v>8570</v>
      </c>
      <c r="E1404" s="956">
        <v>4521</v>
      </c>
      <c r="F1404" s="955"/>
      <c r="L1404" s="954"/>
      <c r="M1404" s="952"/>
      <c r="N1404" s="952"/>
    </row>
    <row r="1405" spans="1:14">
      <c r="A1405" s="958" t="s">
        <v>364</v>
      </c>
      <c r="B1405" s="958">
        <v>25</v>
      </c>
      <c r="C1405" s="958" t="s">
        <v>8569</v>
      </c>
      <c r="D1405" s="957" t="s">
        <v>8568</v>
      </c>
      <c r="E1405" s="956">
        <v>4509</v>
      </c>
      <c r="F1405" s="955"/>
      <c r="L1405" s="954"/>
      <c r="M1405" s="952"/>
      <c r="N1405" s="952"/>
    </row>
    <row r="1406" spans="1:14">
      <c r="A1406" s="958" t="s">
        <v>364</v>
      </c>
      <c r="B1406" s="958">
        <v>25</v>
      </c>
      <c r="C1406" s="958" t="s">
        <v>8567</v>
      </c>
      <c r="D1406" s="957" t="s">
        <v>8566</v>
      </c>
      <c r="E1406" s="956">
        <v>1948</v>
      </c>
      <c r="F1406" s="955"/>
      <c r="L1406" s="954"/>
      <c r="M1406" s="952"/>
      <c r="N1406" s="952"/>
    </row>
    <row r="1407" spans="1:14">
      <c r="A1407" s="958" t="s">
        <v>364</v>
      </c>
      <c r="B1407" s="958">
        <v>25</v>
      </c>
      <c r="C1407" s="958" t="s">
        <v>8565</v>
      </c>
      <c r="D1407" s="957" t="s">
        <v>8564</v>
      </c>
      <c r="E1407" s="956">
        <v>8526</v>
      </c>
      <c r="F1407" s="955"/>
      <c r="L1407" s="954"/>
      <c r="M1407" s="952"/>
      <c r="N1407" s="952"/>
    </row>
    <row r="1408" spans="1:14">
      <c r="A1408" s="958" t="s">
        <v>364</v>
      </c>
      <c r="B1408" s="958">
        <v>25</v>
      </c>
      <c r="C1408" s="958" t="s">
        <v>8563</v>
      </c>
      <c r="D1408" s="957" t="s">
        <v>8562</v>
      </c>
      <c r="E1408" s="956">
        <v>24176</v>
      </c>
      <c r="F1408" s="955"/>
      <c r="L1408" s="954"/>
      <c r="M1408" s="952"/>
      <c r="N1408" s="952"/>
    </row>
    <row r="1409" spans="1:14">
      <c r="A1409" s="958" t="s">
        <v>364</v>
      </c>
      <c r="B1409" s="958">
        <v>25</v>
      </c>
      <c r="C1409" s="958" t="s">
        <v>8561</v>
      </c>
      <c r="D1409" s="957" t="s">
        <v>8319</v>
      </c>
      <c r="E1409" s="956">
        <v>3885</v>
      </c>
      <c r="F1409" s="955"/>
      <c r="L1409" s="954"/>
      <c r="M1409" s="952"/>
      <c r="N1409" s="952"/>
    </row>
    <row r="1410" spans="1:14">
      <c r="A1410" s="958" t="s">
        <v>364</v>
      </c>
      <c r="B1410" s="958">
        <v>25</v>
      </c>
      <c r="C1410" s="958" t="s">
        <v>8560</v>
      </c>
      <c r="D1410" s="957" t="s">
        <v>8559</v>
      </c>
      <c r="E1410" s="956">
        <v>12140</v>
      </c>
      <c r="F1410" s="955"/>
      <c r="L1410" s="954"/>
      <c r="M1410" s="952"/>
      <c r="N1410" s="952"/>
    </row>
    <row r="1411" spans="1:14">
      <c r="A1411" s="958" t="s">
        <v>364</v>
      </c>
      <c r="B1411" s="958">
        <v>25</v>
      </c>
      <c r="C1411" s="958" t="s">
        <v>8558</v>
      </c>
      <c r="D1411" s="957" t="s">
        <v>2898</v>
      </c>
      <c r="E1411" s="956">
        <v>6558</v>
      </c>
      <c r="F1411" s="955"/>
      <c r="L1411" s="954"/>
      <c r="M1411" s="952"/>
      <c r="N1411" s="952"/>
    </row>
    <row r="1412" spans="1:14">
      <c r="A1412" s="958" t="s">
        <v>364</v>
      </c>
      <c r="B1412" s="958">
        <v>25</v>
      </c>
      <c r="C1412" s="958" t="s">
        <v>8557</v>
      </c>
      <c r="D1412" s="957" t="s">
        <v>8314</v>
      </c>
      <c r="E1412" s="956">
        <v>6583</v>
      </c>
      <c r="F1412" s="955"/>
      <c r="L1412" s="954"/>
      <c r="M1412" s="952"/>
      <c r="N1412" s="952"/>
    </row>
    <row r="1413" spans="1:14">
      <c r="A1413" s="958" t="s">
        <v>364</v>
      </c>
      <c r="B1413" s="958">
        <v>25</v>
      </c>
      <c r="C1413" s="958" t="s">
        <v>8556</v>
      </c>
      <c r="D1413" s="957" t="s">
        <v>2896</v>
      </c>
      <c r="E1413" s="956">
        <v>5889</v>
      </c>
      <c r="F1413" s="955"/>
      <c r="L1413" s="954"/>
      <c r="M1413" s="952"/>
      <c r="N1413" s="952"/>
    </row>
    <row r="1414" spans="1:14">
      <c r="A1414" s="958" t="s">
        <v>364</v>
      </c>
      <c r="B1414" s="958">
        <v>25</v>
      </c>
      <c r="C1414" s="958" t="s">
        <v>8555</v>
      </c>
      <c r="D1414" s="957" t="s">
        <v>3502</v>
      </c>
      <c r="E1414" s="956">
        <v>3595</v>
      </c>
      <c r="F1414" s="955"/>
      <c r="L1414" s="954"/>
      <c r="M1414" s="952"/>
      <c r="N1414" s="952"/>
    </row>
    <row r="1415" spans="1:14">
      <c r="A1415" s="958" t="s">
        <v>364</v>
      </c>
      <c r="B1415" s="958">
        <v>25</v>
      </c>
      <c r="C1415" s="958" t="s">
        <v>8554</v>
      </c>
      <c r="D1415" s="957" t="s">
        <v>5989</v>
      </c>
      <c r="E1415" s="956">
        <v>15382</v>
      </c>
      <c r="F1415" s="955"/>
      <c r="L1415" s="954"/>
      <c r="M1415" s="952"/>
      <c r="N1415" s="952"/>
    </row>
    <row r="1416" spans="1:14">
      <c r="A1416" s="958" t="s">
        <v>364</v>
      </c>
      <c r="B1416" s="958">
        <v>25</v>
      </c>
      <c r="C1416" s="958" t="s">
        <v>8553</v>
      </c>
      <c r="D1416" s="957" t="s">
        <v>8552</v>
      </c>
      <c r="E1416" s="956">
        <v>5162</v>
      </c>
      <c r="F1416" s="955"/>
      <c r="L1416" s="954"/>
      <c r="M1416" s="952"/>
      <c r="N1416" s="952"/>
    </row>
    <row r="1417" spans="1:14">
      <c r="A1417" s="958" t="s">
        <v>364</v>
      </c>
      <c r="B1417" s="958">
        <v>25</v>
      </c>
      <c r="C1417" s="958" t="s">
        <v>8551</v>
      </c>
      <c r="D1417" s="957" t="s">
        <v>8550</v>
      </c>
      <c r="E1417" s="956">
        <v>7031</v>
      </c>
      <c r="F1417" s="955"/>
      <c r="L1417" s="954"/>
      <c r="M1417" s="952"/>
      <c r="N1417" s="952"/>
    </row>
    <row r="1418" spans="1:14">
      <c r="A1418" s="958" t="s">
        <v>364</v>
      </c>
      <c r="B1418" s="958">
        <v>25</v>
      </c>
      <c r="C1418" s="958" t="s">
        <v>8549</v>
      </c>
      <c r="D1418" s="957" t="s">
        <v>8548</v>
      </c>
      <c r="E1418" s="956">
        <v>2636</v>
      </c>
      <c r="F1418" s="955"/>
      <c r="L1418" s="954"/>
      <c r="M1418" s="952"/>
      <c r="N1418" s="952"/>
    </row>
    <row r="1419" spans="1:14">
      <c r="A1419" s="958" t="s">
        <v>364</v>
      </c>
      <c r="B1419" s="958">
        <v>25</v>
      </c>
      <c r="C1419" s="958" t="s">
        <v>8547</v>
      </c>
      <c r="D1419" s="957" t="s">
        <v>8546</v>
      </c>
      <c r="E1419" s="956">
        <v>136586</v>
      </c>
      <c r="F1419" s="955"/>
      <c r="L1419" s="954"/>
      <c r="M1419" s="952"/>
      <c r="N1419" s="952"/>
    </row>
    <row r="1420" spans="1:14">
      <c r="A1420" s="958" t="s">
        <v>364</v>
      </c>
      <c r="B1420" s="958">
        <v>25</v>
      </c>
      <c r="C1420" s="958" t="s">
        <v>8545</v>
      </c>
      <c r="D1420" s="957" t="s">
        <v>7400</v>
      </c>
      <c r="E1420" s="956">
        <v>4573</v>
      </c>
      <c r="F1420" s="955"/>
      <c r="L1420" s="954"/>
      <c r="M1420" s="952"/>
      <c r="N1420" s="952"/>
    </row>
    <row r="1421" spans="1:14">
      <c r="A1421" s="958" t="s">
        <v>364</v>
      </c>
      <c r="B1421" s="958">
        <v>25</v>
      </c>
      <c r="C1421" s="958" t="s">
        <v>8544</v>
      </c>
      <c r="D1421" s="957" t="s">
        <v>4349</v>
      </c>
      <c r="E1421" s="956">
        <v>2521</v>
      </c>
      <c r="F1421" s="955"/>
      <c r="L1421" s="954"/>
      <c r="M1421" s="952"/>
      <c r="N1421" s="952"/>
    </row>
    <row r="1422" spans="1:14">
      <c r="A1422" s="958" t="s">
        <v>364</v>
      </c>
      <c r="B1422" s="958">
        <v>25</v>
      </c>
      <c r="C1422" s="958" t="s">
        <v>8543</v>
      </c>
      <c r="D1422" s="957" t="s">
        <v>8542</v>
      </c>
      <c r="E1422" s="956">
        <v>34031</v>
      </c>
      <c r="F1422" s="955"/>
      <c r="L1422" s="954"/>
      <c r="M1422" s="952"/>
      <c r="N1422" s="952"/>
    </row>
    <row r="1423" spans="1:14">
      <c r="A1423" s="958" t="s">
        <v>364</v>
      </c>
      <c r="B1423" s="958">
        <v>25</v>
      </c>
      <c r="C1423" s="958" t="s">
        <v>8541</v>
      </c>
      <c r="D1423" s="957" t="s">
        <v>8540</v>
      </c>
      <c r="E1423" s="956">
        <v>4529</v>
      </c>
      <c r="F1423" s="955"/>
      <c r="L1423" s="954"/>
      <c r="M1423" s="952"/>
      <c r="N1423" s="952"/>
    </row>
    <row r="1424" spans="1:14">
      <c r="A1424" s="958" t="s">
        <v>364</v>
      </c>
      <c r="B1424" s="958">
        <v>25</v>
      </c>
      <c r="C1424" s="958" t="s">
        <v>8539</v>
      </c>
      <c r="D1424" s="957" t="s">
        <v>8538</v>
      </c>
      <c r="E1424" s="956">
        <v>2615</v>
      </c>
      <c r="F1424" s="955"/>
      <c r="L1424" s="954"/>
      <c r="M1424" s="952"/>
      <c r="N1424" s="952"/>
    </row>
    <row r="1425" spans="1:14">
      <c r="A1425" s="958" t="s">
        <v>364</v>
      </c>
      <c r="B1425" s="958">
        <v>25</v>
      </c>
      <c r="C1425" s="958" t="s">
        <v>8537</v>
      </c>
      <c r="D1425" s="957" t="s">
        <v>907</v>
      </c>
      <c r="E1425" s="956">
        <v>3073</v>
      </c>
      <c r="F1425" s="955"/>
      <c r="L1425" s="954"/>
      <c r="M1425" s="952"/>
      <c r="N1425" s="952"/>
    </row>
    <row r="1426" spans="1:14">
      <c r="A1426" s="958" t="s">
        <v>364</v>
      </c>
      <c r="B1426" s="958">
        <v>25</v>
      </c>
      <c r="C1426" s="958" t="s">
        <v>8536</v>
      </c>
      <c r="D1426" s="957" t="s">
        <v>4324</v>
      </c>
      <c r="E1426" s="956">
        <v>3392</v>
      </c>
      <c r="F1426" s="955"/>
      <c r="L1426" s="954"/>
      <c r="M1426" s="952"/>
      <c r="N1426" s="952"/>
    </row>
    <row r="1427" spans="1:14">
      <c r="A1427" s="958" t="s">
        <v>364</v>
      </c>
      <c r="B1427" s="958">
        <v>25</v>
      </c>
      <c r="C1427" s="958" t="s">
        <v>8535</v>
      </c>
      <c r="D1427" s="957" t="s">
        <v>8534</v>
      </c>
      <c r="E1427" s="956">
        <v>4199</v>
      </c>
      <c r="F1427" s="955"/>
      <c r="L1427" s="954"/>
      <c r="M1427" s="952"/>
      <c r="N1427" s="952"/>
    </row>
    <row r="1428" spans="1:14">
      <c r="A1428" s="958" t="s">
        <v>364</v>
      </c>
      <c r="B1428" s="958">
        <v>25</v>
      </c>
      <c r="C1428" s="958" t="s">
        <v>8533</v>
      </c>
      <c r="D1428" s="957" t="s">
        <v>8532</v>
      </c>
      <c r="E1428" s="956">
        <v>4422</v>
      </c>
      <c r="F1428" s="955"/>
      <c r="L1428" s="954"/>
      <c r="M1428" s="952"/>
      <c r="N1428" s="952"/>
    </row>
    <row r="1429" spans="1:14">
      <c r="A1429" s="958" t="s">
        <v>364</v>
      </c>
      <c r="B1429" s="958">
        <v>25</v>
      </c>
      <c r="C1429" s="958" t="s">
        <v>8531</v>
      </c>
      <c r="D1429" s="957" t="s">
        <v>8530</v>
      </c>
      <c r="E1429" s="956">
        <v>7630</v>
      </c>
      <c r="F1429" s="955"/>
      <c r="L1429" s="954"/>
      <c r="M1429" s="952"/>
      <c r="N1429" s="952"/>
    </row>
    <row r="1430" spans="1:14">
      <c r="A1430" s="958" t="s">
        <v>364</v>
      </c>
      <c r="B1430" s="958">
        <v>25</v>
      </c>
      <c r="C1430" s="958" t="s">
        <v>8529</v>
      </c>
      <c r="D1430" s="957" t="s">
        <v>8528</v>
      </c>
      <c r="E1430" s="956">
        <v>6359</v>
      </c>
      <c r="F1430" s="955"/>
      <c r="L1430" s="954"/>
      <c r="M1430" s="952"/>
      <c r="N1430" s="952"/>
    </row>
    <row r="1431" spans="1:14">
      <c r="A1431" s="958" t="s">
        <v>364</v>
      </c>
      <c r="B1431" s="958">
        <v>25</v>
      </c>
      <c r="C1431" s="958" t="s">
        <v>8527</v>
      </c>
      <c r="D1431" s="957" t="s">
        <v>8526</v>
      </c>
      <c r="E1431" s="956">
        <v>4682</v>
      </c>
      <c r="F1431" s="955"/>
      <c r="L1431" s="954"/>
      <c r="M1431" s="952"/>
      <c r="N1431" s="952"/>
    </row>
    <row r="1432" spans="1:14">
      <c r="A1432" s="958" t="s">
        <v>364</v>
      </c>
      <c r="B1432" s="958">
        <v>25</v>
      </c>
      <c r="C1432" s="958" t="s">
        <v>8525</v>
      </c>
      <c r="D1432" s="957" t="s">
        <v>8524</v>
      </c>
      <c r="E1432" s="956">
        <v>5957</v>
      </c>
      <c r="F1432" s="955"/>
      <c r="L1432" s="954"/>
      <c r="M1432" s="952"/>
      <c r="N1432" s="952"/>
    </row>
    <row r="1433" spans="1:14">
      <c r="A1433" s="958" t="s">
        <v>364</v>
      </c>
      <c r="B1433" s="958">
        <v>25</v>
      </c>
      <c r="C1433" s="958" t="s">
        <v>8523</v>
      </c>
      <c r="D1433" s="957" t="s">
        <v>8522</v>
      </c>
      <c r="E1433" s="956">
        <v>20251</v>
      </c>
      <c r="F1433" s="955"/>
      <c r="L1433" s="954"/>
      <c r="M1433" s="952"/>
      <c r="N1433" s="952"/>
    </row>
    <row r="1434" spans="1:14">
      <c r="A1434" s="958" t="s">
        <v>364</v>
      </c>
      <c r="B1434" s="958">
        <v>25</v>
      </c>
      <c r="C1434" s="958" t="s">
        <v>8521</v>
      </c>
      <c r="D1434" s="957" t="s">
        <v>8520</v>
      </c>
      <c r="E1434" s="956">
        <v>4003</v>
      </c>
      <c r="F1434" s="955"/>
      <c r="L1434" s="954"/>
      <c r="M1434" s="952"/>
      <c r="N1434" s="952"/>
    </row>
    <row r="1435" spans="1:14">
      <c r="A1435" s="958" t="s">
        <v>364</v>
      </c>
      <c r="B1435" s="958">
        <v>25</v>
      </c>
      <c r="C1435" s="958" t="s">
        <v>8519</v>
      </c>
      <c r="D1435" s="957" t="s">
        <v>8518</v>
      </c>
      <c r="E1435" s="956">
        <v>3557</v>
      </c>
      <c r="F1435" s="955"/>
      <c r="L1435" s="954"/>
      <c r="M1435" s="952"/>
      <c r="N1435" s="952"/>
    </row>
    <row r="1436" spans="1:14">
      <c r="A1436" s="958" t="s">
        <v>364</v>
      </c>
      <c r="B1436" s="958">
        <v>25</v>
      </c>
      <c r="C1436" s="958" t="s">
        <v>8517</v>
      </c>
      <c r="D1436" s="957" t="s">
        <v>8516</v>
      </c>
      <c r="E1436" s="956">
        <v>1801</v>
      </c>
      <c r="F1436" s="955"/>
      <c r="L1436" s="954"/>
      <c r="M1436" s="952"/>
      <c r="N1436" s="952"/>
    </row>
    <row r="1437" spans="1:14">
      <c r="A1437" s="958" t="s">
        <v>364</v>
      </c>
      <c r="B1437" s="958">
        <v>25</v>
      </c>
      <c r="C1437" s="958" t="s">
        <v>8515</v>
      </c>
      <c r="D1437" s="957" t="s">
        <v>8514</v>
      </c>
      <c r="E1437" s="956">
        <v>4141</v>
      </c>
      <c r="F1437" s="955"/>
      <c r="L1437" s="954"/>
      <c r="M1437" s="952"/>
      <c r="N1437" s="952"/>
    </row>
    <row r="1438" spans="1:14">
      <c r="A1438" s="958" t="s">
        <v>364</v>
      </c>
      <c r="B1438" s="958">
        <v>25</v>
      </c>
      <c r="C1438" s="958" t="s">
        <v>8513</v>
      </c>
      <c r="D1438" s="957" t="s">
        <v>8512</v>
      </c>
      <c r="E1438" s="956">
        <v>3628</v>
      </c>
      <c r="F1438" s="955"/>
      <c r="L1438" s="954"/>
      <c r="M1438" s="952"/>
      <c r="N1438" s="952"/>
    </row>
    <row r="1439" spans="1:14">
      <c r="A1439" s="958" t="s">
        <v>364</v>
      </c>
      <c r="B1439" s="958">
        <v>25</v>
      </c>
      <c r="C1439" s="958" t="s">
        <v>8511</v>
      </c>
      <c r="D1439" s="957" t="s">
        <v>8510</v>
      </c>
      <c r="E1439" s="956">
        <v>7724</v>
      </c>
      <c r="F1439" s="955"/>
      <c r="L1439" s="954"/>
      <c r="M1439" s="952"/>
      <c r="N1439" s="952"/>
    </row>
    <row r="1440" spans="1:14">
      <c r="A1440" s="958" t="s">
        <v>364</v>
      </c>
      <c r="B1440" s="958">
        <v>25</v>
      </c>
      <c r="C1440" s="958" t="s">
        <v>8509</v>
      </c>
      <c r="D1440" s="957" t="s">
        <v>8508</v>
      </c>
      <c r="E1440" s="956">
        <v>7368</v>
      </c>
      <c r="F1440" s="955"/>
      <c r="L1440" s="954"/>
      <c r="M1440" s="952"/>
      <c r="N1440" s="952"/>
    </row>
    <row r="1441" spans="1:14">
      <c r="A1441" s="958" t="s">
        <v>364</v>
      </c>
      <c r="B1441" s="958">
        <v>25</v>
      </c>
      <c r="C1441" s="958" t="s">
        <v>8507</v>
      </c>
      <c r="D1441" s="957" t="s">
        <v>8506</v>
      </c>
      <c r="E1441" s="956">
        <v>11661</v>
      </c>
      <c r="F1441" s="955"/>
      <c r="L1441" s="954"/>
      <c r="M1441" s="952"/>
      <c r="N1441" s="952"/>
    </row>
    <row r="1442" spans="1:14">
      <c r="A1442" s="958" t="s">
        <v>364</v>
      </c>
      <c r="B1442" s="958">
        <v>25</v>
      </c>
      <c r="C1442" s="958" t="s">
        <v>8505</v>
      </c>
      <c r="D1442" s="957" t="s">
        <v>8504</v>
      </c>
      <c r="E1442" s="956">
        <v>3489</v>
      </c>
      <c r="F1442" s="955"/>
      <c r="L1442" s="954"/>
      <c r="M1442" s="952"/>
      <c r="N1442" s="952"/>
    </row>
    <row r="1443" spans="1:14">
      <c r="A1443" s="958" t="s">
        <v>364</v>
      </c>
      <c r="B1443" s="958">
        <v>25</v>
      </c>
      <c r="C1443" s="958" t="s">
        <v>8503</v>
      </c>
      <c r="D1443" s="957" t="s">
        <v>8502</v>
      </c>
      <c r="E1443" s="956">
        <v>52625</v>
      </c>
      <c r="F1443" s="955"/>
      <c r="L1443" s="954"/>
      <c r="M1443" s="952"/>
      <c r="N1443" s="952"/>
    </row>
    <row r="1444" spans="1:14">
      <c r="A1444" s="958" t="s">
        <v>364</v>
      </c>
      <c r="B1444" s="958">
        <v>25</v>
      </c>
      <c r="C1444" s="958" t="s">
        <v>8501</v>
      </c>
      <c r="D1444" s="957" t="s">
        <v>8500</v>
      </c>
      <c r="E1444" s="956">
        <v>10775</v>
      </c>
      <c r="F1444" s="955"/>
      <c r="L1444" s="954"/>
      <c r="M1444" s="952"/>
      <c r="N1444" s="952"/>
    </row>
    <row r="1445" spans="1:14">
      <c r="A1445" s="958" t="s">
        <v>364</v>
      </c>
      <c r="B1445" s="958">
        <v>25</v>
      </c>
      <c r="C1445" s="958" t="s">
        <v>8499</v>
      </c>
      <c r="D1445" s="957" t="s">
        <v>8498</v>
      </c>
      <c r="E1445" s="956">
        <v>13699</v>
      </c>
      <c r="F1445" s="955"/>
      <c r="L1445" s="954"/>
      <c r="M1445" s="952"/>
      <c r="N1445" s="952"/>
    </row>
    <row r="1446" spans="1:14">
      <c r="A1446" s="958" t="s">
        <v>364</v>
      </c>
      <c r="B1446" s="958">
        <v>25</v>
      </c>
      <c r="C1446" s="958" t="s">
        <v>8497</v>
      </c>
      <c r="D1446" s="957" t="s">
        <v>8496</v>
      </c>
      <c r="E1446" s="956">
        <v>3148</v>
      </c>
      <c r="F1446" s="955"/>
      <c r="L1446" s="954"/>
      <c r="M1446" s="952"/>
      <c r="N1446" s="952"/>
    </row>
    <row r="1447" spans="1:14">
      <c r="A1447" s="958" t="s">
        <v>364</v>
      </c>
      <c r="B1447" s="958">
        <v>25</v>
      </c>
      <c r="C1447" s="958" t="s">
        <v>8495</v>
      </c>
      <c r="D1447" s="957" t="s">
        <v>8494</v>
      </c>
      <c r="E1447" s="956">
        <v>2909</v>
      </c>
      <c r="F1447" s="955"/>
      <c r="L1447" s="954"/>
      <c r="M1447" s="952"/>
      <c r="N1447" s="952"/>
    </row>
    <row r="1448" spans="1:14">
      <c r="A1448" s="958" t="s">
        <v>364</v>
      </c>
      <c r="B1448" s="958">
        <v>25</v>
      </c>
      <c r="C1448" s="958" t="s">
        <v>8493</v>
      </c>
      <c r="D1448" s="957" t="s">
        <v>8492</v>
      </c>
      <c r="E1448" s="956">
        <v>7041</v>
      </c>
      <c r="F1448" s="955"/>
      <c r="L1448" s="954"/>
      <c r="M1448" s="952"/>
      <c r="N1448" s="952"/>
    </row>
    <row r="1449" spans="1:14">
      <c r="A1449" s="958" t="s">
        <v>364</v>
      </c>
      <c r="B1449" s="958">
        <v>25</v>
      </c>
      <c r="C1449" s="958" t="s">
        <v>8491</v>
      </c>
      <c r="D1449" s="957" t="s">
        <v>8490</v>
      </c>
      <c r="E1449" s="956">
        <v>6099</v>
      </c>
      <c r="F1449" s="955"/>
      <c r="L1449" s="954"/>
      <c r="M1449" s="952"/>
      <c r="N1449" s="952"/>
    </row>
    <row r="1450" spans="1:14">
      <c r="A1450" s="958" t="s">
        <v>364</v>
      </c>
      <c r="B1450" s="958">
        <v>25</v>
      </c>
      <c r="C1450" s="958" t="s">
        <v>8489</v>
      </c>
      <c r="D1450" s="957" t="s">
        <v>4268</v>
      </c>
      <c r="E1450" s="956">
        <v>5024</v>
      </c>
      <c r="F1450" s="955"/>
      <c r="L1450" s="954"/>
      <c r="M1450" s="952"/>
      <c r="N1450" s="952"/>
    </row>
    <row r="1451" spans="1:14">
      <c r="A1451" s="958" t="s">
        <v>364</v>
      </c>
      <c r="B1451" s="958">
        <v>25</v>
      </c>
      <c r="C1451" s="958" t="s">
        <v>8488</v>
      </c>
      <c r="D1451" s="957" t="s">
        <v>8487</v>
      </c>
      <c r="E1451" s="956">
        <v>7783</v>
      </c>
      <c r="F1451" s="955"/>
      <c r="L1451" s="954"/>
      <c r="M1451" s="952"/>
      <c r="N1451" s="952"/>
    </row>
    <row r="1452" spans="1:14">
      <c r="A1452" s="958" t="s">
        <v>364</v>
      </c>
      <c r="B1452" s="958">
        <v>25</v>
      </c>
      <c r="C1452" s="958" t="s">
        <v>8486</v>
      </c>
      <c r="D1452" s="957" t="s">
        <v>8485</v>
      </c>
      <c r="E1452" s="956">
        <v>26407</v>
      </c>
      <c r="F1452" s="955"/>
      <c r="L1452" s="954"/>
      <c r="M1452" s="952"/>
      <c r="N1452" s="952"/>
    </row>
    <row r="1453" spans="1:14">
      <c r="A1453" s="958" t="s">
        <v>364</v>
      </c>
      <c r="B1453" s="958">
        <v>25</v>
      </c>
      <c r="C1453" s="958" t="s">
        <v>8484</v>
      </c>
      <c r="D1453" s="957" t="s">
        <v>1895</v>
      </c>
      <c r="E1453" s="956">
        <v>14989</v>
      </c>
      <c r="F1453" s="955"/>
      <c r="L1453" s="954"/>
      <c r="M1453" s="952"/>
      <c r="N1453" s="952"/>
    </row>
    <row r="1454" spans="1:14">
      <c r="A1454" s="958" t="s">
        <v>364</v>
      </c>
      <c r="B1454" s="958">
        <v>25</v>
      </c>
      <c r="C1454" s="958" t="s">
        <v>8483</v>
      </c>
      <c r="D1454" s="957" t="s">
        <v>8482</v>
      </c>
      <c r="E1454" s="956">
        <v>3555</v>
      </c>
      <c r="F1454" s="955"/>
      <c r="L1454" s="954"/>
      <c r="M1454" s="952"/>
      <c r="N1454" s="952"/>
    </row>
    <row r="1455" spans="1:14">
      <c r="A1455" s="958" t="s">
        <v>364</v>
      </c>
      <c r="B1455" s="958">
        <v>25</v>
      </c>
      <c r="C1455" s="958" t="s">
        <v>8481</v>
      </c>
      <c r="D1455" s="957" t="s">
        <v>8480</v>
      </c>
      <c r="E1455" s="956">
        <v>69444</v>
      </c>
      <c r="F1455" s="955"/>
      <c r="L1455" s="954"/>
      <c r="M1455" s="952"/>
      <c r="N1455" s="952"/>
    </row>
    <row r="1456" spans="1:14">
      <c r="A1456" s="958" t="s">
        <v>364</v>
      </c>
      <c r="B1456" s="958">
        <v>25</v>
      </c>
      <c r="C1456" s="958" t="s">
        <v>8479</v>
      </c>
      <c r="D1456" s="957" t="s">
        <v>8478</v>
      </c>
      <c r="E1456" s="956">
        <v>16966</v>
      </c>
      <c r="F1456" s="955"/>
      <c r="L1456" s="954"/>
      <c r="M1456" s="952"/>
      <c r="N1456" s="952"/>
    </row>
    <row r="1457" spans="1:14">
      <c r="A1457" s="958" t="s">
        <v>364</v>
      </c>
      <c r="B1457" s="958">
        <v>25</v>
      </c>
      <c r="C1457" s="958" t="s">
        <v>8477</v>
      </c>
      <c r="D1457" s="957" t="s">
        <v>8476</v>
      </c>
      <c r="E1457" s="956">
        <v>10911</v>
      </c>
      <c r="F1457" s="955"/>
      <c r="L1457" s="954"/>
      <c r="M1457" s="952"/>
      <c r="N1457" s="952"/>
    </row>
    <row r="1458" spans="1:14">
      <c r="A1458" s="958" t="s">
        <v>364</v>
      </c>
      <c r="B1458" s="958">
        <v>25</v>
      </c>
      <c r="C1458" s="958" t="s">
        <v>8475</v>
      </c>
      <c r="D1458" s="957" t="s">
        <v>7326</v>
      </c>
      <c r="E1458" s="956">
        <v>15376</v>
      </c>
      <c r="F1458" s="955"/>
      <c r="L1458" s="954"/>
      <c r="M1458" s="952"/>
      <c r="N1458" s="952"/>
    </row>
    <row r="1459" spans="1:14">
      <c r="A1459" s="958" t="s">
        <v>364</v>
      </c>
      <c r="B1459" s="958">
        <v>25</v>
      </c>
      <c r="C1459" s="958" t="s">
        <v>8474</v>
      </c>
      <c r="D1459" s="957" t="s">
        <v>1879</v>
      </c>
      <c r="E1459" s="956">
        <v>14726</v>
      </c>
      <c r="F1459" s="955"/>
      <c r="L1459" s="954"/>
      <c r="M1459" s="952"/>
      <c r="N1459" s="952"/>
    </row>
    <row r="1460" spans="1:14">
      <c r="A1460" s="958" t="s">
        <v>364</v>
      </c>
      <c r="B1460" s="958">
        <v>25</v>
      </c>
      <c r="C1460" s="958" t="s">
        <v>8473</v>
      </c>
      <c r="D1460" s="957" t="s">
        <v>8472</v>
      </c>
      <c r="E1460" s="956">
        <v>15161</v>
      </c>
      <c r="F1460" s="955"/>
      <c r="L1460" s="954"/>
      <c r="M1460" s="952"/>
      <c r="N1460" s="952"/>
    </row>
    <row r="1461" spans="1:14">
      <c r="A1461" s="958" t="s">
        <v>364</v>
      </c>
      <c r="B1461" s="958">
        <v>25</v>
      </c>
      <c r="C1461" s="958" t="s">
        <v>8471</v>
      </c>
      <c r="D1461" s="957" t="s">
        <v>8470</v>
      </c>
      <c r="E1461" s="956">
        <v>3058</v>
      </c>
      <c r="F1461" s="955"/>
      <c r="L1461" s="954"/>
      <c r="M1461" s="952"/>
      <c r="N1461" s="952"/>
    </row>
    <row r="1462" spans="1:14">
      <c r="A1462" s="958" t="s">
        <v>364</v>
      </c>
      <c r="B1462" s="958">
        <v>25</v>
      </c>
      <c r="C1462" s="958" t="s">
        <v>8469</v>
      </c>
      <c r="D1462" s="957" t="s">
        <v>1843</v>
      </c>
      <c r="E1462" s="956">
        <v>9455</v>
      </c>
      <c r="F1462" s="955"/>
      <c r="L1462" s="954"/>
      <c r="M1462" s="952"/>
      <c r="N1462" s="952"/>
    </row>
    <row r="1463" spans="1:14">
      <c r="A1463" s="958" t="s">
        <v>364</v>
      </c>
      <c r="B1463" s="958">
        <v>25</v>
      </c>
      <c r="C1463" s="958" t="s">
        <v>8468</v>
      </c>
      <c r="D1463" s="957" t="s">
        <v>8467</v>
      </c>
      <c r="E1463" s="956">
        <v>15242</v>
      </c>
      <c r="F1463" s="955"/>
      <c r="L1463" s="954"/>
      <c r="M1463" s="952"/>
      <c r="N1463" s="952"/>
    </row>
    <row r="1464" spans="1:14">
      <c r="A1464" s="958" t="s">
        <v>364</v>
      </c>
      <c r="B1464" s="958">
        <v>25</v>
      </c>
      <c r="C1464" s="958" t="s">
        <v>8466</v>
      </c>
      <c r="D1464" s="957" t="s">
        <v>8465</v>
      </c>
      <c r="E1464" s="956">
        <v>9907</v>
      </c>
      <c r="F1464" s="955"/>
      <c r="L1464" s="954"/>
      <c r="M1464" s="952"/>
      <c r="N1464" s="952"/>
    </row>
    <row r="1465" spans="1:14">
      <c r="A1465" s="958" t="s">
        <v>364</v>
      </c>
      <c r="B1465" s="958">
        <v>25</v>
      </c>
      <c r="C1465" s="958" t="s">
        <v>8464</v>
      </c>
      <c r="D1465" s="957" t="s">
        <v>8463</v>
      </c>
      <c r="E1465" s="956">
        <v>2810</v>
      </c>
      <c r="F1465" s="955"/>
      <c r="L1465" s="954"/>
      <c r="M1465" s="952"/>
      <c r="N1465" s="952"/>
    </row>
    <row r="1466" spans="1:14">
      <c r="A1466" s="958" t="s">
        <v>364</v>
      </c>
      <c r="B1466" s="958">
        <v>25</v>
      </c>
      <c r="C1466" s="958" t="s">
        <v>8462</v>
      </c>
      <c r="D1466" s="957" t="s">
        <v>8461</v>
      </c>
      <c r="E1466" s="956">
        <v>5348</v>
      </c>
      <c r="F1466" s="955"/>
      <c r="L1466" s="954"/>
      <c r="M1466" s="952"/>
      <c r="N1466" s="952"/>
    </row>
    <row r="1467" spans="1:14">
      <c r="A1467" s="958" t="s">
        <v>364</v>
      </c>
      <c r="B1467" s="958">
        <v>25</v>
      </c>
      <c r="C1467" s="958" t="s">
        <v>8460</v>
      </c>
      <c r="D1467" s="957" t="s">
        <v>8459</v>
      </c>
      <c r="E1467" s="956">
        <v>2240</v>
      </c>
      <c r="F1467" s="955"/>
      <c r="L1467" s="954"/>
      <c r="M1467" s="952"/>
      <c r="N1467" s="952"/>
    </row>
    <row r="1468" spans="1:14">
      <c r="A1468" s="958" t="s">
        <v>362</v>
      </c>
      <c r="B1468" s="958">
        <v>26</v>
      </c>
      <c r="C1468" s="958" t="s">
        <v>8458</v>
      </c>
      <c r="D1468" s="957" t="s">
        <v>8457</v>
      </c>
      <c r="E1468" s="956">
        <v>99990</v>
      </c>
      <c r="F1468" s="955"/>
      <c r="L1468" s="954"/>
      <c r="M1468" s="952"/>
      <c r="N1468" s="952"/>
    </row>
    <row r="1469" spans="1:14">
      <c r="A1469" s="958" t="s">
        <v>362</v>
      </c>
      <c r="B1469" s="958">
        <v>26</v>
      </c>
      <c r="C1469" s="958" t="s">
        <v>7265</v>
      </c>
      <c r="D1469" s="957" t="s">
        <v>8456</v>
      </c>
      <c r="E1469" s="956">
        <v>37259</v>
      </c>
      <c r="F1469" s="955"/>
      <c r="L1469" s="954"/>
      <c r="M1469" s="952"/>
      <c r="N1469" s="952"/>
    </row>
    <row r="1470" spans="1:14">
      <c r="A1470" s="958" t="s">
        <v>362</v>
      </c>
      <c r="B1470" s="958">
        <v>26</v>
      </c>
      <c r="C1470" s="958" t="s">
        <v>1774</v>
      </c>
      <c r="D1470" s="957" t="s">
        <v>8455</v>
      </c>
      <c r="E1470" s="956">
        <v>19635</v>
      </c>
      <c r="F1470" s="955"/>
      <c r="L1470" s="954"/>
      <c r="M1470" s="952"/>
      <c r="N1470" s="952"/>
    </row>
    <row r="1471" spans="1:14">
      <c r="A1471" s="958" t="s">
        <v>362</v>
      </c>
      <c r="B1471" s="958">
        <v>26</v>
      </c>
      <c r="C1471" s="958" t="s">
        <v>7262</v>
      </c>
      <c r="D1471" s="957" t="s">
        <v>8454</v>
      </c>
      <c r="E1471" s="956">
        <v>24885</v>
      </c>
      <c r="F1471" s="955"/>
      <c r="L1471" s="954"/>
      <c r="M1471" s="952"/>
      <c r="N1471" s="952"/>
    </row>
    <row r="1472" spans="1:14">
      <c r="A1472" s="958" t="s">
        <v>362</v>
      </c>
      <c r="B1472" s="958">
        <v>26</v>
      </c>
      <c r="C1472" s="958" t="s">
        <v>7260</v>
      </c>
      <c r="D1472" s="957" t="s">
        <v>8453</v>
      </c>
      <c r="E1472" s="956">
        <v>36771</v>
      </c>
      <c r="F1472" s="955"/>
      <c r="L1472" s="954"/>
      <c r="M1472" s="952"/>
      <c r="N1472" s="952"/>
    </row>
    <row r="1473" spans="1:14">
      <c r="A1473" s="958" t="s">
        <v>362</v>
      </c>
      <c r="B1473" s="958">
        <v>26</v>
      </c>
      <c r="C1473" s="958" t="s">
        <v>7258</v>
      </c>
      <c r="D1473" s="957" t="s">
        <v>8452</v>
      </c>
      <c r="E1473" s="956">
        <v>43443</v>
      </c>
      <c r="F1473" s="955"/>
      <c r="L1473" s="954"/>
      <c r="M1473" s="952"/>
      <c r="N1473" s="952"/>
    </row>
    <row r="1474" spans="1:14">
      <c r="A1474" s="958" t="s">
        <v>362</v>
      </c>
      <c r="B1474" s="958">
        <v>26</v>
      </c>
      <c r="C1474" s="958" t="s">
        <v>1770</v>
      </c>
      <c r="D1474" s="957" t="s">
        <v>8451</v>
      </c>
      <c r="E1474" s="956">
        <v>14636</v>
      </c>
      <c r="F1474" s="955"/>
      <c r="L1474" s="954"/>
      <c r="M1474" s="952"/>
      <c r="N1474" s="952"/>
    </row>
    <row r="1475" spans="1:14">
      <c r="A1475" s="958" t="s">
        <v>362</v>
      </c>
      <c r="B1475" s="958">
        <v>26</v>
      </c>
      <c r="C1475" s="958" t="s">
        <v>1768</v>
      </c>
      <c r="D1475" s="957" t="s">
        <v>8450</v>
      </c>
      <c r="E1475" s="956">
        <v>38386</v>
      </c>
      <c r="F1475" s="955"/>
      <c r="L1475" s="954"/>
      <c r="M1475" s="952"/>
      <c r="N1475" s="952"/>
    </row>
    <row r="1476" spans="1:14">
      <c r="A1476" s="958" t="s">
        <v>362</v>
      </c>
      <c r="B1476" s="958">
        <v>26</v>
      </c>
      <c r="C1476" s="958" t="s">
        <v>1766</v>
      </c>
      <c r="D1476" s="957" t="s">
        <v>8449</v>
      </c>
      <c r="E1476" s="956">
        <v>22972</v>
      </c>
      <c r="F1476" s="955"/>
      <c r="L1476" s="954"/>
      <c r="M1476" s="952"/>
      <c r="N1476" s="952"/>
    </row>
    <row r="1477" spans="1:14">
      <c r="A1477" s="958" t="s">
        <v>362</v>
      </c>
      <c r="B1477" s="958">
        <v>26</v>
      </c>
      <c r="C1477" s="958" t="s">
        <v>1762</v>
      </c>
      <c r="D1477" s="957" t="s">
        <v>8448</v>
      </c>
      <c r="E1477" s="956">
        <v>22829</v>
      </c>
      <c r="F1477" s="955"/>
      <c r="L1477" s="954"/>
      <c r="M1477" s="952"/>
      <c r="N1477" s="952"/>
    </row>
    <row r="1478" spans="1:14">
      <c r="A1478" s="958" t="s">
        <v>362</v>
      </c>
      <c r="B1478" s="958">
        <v>26</v>
      </c>
      <c r="C1478" s="958" t="s">
        <v>1760</v>
      </c>
      <c r="D1478" s="957" t="s">
        <v>8447</v>
      </c>
      <c r="E1478" s="956">
        <v>11150</v>
      </c>
      <c r="F1478" s="955"/>
      <c r="L1478" s="954"/>
      <c r="M1478" s="952"/>
      <c r="N1478" s="952"/>
    </row>
    <row r="1479" spans="1:14">
      <c r="A1479" s="958" t="s">
        <v>362</v>
      </c>
      <c r="B1479" s="958">
        <v>26</v>
      </c>
      <c r="C1479" s="958" t="s">
        <v>8446</v>
      </c>
      <c r="D1479" s="957" t="s">
        <v>8445</v>
      </c>
      <c r="E1479" s="956">
        <v>20524</v>
      </c>
      <c r="F1479" s="955"/>
      <c r="L1479" s="954"/>
      <c r="M1479" s="952"/>
      <c r="N1479" s="952"/>
    </row>
    <row r="1480" spans="1:14">
      <c r="A1480" s="958" t="s">
        <v>362</v>
      </c>
      <c r="B1480" s="958">
        <v>26</v>
      </c>
      <c r="C1480" s="958" t="s">
        <v>1758</v>
      </c>
      <c r="D1480" s="957" t="s">
        <v>8444</v>
      </c>
      <c r="E1480" s="956">
        <v>84418</v>
      </c>
      <c r="F1480" s="955"/>
      <c r="L1480" s="954"/>
      <c r="M1480" s="952"/>
      <c r="N1480" s="952"/>
    </row>
    <row r="1481" spans="1:14">
      <c r="A1481" s="958" t="s">
        <v>362</v>
      </c>
      <c r="B1481" s="958">
        <v>26</v>
      </c>
      <c r="C1481" s="958" t="s">
        <v>7251</v>
      </c>
      <c r="D1481" s="957" t="s">
        <v>8443</v>
      </c>
      <c r="E1481" s="956">
        <v>74338</v>
      </c>
      <c r="F1481" s="955"/>
      <c r="L1481" s="954"/>
      <c r="M1481" s="952"/>
      <c r="N1481" s="952"/>
    </row>
    <row r="1482" spans="1:14">
      <c r="A1482" s="958" t="s">
        <v>362</v>
      </c>
      <c r="B1482" s="958">
        <v>26</v>
      </c>
      <c r="C1482" s="958" t="s">
        <v>7249</v>
      </c>
      <c r="D1482" s="957" t="s">
        <v>8442</v>
      </c>
      <c r="E1482" s="956">
        <v>14385</v>
      </c>
      <c r="F1482" s="955"/>
      <c r="L1482" s="954"/>
      <c r="M1482" s="952"/>
      <c r="N1482" s="952"/>
    </row>
    <row r="1483" spans="1:14">
      <c r="A1483" s="958" t="s">
        <v>362</v>
      </c>
      <c r="B1483" s="958">
        <v>26</v>
      </c>
      <c r="C1483" s="958" t="s">
        <v>7247</v>
      </c>
      <c r="D1483" s="957" t="s">
        <v>8441</v>
      </c>
      <c r="E1483" s="956">
        <v>42659</v>
      </c>
      <c r="F1483" s="955"/>
      <c r="L1483" s="954"/>
      <c r="M1483" s="952"/>
      <c r="N1483" s="952"/>
    </row>
    <row r="1484" spans="1:14">
      <c r="A1484" s="958" t="s">
        <v>362</v>
      </c>
      <c r="B1484" s="958">
        <v>26</v>
      </c>
      <c r="C1484" s="958" t="s">
        <v>1754</v>
      </c>
      <c r="D1484" s="957" t="s">
        <v>8440</v>
      </c>
      <c r="E1484" s="956">
        <v>12073</v>
      </c>
      <c r="F1484" s="955"/>
      <c r="L1484" s="954"/>
      <c r="M1484" s="952"/>
      <c r="N1484" s="952"/>
    </row>
    <row r="1485" spans="1:14">
      <c r="A1485" s="958" t="s">
        <v>362</v>
      </c>
      <c r="B1485" s="958">
        <v>26</v>
      </c>
      <c r="C1485" s="958" t="s">
        <v>7244</v>
      </c>
      <c r="D1485" s="957" t="s">
        <v>8439</v>
      </c>
      <c r="E1485" s="956">
        <v>20729</v>
      </c>
      <c r="F1485" s="955"/>
      <c r="L1485" s="954"/>
      <c r="M1485" s="952"/>
      <c r="N1485" s="952"/>
    </row>
    <row r="1486" spans="1:14">
      <c r="A1486" s="958" t="s">
        <v>362</v>
      </c>
      <c r="B1486" s="958">
        <v>26</v>
      </c>
      <c r="C1486" s="958" t="s">
        <v>7240</v>
      </c>
      <c r="D1486" s="957" t="s">
        <v>8438</v>
      </c>
      <c r="E1486" s="956">
        <v>76439</v>
      </c>
      <c r="F1486" s="955"/>
      <c r="L1486" s="954"/>
      <c r="M1486" s="952"/>
      <c r="N1486" s="952"/>
    </row>
    <row r="1487" spans="1:14">
      <c r="A1487" s="958" t="s">
        <v>362</v>
      </c>
      <c r="B1487" s="958">
        <v>26</v>
      </c>
      <c r="C1487" s="958" t="s">
        <v>7238</v>
      </c>
      <c r="D1487" s="957" t="s">
        <v>8437</v>
      </c>
      <c r="E1487" s="956">
        <v>12719</v>
      </c>
      <c r="F1487" s="955"/>
      <c r="L1487" s="954"/>
      <c r="M1487" s="952"/>
      <c r="N1487" s="952"/>
    </row>
    <row r="1488" spans="1:14">
      <c r="A1488" s="958" t="s">
        <v>362</v>
      </c>
      <c r="B1488" s="958">
        <v>26</v>
      </c>
      <c r="C1488" s="958" t="s">
        <v>1752</v>
      </c>
      <c r="D1488" s="957" t="s">
        <v>8436</v>
      </c>
      <c r="E1488" s="956">
        <v>60798</v>
      </c>
      <c r="F1488" s="955"/>
      <c r="L1488" s="954"/>
      <c r="M1488" s="952"/>
      <c r="N1488" s="952"/>
    </row>
    <row r="1489" spans="1:14">
      <c r="A1489" s="958" t="s">
        <v>362</v>
      </c>
      <c r="B1489" s="958">
        <v>26</v>
      </c>
      <c r="C1489" s="958" t="s">
        <v>1750</v>
      </c>
      <c r="D1489" s="957" t="s">
        <v>8435</v>
      </c>
      <c r="E1489" s="956">
        <v>38146</v>
      </c>
      <c r="F1489" s="955"/>
      <c r="L1489" s="954"/>
      <c r="M1489" s="952"/>
      <c r="N1489" s="952"/>
    </row>
    <row r="1490" spans="1:14">
      <c r="A1490" s="958" t="s">
        <v>362</v>
      </c>
      <c r="B1490" s="958">
        <v>26</v>
      </c>
      <c r="C1490" s="958" t="s">
        <v>1748</v>
      </c>
      <c r="D1490" s="957" t="s">
        <v>8434</v>
      </c>
      <c r="E1490" s="956">
        <v>48554</v>
      </c>
      <c r="F1490" s="955"/>
      <c r="L1490" s="954"/>
      <c r="M1490" s="952"/>
      <c r="N1490" s="952"/>
    </row>
    <row r="1491" spans="1:14">
      <c r="A1491" s="958" t="s">
        <v>362</v>
      </c>
      <c r="B1491" s="958">
        <v>26</v>
      </c>
      <c r="C1491" s="958" t="s">
        <v>1744</v>
      </c>
      <c r="D1491" s="957" t="s">
        <v>5517</v>
      </c>
      <c r="E1491" s="956">
        <v>39184</v>
      </c>
      <c r="F1491" s="955"/>
      <c r="L1491" s="954"/>
      <c r="M1491" s="952"/>
      <c r="N1491" s="952"/>
    </row>
    <row r="1492" spans="1:14">
      <c r="A1492" s="958" t="s">
        <v>362</v>
      </c>
      <c r="B1492" s="958">
        <v>26</v>
      </c>
      <c r="C1492" s="958" t="s">
        <v>1742</v>
      </c>
      <c r="D1492" s="957" t="s">
        <v>1743</v>
      </c>
      <c r="E1492" s="956">
        <v>38134</v>
      </c>
      <c r="F1492" s="955"/>
      <c r="L1492" s="954"/>
      <c r="M1492" s="952"/>
      <c r="N1492" s="952"/>
    </row>
    <row r="1493" spans="1:14">
      <c r="A1493" s="958" t="s">
        <v>362</v>
      </c>
      <c r="B1493" s="958">
        <v>26</v>
      </c>
      <c r="C1493" s="958" t="s">
        <v>1740</v>
      </c>
      <c r="D1493" s="957" t="s">
        <v>8433</v>
      </c>
      <c r="E1493" s="956">
        <v>8993</v>
      </c>
      <c r="F1493" s="955"/>
      <c r="L1493" s="954"/>
      <c r="M1493" s="952"/>
      <c r="N1493" s="952"/>
    </row>
    <row r="1494" spans="1:14">
      <c r="A1494" s="958" t="s">
        <v>362</v>
      </c>
      <c r="B1494" s="958">
        <v>26</v>
      </c>
      <c r="C1494" s="958" t="s">
        <v>7228</v>
      </c>
      <c r="D1494" s="957" t="s">
        <v>8432</v>
      </c>
      <c r="E1494" s="956">
        <v>7487</v>
      </c>
      <c r="F1494" s="955"/>
      <c r="L1494" s="954"/>
      <c r="M1494" s="952"/>
      <c r="N1494" s="952"/>
    </row>
    <row r="1495" spans="1:14">
      <c r="A1495" s="958" t="s">
        <v>362</v>
      </c>
      <c r="B1495" s="958">
        <v>26</v>
      </c>
      <c r="C1495" s="958" t="s">
        <v>1738</v>
      </c>
      <c r="D1495" s="957" t="s">
        <v>8431</v>
      </c>
      <c r="E1495" s="956">
        <v>50742</v>
      </c>
      <c r="F1495" s="955"/>
      <c r="L1495" s="954"/>
      <c r="M1495" s="952"/>
      <c r="N1495" s="952"/>
    </row>
    <row r="1496" spans="1:14">
      <c r="A1496" s="958" t="s">
        <v>362</v>
      </c>
      <c r="B1496" s="958">
        <v>26</v>
      </c>
      <c r="C1496" s="958" t="s">
        <v>1736</v>
      </c>
      <c r="D1496" s="957" t="s">
        <v>8430</v>
      </c>
      <c r="E1496" s="956">
        <v>13155</v>
      </c>
      <c r="F1496" s="955"/>
      <c r="L1496" s="954"/>
      <c r="M1496" s="952"/>
      <c r="N1496" s="952"/>
    </row>
    <row r="1497" spans="1:14">
      <c r="A1497" s="958" t="s">
        <v>362</v>
      </c>
      <c r="B1497" s="958">
        <v>26</v>
      </c>
      <c r="C1497" s="958" t="s">
        <v>1734</v>
      </c>
      <c r="D1497" s="957" t="s">
        <v>8429</v>
      </c>
      <c r="E1497" s="956">
        <v>58378</v>
      </c>
      <c r="F1497" s="955"/>
      <c r="L1497" s="954"/>
      <c r="M1497" s="952"/>
      <c r="N1497" s="952"/>
    </row>
    <row r="1498" spans="1:14">
      <c r="A1498" s="958" t="s">
        <v>362</v>
      </c>
      <c r="B1498" s="958">
        <v>26</v>
      </c>
      <c r="C1498" s="958" t="s">
        <v>1732</v>
      </c>
      <c r="D1498" s="957" t="s">
        <v>8428</v>
      </c>
      <c r="E1498" s="956">
        <v>207048</v>
      </c>
      <c r="F1498" s="955"/>
      <c r="L1498" s="954"/>
      <c r="M1498" s="952"/>
      <c r="N1498" s="952"/>
    </row>
    <row r="1499" spans="1:14">
      <c r="A1499" s="958" t="s">
        <v>362</v>
      </c>
      <c r="B1499" s="958">
        <v>26</v>
      </c>
      <c r="C1499" s="958" t="s">
        <v>7221</v>
      </c>
      <c r="D1499" s="957" t="s">
        <v>8427</v>
      </c>
      <c r="E1499" s="956">
        <v>34221</v>
      </c>
      <c r="F1499" s="955"/>
      <c r="L1499" s="954"/>
      <c r="M1499" s="952"/>
      <c r="N1499" s="952"/>
    </row>
    <row r="1500" spans="1:14">
      <c r="A1500" s="958" t="s">
        <v>362</v>
      </c>
      <c r="B1500" s="958">
        <v>26</v>
      </c>
      <c r="C1500" s="958" t="s">
        <v>1728</v>
      </c>
      <c r="D1500" s="957" t="s">
        <v>2645</v>
      </c>
      <c r="E1500" s="956">
        <v>20380</v>
      </c>
      <c r="F1500" s="955"/>
      <c r="L1500" s="954"/>
      <c r="M1500" s="952"/>
      <c r="N1500" s="952"/>
    </row>
    <row r="1501" spans="1:14">
      <c r="A1501" s="958" t="s">
        <v>362</v>
      </c>
      <c r="B1501" s="958">
        <v>26</v>
      </c>
      <c r="C1501" s="958" t="s">
        <v>1724</v>
      </c>
      <c r="D1501" s="957" t="s">
        <v>8426</v>
      </c>
      <c r="E1501" s="956">
        <v>28739</v>
      </c>
      <c r="F1501" s="955"/>
      <c r="L1501" s="954"/>
      <c r="M1501" s="952"/>
      <c r="N1501" s="952"/>
    </row>
    <row r="1502" spans="1:14">
      <c r="A1502" s="958" t="s">
        <v>362</v>
      </c>
      <c r="B1502" s="958">
        <v>26</v>
      </c>
      <c r="C1502" s="958" t="s">
        <v>1720</v>
      </c>
      <c r="D1502" s="957" t="s">
        <v>8425</v>
      </c>
      <c r="E1502" s="956">
        <v>11053</v>
      </c>
      <c r="F1502" s="955"/>
      <c r="L1502" s="954"/>
      <c r="M1502" s="952"/>
      <c r="N1502" s="952"/>
    </row>
    <row r="1503" spans="1:14">
      <c r="A1503" s="958" t="s">
        <v>362</v>
      </c>
      <c r="B1503" s="958">
        <v>26</v>
      </c>
      <c r="C1503" s="958" t="s">
        <v>7216</v>
      </c>
      <c r="D1503" s="957" t="s">
        <v>8424</v>
      </c>
      <c r="E1503" s="956">
        <v>5750</v>
      </c>
      <c r="F1503" s="955"/>
      <c r="L1503" s="954"/>
      <c r="M1503" s="952"/>
      <c r="N1503" s="952"/>
    </row>
    <row r="1504" spans="1:14">
      <c r="A1504" s="958" t="s">
        <v>362</v>
      </c>
      <c r="B1504" s="958">
        <v>26</v>
      </c>
      <c r="C1504" s="958" t="s">
        <v>1718</v>
      </c>
      <c r="D1504" s="957" t="s">
        <v>8423</v>
      </c>
      <c r="E1504" s="956">
        <v>157828</v>
      </c>
      <c r="F1504" s="955"/>
      <c r="L1504" s="954"/>
      <c r="M1504" s="952"/>
      <c r="N1504" s="952"/>
    </row>
    <row r="1505" spans="1:14">
      <c r="A1505" s="958" t="s">
        <v>362</v>
      </c>
      <c r="B1505" s="958">
        <v>26</v>
      </c>
      <c r="C1505" s="958" t="s">
        <v>1714</v>
      </c>
      <c r="D1505" s="957" t="s">
        <v>8422</v>
      </c>
      <c r="E1505" s="956">
        <v>18765</v>
      </c>
      <c r="F1505" s="955"/>
      <c r="L1505" s="954"/>
      <c r="M1505" s="952"/>
      <c r="N1505" s="952"/>
    </row>
    <row r="1506" spans="1:14">
      <c r="A1506" s="958" t="s">
        <v>362</v>
      </c>
      <c r="B1506" s="958">
        <v>26</v>
      </c>
      <c r="C1506" s="958" t="s">
        <v>7213</v>
      </c>
      <c r="D1506" s="957" t="s">
        <v>8421</v>
      </c>
      <c r="E1506" s="956">
        <v>8551</v>
      </c>
      <c r="F1506" s="955"/>
      <c r="L1506" s="954"/>
      <c r="M1506" s="952"/>
      <c r="N1506" s="952"/>
    </row>
    <row r="1507" spans="1:14">
      <c r="A1507" s="958" t="s">
        <v>362</v>
      </c>
      <c r="B1507" s="958">
        <v>26</v>
      </c>
      <c r="C1507" s="958" t="s">
        <v>1712</v>
      </c>
      <c r="D1507" s="957" t="s">
        <v>8420</v>
      </c>
      <c r="E1507" s="956">
        <v>24804</v>
      </c>
      <c r="F1507" s="955"/>
      <c r="L1507" s="954"/>
      <c r="M1507" s="952"/>
      <c r="N1507" s="952"/>
    </row>
    <row r="1508" spans="1:14">
      <c r="A1508" s="958" t="s">
        <v>362</v>
      </c>
      <c r="B1508" s="958">
        <v>26</v>
      </c>
      <c r="C1508" s="958" t="s">
        <v>1708</v>
      </c>
      <c r="D1508" s="957" t="s">
        <v>8419</v>
      </c>
      <c r="E1508" s="956">
        <v>20048</v>
      </c>
      <c r="F1508" s="955"/>
      <c r="L1508" s="954"/>
      <c r="M1508" s="952"/>
      <c r="N1508" s="952"/>
    </row>
    <row r="1509" spans="1:14">
      <c r="A1509" s="958" t="s">
        <v>362</v>
      </c>
      <c r="B1509" s="958">
        <v>26</v>
      </c>
      <c r="C1509" s="958" t="s">
        <v>1706</v>
      </c>
      <c r="D1509" s="957" t="s">
        <v>8418</v>
      </c>
      <c r="E1509" s="956">
        <v>19551</v>
      </c>
      <c r="F1509" s="955"/>
      <c r="L1509" s="954"/>
      <c r="M1509" s="952"/>
      <c r="N1509" s="952"/>
    </row>
    <row r="1510" spans="1:14">
      <c r="A1510" s="958" t="s">
        <v>362</v>
      </c>
      <c r="B1510" s="958">
        <v>26</v>
      </c>
      <c r="C1510" s="958" t="s">
        <v>8417</v>
      </c>
      <c r="D1510" s="957" t="s">
        <v>8416</v>
      </c>
      <c r="E1510" s="956">
        <v>12932</v>
      </c>
      <c r="F1510" s="955"/>
      <c r="L1510" s="954"/>
      <c r="M1510" s="952"/>
      <c r="N1510" s="952"/>
    </row>
    <row r="1511" spans="1:14">
      <c r="A1511" s="958" t="s">
        <v>362</v>
      </c>
      <c r="B1511" s="958">
        <v>26</v>
      </c>
      <c r="C1511" s="958" t="s">
        <v>1704</v>
      </c>
      <c r="D1511" s="957" t="s">
        <v>8415</v>
      </c>
      <c r="E1511" s="956">
        <v>83641</v>
      </c>
      <c r="F1511" s="955"/>
      <c r="L1511" s="954"/>
      <c r="M1511" s="952"/>
      <c r="N1511" s="952"/>
    </row>
    <row r="1512" spans="1:14">
      <c r="A1512" s="958" t="s">
        <v>362</v>
      </c>
      <c r="B1512" s="958">
        <v>26</v>
      </c>
      <c r="C1512" s="958" t="s">
        <v>1702</v>
      </c>
      <c r="D1512" s="957" t="s">
        <v>8414</v>
      </c>
      <c r="E1512" s="956">
        <v>361118</v>
      </c>
      <c r="F1512" s="955"/>
      <c r="L1512" s="954"/>
      <c r="M1512" s="952"/>
      <c r="N1512" s="952"/>
    </row>
    <row r="1513" spans="1:14">
      <c r="A1513" s="958" t="s">
        <v>362</v>
      </c>
      <c r="B1513" s="958">
        <v>26</v>
      </c>
      <c r="C1513" s="958" t="s">
        <v>8413</v>
      </c>
      <c r="D1513" s="957" t="s">
        <v>8412</v>
      </c>
      <c r="E1513" s="956">
        <v>14341</v>
      </c>
      <c r="F1513" s="955"/>
      <c r="L1513" s="954"/>
      <c r="M1513" s="952"/>
      <c r="N1513" s="952"/>
    </row>
    <row r="1514" spans="1:14">
      <c r="A1514" s="958" t="s">
        <v>362</v>
      </c>
      <c r="B1514" s="958">
        <v>26</v>
      </c>
      <c r="C1514" s="958" t="s">
        <v>7205</v>
      </c>
      <c r="D1514" s="957" t="s">
        <v>8411</v>
      </c>
      <c r="E1514" s="956">
        <v>42892</v>
      </c>
      <c r="F1514" s="955"/>
      <c r="L1514" s="954"/>
      <c r="M1514" s="952"/>
      <c r="N1514" s="952"/>
    </row>
    <row r="1515" spans="1:14">
      <c r="A1515" s="958" t="s">
        <v>362</v>
      </c>
      <c r="B1515" s="958">
        <v>26</v>
      </c>
      <c r="C1515" s="958" t="s">
        <v>1700</v>
      </c>
      <c r="D1515" s="957" t="s">
        <v>8410</v>
      </c>
      <c r="E1515" s="956">
        <v>11807</v>
      </c>
      <c r="F1515" s="955"/>
      <c r="L1515" s="954"/>
      <c r="M1515" s="952"/>
      <c r="N1515" s="952"/>
    </row>
    <row r="1516" spans="1:14">
      <c r="A1516" s="958" t="s">
        <v>362</v>
      </c>
      <c r="B1516" s="958">
        <v>26</v>
      </c>
      <c r="C1516" s="958" t="s">
        <v>1698</v>
      </c>
      <c r="D1516" s="957" t="s">
        <v>8409</v>
      </c>
      <c r="E1516" s="956">
        <v>13518</v>
      </c>
      <c r="F1516" s="955"/>
      <c r="L1516" s="954"/>
      <c r="M1516" s="952"/>
      <c r="N1516" s="952"/>
    </row>
    <row r="1517" spans="1:14">
      <c r="A1517" s="958" t="s">
        <v>362</v>
      </c>
      <c r="B1517" s="958">
        <v>26</v>
      </c>
      <c r="C1517" s="958" t="s">
        <v>1696</v>
      </c>
      <c r="D1517" s="957" t="s">
        <v>8408</v>
      </c>
      <c r="E1517" s="956">
        <v>21698</v>
      </c>
      <c r="F1517" s="955"/>
      <c r="L1517" s="954"/>
      <c r="M1517" s="952"/>
      <c r="N1517" s="952"/>
    </row>
    <row r="1518" spans="1:14">
      <c r="A1518" s="958" t="s">
        <v>362</v>
      </c>
      <c r="B1518" s="958">
        <v>26</v>
      </c>
      <c r="C1518" s="958" t="s">
        <v>1694</v>
      </c>
      <c r="D1518" s="957" t="s">
        <v>8407</v>
      </c>
      <c r="E1518" s="956">
        <v>26421</v>
      </c>
      <c r="F1518" s="955"/>
      <c r="L1518" s="954"/>
      <c r="M1518" s="952"/>
      <c r="N1518" s="952"/>
    </row>
    <row r="1519" spans="1:14">
      <c r="A1519" s="958" t="s">
        <v>362</v>
      </c>
      <c r="B1519" s="958">
        <v>26</v>
      </c>
      <c r="C1519" s="958" t="s">
        <v>1692</v>
      </c>
      <c r="D1519" s="957" t="s">
        <v>8406</v>
      </c>
      <c r="E1519" s="956">
        <v>18207</v>
      </c>
      <c r="F1519" s="955"/>
      <c r="L1519" s="954"/>
      <c r="M1519" s="952"/>
      <c r="N1519" s="952"/>
    </row>
    <row r="1520" spans="1:14">
      <c r="A1520" s="958" t="s">
        <v>362</v>
      </c>
      <c r="B1520" s="958">
        <v>26</v>
      </c>
      <c r="C1520" s="958" t="s">
        <v>1690</v>
      </c>
      <c r="D1520" s="957" t="s">
        <v>8405</v>
      </c>
      <c r="E1520" s="956">
        <v>12578</v>
      </c>
      <c r="F1520" s="955"/>
      <c r="L1520" s="954"/>
      <c r="M1520" s="952"/>
      <c r="N1520" s="952"/>
    </row>
    <row r="1521" spans="1:14">
      <c r="A1521" s="958" t="s">
        <v>362</v>
      </c>
      <c r="B1521" s="958">
        <v>26</v>
      </c>
      <c r="C1521" s="958" t="s">
        <v>1688</v>
      </c>
      <c r="D1521" s="957" t="s">
        <v>8404</v>
      </c>
      <c r="E1521" s="956">
        <v>10906</v>
      </c>
      <c r="F1521" s="955"/>
      <c r="L1521" s="954"/>
      <c r="M1521" s="952"/>
      <c r="N1521" s="952"/>
    </row>
    <row r="1522" spans="1:14">
      <c r="A1522" s="958" t="s">
        <v>362</v>
      </c>
      <c r="B1522" s="958">
        <v>26</v>
      </c>
      <c r="C1522" s="958" t="s">
        <v>1686</v>
      </c>
      <c r="D1522" s="957" t="s">
        <v>8403</v>
      </c>
      <c r="E1522" s="956">
        <v>24107</v>
      </c>
      <c r="F1522" s="955"/>
      <c r="L1522" s="954"/>
      <c r="M1522" s="952"/>
      <c r="N1522" s="952"/>
    </row>
    <row r="1523" spans="1:14">
      <c r="A1523" s="958" t="s">
        <v>362</v>
      </c>
      <c r="B1523" s="958">
        <v>26</v>
      </c>
      <c r="C1523" s="958" t="s">
        <v>1684</v>
      </c>
      <c r="D1523" s="957" t="s">
        <v>8402</v>
      </c>
      <c r="E1523" s="956">
        <v>37111</v>
      </c>
      <c r="F1523" s="955"/>
      <c r="L1523" s="954"/>
      <c r="M1523" s="952"/>
      <c r="N1523" s="952"/>
    </row>
    <row r="1524" spans="1:14">
      <c r="A1524" s="958" t="s">
        <v>362</v>
      </c>
      <c r="B1524" s="958">
        <v>26</v>
      </c>
      <c r="C1524" s="958" t="s">
        <v>1682</v>
      </c>
      <c r="D1524" s="957" t="s">
        <v>8401</v>
      </c>
      <c r="E1524" s="956">
        <v>18908</v>
      </c>
      <c r="F1524" s="955"/>
      <c r="L1524" s="954"/>
      <c r="M1524" s="952"/>
      <c r="N1524" s="952"/>
    </row>
    <row r="1525" spans="1:14">
      <c r="A1525" s="958" t="s">
        <v>362</v>
      </c>
      <c r="B1525" s="958">
        <v>26</v>
      </c>
      <c r="C1525" s="958" t="s">
        <v>1680</v>
      </c>
      <c r="D1525" s="957" t="s">
        <v>8400</v>
      </c>
      <c r="E1525" s="956">
        <v>68875</v>
      </c>
      <c r="F1525" s="955"/>
      <c r="L1525" s="954"/>
      <c r="M1525" s="952"/>
      <c r="N1525" s="952"/>
    </row>
    <row r="1526" spans="1:14">
      <c r="A1526" s="958" t="s">
        <v>362</v>
      </c>
      <c r="B1526" s="958">
        <v>26</v>
      </c>
      <c r="C1526" s="958" t="s">
        <v>7191</v>
      </c>
      <c r="D1526" s="957" t="s">
        <v>8399</v>
      </c>
      <c r="E1526" s="956">
        <v>31825</v>
      </c>
      <c r="F1526" s="955"/>
      <c r="L1526" s="954"/>
      <c r="M1526" s="952"/>
      <c r="N1526" s="952"/>
    </row>
    <row r="1527" spans="1:14">
      <c r="A1527" s="958" t="s">
        <v>362</v>
      </c>
      <c r="B1527" s="958">
        <v>26</v>
      </c>
      <c r="C1527" s="958" t="s">
        <v>1676</v>
      </c>
      <c r="D1527" s="957" t="s">
        <v>8141</v>
      </c>
      <c r="E1527" s="956">
        <v>22131</v>
      </c>
      <c r="F1527" s="955"/>
      <c r="L1527" s="954"/>
      <c r="M1527" s="952"/>
      <c r="N1527" s="952"/>
    </row>
    <row r="1528" spans="1:14">
      <c r="A1528" s="958" t="s">
        <v>362</v>
      </c>
      <c r="B1528" s="958">
        <v>26</v>
      </c>
      <c r="C1528" s="958" t="s">
        <v>8398</v>
      </c>
      <c r="D1528" s="957" t="s">
        <v>8397</v>
      </c>
      <c r="E1528" s="956">
        <v>3061</v>
      </c>
      <c r="F1528" s="955"/>
      <c r="L1528" s="954"/>
      <c r="M1528" s="952"/>
      <c r="N1528" s="952"/>
    </row>
    <row r="1529" spans="1:14">
      <c r="A1529" s="958" t="s">
        <v>362</v>
      </c>
      <c r="B1529" s="958">
        <v>26</v>
      </c>
      <c r="C1529" s="958" t="s">
        <v>7188</v>
      </c>
      <c r="D1529" s="957" t="s">
        <v>8396</v>
      </c>
      <c r="E1529" s="956">
        <v>12123</v>
      </c>
      <c r="F1529" s="955"/>
      <c r="L1529" s="954"/>
      <c r="M1529" s="952"/>
      <c r="N1529" s="952"/>
    </row>
    <row r="1530" spans="1:14">
      <c r="A1530" s="958" t="s">
        <v>362</v>
      </c>
      <c r="B1530" s="958">
        <v>26</v>
      </c>
      <c r="C1530" s="958" t="s">
        <v>1674</v>
      </c>
      <c r="D1530" s="957" t="s">
        <v>8395</v>
      </c>
      <c r="E1530" s="956">
        <v>22624</v>
      </c>
      <c r="F1530" s="955"/>
      <c r="L1530" s="954"/>
      <c r="M1530" s="952"/>
      <c r="N1530" s="952"/>
    </row>
    <row r="1531" spans="1:14">
      <c r="A1531" s="958" t="s">
        <v>362</v>
      </c>
      <c r="B1531" s="958">
        <v>26</v>
      </c>
      <c r="C1531" s="958" t="s">
        <v>1671</v>
      </c>
      <c r="D1531" s="957" t="s">
        <v>3911</v>
      </c>
      <c r="E1531" s="956">
        <v>32873</v>
      </c>
      <c r="F1531" s="955"/>
      <c r="L1531" s="954"/>
      <c r="M1531" s="952"/>
      <c r="N1531" s="952"/>
    </row>
    <row r="1532" spans="1:14">
      <c r="A1532" s="958" t="s">
        <v>362</v>
      </c>
      <c r="B1532" s="958">
        <v>26</v>
      </c>
      <c r="C1532" s="958" t="s">
        <v>1669</v>
      </c>
      <c r="D1532" s="957" t="s">
        <v>8394</v>
      </c>
      <c r="E1532" s="956">
        <v>15457</v>
      </c>
      <c r="F1532" s="955"/>
      <c r="L1532" s="954"/>
      <c r="M1532" s="952"/>
      <c r="N1532" s="952"/>
    </row>
    <row r="1533" spans="1:14">
      <c r="A1533" s="958" t="s">
        <v>362</v>
      </c>
      <c r="B1533" s="958">
        <v>26</v>
      </c>
      <c r="C1533" s="958" t="s">
        <v>7184</v>
      </c>
      <c r="D1533" s="957" t="s">
        <v>8393</v>
      </c>
      <c r="E1533" s="956">
        <v>31052</v>
      </c>
      <c r="F1533" s="955"/>
      <c r="L1533" s="954"/>
      <c r="M1533" s="952"/>
      <c r="N1533" s="952"/>
    </row>
    <row r="1534" spans="1:14">
      <c r="A1534" s="958" t="s">
        <v>362</v>
      </c>
      <c r="B1534" s="958">
        <v>26</v>
      </c>
      <c r="C1534" s="958" t="s">
        <v>1667</v>
      </c>
      <c r="D1534" s="957" t="s">
        <v>8392</v>
      </c>
      <c r="E1534" s="956">
        <v>139788</v>
      </c>
      <c r="F1534" s="955"/>
      <c r="L1534" s="954"/>
      <c r="M1534" s="952"/>
      <c r="N1534" s="952"/>
    </row>
    <row r="1535" spans="1:14">
      <c r="A1535" s="958" t="s">
        <v>362</v>
      </c>
      <c r="B1535" s="958">
        <v>26</v>
      </c>
      <c r="C1535" s="958" t="s">
        <v>7181</v>
      </c>
      <c r="D1535" s="957" t="s">
        <v>8391</v>
      </c>
      <c r="E1535" s="956">
        <v>30604</v>
      </c>
      <c r="F1535" s="955"/>
      <c r="L1535" s="954"/>
      <c r="M1535" s="952"/>
      <c r="N1535" s="952"/>
    </row>
    <row r="1536" spans="1:14">
      <c r="A1536" s="958" t="s">
        <v>362</v>
      </c>
      <c r="B1536" s="958">
        <v>26</v>
      </c>
      <c r="C1536" s="958" t="s">
        <v>1665</v>
      </c>
      <c r="D1536" s="957" t="s">
        <v>8390</v>
      </c>
      <c r="E1536" s="956">
        <v>79758</v>
      </c>
      <c r="F1536" s="955"/>
      <c r="L1536" s="954"/>
      <c r="M1536" s="952"/>
      <c r="N1536" s="952"/>
    </row>
    <row r="1537" spans="1:14">
      <c r="A1537" s="958" t="s">
        <v>362</v>
      </c>
      <c r="B1537" s="958">
        <v>26</v>
      </c>
      <c r="C1537" s="958" t="s">
        <v>1659</v>
      </c>
      <c r="D1537" s="957" t="s">
        <v>8389</v>
      </c>
      <c r="E1537" s="956">
        <v>7486</v>
      </c>
      <c r="F1537" s="955"/>
      <c r="L1537" s="954"/>
      <c r="M1537" s="952"/>
      <c r="N1537" s="952"/>
    </row>
    <row r="1538" spans="1:14">
      <c r="A1538" s="958" t="s">
        <v>362</v>
      </c>
      <c r="B1538" s="958">
        <v>26</v>
      </c>
      <c r="C1538" s="958" t="s">
        <v>1655</v>
      </c>
      <c r="D1538" s="957" t="s">
        <v>8388</v>
      </c>
      <c r="E1538" s="956">
        <v>84074</v>
      </c>
      <c r="F1538" s="955"/>
      <c r="L1538" s="954"/>
      <c r="M1538" s="952"/>
      <c r="N1538" s="952"/>
    </row>
    <row r="1539" spans="1:14">
      <c r="A1539" s="958" t="s">
        <v>362</v>
      </c>
      <c r="B1539" s="958">
        <v>26</v>
      </c>
      <c r="C1539" s="958" t="s">
        <v>7176</v>
      </c>
      <c r="D1539" s="957" t="s">
        <v>8387</v>
      </c>
      <c r="E1539" s="956">
        <v>19197</v>
      </c>
      <c r="F1539" s="955"/>
      <c r="L1539" s="954"/>
      <c r="M1539" s="952"/>
      <c r="N1539" s="952"/>
    </row>
    <row r="1540" spans="1:14">
      <c r="A1540" s="958" t="s">
        <v>362</v>
      </c>
      <c r="B1540" s="958">
        <v>26</v>
      </c>
      <c r="C1540" s="958" t="s">
        <v>1653</v>
      </c>
      <c r="D1540" s="957" t="s">
        <v>8386</v>
      </c>
      <c r="E1540" s="956">
        <v>29235</v>
      </c>
      <c r="F1540" s="955"/>
      <c r="L1540" s="954"/>
      <c r="M1540" s="952"/>
      <c r="N1540" s="952"/>
    </row>
    <row r="1541" spans="1:14">
      <c r="A1541" s="958" t="s">
        <v>362</v>
      </c>
      <c r="B1541" s="958">
        <v>26</v>
      </c>
      <c r="C1541" s="958" t="s">
        <v>7171</v>
      </c>
      <c r="D1541" s="957" t="s">
        <v>8385</v>
      </c>
      <c r="E1541" s="956">
        <v>7762</v>
      </c>
      <c r="F1541" s="955"/>
      <c r="L1541" s="954"/>
      <c r="M1541" s="952"/>
      <c r="N1541" s="952"/>
    </row>
    <row r="1542" spans="1:14">
      <c r="A1542" s="958" t="s">
        <v>362</v>
      </c>
      <c r="B1542" s="958">
        <v>26</v>
      </c>
      <c r="C1542" s="958" t="s">
        <v>7169</v>
      </c>
      <c r="D1542" s="957" t="s">
        <v>8384</v>
      </c>
      <c r="E1542" s="956">
        <v>117019</v>
      </c>
      <c r="F1542" s="955"/>
      <c r="L1542" s="954"/>
      <c r="M1542" s="952"/>
      <c r="N1542" s="952"/>
    </row>
    <row r="1543" spans="1:14">
      <c r="A1543" s="958" t="s">
        <v>362</v>
      </c>
      <c r="B1543" s="958">
        <v>26</v>
      </c>
      <c r="C1543" s="958" t="s">
        <v>1651</v>
      </c>
      <c r="D1543" s="957" t="s">
        <v>8383</v>
      </c>
      <c r="E1543" s="956">
        <v>12228</v>
      </c>
      <c r="F1543" s="955"/>
      <c r="L1543" s="954"/>
      <c r="M1543" s="952"/>
      <c r="N1543" s="952"/>
    </row>
    <row r="1544" spans="1:14">
      <c r="A1544" s="958" t="s">
        <v>362</v>
      </c>
      <c r="B1544" s="958">
        <v>26</v>
      </c>
      <c r="C1544" s="958" t="s">
        <v>7166</v>
      </c>
      <c r="D1544" s="957" t="s">
        <v>3846</v>
      </c>
      <c r="E1544" s="956">
        <v>23247</v>
      </c>
      <c r="F1544" s="955"/>
      <c r="L1544" s="954"/>
      <c r="M1544" s="952"/>
      <c r="N1544" s="952"/>
    </row>
    <row r="1545" spans="1:14">
      <c r="A1545" s="958" t="s">
        <v>362</v>
      </c>
      <c r="B1545" s="958">
        <v>26</v>
      </c>
      <c r="C1545" s="958" t="s">
        <v>1649</v>
      </c>
      <c r="D1545" s="957" t="s">
        <v>8382</v>
      </c>
      <c r="E1545" s="956">
        <v>4548</v>
      </c>
      <c r="F1545" s="955"/>
      <c r="L1545" s="954"/>
      <c r="M1545" s="952"/>
      <c r="N1545" s="952"/>
    </row>
    <row r="1546" spans="1:14">
      <c r="A1546" s="958" t="s">
        <v>362</v>
      </c>
      <c r="B1546" s="958">
        <v>26</v>
      </c>
      <c r="C1546" s="958" t="s">
        <v>1647</v>
      </c>
      <c r="D1546" s="957" t="s">
        <v>8381</v>
      </c>
      <c r="E1546" s="956">
        <v>96204</v>
      </c>
      <c r="F1546" s="955"/>
      <c r="L1546" s="954"/>
      <c r="M1546" s="952"/>
      <c r="N1546" s="952"/>
    </row>
    <row r="1547" spans="1:14">
      <c r="A1547" s="958" t="s">
        <v>362</v>
      </c>
      <c r="B1547" s="958">
        <v>26</v>
      </c>
      <c r="C1547" s="958" t="s">
        <v>1645</v>
      </c>
      <c r="D1547" s="957" t="s">
        <v>8380</v>
      </c>
      <c r="E1547" s="956">
        <v>30854</v>
      </c>
      <c r="F1547" s="955"/>
      <c r="L1547" s="954"/>
      <c r="M1547" s="952"/>
      <c r="N1547" s="952"/>
    </row>
    <row r="1548" spans="1:14">
      <c r="A1548" s="958" t="s">
        <v>362</v>
      </c>
      <c r="B1548" s="958">
        <v>26</v>
      </c>
      <c r="C1548" s="958" t="s">
        <v>1643</v>
      </c>
      <c r="D1548" s="957" t="s">
        <v>8379</v>
      </c>
      <c r="E1548" s="956">
        <v>4918</v>
      </c>
      <c r="F1548" s="955"/>
      <c r="L1548" s="954"/>
      <c r="M1548" s="952"/>
      <c r="N1548" s="952"/>
    </row>
    <row r="1549" spans="1:14">
      <c r="A1549" s="958" t="s">
        <v>362</v>
      </c>
      <c r="B1549" s="958">
        <v>26</v>
      </c>
      <c r="C1549" s="958" t="s">
        <v>1641</v>
      </c>
      <c r="D1549" s="957" t="s">
        <v>8378</v>
      </c>
      <c r="E1549" s="956">
        <v>26349</v>
      </c>
      <c r="F1549" s="955"/>
      <c r="L1549" s="954"/>
      <c r="M1549" s="952"/>
      <c r="N1549" s="952"/>
    </row>
    <row r="1550" spans="1:14">
      <c r="A1550" s="958" t="s">
        <v>362</v>
      </c>
      <c r="B1550" s="958">
        <v>26</v>
      </c>
      <c r="C1550" s="958" t="s">
        <v>7160</v>
      </c>
      <c r="D1550" s="957" t="s">
        <v>8377</v>
      </c>
      <c r="E1550" s="956">
        <v>26258</v>
      </c>
      <c r="F1550" s="955"/>
      <c r="L1550" s="954"/>
      <c r="M1550" s="952"/>
      <c r="N1550" s="952"/>
    </row>
    <row r="1551" spans="1:14">
      <c r="A1551" s="958" t="s">
        <v>362</v>
      </c>
      <c r="B1551" s="958">
        <v>26</v>
      </c>
      <c r="C1551" s="958" t="s">
        <v>8376</v>
      </c>
      <c r="D1551" s="957" t="s">
        <v>3827</v>
      </c>
      <c r="E1551" s="956">
        <v>36447</v>
      </c>
      <c r="F1551" s="955"/>
      <c r="L1551" s="954"/>
      <c r="M1551" s="952"/>
      <c r="N1551" s="952"/>
    </row>
    <row r="1552" spans="1:14">
      <c r="A1552" s="958" t="s">
        <v>362</v>
      </c>
      <c r="B1552" s="958">
        <v>26</v>
      </c>
      <c r="C1552" s="958" t="s">
        <v>1635</v>
      </c>
      <c r="D1552" s="957" t="s">
        <v>8375</v>
      </c>
      <c r="E1552" s="956">
        <v>13616</v>
      </c>
      <c r="F1552" s="955"/>
      <c r="L1552" s="954"/>
      <c r="M1552" s="952"/>
      <c r="N1552" s="952"/>
    </row>
    <row r="1553" spans="1:14">
      <c r="A1553" s="958" t="s">
        <v>362</v>
      </c>
      <c r="B1553" s="958">
        <v>26</v>
      </c>
      <c r="C1553" s="958" t="s">
        <v>8374</v>
      </c>
      <c r="D1553" s="957" t="s">
        <v>8373</v>
      </c>
      <c r="E1553" s="956">
        <v>26651</v>
      </c>
      <c r="F1553" s="955"/>
      <c r="L1553" s="954"/>
      <c r="M1553" s="952"/>
      <c r="N1553" s="952"/>
    </row>
    <row r="1554" spans="1:14">
      <c r="A1554" s="958" t="s">
        <v>362</v>
      </c>
      <c r="B1554" s="958">
        <v>26</v>
      </c>
      <c r="C1554" s="958" t="s">
        <v>1633</v>
      </c>
      <c r="D1554" s="957" t="s">
        <v>8372</v>
      </c>
      <c r="E1554" s="956">
        <v>16955</v>
      </c>
      <c r="F1554" s="955"/>
      <c r="L1554" s="954"/>
      <c r="M1554" s="952"/>
      <c r="N1554" s="952"/>
    </row>
    <row r="1555" spans="1:14">
      <c r="A1555" s="958" t="s">
        <v>362</v>
      </c>
      <c r="B1555" s="958">
        <v>26</v>
      </c>
      <c r="C1555" s="958" t="s">
        <v>1631</v>
      </c>
      <c r="D1555" s="957" t="s">
        <v>8371</v>
      </c>
      <c r="E1555" s="956">
        <v>702298</v>
      </c>
      <c r="F1555" s="955"/>
      <c r="L1555" s="954"/>
      <c r="M1555" s="952"/>
      <c r="N1555" s="952"/>
    </row>
    <row r="1556" spans="1:14">
      <c r="A1556" s="958" t="s">
        <v>362</v>
      </c>
      <c r="B1556" s="958">
        <v>26</v>
      </c>
      <c r="C1556" s="958" t="s">
        <v>1627</v>
      </c>
      <c r="D1556" s="957" t="s">
        <v>8370</v>
      </c>
      <c r="E1556" s="956">
        <v>11656</v>
      </c>
      <c r="F1556" s="955"/>
      <c r="L1556" s="954"/>
      <c r="M1556" s="952"/>
      <c r="N1556" s="952"/>
    </row>
    <row r="1557" spans="1:14">
      <c r="A1557" s="958" t="s">
        <v>362</v>
      </c>
      <c r="B1557" s="958">
        <v>26</v>
      </c>
      <c r="C1557" s="958" t="s">
        <v>1623</v>
      </c>
      <c r="D1557" s="957" t="s">
        <v>8369</v>
      </c>
      <c r="E1557" s="956">
        <v>17150</v>
      </c>
      <c r="F1557" s="955"/>
      <c r="L1557" s="954"/>
      <c r="M1557" s="952"/>
      <c r="N1557" s="952"/>
    </row>
    <row r="1558" spans="1:14">
      <c r="A1558" s="958" t="s">
        <v>362</v>
      </c>
      <c r="B1558" s="958">
        <v>26</v>
      </c>
      <c r="C1558" s="958" t="s">
        <v>8368</v>
      </c>
      <c r="D1558" s="957" t="s">
        <v>8367</v>
      </c>
      <c r="E1558" s="956">
        <v>14796</v>
      </c>
      <c r="F1558" s="955"/>
      <c r="L1558" s="954"/>
      <c r="M1558" s="952"/>
      <c r="N1558" s="952"/>
    </row>
    <row r="1559" spans="1:14">
      <c r="A1559" s="958" t="s">
        <v>362</v>
      </c>
      <c r="B1559" s="958">
        <v>26</v>
      </c>
      <c r="C1559" s="958" t="s">
        <v>7155</v>
      </c>
      <c r="D1559" s="957" t="s">
        <v>8366</v>
      </c>
      <c r="E1559" s="956">
        <v>33822</v>
      </c>
      <c r="F1559" s="955"/>
      <c r="L1559" s="954"/>
      <c r="M1559" s="952"/>
      <c r="N1559" s="952"/>
    </row>
    <row r="1560" spans="1:14">
      <c r="A1560" s="958" t="s">
        <v>362</v>
      </c>
      <c r="B1560" s="958">
        <v>26</v>
      </c>
      <c r="C1560" s="958" t="s">
        <v>7153</v>
      </c>
      <c r="D1560" s="957" t="s">
        <v>8365</v>
      </c>
      <c r="E1560" s="956">
        <v>16023</v>
      </c>
      <c r="F1560" s="955"/>
      <c r="L1560" s="954"/>
      <c r="M1560" s="952"/>
      <c r="N1560" s="952"/>
    </row>
    <row r="1561" spans="1:14">
      <c r="A1561" s="958" t="s">
        <v>362</v>
      </c>
      <c r="B1561" s="958">
        <v>26</v>
      </c>
      <c r="C1561" s="958" t="s">
        <v>7151</v>
      </c>
      <c r="D1561" s="957" t="s">
        <v>8364</v>
      </c>
      <c r="E1561" s="956">
        <v>11424</v>
      </c>
      <c r="F1561" s="955"/>
      <c r="L1561" s="954"/>
      <c r="M1561" s="952"/>
      <c r="N1561" s="952"/>
    </row>
    <row r="1562" spans="1:14">
      <c r="A1562" s="958" t="s">
        <v>362</v>
      </c>
      <c r="B1562" s="958">
        <v>26</v>
      </c>
      <c r="C1562" s="958" t="s">
        <v>1621</v>
      </c>
      <c r="D1562" s="957" t="s">
        <v>8363</v>
      </c>
      <c r="E1562" s="956">
        <v>14836</v>
      </c>
      <c r="F1562" s="955"/>
      <c r="L1562" s="954"/>
      <c r="M1562" s="952"/>
      <c r="N1562" s="952"/>
    </row>
    <row r="1563" spans="1:14">
      <c r="A1563" s="958" t="s">
        <v>362</v>
      </c>
      <c r="B1563" s="958">
        <v>26</v>
      </c>
      <c r="C1563" s="958" t="s">
        <v>1619</v>
      </c>
      <c r="D1563" s="957" t="s">
        <v>8362</v>
      </c>
      <c r="E1563" s="956">
        <v>15378</v>
      </c>
      <c r="F1563" s="955"/>
      <c r="L1563" s="954"/>
      <c r="M1563" s="952"/>
      <c r="N1563" s="952"/>
    </row>
    <row r="1564" spans="1:14">
      <c r="A1564" s="958" t="s">
        <v>362</v>
      </c>
      <c r="B1564" s="958">
        <v>26</v>
      </c>
      <c r="C1564" s="958" t="s">
        <v>8361</v>
      </c>
      <c r="D1564" s="957" t="s">
        <v>8360</v>
      </c>
      <c r="E1564" s="956">
        <v>18071</v>
      </c>
      <c r="F1564" s="955"/>
      <c r="L1564" s="954"/>
      <c r="M1564" s="952"/>
      <c r="N1564" s="952"/>
    </row>
    <row r="1565" spans="1:14">
      <c r="A1565" s="958" t="s">
        <v>362</v>
      </c>
      <c r="B1565" s="958">
        <v>26</v>
      </c>
      <c r="C1565" s="958" t="s">
        <v>7147</v>
      </c>
      <c r="D1565" s="957" t="s">
        <v>8359</v>
      </c>
      <c r="E1565" s="956">
        <v>21429</v>
      </c>
      <c r="F1565" s="955"/>
      <c r="L1565" s="954"/>
      <c r="M1565" s="952"/>
      <c r="N1565" s="952"/>
    </row>
    <row r="1566" spans="1:14">
      <c r="A1566" s="958" t="s">
        <v>362</v>
      </c>
      <c r="B1566" s="958">
        <v>26</v>
      </c>
      <c r="C1566" s="958" t="s">
        <v>7143</v>
      </c>
      <c r="D1566" s="957" t="s">
        <v>8358</v>
      </c>
      <c r="E1566" s="956">
        <v>13145</v>
      </c>
      <c r="F1566" s="955"/>
      <c r="L1566" s="954"/>
      <c r="M1566" s="952"/>
      <c r="N1566" s="952"/>
    </row>
    <row r="1567" spans="1:14">
      <c r="A1567" s="958" t="s">
        <v>362</v>
      </c>
      <c r="B1567" s="958">
        <v>26</v>
      </c>
      <c r="C1567" s="958" t="s">
        <v>7141</v>
      </c>
      <c r="D1567" s="957" t="s">
        <v>8357</v>
      </c>
      <c r="E1567" s="956">
        <v>16290</v>
      </c>
      <c r="F1567" s="955"/>
      <c r="L1567" s="954"/>
      <c r="M1567" s="952"/>
      <c r="N1567" s="952"/>
    </row>
    <row r="1568" spans="1:14">
      <c r="A1568" s="958" t="s">
        <v>362</v>
      </c>
      <c r="B1568" s="958">
        <v>26</v>
      </c>
      <c r="C1568" s="958" t="s">
        <v>8356</v>
      </c>
      <c r="D1568" s="957" t="s">
        <v>6475</v>
      </c>
      <c r="E1568" s="956">
        <v>25601</v>
      </c>
      <c r="F1568" s="955"/>
      <c r="L1568" s="954"/>
      <c r="M1568" s="952"/>
      <c r="N1568" s="952"/>
    </row>
    <row r="1569" spans="1:14">
      <c r="A1569" s="958" t="s">
        <v>362</v>
      </c>
      <c r="B1569" s="958">
        <v>26</v>
      </c>
      <c r="C1569" s="958" t="s">
        <v>7139</v>
      </c>
      <c r="D1569" s="957" t="s">
        <v>8355</v>
      </c>
      <c r="E1569" s="956">
        <v>40288</v>
      </c>
      <c r="F1569" s="955"/>
      <c r="L1569" s="954"/>
      <c r="M1569" s="952"/>
      <c r="N1569" s="952"/>
    </row>
    <row r="1570" spans="1:14">
      <c r="A1570" s="958" t="s">
        <v>362</v>
      </c>
      <c r="B1570" s="958">
        <v>26</v>
      </c>
      <c r="C1570" s="958" t="s">
        <v>7137</v>
      </c>
      <c r="D1570" s="957" t="s">
        <v>8354</v>
      </c>
      <c r="E1570" s="956">
        <v>56250</v>
      </c>
      <c r="F1570" s="955"/>
      <c r="L1570" s="954"/>
      <c r="M1570" s="952"/>
      <c r="N1570" s="952"/>
    </row>
    <row r="1571" spans="1:14">
      <c r="A1571" s="958" t="s">
        <v>362</v>
      </c>
      <c r="B1571" s="958">
        <v>26</v>
      </c>
      <c r="C1571" s="958" t="s">
        <v>7135</v>
      </c>
      <c r="D1571" s="957" t="s">
        <v>8353</v>
      </c>
      <c r="E1571" s="956">
        <v>25376</v>
      </c>
      <c r="F1571" s="955"/>
      <c r="L1571" s="954"/>
      <c r="M1571" s="952"/>
      <c r="N1571" s="952"/>
    </row>
    <row r="1572" spans="1:14">
      <c r="A1572" s="958" t="s">
        <v>362</v>
      </c>
      <c r="B1572" s="958">
        <v>26</v>
      </c>
      <c r="C1572" s="958" t="s">
        <v>7133</v>
      </c>
      <c r="D1572" s="957" t="s">
        <v>8352</v>
      </c>
      <c r="E1572" s="956">
        <v>16088</v>
      </c>
      <c r="F1572" s="955"/>
      <c r="L1572" s="954"/>
      <c r="M1572" s="952"/>
      <c r="N1572" s="952"/>
    </row>
    <row r="1573" spans="1:14">
      <c r="A1573" s="958" t="s">
        <v>362</v>
      </c>
      <c r="B1573" s="958">
        <v>26</v>
      </c>
      <c r="C1573" s="958" t="s">
        <v>8351</v>
      </c>
      <c r="D1573" s="957" t="s">
        <v>8350</v>
      </c>
      <c r="E1573" s="956">
        <v>21434</v>
      </c>
      <c r="F1573" s="955"/>
      <c r="L1573" s="954"/>
      <c r="M1573" s="952"/>
      <c r="N1573" s="952"/>
    </row>
    <row r="1574" spans="1:14">
      <c r="A1574" s="958" t="s">
        <v>362</v>
      </c>
      <c r="B1574" s="958">
        <v>26</v>
      </c>
      <c r="C1574" s="958" t="s">
        <v>7131</v>
      </c>
      <c r="D1574" s="957" t="s">
        <v>8349</v>
      </c>
      <c r="E1574" s="956">
        <v>11345</v>
      </c>
      <c r="F1574" s="955"/>
      <c r="L1574" s="954"/>
      <c r="M1574" s="952"/>
      <c r="N1574" s="952"/>
    </row>
    <row r="1575" spans="1:14">
      <c r="A1575" s="958" t="s">
        <v>362</v>
      </c>
      <c r="B1575" s="958">
        <v>26</v>
      </c>
      <c r="C1575" s="958" t="s">
        <v>7127</v>
      </c>
      <c r="D1575" s="957" t="s">
        <v>8348</v>
      </c>
      <c r="E1575" s="956">
        <v>15390</v>
      </c>
      <c r="F1575" s="955"/>
      <c r="L1575" s="954"/>
      <c r="M1575" s="952"/>
      <c r="N1575" s="952"/>
    </row>
    <row r="1576" spans="1:14">
      <c r="A1576" s="958" t="s">
        <v>362</v>
      </c>
      <c r="B1576" s="958">
        <v>26</v>
      </c>
      <c r="C1576" s="958" t="s">
        <v>7125</v>
      </c>
      <c r="D1576" s="957" t="s">
        <v>8347</v>
      </c>
      <c r="E1576" s="956">
        <v>62784</v>
      </c>
      <c r="F1576" s="955"/>
      <c r="L1576" s="954"/>
      <c r="M1576" s="952"/>
      <c r="N1576" s="952"/>
    </row>
    <row r="1577" spans="1:14">
      <c r="A1577" s="958" t="s">
        <v>362</v>
      </c>
      <c r="B1577" s="958">
        <v>26</v>
      </c>
      <c r="C1577" s="958" t="s">
        <v>7121</v>
      </c>
      <c r="D1577" s="957" t="s">
        <v>8346</v>
      </c>
      <c r="E1577" s="956">
        <v>32471</v>
      </c>
      <c r="F1577" s="955"/>
      <c r="L1577" s="954"/>
      <c r="M1577" s="952"/>
      <c r="N1577" s="952"/>
    </row>
    <row r="1578" spans="1:14">
      <c r="A1578" s="958" t="s">
        <v>362</v>
      </c>
      <c r="B1578" s="958">
        <v>26</v>
      </c>
      <c r="C1578" s="958" t="s">
        <v>7119</v>
      </c>
      <c r="D1578" s="957" t="s">
        <v>8345</v>
      </c>
      <c r="E1578" s="956">
        <v>392482</v>
      </c>
      <c r="F1578" s="955"/>
      <c r="L1578" s="954"/>
      <c r="M1578" s="952"/>
      <c r="N1578" s="952"/>
    </row>
    <row r="1579" spans="1:14">
      <c r="A1579" s="958" t="s">
        <v>362</v>
      </c>
      <c r="B1579" s="958">
        <v>26</v>
      </c>
      <c r="C1579" s="958" t="s">
        <v>7117</v>
      </c>
      <c r="D1579" s="957" t="s">
        <v>8344</v>
      </c>
      <c r="E1579" s="956">
        <v>23884</v>
      </c>
      <c r="F1579" s="955"/>
      <c r="L1579" s="954"/>
      <c r="M1579" s="952"/>
      <c r="N1579" s="952"/>
    </row>
    <row r="1580" spans="1:14">
      <c r="A1580" s="958" t="s">
        <v>362</v>
      </c>
      <c r="B1580" s="958">
        <v>26</v>
      </c>
      <c r="C1580" s="958" t="s">
        <v>7115</v>
      </c>
      <c r="D1580" s="957" t="s">
        <v>8343</v>
      </c>
      <c r="E1580" s="956">
        <v>14991</v>
      </c>
      <c r="F1580" s="955"/>
      <c r="L1580" s="954"/>
      <c r="M1580" s="952"/>
      <c r="N1580" s="952"/>
    </row>
    <row r="1581" spans="1:14">
      <c r="A1581" s="958" t="s">
        <v>362</v>
      </c>
      <c r="B1581" s="958">
        <v>26</v>
      </c>
      <c r="C1581" s="958" t="s">
        <v>7114</v>
      </c>
      <c r="D1581" s="957" t="s">
        <v>8342</v>
      </c>
      <c r="E1581" s="956">
        <v>69459</v>
      </c>
      <c r="F1581" s="955"/>
      <c r="L1581" s="954"/>
      <c r="M1581" s="952"/>
      <c r="N1581" s="952"/>
    </row>
    <row r="1582" spans="1:14">
      <c r="A1582" s="958" t="s">
        <v>362</v>
      </c>
      <c r="B1582" s="958">
        <v>26</v>
      </c>
      <c r="C1582" s="958" t="s">
        <v>7112</v>
      </c>
      <c r="D1582" s="957" t="s">
        <v>8341</v>
      </c>
      <c r="E1582" s="956">
        <v>63250</v>
      </c>
      <c r="F1582" s="955"/>
      <c r="L1582" s="954"/>
      <c r="M1582" s="952"/>
      <c r="N1582" s="952"/>
    </row>
    <row r="1583" spans="1:14">
      <c r="A1583" s="958" t="s">
        <v>362</v>
      </c>
      <c r="B1583" s="958">
        <v>26</v>
      </c>
      <c r="C1583" s="958" t="s">
        <v>7110</v>
      </c>
      <c r="D1583" s="957" t="s">
        <v>8340</v>
      </c>
      <c r="E1583" s="956">
        <v>7693</v>
      </c>
      <c r="F1583" s="955"/>
      <c r="L1583" s="954"/>
      <c r="M1583" s="952"/>
      <c r="N1583" s="952"/>
    </row>
    <row r="1584" spans="1:14">
      <c r="A1584" s="958" t="s">
        <v>362</v>
      </c>
      <c r="B1584" s="958">
        <v>26</v>
      </c>
      <c r="C1584" s="958" t="s">
        <v>7108</v>
      </c>
      <c r="D1584" s="957" t="s">
        <v>8339</v>
      </c>
      <c r="E1584" s="956">
        <v>26474</v>
      </c>
      <c r="F1584" s="955"/>
      <c r="L1584" s="954"/>
      <c r="M1584" s="952"/>
      <c r="N1584" s="952"/>
    </row>
    <row r="1585" spans="1:14">
      <c r="A1585" s="958" t="s">
        <v>362</v>
      </c>
      <c r="B1585" s="958">
        <v>26</v>
      </c>
      <c r="C1585" s="958" t="s">
        <v>7106</v>
      </c>
      <c r="D1585" s="957" t="s">
        <v>8338</v>
      </c>
      <c r="E1585" s="956">
        <v>11523</v>
      </c>
      <c r="F1585" s="955"/>
      <c r="L1585" s="954"/>
      <c r="M1585" s="952"/>
      <c r="N1585" s="952"/>
    </row>
    <row r="1586" spans="1:14">
      <c r="A1586" s="958" t="s">
        <v>362</v>
      </c>
      <c r="B1586" s="958">
        <v>26</v>
      </c>
      <c r="C1586" s="958" t="s">
        <v>7104</v>
      </c>
      <c r="D1586" s="957" t="s">
        <v>8337</v>
      </c>
      <c r="E1586" s="956">
        <v>22010</v>
      </c>
      <c r="F1586" s="955"/>
      <c r="L1586" s="954"/>
      <c r="M1586" s="952"/>
      <c r="N1586" s="952"/>
    </row>
    <row r="1587" spans="1:14">
      <c r="A1587" s="958" t="s">
        <v>362</v>
      </c>
      <c r="B1587" s="958">
        <v>26</v>
      </c>
      <c r="C1587" s="958" t="s">
        <v>7102</v>
      </c>
      <c r="D1587" s="957" t="s">
        <v>8336</v>
      </c>
      <c r="E1587" s="956">
        <v>28933</v>
      </c>
      <c r="F1587" s="955"/>
      <c r="L1587" s="954"/>
      <c r="M1587" s="952"/>
      <c r="N1587" s="952"/>
    </row>
    <row r="1588" spans="1:14">
      <c r="A1588" s="958" t="s">
        <v>362</v>
      </c>
      <c r="B1588" s="958">
        <v>26</v>
      </c>
      <c r="C1588" s="958" t="s">
        <v>7100</v>
      </c>
      <c r="D1588" s="957" t="s">
        <v>8335</v>
      </c>
      <c r="E1588" s="956">
        <v>56506</v>
      </c>
      <c r="F1588" s="955"/>
      <c r="L1588" s="954"/>
      <c r="M1588" s="952"/>
      <c r="N1588" s="952"/>
    </row>
    <row r="1589" spans="1:14">
      <c r="A1589" s="958" t="s">
        <v>362</v>
      </c>
      <c r="B1589" s="958">
        <v>26</v>
      </c>
      <c r="C1589" s="958" t="s">
        <v>7098</v>
      </c>
      <c r="D1589" s="957" t="s">
        <v>8334</v>
      </c>
      <c r="E1589" s="956">
        <v>331774</v>
      </c>
      <c r="F1589" s="955"/>
      <c r="L1589" s="954"/>
      <c r="M1589" s="952"/>
      <c r="N1589" s="952"/>
    </row>
    <row r="1590" spans="1:14">
      <c r="A1590" s="958" t="s">
        <v>362</v>
      </c>
      <c r="B1590" s="958">
        <v>26</v>
      </c>
      <c r="C1590" s="958" t="s">
        <v>7096</v>
      </c>
      <c r="D1590" s="957" t="s">
        <v>8333</v>
      </c>
      <c r="E1590" s="956">
        <v>22617</v>
      </c>
      <c r="F1590" s="955"/>
      <c r="L1590" s="954"/>
      <c r="M1590" s="952"/>
      <c r="N1590" s="952"/>
    </row>
    <row r="1591" spans="1:14">
      <c r="A1591" s="958" t="s">
        <v>362</v>
      </c>
      <c r="B1591" s="958">
        <v>26</v>
      </c>
      <c r="C1591" s="958" t="s">
        <v>7094</v>
      </c>
      <c r="D1591" s="957" t="s">
        <v>8332</v>
      </c>
      <c r="E1591" s="956">
        <v>67395</v>
      </c>
      <c r="F1591" s="955"/>
      <c r="L1591" s="954"/>
      <c r="M1591" s="952"/>
      <c r="N1591" s="952"/>
    </row>
    <row r="1592" spans="1:14">
      <c r="A1592" s="958" t="s">
        <v>362</v>
      </c>
      <c r="B1592" s="958">
        <v>26</v>
      </c>
      <c r="C1592" s="958" t="s">
        <v>7092</v>
      </c>
      <c r="D1592" s="957" t="s">
        <v>2968</v>
      </c>
      <c r="E1592" s="956">
        <v>36548</v>
      </c>
      <c r="F1592" s="955"/>
      <c r="L1592" s="954"/>
      <c r="M1592" s="952"/>
      <c r="N1592" s="952"/>
    </row>
    <row r="1593" spans="1:14">
      <c r="A1593" s="958" t="s">
        <v>362</v>
      </c>
      <c r="B1593" s="958">
        <v>26</v>
      </c>
      <c r="C1593" s="958" t="s">
        <v>7090</v>
      </c>
      <c r="D1593" s="957" t="s">
        <v>8331</v>
      </c>
      <c r="E1593" s="956">
        <v>349145</v>
      </c>
      <c r="F1593" s="955"/>
      <c r="L1593" s="954"/>
      <c r="M1593" s="952"/>
      <c r="N1593" s="952"/>
    </row>
    <row r="1594" spans="1:14">
      <c r="A1594" s="958" t="s">
        <v>362</v>
      </c>
      <c r="B1594" s="958">
        <v>26</v>
      </c>
      <c r="C1594" s="958" t="s">
        <v>7086</v>
      </c>
      <c r="D1594" s="957" t="s">
        <v>8330</v>
      </c>
      <c r="E1594" s="956">
        <v>11302</v>
      </c>
      <c r="F1594" s="955"/>
      <c r="L1594" s="954"/>
      <c r="M1594" s="952"/>
      <c r="N1594" s="952"/>
    </row>
    <row r="1595" spans="1:14">
      <c r="A1595" s="958" t="s">
        <v>362</v>
      </c>
      <c r="B1595" s="958">
        <v>26</v>
      </c>
      <c r="C1595" s="958" t="s">
        <v>7084</v>
      </c>
      <c r="D1595" s="957" t="s">
        <v>8329</v>
      </c>
      <c r="E1595" s="956">
        <v>27091</v>
      </c>
      <c r="F1595" s="955"/>
      <c r="L1595" s="954"/>
      <c r="M1595" s="952"/>
      <c r="N1595" s="952"/>
    </row>
    <row r="1596" spans="1:14">
      <c r="A1596" s="958" t="s">
        <v>362</v>
      </c>
      <c r="B1596" s="958">
        <v>26</v>
      </c>
      <c r="C1596" s="958" t="s">
        <v>7082</v>
      </c>
      <c r="D1596" s="957" t="s">
        <v>8328</v>
      </c>
      <c r="E1596" s="956">
        <v>14966</v>
      </c>
      <c r="F1596" s="955"/>
      <c r="L1596" s="954"/>
      <c r="M1596" s="952"/>
      <c r="N1596" s="952"/>
    </row>
    <row r="1597" spans="1:14">
      <c r="A1597" s="958" t="s">
        <v>362</v>
      </c>
      <c r="B1597" s="958">
        <v>26</v>
      </c>
      <c r="C1597" s="958" t="s">
        <v>7080</v>
      </c>
      <c r="D1597" s="957" t="s">
        <v>8327</v>
      </c>
      <c r="E1597" s="956">
        <v>26037</v>
      </c>
      <c r="F1597" s="955"/>
      <c r="L1597" s="954"/>
      <c r="M1597" s="952"/>
      <c r="N1597" s="952"/>
    </row>
    <row r="1598" spans="1:14">
      <c r="A1598" s="958" t="s">
        <v>362</v>
      </c>
      <c r="B1598" s="958">
        <v>26</v>
      </c>
      <c r="C1598" s="958" t="s">
        <v>8326</v>
      </c>
      <c r="D1598" s="957" t="s">
        <v>8325</v>
      </c>
      <c r="E1598" s="956">
        <v>6813</v>
      </c>
      <c r="F1598" s="955"/>
      <c r="L1598" s="954"/>
      <c r="M1598" s="952"/>
      <c r="N1598" s="952"/>
    </row>
    <row r="1599" spans="1:14">
      <c r="A1599" s="958" t="s">
        <v>362</v>
      </c>
      <c r="B1599" s="958">
        <v>26</v>
      </c>
      <c r="C1599" s="958" t="s">
        <v>7078</v>
      </c>
      <c r="D1599" s="957" t="s">
        <v>8324</v>
      </c>
      <c r="E1599" s="956">
        <v>1645727</v>
      </c>
      <c r="F1599" s="955"/>
      <c r="L1599" s="954"/>
      <c r="M1599" s="952"/>
      <c r="N1599" s="952"/>
    </row>
    <row r="1600" spans="1:14">
      <c r="A1600" s="958" t="s">
        <v>362</v>
      </c>
      <c r="B1600" s="958">
        <v>26</v>
      </c>
      <c r="C1600" s="958" t="s">
        <v>7076</v>
      </c>
      <c r="D1600" s="957" t="s">
        <v>8323</v>
      </c>
      <c r="E1600" s="956">
        <v>20546</v>
      </c>
      <c r="F1600" s="955"/>
      <c r="L1600" s="954"/>
      <c r="M1600" s="952"/>
      <c r="N1600" s="952"/>
    </row>
    <row r="1601" spans="1:14">
      <c r="A1601" s="958" t="s">
        <v>362</v>
      </c>
      <c r="B1601" s="958">
        <v>26</v>
      </c>
      <c r="C1601" s="958" t="s">
        <v>7074</v>
      </c>
      <c r="D1601" s="957" t="s">
        <v>8322</v>
      </c>
      <c r="E1601" s="956">
        <v>47415</v>
      </c>
      <c r="F1601" s="955"/>
      <c r="L1601" s="954"/>
      <c r="M1601" s="952"/>
      <c r="N1601" s="952"/>
    </row>
    <row r="1602" spans="1:14">
      <c r="A1602" s="958" t="s">
        <v>362</v>
      </c>
      <c r="B1602" s="958">
        <v>26</v>
      </c>
      <c r="C1602" s="958" t="s">
        <v>7072</v>
      </c>
      <c r="D1602" s="957" t="s">
        <v>8321</v>
      </c>
      <c r="E1602" s="956">
        <v>23535</v>
      </c>
      <c r="F1602" s="955"/>
      <c r="L1602" s="954"/>
      <c r="M1602" s="952"/>
      <c r="N1602" s="952"/>
    </row>
    <row r="1603" spans="1:14">
      <c r="A1603" s="958" t="s">
        <v>362</v>
      </c>
      <c r="B1603" s="958">
        <v>26</v>
      </c>
      <c r="C1603" s="958" t="s">
        <v>7070</v>
      </c>
      <c r="D1603" s="957" t="s">
        <v>8320</v>
      </c>
      <c r="E1603" s="956">
        <v>9932</v>
      </c>
      <c r="F1603" s="955"/>
      <c r="L1603" s="954"/>
      <c r="M1603" s="952"/>
      <c r="N1603" s="952"/>
    </row>
    <row r="1604" spans="1:14">
      <c r="A1604" s="958" t="s">
        <v>362</v>
      </c>
      <c r="B1604" s="958">
        <v>26</v>
      </c>
      <c r="C1604" s="958" t="s">
        <v>7067</v>
      </c>
      <c r="D1604" s="957" t="s">
        <v>8319</v>
      </c>
      <c r="E1604" s="956">
        <v>10919</v>
      </c>
      <c r="F1604" s="955"/>
      <c r="L1604" s="954"/>
      <c r="M1604" s="952"/>
      <c r="N1604" s="952"/>
    </row>
    <row r="1605" spans="1:14">
      <c r="A1605" s="958" t="s">
        <v>362</v>
      </c>
      <c r="B1605" s="958">
        <v>26</v>
      </c>
      <c r="C1605" s="958" t="s">
        <v>7065</v>
      </c>
      <c r="D1605" s="957" t="s">
        <v>8318</v>
      </c>
      <c r="E1605" s="956">
        <v>60930</v>
      </c>
      <c r="F1605" s="955"/>
      <c r="L1605" s="954"/>
      <c r="M1605" s="952"/>
      <c r="N1605" s="952"/>
    </row>
    <row r="1606" spans="1:14">
      <c r="A1606" s="958" t="s">
        <v>362</v>
      </c>
      <c r="B1606" s="958">
        <v>26</v>
      </c>
      <c r="C1606" s="958" t="s">
        <v>7063</v>
      </c>
      <c r="D1606" s="957" t="s">
        <v>8317</v>
      </c>
      <c r="E1606" s="956">
        <v>15843</v>
      </c>
      <c r="F1606" s="955"/>
      <c r="L1606" s="954"/>
      <c r="M1606" s="952"/>
      <c r="N1606" s="952"/>
    </row>
    <row r="1607" spans="1:14">
      <c r="A1607" s="958" t="s">
        <v>362</v>
      </c>
      <c r="B1607" s="958">
        <v>26</v>
      </c>
      <c r="C1607" s="958" t="s">
        <v>7061</v>
      </c>
      <c r="D1607" s="957" t="s">
        <v>8316</v>
      </c>
      <c r="E1607" s="956">
        <v>26462</v>
      </c>
      <c r="F1607" s="955"/>
      <c r="L1607" s="954"/>
      <c r="M1607" s="952"/>
      <c r="N1607" s="952"/>
    </row>
    <row r="1608" spans="1:14">
      <c r="A1608" s="958" t="s">
        <v>362</v>
      </c>
      <c r="B1608" s="958">
        <v>26</v>
      </c>
      <c r="C1608" s="958" t="s">
        <v>8315</v>
      </c>
      <c r="D1608" s="957" t="s">
        <v>8314</v>
      </c>
      <c r="E1608" s="956">
        <v>15398</v>
      </c>
      <c r="F1608" s="955"/>
      <c r="L1608" s="954"/>
      <c r="M1608" s="952"/>
      <c r="N1608" s="952"/>
    </row>
    <row r="1609" spans="1:14">
      <c r="A1609" s="958" t="s">
        <v>362</v>
      </c>
      <c r="B1609" s="958">
        <v>26</v>
      </c>
      <c r="C1609" s="958" t="s">
        <v>8313</v>
      </c>
      <c r="D1609" s="957" t="s">
        <v>8312</v>
      </c>
      <c r="E1609" s="956">
        <v>12592</v>
      </c>
      <c r="F1609" s="955"/>
      <c r="L1609" s="954"/>
      <c r="M1609" s="952"/>
      <c r="N1609" s="952"/>
    </row>
    <row r="1610" spans="1:14">
      <c r="A1610" s="958" t="s">
        <v>362</v>
      </c>
      <c r="B1610" s="958">
        <v>26</v>
      </c>
      <c r="C1610" s="958" t="s">
        <v>7059</v>
      </c>
      <c r="D1610" s="957" t="s">
        <v>8311</v>
      </c>
      <c r="E1610" s="956">
        <v>107937</v>
      </c>
      <c r="F1610" s="955"/>
      <c r="L1610" s="954"/>
      <c r="M1610" s="952"/>
      <c r="N1610" s="952"/>
    </row>
    <row r="1611" spans="1:14">
      <c r="A1611" s="958" t="s">
        <v>362</v>
      </c>
      <c r="B1611" s="958">
        <v>26</v>
      </c>
      <c r="C1611" s="958" t="s">
        <v>8310</v>
      </c>
      <c r="D1611" s="957" t="s">
        <v>8309</v>
      </c>
      <c r="E1611" s="956">
        <v>14477</v>
      </c>
      <c r="F1611" s="955"/>
      <c r="L1611" s="954"/>
      <c r="M1611" s="952"/>
      <c r="N1611" s="952"/>
    </row>
    <row r="1612" spans="1:14">
      <c r="A1612" s="958" t="s">
        <v>362</v>
      </c>
      <c r="B1612" s="958">
        <v>26</v>
      </c>
      <c r="C1612" s="958" t="s">
        <v>7057</v>
      </c>
      <c r="D1612" s="957" t="s">
        <v>8308</v>
      </c>
      <c r="E1612" s="956">
        <v>41931</v>
      </c>
      <c r="F1612" s="955"/>
      <c r="L1612" s="954"/>
      <c r="M1612" s="952"/>
      <c r="N1612" s="952"/>
    </row>
    <row r="1613" spans="1:14">
      <c r="A1613" s="958" t="s">
        <v>362</v>
      </c>
      <c r="B1613" s="958">
        <v>26</v>
      </c>
      <c r="C1613" s="958" t="s">
        <v>7053</v>
      </c>
      <c r="D1613" s="957" t="s">
        <v>8307</v>
      </c>
      <c r="E1613" s="956">
        <v>14137</v>
      </c>
      <c r="F1613" s="955"/>
      <c r="L1613" s="954"/>
      <c r="M1613" s="952"/>
      <c r="N1613" s="952"/>
    </row>
    <row r="1614" spans="1:14">
      <c r="A1614" s="958" t="s">
        <v>362</v>
      </c>
      <c r="B1614" s="958">
        <v>26</v>
      </c>
      <c r="C1614" s="958" t="s">
        <v>7051</v>
      </c>
      <c r="D1614" s="957" t="s">
        <v>1380</v>
      </c>
      <c r="E1614" s="956">
        <v>11815</v>
      </c>
      <c r="F1614" s="955"/>
      <c r="L1614" s="954"/>
      <c r="M1614" s="952"/>
      <c r="N1614" s="952"/>
    </row>
    <row r="1615" spans="1:14">
      <c r="A1615" s="958" t="s">
        <v>362</v>
      </c>
      <c r="B1615" s="958">
        <v>26</v>
      </c>
      <c r="C1615" s="958" t="s">
        <v>7049</v>
      </c>
      <c r="D1615" s="957" t="s">
        <v>8306</v>
      </c>
      <c r="E1615" s="956">
        <v>15895</v>
      </c>
      <c r="F1615" s="955"/>
      <c r="L1615" s="954"/>
      <c r="M1615" s="952"/>
      <c r="N1615" s="952"/>
    </row>
    <row r="1616" spans="1:14">
      <c r="A1616" s="958" t="s">
        <v>362</v>
      </c>
      <c r="B1616" s="958">
        <v>26</v>
      </c>
      <c r="C1616" s="958" t="s">
        <v>7047</v>
      </c>
      <c r="D1616" s="957" t="s">
        <v>8305</v>
      </c>
      <c r="E1616" s="956">
        <v>59504</v>
      </c>
      <c r="F1616" s="955"/>
      <c r="L1616" s="954"/>
      <c r="M1616" s="952"/>
      <c r="N1616" s="952"/>
    </row>
    <row r="1617" spans="1:14">
      <c r="A1617" s="958" t="s">
        <v>362</v>
      </c>
      <c r="B1617" s="958">
        <v>26</v>
      </c>
      <c r="C1617" s="958" t="s">
        <v>7045</v>
      </c>
      <c r="D1617" s="957" t="s">
        <v>8304</v>
      </c>
      <c r="E1617" s="956">
        <v>37245</v>
      </c>
      <c r="F1617" s="955"/>
      <c r="L1617" s="954"/>
      <c r="M1617" s="952"/>
      <c r="N1617" s="952"/>
    </row>
    <row r="1618" spans="1:14">
      <c r="A1618" s="958" t="s">
        <v>362</v>
      </c>
      <c r="B1618" s="958">
        <v>26</v>
      </c>
      <c r="C1618" s="958" t="s">
        <v>7043</v>
      </c>
      <c r="D1618" s="957" t="s">
        <v>3467</v>
      </c>
      <c r="E1618" s="956">
        <v>22793</v>
      </c>
      <c r="F1618" s="955"/>
      <c r="L1618" s="954"/>
      <c r="M1618" s="952"/>
      <c r="N1618" s="952"/>
    </row>
    <row r="1619" spans="1:14">
      <c r="A1619" s="958" t="s">
        <v>362</v>
      </c>
      <c r="B1619" s="958">
        <v>26</v>
      </c>
      <c r="C1619" s="958" t="s">
        <v>7041</v>
      </c>
      <c r="D1619" s="957" t="s">
        <v>8303</v>
      </c>
      <c r="E1619" s="956">
        <v>21356</v>
      </c>
      <c r="F1619" s="955"/>
      <c r="L1619" s="954"/>
      <c r="M1619" s="952"/>
      <c r="N1619" s="952"/>
    </row>
    <row r="1620" spans="1:14">
      <c r="A1620" s="958" t="s">
        <v>362</v>
      </c>
      <c r="B1620" s="958">
        <v>26</v>
      </c>
      <c r="C1620" s="958" t="s">
        <v>7039</v>
      </c>
      <c r="D1620" s="957" t="s">
        <v>8302</v>
      </c>
      <c r="E1620" s="956">
        <v>21298</v>
      </c>
      <c r="F1620" s="955"/>
      <c r="L1620" s="954"/>
      <c r="M1620" s="952"/>
      <c r="N1620" s="952"/>
    </row>
    <row r="1621" spans="1:14">
      <c r="A1621" s="958" t="s">
        <v>362</v>
      </c>
      <c r="B1621" s="958">
        <v>26</v>
      </c>
      <c r="C1621" s="958" t="s">
        <v>7037</v>
      </c>
      <c r="D1621" s="957" t="s">
        <v>8301</v>
      </c>
      <c r="E1621" s="956">
        <v>33959</v>
      </c>
      <c r="F1621" s="955"/>
      <c r="L1621" s="954"/>
      <c r="M1621" s="952"/>
      <c r="N1621" s="952"/>
    </row>
    <row r="1622" spans="1:14">
      <c r="A1622" s="958" t="s">
        <v>362</v>
      </c>
      <c r="B1622" s="958">
        <v>26</v>
      </c>
      <c r="C1622" s="958" t="s">
        <v>7035</v>
      </c>
      <c r="D1622" s="957" t="s">
        <v>8300</v>
      </c>
      <c r="E1622" s="956">
        <v>33951</v>
      </c>
      <c r="F1622" s="955"/>
      <c r="L1622" s="954"/>
      <c r="M1622" s="952"/>
      <c r="N1622" s="952"/>
    </row>
    <row r="1623" spans="1:14">
      <c r="A1623" s="958" t="s">
        <v>362</v>
      </c>
      <c r="B1623" s="958">
        <v>26</v>
      </c>
      <c r="C1623" s="958" t="s">
        <v>7033</v>
      </c>
      <c r="D1623" s="957" t="s">
        <v>8299</v>
      </c>
      <c r="E1623" s="956">
        <v>113230</v>
      </c>
      <c r="F1623" s="955"/>
      <c r="L1623" s="954"/>
      <c r="M1623" s="952"/>
      <c r="N1623" s="952"/>
    </row>
    <row r="1624" spans="1:14">
      <c r="A1624" s="958" t="s">
        <v>362</v>
      </c>
      <c r="B1624" s="958">
        <v>26</v>
      </c>
      <c r="C1624" s="958" t="s">
        <v>7031</v>
      </c>
      <c r="D1624" s="957" t="s">
        <v>8298</v>
      </c>
      <c r="E1624" s="956">
        <v>18018</v>
      </c>
      <c r="F1624" s="955"/>
      <c r="L1624" s="954"/>
      <c r="M1624" s="952"/>
      <c r="N1624" s="952"/>
    </row>
    <row r="1625" spans="1:14">
      <c r="A1625" s="958" t="s">
        <v>362</v>
      </c>
      <c r="B1625" s="958">
        <v>26</v>
      </c>
      <c r="C1625" s="958" t="s">
        <v>7029</v>
      </c>
      <c r="D1625" s="957" t="s">
        <v>8297</v>
      </c>
      <c r="E1625" s="956">
        <v>86350</v>
      </c>
      <c r="F1625" s="955"/>
      <c r="L1625" s="954"/>
      <c r="M1625" s="952"/>
      <c r="N1625" s="952"/>
    </row>
    <row r="1626" spans="1:14">
      <c r="A1626" s="958" t="s">
        <v>362</v>
      </c>
      <c r="B1626" s="958">
        <v>26</v>
      </c>
      <c r="C1626" s="958" t="s">
        <v>7027</v>
      </c>
      <c r="D1626" s="957" t="s">
        <v>8296</v>
      </c>
      <c r="E1626" s="956">
        <v>19165</v>
      </c>
      <c r="F1626" s="955"/>
      <c r="L1626" s="954"/>
      <c r="M1626" s="952"/>
      <c r="N1626" s="952"/>
    </row>
    <row r="1627" spans="1:14">
      <c r="A1627" s="958" t="s">
        <v>362</v>
      </c>
      <c r="B1627" s="958">
        <v>26</v>
      </c>
      <c r="C1627" s="958" t="s">
        <v>7025</v>
      </c>
      <c r="D1627" s="957" t="s">
        <v>8295</v>
      </c>
      <c r="E1627" s="956">
        <v>35907</v>
      </c>
      <c r="F1627" s="955"/>
      <c r="L1627" s="954"/>
      <c r="M1627" s="952"/>
      <c r="N1627" s="952"/>
    </row>
    <row r="1628" spans="1:14">
      <c r="A1628" s="958" t="s">
        <v>362</v>
      </c>
      <c r="B1628" s="958">
        <v>26</v>
      </c>
      <c r="C1628" s="958" t="s">
        <v>7023</v>
      </c>
      <c r="D1628" s="957" t="s">
        <v>8294</v>
      </c>
      <c r="E1628" s="956">
        <v>45865</v>
      </c>
      <c r="F1628" s="955"/>
      <c r="L1628" s="954"/>
      <c r="M1628" s="952"/>
      <c r="N1628" s="952"/>
    </row>
    <row r="1629" spans="1:14">
      <c r="A1629" s="958" t="s">
        <v>362</v>
      </c>
      <c r="B1629" s="958">
        <v>26</v>
      </c>
      <c r="C1629" s="958" t="s">
        <v>7021</v>
      </c>
      <c r="D1629" s="957" t="s">
        <v>8293</v>
      </c>
      <c r="E1629" s="956">
        <v>11270</v>
      </c>
      <c r="F1629" s="955"/>
      <c r="L1629" s="954"/>
      <c r="M1629" s="952"/>
      <c r="N1629" s="952"/>
    </row>
    <row r="1630" spans="1:14">
      <c r="A1630" s="958" t="s">
        <v>362</v>
      </c>
      <c r="B1630" s="958">
        <v>26</v>
      </c>
      <c r="C1630" s="958" t="s">
        <v>7019</v>
      </c>
      <c r="D1630" s="957" t="s">
        <v>8292</v>
      </c>
      <c r="E1630" s="956">
        <v>6007</v>
      </c>
      <c r="F1630" s="955"/>
      <c r="L1630" s="954"/>
      <c r="M1630" s="952"/>
      <c r="N1630" s="952"/>
    </row>
    <row r="1631" spans="1:14">
      <c r="A1631" s="958" t="s">
        <v>362</v>
      </c>
      <c r="B1631" s="958">
        <v>26</v>
      </c>
      <c r="C1631" s="958" t="s">
        <v>7017</v>
      </c>
      <c r="D1631" s="957" t="s">
        <v>8291</v>
      </c>
      <c r="E1631" s="956">
        <v>65089</v>
      </c>
      <c r="F1631" s="955"/>
      <c r="L1631" s="954"/>
      <c r="M1631" s="952"/>
      <c r="N1631" s="952"/>
    </row>
    <row r="1632" spans="1:14">
      <c r="A1632" s="958" t="s">
        <v>362</v>
      </c>
      <c r="B1632" s="958">
        <v>26</v>
      </c>
      <c r="C1632" s="958" t="s">
        <v>7013</v>
      </c>
      <c r="D1632" s="957" t="s">
        <v>8290</v>
      </c>
      <c r="E1632" s="956">
        <v>28534</v>
      </c>
      <c r="F1632" s="955"/>
      <c r="L1632" s="954"/>
      <c r="M1632" s="952"/>
      <c r="N1632" s="952"/>
    </row>
    <row r="1633" spans="1:14">
      <c r="A1633" s="958" t="s">
        <v>362</v>
      </c>
      <c r="B1633" s="958">
        <v>26</v>
      </c>
      <c r="C1633" s="958" t="s">
        <v>7011</v>
      </c>
      <c r="D1633" s="957" t="s">
        <v>8289</v>
      </c>
      <c r="E1633" s="956">
        <v>12874</v>
      </c>
      <c r="F1633" s="955"/>
      <c r="L1633" s="954"/>
      <c r="M1633" s="952"/>
      <c r="N1633" s="952"/>
    </row>
    <row r="1634" spans="1:14">
      <c r="A1634" s="958" t="s">
        <v>362</v>
      </c>
      <c r="B1634" s="958">
        <v>26</v>
      </c>
      <c r="C1634" s="958" t="s">
        <v>7009</v>
      </c>
      <c r="D1634" s="957" t="s">
        <v>8288</v>
      </c>
      <c r="E1634" s="956">
        <v>25765</v>
      </c>
      <c r="F1634" s="955"/>
      <c r="L1634" s="954"/>
      <c r="M1634" s="952"/>
      <c r="N1634" s="952"/>
    </row>
    <row r="1635" spans="1:14">
      <c r="A1635" s="958" t="s">
        <v>362</v>
      </c>
      <c r="B1635" s="958">
        <v>26</v>
      </c>
      <c r="C1635" s="958" t="s">
        <v>8287</v>
      </c>
      <c r="D1635" s="957" t="s">
        <v>8286</v>
      </c>
      <c r="E1635" s="956">
        <v>23388</v>
      </c>
      <c r="F1635" s="955"/>
      <c r="L1635" s="954"/>
      <c r="M1635" s="952"/>
      <c r="N1635" s="952"/>
    </row>
    <row r="1636" spans="1:14">
      <c r="A1636" s="958" t="s">
        <v>362</v>
      </c>
      <c r="B1636" s="958">
        <v>26</v>
      </c>
      <c r="C1636" s="958" t="s">
        <v>7005</v>
      </c>
      <c r="D1636" s="957" t="s">
        <v>8285</v>
      </c>
      <c r="E1636" s="956">
        <v>28775</v>
      </c>
      <c r="F1636" s="955"/>
      <c r="L1636" s="954"/>
      <c r="M1636" s="952"/>
      <c r="N1636" s="952"/>
    </row>
    <row r="1637" spans="1:14">
      <c r="A1637" s="958" t="s">
        <v>362</v>
      </c>
      <c r="B1637" s="958">
        <v>26</v>
      </c>
      <c r="C1637" s="958" t="s">
        <v>7003</v>
      </c>
      <c r="D1637" s="957" t="s">
        <v>8284</v>
      </c>
      <c r="E1637" s="956">
        <v>7169</v>
      </c>
      <c r="F1637" s="955"/>
      <c r="L1637" s="954"/>
      <c r="M1637" s="952"/>
      <c r="N1637" s="952"/>
    </row>
    <row r="1638" spans="1:14">
      <c r="A1638" s="958" t="s">
        <v>362</v>
      </c>
      <c r="B1638" s="958">
        <v>26</v>
      </c>
      <c r="C1638" s="958" t="s">
        <v>7001</v>
      </c>
      <c r="D1638" s="957" t="s">
        <v>7315</v>
      </c>
      <c r="E1638" s="956">
        <v>10096</v>
      </c>
      <c r="F1638" s="955"/>
      <c r="L1638" s="954"/>
      <c r="M1638" s="952"/>
      <c r="N1638" s="952"/>
    </row>
    <row r="1639" spans="1:14">
      <c r="A1639" s="958" t="s">
        <v>362</v>
      </c>
      <c r="B1639" s="958">
        <v>26</v>
      </c>
      <c r="C1639" s="958" t="s">
        <v>6999</v>
      </c>
      <c r="D1639" s="957" t="s">
        <v>8283</v>
      </c>
      <c r="E1639" s="956">
        <v>53022</v>
      </c>
      <c r="F1639" s="955"/>
      <c r="L1639" s="954"/>
      <c r="M1639" s="952"/>
      <c r="N1639" s="952"/>
    </row>
    <row r="1640" spans="1:14">
      <c r="A1640" s="958" t="s">
        <v>362</v>
      </c>
      <c r="B1640" s="958">
        <v>26</v>
      </c>
      <c r="C1640" s="958" t="s">
        <v>6995</v>
      </c>
      <c r="D1640" s="957" t="s">
        <v>8282</v>
      </c>
      <c r="E1640" s="956">
        <v>45219</v>
      </c>
      <c r="F1640" s="955"/>
      <c r="L1640" s="954"/>
      <c r="M1640" s="952"/>
      <c r="N1640" s="952"/>
    </row>
    <row r="1641" spans="1:14">
      <c r="A1641" s="958" t="s">
        <v>362</v>
      </c>
      <c r="B1641" s="958">
        <v>26</v>
      </c>
      <c r="C1641" s="958" t="s">
        <v>6989</v>
      </c>
      <c r="D1641" s="957" t="s">
        <v>8281</v>
      </c>
      <c r="E1641" s="956">
        <v>13769</v>
      </c>
      <c r="F1641" s="955"/>
      <c r="L1641" s="954"/>
      <c r="M1641" s="952"/>
      <c r="N1641" s="952"/>
    </row>
    <row r="1642" spans="1:14">
      <c r="A1642" s="958" t="s">
        <v>362</v>
      </c>
      <c r="B1642" s="958">
        <v>26</v>
      </c>
      <c r="C1642" s="958" t="s">
        <v>6987</v>
      </c>
      <c r="D1642" s="957" t="s">
        <v>869</v>
      </c>
      <c r="E1642" s="956">
        <v>30521</v>
      </c>
      <c r="F1642" s="955"/>
      <c r="L1642" s="954"/>
      <c r="M1642" s="952"/>
      <c r="N1642" s="952"/>
    </row>
    <row r="1643" spans="1:14">
      <c r="A1643" s="958" t="s">
        <v>362</v>
      </c>
      <c r="B1643" s="958">
        <v>26</v>
      </c>
      <c r="C1643" s="958" t="s">
        <v>6985</v>
      </c>
      <c r="D1643" s="957" t="s">
        <v>1843</v>
      </c>
      <c r="E1643" s="956">
        <v>15254</v>
      </c>
      <c r="F1643" s="955"/>
      <c r="L1643" s="954"/>
      <c r="M1643" s="952"/>
      <c r="N1643" s="952"/>
    </row>
    <row r="1644" spans="1:14">
      <c r="A1644" s="958" t="s">
        <v>362</v>
      </c>
      <c r="B1644" s="958">
        <v>26</v>
      </c>
      <c r="C1644" s="958" t="s">
        <v>6983</v>
      </c>
      <c r="D1644" s="957" t="s">
        <v>8280</v>
      </c>
      <c r="E1644" s="956">
        <v>27304</v>
      </c>
      <c r="F1644" s="955"/>
      <c r="L1644" s="954"/>
      <c r="M1644" s="952"/>
      <c r="N1644" s="952"/>
    </row>
    <row r="1645" spans="1:14">
      <c r="A1645" s="958" t="s">
        <v>362</v>
      </c>
      <c r="B1645" s="958">
        <v>26</v>
      </c>
      <c r="C1645" s="958" t="s">
        <v>6981</v>
      </c>
      <c r="D1645" s="957" t="s">
        <v>8279</v>
      </c>
      <c r="E1645" s="956">
        <v>8202</v>
      </c>
      <c r="F1645" s="955"/>
      <c r="L1645" s="954"/>
      <c r="M1645" s="952"/>
      <c r="N1645" s="952"/>
    </row>
    <row r="1646" spans="1:14">
      <c r="A1646" s="958" t="s">
        <v>362</v>
      </c>
      <c r="B1646" s="958">
        <v>26</v>
      </c>
      <c r="C1646" s="958" t="s">
        <v>6979</v>
      </c>
      <c r="D1646" s="957" t="s">
        <v>8278</v>
      </c>
      <c r="E1646" s="956">
        <v>18482</v>
      </c>
      <c r="F1646" s="955"/>
      <c r="L1646" s="954"/>
      <c r="M1646" s="952"/>
      <c r="N1646" s="952"/>
    </row>
    <row r="1647" spans="1:14">
      <c r="A1647" s="958" t="s">
        <v>362</v>
      </c>
      <c r="B1647" s="958">
        <v>26</v>
      </c>
      <c r="C1647" s="958" t="s">
        <v>6977</v>
      </c>
      <c r="D1647" s="957" t="s">
        <v>8277</v>
      </c>
      <c r="E1647" s="956">
        <v>9534</v>
      </c>
      <c r="F1647" s="955"/>
      <c r="L1647" s="954"/>
      <c r="M1647" s="952"/>
      <c r="N1647" s="952"/>
    </row>
    <row r="1648" spans="1:14">
      <c r="A1648" s="958" t="s">
        <v>362</v>
      </c>
      <c r="B1648" s="958">
        <v>26</v>
      </c>
      <c r="C1648" s="958" t="s">
        <v>8276</v>
      </c>
      <c r="D1648" s="957" t="s">
        <v>8275</v>
      </c>
      <c r="E1648" s="956">
        <v>7618</v>
      </c>
      <c r="F1648" s="955"/>
      <c r="L1648" s="954"/>
      <c r="M1648" s="952"/>
      <c r="N1648" s="952"/>
    </row>
    <row r="1649" spans="1:14">
      <c r="A1649" s="958" t="s">
        <v>362</v>
      </c>
      <c r="B1649" s="958">
        <v>26</v>
      </c>
      <c r="C1649" s="958" t="s">
        <v>6973</v>
      </c>
      <c r="D1649" s="957" t="s">
        <v>8274</v>
      </c>
      <c r="E1649" s="956">
        <v>20731</v>
      </c>
      <c r="F1649" s="955"/>
      <c r="L1649" s="954"/>
      <c r="M1649" s="952"/>
      <c r="N1649" s="952"/>
    </row>
    <row r="1650" spans="1:14">
      <c r="A1650" s="958" t="s">
        <v>362</v>
      </c>
      <c r="B1650" s="958">
        <v>26</v>
      </c>
      <c r="C1650" s="958" t="s">
        <v>6971</v>
      </c>
      <c r="D1650" s="957" t="s">
        <v>8273</v>
      </c>
      <c r="E1650" s="956">
        <v>32643</v>
      </c>
      <c r="F1650" s="955"/>
      <c r="L1650" s="954"/>
      <c r="M1650" s="952"/>
      <c r="N1650" s="952"/>
    </row>
    <row r="1651" spans="1:14">
      <c r="A1651" s="958" t="s">
        <v>362</v>
      </c>
      <c r="B1651" s="958">
        <v>26</v>
      </c>
      <c r="C1651" s="958" t="s">
        <v>6969</v>
      </c>
      <c r="D1651" s="957" t="s">
        <v>8272</v>
      </c>
      <c r="E1651" s="956">
        <v>138757</v>
      </c>
      <c r="F1651" s="955"/>
      <c r="L1651" s="954"/>
      <c r="M1651" s="952"/>
      <c r="N1651" s="952"/>
    </row>
    <row r="1652" spans="1:14">
      <c r="A1652" s="958" t="s">
        <v>362</v>
      </c>
      <c r="B1652" s="958">
        <v>26</v>
      </c>
      <c r="C1652" s="958" t="s">
        <v>6967</v>
      </c>
      <c r="D1652" s="957" t="s">
        <v>8271</v>
      </c>
      <c r="E1652" s="956">
        <v>14725</v>
      </c>
      <c r="F1652" s="955"/>
      <c r="L1652" s="954"/>
      <c r="M1652" s="952"/>
      <c r="N1652" s="952"/>
    </row>
    <row r="1653" spans="1:14">
      <c r="A1653" s="958" t="s">
        <v>379</v>
      </c>
      <c r="B1653" s="958">
        <v>27</v>
      </c>
      <c r="C1653" s="958" t="s">
        <v>1617</v>
      </c>
      <c r="D1653" s="957" t="s">
        <v>8270</v>
      </c>
      <c r="E1653" s="956">
        <v>20196</v>
      </c>
      <c r="F1653" s="955"/>
      <c r="L1653" s="954"/>
      <c r="M1653" s="952"/>
      <c r="N1653" s="952"/>
    </row>
    <row r="1654" spans="1:14">
      <c r="A1654" s="958" t="s">
        <v>379</v>
      </c>
      <c r="B1654" s="958">
        <v>27</v>
      </c>
      <c r="C1654" s="958" t="s">
        <v>1615</v>
      </c>
      <c r="D1654" s="957" t="s">
        <v>8269</v>
      </c>
      <c r="E1654" s="956">
        <v>17545</v>
      </c>
      <c r="F1654" s="955"/>
      <c r="L1654" s="954"/>
      <c r="M1654" s="952"/>
      <c r="N1654" s="952"/>
    </row>
    <row r="1655" spans="1:14">
      <c r="A1655" s="958" t="s">
        <v>379</v>
      </c>
      <c r="B1655" s="958">
        <v>27</v>
      </c>
      <c r="C1655" s="958" t="s">
        <v>1611</v>
      </c>
      <c r="D1655" s="957" t="s">
        <v>8268</v>
      </c>
      <c r="E1655" s="956">
        <v>231747</v>
      </c>
      <c r="F1655" s="955"/>
      <c r="L1655" s="954"/>
      <c r="M1655" s="952"/>
      <c r="N1655" s="952"/>
    </row>
    <row r="1656" spans="1:14">
      <c r="A1656" s="958" t="s">
        <v>379</v>
      </c>
      <c r="B1656" s="958">
        <v>27</v>
      </c>
      <c r="C1656" s="958" t="s">
        <v>1607</v>
      </c>
      <c r="D1656" s="957" t="s">
        <v>4081</v>
      </c>
      <c r="E1656" s="956">
        <v>47185</v>
      </c>
      <c r="F1656" s="955"/>
      <c r="L1656" s="954"/>
      <c r="M1656" s="952"/>
      <c r="N1656" s="952"/>
    </row>
    <row r="1657" spans="1:14">
      <c r="A1657" s="958" t="s">
        <v>379</v>
      </c>
      <c r="B1657" s="958">
        <v>27</v>
      </c>
      <c r="C1657" s="958" t="s">
        <v>1605</v>
      </c>
      <c r="D1657" s="957" t="s">
        <v>8267</v>
      </c>
      <c r="E1657" s="956">
        <v>15932</v>
      </c>
      <c r="F1657" s="955"/>
      <c r="L1657" s="954"/>
      <c r="M1657" s="952"/>
      <c r="N1657" s="952"/>
    </row>
    <row r="1658" spans="1:14">
      <c r="A1658" s="958" t="s">
        <v>379</v>
      </c>
      <c r="B1658" s="958">
        <v>27</v>
      </c>
      <c r="C1658" s="958" t="s">
        <v>1603</v>
      </c>
      <c r="D1658" s="957" t="s">
        <v>8266</v>
      </c>
      <c r="E1658" s="956">
        <v>8322</v>
      </c>
      <c r="F1658" s="955"/>
      <c r="L1658" s="954"/>
      <c r="M1658" s="952"/>
      <c r="N1658" s="952"/>
    </row>
    <row r="1659" spans="1:14">
      <c r="A1659" s="958" t="s">
        <v>379</v>
      </c>
      <c r="B1659" s="958">
        <v>27</v>
      </c>
      <c r="C1659" s="958" t="s">
        <v>5630</v>
      </c>
      <c r="D1659" s="957" t="s">
        <v>8265</v>
      </c>
      <c r="E1659" s="956">
        <v>18232</v>
      </c>
      <c r="F1659" s="955"/>
      <c r="L1659" s="954"/>
      <c r="M1659" s="952"/>
      <c r="N1659" s="952"/>
    </row>
    <row r="1660" spans="1:14">
      <c r="A1660" s="958" t="s">
        <v>379</v>
      </c>
      <c r="B1660" s="958">
        <v>27</v>
      </c>
      <c r="C1660" s="958" t="s">
        <v>1601</v>
      </c>
      <c r="D1660" s="957" t="s">
        <v>8264</v>
      </c>
      <c r="E1660" s="956">
        <v>4344</v>
      </c>
      <c r="F1660" s="955"/>
      <c r="L1660" s="954"/>
      <c r="M1660" s="952"/>
      <c r="N1660" s="952"/>
    </row>
    <row r="1661" spans="1:14">
      <c r="A1661" s="958" t="s">
        <v>379</v>
      </c>
      <c r="B1661" s="958">
        <v>27</v>
      </c>
      <c r="C1661" s="958" t="s">
        <v>5627</v>
      </c>
      <c r="D1661" s="957" t="s">
        <v>8263</v>
      </c>
      <c r="E1661" s="956">
        <v>6704</v>
      </c>
      <c r="F1661" s="955"/>
      <c r="L1661" s="954"/>
      <c r="M1661" s="952"/>
      <c r="N1661" s="952"/>
    </row>
    <row r="1662" spans="1:14">
      <c r="A1662" s="958" t="s">
        <v>379</v>
      </c>
      <c r="B1662" s="958">
        <v>27</v>
      </c>
      <c r="C1662" s="958" t="s">
        <v>1599</v>
      </c>
      <c r="D1662" s="957" t="s">
        <v>8262</v>
      </c>
      <c r="E1662" s="956">
        <v>27281</v>
      </c>
      <c r="F1662" s="955"/>
      <c r="L1662" s="954"/>
      <c r="M1662" s="952"/>
      <c r="N1662" s="952"/>
    </row>
    <row r="1663" spans="1:14">
      <c r="A1663" s="958" t="s">
        <v>379</v>
      </c>
      <c r="B1663" s="958">
        <v>27</v>
      </c>
      <c r="C1663" s="958" t="s">
        <v>5625</v>
      </c>
      <c r="D1663" s="957" t="s">
        <v>8261</v>
      </c>
      <c r="E1663" s="956">
        <v>10494</v>
      </c>
      <c r="F1663" s="955"/>
      <c r="L1663" s="954"/>
      <c r="M1663" s="952"/>
      <c r="N1663" s="952"/>
    </row>
    <row r="1664" spans="1:14">
      <c r="A1664" s="958" t="s">
        <v>379</v>
      </c>
      <c r="B1664" s="958">
        <v>27</v>
      </c>
      <c r="C1664" s="958" t="s">
        <v>1597</v>
      </c>
      <c r="D1664" s="957" t="s">
        <v>8260</v>
      </c>
      <c r="E1664" s="956">
        <v>10858</v>
      </c>
      <c r="F1664" s="955"/>
      <c r="L1664" s="954"/>
      <c r="M1664" s="952"/>
      <c r="N1664" s="952"/>
    </row>
    <row r="1665" spans="1:14">
      <c r="A1665" s="958" t="s">
        <v>379</v>
      </c>
      <c r="B1665" s="958">
        <v>27</v>
      </c>
      <c r="C1665" s="958" t="s">
        <v>1593</v>
      </c>
      <c r="D1665" s="957" t="s">
        <v>8259</v>
      </c>
      <c r="E1665" s="956">
        <v>21264</v>
      </c>
      <c r="F1665" s="955"/>
      <c r="L1665" s="954"/>
      <c r="M1665" s="952"/>
      <c r="N1665" s="952"/>
    </row>
    <row r="1666" spans="1:14">
      <c r="A1666" s="958" t="s">
        <v>379</v>
      </c>
      <c r="B1666" s="958">
        <v>27</v>
      </c>
      <c r="C1666" s="958" t="s">
        <v>8258</v>
      </c>
      <c r="D1666" s="957" t="s">
        <v>7091</v>
      </c>
      <c r="E1666" s="956">
        <v>6936</v>
      </c>
      <c r="F1666" s="955"/>
      <c r="L1666" s="954"/>
      <c r="M1666" s="952"/>
      <c r="N1666" s="952"/>
    </row>
    <row r="1667" spans="1:14">
      <c r="A1667" s="958" t="s">
        <v>379</v>
      </c>
      <c r="B1667" s="958">
        <v>27</v>
      </c>
      <c r="C1667" s="958" t="s">
        <v>1591</v>
      </c>
      <c r="D1667" s="957" t="s">
        <v>3247</v>
      </c>
      <c r="E1667" s="956">
        <v>57063</v>
      </c>
      <c r="F1667" s="955"/>
      <c r="L1667" s="954"/>
      <c r="M1667" s="952"/>
      <c r="N1667" s="952"/>
    </row>
    <row r="1668" spans="1:14">
      <c r="A1668" s="958" t="s">
        <v>379</v>
      </c>
      <c r="B1668" s="958">
        <v>27</v>
      </c>
      <c r="C1668" s="958" t="s">
        <v>5618</v>
      </c>
      <c r="D1668" s="957" t="s">
        <v>1735</v>
      </c>
      <c r="E1668" s="956">
        <v>9558</v>
      </c>
      <c r="F1668" s="955"/>
      <c r="L1668" s="954"/>
      <c r="M1668" s="952"/>
      <c r="N1668" s="952"/>
    </row>
    <row r="1669" spans="1:14">
      <c r="A1669" s="958" t="s">
        <v>379</v>
      </c>
      <c r="B1669" s="958">
        <v>27</v>
      </c>
      <c r="C1669" s="958" t="s">
        <v>1589</v>
      </c>
      <c r="D1669" s="957" t="s">
        <v>8257</v>
      </c>
      <c r="E1669" s="956">
        <v>17722</v>
      </c>
      <c r="F1669" s="955"/>
      <c r="L1669" s="954"/>
      <c r="M1669" s="952"/>
      <c r="N1669" s="952"/>
    </row>
    <row r="1670" spans="1:14">
      <c r="A1670" s="958" t="s">
        <v>379</v>
      </c>
      <c r="B1670" s="958">
        <v>27</v>
      </c>
      <c r="C1670" s="958" t="s">
        <v>1587</v>
      </c>
      <c r="D1670" s="957" t="s">
        <v>8149</v>
      </c>
      <c r="E1670" s="956">
        <v>17053</v>
      </c>
      <c r="F1670" s="955"/>
      <c r="L1670" s="954"/>
      <c r="M1670" s="952"/>
      <c r="N1670" s="952"/>
    </row>
    <row r="1671" spans="1:14">
      <c r="A1671" s="958" t="s">
        <v>379</v>
      </c>
      <c r="B1671" s="958">
        <v>27</v>
      </c>
      <c r="C1671" s="958" t="s">
        <v>1585</v>
      </c>
      <c r="D1671" s="957" t="s">
        <v>8256</v>
      </c>
      <c r="E1671" s="956">
        <v>9081</v>
      </c>
      <c r="F1671" s="955"/>
      <c r="L1671" s="954"/>
      <c r="M1671" s="952"/>
      <c r="N1671" s="952"/>
    </row>
    <row r="1672" spans="1:14">
      <c r="A1672" s="958" t="s">
        <v>379</v>
      </c>
      <c r="B1672" s="958">
        <v>27</v>
      </c>
      <c r="C1672" s="958" t="s">
        <v>1581</v>
      </c>
      <c r="D1672" s="957" t="s">
        <v>8255</v>
      </c>
      <c r="E1672" s="956">
        <v>7311</v>
      </c>
      <c r="F1672" s="955"/>
      <c r="L1672" s="954"/>
      <c r="M1672" s="952"/>
      <c r="N1672" s="952"/>
    </row>
    <row r="1673" spans="1:14">
      <c r="A1673" s="958" t="s">
        <v>379</v>
      </c>
      <c r="B1673" s="958">
        <v>27</v>
      </c>
      <c r="C1673" s="958" t="s">
        <v>5612</v>
      </c>
      <c r="D1673" s="957" t="s">
        <v>8254</v>
      </c>
      <c r="E1673" s="956">
        <v>10693</v>
      </c>
      <c r="F1673" s="955"/>
      <c r="L1673" s="954"/>
      <c r="M1673" s="952"/>
      <c r="N1673" s="952"/>
    </row>
    <row r="1674" spans="1:14">
      <c r="A1674" s="958" t="s">
        <v>379</v>
      </c>
      <c r="B1674" s="958">
        <v>27</v>
      </c>
      <c r="C1674" s="958" t="s">
        <v>5610</v>
      </c>
      <c r="D1674" s="957" t="s">
        <v>8253</v>
      </c>
      <c r="E1674" s="956">
        <v>21698</v>
      </c>
      <c r="F1674" s="955"/>
      <c r="L1674" s="954"/>
      <c r="M1674" s="952"/>
      <c r="N1674" s="952"/>
    </row>
    <row r="1675" spans="1:14">
      <c r="A1675" s="958" t="s">
        <v>379</v>
      </c>
      <c r="B1675" s="958">
        <v>27</v>
      </c>
      <c r="C1675" s="958" t="s">
        <v>5608</v>
      </c>
      <c r="D1675" s="957" t="s">
        <v>8252</v>
      </c>
      <c r="E1675" s="956">
        <v>5845</v>
      </c>
      <c r="F1675" s="955"/>
      <c r="L1675" s="954"/>
      <c r="M1675" s="952"/>
      <c r="N1675" s="952"/>
    </row>
    <row r="1676" spans="1:14">
      <c r="A1676" s="958" t="s">
        <v>379</v>
      </c>
      <c r="B1676" s="958">
        <v>27</v>
      </c>
      <c r="C1676" s="958" t="s">
        <v>5604</v>
      </c>
      <c r="D1676" s="957" t="s">
        <v>8251</v>
      </c>
      <c r="E1676" s="956">
        <v>56933</v>
      </c>
      <c r="F1676" s="955"/>
      <c r="L1676" s="954"/>
      <c r="M1676" s="952"/>
      <c r="N1676" s="952"/>
    </row>
    <row r="1677" spans="1:14">
      <c r="A1677" s="958" t="s">
        <v>379</v>
      </c>
      <c r="B1677" s="958">
        <v>27</v>
      </c>
      <c r="C1677" s="958" t="s">
        <v>8250</v>
      </c>
      <c r="D1677" s="957" t="s">
        <v>8249</v>
      </c>
      <c r="E1677" s="956">
        <v>24219</v>
      </c>
      <c r="F1677" s="955"/>
      <c r="L1677" s="954"/>
      <c r="M1677" s="952"/>
      <c r="N1677" s="952"/>
    </row>
    <row r="1678" spans="1:14">
      <c r="A1678" s="958" t="s">
        <v>379</v>
      </c>
      <c r="B1678" s="958">
        <v>27</v>
      </c>
      <c r="C1678" s="958" t="s">
        <v>5602</v>
      </c>
      <c r="D1678" s="957" t="s">
        <v>8248</v>
      </c>
      <c r="E1678" s="956">
        <v>52016</v>
      </c>
      <c r="F1678" s="955"/>
      <c r="L1678" s="954"/>
      <c r="M1678" s="952"/>
      <c r="N1678" s="952"/>
    </row>
    <row r="1679" spans="1:14">
      <c r="A1679" s="958" t="s">
        <v>379</v>
      </c>
      <c r="B1679" s="958">
        <v>27</v>
      </c>
      <c r="C1679" s="958" t="s">
        <v>1579</v>
      </c>
      <c r="D1679" s="957" t="s">
        <v>8247</v>
      </c>
      <c r="E1679" s="956">
        <v>11075</v>
      </c>
      <c r="F1679" s="955"/>
      <c r="L1679" s="954"/>
      <c r="M1679" s="952"/>
      <c r="N1679" s="952"/>
    </row>
    <row r="1680" spans="1:14">
      <c r="A1680" s="958" t="s">
        <v>379</v>
      </c>
      <c r="B1680" s="958">
        <v>27</v>
      </c>
      <c r="C1680" s="958" t="s">
        <v>5597</v>
      </c>
      <c r="D1680" s="957" t="s">
        <v>8246</v>
      </c>
      <c r="E1680" s="956">
        <v>18205</v>
      </c>
      <c r="F1680" s="955"/>
      <c r="L1680" s="954"/>
      <c r="M1680" s="952"/>
      <c r="N1680" s="952"/>
    </row>
    <row r="1681" spans="1:14">
      <c r="A1681" s="958" t="s">
        <v>379</v>
      </c>
      <c r="B1681" s="958">
        <v>27</v>
      </c>
      <c r="C1681" s="958" t="s">
        <v>1577</v>
      </c>
      <c r="D1681" s="957" t="s">
        <v>8245</v>
      </c>
      <c r="E1681" s="956">
        <v>22166</v>
      </c>
      <c r="F1681" s="955"/>
      <c r="L1681" s="954"/>
      <c r="M1681" s="952"/>
      <c r="N1681" s="952"/>
    </row>
    <row r="1682" spans="1:14">
      <c r="A1682" s="958" t="s">
        <v>379</v>
      </c>
      <c r="B1682" s="958">
        <v>27</v>
      </c>
      <c r="C1682" s="958" t="s">
        <v>1567</v>
      </c>
      <c r="D1682" s="957" t="s">
        <v>8244</v>
      </c>
      <c r="E1682" s="956">
        <v>4754</v>
      </c>
      <c r="F1682" s="955"/>
      <c r="L1682" s="954"/>
      <c r="M1682" s="952"/>
      <c r="N1682" s="952"/>
    </row>
    <row r="1683" spans="1:14">
      <c r="A1683" s="958" t="s">
        <v>379</v>
      </c>
      <c r="B1683" s="958">
        <v>27</v>
      </c>
      <c r="C1683" s="958" t="s">
        <v>5591</v>
      </c>
      <c r="D1683" s="957" t="s">
        <v>8243</v>
      </c>
      <c r="E1683" s="956">
        <v>12790</v>
      </c>
      <c r="F1683" s="955"/>
      <c r="L1683" s="954"/>
      <c r="M1683" s="952"/>
      <c r="N1683" s="952"/>
    </row>
    <row r="1684" spans="1:14">
      <c r="A1684" s="958" t="s">
        <v>379</v>
      </c>
      <c r="B1684" s="958">
        <v>27</v>
      </c>
      <c r="C1684" s="958" t="s">
        <v>5589</v>
      </c>
      <c r="D1684" s="957" t="s">
        <v>8242</v>
      </c>
      <c r="E1684" s="956">
        <v>40917</v>
      </c>
      <c r="F1684" s="955"/>
      <c r="L1684" s="954"/>
      <c r="M1684" s="952"/>
      <c r="N1684" s="952"/>
    </row>
    <row r="1685" spans="1:14">
      <c r="A1685" s="958" t="s">
        <v>379</v>
      </c>
      <c r="B1685" s="958">
        <v>27</v>
      </c>
      <c r="C1685" s="958" t="s">
        <v>1561</v>
      </c>
      <c r="D1685" s="957" t="s">
        <v>8241</v>
      </c>
      <c r="E1685" s="956">
        <v>15616</v>
      </c>
      <c r="F1685" s="955"/>
      <c r="L1685" s="954"/>
      <c r="M1685" s="952"/>
      <c r="N1685" s="952"/>
    </row>
    <row r="1686" spans="1:14">
      <c r="A1686" s="958" t="s">
        <v>379</v>
      </c>
      <c r="B1686" s="958">
        <v>27</v>
      </c>
      <c r="C1686" s="958" t="s">
        <v>1557</v>
      </c>
      <c r="D1686" s="957" t="s">
        <v>8240</v>
      </c>
      <c r="E1686" s="956">
        <v>25631</v>
      </c>
      <c r="F1686" s="955"/>
      <c r="L1686" s="954"/>
      <c r="M1686" s="952"/>
      <c r="N1686" s="952"/>
    </row>
    <row r="1687" spans="1:14">
      <c r="A1687" s="958" t="s">
        <v>379</v>
      </c>
      <c r="B1687" s="958">
        <v>27</v>
      </c>
      <c r="C1687" s="958" t="s">
        <v>1555</v>
      </c>
      <c r="D1687" s="957" t="s">
        <v>8239</v>
      </c>
      <c r="E1687" s="956">
        <v>24499</v>
      </c>
      <c r="F1687" s="955"/>
      <c r="L1687" s="954"/>
      <c r="M1687" s="952"/>
      <c r="N1687" s="952"/>
    </row>
    <row r="1688" spans="1:14">
      <c r="A1688" s="958" t="s">
        <v>379</v>
      </c>
      <c r="B1688" s="958">
        <v>27</v>
      </c>
      <c r="C1688" s="958" t="s">
        <v>1551</v>
      </c>
      <c r="D1688" s="957" t="s">
        <v>8238</v>
      </c>
      <c r="E1688" s="956">
        <v>18385</v>
      </c>
      <c r="F1688" s="955"/>
      <c r="L1688" s="954"/>
      <c r="M1688" s="952"/>
      <c r="N1688" s="952"/>
    </row>
    <row r="1689" spans="1:14">
      <c r="A1689" s="958" t="s">
        <v>379</v>
      </c>
      <c r="B1689" s="958">
        <v>27</v>
      </c>
      <c r="C1689" s="958" t="s">
        <v>1543</v>
      </c>
      <c r="D1689" s="957" t="s">
        <v>8237</v>
      </c>
      <c r="E1689" s="956">
        <v>5253</v>
      </c>
      <c r="F1689" s="955"/>
      <c r="L1689" s="954"/>
      <c r="M1689" s="952"/>
      <c r="N1689" s="952"/>
    </row>
    <row r="1690" spans="1:14">
      <c r="A1690" s="958" t="s">
        <v>379</v>
      </c>
      <c r="B1690" s="958">
        <v>27</v>
      </c>
      <c r="C1690" s="958" t="s">
        <v>1537</v>
      </c>
      <c r="D1690" s="957" t="s">
        <v>8236</v>
      </c>
      <c r="E1690" s="956">
        <v>7021</v>
      </c>
      <c r="F1690" s="955"/>
      <c r="L1690" s="954"/>
      <c r="M1690" s="952"/>
      <c r="N1690" s="952"/>
    </row>
    <row r="1691" spans="1:14">
      <c r="A1691" s="958" t="s">
        <v>379</v>
      </c>
      <c r="B1691" s="958">
        <v>27</v>
      </c>
      <c r="C1691" s="958" t="s">
        <v>1535</v>
      </c>
      <c r="D1691" s="957" t="s">
        <v>8235</v>
      </c>
      <c r="E1691" s="956">
        <v>8361</v>
      </c>
      <c r="F1691" s="955"/>
      <c r="L1691" s="954"/>
      <c r="M1691" s="952"/>
      <c r="N1691" s="952"/>
    </row>
    <row r="1692" spans="1:14">
      <c r="A1692" s="958" t="s">
        <v>379</v>
      </c>
      <c r="B1692" s="958">
        <v>27</v>
      </c>
      <c r="C1692" s="958" t="s">
        <v>1533</v>
      </c>
      <c r="D1692" s="957" t="s">
        <v>8234</v>
      </c>
      <c r="E1692" s="956">
        <v>5770</v>
      </c>
      <c r="F1692" s="955"/>
      <c r="L1692" s="954"/>
      <c r="M1692" s="952"/>
      <c r="N1692" s="952"/>
    </row>
    <row r="1693" spans="1:14">
      <c r="A1693" s="958" t="s">
        <v>379</v>
      </c>
      <c r="B1693" s="958">
        <v>27</v>
      </c>
      <c r="C1693" s="958" t="s">
        <v>8233</v>
      </c>
      <c r="D1693" s="957" t="s">
        <v>8232</v>
      </c>
      <c r="E1693" s="956">
        <v>11580</v>
      </c>
      <c r="F1693" s="955"/>
      <c r="L1693" s="954"/>
      <c r="M1693" s="952"/>
      <c r="N1693" s="952"/>
    </row>
    <row r="1694" spans="1:14">
      <c r="A1694" s="958" t="s">
        <v>379</v>
      </c>
      <c r="B1694" s="958">
        <v>27</v>
      </c>
      <c r="C1694" s="958" t="s">
        <v>1531</v>
      </c>
      <c r="D1694" s="957" t="s">
        <v>8231</v>
      </c>
      <c r="E1694" s="956">
        <v>23993</v>
      </c>
      <c r="F1694" s="955"/>
      <c r="L1694" s="954"/>
      <c r="M1694" s="952"/>
      <c r="N1694" s="952"/>
    </row>
    <row r="1695" spans="1:14">
      <c r="A1695" s="958" t="s">
        <v>379</v>
      </c>
      <c r="B1695" s="958">
        <v>27</v>
      </c>
      <c r="C1695" s="958" t="s">
        <v>1527</v>
      </c>
      <c r="D1695" s="957" t="s">
        <v>8230</v>
      </c>
      <c r="E1695" s="956">
        <v>4155</v>
      </c>
      <c r="F1695" s="955"/>
      <c r="L1695" s="954"/>
      <c r="M1695" s="952"/>
      <c r="N1695" s="952"/>
    </row>
    <row r="1696" spans="1:14">
      <c r="A1696" s="958" t="s">
        <v>379</v>
      </c>
      <c r="B1696" s="958">
        <v>27</v>
      </c>
      <c r="C1696" s="958" t="s">
        <v>5567</v>
      </c>
      <c r="D1696" s="957" t="s">
        <v>8229</v>
      </c>
      <c r="E1696" s="956">
        <v>24727</v>
      </c>
      <c r="F1696" s="955"/>
      <c r="L1696" s="954"/>
      <c r="M1696" s="952"/>
      <c r="N1696" s="952"/>
    </row>
    <row r="1697" spans="1:14">
      <c r="A1697" s="958" t="s">
        <v>379</v>
      </c>
      <c r="B1697" s="958">
        <v>27</v>
      </c>
      <c r="C1697" s="958" t="s">
        <v>1523</v>
      </c>
      <c r="D1697" s="957" t="s">
        <v>8228</v>
      </c>
      <c r="E1697" s="956">
        <v>17852</v>
      </c>
      <c r="F1697" s="955"/>
      <c r="L1697" s="954"/>
      <c r="M1697" s="952"/>
      <c r="N1697" s="952"/>
    </row>
    <row r="1698" spans="1:14">
      <c r="A1698" s="958" t="s">
        <v>379</v>
      </c>
      <c r="B1698" s="958">
        <v>27</v>
      </c>
      <c r="C1698" s="958" t="s">
        <v>1521</v>
      </c>
      <c r="D1698" s="957" t="s">
        <v>8227</v>
      </c>
      <c r="E1698" s="956">
        <v>28635</v>
      </c>
      <c r="F1698" s="955"/>
      <c r="L1698" s="954"/>
      <c r="M1698" s="952"/>
      <c r="N1698" s="952"/>
    </row>
    <row r="1699" spans="1:14">
      <c r="A1699" s="958" t="s">
        <v>379</v>
      </c>
      <c r="B1699" s="958">
        <v>27</v>
      </c>
      <c r="C1699" s="958" t="s">
        <v>5559</v>
      </c>
      <c r="D1699" s="957" t="s">
        <v>8226</v>
      </c>
      <c r="E1699" s="956">
        <v>1018948</v>
      </c>
      <c r="F1699" s="955"/>
      <c r="L1699" s="954"/>
      <c r="M1699" s="952"/>
      <c r="N1699" s="952"/>
    </row>
    <row r="1700" spans="1:14">
      <c r="A1700" s="958" t="s">
        <v>379</v>
      </c>
      <c r="B1700" s="958">
        <v>27</v>
      </c>
      <c r="C1700" s="958" t="s">
        <v>5555</v>
      </c>
      <c r="D1700" s="957" t="s">
        <v>8225</v>
      </c>
      <c r="E1700" s="956">
        <v>19804</v>
      </c>
      <c r="F1700" s="955"/>
      <c r="L1700" s="954"/>
      <c r="M1700" s="952"/>
      <c r="N1700" s="952"/>
    </row>
    <row r="1701" spans="1:14">
      <c r="A1701" s="958" t="s">
        <v>379</v>
      </c>
      <c r="B1701" s="958">
        <v>27</v>
      </c>
      <c r="C1701" s="958" t="s">
        <v>1519</v>
      </c>
      <c r="D1701" s="957" t="s">
        <v>8224</v>
      </c>
      <c r="E1701" s="956">
        <v>32704</v>
      </c>
      <c r="F1701" s="955"/>
      <c r="L1701" s="954"/>
      <c r="M1701" s="952"/>
      <c r="N1701" s="952"/>
    </row>
    <row r="1702" spans="1:14">
      <c r="A1702" s="958" t="s">
        <v>379</v>
      </c>
      <c r="B1702" s="958">
        <v>27</v>
      </c>
      <c r="C1702" s="958" t="s">
        <v>1511</v>
      </c>
      <c r="D1702" s="957" t="s">
        <v>3041</v>
      </c>
      <c r="E1702" s="956">
        <v>9163</v>
      </c>
      <c r="F1702" s="955"/>
      <c r="L1702" s="954"/>
      <c r="M1702" s="952"/>
      <c r="N1702" s="952"/>
    </row>
    <row r="1703" spans="1:14">
      <c r="A1703" s="958" t="s">
        <v>379</v>
      </c>
      <c r="B1703" s="958">
        <v>27</v>
      </c>
      <c r="C1703" s="958" t="s">
        <v>5548</v>
      </c>
      <c r="D1703" s="957" t="s">
        <v>8223</v>
      </c>
      <c r="E1703" s="956">
        <v>51901</v>
      </c>
      <c r="F1703" s="955"/>
      <c r="L1703" s="954"/>
      <c r="M1703" s="952"/>
      <c r="N1703" s="952"/>
    </row>
    <row r="1704" spans="1:14">
      <c r="A1704" s="958" t="s">
        <v>379</v>
      </c>
      <c r="B1704" s="958">
        <v>27</v>
      </c>
      <c r="C1704" s="958" t="s">
        <v>1509</v>
      </c>
      <c r="D1704" s="957" t="s">
        <v>8222</v>
      </c>
      <c r="E1704" s="956">
        <v>13264</v>
      </c>
      <c r="F1704" s="955"/>
      <c r="L1704" s="954"/>
      <c r="M1704" s="952"/>
      <c r="N1704" s="952"/>
    </row>
    <row r="1705" spans="1:14">
      <c r="A1705" s="958" t="s">
        <v>379</v>
      </c>
      <c r="B1705" s="958">
        <v>27</v>
      </c>
      <c r="C1705" s="958" t="s">
        <v>1507</v>
      </c>
      <c r="D1705" s="957" t="s">
        <v>8221</v>
      </c>
      <c r="E1705" s="956">
        <v>3514</v>
      </c>
      <c r="F1705" s="955"/>
      <c r="L1705" s="954"/>
      <c r="M1705" s="952"/>
      <c r="N1705" s="952"/>
    </row>
    <row r="1706" spans="1:14">
      <c r="A1706" s="958" t="s">
        <v>379</v>
      </c>
      <c r="B1706" s="958">
        <v>27</v>
      </c>
      <c r="C1706" s="958" t="s">
        <v>1505</v>
      </c>
      <c r="D1706" s="957" t="s">
        <v>8220</v>
      </c>
      <c r="E1706" s="956">
        <v>25216</v>
      </c>
      <c r="F1706" s="955"/>
      <c r="L1706" s="954"/>
      <c r="M1706" s="952"/>
      <c r="N1706" s="952"/>
    </row>
    <row r="1707" spans="1:14">
      <c r="A1707" s="958" t="s">
        <v>379</v>
      </c>
      <c r="B1707" s="958">
        <v>27</v>
      </c>
      <c r="C1707" s="958" t="s">
        <v>1503</v>
      </c>
      <c r="D1707" s="957" t="s">
        <v>8219</v>
      </c>
      <c r="E1707" s="956">
        <v>24642</v>
      </c>
      <c r="F1707" s="955"/>
      <c r="L1707" s="954"/>
      <c r="M1707" s="952"/>
      <c r="N1707" s="952"/>
    </row>
    <row r="1708" spans="1:14">
      <c r="A1708" s="958" t="s">
        <v>379</v>
      </c>
      <c r="B1708" s="958">
        <v>27</v>
      </c>
      <c r="C1708" s="958" t="s">
        <v>1497</v>
      </c>
      <c r="D1708" s="957" t="s">
        <v>8218</v>
      </c>
      <c r="E1708" s="956">
        <v>17856</v>
      </c>
      <c r="F1708" s="955"/>
      <c r="L1708" s="954"/>
      <c r="M1708" s="952"/>
      <c r="N1708" s="952"/>
    </row>
    <row r="1709" spans="1:14">
      <c r="A1709" s="958" t="s">
        <v>379</v>
      </c>
      <c r="B1709" s="958">
        <v>27</v>
      </c>
      <c r="C1709" s="958" t="s">
        <v>1491</v>
      </c>
      <c r="D1709" s="957" t="s">
        <v>8217</v>
      </c>
      <c r="E1709" s="956">
        <v>5329</v>
      </c>
      <c r="F1709" s="955"/>
      <c r="L1709" s="954"/>
      <c r="M1709" s="952"/>
      <c r="N1709" s="952"/>
    </row>
    <row r="1710" spans="1:14">
      <c r="A1710" s="958" t="s">
        <v>379</v>
      </c>
      <c r="B1710" s="958">
        <v>27</v>
      </c>
      <c r="C1710" s="958" t="s">
        <v>8216</v>
      </c>
      <c r="D1710" s="957" t="s">
        <v>8215</v>
      </c>
      <c r="E1710" s="956">
        <v>7159</v>
      </c>
      <c r="F1710" s="955"/>
      <c r="L1710" s="954"/>
      <c r="M1710" s="952"/>
      <c r="N1710" s="952"/>
    </row>
    <row r="1711" spans="1:14">
      <c r="A1711" s="958" t="s">
        <v>379</v>
      </c>
      <c r="B1711" s="958">
        <v>27</v>
      </c>
      <c r="C1711" s="958" t="s">
        <v>1489</v>
      </c>
      <c r="D1711" s="957" t="s">
        <v>8214</v>
      </c>
      <c r="E1711" s="956">
        <v>28236</v>
      </c>
      <c r="F1711" s="955"/>
      <c r="L1711" s="954"/>
      <c r="M1711" s="952"/>
      <c r="N1711" s="952"/>
    </row>
    <row r="1712" spans="1:14">
      <c r="A1712" s="958" t="s">
        <v>379</v>
      </c>
      <c r="B1712" s="958">
        <v>27</v>
      </c>
      <c r="C1712" s="958" t="s">
        <v>1485</v>
      </c>
      <c r="D1712" s="957" t="s">
        <v>8213</v>
      </c>
      <c r="E1712" s="956">
        <v>12690</v>
      </c>
      <c r="F1712" s="955"/>
      <c r="L1712" s="954"/>
      <c r="M1712" s="952"/>
      <c r="N1712" s="952"/>
    </row>
    <row r="1713" spans="1:14">
      <c r="A1713" s="958" t="s">
        <v>379</v>
      </c>
      <c r="B1713" s="958">
        <v>27</v>
      </c>
      <c r="C1713" s="958" t="s">
        <v>8212</v>
      </c>
      <c r="D1713" s="957" t="s">
        <v>8211</v>
      </c>
      <c r="E1713" s="956">
        <v>21688</v>
      </c>
      <c r="F1713" s="955"/>
      <c r="L1713" s="954"/>
      <c r="M1713" s="952"/>
      <c r="N1713" s="952"/>
    </row>
    <row r="1714" spans="1:14">
      <c r="A1714" s="958" t="s">
        <v>379</v>
      </c>
      <c r="B1714" s="958">
        <v>27</v>
      </c>
      <c r="C1714" s="958" t="s">
        <v>8210</v>
      </c>
      <c r="D1714" s="957" t="s">
        <v>8209</v>
      </c>
      <c r="E1714" s="956">
        <v>9373</v>
      </c>
      <c r="F1714" s="955"/>
      <c r="L1714" s="954"/>
      <c r="M1714" s="952"/>
      <c r="N1714" s="952"/>
    </row>
    <row r="1715" spans="1:14">
      <c r="A1715" s="958" t="s">
        <v>379</v>
      </c>
      <c r="B1715" s="958">
        <v>27</v>
      </c>
      <c r="C1715" s="958" t="s">
        <v>1481</v>
      </c>
      <c r="D1715" s="957" t="s">
        <v>8208</v>
      </c>
      <c r="E1715" s="956">
        <v>5123</v>
      </c>
      <c r="F1715" s="955"/>
      <c r="L1715" s="954"/>
      <c r="M1715" s="952"/>
      <c r="N1715" s="952"/>
    </row>
    <row r="1716" spans="1:14">
      <c r="A1716" s="958" t="s">
        <v>379</v>
      </c>
      <c r="B1716" s="958">
        <v>27</v>
      </c>
      <c r="C1716" s="958" t="s">
        <v>1479</v>
      </c>
      <c r="D1716" s="957" t="s">
        <v>8207</v>
      </c>
      <c r="E1716" s="956">
        <v>11624</v>
      </c>
      <c r="F1716" s="955"/>
      <c r="L1716" s="954"/>
      <c r="M1716" s="952"/>
      <c r="N1716" s="952"/>
    </row>
    <row r="1717" spans="1:14">
      <c r="A1717" s="958" t="s">
        <v>379</v>
      </c>
      <c r="B1717" s="958">
        <v>27</v>
      </c>
      <c r="C1717" s="958" t="s">
        <v>1477</v>
      </c>
      <c r="D1717" s="957" t="s">
        <v>6264</v>
      </c>
      <c r="E1717" s="956">
        <v>11496</v>
      </c>
      <c r="F1717" s="955"/>
      <c r="L1717" s="954"/>
      <c r="M1717" s="952"/>
      <c r="N1717" s="952"/>
    </row>
    <row r="1718" spans="1:14">
      <c r="A1718" s="958" t="s">
        <v>379</v>
      </c>
      <c r="B1718" s="958">
        <v>27</v>
      </c>
      <c r="C1718" s="958" t="s">
        <v>1467</v>
      </c>
      <c r="D1718" s="957" t="s">
        <v>4619</v>
      </c>
      <c r="E1718" s="956">
        <v>5011</v>
      </c>
      <c r="F1718" s="955"/>
      <c r="L1718" s="954"/>
      <c r="M1718" s="952"/>
      <c r="N1718" s="952"/>
    </row>
    <row r="1719" spans="1:14">
      <c r="A1719" s="958" t="s">
        <v>379</v>
      </c>
      <c r="B1719" s="958">
        <v>27</v>
      </c>
      <c r="C1719" s="958" t="s">
        <v>1447</v>
      </c>
      <c r="D1719" s="957" t="s">
        <v>8206</v>
      </c>
      <c r="E1719" s="956">
        <v>73218</v>
      </c>
      <c r="F1719" s="955"/>
      <c r="L1719" s="954"/>
      <c r="M1719" s="952"/>
      <c r="N1719" s="952"/>
    </row>
    <row r="1720" spans="1:14">
      <c r="A1720" s="958" t="s">
        <v>379</v>
      </c>
      <c r="B1720" s="958">
        <v>27</v>
      </c>
      <c r="C1720" s="958" t="s">
        <v>8205</v>
      </c>
      <c r="D1720" s="957" t="s">
        <v>8204</v>
      </c>
      <c r="E1720" s="956">
        <v>24399</v>
      </c>
      <c r="F1720" s="955"/>
      <c r="L1720" s="954"/>
      <c r="M1720" s="952"/>
      <c r="N1720" s="952"/>
    </row>
    <row r="1721" spans="1:14">
      <c r="A1721" s="958" t="s">
        <v>379</v>
      </c>
      <c r="B1721" s="958">
        <v>27</v>
      </c>
      <c r="C1721" s="958" t="s">
        <v>1441</v>
      </c>
      <c r="D1721" s="957" t="s">
        <v>8203</v>
      </c>
      <c r="E1721" s="956">
        <v>10533</v>
      </c>
      <c r="F1721" s="955"/>
      <c r="L1721" s="954"/>
      <c r="M1721" s="952"/>
      <c r="N1721" s="952"/>
    </row>
    <row r="1722" spans="1:14">
      <c r="A1722" s="958" t="s">
        <v>379</v>
      </c>
      <c r="B1722" s="958">
        <v>27</v>
      </c>
      <c r="C1722" s="958" t="s">
        <v>8202</v>
      </c>
      <c r="D1722" s="957" t="s">
        <v>8201</v>
      </c>
      <c r="E1722" s="956">
        <v>13176</v>
      </c>
      <c r="F1722" s="955"/>
      <c r="L1722" s="954"/>
      <c r="M1722" s="952"/>
      <c r="N1722" s="952"/>
    </row>
    <row r="1723" spans="1:14">
      <c r="A1723" s="958" t="s">
        <v>379</v>
      </c>
      <c r="B1723" s="958">
        <v>27</v>
      </c>
      <c r="C1723" s="958" t="s">
        <v>1437</v>
      </c>
      <c r="D1723" s="957" t="s">
        <v>8200</v>
      </c>
      <c r="E1723" s="956">
        <v>15245</v>
      </c>
      <c r="F1723" s="955"/>
      <c r="L1723" s="954"/>
      <c r="M1723" s="952"/>
      <c r="N1723" s="952"/>
    </row>
    <row r="1724" spans="1:14">
      <c r="A1724" s="958" t="s">
        <v>379</v>
      </c>
      <c r="B1724" s="958">
        <v>27</v>
      </c>
      <c r="C1724" s="958" t="s">
        <v>8199</v>
      </c>
      <c r="D1724" s="957" t="s">
        <v>8198</v>
      </c>
      <c r="E1724" s="956">
        <v>7564</v>
      </c>
      <c r="F1724" s="955"/>
      <c r="L1724" s="954"/>
      <c r="M1724" s="952"/>
      <c r="N1724" s="952"/>
    </row>
    <row r="1725" spans="1:14">
      <c r="A1725" s="958" t="s">
        <v>379</v>
      </c>
      <c r="B1725" s="958">
        <v>27</v>
      </c>
      <c r="C1725" s="958" t="s">
        <v>1433</v>
      </c>
      <c r="D1725" s="957" t="s">
        <v>8197</v>
      </c>
      <c r="E1725" s="956">
        <v>63683</v>
      </c>
      <c r="F1725" s="955"/>
      <c r="L1725" s="954"/>
      <c r="M1725" s="952"/>
      <c r="N1725" s="952"/>
    </row>
    <row r="1726" spans="1:14">
      <c r="A1726" s="958" t="s">
        <v>379</v>
      </c>
      <c r="B1726" s="958">
        <v>27</v>
      </c>
      <c r="C1726" s="958" t="s">
        <v>1427</v>
      </c>
      <c r="D1726" s="957" t="s">
        <v>8196</v>
      </c>
      <c r="E1726" s="956">
        <v>17827</v>
      </c>
      <c r="F1726" s="955"/>
      <c r="L1726" s="954"/>
      <c r="M1726" s="952"/>
      <c r="N1726" s="952"/>
    </row>
    <row r="1727" spans="1:14">
      <c r="A1727" s="958" t="s">
        <v>379</v>
      </c>
      <c r="B1727" s="958">
        <v>27</v>
      </c>
      <c r="C1727" s="958" t="s">
        <v>8195</v>
      </c>
      <c r="D1727" s="957" t="s">
        <v>8194</v>
      </c>
      <c r="E1727" s="956">
        <v>35111</v>
      </c>
      <c r="F1727" s="955"/>
      <c r="L1727" s="954"/>
      <c r="M1727" s="952"/>
      <c r="N1727" s="952"/>
    </row>
    <row r="1728" spans="1:14">
      <c r="A1728" s="958" t="s">
        <v>379</v>
      </c>
      <c r="B1728" s="958">
        <v>27</v>
      </c>
      <c r="C1728" s="958" t="s">
        <v>1421</v>
      </c>
      <c r="D1728" s="957" t="s">
        <v>8193</v>
      </c>
      <c r="E1728" s="956">
        <v>2908</v>
      </c>
      <c r="F1728" s="955"/>
      <c r="L1728" s="954"/>
      <c r="M1728" s="952"/>
      <c r="N1728" s="952"/>
    </row>
    <row r="1729" spans="1:14">
      <c r="A1729" s="958" t="s">
        <v>379</v>
      </c>
      <c r="B1729" s="958">
        <v>27</v>
      </c>
      <c r="C1729" s="958" t="s">
        <v>1415</v>
      </c>
      <c r="D1729" s="957" t="s">
        <v>967</v>
      </c>
      <c r="E1729" s="956">
        <v>25039</v>
      </c>
      <c r="F1729" s="955"/>
      <c r="L1729" s="954"/>
      <c r="M1729" s="952"/>
      <c r="N1729" s="952"/>
    </row>
    <row r="1730" spans="1:14">
      <c r="A1730" s="958" t="s">
        <v>379</v>
      </c>
      <c r="B1730" s="958">
        <v>27</v>
      </c>
      <c r="C1730" s="958" t="s">
        <v>1407</v>
      </c>
      <c r="D1730" s="957" t="s">
        <v>8192</v>
      </c>
      <c r="E1730" s="956">
        <v>14386</v>
      </c>
      <c r="F1730" s="955"/>
      <c r="L1730" s="954"/>
      <c r="M1730" s="952"/>
      <c r="N1730" s="952"/>
    </row>
    <row r="1731" spans="1:14">
      <c r="A1731" s="958" t="s">
        <v>379</v>
      </c>
      <c r="B1731" s="958">
        <v>27</v>
      </c>
      <c r="C1731" s="958" t="s">
        <v>1399</v>
      </c>
      <c r="D1731" s="957" t="s">
        <v>8191</v>
      </c>
      <c r="E1731" s="956">
        <v>27165</v>
      </c>
      <c r="F1731" s="955"/>
      <c r="L1731" s="954"/>
      <c r="M1731" s="952"/>
      <c r="N1731" s="952"/>
    </row>
    <row r="1732" spans="1:14">
      <c r="A1732" s="958" t="s">
        <v>379</v>
      </c>
      <c r="B1732" s="958">
        <v>27</v>
      </c>
      <c r="C1732" s="958" t="s">
        <v>1395</v>
      </c>
      <c r="D1732" s="957" t="s">
        <v>8190</v>
      </c>
      <c r="E1732" s="956">
        <v>7786</v>
      </c>
      <c r="F1732" s="955"/>
      <c r="L1732" s="954"/>
      <c r="M1732" s="952"/>
      <c r="N1732" s="952"/>
    </row>
    <row r="1733" spans="1:14">
      <c r="A1733" s="958" t="s">
        <v>379</v>
      </c>
      <c r="B1733" s="958">
        <v>27</v>
      </c>
      <c r="C1733" s="958" t="s">
        <v>8189</v>
      </c>
      <c r="D1733" s="957" t="s">
        <v>8188</v>
      </c>
      <c r="E1733" s="956">
        <v>20066</v>
      </c>
      <c r="F1733" s="955"/>
      <c r="L1733" s="954"/>
      <c r="M1733" s="952"/>
      <c r="N1733" s="952"/>
    </row>
    <row r="1734" spans="1:14">
      <c r="A1734" s="958" t="s">
        <v>379</v>
      </c>
      <c r="B1734" s="958">
        <v>27</v>
      </c>
      <c r="C1734" s="958" t="s">
        <v>1391</v>
      </c>
      <c r="D1734" s="957" t="s">
        <v>8187</v>
      </c>
      <c r="E1734" s="956">
        <v>11294</v>
      </c>
      <c r="F1734" s="955"/>
      <c r="L1734" s="954"/>
      <c r="M1734" s="952"/>
      <c r="N1734" s="952"/>
    </row>
    <row r="1735" spans="1:14">
      <c r="A1735" s="958" t="s">
        <v>379</v>
      </c>
      <c r="B1735" s="958">
        <v>27</v>
      </c>
      <c r="C1735" s="958" t="s">
        <v>1389</v>
      </c>
      <c r="D1735" s="957" t="s">
        <v>8186</v>
      </c>
      <c r="E1735" s="956">
        <v>75120</v>
      </c>
      <c r="F1735" s="955"/>
      <c r="L1735" s="954"/>
      <c r="M1735" s="952"/>
      <c r="N1735" s="952"/>
    </row>
    <row r="1736" spans="1:14">
      <c r="A1736" s="958" t="s">
        <v>379</v>
      </c>
      <c r="B1736" s="958">
        <v>27</v>
      </c>
      <c r="C1736" s="958" t="s">
        <v>1377</v>
      </c>
      <c r="D1736" s="957" t="s">
        <v>8185</v>
      </c>
      <c r="E1736" s="956">
        <v>6664</v>
      </c>
      <c r="F1736" s="955"/>
      <c r="L1736" s="954"/>
      <c r="M1736" s="952"/>
      <c r="N1736" s="952"/>
    </row>
    <row r="1737" spans="1:14">
      <c r="A1737" s="958" t="s">
        <v>379</v>
      </c>
      <c r="B1737" s="958">
        <v>27</v>
      </c>
      <c r="C1737" s="958" t="s">
        <v>1369</v>
      </c>
      <c r="D1737" s="957" t="s">
        <v>8184</v>
      </c>
      <c r="E1737" s="956">
        <v>7296</v>
      </c>
      <c r="F1737" s="955"/>
      <c r="L1737" s="954"/>
      <c r="M1737" s="952"/>
      <c r="N1737" s="952"/>
    </row>
    <row r="1738" spans="1:14">
      <c r="A1738" s="958" t="s">
        <v>379</v>
      </c>
      <c r="B1738" s="958">
        <v>27</v>
      </c>
      <c r="C1738" s="958" t="s">
        <v>1361</v>
      </c>
      <c r="D1738" s="957" t="s">
        <v>8183</v>
      </c>
      <c r="E1738" s="956">
        <v>47654</v>
      </c>
      <c r="F1738" s="955"/>
      <c r="L1738" s="954"/>
      <c r="M1738" s="952"/>
      <c r="N1738" s="952"/>
    </row>
    <row r="1739" spans="1:14">
      <c r="A1739" s="958" t="s">
        <v>379</v>
      </c>
      <c r="B1739" s="958">
        <v>27</v>
      </c>
      <c r="C1739" s="958" t="s">
        <v>1356</v>
      </c>
      <c r="D1739" s="957" t="s">
        <v>8182</v>
      </c>
      <c r="E1739" s="956">
        <v>10740</v>
      </c>
      <c r="F1739" s="955"/>
      <c r="L1739" s="954"/>
      <c r="M1739" s="952"/>
      <c r="N1739" s="952"/>
    </row>
    <row r="1740" spans="1:14">
      <c r="A1740" s="958" t="s">
        <v>379</v>
      </c>
      <c r="B1740" s="958">
        <v>27</v>
      </c>
      <c r="C1740" s="958" t="s">
        <v>1354</v>
      </c>
      <c r="D1740" s="957" t="s">
        <v>8181</v>
      </c>
      <c r="E1740" s="956">
        <v>6961</v>
      </c>
      <c r="F1740" s="955"/>
      <c r="L1740" s="954"/>
      <c r="M1740" s="952"/>
      <c r="N1740" s="952"/>
    </row>
    <row r="1741" spans="1:14">
      <c r="A1741" s="958" t="s">
        <v>379</v>
      </c>
      <c r="B1741" s="958">
        <v>27</v>
      </c>
      <c r="C1741" s="958" t="s">
        <v>1352</v>
      </c>
      <c r="D1741" s="957" t="s">
        <v>8180</v>
      </c>
      <c r="E1741" s="956">
        <v>23927</v>
      </c>
      <c r="F1741" s="955"/>
      <c r="L1741" s="954"/>
      <c r="M1741" s="952"/>
      <c r="N1741" s="952"/>
    </row>
    <row r="1742" spans="1:14">
      <c r="A1742" s="958" t="s">
        <v>379</v>
      </c>
      <c r="B1742" s="958">
        <v>27</v>
      </c>
      <c r="C1742" s="958" t="s">
        <v>1348</v>
      </c>
      <c r="D1742" s="957" t="s">
        <v>8179</v>
      </c>
      <c r="E1742" s="956">
        <v>32260</v>
      </c>
      <c r="F1742" s="955"/>
      <c r="L1742" s="954"/>
      <c r="M1742" s="952"/>
      <c r="N1742" s="952"/>
    </row>
    <row r="1743" spans="1:14">
      <c r="A1743" s="958" t="s">
        <v>379</v>
      </c>
      <c r="B1743" s="958">
        <v>27</v>
      </c>
      <c r="C1743" s="958" t="s">
        <v>1346</v>
      </c>
      <c r="D1743" s="957" t="s">
        <v>8178</v>
      </c>
      <c r="E1743" s="956">
        <v>34555</v>
      </c>
      <c r="F1743" s="955"/>
      <c r="L1743" s="954"/>
      <c r="M1743" s="952"/>
      <c r="N1743" s="952"/>
    </row>
    <row r="1744" spans="1:14">
      <c r="A1744" s="958" t="s">
        <v>379</v>
      </c>
      <c r="B1744" s="958">
        <v>27</v>
      </c>
      <c r="C1744" s="958" t="s">
        <v>1344</v>
      </c>
      <c r="D1744" s="957" t="s">
        <v>8177</v>
      </c>
      <c r="E1744" s="956">
        <v>61251</v>
      </c>
      <c r="F1744" s="955"/>
      <c r="L1744" s="954"/>
      <c r="M1744" s="952"/>
      <c r="N1744" s="952"/>
    </row>
    <row r="1745" spans="1:14">
      <c r="A1745" s="958" t="s">
        <v>379</v>
      </c>
      <c r="B1745" s="958">
        <v>27</v>
      </c>
      <c r="C1745" s="958" t="s">
        <v>8176</v>
      </c>
      <c r="D1745" s="957" t="s">
        <v>8175</v>
      </c>
      <c r="E1745" s="956">
        <v>7951</v>
      </c>
      <c r="F1745" s="955"/>
      <c r="L1745" s="954"/>
      <c r="M1745" s="952"/>
      <c r="N1745" s="952"/>
    </row>
    <row r="1746" spans="1:14">
      <c r="A1746" s="958" t="s">
        <v>379</v>
      </c>
      <c r="B1746" s="958">
        <v>27</v>
      </c>
      <c r="C1746" s="958" t="s">
        <v>1342</v>
      </c>
      <c r="D1746" s="957" t="s">
        <v>4287</v>
      </c>
      <c r="E1746" s="956">
        <v>34152</v>
      </c>
      <c r="F1746" s="955"/>
      <c r="L1746" s="954"/>
      <c r="M1746" s="952"/>
      <c r="N1746" s="952"/>
    </row>
    <row r="1747" spans="1:14">
      <c r="A1747" s="958" t="s">
        <v>379</v>
      </c>
      <c r="B1747" s="958">
        <v>27</v>
      </c>
      <c r="C1747" s="958" t="s">
        <v>1338</v>
      </c>
      <c r="D1747" s="957" t="s">
        <v>8174</v>
      </c>
      <c r="E1747" s="956">
        <v>13828</v>
      </c>
      <c r="F1747" s="955"/>
      <c r="L1747" s="954"/>
      <c r="M1747" s="952"/>
      <c r="N1747" s="952"/>
    </row>
    <row r="1748" spans="1:14">
      <c r="A1748" s="958" t="s">
        <v>379</v>
      </c>
      <c r="B1748" s="958">
        <v>27</v>
      </c>
      <c r="C1748" s="958" t="s">
        <v>1336</v>
      </c>
      <c r="D1748" s="957" t="s">
        <v>8173</v>
      </c>
      <c r="E1748" s="956">
        <v>13870</v>
      </c>
      <c r="F1748" s="955"/>
      <c r="L1748" s="954"/>
      <c r="M1748" s="952"/>
      <c r="N1748" s="952"/>
    </row>
    <row r="1749" spans="1:14">
      <c r="A1749" s="958" t="s">
        <v>379</v>
      </c>
      <c r="B1749" s="958">
        <v>27</v>
      </c>
      <c r="C1749" s="958" t="s">
        <v>8172</v>
      </c>
      <c r="D1749" s="957" t="s">
        <v>8171</v>
      </c>
      <c r="E1749" s="956">
        <v>6162</v>
      </c>
      <c r="F1749" s="955"/>
      <c r="L1749" s="954"/>
      <c r="M1749" s="952"/>
      <c r="N1749" s="952"/>
    </row>
    <row r="1750" spans="1:14">
      <c r="A1750" s="958" t="s">
        <v>379</v>
      </c>
      <c r="B1750" s="958">
        <v>27</v>
      </c>
      <c r="C1750" s="958" t="s">
        <v>8170</v>
      </c>
      <c r="D1750" s="957" t="s">
        <v>8169</v>
      </c>
      <c r="E1750" s="956">
        <v>19980</v>
      </c>
      <c r="F1750" s="955"/>
      <c r="L1750" s="954"/>
      <c r="M1750" s="952"/>
      <c r="N1750" s="952"/>
    </row>
    <row r="1751" spans="1:14">
      <c r="A1751" s="958" t="s">
        <v>379</v>
      </c>
      <c r="B1751" s="958">
        <v>27</v>
      </c>
      <c r="C1751" s="958" t="s">
        <v>8168</v>
      </c>
      <c r="D1751" s="957" t="s">
        <v>8167</v>
      </c>
      <c r="E1751" s="956">
        <v>44169</v>
      </c>
      <c r="F1751" s="955"/>
      <c r="L1751" s="954"/>
      <c r="M1751" s="952"/>
      <c r="N1751" s="952"/>
    </row>
    <row r="1752" spans="1:14">
      <c r="A1752" s="958" t="s">
        <v>379</v>
      </c>
      <c r="B1752" s="958">
        <v>27</v>
      </c>
      <c r="C1752" s="958" t="s">
        <v>8166</v>
      </c>
      <c r="D1752" s="957" t="s">
        <v>8165</v>
      </c>
      <c r="E1752" s="956">
        <v>27715</v>
      </c>
      <c r="F1752" s="955"/>
      <c r="L1752" s="954"/>
      <c r="M1752" s="952"/>
      <c r="N1752" s="952"/>
    </row>
    <row r="1753" spans="1:14">
      <c r="A1753" s="958" t="s">
        <v>379</v>
      </c>
      <c r="B1753" s="958">
        <v>27</v>
      </c>
      <c r="C1753" s="958" t="s">
        <v>8164</v>
      </c>
      <c r="D1753" s="957" t="s">
        <v>8163</v>
      </c>
      <c r="E1753" s="956">
        <v>65611</v>
      </c>
      <c r="F1753" s="955"/>
      <c r="L1753" s="954"/>
      <c r="M1753" s="952"/>
      <c r="N1753" s="952"/>
    </row>
    <row r="1754" spans="1:14">
      <c r="A1754" s="958" t="s">
        <v>379</v>
      </c>
      <c r="B1754" s="958">
        <v>27</v>
      </c>
      <c r="C1754" s="958" t="s">
        <v>8162</v>
      </c>
      <c r="D1754" s="957" t="s">
        <v>5658</v>
      </c>
      <c r="E1754" s="956">
        <v>25733</v>
      </c>
      <c r="F1754" s="955"/>
      <c r="L1754" s="954"/>
      <c r="M1754" s="952"/>
      <c r="N1754" s="952"/>
    </row>
    <row r="1755" spans="1:14">
      <c r="A1755" s="958" t="s">
        <v>353</v>
      </c>
      <c r="B1755" s="958">
        <v>28</v>
      </c>
      <c r="C1755" s="958" t="s">
        <v>1332</v>
      </c>
      <c r="D1755" s="957" t="s">
        <v>8161</v>
      </c>
      <c r="E1755" s="956">
        <v>2374</v>
      </c>
      <c r="F1755" s="955"/>
      <c r="L1755" s="954"/>
      <c r="M1755" s="952"/>
      <c r="N1755" s="952"/>
    </row>
    <row r="1756" spans="1:14">
      <c r="A1756" s="958" t="s">
        <v>353</v>
      </c>
      <c r="B1756" s="958">
        <v>28</v>
      </c>
      <c r="C1756" s="958" t="s">
        <v>1324</v>
      </c>
      <c r="D1756" s="957" t="s">
        <v>8160</v>
      </c>
      <c r="E1756" s="956">
        <v>21563</v>
      </c>
      <c r="F1756" s="955"/>
      <c r="L1756" s="954"/>
      <c r="M1756" s="952"/>
      <c r="N1756" s="952"/>
    </row>
    <row r="1757" spans="1:14">
      <c r="A1757" s="958" t="s">
        <v>353</v>
      </c>
      <c r="B1757" s="958">
        <v>28</v>
      </c>
      <c r="C1757" s="958" t="s">
        <v>1320</v>
      </c>
      <c r="D1757" s="957" t="s">
        <v>8159</v>
      </c>
      <c r="E1757" s="956">
        <v>657013</v>
      </c>
      <c r="F1757" s="955"/>
      <c r="L1757" s="954"/>
      <c r="M1757" s="952"/>
      <c r="N1757" s="952"/>
    </row>
    <row r="1758" spans="1:14">
      <c r="A1758" s="958" t="s">
        <v>353</v>
      </c>
      <c r="B1758" s="958">
        <v>28</v>
      </c>
      <c r="C1758" s="958" t="s">
        <v>5521</v>
      </c>
      <c r="D1758" s="957" t="s">
        <v>8158</v>
      </c>
      <c r="E1758" s="956">
        <v>10056</v>
      </c>
      <c r="F1758" s="955"/>
      <c r="L1758" s="954"/>
      <c r="M1758" s="952"/>
      <c r="N1758" s="952"/>
    </row>
    <row r="1759" spans="1:14">
      <c r="A1759" s="958" t="s">
        <v>353</v>
      </c>
      <c r="B1759" s="958">
        <v>28</v>
      </c>
      <c r="C1759" s="958" t="s">
        <v>1318</v>
      </c>
      <c r="D1759" s="957" t="s">
        <v>8157</v>
      </c>
      <c r="E1759" s="956">
        <v>18542</v>
      </c>
      <c r="F1759" s="955"/>
      <c r="L1759" s="954"/>
      <c r="M1759" s="952"/>
      <c r="N1759" s="952"/>
    </row>
    <row r="1760" spans="1:14">
      <c r="A1760" s="958" t="s">
        <v>353</v>
      </c>
      <c r="B1760" s="958">
        <v>28</v>
      </c>
      <c r="C1760" s="958" t="s">
        <v>1314</v>
      </c>
      <c r="D1760" s="957" t="s">
        <v>8156</v>
      </c>
      <c r="E1760" s="956">
        <v>30407</v>
      </c>
      <c r="F1760" s="955"/>
      <c r="L1760" s="954"/>
      <c r="M1760" s="952"/>
      <c r="N1760" s="952"/>
    </row>
    <row r="1761" spans="1:14">
      <c r="A1761" s="958" t="s">
        <v>353</v>
      </c>
      <c r="B1761" s="958">
        <v>28</v>
      </c>
      <c r="C1761" s="958" t="s">
        <v>8155</v>
      </c>
      <c r="D1761" s="957" t="s">
        <v>8154</v>
      </c>
      <c r="E1761" s="956">
        <v>26816</v>
      </c>
      <c r="F1761" s="955"/>
      <c r="L1761" s="954"/>
      <c r="M1761" s="952"/>
      <c r="N1761" s="952"/>
    </row>
    <row r="1762" spans="1:14">
      <c r="A1762" s="958" t="s">
        <v>353</v>
      </c>
      <c r="B1762" s="958">
        <v>28</v>
      </c>
      <c r="C1762" s="958" t="s">
        <v>5515</v>
      </c>
      <c r="D1762" s="957" t="s">
        <v>8153</v>
      </c>
      <c r="E1762" s="956">
        <v>8309</v>
      </c>
      <c r="F1762" s="955"/>
      <c r="L1762" s="954"/>
      <c r="M1762" s="952"/>
      <c r="N1762" s="952"/>
    </row>
    <row r="1763" spans="1:14">
      <c r="A1763" s="958" t="s">
        <v>353</v>
      </c>
      <c r="B1763" s="958">
        <v>28</v>
      </c>
      <c r="C1763" s="958" t="s">
        <v>5507</v>
      </c>
      <c r="D1763" s="957" t="s">
        <v>8152</v>
      </c>
      <c r="E1763" s="956">
        <v>18109</v>
      </c>
      <c r="F1763" s="955"/>
      <c r="L1763" s="954"/>
      <c r="M1763" s="952"/>
      <c r="N1763" s="952"/>
    </row>
    <row r="1764" spans="1:14">
      <c r="A1764" s="958" t="s">
        <v>353</v>
      </c>
      <c r="B1764" s="958">
        <v>28</v>
      </c>
      <c r="C1764" s="958" t="s">
        <v>1304</v>
      </c>
      <c r="D1764" s="957" t="s">
        <v>8151</v>
      </c>
      <c r="E1764" s="956">
        <v>4008</v>
      </c>
      <c r="F1764" s="955"/>
      <c r="L1764" s="954"/>
      <c r="M1764" s="952"/>
      <c r="N1764" s="952"/>
    </row>
    <row r="1765" spans="1:14">
      <c r="A1765" s="958" t="s">
        <v>353</v>
      </c>
      <c r="B1765" s="958">
        <v>28</v>
      </c>
      <c r="C1765" s="958" t="s">
        <v>1302</v>
      </c>
      <c r="D1765" s="957" t="s">
        <v>8150</v>
      </c>
      <c r="E1765" s="956">
        <v>29900</v>
      </c>
      <c r="F1765" s="955"/>
      <c r="L1765" s="954"/>
      <c r="M1765" s="952"/>
      <c r="N1765" s="952"/>
    </row>
    <row r="1766" spans="1:14">
      <c r="A1766" s="958" t="s">
        <v>353</v>
      </c>
      <c r="B1766" s="958">
        <v>28</v>
      </c>
      <c r="C1766" s="958" t="s">
        <v>1300</v>
      </c>
      <c r="D1766" s="957" t="s">
        <v>8149</v>
      </c>
      <c r="E1766" s="956">
        <v>34213</v>
      </c>
      <c r="F1766" s="955"/>
      <c r="L1766" s="954"/>
      <c r="M1766" s="952"/>
      <c r="N1766" s="952"/>
    </row>
    <row r="1767" spans="1:14">
      <c r="A1767" s="958" t="s">
        <v>353</v>
      </c>
      <c r="B1767" s="958">
        <v>28</v>
      </c>
      <c r="C1767" s="958" t="s">
        <v>1298</v>
      </c>
      <c r="D1767" s="957" t="s">
        <v>8148</v>
      </c>
      <c r="E1767" s="956">
        <v>22082</v>
      </c>
      <c r="F1767" s="955"/>
      <c r="L1767" s="954"/>
      <c r="M1767" s="952"/>
      <c r="N1767" s="952"/>
    </row>
    <row r="1768" spans="1:14">
      <c r="A1768" s="958" t="s">
        <v>353</v>
      </c>
      <c r="B1768" s="958">
        <v>28</v>
      </c>
      <c r="C1768" s="958" t="s">
        <v>1294</v>
      </c>
      <c r="D1768" s="957" t="s">
        <v>8147</v>
      </c>
      <c r="E1768" s="956">
        <v>16634</v>
      </c>
      <c r="F1768" s="955"/>
      <c r="L1768" s="954"/>
      <c r="M1768" s="952"/>
      <c r="N1768" s="952"/>
    </row>
    <row r="1769" spans="1:14">
      <c r="A1769" s="958" t="s">
        <v>353</v>
      </c>
      <c r="B1769" s="958">
        <v>28</v>
      </c>
      <c r="C1769" s="958" t="s">
        <v>1292</v>
      </c>
      <c r="D1769" s="957" t="s">
        <v>8146</v>
      </c>
      <c r="E1769" s="956">
        <v>5897</v>
      </c>
      <c r="F1769" s="955"/>
      <c r="L1769" s="954"/>
      <c r="M1769" s="952"/>
      <c r="N1769" s="952"/>
    </row>
    <row r="1770" spans="1:14">
      <c r="A1770" s="958" t="s">
        <v>353</v>
      </c>
      <c r="B1770" s="958">
        <v>28</v>
      </c>
      <c r="C1770" s="958" t="s">
        <v>1290</v>
      </c>
      <c r="D1770" s="957" t="s">
        <v>8145</v>
      </c>
      <c r="E1770" s="956">
        <v>17874</v>
      </c>
      <c r="F1770" s="955"/>
      <c r="L1770" s="954"/>
      <c r="M1770" s="952"/>
      <c r="N1770" s="952"/>
    </row>
    <row r="1771" spans="1:14">
      <c r="A1771" s="958" t="s">
        <v>353</v>
      </c>
      <c r="B1771" s="958">
        <v>28</v>
      </c>
      <c r="C1771" s="958" t="s">
        <v>5492</v>
      </c>
      <c r="D1771" s="957" t="s">
        <v>8144</v>
      </c>
      <c r="E1771" s="956">
        <v>3987</v>
      </c>
      <c r="F1771" s="955"/>
      <c r="L1771" s="954"/>
      <c r="M1771" s="952"/>
      <c r="N1771" s="952"/>
    </row>
    <row r="1772" spans="1:14">
      <c r="A1772" s="958" t="s">
        <v>353</v>
      </c>
      <c r="B1772" s="958">
        <v>28</v>
      </c>
      <c r="C1772" s="958" t="s">
        <v>5490</v>
      </c>
      <c r="D1772" s="957" t="s">
        <v>8143</v>
      </c>
      <c r="E1772" s="956">
        <v>5138</v>
      </c>
      <c r="F1772" s="955"/>
      <c r="L1772" s="954"/>
      <c r="M1772" s="952"/>
      <c r="N1772" s="952"/>
    </row>
    <row r="1773" spans="1:14">
      <c r="A1773" s="958" t="s">
        <v>353</v>
      </c>
      <c r="B1773" s="958">
        <v>28</v>
      </c>
      <c r="C1773" s="958" t="s">
        <v>5486</v>
      </c>
      <c r="D1773" s="957" t="s">
        <v>8142</v>
      </c>
      <c r="E1773" s="956">
        <v>69184</v>
      </c>
      <c r="F1773" s="955"/>
      <c r="L1773" s="954"/>
      <c r="M1773" s="952"/>
      <c r="N1773" s="952"/>
    </row>
    <row r="1774" spans="1:14">
      <c r="A1774" s="958" t="s">
        <v>353</v>
      </c>
      <c r="B1774" s="958">
        <v>28</v>
      </c>
      <c r="C1774" s="958" t="s">
        <v>5484</v>
      </c>
      <c r="D1774" s="957" t="s">
        <v>8141</v>
      </c>
      <c r="E1774" s="956">
        <v>5584</v>
      </c>
      <c r="F1774" s="955"/>
      <c r="L1774" s="954"/>
      <c r="M1774" s="952"/>
      <c r="N1774" s="952"/>
    </row>
    <row r="1775" spans="1:14">
      <c r="A1775" s="958" t="s">
        <v>353</v>
      </c>
      <c r="B1775" s="958">
        <v>28</v>
      </c>
      <c r="C1775" s="958" t="s">
        <v>5478</v>
      </c>
      <c r="D1775" s="957" t="s">
        <v>8140</v>
      </c>
      <c r="E1775" s="956">
        <v>15421</v>
      </c>
      <c r="F1775" s="955"/>
      <c r="L1775" s="954"/>
      <c r="M1775" s="952"/>
      <c r="N1775" s="952"/>
    </row>
    <row r="1776" spans="1:14">
      <c r="A1776" s="958" t="s">
        <v>353</v>
      </c>
      <c r="B1776" s="958">
        <v>28</v>
      </c>
      <c r="C1776" s="958" t="s">
        <v>5476</v>
      </c>
      <c r="D1776" s="957" t="s">
        <v>8139</v>
      </c>
      <c r="E1776" s="956">
        <v>11604</v>
      </c>
      <c r="F1776" s="955"/>
      <c r="L1776" s="954"/>
      <c r="M1776" s="952"/>
      <c r="N1776" s="952"/>
    </row>
    <row r="1777" spans="1:14">
      <c r="A1777" s="958" t="s">
        <v>353</v>
      </c>
      <c r="B1777" s="958">
        <v>28</v>
      </c>
      <c r="C1777" s="958" t="s">
        <v>1282</v>
      </c>
      <c r="D1777" s="957" t="s">
        <v>8138</v>
      </c>
      <c r="E1777" s="956">
        <v>3346</v>
      </c>
      <c r="F1777" s="955"/>
      <c r="L1777" s="954"/>
      <c r="M1777" s="952"/>
      <c r="N1777" s="952"/>
    </row>
    <row r="1778" spans="1:14">
      <c r="A1778" s="958" t="s">
        <v>353</v>
      </c>
      <c r="B1778" s="958">
        <v>28</v>
      </c>
      <c r="C1778" s="958" t="s">
        <v>1280</v>
      </c>
      <c r="D1778" s="957" t="s">
        <v>8137</v>
      </c>
      <c r="E1778" s="956">
        <v>5818</v>
      </c>
      <c r="F1778" s="955"/>
      <c r="L1778" s="954"/>
      <c r="M1778" s="952"/>
      <c r="N1778" s="952"/>
    </row>
    <row r="1779" spans="1:14">
      <c r="A1779" s="958" t="s">
        <v>353</v>
      </c>
      <c r="B1779" s="958">
        <v>28</v>
      </c>
      <c r="C1779" s="958" t="s">
        <v>5470</v>
      </c>
      <c r="D1779" s="957" t="s">
        <v>8136</v>
      </c>
      <c r="E1779" s="956">
        <v>8520</v>
      </c>
      <c r="F1779" s="955"/>
      <c r="L1779" s="954"/>
      <c r="M1779" s="952"/>
      <c r="N1779" s="952"/>
    </row>
    <row r="1780" spans="1:14">
      <c r="A1780" s="958" t="s">
        <v>353</v>
      </c>
      <c r="B1780" s="958">
        <v>28</v>
      </c>
      <c r="C1780" s="958" t="s">
        <v>1278</v>
      </c>
      <c r="D1780" s="957" t="s">
        <v>8135</v>
      </c>
      <c r="E1780" s="956">
        <v>17957</v>
      </c>
      <c r="F1780" s="955"/>
      <c r="L1780" s="954"/>
      <c r="M1780" s="952"/>
      <c r="N1780" s="952"/>
    </row>
    <row r="1781" spans="1:14">
      <c r="A1781" s="958" t="s">
        <v>353</v>
      </c>
      <c r="B1781" s="958">
        <v>28</v>
      </c>
      <c r="C1781" s="958" t="s">
        <v>5465</v>
      </c>
      <c r="D1781" s="957" t="s">
        <v>8134</v>
      </c>
      <c r="E1781" s="956">
        <v>95427</v>
      </c>
      <c r="F1781" s="955"/>
      <c r="L1781" s="954"/>
      <c r="M1781" s="952"/>
      <c r="N1781" s="952"/>
    </row>
    <row r="1782" spans="1:14">
      <c r="A1782" s="958" t="s">
        <v>353</v>
      </c>
      <c r="B1782" s="958">
        <v>28</v>
      </c>
      <c r="C1782" s="958" t="s">
        <v>5463</v>
      </c>
      <c r="D1782" s="957" t="s">
        <v>8133</v>
      </c>
      <c r="E1782" s="956">
        <v>41928</v>
      </c>
      <c r="F1782" s="955"/>
      <c r="L1782" s="954"/>
      <c r="M1782" s="952"/>
      <c r="N1782" s="952"/>
    </row>
    <row r="1783" spans="1:14">
      <c r="A1783" s="958" t="s">
        <v>353</v>
      </c>
      <c r="B1783" s="958">
        <v>28</v>
      </c>
      <c r="C1783" s="958" t="s">
        <v>1276</v>
      </c>
      <c r="D1783" s="957" t="s">
        <v>8132</v>
      </c>
      <c r="E1783" s="956">
        <v>4903</v>
      </c>
      <c r="F1783" s="955"/>
      <c r="L1783" s="954"/>
      <c r="M1783" s="952"/>
      <c r="N1783" s="952"/>
    </row>
    <row r="1784" spans="1:14">
      <c r="A1784" s="958" t="s">
        <v>353</v>
      </c>
      <c r="B1784" s="958">
        <v>28</v>
      </c>
      <c r="C1784" s="958" t="s">
        <v>1274</v>
      </c>
      <c r="D1784" s="957" t="s">
        <v>8131</v>
      </c>
      <c r="E1784" s="956">
        <v>34356</v>
      </c>
      <c r="F1784" s="955"/>
      <c r="L1784" s="954"/>
      <c r="M1784" s="952"/>
      <c r="N1784" s="952"/>
    </row>
    <row r="1785" spans="1:14">
      <c r="A1785" s="958" t="s">
        <v>353</v>
      </c>
      <c r="B1785" s="958">
        <v>28</v>
      </c>
      <c r="C1785" s="958" t="s">
        <v>1272</v>
      </c>
      <c r="D1785" s="957" t="s">
        <v>8130</v>
      </c>
      <c r="E1785" s="956">
        <v>18743</v>
      </c>
      <c r="F1785" s="955"/>
      <c r="L1785" s="954"/>
      <c r="M1785" s="952"/>
      <c r="N1785" s="952"/>
    </row>
    <row r="1786" spans="1:14">
      <c r="A1786" s="958" t="s">
        <v>353</v>
      </c>
      <c r="B1786" s="958">
        <v>28</v>
      </c>
      <c r="C1786" s="958" t="s">
        <v>1270</v>
      </c>
      <c r="D1786" s="957" t="s">
        <v>8129</v>
      </c>
      <c r="E1786" s="956">
        <v>13434</v>
      </c>
      <c r="F1786" s="955"/>
      <c r="L1786" s="954"/>
      <c r="M1786" s="952"/>
      <c r="N1786" s="952"/>
    </row>
    <row r="1787" spans="1:14">
      <c r="A1787" s="958" t="s">
        <v>353</v>
      </c>
      <c r="B1787" s="958">
        <v>28</v>
      </c>
      <c r="C1787" s="958" t="s">
        <v>1268</v>
      </c>
      <c r="D1787" s="957" t="s">
        <v>8128</v>
      </c>
      <c r="E1787" s="956">
        <v>104408</v>
      </c>
      <c r="F1787" s="955"/>
      <c r="L1787" s="954"/>
      <c r="M1787" s="952"/>
      <c r="N1787" s="952"/>
    </row>
    <row r="1788" spans="1:14">
      <c r="A1788" s="958" t="s">
        <v>353</v>
      </c>
      <c r="B1788" s="958">
        <v>28</v>
      </c>
      <c r="C1788" s="958" t="s">
        <v>1262</v>
      </c>
      <c r="D1788" s="957" t="s">
        <v>8127</v>
      </c>
      <c r="E1788" s="956">
        <v>29826</v>
      </c>
      <c r="F1788" s="955"/>
      <c r="L1788" s="954"/>
      <c r="M1788" s="952"/>
      <c r="N1788" s="952"/>
    </row>
    <row r="1789" spans="1:14">
      <c r="A1789" s="958" t="s">
        <v>353</v>
      </c>
      <c r="B1789" s="958">
        <v>28</v>
      </c>
      <c r="C1789" s="958" t="s">
        <v>5455</v>
      </c>
      <c r="D1789" s="957" t="s">
        <v>8126</v>
      </c>
      <c r="E1789" s="956">
        <v>6919</v>
      </c>
      <c r="F1789" s="955"/>
      <c r="L1789" s="954"/>
      <c r="M1789" s="952"/>
      <c r="N1789" s="952"/>
    </row>
    <row r="1790" spans="1:14">
      <c r="A1790" s="958" t="s">
        <v>353</v>
      </c>
      <c r="B1790" s="958">
        <v>28</v>
      </c>
      <c r="C1790" s="958" t="s">
        <v>1260</v>
      </c>
      <c r="D1790" s="957" t="s">
        <v>8125</v>
      </c>
      <c r="E1790" s="956">
        <v>3682</v>
      </c>
      <c r="F1790" s="955"/>
      <c r="L1790" s="954"/>
      <c r="M1790" s="952"/>
      <c r="N1790" s="952"/>
    </row>
    <row r="1791" spans="1:14">
      <c r="A1791" s="958" t="s">
        <v>353</v>
      </c>
      <c r="B1791" s="958">
        <v>28</v>
      </c>
      <c r="C1791" s="958" t="s">
        <v>1258</v>
      </c>
      <c r="D1791" s="957" t="s">
        <v>8124</v>
      </c>
      <c r="E1791" s="956">
        <v>12618</v>
      </c>
      <c r="F1791" s="955"/>
      <c r="L1791" s="954"/>
      <c r="M1791" s="952"/>
      <c r="N1791" s="952"/>
    </row>
    <row r="1792" spans="1:14">
      <c r="A1792" s="958" t="s">
        <v>353</v>
      </c>
      <c r="B1792" s="958">
        <v>28</v>
      </c>
      <c r="C1792" s="958" t="s">
        <v>1252</v>
      </c>
      <c r="D1792" s="957" t="s">
        <v>8123</v>
      </c>
      <c r="E1792" s="956">
        <v>17213</v>
      </c>
      <c r="F1792" s="955"/>
      <c r="L1792" s="954"/>
      <c r="M1792" s="952"/>
      <c r="N1792" s="952"/>
    </row>
    <row r="1793" spans="1:14">
      <c r="A1793" s="958" t="s">
        <v>353</v>
      </c>
      <c r="B1793" s="958">
        <v>28</v>
      </c>
      <c r="C1793" s="958" t="s">
        <v>1250</v>
      </c>
      <c r="D1793" s="957" t="s">
        <v>8122</v>
      </c>
      <c r="E1793" s="956">
        <v>11335</v>
      </c>
      <c r="F1793" s="955"/>
      <c r="L1793" s="954"/>
      <c r="M1793" s="952"/>
      <c r="N1793" s="952"/>
    </row>
    <row r="1794" spans="1:14">
      <c r="A1794" s="958" t="s">
        <v>353</v>
      </c>
      <c r="B1794" s="958">
        <v>28</v>
      </c>
      <c r="C1794" s="958" t="s">
        <v>1248</v>
      </c>
      <c r="D1794" s="957" t="s">
        <v>8121</v>
      </c>
      <c r="E1794" s="956">
        <v>15031</v>
      </c>
      <c r="F1794" s="955"/>
      <c r="L1794" s="954"/>
      <c r="M1794" s="952"/>
      <c r="N1794" s="952"/>
    </row>
    <row r="1795" spans="1:14">
      <c r="A1795" s="958" t="s">
        <v>353</v>
      </c>
      <c r="B1795" s="958">
        <v>28</v>
      </c>
      <c r="C1795" s="958" t="s">
        <v>1244</v>
      </c>
      <c r="D1795" s="957" t="s">
        <v>8120</v>
      </c>
      <c r="E1795" s="956">
        <v>7625</v>
      </c>
      <c r="F1795" s="955"/>
      <c r="L1795" s="954"/>
      <c r="M1795" s="952"/>
      <c r="N1795" s="952"/>
    </row>
    <row r="1796" spans="1:14">
      <c r="A1796" s="958" t="s">
        <v>353</v>
      </c>
      <c r="B1796" s="958">
        <v>28</v>
      </c>
      <c r="C1796" s="958" t="s">
        <v>1242</v>
      </c>
      <c r="D1796" s="957" t="s">
        <v>8119</v>
      </c>
      <c r="E1796" s="956">
        <v>18719</v>
      </c>
      <c r="F1796" s="955"/>
      <c r="L1796" s="954"/>
      <c r="M1796" s="952"/>
      <c r="N1796" s="952"/>
    </row>
    <row r="1797" spans="1:14">
      <c r="A1797" s="958" t="s">
        <v>353</v>
      </c>
      <c r="B1797" s="958">
        <v>28</v>
      </c>
      <c r="C1797" s="958" t="s">
        <v>8118</v>
      </c>
      <c r="D1797" s="957" t="s">
        <v>8117</v>
      </c>
      <c r="E1797" s="956">
        <v>8796</v>
      </c>
      <c r="F1797" s="955"/>
      <c r="L1797" s="954"/>
      <c r="M1797" s="952"/>
      <c r="N1797" s="952"/>
    </row>
    <row r="1798" spans="1:14">
      <c r="A1798" s="958" t="s">
        <v>353</v>
      </c>
      <c r="B1798" s="958">
        <v>28</v>
      </c>
      <c r="C1798" s="958" t="s">
        <v>1240</v>
      </c>
      <c r="D1798" s="957" t="s">
        <v>8116</v>
      </c>
      <c r="E1798" s="956">
        <v>36924</v>
      </c>
      <c r="F1798" s="955"/>
      <c r="L1798" s="954"/>
      <c r="M1798" s="952"/>
      <c r="N1798" s="952"/>
    </row>
    <row r="1799" spans="1:14">
      <c r="A1799" s="958" t="s">
        <v>353</v>
      </c>
      <c r="B1799" s="958">
        <v>28</v>
      </c>
      <c r="C1799" s="958" t="s">
        <v>1236</v>
      </c>
      <c r="D1799" s="957" t="s">
        <v>8115</v>
      </c>
      <c r="E1799" s="956">
        <v>26629</v>
      </c>
      <c r="F1799" s="955"/>
      <c r="L1799" s="954"/>
      <c r="M1799" s="952"/>
      <c r="N1799" s="952"/>
    </row>
    <row r="1800" spans="1:14">
      <c r="A1800" s="958" t="s">
        <v>353</v>
      </c>
      <c r="B1800" s="958">
        <v>28</v>
      </c>
      <c r="C1800" s="958" t="s">
        <v>1232</v>
      </c>
      <c r="D1800" s="957" t="s">
        <v>8114</v>
      </c>
      <c r="E1800" s="956">
        <v>6483</v>
      </c>
      <c r="F1800" s="955"/>
      <c r="L1800" s="954"/>
      <c r="M1800" s="952"/>
      <c r="N1800" s="952"/>
    </row>
    <row r="1801" spans="1:14">
      <c r="A1801" s="958" t="s">
        <v>353</v>
      </c>
      <c r="B1801" s="958">
        <v>28</v>
      </c>
      <c r="C1801" s="958" t="s">
        <v>1230</v>
      </c>
      <c r="D1801" s="957" t="s">
        <v>8113</v>
      </c>
      <c r="E1801" s="956">
        <v>183628</v>
      </c>
      <c r="F1801" s="955"/>
      <c r="L1801" s="954"/>
      <c r="M1801" s="952"/>
      <c r="N1801" s="952"/>
    </row>
    <row r="1802" spans="1:14">
      <c r="A1802" s="958" t="s">
        <v>353</v>
      </c>
      <c r="B1802" s="958">
        <v>28</v>
      </c>
      <c r="C1802" s="958" t="s">
        <v>1226</v>
      </c>
      <c r="D1802" s="957" t="s">
        <v>8112</v>
      </c>
      <c r="E1802" s="956">
        <v>14428</v>
      </c>
      <c r="F1802" s="955"/>
      <c r="L1802" s="954"/>
      <c r="M1802" s="952"/>
      <c r="N1802" s="952"/>
    </row>
    <row r="1803" spans="1:14">
      <c r="A1803" s="958" t="s">
        <v>353</v>
      </c>
      <c r="B1803" s="958">
        <v>28</v>
      </c>
      <c r="C1803" s="958" t="s">
        <v>1222</v>
      </c>
      <c r="D1803" s="957" t="s">
        <v>8111</v>
      </c>
      <c r="E1803" s="956">
        <v>3261</v>
      </c>
      <c r="F1803" s="955"/>
      <c r="L1803" s="954"/>
      <c r="M1803" s="952"/>
      <c r="N1803" s="952"/>
    </row>
    <row r="1804" spans="1:14">
      <c r="A1804" s="958" t="s">
        <v>353</v>
      </c>
      <c r="B1804" s="958">
        <v>28</v>
      </c>
      <c r="C1804" s="958" t="s">
        <v>1218</v>
      </c>
      <c r="D1804" s="957" t="s">
        <v>8110</v>
      </c>
      <c r="E1804" s="956">
        <v>9602</v>
      </c>
      <c r="F1804" s="955"/>
      <c r="L1804" s="954"/>
      <c r="M1804" s="952"/>
      <c r="N1804" s="952"/>
    </row>
    <row r="1805" spans="1:14">
      <c r="A1805" s="958" t="s">
        <v>353</v>
      </c>
      <c r="B1805" s="958">
        <v>28</v>
      </c>
      <c r="C1805" s="958" t="s">
        <v>1216</v>
      </c>
      <c r="D1805" s="957" t="s">
        <v>3611</v>
      </c>
      <c r="E1805" s="956">
        <v>6576</v>
      </c>
      <c r="F1805" s="955"/>
      <c r="L1805" s="954"/>
      <c r="M1805" s="952"/>
      <c r="N1805" s="952"/>
    </row>
    <row r="1806" spans="1:14">
      <c r="A1806" s="958" t="s">
        <v>353</v>
      </c>
      <c r="B1806" s="958">
        <v>28</v>
      </c>
      <c r="C1806" s="958" t="s">
        <v>1214</v>
      </c>
      <c r="D1806" s="957" t="s">
        <v>8109</v>
      </c>
      <c r="E1806" s="956">
        <v>9280</v>
      </c>
      <c r="F1806" s="955"/>
      <c r="L1806" s="954"/>
      <c r="M1806" s="952"/>
      <c r="N1806" s="952"/>
    </row>
    <row r="1807" spans="1:14">
      <c r="A1807" s="958" t="s">
        <v>353</v>
      </c>
      <c r="B1807" s="958">
        <v>28</v>
      </c>
      <c r="C1807" s="958" t="s">
        <v>1212</v>
      </c>
      <c r="D1807" s="957" t="s">
        <v>8108</v>
      </c>
      <c r="E1807" s="956">
        <v>34775</v>
      </c>
      <c r="F1807" s="955"/>
      <c r="L1807" s="954"/>
      <c r="M1807" s="952"/>
      <c r="N1807" s="952"/>
    </row>
    <row r="1808" spans="1:14">
      <c r="A1808" s="958" t="s">
        <v>353</v>
      </c>
      <c r="B1808" s="958">
        <v>28</v>
      </c>
      <c r="C1808" s="958" t="s">
        <v>5416</v>
      </c>
      <c r="D1808" s="957" t="s">
        <v>8107</v>
      </c>
      <c r="E1808" s="956">
        <v>23728</v>
      </c>
      <c r="F1808" s="955"/>
      <c r="L1808" s="954"/>
      <c r="M1808" s="952"/>
      <c r="N1808" s="952"/>
    </row>
    <row r="1809" spans="1:14">
      <c r="A1809" s="958" t="s">
        <v>353</v>
      </c>
      <c r="B1809" s="958">
        <v>28</v>
      </c>
      <c r="C1809" s="958" t="s">
        <v>5412</v>
      </c>
      <c r="D1809" s="957" t="s">
        <v>8106</v>
      </c>
      <c r="E1809" s="956">
        <v>28596</v>
      </c>
      <c r="F1809" s="955"/>
      <c r="L1809" s="954"/>
      <c r="M1809" s="952"/>
      <c r="N1809" s="952"/>
    </row>
    <row r="1810" spans="1:14">
      <c r="A1810" s="958" t="s">
        <v>353</v>
      </c>
      <c r="B1810" s="958">
        <v>28</v>
      </c>
      <c r="C1810" s="958" t="s">
        <v>1200</v>
      </c>
      <c r="D1810" s="957" t="s">
        <v>8105</v>
      </c>
      <c r="E1810" s="956">
        <v>29626</v>
      </c>
      <c r="F1810" s="955"/>
      <c r="L1810" s="954"/>
      <c r="M1810" s="952"/>
      <c r="N1810" s="952"/>
    </row>
    <row r="1811" spans="1:14">
      <c r="A1811" s="958" t="s">
        <v>353</v>
      </c>
      <c r="B1811" s="958">
        <v>28</v>
      </c>
      <c r="C1811" s="958" t="s">
        <v>1198</v>
      </c>
      <c r="D1811" s="957" t="s">
        <v>8104</v>
      </c>
      <c r="E1811" s="956">
        <v>19805</v>
      </c>
      <c r="F1811" s="955"/>
      <c r="L1811" s="954"/>
      <c r="M1811" s="952"/>
      <c r="N1811" s="952"/>
    </row>
    <row r="1812" spans="1:14">
      <c r="A1812" s="958" t="s">
        <v>353</v>
      </c>
      <c r="B1812" s="958">
        <v>28</v>
      </c>
      <c r="C1812" s="958" t="s">
        <v>1196</v>
      </c>
      <c r="D1812" s="957" t="s">
        <v>8103</v>
      </c>
      <c r="E1812" s="956">
        <v>10213</v>
      </c>
      <c r="F1812" s="955"/>
      <c r="L1812" s="954"/>
      <c r="M1812" s="952"/>
      <c r="N1812" s="952"/>
    </row>
    <row r="1813" spans="1:14">
      <c r="A1813" s="958" t="s">
        <v>353</v>
      </c>
      <c r="B1813" s="958">
        <v>28</v>
      </c>
      <c r="C1813" s="958" t="s">
        <v>5405</v>
      </c>
      <c r="D1813" s="957" t="s">
        <v>8102</v>
      </c>
      <c r="E1813" s="956">
        <v>18652</v>
      </c>
      <c r="F1813" s="955"/>
      <c r="L1813" s="954"/>
      <c r="M1813" s="952"/>
      <c r="N1813" s="952"/>
    </row>
    <row r="1814" spans="1:14">
      <c r="A1814" s="958" t="s">
        <v>353</v>
      </c>
      <c r="B1814" s="958">
        <v>28</v>
      </c>
      <c r="C1814" s="958" t="s">
        <v>5403</v>
      </c>
      <c r="D1814" s="957" t="s">
        <v>8101</v>
      </c>
      <c r="E1814" s="956">
        <v>10855</v>
      </c>
      <c r="F1814" s="955"/>
      <c r="L1814" s="954"/>
      <c r="M1814" s="952"/>
      <c r="N1814" s="952"/>
    </row>
    <row r="1815" spans="1:14">
      <c r="A1815" s="958" t="s">
        <v>353</v>
      </c>
      <c r="B1815" s="958">
        <v>28</v>
      </c>
      <c r="C1815" s="958" t="s">
        <v>1194</v>
      </c>
      <c r="D1815" s="957" t="s">
        <v>8100</v>
      </c>
      <c r="E1815" s="956">
        <v>19998</v>
      </c>
      <c r="F1815" s="955"/>
      <c r="L1815" s="954"/>
      <c r="M1815" s="952"/>
      <c r="N1815" s="952"/>
    </row>
    <row r="1816" spans="1:14">
      <c r="A1816" s="958" t="s">
        <v>353</v>
      </c>
      <c r="B1816" s="958">
        <v>28</v>
      </c>
      <c r="C1816" s="958" t="s">
        <v>1192</v>
      </c>
      <c r="D1816" s="957" t="s">
        <v>8099</v>
      </c>
      <c r="E1816" s="956">
        <v>14035</v>
      </c>
      <c r="F1816" s="955"/>
      <c r="L1816" s="954"/>
      <c r="M1816" s="952"/>
      <c r="N1816" s="952"/>
    </row>
    <row r="1817" spans="1:14">
      <c r="A1817" s="958" t="s">
        <v>353</v>
      </c>
      <c r="B1817" s="958">
        <v>28</v>
      </c>
      <c r="C1817" s="958" t="s">
        <v>1190</v>
      </c>
      <c r="D1817" s="957" t="s">
        <v>8098</v>
      </c>
      <c r="E1817" s="956">
        <v>7780</v>
      </c>
      <c r="F1817" s="955"/>
      <c r="L1817" s="954"/>
      <c r="M1817" s="952"/>
      <c r="N1817" s="952"/>
    </row>
    <row r="1818" spans="1:14">
      <c r="A1818" s="958" t="s">
        <v>353</v>
      </c>
      <c r="B1818" s="958">
        <v>28</v>
      </c>
      <c r="C1818" s="958" t="s">
        <v>1188</v>
      </c>
      <c r="D1818" s="957" t="s">
        <v>2894</v>
      </c>
      <c r="E1818" s="956">
        <v>3913</v>
      </c>
      <c r="F1818" s="955"/>
      <c r="L1818" s="954"/>
      <c r="M1818" s="952"/>
      <c r="N1818" s="952"/>
    </row>
    <row r="1819" spans="1:14">
      <c r="A1819" s="958" t="s">
        <v>353</v>
      </c>
      <c r="B1819" s="958">
        <v>28</v>
      </c>
      <c r="C1819" s="958" t="s">
        <v>1186</v>
      </c>
      <c r="D1819" s="957" t="s">
        <v>8097</v>
      </c>
      <c r="E1819" s="956">
        <v>12102</v>
      </c>
      <c r="F1819" s="955"/>
      <c r="L1819" s="954"/>
      <c r="M1819" s="952"/>
      <c r="N1819" s="952"/>
    </row>
    <row r="1820" spans="1:14">
      <c r="A1820" s="958" t="s">
        <v>353</v>
      </c>
      <c r="B1820" s="958">
        <v>28</v>
      </c>
      <c r="C1820" s="958" t="s">
        <v>1184</v>
      </c>
      <c r="D1820" s="957" t="s">
        <v>8096</v>
      </c>
      <c r="E1820" s="956">
        <v>90072</v>
      </c>
      <c r="F1820" s="955"/>
      <c r="L1820" s="954"/>
      <c r="M1820" s="952"/>
      <c r="N1820" s="952"/>
    </row>
    <row r="1821" spans="1:14">
      <c r="A1821" s="958" t="s">
        <v>353</v>
      </c>
      <c r="B1821" s="958">
        <v>28</v>
      </c>
      <c r="C1821" s="958" t="s">
        <v>1182</v>
      </c>
      <c r="D1821" s="957" t="s">
        <v>907</v>
      </c>
      <c r="E1821" s="956">
        <v>11137</v>
      </c>
      <c r="F1821" s="955"/>
      <c r="L1821" s="954"/>
      <c r="M1821" s="952"/>
      <c r="N1821" s="952"/>
    </row>
    <row r="1822" spans="1:14">
      <c r="A1822" s="958" t="s">
        <v>353</v>
      </c>
      <c r="B1822" s="958">
        <v>28</v>
      </c>
      <c r="C1822" s="958" t="s">
        <v>1180</v>
      </c>
      <c r="D1822" s="957" t="s">
        <v>4324</v>
      </c>
      <c r="E1822" s="956">
        <v>3724</v>
      </c>
      <c r="F1822" s="955"/>
      <c r="L1822" s="954"/>
      <c r="M1822" s="952"/>
      <c r="N1822" s="952"/>
    </row>
    <row r="1823" spans="1:14">
      <c r="A1823" s="958" t="s">
        <v>353</v>
      </c>
      <c r="B1823" s="958">
        <v>28</v>
      </c>
      <c r="C1823" s="958" t="s">
        <v>8095</v>
      </c>
      <c r="D1823" s="957" t="s">
        <v>8094</v>
      </c>
      <c r="E1823" s="956">
        <v>3930</v>
      </c>
      <c r="F1823" s="955"/>
      <c r="L1823" s="954"/>
      <c r="M1823" s="952"/>
      <c r="N1823" s="952"/>
    </row>
    <row r="1824" spans="1:14">
      <c r="A1824" s="958" t="s">
        <v>353</v>
      </c>
      <c r="B1824" s="958">
        <v>28</v>
      </c>
      <c r="C1824" s="958" t="s">
        <v>1178</v>
      </c>
      <c r="D1824" s="957" t="s">
        <v>8093</v>
      </c>
      <c r="E1824" s="956">
        <v>40484</v>
      </c>
      <c r="F1824" s="955"/>
      <c r="L1824" s="954"/>
      <c r="M1824" s="952"/>
      <c r="N1824" s="952"/>
    </row>
    <row r="1825" spans="1:14">
      <c r="A1825" s="958" t="s">
        <v>353</v>
      </c>
      <c r="B1825" s="958">
        <v>28</v>
      </c>
      <c r="C1825" s="958" t="s">
        <v>8092</v>
      </c>
      <c r="D1825" s="957" t="s">
        <v>8091</v>
      </c>
      <c r="E1825" s="956">
        <v>8893</v>
      </c>
      <c r="F1825" s="955"/>
      <c r="L1825" s="954"/>
      <c r="M1825" s="952"/>
      <c r="N1825" s="952"/>
    </row>
    <row r="1826" spans="1:14">
      <c r="A1826" s="958" t="s">
        <v>353</v>
      </c>
      <c r="B1826" s="958">
        <v>28</v>
      </c>
      <c r="C1826" s="958" t="s">
        <v>8090</v>
      </c>
      <c r="D1826" s="957" t="s">
        <v>8089</v>
      </c>
      <c r="E1826" s="956">
        <v>3227</v>
      </c>
      <c r="F1826" s="955"/>
      <c r="L1826" s="954"/>
      <c r="M1826" s="952"/>
      <c r="N1826" s="952"/>
    </row>
    <row r="1827" spans="1:14">
      <c r="A1827" s="958" t="s">
        <v>353</v>
      </c>
      <c r="B1827" s="958">
        <v>28</v>
      </c>
      <c r="C1827" s="958" t="s">
        <v>1172</v>
      </c>
      <c r="D1827" s="957" t="s">
        <v>8088</v>
      </c>
      <c r="E1827" s="956">
        <v>52191</v>
      </c>
      <c r="F1827" s="955"/>
      <c r="L1827" s="954"/>
      <c r="M1827" s="952"/>
      <c r="N1827" s="952"/>
    </row>
    <row r="1828" spans="1:14">
      <c r="A1828" s="958" t="s">
        <v>353</v>
      </c>
      <c r="B1828" s="958">
        <v>28</v>
      </c>
      <c r="C1828" s="958" t="s">
        <v>1170</v>
      </c>
      <c r="D1828" s="957" t="s">
        <v>8087</v>
      </c>
      <c r="E1828" s="956">
        <v>13536</v>
      </c>
      <c r="F1828" s="955"/>
      <c r="L1828" s="954"/>
      <c r="M1828" s="952"/>
      <c r="N1828" s="952"/>
    </row>
    <row r="1829" spans="1:14">
      <c r="A1829" s="958" t="s">
        <v>353</v>
      </c>
      <c r="B1829" s="958">
        <v>28</v>
      </c>
      <c r="C1829" s="958" t="s">
        <v>1166</v>
      </c>
      <c r="D1829" s="957" t="s">
        <v>8086</v>
      </c>
      <c r="E1829" s="956">
        <v>25294</v>
      </c>
      <c r="F1829" s="955"/>
      <c r="L1829" s="954"/>
      <c r="M1829" s="952"/>
      <c r="N1829" s="952"/>
    </row>
    <row r="1830" spans="1:14">
      <c r="A1830" s="958" t="s">
        <v>374</v>
      </c>
      <c r="B1830" s="958">
        <v>29</v>
      </c>
      <c r="C1830" s="958" t="s">
        <v>842</v>
      </c>
      <c r="D1830" s="957" t="s">
        <v>8085</v>
      </c>
      <c r="E1830" s="956">
        <v>8739</v>
      </c>
      <c r="F1830" s="955"/>
      <c r="L1830" s="954"/>
      <c r="M1830" s="952"/>
      <c r="N1830" s="952"/>
    </row>
    <row r="1831" spans="1:14">
      <c r="A1831" s="958" t="s">
        <v>374</v>
      </c>
      <c r="B1831" s="958">
        <v>29</v>
      </c>
      <c r="C1831" s="958" t="s">
        <v>8084</v>
      </c>
      <c r="D1831" s="957" t="s">
        <v>8083</v>
      </c>
      <c r="E1831" s="956">
        <v>20086</v>
      </c>
      <c r="F1831" s="955"/>
      <c r="L1831" s="954"/>
      <c r="M1831" s="952"/>
      <c r="N1831" s="952"/>
    </row>
    <row r="1832" spans="1:14">
      <c r="A1832" s="958" t="s">
        <v>374</v>
      </c>
      <c r="B1832" s="958">
        <v>29</v>
      </c>
      <c r="C1832" s="958" t="s">
        <v>8082</v>
      </c>
      <c r="D1832" s="957" t="s">
        <v>8081</v>
      </c>
      <c r="E1832" s="956">
        <v>15159</v>
      </c>
      <c r="F1832" s="955"/>
      <c r="L1832" s="954"/>
      <c r="M1832" s="952"/>
      <c r="N1832" s="952"/>
    </row>
    <row r="1833" spans="1:14" ht="17.25">
      <c r="A1833" s="958" t="s">
        <v>374</v>
      </c>
      <c r="B1833" s="958">
        <v>29</v>
      </c>
      <c r="C1833" s="958" t="s">
        <v>8080</v>
      </c>
      <c r="D1833" s="957" t="s">
        <v>8079</v>
      </c>
      <c r="E1833" s="956" t="s">
        <v>8078</v>
      </c>
      <c r="F1833" s="955"/>
      <c r="L1833" s="954"/>
      <c r="M1833" s="952"/>
      <c r="N1833" s="952"/>
    </row>
    <row r="1834" spans="1:14">
      <c r="A1834" s="958" t="s">
        <v>374</v>
      </c>
      <c r="B1834" s="958">
        <v>29</v>
      </c>
      <c r="C1834" s="958" t="s">
        <v>8077</v>
      </c>
      <c r="D1834" s="957" t="s">
        <v>8076</v>
      </c>
      <c r="E1834" s="956">
        <v>16970</v>
      </c>
      <c r="F1834" s="955"/>
      <c r="L1834" s="954"/>
      <c r="M1834" s="952"/>
      <c r="N1834" s="952"/>
    </row>
    <row r="1835" spans="1:14">
      <c r="A1835" s="958" t="s">
        <v>374</v>
      </c>
      <c r="B1835" s="958">
        <v>29</v>
      </c>
      <c r="C1835" s="958" t="s">
        <v>8075</v>
      </c>
      <c r="D1835" s="957" t="s">
        <v>8074</v>
      </c>
      <c r="E1835" s="956">
        <v>10610</v>
      </c>
      <c r="F1835" s="955"/>
      <c r="L1835" s="954"/>
      <c r="M1835" s="952"/>
      <c r="N1835" s="952"/>
    </row>
    <row r="1836" spans="1:14">
      <c r="A1836" s="958" t="s">
        <v>374</v>
      </c>
      <c r="B1836" s="958">
        <v>29</v>
      </c>
      <c r="C1836" s="958" t="s">
        <v>8073</v>
      </c>
      <c r="D1836" s="957" t="s">
        <v>8072</v>
      </c>
      <c r="E1836" s="956">
        <v>4446</v>
      </c>
      <c r="F1836" s="955"/>
      <c r="L1836" s="954"/>
      <c r="M1836" s="952"/>
      <c r="N1836" s="952"/>
    </row>
    <row r="1837" spans="1:14">
      <c r="A1837" s="958" t="s">
        <v>374</v>
      </c>
      <c r="B1837" s="958">
        <v>29</v>
      </c>
      <c r="C1837" s="958" t="s">
        <v>8071</v>
      </c>
      <c r="D1837" s="957" t="s">
        <v>8070</v>
      </c>
      <c r="E1837" s="956">
        <v>151596</v>
      </c>
      <c r="F1837" s="955"/>
      <c r="L1837" s="954"/>
      <c r="M1837" s="952"/>
      <c r="N1837" s="952"/>
    </row>
    <row r="1838" spans="1:14">
      <c r="A1838" s="958" t="s">
        <v>374</v>
      </c>
      <c r="B1838" s="958">
        <v>29</v>
      </c>
      <c r="C1838" s="958" t="s">
        <v>8069</v>
      </c>
      <c r="D1838" s="957" t="s">
        <v>8068</v>
      </c>
      <c r="E1838" s="956">
        <v>22470</v>
      </c>
      <c r="F1838" s="955"/>
      <c r="L1838" s="954"/>
      <c r="M1838" s="952"/>
      <c r="N1838" s="952"/>
    </row>
    <row r="1839" spans="1:14">
      <c r="A1839" s="958" t="s">
        <v>374</v>
      </c>
      <c r="B1839" s="958">
        <v>29</v>
      </c>
      <c r="C1839" s="958" t="s">
        <v>8067</v>
      </c>
      <c r="D1839" s="957" t="s">
        <v>8066</v>
      </c>
      <c r="E1839" s="956">
        <v>5464</v>
      </c>
      <c r="F1839" s="955"/>
      <c r="L1839" s="954"/>
      <c r="M1839" s="952"/>
      <c r="N1839" s="952"/>
    </row>
    <row r="1840" spans="1:14" ht="17.25">
      <c r="A1840" s="958" t="s">
        <v>374</v>
      </c>
      <c r="B1840" s="958">
        <v>29</v>
      </c>
      <c r="C1840" s="958" t="s">
        <v>8065</v>
      </c>
      <c r="D1840" s="957" t="s">
        <v>8064</v>
      </c>
      <c r="E1840" s="956" t="s">
        <v>8063</v>
      </c>
      <c r="F1840" s="955"/>
      <c r="L1840" s="954"/>
      <c r="M1840" s="952"/>
      <c r="N1840" s="952"/>
    </row>
    <row r="1841" spans="1:14">
      <c r="A1841" s="958" t="s">
        <v>374</v>
      </c>
      <c r="B1841" s="958">
        <v>29</v>
      </c>
      <c r="C1841" s="958" t="s">
        <v>8062</v>
      </c>
      <c r="D1841" s="957" t="s">
        <v>8061</v>
      </c>
      <c r="E1841" s="956">
        <v>25102</v>
      </c>
      <c r="F1841" s="955"/>
      <c r="L1841" s="954"/>
      <c r="M1841" s="952"/>
      <c r="N1841" s="952"/>
    </row>
    <row r="1842" spans="1:14">
      <c r="A1842" s="958" t="s">
        <v>374</v>
      </c>
      <c r="B1842" s="958">
        <v>29</v>
      </c>
      <c r="C1842" s="958" t="s">
        <v>8060</v>
      </c>
      <c r="D1842" s="957" t="s">
        <v>8059</v>
      </c>
      <c r="E1842" s="956">
        <v>16094</v>
      </c>
      <c r="F1842" s="955"/>
      <c r="L1842" s="954"/>
      <c r="M1842" s="952"/>
      <c r="N1842" s="952"/>
    </row>
    <row r="1843" spans="1:14">
      <c r="A1843" s="958" t="s">
        <v>374</v>
      </c>
      <c r="B1843" s="958">
        <v>29</v>
      </c>
      <c r="C1843" s="958" t="s">
        <v>8058</v>
      </c>
      <c r="D1843" s="957" t="s">
        <v>8057</v>
      </c>
      <c r="E1843" s="956">
        <v>17857</v>
      </c>
      <c r="F1843" s="955"/>
      <c r="L1843" s="954"/>
      <c r="M1843" s="952"/>
      <c r="N1843" s="952"/>
    </row>
    <row r="1844" spans="1:14">
      <c r="A1844" s="958" t="s">
        <v>374</v>
      </c>
      <c r="B1844" s="958">
        <v>29</v>
      </c>
      <c r="C1844" s="958" t="s">
        <v>8056</v>
      </c>
      <c r="D1844" s="957" t="s">
        <v>8055</v>
      </c>
      <c r="E1844" s="956">
        <v>13143</v>
      </c>
      <c r="F1844" s="955"/>
      <c r="L1844" s="954"/>
      <c r="M1844" s="952"/>
      <c r="N1844" s="952"/>
    </row>
    <row r="1845" spans="1:14">
      <c r="A1845" s="958" t="s">
        <v>374</v>
      </c>
      <c r="B1845" s="958">
        <v>29</v>
      </c>
      <c r="C1845" s="958" t="s">
        <v>8054</v>
      </c>
      <c r="D1845" s="957" t="s">
        <v>8053</v>
      </c>
      <c r="E1845" s="956">
        <v>14595</v>
      </c>
      <c r="F1845" s="955"/>
      <c r="L1845" s="954"/>
      <c r="M1845" s="952"/>
      <c r="N1845" s="952"/>
    </row>
    <row r="1846" spans="1:14">
      <c r="A1846" s="958" t="s">
        <v>374</v>
      </c>
      <c r="B1846" s="958">
        <v>29</v>
      </c>
      <c r="C1846" s="958" t="s">
        <v>8052</v>
      </c>
      <c r="D1846" s="957" t="s">
        <v>8051</v>
      </c>
      <c r="E1846" s="956">
        <v>13977</v>
      </c>
      <c r="F1846" s="955"/>
      <c r="L1846" s="954"/>
      <c r="M1846" s="952"/>
      <c r="N1846" s="952"/>
    </row>
    <row r="1847" spans="1:14">
      <c r="A1847" s="958" t="s">
        <v>374</v>
      </c>
      <c r="B1847" s="958">
        <v>29</v>
      </c>
      <c r="C1847" s="958" t="s">
        <v>8050</v>
      </c>
      <c r="D1847" s="957" t="s">
        <v>8049</v>
      </c>
      <c r="E1847" s="956">
        <v>11221</v>
      </c>
      <c r="F1847" s="955"/>
      <c r="L1847" s="954"/>
      <c r="M1847" s="952"/>
      <c r="N1847" s="952"/>
    </row>
    <row r="1848" spans="1:14">
      <c r="A1848" s="958" t="s">
        <v>374</v>
      </c>
      <c r="B1848" s="958">
        <v>29</v>
      </c>
      <c r="C1848" s="958" t="s">
        <v>8048</v>
      </c>
      <c r="D1848" s="957" t="s">
        <v>8047</v>
      </c>
      <c r="E1848" s="956">
        <v>19291</v>
      </c>
      <c r="F1848" s="955"/>
      <c r="L1848" s="954"/>
      <c r="M1848" s="952"/>
      <c r="N1848" s="952"/>
    </row>
    <row r="1849" spans="1:14">
      <c r="A1849" s="958" t="s">
        <v>374</v>
      </c>
      <c r="B1849" s="958">
        <v>29</v>
      </c>
      <c r="C1849" s="958" t="s">
        <v>8046</v>
      </c>
      <c r="D1849" s="957" t="s">
        <v>8045</v>
      </c>
      <c r="E1849" s="956">
        <v>11683</v>
      </c>
      <c r="F1849" s="955"/>
      <c r="L1849" s="954"/>
      <c r="M1849" s="952"/>
      <c r="N1849" s="952"/>
    </row>
    <row r="1850" spans="1:14">
      <c r="A1850" s="958" t="s">
        <v>374</v>
      </c>
      <c r="B1850" s="958">
        <v>29</v>
      </c>
      <c r="C1850" s="958" t="s">
        <v>8044</v>
      </c>
      <c r="D1850" s="957" t="s">
        <v>8043</v>
      </c>
      <c r="E1850" s="956">
        <v>11798</v>
      </c>
      <c r="F1850" s="955"/>
      <c r="L1850" s="954"/>
      <c r="M1850" s="952"/>
      <c r="N1850" s="952"/>
    </row>
    <row r="1851" spans="1:14">
      <c r="A1851" s="958" t="s">
        <v>374</v>
      </c>
      <c r="B1851" s="958">
        <v>29</v>
      </c>
      <c r="C1851" s="958" t="s">
        <v>8042</v>
      </c>
      <c r="D1851" s="957" t="s">
        <v>8041</v>
      </c>
      <c r="E1851" s="956">
        <v>17731</v>
      </c>
      <c r="F1851" s="955"/>
      <c r="L1851" s="954"/>
      <c r="M1851" s="952"/>
      <c r="N1851" s="952"/>
    </row>
    <row r="1852" spans="1:14">
      <c r="A1852" s="958" t="s">
        <v>374</v>
      </c>
      <c r="B1852" s="958">
        <v>29</v>
      </c>
      <c r="C1852" s="958" t="s">
        <v>8040</v>
      </c>
      <c r="D1852" s="957" t="s">
        <v>8039</v>
      </c>
      <c r="E1852" s="956">
        <v>7330</v>
      </c>
      <c r="F1852" s="955"/>
      <c r="L1852" s="954"/>
      <c r="M1852" s="952"/>
      <c r="N1852" s="952"/>
    </row>
    <row r="1853" spans="1:14">
      <c r="A1853" s="958" t="s">
        <v>374</v>
      </c>
      <c r="B1853" s="958">
        <v>29</v>
      </c>
      <c r="C1853" s="958" t="s">
        <v>8038</v>
      </c>
      <c r="D1853" s="957" t="s">
        <v>8037</v>
      </c>
      <c r="E1853" s="956">
        <v>13135</v>
      </c>
      <c r="F1853" s="955"/>
      <c r="L1853" s="954"/>
      <c r="M1853" s="952"/>
      <c r="N1853" s="952"/>
    </row>
    <row r="1854" spans="1:14">
      <c r="A1854" s="958" t="s">
        <v>374</v>
      </c>
      <c r="B1854" s="958">
        <v>29</v>
      </c>
      <c r="C1854" s="958" t="s">
        <v>8036</v>
      </c>
      <c r="D1854" s="957" t="s">
        <v>8035</v>
      </c>
      <c r="E1854" s="956">
        <v>12177</v>
      </c>
      <c r="F1854" s="955"/>
      <c r="L1854" s="954"/>
      <c r="M1854" s="952"/>
      <c r="N1854" s="952"/>
    </row>
    <row r="1855" spans="1:14">
      <c r="A1855" s="958" t="s">
        <v>374</v>
      </c>
      <c r="B1855" s="958">
        <v>29</v>
      </c>
      <c r="C1855" s="958" t="s">
        <v>8034</v>
      </c>
      <c r="D1855" s="957" t="s">
        <v>8033</v>
      </c>
      <c r="E1855" s="956">
        <v>54379</v>
      </c>
      <c r="F1855" s="955"/>
      <c r="L1855" s="954"/>
      <c r="M1855" s="952"/>
      <c r="N1855" s="952"/>
    </row>
    <row r="1856" spans="1:14">
      <c r="A1856" s="958" t="s">
        <v>374</v>
      </c>
      <c r="B1856" s="958">
        <v>29</v>
      </c>
      <c r="C1856" s="958" t="s">
        <v>8032</v>
      </c>
      <c r="D1856" s="957" t="s">
        <v>8031</v>
      </c>
      <c r="E1856" s="956">
        <v>11397</v>
      </c>
      <c r="F1856" s="955"/>
      <c r="L1856" s="954"/>
      <c r="M1856" s="952"/>
      <c r="N1856" s="952"/>
    </row>
    <row r="1857" spans="1:14">
      <c r="A1857" s="958" t="s">
        <v>374</v>
      </c>
      <c r="B1857" s="958">
        <v>29</v>
      </c>
      <c r="C1857" s="958" t="s">
        <v>8030</v>
      </c>
      <c r="D1857" s="957" t="s">
        <v>8029</v>
      </c>
      <c r="E1857" s="956">
        <v>11019</v>
      </c>
      <c r="F1857" s="955"/>
      <c r="L1857" s="954"/>
      <c r="M1857" s="952"/>
      <c r="N1857" s="952"/>
    </row>
    <row r="1858" spans="1:14">
      <c r="A1858" s="958" t="s">
        <v>374</v>
      </c>
      <c r="B1858" s="958">
        <v>29</v>
      </c>
      <c r="C1858" s="958" t="s">
        <v>8028</v>
      </c>
      <c r="D1858" s="957" t="s">
        <v>8027</v>
      </c>
      <c r="E1858" s="956">
        <v>8825</v>
      </c>
      <c r="F1858" s="955"/>
      <c r="L1858" s="954"/>
      <c r="M1858" s="952"/>
      <c r="N1858" s="952"/>
    </row>
    <row r="1859" spans="1:14">
      <c r="A1859" s="958" t="s">
        <v>374</v>
      </c>
      <c r="B1859" s="958">
        <v>29</v>
      </c>
      <c r="C1859" s="958" t="s">
        <v>8026</v>
      </c>
      <c r="D1859" s="957" t="s">
        <v>8025</v>
      </c>
      <c r="E1859" s="956">
        <v>11531</v>
      </c>
      <c r="F1859" s="955"/>
      <c r="L1859" s="954"/>
      <c r="M1859" s="952"/>
      <c r="N1859" s="952"/>
    </row>
    <row r="1860" spans="1:14">
      <c r="A1860" s="958" t="s">
        <v>374</v>
      </c>
      <c r="B1860" s="958">
        <v>29</v>
      </c>
      <c r="C1860" s="958" t="s">
        <v>8024</v>
      </c>
      <c r="D1860" s="957" t="s">
        <v>8023</v>
      </c>
      <c r="E1860" s="956">
        <v>13877</v>
      </c>
      <c r="F1860" s="955"/>
      <c r="L1860" s="954"/>
      <c r="M1860" s="952"/>
      <c r="N1860" s="952"/>
    </row>
    <row r="1861" spans="1:14">
      <c r="A1861" s="958" t="s">
        <v>374</v>
      </c>
      <c r="B1861" s="958">
        <v>29</v>
      </c>
      <c r="C1861" s="958" t="s">
        <v>8022</v>
      </c>
      <c r="D1861" s="957" t="s">
        <v>8021</v>
      </c>
      <c r="E1861" s="956">
        <v>20468</v>
      </c>
      <c r="F1861" s="955"/>
      <c r="L1861" s="954"/>
      <c r="M1861" s="952"/>
      <c r="N1861" s="952"/>
    </row>
    <row r="1862" spans="1:14" ht="17.25">
      <c r="A1862" s="958" t="s">
        <v>374</v>
      </c>
      <c r="B1862" s="958">
        <v>29</v>
      </c>
      <c r="C1862" s="958" t="s">
        <v>8020</v>
      </c>
      <c r="D1862" s="957" t="s">
        <v>8019</v>
      </c>
      <c r="E1862" s="956" t="s">
        <v>8018</v>
      </c>
      <c r="F1862" s="955"/>
      <c r="L1862" s="954"/>
      <c r="M1862" s="952"/>
      <c r="N1862" s="952"/>
    </row>
    <row r="1863" spans="1:14">
      <c r="A1863" s="958" t="s">
        <v>374</v>
      </c>
      <c r="B1863" s="958">
        <v>29</v>
      </c>
      <c r="C1863" s="958" t="s">
        <v>8017</v>
      </c>
      <c r="D1863" s="957" t="s">
        <v>8016</v>
      </c>
      <c r="E1863" s="956">
        <v>53578</v>
      </c>
      <c r="F1863" s="955"/>
      <c r="L1863" s="954"/>
      <c r="M1863" s="952"/>
      <c r="N1863" s="952"/>
    </row>
    <row r="1864" spans="1:14">
      <c r="A1864" s="958" t="s">
        <v>374</v>
      </c>
      <c r="B1864" s="958">
        <v>29</v>
      </c>
      <c r="C1864" s="958" t="s">
        <v>8015</v>
      </c>
      <c r="D1864" s="957" t="s">
        <v>8014</v>
      </c>
      <c r="E1864" s="956">
        <v>20598</v>
      </c>
      <c r="F1864" s="955"/>
      <c r="L1864" s="954"/>
      <c r="M1864" s="952"/>
      <c r="N1864" s="952"/>
    </row>
    <row r="1865" spans="1:14">
      <c r="A1865" s="958" t="s">
        <v>374</v>
      </c>
      <c r="B1865" s="958">
        <v>29</v>
      </c>
      <c r="C1865" s="958" t="s">
        <v>8013</v>
      </c>
      <c r="D1865" s="957" t="s">
        <v>8012</v>
      </c>
      <c r="E1865" s="956">
        <v>31603</v>
      </c>
      <c r="F1865" s="955"/>
      <c r="L1865" s="954"/>
      <c r="M1865" s="952"/>
      <c r="N1865" s="952"/>
    </row>
    <row r="1866" spans="1:14">
      <c r="A1866" s="958" t="s">
        <v>374</v>
      </c>
      <c r="B1866" s="958">
        <v>29</v>
      </c>
      <c r="C1866" s="958" t="s">
        <v>8011</v>
      </c>
      <c r="D1866" s="957" t="s">
        <v>8010</v>
      </c>
      <c r="E1866" s="956">
        <v>13865</v>
      </c>
      <c r="F1866" s="955"/>
      <c r="L1866" s="954"/>
      <c r="M1866" s="952"/>
      <c r="N1866" s="952"/>
    </row>
    <row r="1867" spans="1:14">
      <c r="A1867" s="958" t="s">
        <v>374</v>
      </c>
      <c r="B1867" s="958">
        <v>29</v>
      </c>
      <c r="C1867" s="958" t="s">
        <v>8009</v>
      </c>
      <c r="D1867" s="957" t="s">
        <v>8008</v>
      </c>
      <c r="E1867" s="956">
        <v>5714</v>
      </c>
      <c r="F1867" s="955"/>
      <c r="L1867" s="954"/>
      <c r="M1867" s="952"/>
      <c r="N1867" s="952"/>
    </row>
    <row r="1868" spans="1:14">
      <c r="A1868" s="958" t="s">
        <v>374</v>
      </c>
      <c r="B1868" s="958">
        <v>29</v>
      </c>
      <c r="C1868" s="958" t="s">
        <v>8007</v>
      </c>
      <c r="D1868" s="957" t="s">
        <v>8006</v>
      </c>
      <c r="E1868" s="956">
        <v>155439</v>
      </c>
      <c r="F1868" s="955"/>
      <c r="L1868" s="954"/>
      <c r="M1868" s="952"/>
      <c r="N1868" s="952"/>
    </row>
    <row r="1869" spans="1:14">
      <c r="A1869" s="958" t="s">
        <v>374</v>
      </c>
      <c r="B1869" s="958">
        <v>29</v>
      </c>
      <c r="C1869" s="958" t="s">
        <v>8005</v>
      </c>
      <c r="D1869" s="957" t="s">
        <v>1273</v>
      </c>
      <c r="E1869" s="956">
        <v>14931</v>
      </c>
      <c r="F1869" s="955"/>
      <c r="L1869" s="954"/>
      <c r="M1869" s="952"/>
      <c r="N1869" s="952"/>
    </row>
    <row r="1870" spans="1:14">
      <c r="A1870" s="958" t="s">
        <v>374</v>
      </c>
      <c r="B1870" s="958">
        <v>29</v>
      </c>
      <c r="C1870" s="958" t="s">
        <v>8004</v>
      </c>
      <c r="D1870" s="957" t="s">
        <v>8003</v>
      </c>
      <c r="E1870" s="956">
        <v>15978</v>
      </c>
      <c r="F1870" s="955"/>
      <c r="L1870" s="954"/>
      <c r="M1870" s="952"/>
      <c r="N1870" s="952"/>
    </row>
    <row r="1871" spans="1:14">
      <c r="A1871" s="958" t="s">
        <v>374</v>
      </c>
      <c r="B1871" s="958">
        <v>29</v>
      </c>
      <c r="C1871" s="958" t="s">
        <v>8002</v>
      </c>
      <c r="D1871" s="957" t="s">
        <v>8001</v>
      </c>
      <c r="E1871" s="956">
        <v>5591</v>
      </c>
      <c r="F1871" s="955"/>
      <c r="L1871" s="954"/>
      <c r="M1871" s="952"/>
      <c r="N1871" s="952"/>
    </row>
    <row r="1872" spans="1:14">
      <c r="A1872" s="958" t="s">
        <v>374</v>
      </c>
      <c r="B1872" s="958">
        <v>29</v>
      </c>
      <c r="C1872" s="958" t="s">
        <v>8000</v>
      </c>
      <c r="D1872" s="957" t="s">
        <v>3286</v>
      </c>
      <c r="E1872" s="956">
        <v>23328</v>
      </c>
      <c r="F1872" s="955"/>
      <c r="L1872" s="954"/>
      <c r="M1872" s="952"/>
      <c r="N1872" s="952"/>
    </row>
    <row r="1873" spans="1:14">
      <c r="A1873" s="958" t="s">
        <v>374</v>
      </c>
      <c r="B1873" s="958">
        <v>29</v>
      </c>
      <c r="C1873" s="958" t="s">
        <v>7999</v>
      </c>
      <c r="D1873" s="957" t="s">
        <v>7998</v>
      </c>
      <c r="E1873" s="956">
        <v>17211</v>
      </c>
      <c r="F1873" s="955"/>
      <c r="L1873" s="954"/>
      <c r="M1873" s="952"/>
      <c r="N1873" s="952"/>
    </row>
    <row r="1874" spans="1:14">
      <c r="A1874" s="958" t="s">
        <v>374</v>
      </c>
      <c r="B1874" s="958">
        <v>29</v>
      </c>
      <c r="C1874" s="958" t="s">
        <v>7997</v>
      </c>
      <c r="D1874" s="957" t="s">
        <v>7996</v>
      </c>
      <c r="E1874" s="956">
        <v>15979</v>
      </c>
      <c r="F1874" s="955"/>
      <c r="L1874" s="954"/>
      <c r="M1874" s="952"/>
      <c r="N1874" s="952"/>
    </row>
    <row r="1875" spans="1:14">
      <c r="A1875" s="958" t="s">
        <v>374</v>
      </c>
      <c r="B1875" s="958">
        <v>29</v>
      </c>
      <c r="C1875" s="958" t="s">
        <v>7995</v>
      </c>
      <c r="D1875" s="957" t="s">
        <v>7994</v>
      </c>
      <c r="E1875" s="956">
        <v>12633</v>
      </c>
      <c r="F1875" s="955"/>
      <c r="L1875" s="954"/>
      <c r="M1875" s="952"/>
      <c r="N1875" s="952"/>
    </row>
    <row r="1876" spans="1:14">
      <c r="A1876" s="958" t="s">
        <v>374</v>
      </c>
      <c r="B1876" s="958">
        <v>29</v>
      </c>
      <c r="C1876" s="958" t="s">
        <v>7993</v>
      </c>
      <c r="D1876" s="957" t="s">
        <v>7992</v>
      </c>
      <c r="E1876" s="956">
        <v>18576</v>
      </c>
      <c r="F1876" s="955"/>
      <c r="L1876" s="954"/>
      <c r="M1876" s="952"/>
      <c r="N1876" s="952"/>
    </row>
    <row r="1877" spans="1:14">
      <c r="A1877" s="958" t="s">
        <v>374</v>
      </c>
      <c r="B1877" s="958">
        <v>29</v>
      </c>
      <c r="C1877" s="958" t="s">
        <v>7991</v>
      </c>
      <c r="D1877" s="957" t="s">
        <v>7990</v>
      </c>
      <c r="E1877" s="956">
        <v>69148</v>
      </c>
      <c r="F1877" s="955"/>
      <c r="L1877" s="954"/>
      <c r="M1877" s="952"/>
      <c r="N1877" s="952"/>
    </row>
    <row r="1878" spans="1:14">
      <c r="A1878" s="958" t="s">
        <v>374</v>
      </c>
      <c r="B1878" s="958">
        <v>29</v>
      </c>
      <c r="C1878" s="958" t="s">
        <v>7989</v>
      </c>
      <c r="D1878" s="957" t="s">
        <v>7988</v>
      </c>
      <c r="E1878" s="956">
        <v>9880</v>
      </c>
      <c r="F1878" s="955"/>
      <c r="L1878" s="954"/>
      <c r="M1878" s="952"/>
      <c r="N1878" s="952"/>
    </row>
    <row r="1879" spans="1:14">
      <c r="A1879" s="958" t="s">
        <v>374</v>
      </c>
      <c r="B1879" s="958">
        <v>29</v>
      </c>
      <c r="C1879" s="958" t="s">
        <v>7987</v>
      </c>
      <c r="D1879" s="957" t="s">
        <v>7986</v>
      </c>
      <c r="E1879" s="956">
        <v>14368</v>
      </c>
      <c r="F1879" s="955"/>
      <c r="L1879" s="954"/>
      <c r="M1879" s="952"/>
      <c r="N1879" s="952"/>
    </row>
    <row r="1880" spans="1:14">
      <c r="A1880" s="958" t="s">
        <v>374</v>
      </c>
      <c r="B1880" s="958">
        <v>29</v>
      </c>
      <c r="C1880" s="958" t="s">
        <v>7985</v>
      </c>
      <c r="D1880" s="957" t="s">
        <v>1743</v>
      </c>
      <c r="E1880" s="956">
        <v>16764</v>
      </c>
      <c r="F1880" s="955"/>
      <c r="L1880" s="954"/>
      <c r="M1880" s="952"/>
      <c r="N1880" s="952"/>
    </row>
    <row r="1881" spans="1:14">
      <c r="A1881" s="958" t="s">
        <v>374</v>
      </c>
      <c r="B1881" s="958">
        <v>29</v>
      </c>
      <c r="C1881" s="958" t="s">
        <v>7984</v>
      </c>
      <c r="D1881" s="957" t="s">
        <v>7983</v>
      </c>
      <c r="E1881" s="956">
        <v>21508</v>
      </c>
      <c r="F1881" s="955"/>
      <c r="L1881" s="954"/>
      <c r="M1881" s="952"/>
      <c r="N1881" s="952"/>
    </row>
    <row r="1882" spans="1:14">
      <c r="A1882" s="958" t="s">
        <v>374</v>
      </c>
      <c r="B1882" s="958">
        <v>29</v>
      </c>
      <c r="C1882" s="958" t="s">
        <v>7982</v>
      </c>
      <c r="D1882" s="957" t="s">
        <v>7981</v>
      </c>
      <c r="E1882" s="956">
        <v>10211</v>
      </c>
      <c r="F1882" s="955"/>
      <c r="L1882" s="954"/>
      <c r="M1882" s="952"/>
      <c r="N1882" s="952"/>
    </row>
    <row r="1883" spans="1:14">
      <c r="A1883" s="958" t="s">
        <v>374</v>
      </c>
      <c r="B1883" s="958">
        <v>29</v>
      </c>
      <c r="C1883" s="958" t="s">
        <v>7980</v>
      </c>
      <c r="D1883" s="957" t="s">
        <v>7979</v>
      </c>
      <c r="E1883" s="956">
        <v>14295</v>
      </c>
      <c r="F1883" s="955"/>
      <c r="L1883" s="954"/>
      <c r="M1883" s="952"/>
      <c r="N1883" s="952"/>
    </row>
    <row r="1884" spans="1:14">
      <c r="A1884" s="958" t="s">
        <v>374</v>
      </c>
      <c r="B1884" s="958">
        <v>29</v>
      </c>
      <c r="C1884" s="958" t="s">
        <v>7978</v>
      </c>
      <c r="D1884" s="957" t="s">
        <v>7977</v>
      </c>
      <c r="E1884" s="956">
        <v>10557</v>
      </c>
      <c r="F1884" s="955"/>
      <c r="L1884" s="954"/>
      <c r="M1884" s="952"/>
      <c r="N1884" s="952"/>
    </row>
    <row r="1885" spans="1:14">
      <c r="A1885" s="958" t="s">
        <v>374</v>
      </c>
      <c r="B1885" s="958">
        <v>29</v>
      </c>
      <c r="C1885" s="958" t="s">
        <v>7976</v>
      </c>
      <c r="D1885" s="957" t="s">
        <v>7975</v>
      </c>
      <c r="E1885" s="956">
        <v>10231</v>
      </c>
      <c r="F1885" s="955"/>
      <c r="L1885" s="954"/>
      <c r="M1885" s="952"/>
      <c r="N1885" s="952"/>
    </row>
    <row r="1886" spans="1:14">
      <c r="A1886" s="958" t="s">
        <v>374</v>
      </c>
      <c r="B1886" s="958">
        <v>29</v>
      </c>
      <c r="C1886" s="958" t="s">
        <v>7974</v>
      </c>
      <c r="D1886" s="957" t="s">
        <v>7973</v>
      </c>
      <c r="E1886" s="956">
        <v>67195</v>
      </c>
      <c r="F1886" s="955"/>
      <c r="L1886" s="954"/>
      <c r="M1886" s="952"/>
      <c r="N1886" s="952"/>
    </row>
    <row r="1887" spans="1:14">
      <c r="A1887" s="958" t="s">
        <v>374</v>
      </c>
      <c r="B1887" s="958">
        <v>29</v>
      </c>
      <c r="C1887" s="958" t="s">
        <v>7972</v>
      </c>
      <c r="D1887" s="957" t="s">
        <v>7971</v>
      </c>
      <c r="E1887" s="956">
        <v>18349</v>
      </c>
      <c r="F1887" s="955"/>
      <c r="L1887" s="954"/>
      <c r="M1887" s="952"/>
      <c r="N1887" s="952"/>
    </row>
    <row r="1888" spans="1:14">
      <c r="A1888" s="958" t="s">
        <v>374</v>
      </c>
      <c r="B1888" s="958">
        <v>29</v>
      </c>
      <c r="C1888" s="958" t="s">
        <v>7970</v>
      </c>
      <c r="D1888" s="957" t="s">
        <v>7969</v>
      </c>
      <c r="E1888" s="956">
        <v>21174</v>
      </c>
      <c r="F1888" s="955"/>
      <c r="L1888" s="954"/>
      <c r="M1888" s="952"/>
      <c r="N1888" s="952"/>
    </row>
    <row r="1889" spans="1:14">
      <c r="A1889" s="958" t="s">
        <v>374</v>
      </c>
      <c r="B1889" s="958">
        <v>29</v>
      </c>
      <c r="C1889" s="958" t="s">
        <v>7968</v>
      </c>
      <c r="D1889" s="957" t="s">
        <v>7967</v>
      </c>
      <c r="E1889" s="956">
        <v>6758</v>
      </c>
      <c r="F1889" s="955"/>
      <c r="L1889" s="954"/>
      <c r="M1889" s="952"/>
      <c r="N1889" s="952"/>
    </row>
    <row r="1890" spans="1:14">
      <c r="A1890" s="958" t="s">
        <v>374</v>
      </c>
      <c r="B1890" s="958">
        <v>29</v>
      </c>
      <c r="C1890" s="958" t="s">
        <v>7966</v>
      </c>
      <c r="D1890" s="957" t="s">
        <v>7965</v>
      </c>
      <c r="E1890" s="956">
        <v>18807</v>
      </c>
      <c r="F1890" s="955"/>
      <c r="L1890" s="954"/>
      <c r="M1890" s="952"/>
      <c r="N1890" s="952"/>
    </row>
    <row r="1891" spans="1:14">
      <c r="A1891" s="958" t="s">
        <v>374</v>
      </c>
      <c r="B1891" s="958">
        <v>29</v>
      </c>
      <c r="C1891" s="958" t="s">
        <v>7964</v>
      </c>
      <c r="D1891" s="957" t="s">
        <v>7963</v>
      </c>
      <c r="E1891" s="956">
        <v>33470</v>
      </c>
      <c r="F1891" s="955"/>
      <c r="L1891" s="954"/>
      <c r="M1891" s="952"/>
      <c r="N1891" s="952"/>
    </row>
    <row r="1892" spans="1:14">
      <c r="A1892" s="958" t="s">
        <v>374</v>
      </c>
      <c r="B1892" s="958">
        <v>29</v>
      </c>
      <c r="C1892" s="958" t="s">
        <v>7962</v>
      </c>
      <c r="D1892" s="957" t="s">
        <v>7961</v>
      </c>
      <c r="E1892" s="956">
        <v>23170</v>
      </c>
      <c r="F1892" s="955"/>
      <c r="L1892" s="954"/>
      <c r="M1892" s="952"/>
      <c r="N1892" s="952"/>
    </row>
    <row r="1893" spans="1:14">
      <c r="A1893" s="958" t="s">
        <v>374</v>
      </c>
      <c r="B1893" s="958">
        <v>29</v>
      </c>
      <c r="C1893" s="958" t="s">
        <v>7960</v>
      </c>
      <c r="D1893" s="957" t="s">
        <v>7959</v>
      </c>
      <c r="E1893" s="956">
        <v>9213</v>
      </c>
      <c r="F1893" s="955"/>
      <c r="L1893" s="954"/>
      <c r="M1893" s="952"/>
      <c r="N1893" s="952"/>
    </row>
    <row r="1894" spans="1:14">
      <c r="A1894" s="958" t="s">
        <v>374</v>
      </c>
      <c r="B1894" s="958">
        <v>29</v>
      </c>
      <c r="C1894" s="958" t="s">
        <v>7958</v>
      </c>
      <c r="D1894" s="957" t="s">
        <v>7957</v>
      </c>
      <c r="E1894" s="956">
        <v>15573</v>
      </c>
      <c r="F1894" s="955"/>
      <c r="L1894" s="954"/>
      <c r="M1894" s="952"/>
      <c r="N1894" s="952"/>
    </row>
    <row r="1895" spans="1:14">
      <c r="A1895" s="958" t="s">
        <v>374</v>
      </c>
      <c r="B1895" s="958">
        <v>29</v>
      </c>
      <c r="C1895" s="958" t="s">
        <v>7956</v>
      </c>
      <c r="D1895" s="957" t="s">
        <v>7955</v>
      </c>
      <c r="E1895" s="956">
        <v>50975</v>
      </c>
      <c r="F1895" s="955"/>
      <c r="L1895" s="954"/>
      <c r="M1895" s="952"/>
      <c r="N1895" s="952"/>
    </row>
    <row r="1896" spans="1:14">
      <c r="A1896" s="958" t="s">
        <v>374</v>
      </c>
      <c r="B1896" s="958">
        <v>29</v>
      </c>
      <c r="C1896" s="958" t="s">
        <v>7954</v>
      </c>
      <c r="D1896" s="957" t="s">
        <v>7953</v>
      </c>
      <c r="E1896" s="956">
        <v>18437</v>
      </c>
      <c r="F1896" s="955"/>
      <c r="L1896" s="954"/>
      <c r="M1896" s="952"/>
      <c r="N1896" s="952"/>
    </row>
    <row r="1897" spans="1:14">
      <c r="A1897" s="958" t="s">
        <v>374</v>
      </c>
      <c r="B1897" s="958">
        <v>29</v>
      </c>
      <c r="C1897" s="958" t="s">
        <v>7952</v>
      </c>
      <c r="D1897" s="957" t="s">
        <v>7951</v>
      </c>
      <c r="E1897" s="956">
        <v>18176</v>
      </c>
      <c r="F1897" s="955"/>
      <c r="L1897" s="954"/>
      <c r="M1897" s="952"/>
      <c r="N1897" s="952"/>
    </row>
    <row r="1898" spans="1:14">
      <c r="A1898" s="958" t="s">
        <v>374</v>
      </c>
      <c r="B1898" s="958">
        <v>29</v>
      </c>
      <c r="C1898" s="958" t="s">
        <v>7950</v>
      </c>
      <c r="D1898" s="957" t="s">
        <v>7949</v>
      </c>
      <c r="E1898" s="956">
        <v>13327</v>
      </c>
      <c r="F1898" s="955"/>
      <c r="L1898" s="954"/>
      <c r="M1898" s="952"/>
      <c r="N1898" s="952"/>
    </row>
    <row r="1899" spans="1:14">
      <c r="A1899" s="958" t="s">
        <v>374</v>
      </c>
      <c r="B1899" s="958">
        <v>29</v>
      </c>
      <c r="C1899" s="958" t="s">
        <v>7948</v>
      </c>
      <c r="D1899" s="957" t="s">
        <v>7947</v>
      </c>
      <c r="E1899" s="956">
        <v>31988</v>
      </c>
      <c r="F1899" s="955"/>
      <c r="L1899" s="954"/>
      <c r="M1899" s="952"/>
      <c r="N1899" s="952"/>
    </row>
    <row r="1900" spans="1:14">
      <c r="A1900" s="958" t="s">
        <v>374</v>
      </c>
      <c r="B1900" s="958">
        <v>29</v>
      </c>
      <c r="C1900" s="958" t="s">
        <v>7946</v>
      </c>
      <c r="D1900" s="957" t="s">
        <v>7945</v>
      </c>
      <c r="E1900" s="956">
        <v>299132</v>
      </c>
      <c r="F1900" s="955"/>
      <c r="L1900" s="954"/>
      <c r="M1900" s="952"/>
      <c r="N1900" s="952"/>
    </row>
    <row r="1901" spans="1:14">
      <c r="A1901" s="958" t="s">
        <v>374</v>
      </c>
      <c r="B1901" s="958">
        <v>29</v>
      </c>
      <c r="C1901" s="958" t="s">
        <v>7944</v>
      </c>
      <c r="D1901" s="957" t="s">
        <v>7943</v>
      </c>
      <c r="E1901" s="956">
        <v>35316</v>
      </c>
      <c r="F1901" s="955"/>
      <c r="L1901" s="954"/>
      <c r="M1901" s="952"/>
      <c r="N1901" s="952"/>
    </row>
    <row r="1902" spans="1:14">
      <c r="A1902" s="958" t="s">
        <v>374</v>
      </c>
      <c r="B1902" s="958">
        <v>29</v>
      </c>
      <c r="C1902" s="958" t="s">
        <v>7942</v>
      </c>
      <c r="D1902" s="957" t="s">
        <v>7941</v>
      </c>
      <c r="E1902" s="956">
        <v>28798</v>
      </c>
      <c r="F1902" s="955"/>
      <c r="L1902" s="954"/>
      <c r="M1902" s="952"/>
      <c r="N1902" s="952"/>
    </row>
    <row r="1903" spans="1:14">
      <c r="A1903" s="958" t="s">
        <v>374</v>
      </c>
      <c r="B1903" s="958">
        <v>29</v>
      </c>
      <c r="C1903" s="958" t="s">
        <v>7940</v>
      </c>
      <c r="D1903" s="957" t="s">
        <v>7939</v>
      </c>
      <c r="E1903" s="956">
        <v>71206</v>
      </c>
      <c r="F1903" s="955"/>
      <c r="L1903" s="954"/>
      <c r="M1903" s="952"/>
      <c r="N1903" s="952"/>
    </row>
    <row r="1904" spans="1:14">
      <c r="A1904" s="958" t="s">
        <v>374</v>
      </c>
      <c r="B1904" s="958">
        <v>29</v>
      </c>
      <c r="C1904" s="958" t="s">
        <v>7938</v>
      </c>
      <c r="D1904" s="957" t="s">
        <v>7073</v>
      </c>
      <c r="E1904" s="956">
        <v>9711</v>
      </c>
      <c r="F1904" s="955"/>
      <c r="L1904" s="954"/>
      <c r="M1904" s="952"/>
      <c r="N1904" s="952"/>
    </row>
    <row r="1905" spans="1:14">
      <c r="A1905" s="958" t="s">
        <v>374</v>
      </c>
      <c r="B1905" s="958">
        <v>29</v>
      </c>
      <c r="C1905" s="958" t="s">
        <v>7937</v>
      </c>
      <c r="D1905" s="957" t="s">
        <v>1566</v>
      </c>
      <c r="E1905" s="956">
        <v>26176</v>
      </c>
      <c r="F1905" s="955"/>
      <c r="L1905" s="954"/>
      <c r="M1905" s="952"/>
      <c r="N1905" s="952"/>
    </row>
    <row r="1906" spans="1:14">
      <c r="A1906" s="958" t="s">
        <v>374</v>
      </c>
      <c r="B1906" s="958">
        <v>29</v>
      </c>
      <c r="C1906" s="958" t="s">
        <v>7936</v>
      </c>
      <c r="D1906" s="957" t="s">
        <v>7935</v>
      </c>
      <c r="E1906" s="956">
        <v>31099</v>
      </c>
      <c r="F1906" s="955"/>
      <c r="L1906" s="954"/>
      <c r="M1906" s="952"/>
      <c r="N1906" s="952"/>
    </row>
    <row r="1907" spans="1:14">
      <c r="A1907" s="958" t="s">
        <v>374</v>
      </c>
      <c r="B1907" s="958">
        <v>29</v>
      </c>
      <c r="C1907" s="958" t="s">
        <v>7934</v>
      </c>
      <c r="D1907" s="957" t="s">
        <v>7933</v>
      </c>
      <c r="E1907" s="956">
        <v>8258</v>
      </c>
      <c r="F1907" s="955"/>
      <c r="L1907" s="954"/>
      <c r="M1907" s="952"/>
      <c r="N1907" s="952"/>
    </row>
    <row r="1908" spans="1:14">
      <c r="A1908" s="958" t="s">
        <v>374</v>
      </c>
      <c r="B1908" s="958">
        <v>29</v>
      </c>
      <c r="C1908" s="958" t="s">
        <v>7932</v>
      </c>
      <c r="D1908" s="957" t="s">
        <v>7069</v>
      </c>
      <c r="E1908" s="956">
        <v>87076</v>
      </c>
      <c r="F1908" s="955"/>
      <c r="L1908" s="954"/>
      <c r="M1908" s="952"/>
      <c r="N1908" s="952"/>
    </row>
    <row r="1909" spans="1:14">
      <c r="A1909" s="958" t="s">
        <v>374</v>
      </c>
      <c r="B1909" s="958">
        <v>29</v>
      </c>
      <c r="C1909" s="958" t="s">
        <v>7931</v>
      </c>
      <c r="D1909" s="957" t="s">
        <v>7930</v>
      </c>
      <c r="E1909" s="956">
        <v>14319</v>
      </c>
      <c r="F1909" s="955"/>
      <c r="L1909" s="954"/>
      <c r="M1909" s="952"/>
      <c r="N1909" s="952"/>
    </row>
    <row r="1910" spans="1:14">
      <c r="A1910" s="958" t="s">
        <v>374</v>
      </c>
      <c r="B1910" s="958">
        <v>29</v>
      </c>
      <c r="C1910" s="958" t="s">
        <v>7929</v>
      </c>
      <c r="D1910" s="957" t="s">
        <v>7928</v>
      </c>
      <c r="E1910" s="956">
        <v>25189</v>
      </c>
      <c r="F1910" s="955"/>
      <c r="L1910" s="954"/>
      <c r="M1910" s="952"/>
      <c r="N1910" s="952"/>
    </row>
    <row r="1911" spans="1:14">
      <c r="A1911" s="958" t="s">
        <v>374</v>
      </c>
      <c r="B1911" s="958">
        <v>29</v>
      </c>
      <c r="C1911" s="958" t="s">
        <v>7927</v>
      </c>
      <c r="D1911" s="957" t="s">
        <v>7926</v>
      </c>
      <c r="E1911" s="956">
        <v>34834</v>
      </c>
      <c r="F1911" s="955"/>
      <c r="L1911" s="954"/>
      <c r="M1911" s="952"/>
      <c r="N1911" s="952"/>
    </row>
    <row r="1912" spans="1:14">
      <c r="A1912" s="958" t="s">
        <v>374</v>
      </c>
      <c r="B1912" s="958">
        <v>29</v>
      </c>
      <c r="C1912" s="958" t="s">
        <v>7925</v>
      </c>
      <c r="D1912" s="957" t="s">
        <v>7924</v>
      </c>
      <c r="E1912" s="956">
        <v>16668</v>
      </c>
      <c r="F1912" s="955"/>
      <c r="L1912" s="954"/>
      <c r="M1912" s="952"/>
      <c r="N1912" s="952"/>
    </row>
    <row r="1913" spans="1:14">
      <c r="A1913" s="958" t="s">
        <v>374</v>
      </c>
      <c r="B1913" s="958">
        <v>29</v>
      </c>
      <c r="C1913" s="958" t="s">
        <v>7923</v>
      </c>
      <c r="D1913" s="957" t="s">
        <v>7922</v>
      </c>
      <c r="E1913" s="956">
        <v>11637</v>
      </c>
      <c r="F1913" s="955"/>
      <c r="L1913" s="954"/>
      <c r="M1913" s="952"/>
      <c r="N1913" s="952"/>
    </row>
    <row r="1914" spans="1:14">
      <c r="A1914" s="958" t="s">
        <v>374</v>
      </c>
      <c r="B1914" s="958">
        <v>29</v>
      </c>
      <c r="C1914" s="958" t="s">
        <v>7921</v>
      </c>
      <c r="D1914" s="957" t="s">
        <v>7920</v>
      </c>
      <c r="E1914" s="956">
        <v>30662</v>
      </c>
      <c r="F1914" s="955"/>
      <c r="L1914" s="954"/>
      <c r="M1914" s="952"/>
      <c r="N1914" s="952"/>
    </row>
    <row r="1915" spans="1:14">
      <c r="A1915" s="958" t="s">
        <v>374</v>
      </c>
      <c r="B1915" s="958">
        <v>29</v>
      </c>
      <c r="C1915" s="958" t="s">
        <v>7919</v>
      </c>
      <c r="D1915" s="957" t="s">
        <v>7918</v>
      </c>
      <c r="E1915" s="956">
        <v>8951</v>
      </c>
      <c r="F1915" s="955"/>
      <c r="L1915" s="954"/>
      <c r="M1915" s="952"/>
      <c r="N1915" s="952"/>
    </row>
    <row r="1916" spans="1:14">
      <c r="A1916" s="958" t="s">
        <v>374</v>
      </c>
      <c r="B1916" s="958">
        <v>29</v>
      </c>
      <c r="C1916" s="958" t="s">
        <v>7917</v>
      </c>
      <c r="D1916" s="957" t="s">
        <v>7916</v>
      </c>
      <c r="E1916" s="956">
        <v>22016</v>
      </c>
      <c r="F1916" s="955"/>
      <c r="L1916" s="954"/>
      <c r="M1916" s="952"/>
      <c r="N1916" s="952"/>
    </row>
    <row r="1917" spans="1:14">
      <c r="A1917" s="958" t="s">
        <v>374</v>
      </c>
      <c r="B1917" s="958">
        <v>29</v>
      </c>
      <c r="C1917" s="958" t="s">
        <v>7915</v>
      </c>
      <c r="D1917" s="957" t="s">
        <v>7914</v>
      </c>
      <c r="E1917" s="956">
        <v>9295</v>
      </c>
      <c r="F1917" s="955"/>
      <c r="L1917" s="954"/>
      <c r="M1917" s="952"/>
      <c r="N1917" s="952"/>
    </row>
    <row r="1918" spans="1:14">
      <c r="A1918" s="958" t="s">
        <v>374</v>
      </c>
      <c r="B1918" s="958">
        <v>29</v>
      </c>
      <c r="C1918" s="958" t="s">
        <v>7913</v>
      </c>
      <c r="D1918" s="957" t="s">
        <v>7912</v>
      </c>
      <c r="E1918" s="956">
        <v>29018</v>
      </c>
      <c r="F1918" s="955"/>
      <c r="L1918" s="954"/>
      <c r="M1918" s="952"/>
      <c r="N1918" s="952"/>
    </row>
    <row r="1919" spans="1:14">
      <c r="A1919" s="958" t="s">
        <v>374</v>
      </c>
      <c r="B1919" s="958">
        <v>29</v>
      </c>
      <c r="C1919" s="958" t="s">
        <v>7911</v>
      </c>
      <c r="D1919" s="957" t="s">
        <v>7910</v>
      </c>
      <c r="E1919" s="956">
        <v>71969</v>
      </c>
      <c r="F1919" s="955"/>
      <c r="L1919" s="954"/>
      <c r="M1919" s="952"/>
      <c r="N1919" s="952"/>
    </row>
    <row r="1920" spans="1:14">
      <c r="A1920" s="958" t="s">
        <v>374</v>
      </c>
      <c r="B1920" s="958">
        <v>29</v>
      </c>
      <c r="C1920" s="958" t="s">
        <v>7909</v>
      </c>
      <c r="D1920" s="957" t="s">
        <v>7908</v>
      </c>
      <c r="E1920" s="956">
        <v>26264</v>
      </c>
      <c r="F1920" s="955"/>
      <c r="L1920" s="954"/>
      <c r="M1920" s="952"/>
      <c r="N1920" s="952"/>
    </row>
    <row r="1921" spans="1:14">
      <c r="A1921" s="958" t="s">
        <v>374</v>
      </c>
      <c r="B1921" s="958">
        <v>29</v>
      </c>
      <c r="C1921" s="958" t="s">
        <v>7907</v>
      </c>
      <c r="D1921" s="957" t="s">
        <v>7906</v>
      </c>
      <c r="E1921" s="956">
        <v>3577</v>
      </c>
      <c r="F1921" s="955"/>
      <c r="L1921" s="954"/>
      <c r="M1921" s="952"/>
      <c r="N1921" s="952"/>
    </row>
    <row r="1922" spans="1:14">
      <c r="A1922" s="958" t="s">
        <v>374</v>
      </c>
      <c r="B1922" s="958">
        <v>29</v>
      </c>
      <c r="C1922" s="958" t="s">
        <v>7905</v>
      </c>
      <c r="D1922" s="957" t="s">
        <v>7904</v>
      </c>
      <c r="E1922" s="956">
        <v>54704</v>
      </c>
      <c r="F1922" s="955"/>
      <c r="L1922" s="954"/>
      <c r="M1922" s="952"/>
      <c r="N1922" s="952"/>
    </row>
    <row r="1923" spans="1:14">
      <c r="A1923" s="958" t="s">
        <v>374</v>
      </c>
      <c r="B1923" s="958">
        <v>29</v>
      </c>
      <c r="C1923" s="958" t="s">
        <v>7903</v>
      </c>
      <c r="D1923" s="957" t="s">
        <v>7902</v>
      </c>
      <c r="E1923" s="956">
        <v>9329</v>
      </c>
      <c r="F1923" s="955"/>
      <c r="L1923" s="954"/>
      <c r="M1923" s="952"/>
      <c r="N1923" s="952"/>
    </row>
    <row r="1924" spans="1:14">
      <c r="A1924" s="958" t="s">
        <v>374</v>
      </c>
      <c r="B1924" s="958">
        <v>29</v>
      </c>
      <c r="C1924" s="958" t="s">
        <v>7901</v>
      </c>
      <c r="D1924" s="957" t="s">
        <v>7900</v>
      </c>
      <c r="E1924" s="956">
        <v>17266</v>
      </c>
      <c r="F1924" s="955"/>
      <c r="L1924" s="954"/>
      <c r="M1924" s="952"/>
      <c r="N1924" s="952"/>
    </row>
    <row r="1925" spans="1:14">
      <c r="A1925" s="958" t="s">
        <v>374</v>
      </c>
      <c r="B1925" s="958">
        <v>29</v>
      </c>
      <c r="C1925" s="958" t="s">
        <v>7899</v>
      </c>
      <c r="D1925" s="957" t="s">
        <v>7898</v>
      </c>
      <c r="E1925" s="956">
        <v>11177</v>
      </c>
      <c r="F1925" s="955"/>
      <c r="L1925" s="954"/>
      <c r="M1925" s="952"/>
      <c r="N1925" s="952"/>
    </row>
    <row r="1926" spans="1:14">
      <c r="A1926" s="958" t="s">
        <v>374</v>
      </c>
      <c r="B1926" s="958">
        <v>29</v>
      </c>
      <c r="C1926" s="958" t="s">
        <v>7897</v>
      </c>
      <c r="D1926" s="957" t="s">
        <v>7896</v>
      </c>
      <c r="E1926" s="956">
        <v>32515</v>
      </c>
      <c r="F1926" s="955"/>
      <c r="L1926" s="954"/>
      <c r="M1926" s="952"/>
      <c r="N1926" s="952"/>
    </row>
    <row r="1927" spans="1:14">
      <c r="A1927" s="958" t="s">
        <v>374</v>
      </c>
      <c r="B1927" s="958">
        <v>29</v>
      </c>
      <c r="C1927" s="958" t="s">
        <v>7895</v>
      </c>
      <c r="D1927" s="957" t="s">
        <v>7894</v>
      </c>
      <c r="E1927" s="956">
        <v>17300</v>
      </c>
      <c r="F1927" s="955"/>
      <c r="L1927" s="954"/>
      <c r="M1927" s="952"/>
      <c r="N1927" s="952"/>
    </row>
    <row r="1928" spans="1:14">
      <c r="A1928" s="958" t="s">
        <v>374</v>
      </c>
      <c r="B1928" s="958">
        <v>29</v>
      </c>
      <c r="C1928" s="958" t="s">
        <v>7893</v>
      </c>
      <c r="D1928" s="957" t="s">
        <v>7892</v>
      </c>
      <c r="E1928" s="956">
        <v>16993</v>
      </c>
      <c r="F1928" s="955"/>
      <c r="L1928" s="954"/>
      <c r="M1928" s="952"/>
      <c r="N1928" s="952"/>
    </row>
    <row r="1929" spans="1:14">
      <c r="A1929" s="958" t="s">
        <v>374</v>
      </c>
      <c r="B1929" s="958">
        <v>29</v>
      </c>
      <c r="C1929" s="958" t="s">
        <v>7891</v>
      </c>
      <c r="D1929" s="957" t="s">
        <v>7890</v>
      </c>
      <c r="E1929" s="956">
        <v>18777</v>
      </c>
      <c r="F1929" s="955"/>
      <c r="L1929" s="954"/>
      <c r="M1929" s="952"/>
      <c r="N1929" s="952"/>
    </row>
    <row r="1930" spans="1:14">
      <c r="A1930" s="958" t="s">
        <v>374</v>
      </c>
      <c r="B1930" s="958">
        <v>29</v>
      </c>
      <c r="C1930" s="958" t="s">
        <v>7889</v>
      </c>
      <c r="D1930" s="957" t="s">
        <v>7888</v>
      </c>
      <c r="E1930" s="956">
        <v>22581</v>
      </c>
      <c r="F1930" s="955"/>
      <c r="L1930" s="954"/>
      <c r="M1930" s="952"/>
      <c r="N1930" s="952"/>
    </row>
    <row r="1931" spans="1:14">
      <c r="A1931" s="958" t="s">
        <v>374</v>
      </c>
      <c r="B1931" s="958">
        <v>29</v>
      </c>
      <c r="C1931" s="958" t="s">
        <v>7887</v>
      </c>
      <c r="D1931" s="957" t="s">
        <v>7886</v>
      </c>
      <c r="E1931" s="956">
        <v>17247</v>
      </c>
      <c r="F1931" s="955"/>
      <c r="L1931" s="954"/>
      <c r="M1931" s="952"/>
      <c r="N1931" s="952"/>
    </row>
    <row r="1932" spans="1:14">
      <c r="A1932" s="958" t="s">
        <v>374</v>
      </c>
      <c r="B1932" s="958">
        <v>29</v>
      </c>
      <c r="C1932" s="958" t="s">
        <v>7885</v>
      </c>
      <c r="D1932" s="957" t="s">
        <v>7884</v>
      </c>
      <c r="E1932" s="956">
        <v>66612</v>
      </c>
      <c r="F1932" s="955"/>
      <c r="L1932" s="954"/>
      <c r="M1932" s="952"/>
      <c r="N1932" s="952"/>
    </row>
    <row r="1933" spans="1:14">
      <c r="A1933" s="958" t="s">
        <v>374</v>
      </c>
      <c r="B1933" s="958">
        <v>29</v>
      </c>
      <c r="C1933" s="958" t="s">
        <v>7883</v>
      </c>
      <c r="D1933" s="957" t="s">
        <v>7882</v>
      </c>
      <c r="E1933" s="956">
        <v>33153</v>
      </c>
      <c r="F1933" s="955"/>
      <c r="L1933" s="954"/>
      <c r="M1933" s="952"/>
      <c r="N1933" s="952"/>
    </row>
    <row r="1934" spans="1:14">
      <c r="A1934" s="958" t="s">
        <v>374</v>
      </c>
      <c r="B1934" s="958">
        <v>29</v>
      </c>
      <c r="C1934" s="958" t="s">
        <v>7881</v>
      </c>
      <c r="D1934" s="957" t="s">
        <v>7880</v>
      </c>
      <c r="E1934" s="956">
        <v>25837</v>
      </c>
      <c r="F1934" s="955"/>
      <c r="L1934" s="954"/>
      <c r="M1934" s="952"/>
      <c r="N1934" s="952"/>
    </row>
    <row r="1935" spans="1:14">
      <c r="A1935" s="958" t="s">
        <v>374</v>
      </c>
      <c r="B1935" s="958">
        <v>29</v>
      </c>
      <c r="C1935" s="958" t="s">
        <v>7879</v>
      </c>
      <c r="D1935" s="957" t="s">
        <v>7878</v>
      </c>
      <c r="E1935" s="956">
        <v>17247</v>
      </c>
      <c r="F1935" s="955"/>
      <c r="L1935" s="954"/>
      <c r="M1935" s="952"/>
      <c r="N1935" s="952"/>
    </row>
    <row r="1936" spans="1:14">
      <c r="A1936" s="958" t="s">
        <v>374</v>
      </c>
      <c r="B1936" s="958">
        <v>29</v>
      </c>
      <c r="C1936" s="958" t="s">
        <v>7877</v>
      </c>
      <c r="D1936" s="957" t="s">
        <v>7876</v>
      </c>
      <c r="E1936" s="956">
        <v>4066</v>
      </c>
      <c r="F1936" s="955"/>
      <c r="L1936" s="954"/>
      <c r="M1936" s="952"/>
      <c r="N1936" s="952"/>
    </row>
    <row r="1937" spans="1:14">
      <c r="A1937" s="958" t="s">
        <v>374</v>
      </c>
      <c r="B1937" s="958">
        <v>29</v>
      </c>
      <c r="C1937" s="958" t="s">
        <v>7875</v>
      </c>
      <c r="D1937" s="957" t="s">
        <v>7874</v>
      </c>
      <c r="E1937" s="956">
        <v>22605</v>
      </c>
      <c r="F1937" s="955"/>
      <c r="L1937" s="954"/>
      <c r="M1937" s="952"/>
      <c r="N1937" s="952"/>
    </row>
    <row r="1938" spans="1:14">
      <c r="A1938" s="958" t="s">
        <v>374</v>
      </c>
      <c r="B1938" s="958">
        <v>29</v>
      </c>
      <c r="C1938" s="958" t="s">
        <v>7873</v>
      </c>
      <c r="D1938" s="957" t="s">
        <v>7872</v>
      </c>
      <c r="E1938" s="956">
        <v>8614</v>
      </c>
      <c r="F1938" s="955"/>
      <c r="L1938" s="954"/>
      <c r="M1938" s="952"/>
      <c r="N1938" s="952"/>
    </row>
    <row r="1939" spans="1:14">
      <c r="A1939" s="958" t="s">
        <v>374</v>
      </c>
      <c r="B1939" s="958">
        <v>29</v>
      </c>
      <c r="C1939" s="958" t="s">
        <v>7871</v>
      </c>
      <c r="D1939" s="957" t="s">
        <v>7870</v>
      </c>
      <c r="E1939" s="956">
        <v>14194</v>
      </c>
      <c r="F1939" s="955"/>
      <c r="L1939" s="954"/>
      <c r="M1939" s="952"/>
      <c r="N1939" s="952"/>
    </row>
    <row r="1940" spans="1:14" ht="17.25">
      <c r="A1940" s="958" t="s">
        <v>374</v>
      </c>
      <c r="B1940" s="958">
        <v>29</v>
      </c>
      <c r="C1940" s="958" t="s">
        <v>7869</v>
      </c>
      <c r="D1940" s="957" t="s">
        <v>7868</v>
      </c>
      <c r="E1940" s="956" t="s">
        <v>7867</v>
      </c>
      <c r="F1940" s="955"/>
      <c r="L1940" s="954"/>
      <c r="M1940" s="952"/>
      <c r="N1940" s="952"/>
    </row>
    <row r="1941" spans="1:14">
      <c r="A1941" s="958" t="s">
        <v>374</v>
      </c>
      <c r="B1941" s="958">
        <v>29</v>
      </c>
      <c r="C1941" s="958" t="s">
        <v>7866</v>
      </c>
      <c r="D1941" s="957" t="s">
        <v>7865</v>
      </c>
      <c r="E1941" s="956">
        <v>32137</v>
      </c>
      <c r="F1941" s="955"/>
      <c r="L1941" s="954"/>
      <c r="M1941" s="952"/>
      <c r="N1941" s="952"/>
    </row>
    <row r="1942" spans="1:14">
      <c r="A1942" s="958" t="s">
        <v>374</v>
      </c>
      <c r="B1942" s="958">
        <v>29</v>
      </c>
      <c r="C1942" s="958" t="s">
        <v>7864</v>
      </c>
      <c r="D1942" s="957" t="s">
        <v>7863</v>
      </c>
      <c r="E1942" s="956">
        <v>13782</v>
      </c>
      <c r="F1942" s="955"/>
      <c r="L1942" s="954"/>
      <c r="M1942" s="952"/>
      <c r="N1942" s="952"/>
    </row>
    <row r="1943" spans="1:14">
      <c r="A1943" s="958" t="s">
        <v>374</v>
      </c>
      <c r="B1943" s="958">
        <v>29</v>
      </c>
      <c r="C1943" s="958" t="s">
        <v>7862</v>
      </c>
      <c r="D1943" s="957" t="s">
        <v>7861</v>
      </c>
      <c r="E1943" s="956">
        <v>5349</v>
      </c>
      <c r="F1943" s="955"/>
      <c r="L1943" s="954"/>
      <c r="M1943" s="952"/>
      <c r="N1943" s="952"/>
    </row>
    <row r="1944" spans="1:14">
      <c r="A1944" s="958" t="s">
        <v>374</v>
      </c>
      <c r="B1944" s="958">
        <v>29</v>
      </c>
      <c r="C1944" s="958" t="s">
        <v>7860</v>
      </c>
      <c r="D1944" s="957" t="s">
        <v>7859</v>
      </c>
      <c r="E1944" s="956">
        <v>21103</v>
      </c>
      <c r="F1944" s="955"/>
      <c r="L1944" s="954"/>
      <c r="M1944" s="952"/>
      <c r="N1944" s="952"/>
    </row>
    <row r="1945" spans="1:14">
      <c r="A1945" s="958" t="s">
        <v>374</v>
      </c>
      <c r="B1945" s="958">
        <v>29</v>
      </c>
      <c r="C1945" s="958" t="s">
        <v>7858</v>
      </c>
      <c r="D1945" s="957" t="s">
        <v>7857</v>
      </c>
      <c r="E1945" s="956">
        <v>13910</v>
      </c>
      <c r="F1945" s="955"/>
      <c r="L1945" s="954"/>
      <c r="M1945" s="952"/>
      <c r="N1945" s="952"/>
    </row>
    <row r="1946" spans="1:14">
      <c r="A1946" s="958" t="s">
        <v>374</v>
      </c>
      <c r="B1946" s="958">
        <v>29</v>
      </c>
      <c r="C1946" s="958" t="s">
        <v>7856</v>
      </c>
      <c r="D1946" s="957" t="s">
        <v>7855</v>
      </c>
      <c r="E1946" s="956">
        <v>63239</v>
      </c>
      <c r="F1946" s="955"/>
      <c r="L1946" s="954"/>
      <c r="M1946" s="952"/>
      <c r="N1946" s="952"/>
    </row>
    <row r="1947" spans="1:14">
      <c r="A1947" s="958" t="s">
        <v>374</v>
      </c>
      <c r="B1947" s="958">
        <v>29</v>
      </c>
      <c r="C1947" s="958" t="s">
        <v>7854</v>
      </c>
      <c r="D1947" s="957" t="s">
        <v>7853</v>
      </c>
      <c r="E1947" s="956">
        <v>34700</v>
      </c>
      <c r="F1947" s="955"/>
      <c r="L1947" s="954"/>
      <c r="M1947" s="952"/>
      <c r="N1947" s="952"/>
    </row>
    <row r="1948" spans="1:14">
      <c r="A1948" s="958" t="s">
        <v>374</v>
      </c>
      <c r="B1948" s="958">
        <v>29</v>
      </c>
      <c r="C1948" s="958" t="s">
        <v>7852</v>
      </c>
      <c r="D1948" s="957" t="s">
        <v>7851</v>
      </c>
      <c r="E1948" s="956">
        <v>10710</v>
      </c>
      <c r="F1948" s="955"/>
      <c r="L1948" s="954"/>
      <c r="M1948" s="952"/>
      <c r="N1948" s="952"/>
    </row>
    <row r="1949" spans="1:14">
      <c r="A1949" s="958" t="s">
        <v>374</v>
      </c>
      <c r="B1949" s="958">
        <v>29</v>
      </c>
      <c r="C1949" s="958" t="s">
        <v>7850</v>
      </c>
      <c r="D1949" s="957" t="s">
        <v>7849</v>
      </c>
      <c r="E1949" s="956">
        <v>81089</v>
      </c>
      <c r="F1949" s="955"/>
      <c r="L1949" s="954"/>
      <c r="M1949" s="952"/>
      <c r="N1949" s="952"/>
    </row>
    <row r="1950" spans="1:14">
      <c r="A1950" s="958" t="s">
        <v>374</v>
      </c>
      <c r="B1950" s="958">
        <v>29</v>
      </c>
      <c r="C1950" s="958" t="s">
        <v>7848</v>
      </c>
      <c r="D1950" s="957" t="s">
        <v>7847</v>
      </c>
      <c r="E1950" s="956">
        <v>12199</v>
      </c>
      <c r="F1950" s="955"/>
      <c r="L1950" s="954"/>
      <c r="M1950" s="952"/>
      <c r="N1950" s="952"/>
    </row>
    <row r="1951" spans="1:14">
      <c r="A1951" s="958" t="s">
        <v>374</v>
      </c>
      <c r="B1951" s="958">
        <v>29</v>
      </c>
      <c r="C1951" s="958" t="s">
        <v>7846</v>
      </c>
      <c r="D1951" s="957" t="s">
        <v>7845</v>
      </c>
      <c r="E1951" s="956">
        <v>4058</v>
      </c>
      <c r="F1951" s="955"/>
      <c r="L1951" s="954"/>
      <c r="M1951" s="952"/>
      <c r="N1951" s="952"/>
    </row>
    <row r="1952" spans="1:14">
      <c r="A1952" s="958" t="s">
        <v>374</v>
      </c>
      <c r="B1952" s="958">
        <v>29</v>
      </c>
      <c r="C1952" s="958" t="s">
        <v>7844</v>
      </c>
      <c r="D1952" s="957" t="s">
        <v>7843</v>
      </c>
      <c r="E1952" s="956">
        <v>8122</v>
      </c>
      <c r="F1952" s="955"/>
      <c r="L1952" s="954"/>
      <c r="M1952" s="952"/>
      <c r="N1952" s="952"/>
    </row>
    <row r="1953" spans="1:14">
      <c r="A1953" s="958" t="s">
        <v>374</v>
      </c>
      <c r="B1953" s="958">
        <v>29</v>
      </c>
      <c r="C1953" s="958" t="s">
        <v>7842</v>
      </c>
      <c r="D1953" s="957" t="s">
        <v>7841</v>
      </c>
      <c r="E1953" s="956">
        <v>17006</v>
      </c>
      <c r="F1953" s="955"/>
      <c r="L1953" s="954"/>
      <c r="M1953" s="952"/>
      <c r="N1953" s="952"/>
    </row>
    <row r="1954" spans="1:14">
      <c r="A1954" s="958" t="s">
        <v>374</v>
      </c>
      <c r="B1954" s="958">
        <v>29</v>
      </c>
      <c r="C1954" s="958" t="s">
        <v>7840</v>
      </c>
      <c r="D1954" s="957" t="s">
        <v>3189</v>
      </c>
      <c r="E1954" s="956">
        <v>41780</v>
      </c>
      <c r="F1954" s="955"/>
      <c r="L1954" s="954"/>
      <c r="M1954" s="952"/>
      <c r="N1954" s="952"/>
    </row>
    <row r="1955" spans="1:14">
      <c r="A1955" s="958" t="s">
        <v>374</v>
      </c>
      <c r="B1955" s="958">
        <v>29</v>
      </c>
      <c r="C1955" s="958" t="s">
        <v>7839</v>
      </c>
      <c r="D1955" s="957" t="s">
        <v>7838</v>
      </c>
      <c r="E1955" s="956">
        <v>37237</v>
      </c>
      <c r="F1955" s="955"/>
      <c r="L1955" s="954"/>
      <c r="M1955" s="952"/>
      <c r="N1955" s="952"/>
    </row>
    <row r="1956" spans="1:14" ht="17.25">
      <c r="A1956" s="958" t="s">
        <v>374</v>
      </c>
      <c r="B1956" s="958">
        <v>29</v>
      </c>
      <c r="C1956" s="958" t="s">
        <v>7837</v>
      </c>
      <c r="D1956" s="957" t="s">
        <v>7836</v>
      </c>
      <c r="E1956" s="956" t="s">
        <v>7835</v>
      </c>
      <c r="F1956" s="955"/>
      <c r="L1956" s="954"/>
      <c r="M1956" s="952"/>
      <c r="N1956" s="952"/>
    </row>
    <row r="1957" spans="1:14">
      <c r="A1957" s="958" t="s">
        <v>374</v>
      </c>
      <c r="B1957" s="958">
        <v>29</v>
      </c>
      <c r="C1957" s="958" t="s">
        <v>7834</v>
      </c>
      <c r="D1957" s="957" t="s">
        <v>7833</v>
      </c>
      <c r="E1957" s="956">
        <v>113380</v>
      </c>
      <c r="F1957" s="955"/>
      <c r="L1957" s="954"/>
      <c r="M1957" s="952"/>
      <c r="N1957" s="952"/>
    </row>
    <row r="1958" spans="1:14">
      <c r="A1958" s="958" t="s">
        <v>374</v>
      </c>
      <c r="B1958" s="958">
        <v>29</v>
      </c>
      <c r="C1958" s="958" t="s">
        <v>7832</v>
      </c>
      <c r="D1958" s="957" t="s">
        <v>7831</v>
      </c>
      <c r="E1958" s="956">
        <v>17890</v>
      </c>
      <c r="F1958" s="955"/>
      <c r="L1958" s="954"/>
      <c r="M1958" s="952"/>
      <c r="N1958" s="952"/>
    </row>
    <row r="1959" spans="1:14">
      <c r="A1959" s="958" t="s">
        <v>374</v>
      </c>
      <c r="B1959" s="958">
        <v>29</v>
      </c>
      <c r="C1959" s="958" t="s">
        <v>7830</v>
      </c>
      <c r="D1959" s="957" t="s">
        <v>7829</v>
      </c>
      <c r="E1959" s="956">
        <v>5665</v>
      </c>
      <c r="F1959" s="955"/>
      <c r="L1959" s="954"/>
      <c r="M1959" s="952"/>
      <c r="N1959" s="952"/>
    </row>
    <row r="1960" spans="1:14">
      <c r="A1960" s="958" t="s">
        <v>374</v>
      </c>
      <c r="B1960" s="958">
        <v>29</v>
      </c>
      <c r="C1960" s="958" t="s">
        <v>7828</v>
      </c>
      <c r="D1960" s="957" t="s">
        <v>7827</v>
      </c>
      <c r="E1960" s="956">
        <v>614872</v>
      </c>
      <c r="F1960" s="955"/>
      <c r="L1960" s="954"/>
      <c r="M1960" s="952"/>
      <c r="N1960" s="952"/>
    </row>
    <row r="1961" spans="1:14">
      <c r="A1961" s="958" t="s">
        <v>374</v>
      </c>
      <c r="B1961" s="958">
        <v>29</v>
      </c>
      <c r="C1961" s="958" t="s">
        <v>7826</v>
      </c>
      <c r="D1961" s="957" t="s">
        <v>7825</v>
      </c>
      <c r="E1961" s="956">
        <v>16377</v>
      </c>
      <c r="F1961" s="955"/>
      <c r="L1961" s="954"/>
      <c r="M1961" s="952"/>
      <c r="N1961" s="952"/>
    </row>
    <row r="1962" spans="1:14">
      <c r="A1962" s="958" t="s">
        <v>374</v>
      </c>
      <c r="B1962" s="958">
        <v>29</v>
      </c>
      <c r="C1962" s="958" t="s">
        <v>7824</v>
      </c>
      <c r="D1962" s="957" t="s">
        <v>7823</v>
      </c>
      <c r="E1962" s="956">
        <v>5617</v>
      </c>
      <c r="F1962" s="955"/>
      <c r="L1962" s="954"/>
      <c r="M1962" s="952"/>
      <c r="N1962" s="952"/>
    </row>
    <row r="1963" spans="1:14">
      <c r="A1963" s="958" t="s">
        <v>374</v>
      </c>
      <c r="B1963" s="958">
        <v>29</v>
      </c>
      <c r="C1963" s="958" t="s">
        <v>7822</v>
      </c>
      <c r="D1963" s="957" t="s">
        <v>7821</v>
      </c>
      <c r="E1963" s="956">
        <v>10629</v>
      </c>
      <c r="F1963" s="955"/>
      <c r="L1963" s="954"/>
      <c r="M1963" s="952"/>
      <c r="N1963" s="952"/>
    </row>
    <row r="1964" spans="1:14">
      <c r="A1964" s="958" t="s">
        <v>374</v>
      </c>
      <c r="B1964" s="958">
        <v>29</v>
      </c>
      <c r="C1964" s="958" t="s">
        <v>7820</v>
      </c>
      <c r="D1964" s="957" t="s">
        <v>7819</v>
      </c>
      <c r="E1964" s="956">
        <v>25591</v>
      </c>
      <c r="F1964" s="955"/>
      <c r="L1964" s="954"/>
      <c r="M1964" s="952"/>
      <c r="N1964" s="952"/>
    </row>
    <row r="1965" spans="1:14">
      <c r="A1965" s="958" t="s">
        <v>374</v>
      </c>
      <c r="B1965" s="958">
        <v>29</v>
      </c>
      <c r="C1965" s="958" t="s">
        <v>7818</v>
      </c>
      <c r="D1965" s="957" t="s">
        <v>7817</v>
      </c>
      <c r="E1965" s="956">
        <v>32403</v>
      </c>
      <c r="F1965" s="955"/>
      <c r="L1965" s="954"/>
      <c r="M1965" s="952"/>
      <c r="N1965" s="952"/>
    </row>
    <row r="1966" spans="1:14">
      <c r="A1966" s="958" t="s">
        <v>374</v>
      </c>
      <c r="B1966" s="958">
        <v>29</v>
      </c>
      <c r="C1966" s="958" t="s">
        <v>7816</v>
      </c>
      <c r="D1966" s="957" t="s">
        <v>7815</v>
      </c>
      <c r="E1966" s="956">
        <v>4463</v>
      </c>
      <c r="F1966" s="955"/>
      <c r="L1966" s="954"/>
      <c r="M1966" s="952"/>
      <c r="N1966" s="952"/>
    </row>
    <row r="1967" spans="1:14">
      <c r="A1967" s="958" t="s">
        <v>374</v>
      </c>
      <c r="B1967" s="958">
        <v>29</v>
      </c>
      <c r="C1967" s="958" t="s">
        <v>7814</v>
      </c>
      <c r="D1967" s="957" t="s">
        <v>7813</v>
      </c>
      <c r="E1967" s="956">
        <v>11233</v>
      </c>
      <c r="F1967" s="955"/>
      <c r="L1967" s="954"/>
      <c r="M1967" s="952"/>
      <c r="N1967" s="952"/>
    </row>
    <row r="1968" spans="1:14">
      <c r="A1968" s="958" t="s">
        <v>374</v>
      </c>
      <c r="B1968" s="958">
        <v>29</v>
      </c>
      <c r="C1968" s="958" t="s">
        <v>7812</v>
      </c>
      <c r="D1968" s="957" t="s">
        <v>7811</v>
      </c>
      <c r="E1968" s="956">
        <v>15221</v>
      </c>
      <c r="F1968" s="955"/>
      <c r="L1968" s="954"/>
      <c r="M1968" s="952"/>
      <c r="N1968" s="952"/>
    </row>
    <row r="1969" spans="1:14">
      <c r="A1969" s="958" t="s">
        <v>374</v>
      </c>
      <c r="B1969" s="958">
        <v>29</v>
      </c>
      <c r="C1969" s="958" t="s">
        <v>7810</v>
      </c>
      <c r="D1969" s="957" t="s">
        <v>7809</v>
      </c>
      <c r="E1969" s="956">
        <v>7128</v>
      </c>
      <c r="F1969" s="955"/>
      <c r="L1969" s="954"/>
      <c r="M1969" s="952"/>
      <c r="N1969" s="952"/>
    </row>
    <row r="1970" spans="1:14">
      <c r="A1970" s="958" t="s">
        <v>374</v>
      </c>
      <c r="B1970" s="958">
        <v>29</v>
      </c>
      <c r="C1970" s="958" t="s">
        <v>7808</v>
      </c>
      <c r="D1970" s="957" t="s">
        <v>7807</v>
      </c>
      <c r="E1970" s="956">
        <v>20722</v>
      </c>
      <c r="F1970" s="955"/>
      <c r="L1970" s="954"/>
      <c r="M1970" s="952"/>
      <c r="N1970" s="952"/>
    </row>
    <row r="1971" spans="1:14">
      <c r="A1971" s="958" t="s">
        <v>374</v>
      </c>
      <c r="B1971" s="958">
        <v>29</v>
      </c>
      <c r="C1971" s="958" t="s">
        <v>7806</v>
      </c>
      <c r="D1971" s="957" t="s">
        <v>7805</v>
      </c>
      <c r="E1971" s="956">
        <v>6937</v>
      </c>
      <c r="F1971" s="955"/>
      <c r="L1971" s="954"/>
      <c r="M1971" s="952"/>
      <c r="N1971" s="952"/>
    </row>
    <row r="1972" spans="1:14">
      <c r="A1972" s="958" t="s">
        <v>374</v>
      </c>
      <c r="B1972" s="958">
        <v>29</v>
      </c>
      <c r="C1972" s="958" t="s">
        <v>7804</v>
      </c>
      <c r="D1972" s="957" t="s">
        <v>7803</v>
      </c>
      <c r="E1972" s="956">
        <v>84481</v>
      </c>
      <c r="F1972" s="955"/>
      <c r="L1972" s="954"/>
      <c r="M1972" s="952"/>
      <c r="N1972" s="952"/>
    </row>
    <row r="1973" spans="1:14">
      <c r="A1973" s="958" t="s">
        <v>374</v>
      </c>
      <c r="B1973" s="958">
        <v>29</v>
      </c>
      <c r="C1973" s="958" t="s">
        <v>7802</v>
      </c>
      <c r="D1973" s="957" t="s">
        <v>7801</v>
      </c>
      <c r="E1973" s="956">
        <v>20843</v>
      </c>
      <c r="F1973" s="955"/>
      <c r="L1973" s="954"/>
      <c r="M1973" s="952"/>
      <c r="N1973" s="952"/>
    </row>
    <row r="1974" spans="1:14" ht="17.25">
      <c r="A1974" s="958" t="s">
        <v>374</v>
      </c>
      <c r="B1974" s="958">
        <v>29</v>
      </c>
      <c r="C1974" s="958" t="s">
        <v>7800</v>
      </c>
      <c r="D1974" s="957" t="s">
        <v>7799</v>
      </c>
      <c r="E1974" s="956" t="s">
        <v>7798</v>
      </c>
      <c r="F1974" s="955"/>
      <c r="L1974" s="954"/>
      <c r="M1974" s="952"/>
      <c r="N1974" s="952"/>
    </row>
    <row r="1975" spans="1:14">
      <c r="A1975" s="958" t="s">
        <v>374</v>
      </c>
      <c r="B1975" s="958">
        <v>29</v>
      </c>
      <c r="C1975" s="958" t="s">
        <v>7797</v>
      </c>
      <c r="D1975" s="957" t="s">
        <v>7796</v>
      </c>
      <c r="E1975" s="956">
        <v>24305</v>
      </c>
      <c r="F1975" s="955"/>
      <c r="L1975" s="954"/>
      <c r="M1975" s="952"/>
      <c r="N1975" s="952"/>
    </row>
    <row r="1976" spans="1:14" ht="17.25">
      <c r="A1976" s="958" t="s">
        <v>374</v>
      </c>
      <c r="B1976" s="958">
        <v>29</v>
      </c>
      <c r="C1976" s="958" t="s">
        <v>7795</v>
      </c>
      <c r="D1976" s="957" t="s">
        <v>7794</v>
      </c>
      <c r="E1976" s="956" t="s">
        <v>7793</v>
      </c>
      <c r="F1976" s="955"/>
      <c r="L1976" s="954"/>
      <c r="M1976" s="952"/>
      <c r="N1976" s="952"/>
    </row>
    <row r="1977" spans="1:14">
      <c r="A1977" s="958" t="s">
        <v>374</v>
      </c>
      <c r="B1977" s="958">
        <v>29</v>
      </c>
      <c r="C1977" s="958" t="s">
        <v>7792</v>
      </c>
      <c r="D1977" s="957" t="s">
        <v>7791</v>
      </c>
      <c r="E1977" s="956">
        <v>21689</v>
      </c>
      <c r="F1977" s="955"/>
      <c r="L1977" s="954"/>
      <c r="M1977" s="952"/>
      <c r="N1977" s="952"/>
    </row>
    <row r="1978" spans="1:14">
      <c r="A1978" s="958" t="s">
        <v>374</v>
      </c>
      <c r="B1978" s="958">
        <v>29</v>
      </c>
      <c r="C1978" s="958" t="s">
        <v>7790</v>
      </c>
      <c r="D1978" s="957" t="s">
        <v>7789</v>
      </c>
      <c r="E1978" s="956">
        <v>19571</v>
      </c>
      <c r="F1978" s="955"/>
      <c r="L1978" s="954"/>
      <c r="M1978" s="952"/>
      <c r="N1978" s="952"/>
    </row>
    <row r="1979" spans="1:14">
      <c r="A1979" s="958" t="s">
        <v>374</v>
      </c>
      <c r="B1979" s="958">
        <v>29</v>
      </c>
      <c r="C1979" s="958" t="s">
        <v>7788</v>
      </c>
      <c r="D1979" s="957" t="s">
        <v>7787</v>
      </c>
      <c r="E1979" s="956">
        <v>16198</v>
      </c>
      <c r="F1979" s="955"/>
      <c r="L1979" s="954"/>
      <c r="M1979" s="952"/>
      <c r="N1979" s="952"/>
    </row>
    <row r="1980" spans="1:14">
      <c r="A1980" s="958" t="s">
        <v>374</v>
      </c>
      <c r="B1980" s="958">
        <v>29</v>
      </c>
      <c r="C1980" s="958" t="s">
        <v>7786</v>
      </c>
      <c r="D1980" s="957" t="s">
        <v>7785</v>
      </c>
      <c r="E1980" s="956">
        <v>18211</v>
      </c>
      <c r="F1980" s="955"/>
      <c r="L1980" s="954"/>
      <c r="M1980" s="952"/>
      <c r="N1980" s="952"/>
    </row>
    <row r="1981" spans="1:14">
      <c r="A1981" s="958" t="s">
        <v>374</v>
      </c>
      <c r="B1981" s="958">
        <v>29</v>
      </c>
      <c r="C1981" s="958" t="s">
        <v>7784</v>
      </c>
      <c r="D1981" s="957" t="s">
        <v>7783</v>
      </c>
      <c r="E1981" s="956">
        <v>14902</v>
      </c>
      <c r="F1981" s="955"/>
      <c r="L1981" s="954"/>
      <c r="M1981" s="952"/>
      <c r="N1981" s="952"/>
    </row>
    <row r="1982" spans="1:14">
      <c r="A1982" s="958" t="s">
        <v>374</v>
      </c>
      <c r="B1982" s="958">
        <v>29</v>
      </c>
      <c r="C1982" s="958" t="s">
        <v>7782</v>
      </c>
      <c r="D1982" s="957" t="s">
        <v>7781</v>
      </c>
      <c r="E1982" s="956">
        <v>4044</v>
      </c>
      <c r="F1982" s="955"/>
      <c r="L1982" s="954"/>
      <c r="M1982" s="952"/>
      <c r="N1982" s="952"/>
    </row>
    <row r="1983" spans="1:14">
      <c r="A1983" s="958" t="s">
        <v>374</v>
      </c>
      <c r="B1983" s="958">
        <v>29</v>
      </c>
      <c r="C1983" s="958" t="s">
        <v>7780</v>
      </c>
      <c r="D1983" s="957" t="s">
        <v>7779</v>
      </c>
      <c r="E1983" s="956">
        <v>23375</v>
      </c>
      <c r="F1983" s="955"/>
      <c r="L1983" s="954"/>
      <c r="M1983" s="952"/>
      <c r="N1983" s="952"/>
    </row>
    <row r="1984" spans="1:14">
      <c r="A1984" s="958" t="s">
        <v>374</v>
      </c>
      <c r="B1984" s="958">
        <v>29</v>
      </c>
      <c r="C1984" s="958" t="s">
        <v>7778</v>
      </c>
      <c r="D1984" s="957" t="s">
        <v>7777</v>
      </c>
      <c r="E1984" s="956">
        <v>8637</v>
      </c>
      <c r="F1984" s="955"/>
      <c r="L1984" s="954"/>
      <c r="M1984" s="952"/>
      <c r="N1984" s="952"/>
    </row>
    <row r="1985" spans="1:14">
      <c r="A1985" s="958" t="s">
        <v>374</v>
      </c>
      <c r="B1985" s="958">
        <v>29</v>
      </c>
      <c r="C1985" s="958" t="s">
        <v>7776</v>
      </c>
      <c r="D1985" s="957" t="s">
        <v>7775</v>
      </c>
      <c r="E1985" s="956">
        <v>15312</v>
      </c>
      <c r="F1985" s="955"/>
      <c r="L1985" s="954"/>
      <c r="M1985" s="952"/>
      <c r="N1985" s="952"/>
    </row>
    <row r="1986" spans="1:14">
      <c r="A1986" s="958" t="s">
        <v>374</v>
      </c>
      <c r="B1986" s="958">
        <v>29</v>
      </c>
      <c r="C1986" s="958" t="s">
        <v>7774</v>
      </c>
      <c r="D1986" s="957" t="s">
        <v>7773</v>
      </c>
      <c r="E1986" s="956">
        <v>16339</v>
      </c>
      <c r="F1986" s="955"/>
      <c r="L1986" s="954"/>
      <c r="M1986" s="952"/>
      <c r="N1986" s="952"/>
    </row>
    <row r="1987" spans="1:14">
      <c r="A1987" s="958" t="s">
        <v>374</v>
      </c>
      <c r="B1987" s="958">
        <v>29</v>
      </c>
      <c r="C1987" s="958" t="s">
        <v>7772</v>
      </c>
      <c r="D1987" s="957" t="s">
        <v>7771</v>
      </c>
      <c r="E1987" s="956">
        <v>17113</v>
      </c>
      <c r="F1987" s="955"/>
      <c r="L1987" s="954"/>
      <c r="M1987" s="952"/>
      <c r="N1987" s="952"/>
    </row>
    <row r="1988" spans="1:14">
      <c r="A1988" s="958" t="s">
        <v>374</v>
      </c>
      <c r="B1988" s="958">
        <v>29</v>
      </c>
      <c r="C1988" s="958" t="s">
        <v>7770</v>
      </c>
      <c r="D1988" s="957" t="s">
        <v>7769</v>
      </c>
      <c r="E1988" s="956">
        <v>26927</v>
      </c>
      <c r="F1988" s="955"/>
      <c r="L1988" s="954"/>
      <c r="M1988" s="952"/>
      <c r="N1988" s="952"/>
    </row>
    <row r="1989" spans="1:14">
      <c r="A1989" s="958" t="s">
        <v>374</v>
      </c>
      <c r="B1989" s="958">
        <v>29</v>
      </c>
      <c r="C1989" s="958" t="s">
        <v>7768</v>
      </c>
      <c r="D1989" s="957" t="s">
        <v>7767</v>
      </c>
      <c r="E1989" s="956">
        <v>6206</v>
      </c>
      <c r="F1989" s="955"/>
      <c r="L1989" s="954"/>
      <c r="M1989" s="952"/>
      <c r="N1989" s="952"/>
    </row>
    <row r="1990" spans="1:14">
      <c r="A1990" s="958" t="s">
        <v>374</v>
      </c>
      <c r="B1990" s="958">
        <v>29</v>
      </c>
      <c r="C1990" s="958" t="s">
        <v>7766</v>
      </c>
      <c r="D1990" s="957" t="s">
        <v>7765</v>
      </c>
      <c r="E1990" s="956">
        <v>15640</v>
      </c>
      <c r="F1990" s="955"/>
      <c r="L1990" s="954"/>
      <c r="M1990" s="952"/>
      <c r="N1990" s="952"/>
    </row>
    <row r="1991" spans="1:14">
      <c r="A1991" s="958" t="s">
        <v>374</v>
      </c>
      <c r="B1991" s="958">
        <v>29</v>
      </c>
      <c r="C1991" s="958" t="s">
        <v>7764</v>
      </c>
      <c r="D1991" s="957" t="s">
        <v>7763</v>
      </c>
      <c r="E1991" s="956">
        <v>13226</v>
      </c>
      <c r="F1991" s="955"/>
      <c r="L1991" s="954"/>
      <c r="M1991" s="952"/>
      <c r="N1991" s="952"/>
    </row>
    <row r="1992" spans="1:14">
      <c r="A1992" s="958" t="s">
        <v>374</v>
      </c>
      <c r="B1992" s="958">
        <v>29</v>
      </c>
      <c r="C1992" s="958" t="s">
        <v>7762</v>
      </c>
      <c r="D1992" s="957" t="s">
        <v>7761</v>
      </c>
      <c r="E1992" s="956">
        <v>26916</v>
      </c>
      <c r="F1992" s="955"/>
      <c r="L1992" s="954"/>
      <c r="M1992" s="952"/>
      <c r="N1992" s="952"/>
    </row>
    <row r="1993" spans="1:14">
      <c r="A1993" s="958" t="s">
        <v>374</v>
      </c>
      <c r="B1993" s="958">
        <v>29</v>
      </c>
      <c r="C1993" s="958" t="s">
        <v>7760</v>
      </c>
      <c r="D1993" s="957" t="s">
        <v>7759</v>
      </c>
      <c r="E1993" s="956">
        <v>162327</v>
      </c>
      <c r="F1993" s="955"/>
      <c r="L1993" s="954"/>
      <c r="M1993" s="952"/>
      <c r="N1993" s="952"/>
    </row>
    <row r="1994" spans="1:14">
      <c r="A1994" s="958" t="s">
        <v>374</v>
      </c>
      <c r="B1994" s="958">
        <v>29</v>
      </c>
      <c r="C1994" s="958" t="s">
        <v>7758</v>
      </c>
      <c r="D1994" s="957" t="s">
        <v>7757</v>
      </c>
      <c r="E1994" s="956">
        <v>39926</v>
      </c>
      <c r="F1994" s="955"/>
      <c r="L1994" s="954"/>
      <c r="M1994" s="952"/>
      <c r="N1994" s="952"/>
    </row>
    <row r="1995" spans="1:14">
      <c r="A1995" s="958" t="s">
        <v>374</v>
      </c>
      <c r="B1995" s="958">
        <v>29</v>
      </c>
      <c r="C1995" s="958" t="s">
        <v>7756</v>
      </c>
      <c r="D1995" s="957" t="s">
        <v>7755</v>
      </c>
      <c r="E1995" s="956">
        <v>14487</v>
      </c>
      <c r="F1995" s="955"/>
      <c r="L1995" s="954"/>
      <c r="M1995" s="952"/>
      <c r="N1995" s="952"/>
    </row>
    <row r="1996" spans="1:14">
      <c r="A1996" s="958" t="s">
        <v>374</v>
      </c>
      <c r="B1996" s="958">
        <v>29</v>
      </c>
      <c r="C1996" s="958" t="s">
        <v>7754</v>
      </c>
      <c r="D1996" s="957" t="s">
        <v>7753</v>
      </c>
      <c r="E1996" s="956">
        <v>45873</v>
      </c>
      <c r="F1996" s="955"/>
      <c r="L1996" s="954"/>
      <c r="M1996" s="952"/>
      <c r="N1996" s="952"/>
    </row>
    <row r="1997" spans="1:14">
      <c r="A1997" s="958" t="s">
        <v>374</v>
      </c>
      <c r="B1997" s="958">
        <v>29</v>
      </c>
      <c r="C1997" s="958" t="s">
        <v>7752</v>
      </c>
      <c r="D1997" s="957" t="s">
        <v>7751</v>
      </c>
      <c r="E1997" s="956">
        <v>59595</v>
      </c>
      <c r="F1997" s="955"/>
      <c r="L1997" s="954"/>
      <c r="M1997" s="952"/>
      <c r="N1997" s="952"/>
    </row>
    <row r="1998" spans="1:14">
      <c r="A1998" s="958" t="s">
        <v>374</v>
      </c>
      <c r="B1998" s="958">
        <v>29</v>
      </c>
      <c r="C1998" s="958" t="s">
        <v>7750</v>
      </c>
      <c r="D1998" s="957" t="s">
        <v>7749</v>
      </c>
      <c r="E1998" s="956">
        <v>9865</v>
      </c>
      <c r="F1998" s="955"/>
      <c r="L1998" s="954"/>
      <c r="M1998" s="952"/>
      <c r="N1998" s="952"/>
    </row>
    <row r="1999" spans="1:14">
      <c r="A1999" s="958" t="s">
        <v>374</v>
      </c>
      <c r="B1999" s="958">
        <v>29</v>
      </c>
      <c r="C1999" s="958" t="s">
        <v>7748</v>
      </c>
      <c r="D1999" s="957" t="s">
        <v>7747</v>
      </c>
      <c r="E1999" s="956">
        <v>7260</v>
      </c>
      <c r="F1999" s="955"/>
      <c r="L1999" s="954"/>
      <c r="M1999" s="952"/>
      <c r="N1999" s="952"/>
    </row>
    <row r="2000" spans="1:14">
      <c r="A2000" s="958" t="s">
        <v>374</v>
      </c>
      <c r="B2000" s="958">
        <v>29</v>
      </c>
      <c r="C2000" s="958" t="s">
        <v>7746</v>
      </c>
      <c r="D2000" s="957" t="s">
        <v>7745</v>
      </c>
      <c r="E2000" s="956">
        <v>8537</v>
      </c>
      <c r="F2000" s="955"/>
      <c r="L2000" s="954"/>
      <c r="M2000" s="952"/>
      <c r="N2000" s="952"/>
    </row>
    <row r="2001" spans="1:14">
      <c r="A2001" s="958" t="s">
        <v>374</v>
      </c>
      <c r="B2001" s="958">
        <v>29</v>
      </c>
      <c r="C2001" s="958" t="s">
        <v>7744</v>
      </c>
      <c r="D2001" s="957" t="s">
        <v>7743</v>
      </c>
      <c r="E2001" s="956">
        <v>25216</v>
      </c>
      <c r="F2001" s="955"/>
      <c r="L2001" s="954"/>
      <c r="M2001" s="952"/>
      <c r="N2001" s="952"/>
    </row>
    <row r="2002" spans="1:14">
      <c r="A2002" s="958" t="s">
        <v>374</v>
      </c>
      <c r="B2002" s="958">
        <v>29</v>
      </c>
      <c r="C2002" s="958" t="s">
        <v>7742</v>
      </c>
      <c r="D2002" s="957" t="s">
        <v>7741</v>
      </c>
      <c r="E2002" s="956">
        <v>29034</v>
      </c>
      <c r="F2002" s="955"/>
      <c r="L2002" s="954"/>
      <c r="M2002" s="952"/>
      <c r="N2002" s="952"/>
    </row>
    <row r="2003" spans="1:14">
      <c r="A2003" s="958" t="s">
        <v>374</v>
      </c>
      <c r="B2003" s="958">
        <v>29</v>
      </c>
      <c r="C2003" s="958" t="s">
        <v>7740</v>
      </c>
      <c r="D2003" s="957" t="s">
        <v>7739</v>
      </c>
      <c r="E2003" s="956">
        <v>72967</v>
      </c>
      <c r="F2003" s="955"/>
      <c r="L2003" s="954"/>
      <c r="M2003" s="952"/>
      <c r="N2003" s="952"/>
    </row>
    <row r="2004" spans="1:14">
      <c r="A2004" s="958" t="s">
        <v>374</v>
      </c>
      <c r="B2004" s="958">
        <v>29</v>
      </c>
      <c r="C2004" s="958" t="s">
        <v>7738</v>
      </c>
      <c r="D2004" s="957" t="s">
        <v>7737</v>
      </c>
      <c r="E2004" s="956">
        <v>30584</v>
      </c>
      <c r="F2004" s="955"/>
      <c r="L2004" s="954"/>
      <c r="M2004" s="952"/>
      <c r="N2004" s="952"/>
    </row>
    <row r="2005" spans="1:14">
      <c r="A2005" s="958" t="s">
        <v>374</v>
      </c>
      <c r="B2005" s="958">
        <v>29</v>
      </c>
      <c r="C2005" s="958" t="s">
        <v>7736</v>
      </c>
      <c r="D2005" s="957" t="s">
        <v>7735</v>
      </c>
      <c r="E2005" s="956">
        <v>64489</v>
      </c>
      <c r="F2005" s="955"/>
      <c r="L2005" s="954"/>
      <c r="M2005" s="952"/>
      <c r="N2005" s="952"/>
    </row>
    <row r="2006" spans="1:14">
      <c r="A2006" s="958" t="s">
        <v>374</v>
      </c>
      <c r="B2006" s="958">
        <v>29</v>
      </c>
      <c r="C2006" s="958" t="s">
        <v>7734</v>
      </c>
      <c r="D2006" s="957" t="s">
        <v>7733</v>
      </c>
      <c r="E2006" s="956">
        <v>213223</v>
      </c>
      <c r="F2006" s="955"/>
      <c r="L2006" s="954"/>
      <c r="M2006" s="952"/>
      <c r="N2006" s="952"/>
    </row>
    <row r="2007" spans="1:14">
      <c r="A2007" s="958" t="s">
        <v>374</v>
      </c>
      <c r="B2007" s="958">
        <v>29</v>
      </c>
      <c r="C2007" s="958" t="s">
        <v>7732</v>
      </c>
      <c r="D2007" s="957" t="s">
        <v>7731</v>
      </c>
      <c r="E2007" s="956">
        <v>28296</v>
      </c>
      <c r="F2007" s="955"/>
      <c r="L2007" s="954"/>
      <c r="M2007" s="952"/>
      <c r="N2007" s="952"/>
    </row>
    <row r="2008" spans="1:14">
      <c r="A2008" s="958" t="s">
        <v>374</v>
      </c>
      <c r="B2008" s="958">
        <v>29</v>
      </c>
      <c r="C2008" s="958" t="s">
        <v>7730</v>
      </c>
      <c r="D2008" s="957" t="s">
        <v>7729</v>
      </c>
      <c r="E2008" s="956">
        <v>16056</v>
      </c>
      <c r="F2008" s="955"/>
      <c r="L2008" s="954"/>
      <c r="M2008" s="952"/>
      <c r="N2008" s="952"/>
    </row>
    <row r="2009" spans="1:14">
      <c r="A2009" s="958" t="s">
        <v>374</v>
      </c>
      <c r="B2009" s="958">
        <v>29</v>
      </c>
      <c r="C2009" s="958" t="s">
        <v>7728</v>
      </c>
      <c r="D2009" s="957" t="s">
        <v>7727</v>
      </c>
      <c r="E2009" s="956">
        <v>12351</v>
      </c>
      <c r="F2009" s="955"/>
      <c r="L2009" s="954"/>
      <c r="M2009" s="952"/>
      <c r="N2009" s="952"/>
    </row>
    <row r="2010" spans="1:14">
      <c r="A2010" s="958" t="s">
        <v>374</v>
      </c>
      <c r="B2010" s="958">
        <v>29</v>
      </c>
      <c r="C2010" s="958" t="s">
        <v>7726</v>
      </c>
      <c r="D2010" s="957" t="s">
        <v>7725</v>
      </c>
      <c r="E2010" s="956">
        <v>14579</v>
      </c>
      <c r="F2010" s="955"/>
      <c r="L2010" s="954"/>
      <c r="M2010" s="952"/>
      <c r="N2010" s="952"/>
    </row>
    <row r="2011" spans="1:14">
      <c r="A2011" s="958" t="s">
        <v>374</v>
      </c>
      <c r="B2011" s="958">
        <v>29</v>
      </c>
      <c r="C2011" s="958" t="s">
        <v>7724</v>
      </c>
      <c r="D2011" s="957" t="s">
        <v>7723</v>
      </c>
      <c r="E2011" s="956">
        <v>6869</v>
      </c>
      <c r="F2011" s="955"/>
      <c r="L2011" s="954"/>
      <c r="M2011" s="952"/>
      <c r="N2011" s="952"/>
    </row>
    <row r="2012" spans="1:14">
      <c r="A2012" s="958" t="s">
        <v>374</v>
      </c>
      <c r="B2012" s="958">
        <v>29</v>
      </c>
      <c r="C2012" s="958" t="s">
        <v>7722</v>
      </c>
      <c r="D2012" s="957" t="s">
        <v>7721</v>
      </c>
      <c r="E2012" s="956">
        <v>14429</v>
      </c>
      <c r="F2012" s="955"/>
      <c r="L2012" s="954"/>
      <c r="M2012" s="952"/>
      <c r="N2012" s="952"/>
    </row>
    <row r="2013" spans="1:14">
      <c r="A2013" s="958" t="s">
        <v>374</v>
      </c>
      <c r="B2013" s="958">
        <v>29</v>
      </c>
      <c r="C2013" s="958" t="s">
        <v>7720</v>
      </c>
      <c r="D2013" s="957" t="s">
        <v>7719</v>
      </c>
      <c r="E2013" s="956">
        <v>6682</v>
      </c>
      <c r="F2013" s="955"/>
      <c r="L2013" s="954"/>
      <c r="M2013" s="952"/>
      <c r="N2013" s="952"/>
    </row>
    <row r="2014" spans="1:14">
      <c r="A2014" s="958" t="s">
        <v>374</v>
      </c>
      <c r="B2014" s="958">
        <v>29</v>
      </c>
      <c r="C2014" s="958" t="s">
        <v>7718</v>
      </c>
      <c r="D2014" s="957" t="s">
        <v>7717</v>
      </c>
      <c r="E2014" s="956">
        <v>20491</v>
      </c>
      <c r="F2014" s="955"/>
      <c r="L2014" s="954"/>
      <c r="M2014" s="952"/>
      <c r="N2014" s="952"/>
    </row>
    <row r="2015" spans="1:14">
      <c r="A2015" s="958" t="s">
        <v>374</v>
      </c>
      <c r="B2015" s="958">
        <v>29</v>
      </c>
      <c r="C2015" s="958" t="s">
        <v>7716</v>
      </c>
      <c r="D2015" s="957" t="s">
        <v>7715</v>
      </c>
      <c r="E2015" s="956">
        <v>64486</v>
      </c>
      <c r="F2015" s="955"/>
      <c r="L2015" s="954"/>
      <c r="M2015" s="952"/>
      <c r="N2015" s="952"/>
    </row>
    <row r="2016" spans="1:14">
      <c r="A2016" s="958" t="s">
        <v>374</v>
      </c>
      <c r="B2016" s="958">
        <v>29</v>
      </c>
      <c r="C2016" s="958" t="s">
        <v>7714</v>
      </c>
      <c r="D2016" s="957" t="s">
        <v>7713</v>
      </c>
      <c r="E2016" s="956">
        <v>8035</v>
      </c>
      <c r="F2016" s="955"/>
      <c r="L2016" s="954"/>
      <c r="M2016" s="952"/>
      <c r="N2016" s="952"/>
    </row>
    <row r="2017" spans="1:14">
      <c r="A2017" s="958" t="s">
        <v>374</v>
      </c>
      <c r="B2017" s="958">
        <v>29</v>
      </c>
      <c r="C2017" s="958" t="s">
        <v>7712</v>
      </c>
      <c r="D2017" s="957" t="s">
        <v>3827</v>
      </c>
      <c r="E2017" s="956">
        <v>23049</v>
      </c>
      <c r="F2017" s="955"/>
      <c r="L2017" s="954"/>
      <c r="M2017" s="952"/>
      <c r="N2017" s="952"/>
    </row>
    <row r="2018" spans="1:14">
      <c r="A2018" s="958" t="s">
        <v>374</v>
      </c>
      <c r="B2018" s="958">
        <v>29</v>
      </c>
      <c r="C2018" s="958" t="s">
        <v>7711</v>
      </c>
      <c r="D2018" s="957" t="s">
        <v>7710</v>
      </c>
      <c r="E2018" s="956">
        <v>6441</v>
      </c>
      <c r="F2018" s="955"/>
      <c r="L2018" s="954"/>
      <c r="M2018" s="952"/>
      <c r="N2018" s="952"/>
    </row>
    <row r="2019" spans="1:14">
      <c r="A2019" s="958" t="s">
        <v>374</v>
      </c>
      <c r="B2019" s="958">
        <v>29</v>
      </c>
      <c r="C2019" s="958" t="s">
        <v>7709</v>
      </c>
      <c r="D2019" s="957" t="s">
        <v>7708</v>
      </c>
      <c r="E2019" s="956">
        <v>19405</v>
      </c>
      <c r="F2019" s="955"/>
      <c r="L2019" s="954"/>
      <c r="M2019" s="952"/>
      <c r="N2019" s="952"/>
    </row>
    <row r="2020" spans="1:14">
      <c r="A2020" s="958" t="s">
        <v>374</v>
      </c>
      <c r="B2020" s="958">
        <v>29</v>
      </c>
      <c r="C2020" s="958" t="s">
        <v>7707</v>
      </c>
      <c r="D2020" s="957" t="s">
        <v>7706</v>
      </c>
      <c r="E2020" s="956">
        <v>22228</v>
      </c>
      <c r="F2020" s="955"/>
      <c r="L2020" s="954"/>
      <c r="M2020" s="952"/>
      <c r="N2020" s="952"/>
    </row>
    <row r="2021" spans="1:14">
      <c r="A2021" s="958" t="s">
        <v>374</v>
      </c>
      <c r="B2021" s="958">
        <v>29</v>
      </c>
      <c r="C2021" s="958" t="s">
        <v>7705</v>
      </c>
      <c r="D2021" s="957" t="s">
        <v>7704</v>
      </c>
      <c r="E2021" s="956">
        <v>8761</v>
      </c>
      <c r="F2021" s="955"/>
      <c r="L2021" s="954"/>
      <c r="M2021" s="952"/>
      <c r="N2021" s="952"/>
    </row>
    <row r="2022" spans="1:14">
      <c r="A2022" s="958" t="s">
        <v>374</v>
      </c>
      <c r="B2022" s="958">
        <v>29</v>
      </c>
      <c r="C2022" s="958" t="s">
        <v>7703</v>
      </c>
      <c r="D2022" s="957" t="s">
        <v>7702</v>
      </c>
      <c r="E2022" s="956">
        <v>10259</v>
      </c>
      <c r="F2022" s="955"/>
      <c r="L2022" s="954"/>
      <c r="M2022" s="952"/>
      <c r="N2022" s="952"/>
    </row>
    <row r="2023" spans="1:14">
      <c r="A2023" s="958" t="s">
        <v>374</v>
      </c>
      <c r="B2023" s="958">
        <v>29</v>
      </c>
      <c r="C2023" s="958" t="s">
        <v>7701</v>
      </c>
      <c r="D2023" s="957" t="s">
        <v>7700</v>
      </c>
      <c r="E2023" s="956">
        <v>76147</v>
      </c>
      <c r="F2023" s="955"/>
      <c r="L2023" s="954"/>
      <c r="M2023" s="952"/>
      <c r="N2023" s="952"/>
    </row>
    <row r="2024" spans="1:14">
      <c r="A2024" s="958" t="s">
        <v>374</v>
      </c>
      <c r="B2024" s="958">
        <v>29</v>
      </c>
      <c r="C2024" s="958" t="s">
        <v>7699</v>
      </c>
      <c r="D2024" s="957" t="s">
        <v>7698</v>
      </c>
      <c r="E2024" s="956">
        <v>35576</v>
      </c>
      <c r="F2024" s="955"/>
      <c r="L2024" s="954"/>
      <c r="M2024" s="952"/>
      <c r="N2024" s="952"/>
    </row>
    <row r="2025" spans="1:14">
      <c r="A2025" s="958" t="s">
        <v>374</v>
      </c>
      <c r="B2025" s="958">
        <v>29</v>
      </c>
      <c r="C2025" s="958" t="s">
        <v>7697</v>
      </c>
      <c r="D2025" s="957" t="s">
        <v>7696</v>
      </c>
      <c r="E2025" s="956">
        <v>10313</v>
      </c>
      <c r="F2025" s="955"/>
      <c r="L2025" s="954"/>
      <c r="M2025" s="952"/>
      <c r="N2025" s="952"/>
    </row>
    <row r="2026" spans="1:14">
      <c r="A2026" s="958" t="s">
        <v>374</v>
      </c>
      <c r="B2026" s="958">
        <v>29</v>
      </c>
      <c r="C2026" s="958" t="s">
        <v>7695</v>
      </c>
      <c r="D2026" s="957" t="s">
        <v>7694</v>
      </c>
      <c r="E2026" s="956">
        <v>8319</v>
      </c>
      <c r="F2026" s="955"/>
      <c r="L2026" s="954"/>
      <c r="M2026" s="952"/>
      <c r="N2026" s="952"/>
    </row>
    <row r="2027" spans="1:14">
      <c r="A2027" s="958" t="s">
        <v>374</v>
      </c>
      <c r="B2027" s="958">
        <v>29</v>
      </c>
      <c r="C2027" s="958" t="s">
        <v>7693</v>
      </c>
      <c r="D2027" s="957" t="s">
        <v>7692</v>
      </c>
      <c r="E2027" s="956">
        <v>19747</v>
      </c>
      <c r="F2027" s="955"/>
      <c r="L2027" s="954"/>
      <c r="M2027" s="952"/>
      <c r="N2027" s="952"/>
    </row>
    <row r="2028" spans="1:14">
      <c r="A2028" s="958" t="s">
        <v>374</v>
      </c>
      <c r="B2028" s="958">
        <v>29</v>
      </c>
      <c r="C2028" s="958" t="s">
        <v>7691</v>
      </c>
      <c r="D2028" s="957" t="s">
        <v>7690</v>
      </c>
      <c r="E2028" s="956">
        <v>14487</v>
      </c>
      <c r="F2028" s="955"/>
      <c r="L2028" s="954"/>
      <c r="M2028" s="952"/>
      <c r="N2028" s="952"/>
    </row>
    <row r="2029" spans="1:14">
      <c r="A2029" s="958" t="s">
        <v>374</v>
      </c>
      <c r="B2029" s="958">
        <v>29</v>
      </c>
      <c r="C2029" s="958" t="s">
        <v>7689</v>
      </c>
      <c r="D2029" s="957" t="s">
        <v>7688</v>
      </c>
      <c r="E2029" s="956">
        <v>12576</v>
      </c>
      <c r="F2029" s="955"/>
      <c r="L2029" s="954"/>
      <c r="M2029" s="952"/>
      <c r="N2029" s="952"/>
    </row>
    <row r="2030" spans="1:14">
      <c r="A2030" s="958" t="s">
        <v>374</v>
      </c>
      <c r="B2030" s="958">
        <v>29</v>
      </c>
      <c r="C2030" s="958" t="s">
        <v>7687</v>
      </c>
      <c r="D2030" s="957" t="s">
        <v>7686</v>
      </c>
      <c r="E2030" s="956">
        <v>36089</v>
      </c>
      <c r="F2030" s="955"/>
      <c r="L2030" s="954"/>
      <c r="M2030" s="952"/>
      <c r="N2030" s="952"/>
    </row>
    <row r="2031" spans="1:14">
      <c r="A2031" s="958" t="s">
        <v>374</v>
      </c>
      <c r="B2031" s="958">
        <v>29</v>
      </c>
      <c r="C2031" s="958" t="s">
        <v>7685</v>
      </c>
      <c r="D2031" s="957" t="s">
        <v>7684</v>
      </c>
      <c r="E2031" s="956">
        <v>20382</v>
      </c>
      <c r="F2031" s="955"/>
      <c r="L2031" s="954"/>
      <c r="M2031" s="952"/>
      <c r="N2031" s="952"/>
    </row>
    <row r="2032" spans="1:14">
      <c r="A2032" s="958" t="s">
        <v>374</v>
      </c>
      <c r="B2032" s="958">
        <v>29</v>
      </c>
      <c r="C2032" s="958" t="s">
        <v>7683</v>
      </c>
      <c r="D2032" s="957" t="s">
        <v>7682</v>
      </c>
      <c r="E2032" s="956">
        <v>18962</v>
      </c>
      <c r="F2032" s="955"/>
      <c r="L2032" s="954"/>
      <c r="M2032" s="952"/>
      <c r="N2032" s="952"/>
    </row>
    <row r="2033" spans="1:14">
      <c r="A2033" s="958" t="s">
        <v>374</v>
      </c>
      <c r="B2033" s="958">
        <v>29</v>
      </c>
      <c r="C2033" s="958" t="s">
        <v>7681</v>
      </c>
      <c r="D2033" s="957" t="s">
        <v>7680</v>
      </c>
      <c r="E2033" s="956">
        <v>28602</v>
      </c>
      <c r="F2033" s="955"/>
      <c r="L2033" s="954"/>
      <c r="M2033" s="952"/>
      <c r="N2033" s="952"/>
    </row>
    <row r="2034" spans="1:14">
      <c r="A2034" s="958" t="s">
        <v>374</v>
      </c>
      <c r="B2034" s="958">
        <v>29</v>
      </c>
      <c r="C2034" s="958" t="s">
        <v>7679</v>
      </c>
      <c r="D2034" s="957" t="s">
        <v>7678</v>
      </c>
      <c r="E2034" s="956">
        <v>10994</v>
      </c>
      <c r="F2034" s="955"/>
      <c r="L2034" s="954"/>
      <c r="M2034" s="952"/>
      <c r="N2034" s="952"/>
    </row>
    <row r="2035" spans="1:14">
      <c r="A2035" s="958" t="s">
        <v>374</v>
      </c>
      <c r="B2035" s="958">
        <v>29</v>
      </c>
      <c r="C2035" s="958" t="s">
        <v>7677</v>
      </c>
      <c r="D2035" s="957" t="s">
        <v>4853</v>
      </c>
      <c r="E2035" s="956">
        <v>8385</v>
      </c>
      <c r="F2035" s="955"/>
      <c r="L2035" s="954"/>
      <c r="M2035" s="952"/>
      <c r="N2035" s="952"/>
    </row>
    <row r="2036" spans="1:14">
      <c r="A2036" s="958" t="s">
        <v>374</v>
      </c>
      <c r="B2036" s="958">
        <v>29</v>
      </c>
      <c r="C2036" s="958" t="s">
        <v>7676</v>
      </c>
      <c r="D2036" s="957" t="s">
        <v>7675</v>
      </c>
      <c r="E2036" s="956">
        <v>14842</v>
      </c>
      <c r="F2036" s="955"/>
      <c r="L2036" s="954"/>
      <c r="M2036" s="952"/>
      <c r="N2036" s="952"/>
    </row>
    <row r="2037" spans="1:14">
      <c r="A2037" s="958" t="s">
        <v>374</v>
      </c>
      <c r="B2037" s="958">
        <v>29</v>
      </c>
      <c r="C2037" s="958" t="s">
        <v>7674</v>
      </c>
      <c r="D2037" s="957" t="s">
        <v>7673</v>
      </c>
      <c r="E2037" s="956">
        <v>80518</v>
      </c>
      <c r="F2037" s="955"/>
      <c r="L2037" s="954"/>
      <c r="M2037" s="952"/>
      <c r="N2037" s="952"/>
    </row>
    <row r="2038" spans="1:14">
      <c r="A2038" s="958" t="s">
        <v>374</v>
      </c>
      <c r="B2038" s="958">
        <v>29</v>
      </c>
      <c r="C2038" s="958" t="s">
        <v>7672</v>
      </c>
      <c r="D2038" s="957" t="s">
        <v>7671</v>
      </c>
      <c r="E2038" s="956">
        <v>54423</v>
      </c>
      <c r="F2038" s="955"/>
      <c r="L2038" s="954"/>
      <c r="M2038" s="952"/>
      <c r="N2038" s="952"/>
    </row>
    <row r="2039" spans="1:14">
      <c r="A2039" s="958" t="s">
        <v>374</v>
      </c>
      <c r="B2039" s="958">
        <v>29</v>
      </c>
      <c r="C2039" s="958" t="s">
        <v>7670</v>
      </c>
      <c r="D2039" s="957" t="s">
        <v>7669</v>
      </c>
      <c r="E2039" s="956">
        <v>33570</v>
      </c>
      <c r="F2039" s="955"/>
      <c r="L2039" s="954"/>
      <c r="M2039" s="952"/>
      <c r="N2039" s="952"/>
    </row>
    <row r="2040" spans="1:14">
      <c r="A2040" s="958" t="s">
        <v>374</v>
      </c>
      <c r="B2040" s="958">
        <v>29</v>
      </c>
      <c r="C2040" s="958" t="s">
        <v>7668</v>
      </c>
      <c r="D2040" s="957" t="s">
        <v>7667</v>
      </c>
      <c r="E2040" s="956">
        <v>18788</v>
      </c>
      <c r="F2040" s="955"/>
      <c r="L2040" s="954"/>
      <c r="M2040" s="952"/>
      <c r="N2040" s="952"/>
    </row>
    <row r="2041" spans="1:14">
      <c r="A2041" s="958" t="s">
        <v>374</v>
      </c>
      <c r="B2041" s="958">
        <v>29</v>
      </c>
      <c r="C2041" s="958" t="s">
        <v>7666</v>
      </c>
      <c r="D2041" s="957" t="s">
        <v>7665</v>
      </c>
      <c r="E2041" s="956">
        <v>10709</v>
      </c>
      <c r="F2041" s="955"/>
      <c r="L2041" s="954"/>
      <c r="M2041" s="952"/>
      <c r="N2041" s="952"/>
    </row>
    <row r="2042" spans="1:14">
      <c r="A2042" s="958" t="s">
        <v>374</v>
      </c>
      <c r="B2042" s="958">
        <v>29</v>
      </c>
      <c r="C2042" s="958" t="s">
        <v>7664</v>
      </c>
      <c r="D2042" s="957" t="s">
        <v>7663</v>
      </c>
      <c r="E2042" s="956">
        <v>155966</v>
      </c>
      <c r="F2042" s="955"/>
      <c r="L2042" s="954"/>
      <c r="M2042" s="952"/>
      <c r="N2042" s="952"/>
    </row>
    <row r="2043" spans="1:14">
      <c r="A2043" s="958" t="s">
        <v>374</v>
      </c>
      <c r="B2043" s="958">
        <v>29</v>
      </c>
      <c r="C2043" s="958" t="s">
        <v>7662</v>
      </c>
      <c r="D2043" s="957" t="s">
        <v>7661</v>
      </c>
      <c r="E2043" s="956">
        <v>40463</v>
      </c>
      <c r="F2043" s="955"/>
      <c r="L2043" s="954"/>
      <c r="M2043" s="952"/>
      <c r="N2043" s="952"/>
    </row>
    <row r="2044" spans="1:14">
      <c r="A2044" s="958" t="s">
        <v>374</v>
      </c>
      <c r="B2044" s="958">
        <v>29</v>
      </c>
      <c r="C2044" s="958" t="s">
        <v>7660</v>
      </c>
      <c r="D2044" s="957" t="s">
        <v>7659</v>
      </c>
      <c r="E2044" s="956">
        <v>14537</v>
      </c>
      <c r="F2044" s="955"/>
      <c r="L2044" s="954"/>
      <c r="M2044" s="952"/>
      <c r="N2044" s="952"/>
    </row>
    <row r="2045" spans="1:14">
      <c r="A2045" s="958" t="s">
        <v>374</v>
      </c>
      <c r="B2045" s="958">
        <v>29</v>
      </c>
      <c r="C2045" s="958" t="s">
        <v>7658</v>
      </c>
      <c r="D2045" s="957" t="s">
        <v>7657</v>
      </c>
      <c r="E2045" s="956">
        <v>11166</v>
      </c>
      <c r="F2045" s="955"/>
      <c r="L2045" s="954"/>
      <c r="M2045" s="952"/>
      <c r="N2045" s="952"/>
    </row>
    <row r="2046" spans="1:14">
      <c r="A2046" s="958" t="s">
        <v>374</v>
      </c>
      <c r="B2046" s="958">
        <v>29</v>
      </c>
      <c r="C2046" s="958" t="s">
        <v>7656</v>
      </c>
      <c r="D2046" s="957" t="s">
        <v>7655</v>
      </c>
      <c r="E2046" s="956">
        <v>25188</v>
      </c>
      <c r="F2046" s="955"/>
      <c r="L2046" s="954"/>
      <c r="M2046" s="952"/>
      <c r="N2046" s="952"/>
    </row>
    <row r="2047" spans="1:14">
      <c r="A2047" s="958" t="s">
        <v>374</v>
      </c>
      <c r="B2047" s="958">
        <v>29</v>
      </c>
      <c r="C2047" s="958" t="s">
        <v>7654</v>
      </c>
      <c r="D2047" s="957" t="s">
        <v>7653</v>
      </c>
      <c r="E2047" s="956">
        <v>216707</v>
      </c>
      <c r="F2047" s="955"/>
      <c r="L2047" s="954"/>
      <c r="M2047" s="952"/>
      <c r="N2047" s="952"/>
    </row>
    <row r="2048" spans="1:14">
      <c r="A2048" s="958" t="s">
        <v>374</v>
      </c>
      <c r="B2048" s="958">
        <v>29</v>
      </c>
      <c r="C2048" s="958" t="s">
        <v>7652</v>
      </c>
      <c r="D2048" s="957" t="s">
        <v>7651</v>
      </c>
      <c r="E2048" s="956">
        <v>9126</v>
      </c>
      <c r="F2048" s="955"/>
      <c r="L2048" s="954"/>
      <c r="M2048" s="952"/>
      <c r="N2048" s="952"/>
    </row>
    <row r="2049" spans="1:14">
      <c r="A2049" s="958" t="s">
        <v>374</v>
      </c>
      <c r="B2049" s="958">
        <v>29</v>
      </c>
      <c r="C2049" s="958" t="s">
        <v>7650</v>
      </c>
      <c r="D2049" s="957" t="s">
        <v>1071</v>
      </c>
      <c r="E2049" s="956">
        <v>15284</v>
      </c>
      <c r="F2049" s="955"/>
      <c r="L2049" s="954"/>
      <c r="M2049" s="952"/>
      <c r="N2049" s="952"/>
    </row>
    <row r="2050" spans="1:14">
      <c r="A2050" s="958" t="s">
        <v>374</v>
      </c>
      <c r="B2050" s="958">
        <v>29</v>
      </c>
      <c r="C2050" s="958" t="s">
        <v>7649</v>
      </c>
      <c r="D2050" s="957" t="s">
        <v>7648</v>
      </c>
      <c r="E2050" s="956">
        <v>5833</v>
      </c>
      <c r="F2050" s="955"/>
      <c r="L2050" s="954"/>
      <c r="M2050" s="952"/>
      <c r="N2050" s="952"/>
    </row>
    <row r="2051" spans="1:14">
      <c r="A2051" s="958" t="s">
        <v>374</v>
      </c>
      <c r="B2051" s="958">
        <v>29</v>
      </c>
      <c r="C2051" s="958" t="s">
        <v>7647</v>
      </c>
      <c r="D2051" s="957" t="s">
        <v>7646</v>
      </c>
      <c r="E2051" s="956">
        <v>6186</v>
      </c>
      <c r="F2051" s="955"/>
      <c r="L2051" s="954"/>
      <c r="M2051" s="952"/>
      <c r="N2051" s="952"/>
    </row>
    <row r="2052" spans="1:14">
      <c r="A2052" s="958" t="s">
        <v>374</v>
      </c>
      <c r="B2052" s="958">
        <v>29</v>
      </c>
      <c r="C2052" s="958" t="s">
        <v>7645</v>
      </c>
      <c r="D2052" s="957" t="s">
        <v>7644</v>
      </c>
      <c r="E2052" s="956">
        <v>3724</v>
      </c>
      <c r="F2052" s="955"/>
      <c r="L2052" s="954"/>
      <c r="M2052" s="952"/>
      <c r="N2052" s="952"/>
    </row>
    <row r="2053" spans="1:14">
      <c r="A2053" s="958" t="s">
        <v>374</v>
      </c>
      <c r="B2053" s="958">
        <v>29</v>
      </c>
      <c r="C2053" s="958" t="s">
        <v>7643</v>
      </c>
      <c r="D2053" s="957" t="s">
        <v>7642</v>
      </c>
      <c r="E2053" s="956">
        <v>15665</v>
      </c>
      <c r="F2053" s="955"/>
      <c r="L2053" s="954"/>
      <c r="M2053" s="952"/>
      <c r="N2053" s="952"/>
    </row>
    <row r="2054" spans="1:14">
      <c r="A2054" s="958" t="s">
        <v>374</v>
      </c>
      <c r="B2054" s="958">
        <v>29</v>
      </c>
      <c r="C2054" s="958" t="s">
        <v>7641</v>
      </c>
      <c r="D2054" s="957" t="s">
        <v>7640</v>
      </c>
      <c r="E2054" s="956">
        <v>23840</v>
      </c>
      <c r="F2054" s="955"/>
      <c r="L2054" s="954"/>
      <c r="M2054" s="952"/>
      <c r="N2054" s="952"/>
    </row>
    <row r="2055" spans="1:14">
      <c r="A2055" s="958" t="s">
        <v>374</v>
      </c>
      <c r="B2055" s="958">
        <v>29</v>
      </c>
      <c r="C2055" s="958" t="s">
        <v>7639</v>
      </c>
      <c r="D2055" s="957" t="s">
        <v>7638</v>
      </c>
      <c r="E2055" s="956">
        <v>3955</v>
      </c>
      <c r="F2055" s="955"/>
      <c r="L2055" s="954"/>
      <c r="M2055" s="952"/>
      <c r="N2055" s="952"/>
    </row>
    <row r="2056" spans="1:14">
      <c r="A2056" s="958" t="s">
        <v>374</v>
      </c>
      <c r="B2056" s="958">
        <v>29</v>
      </c>
      <c r="C2056" s="958" t="s">
        <v>7637</v>
      </c>
      <c r="D2056" s="957" t="s">
        <v>7636</v>
      </c>
      <c r="E2056" s="956">
        <v>3783</v>
      </c>
      <c r="F2056" s="955"/>
      <c r="L2056" s="954"/>
      <c r="M2056" s="952"/>
      <c r="N2056" s="952"/>
    </row>
    <row r="2057" spans="1:14">
      <c r="A2057" s="958" t="s">
        <v>374</v>
      </c>
      <c r="B2057" s="958">
        <v>29</v>
      </c>
      <c r="C2057" s="958" t="s">
        <v>7635</v>
      </c>
      <c r="D2057" s="957" t="s">
        <v>7634</v>
      </c>
      <c r="E2057" s="956">
        <v>8562</v>
      </c>
      <c r="F2057" s="955"/>
      <c r="L2057" s="954"/>
      <c r="M2057" s="952"/>
      <c r="N2057" s="952"/>
    </row>
    <row r="2058" spans="1:14">
      <c r="A2058" s="958" t="s">
        <v>374</v>
      </c>
      <c r="B2058" s="958">
        <v>29</v>
      </c>
      <c r="C2058" s="958" t="s">
        <v>7633</v>
      </c>
      <c r="D2058" s="957" t="s">
        <v>7632</v>
      </c>
      <c r="E2058" s="956">
        <v>8307</v>
      </c>
      <c r="F2058" s="955"/>
      <c r="L2058" s="954"/>
      <c r="M2058" s="952"/>
      <c r="N2058" s="952"/>
    </row>
    <row r="2059" spans="1:14">
      <c r="A2059" s="958" t="s">
        <v>374</v>
      </c>
      <c r="B2059" s="958">
        <v>29</v>
      </c>
      <c r="C2059" s="958" t="s">
        <v>7631</v>
      </c>
      <c r="D2059" s="957" t="s">
        <v>7630</v>
      </c>
      <c r="E2059" s="956">
        <v>27223</v>
      </c>
      <c r="F2059" s="955"/>
      <c r="L2059" s="954"/>
      <c r="M2059" s="952"/>
      <c r="N2059" s="952"/>
    </row>
    <row r="2060" spans="1:14">
      <c r="A2060" s="958" t="s">
        <v>374</v>
      </c>
      <c r="B2060" s="958">
        <v>29</v>
      </c>
      <c r="C2060" s="958" t="s">
        <v>7629</v>
      </c>
      <c r="D2060" s="957" t="s">
        <v>7628</v>
      </c>
      <c r="E2060" s="956">
        <v>198440</v>
      </c>
      <c r="F2060" s="955"/>
      <c r="L2060" s="954"/>
      <c r="M2060" s="952"/>
      <c r="N2060" s="952"/>
    </row>
    <row r="2061" spans="1:14">
      <c r="A2061" s="958" t="s">
        <v>374</v>
      </c>
      <c r="B2061" s="958">
        <v>29</v>
      </c>
      <c r="C2061" s="958" t="s">
        <v>7627</v>
      </c>
      <c r="D2061" s="957" t="s">
        <v>7626</v>
      </c>
      <c r="E2061" s="956">
        <v>11409</v>
      </c>
      <c r="F2061" s="955"/>
      <c r="L2061" s="954"/>
      <c r="M2061" s="952"/>
      <c r="N2061" s="952"/>
    </row>
    <row r="2062" spans="1:14">
      <c r="A2062" s="958" t="s">
        <v>374</v>
      </c>
      <c r="B2062" s="958">
        <v>29</v>
      </c>
      <c r="C2062" s="958" t="s">
        <v>7625</v>
      </c>
      <c r="D2062" s="957" t="s">
        <v>7624</v>
      </c>
      <c r="E2062" s="956">
        <v>12388</v>
      </c>
      <c r="F2062" s="955"/>
      <c r="L2062" s="954"/>
      <c r="M2062" s="952"/>
      <c r="N2062" s="952"/>
    </row>
    <row r="2063" spans="1:14">
      <c r="A2063" s="958" t="s">
        <v>374</v>
      </c>
      <c r="B2063" s="958">
        <v>29</v>
      </c>
      <c r="C2063" s="958" t="s">
        <v>7623</v>
      </c>
      <c r="D2063" s="957" t="s">
        <v>7622</v>
      </c>
      <c r="E2063" s="956">
        <v>45732</v>
      </c>
      <c r="F2063" s="955"/>
      <c r="L2063" s="954"/>
      <c r="M2063" s="952"/>
      <c r="N2063" s="952"/>
    </row>
    <row r="2064" spans="1:14">
      <c r="A2064" s="958" t="s">
        <v>374</v>
      </c>
      <c r="B2064" s="958">
        <v>29</v>
      </c>
      <c r="C2064" s="958" t="s">
        <v>7621</v>
      </c>
      <c r="D2064" s="957" t="s">
        <v>7620</v>
      </c>
      <c r="E2064" s="956">
        <v>87519</v>
      </c>
      <c r="F2064" s="955"/>
      <c r="L2064" s="954"/>
      <c r="M2064" s="952"/>
      <c r="N2064" s="952"/>
    </row>
    <row r="2065" spans="1:14">
      <c r="A2065" s="958" t="s">
        <v>374</v>
      </c>
      <c r="B2065" s="958">
        <v>29</v>
      </c>
      <c r="C2065" s="958" t="s">
        <v>7619</v>
      </c>
      <c r="D2065" s="957" t="s">
        <v>7618</v>
      </c>
      <c r="E2065" s="956">
        <v>11348</v>
      </c>
      <c r="F2065" s="955"/>
      <c r="L2065" s="954"/>
      <c r="M2065" s="952"/>
      <c r="N2065" s="952"/>
    </row>
    <row r="2066" spans="1:14">
      <c r="A2066" s="958" t="s">
        <v>374</v>
      </c>
      <c r="B2066" s="958">
        <v>29</v>
      </c>
      <c r="C2066" s="958" t="s">
        <v>7617</v>
      </c>
      <c r="D2066" s="957" t="s">
        <v>7616</v>
      </c>
      <c r="E2066" s="956">
        <v>18755</v>
      </c>
      <c r="F2066" s="955"/>
      <c r="L2066" s="954"/>
      <c r="M2066" s="952"/>
      <c r="N2066" s="952"/>
    </row>
    <row r="2067" spans="1:14">
      <c r="A2067" s="958" t="s">
        <v>374</v>
      </c>
      <c r="B2067" s="958">
        <v>29</v>
      </c>
      <c r="C2067" s="958" t="s">
        <v>7615</v>
      </c>
      <c r="D2067" s="957" t="s">
        <v>7614</v>
      </c>
      <c r="E2067" s="956">
        <v>49826</v>
      </c>
      <c r="F2067" s="955"/>
      <c r="L2067" s="954"/>
      <c r="M2067" s="952"/>
      <c r="N2067" s="952"/>
    </row>
    <row r="2068" spans="1:14">
      <c r="A2068" s="958" t="s">
        <v>374</v>
      </c>
      <c r="B2068" s="958">
        <v>29</v>
      </c>
      <c r="C2068" s="958" t="s">
        <v>7613</v>
      </c>
      <c r="D2068" s="957" t="s">
        <v>7612</v>
      </c>
      <c r="E2068" s="956">
        <v>7824</v>
      </c>
      <c r="F2068" s="955"/>
      <c r="L2068" s="954"/>
      <c r="M2068" s="952"/>
      <c r="N2068" s="952"/>
    </row>
    <row r="2069" spans="1:14">
      <c r="A2069" s="958" t="s">
        <v>374</v>
      </c>
      <c r="B2069" s="958">
        <v>29</v>
      </c>
      <c r="C2069" s="958" t="s">
        <v>7611</v>
      </c>
      <c r="D2069" s="957" t="s">
        <v>7610</v>
      </c>
      <c r="E2069" s="956">
        <v>21093</v>
      </c>
      <c r="F2069" s="955"/>
      <c r="L2069" s="954"/>
      <c r="M2069" s="952"/>
      <c r="N2069" s="952"/>
    </row>
    <row r="2070" spans="1:14">
      <c r="A2070" s="958" t="s">
        <v>374</v>
      </c>
      <c r="B2070" s="958">
        <v>29</v>
      </c>
      <c r="C2070" s="958" t="s">
        <v>7609</v>
      </c>
      <c r="D2070" s="957" t="s">
        <v>7608</v>
      </c>
      <c r="E2070" s="956">
        <v>3161</v>
      </c>
      <c r="F2070" s="955"/>
      <c r="L2070" s="954"/>
      <c r="M2070" s="952"/>
      <c r="N2070" s="952"/>
    </row>
    <row r="2071" spans="1:14">
      <c r="A2071" s="958" t="s">
        <v>374</v>
      </c>
      <c r="B2071" s="958">
        <v>29</v>
      </c>
      <c r="C2071" s="958" t="s">
        <v>7607</v>
      </c>
      <c r="D2071" s="957" t="s">
        <v>7606</v>
      </c>
      <c r="E2071" s="956">
        <v>10112</v>
      </c>
      <c r="F2071" s="955"/>
      <c r="L2071" s="954"/>
      <c r="M2071" s="952"/>
      <c r="N2071" s="952"/>
    </row>
    <row r="2072" spans="1:14">
      <c r="A2072" s="958" t="s">
        <v>374</v>
      </c>
      <c r="B2072" s="958">
        <v>29</v>
      </c>
      <c r="C2072" s="958" t="s">
        <v>7605</v>
      </c>
      <c r="D2072" s="957" t="s">
        <v>7604</v>
      </c>
      <c r="E2072" s="956">
        <v>18676</v>
      </c>
      <c r="F2072" s="955"/>
      <c r="L2072" s="954"/>
      <c r="M2072" s="952"/>
      <c r="N2072" s="952"/>
    </row>
    <row r="2073" spans="1:14">
      <c r="A2073" s="958" t="s">
        <v>374</v>
      </c>
      <c r="B2073" s="958">
        <v>29</v>
      </c>
      <c r="C2073" s="958" t="s">
        <v>7603</v>
      </c>
      <c r="D2073" s="957" t="s">
        <v>7602</v>
      </c>
      <c r="E2073" s="956">
        <v>16845</v>
      </c>
      <c r="F2073" s="955"/>
      <c r="L2073" s="954"/>
      <c r="M2073" s="952"/>
      <c r="N2073" s="952"/>
    </row>
    <row r="2074" spans="1:14">
      <c r="A2074" s="958" t="s">
        <v>374</v>
      </c>
      <c r="B2074" s="958">
        <v>29</v>
      </c>
      <c r="C2074" s="958" t="s">
        <v>7601</v>
      </c>
      <c r="D2074" s="957" t="s">
        <v>7600</v>
      </c>
      <c r="E2074" s="956">
        <v>8393</v>
      </c>
      <c r="F2074" s="955"/>
      <c r="L2074" s="954"/>
      <c r="M2074" s="952"/>
      <c r="N2074" s="952"/>
    </row>
    <row r="2075" spans="1:14">
      <c r="A2075" s="958" t="s">
        <v>374</v>
      </c>
      <c r="B2075" s="958">
        <v>29</v>
      </c>
      <c r="C2075" s="958" t="s">
        <v>7599</v>
      </c>
      <c r="D2075" s="957" t="s">
        <v>7598</v>
      </c>
      <c r="E2075" s="956">
        <v>13240</v>
      </c>
      <c r="F2075" s="955"/>
      <c r="L2075" s="954"/>
      <c r="M2075" s="952"/>
      <c r="N2075" s="952"/>
    </row>
    <row r="2076" spans="1:14">
      <c r="A2076" s="958" t="s">
        <v>374</v>
      </c>
      <c r="B2076" s="958">
        <v>29</v>
      </c>
      <c r="C2076" s="958" t="s">
        <v>7597</v>
      </c>
      <c r="D2076" s="957" t="s">
        <v>7596</v>
      </c>
      <c r="E2076" s="956">
        <v>13643</v>
      </c>
      <c r="F2076" s="955"/>
      <c r="L2076" s="954"/>
      <c r="M2076" s="952"/>
      <c r="N2076" s="952"/>
    </row>
    <row r="2077" spans="1:14">
      <c r="A2077" s="958" t="s">
        <v>374</v>
      </c>
      <c r="B2077" s="958">
        <v>29</v>
      </c>
      <c r="C2077" s="958" t="s">
        <v>7595</v>
      </c>
      <c r="D2077" s="957" t="s">
        <v>7594</v>
      </c>
      <c r="E2077" s="956">
        <v>20834</v>
      </c>
      <c r="F2077" s="955"/>
      <c r="L2077" s="954"/>
      <c r="M2077" s="952"/>
      <c r="N2077" s="952"/>
    </row>
    <row r="2078" spans="1:14">
      <c r="A2078" s="958" t="s">
        <v>374</v>
      </c>
      <c r="B2078" s="958">
        <v>29</v>
      </c>
      <c r="C2078" s="958" t="s">
        <v>7593</v>
      </c>
      <c r="D2078" s="957" t="s">
        <v>7592</v>
      </c>
      <c r="E2078" s="956">
        <v>44677</v>
      </c>
      <c r="F2078" s="955"/>
      <c r="L2078" s="954"/>
      <c r="M2078" s="952"/>
      <c r="N2078" s="952"/>
    </row>
    <row r="2079" spans="1:14">
      <c r="A2079" s="958" t="s">
        <v>374</v>
      </c>
      <c r="B2079" s="958">
        <v>29</v>
      </c>
      <c r="C2079" s="958" t="s">
        <v>7591</v>
      </c>
      <c r="D2079" s="957" t="s">
        <v>7590</v>
      </c>
      <c r="E2079" s="956">
        <v>20570</v>
      </c>
      <c r="F2079" s="955"/>
      <c r="L2079" s="954"/>
      <c r="M2079" s="952"/>
      <c r="N2079" s="952"/>
    </row>
    <row r="2080" spans="1:14">
      <c r="A2080" s="958" t="s">
        <v>374</v>
      </c>
      <c r="B2080" s="958">
        <v>29</v>
      </c>
      <c r="C2080" s="958" t="s">
        <v>7589</v>
      </c>
      <c r="D2080" s="957" t="s">
        <v>7588</v>
      </c>
      <c r="E2080" s="956">
        <v>10406</v>
      </c>
      <c r="F2080" s="955"/>
      <c r="L2080" s="954"/>
      <c r="M2080" s="952"/>
      <c r="N2080" s="952"/>
    </row>
    <row r="2081" spans="1:14">
      <c r="A2081" s="958" t="s">
        <v>374</v>
      </c>
      <c r="B2081" s="958">
        <v>29</v>
      </c>
      <c r="C2081" s="958" t="s">
        <v>7587</v>
      </c>
      <c r="D2081" s="957" t="s">
        <v>7586</v>
      </c>
      <c r="E2081" s="956">
        <v>13822</v>
      </c>
      <c r="F2081" s="955"/>
      <c r="L2081" s="954"/>
      <c r="M2081" s="952"/>
      <c r="N2081" s="952"/>
    </row>
    <row r="2082" spans="1:14">
      <c r="A2082" s="958" t="s">
        <v>374</v>
      </c>
      <c r="B2082" s="958">
        <v>29</v>
      </c>
      <c r="C2082" s="958" t="s">
        <v>7585</v>
      </c>
      <c r="D2082" s="957" t="s">
        <v>7584</v>
      </c>
      <c r="E2082" s="956">
        <v>46583</v>
      </c>
      <c r="F2082" s="955"/>
      <c r="L2082" s="954"/>
      <c r="M2082" s="952"/>
      <c r="N2082" s="952"/>
    </row>
    <row r="2083" spans="1:14">
      <c r="A2083" s="958" t="s">
        <v>374</v>
      </c>
      <c r="B2083" s="958">
        <v>29</v>
      </c>
      <c r="C2083" s="958" t="s">
        <v>7583</v>
      </c>
      <c r="D2083" s="957" t="s">
        <v>7582</v>
      </c>
      <c r="E2083" s="956">
        <v>12201</v>
      </c>
      <c r="F2083" s="955"/>
      <c r="L2083" s="954"/>
      <c r="M2083" s="952"/>
      <c r="N2083" s="952"/>
    </row>
    <row r="2084" spans="1:14">
      <c r="A2084" s="958" t="s">
        <v>374</v>
      </c>
      <c r="B2084" s="958">
        <v>29</v>
      </c>
      <c r="C2084" s="958" t="s">
        <v>7581</v>
      </c>
      <c r="D2084" s="957" t="s">
        <v>7580</v>
      </c>
      <c r="E2084" s="956">
        <v>22688</v>
      </c>
      <c r="F2084" s="955"/>
      <c r="L2084" s="954"/>
      <c r="M2084" s="952"/>
      <c r="N2084" s="952"/>
    </row>
    <row r="2085" spans="1:14">
      <c r="A2085" s="958" t="s">
        <v>374</v>
      </c>
      <c r="B2085" s="958">
        <v>29</v>
      </c>
      <c r="C2085" s="958" t="s">
        <v>7579</v>
      </c>
      <c r="D2085" s="957" t="s">
        <v>7578</v>
      </c>
      <c r="E2085" s="956">
        <v>26023</v>
      </c>
      <c r="F2085" s="955"/>
      <c r="L2085" s="954"/>
      <c r="M2085" s="952"/>
      <c r="N2085" s="952"/>
    </row>
    <row r="2086" spans="1:14">
      <c r="A2086" s="958" t="s">
        <v>374</v>
      </c>
      <c r="B2086" s="958">
        <v>29</v>
      </c>
      <c r="C2086" s="958" t="s">
        <v>7577</v>
      </c>
      <c r="D2086" s="957" t="s">
        <v>7576</v>
      </c>
      <c r="E2086" s="956">
        <v>10950</v>
      </c>
      <c r="F2086" s="955"/>
      <c r="L2086" s="954"/>
      <c r="M2086" s="952"/>
      <c r="N2086" s="952"/>
    </row>
    <row r="2087" spans="1:14">
      <c r="A2087" s="958" t="s">
        <v>374</v>
      </c>
      <c r="B2087" s="958">
        <v>29</v>
      </c>
      <c r="C2087" s="958" t="s">
        <v>7575</v>
      </c>
      <c r="D2087" s="957" t="s">
        <v>7574</v>
      </c>
      <c r="E2087" s="956">
        <v>18338</v>
      </c>
      <c r="F2087" s="955"/>
      <c r="L2087" s="954"/>
      <c r="M2087" s="952"/>
      <c r="N2087" s="952"/>
    </row>
    <row r="2088" spans="1:14">
      <c r="A2088" s="958" t="s">
        <v>374</v>
      </c>
      <c r="B2088" s="958">
        <v>29</v>
      </c>
      <c r="C2088" s="958" t="s">
        <v>7573</v>
      </c>
      <c r="D2088" s="957" t="s">
        <v>7572</v>
      </c>
      <c r="E2088" s="956">
        <v>8641</v>
      </c>
      <c r="F2088" s="955"/>
      <c r="L2088" s="954"/>
      <c r="M2088" s="952"/>
      <c r="N2088" s="952"/>
    </row>
    <row r="2089" spans="1:14">
      <c r="A2089" s="958" t="s">
        <v>374</v>
      </c>
      <c r="B2089" s="958">
        <v>29</v>
      </c>
      <c r="C2089" s="958" t="s">
        <v>7571</v>
      </c>
      <c r="D2089" s="957" t="s">
        <v>7570</v>
      </c>
      <c r="E2089" s="956">
        <v>49418</v>
      </c>
      <c r="F2089" s="955"/>
      <c r="L2089" s="954"/>
      <c r="M2089" s="952"/>
      <c r="N2089" s="952"/>
    </row>
    <row r="2090" spans="1:14">
      <c r="A2090" s="958" t="s">
        <v>374</v>
      </c>
      <c r="B2090" s="958">
        <v>29</v>
      </c>
      <c r="C2090" s="958" t="s">
        <v>7569</v>
      </c>
      <c r="D2090" s="957" t="s">
        <v>7568</v>
      </c>
      <c r="E2090" s="956">
        <v>8519</v>
      </c>
      <c r="F2090" s="955"/>
      <c r="L2090" s="954"/>
      <c r="M2090" s="952"/>
      <c r="N2090" s="952"/>
    </row>
    <row r="2091" spans="1:14">
      <c r="A2091" s="958" t="s">
        <v>374</v>
      </c>
      <c r="B2091" s="958">
        <v>29</v>
      </c>
      <c r="C2091" s="958" t="s">
        <v>7567</v>
      </c>
      <c r="D2091" s="957" t="s">
        <v>7566</v>
      </c>
      <c r="E2091" s="956">
        <v>35413</v>
      </c>
      <c r="F2091" s="955"/>
      <c r="L2091" s="954"/>
      <c r="M2091" s="952"/>
      <c r="N2091" s="952"/>
    </row>
    <row r="2092" spans="1:14">
      <c r="A2092" s="958" t="s">
        <v>374</v>
      </c>
      <c r="B2092" s="958">
        <v>29</v>
      </c>
      <c r="C2092" s="958" t="s">
        <v>7565</v>
      </c>
      <c r="D2092" s="957" t="s">
        <v>7564</v>
      </c>
      <c r="E2092" s="956">
        <v>12042</v>
      </c>
      <c r="F2092" s="955"/>
      <c r="L2092" s="954"/>
      <c r="M2092" s="952"/>
      <c r="N2092" s="952"/>
    </row>
    <row r="2093" spans="1:14">
      <c r="A2093" s="958" t="s">
        <v>374</v>
      </c>
      <c r="B2093" s="958">
        <v>29</v>
      </c>
      <c r="C2093" s="958" t="s">
        <v>7563</v>
      </c>
      <c r="D2093" s="957" t="s">
        <v>7562</v>
      </c>
      <c r="E2093" s="956">
        <v>9062</v>
      </c>
      <c r="F2093" s="955"/>
      <c r="L2093" s="954"/>
      <c r="M2093" s="952"/>
      <c r="N2093" s="952"/>
    </row>
    <row r="2094" spans="1:14">
      <c r="A2094" s="958" t="s">
        <v>374</v>
      </c>
      <c r="B2094" s="958">
        <v>29</v>
      </c>
      <c r="C2094" s="958" t="s">
        <v>7561</v>
      </c>
      <c r="D2094" s="957" t="s">
        <v>7560</v>
      </c>
      <c r="E2094" s="956">
        <v>41748</v>
      </c>
      <c r="F2094" s="955"/>
      <c r="L2094" s="954"/>
      <c r="M2094" s="952"/>
      <c r="N2094" s="952"/>
    </row>
    <row r="2095" spans="1:14">
      <c r="A2095" s="958" t="s">
        <v>374</v>
      </c>
      <c r="B2095" s="958">
        <v>29</v>
      </c>
      <c r="C2095" s="958" t="s">
        <v>7559</v>
      </c>
      <c r="D2095" s="957" t="s">
        <v>7558</v>
      </c>
      <c r="E2095" s="956">
        <v>10889</v>
      </c>
      <c r="F2095" s="955"/>
      <c r="L2095" s="954"/>
      <c r="M2095" s="952"/>
      <c r="N2095" s="952"/>
    </row>
    <row r="2096" spans="1:14">
      <c r="A2096" s="958" t="s">
        <v>374</v>
      </c>
      <c r="B2096" s="958">
        <v>29</v>
      </c>
      <c r="C2096" s="958" t="s">
        <v>7557</v>
      </c>
      <c r="D2096" s="957" t="s">
        <v>1027</v>
      </c>
      <c r="E2096" s="956">
        <v>26776</v>
      </c>
      <c r="F2096" s="955"/>
      <c r="L2096" s="954"/>
      <c r="M2096" s="952"/>
      <c r="N2096" s="952"/>
    </row>
    <row r="2097" spans="1:14">
      <c r="A2097" s="958" t="s">
        <v>374</v>
      </c>
      <c r="B2097" s="958">
        <v>29</v>
      </c>
      <c r="C2097" s="958" t="s">
        <v>7556</v>
      </c>
      <c r="D2097" s="957" t="s">
        <v>7555</v>
      </c>
      <c r="E2097" s="956">
        <v>7422</v>
      </c>
      <c r="F2097" s="955"/>
      <c r="L2097" s="954"/>
      <c r="M2097" s="952"/>
      <c r="N2097" s="952"/>
    </row>
    <row r="2098" spans="1:14">
      <c r="A2098" s="958" t="s">
        <v>374</v>
      </c>
      <c r="B2098" s="958">
        <v>29</v>
      </c>
      <c r="C2098" s="958" t="s">
        <v>7554</v>
      </c>
      <c r="D2098" s="957" t="s">
        <v>7553</v>
      </c>
      <c r="E2098" s="956">
        <v>11348</v>
      </c>
      <c r="F2098" s="955"/>
      <c r="L2098" s="954"/>
      <c r="M2098" s="952"/>
      <c r="N2098" s="952"/>
    </row>
    <row r="2099" spans="1:14">
      <c r="A2099" s="958" t="s">
        <v>374</v>
      </c>
      <c r="B2099" s="958">
        <v>29</v>
      </c>
      <c r="C2099" s="958" t="s">
        <v>7552</v>
      </c>
      <c r="D2099" s="957" t="s">
        <v>7551</v>
      </c>
      <c r="E2099" s="956">
        <v>29399</v>
      </c>
      <c r="F2099" s="955"/>
      <c r="L2099" s="954"/>
      <c r="M2099" s="952"/>
      <c r="N2099" s="952"/>
    </row>
    <row r="2100" spans="1:14">
      <c r="A2100" s="958" t="s">
        <v>374</v>
      </c>
      <c r="B2100" s="958">
        <v>29</v>
      </c>
      <c r="C2100" s="958" t="s">
        <v>7550</v>
      </c>
      <c r="D2100" s="957" t="s">
        <v>7549</v>
      </c>
      <c r="E2100" s="956">
        <v>22221</v>
      </c>
      <c r="F2100" s="955"/>
      <c r="L2100" s="954"/>
      <c r="M2100" s="952"/>
      <c r="N2100" s="952"/>
    </row>
    <row r="2101" spans="1:14">
      <c r="A2101" s="958" t="s">
        <v>374</v>
      </c>
      <c r="B2101" s="958">
        <v>29</v>
      </c>
      <c r="C2101" s="958" t="s">
        <v>7548</v>
      </c>
      <c r="D2101" s="957" t="s">
        <v>7547</v>
      </c>
      <c r="E2101" s="956">
        <v>28525</v>
      </c>
      <c r="F2101" s="955"/>
      <c r="L2101" s="954"/>
      <c r="M2101" s="952"/>
      <c r="N2101" s="952"/>
    </row>
    <row r="2102" spans="1:14">
      <c r="A2102" s="958" t="s">
        <v>374</v>
      </c>
      <c r="B2102" s="958">
        <v>29</v>
      </c>
      <c r="C2102" s="958" t="s">
        <v>7546</v>
      </c>
      <c r="D2102" s="957" t="s">
        <v>7545</v>
      </c>
      <c r="E2102" s="956">
        <v>13997</v>
      </c>
      <c r="F2102" s="955"/>
      <c r="L2102" s="954"/>
      <c r="M2102" s="952"/>
      <c r="N2102" s="952"/>
    </row>
    <row r="2103" spans="1:14">
      <c r="A2103" s="958" t="s">
        <v>374</v>
      </c>
      <c r="B2103" s="958">
        <v>29</v>
      </c>
      <c r="C2103" s="958" t="s">
        <v>7544</v>
      </c>
      <c r="D2103" s="957" t="s">
        <v>7543</v>
      </c>
      <c r="E2103" s="956">
        <v>13130</v>
      </c>
      <c r="F2103" s="955"/>
      <c r="L2103" s="954"/>
      <c r="M2103" s="952"/>
      <c r="N2103" s="952"/>
    </row>
    <row r="2104" spans="1:14">
      <c r="A2104" s="958" t="s">
        <v>374</v>
      </c>
      <c r="B2104" s="958">
        <v>29</v>
      </c>
      <c r="C2104" s="958" t="s">
        <v>7542</v>
      </c>
      <c r="D2104" s="957" t="s">
        <v>7541</v>
      </c>
      <c r="E2104" s="956">
        <v>16462</v>
      </c>
      <c r="F2104" s="955"/>
      <c r="L2104" s="954"/>
      <c r="M2104" s="952"/>
      <c r="N2104" s="952"/>
    </row>
    <row r="2105" spans="1:14">
      <c r="A2105" s="958" t="s">
        <v>374</v>
      </c>
      <c r="B2105" s="958">
        <v>29</v>
      </c>
      <c r="C2105" s="958" t="s">
        <v>7540</v>
      </c>
      <c r="D2105" s="957" t="s">
        <v>3677</v>
      </c>
      <c r="E2105" s="956">
        <v>7812</v>
      </c>
      <c r="F2105" s="955"/>
      <c r="L2105" s="954"/>
      <c r="M2105" s="952"/>
      <c r="N2105" s="952"/>
    </row>
    <row r="2106" spans="1:14">
      <c r="A2106" s="958" t="s">
        <v>374</v>
      </c>
      <c r="B2106" s="958">
        <v>29</v>
      </c>
      <c r="C2106" s="958" t="s">
        <v>7539</v>
      </c>
      <c r="D2106" s="957" t="s">
        <v>7538</v>
      </c>
      <c r="E2106" s="956">
        <v>6591</v>
      </c>
      <c r="F2106" s="955"/>
      <c r="L2106" s="954"/>
      <c r="M2106" s="952"/>
      <c r="N2106" s="952"/>
    </row>
    <row r="2107" spans="1:14">
      <c r="A2107" s="958" t="s">
        <v>374</v>
      </c>
      <c r="B2107" s="958">
        <v>29</v>
      </c>
      <c r="C2107" s="958" t="s">
        <v>7537</v>
      </c>
      <c r="D2107" s="957" t="s">
        <v>7536</v>
      </c>
      <c r="E2107" s="956">
        <v>8226</v>
      </c>
      <c r="F2107" s="955"/>
      <c r="L2107" s="954"/>
      <c r="M2107" s="952"/>
      <c r="N2107" s="952"/>
    </row>
    <row r="2108" spans="1:14">
      <c r="A2108" s="958" t="s">
        <v>374</v>
      </c>
      <c r="B2108" s="958">
        <v>29</v>
      </c>
      <c r="C2108" s="958" t="s">
        <v>7535</v>
      </c>
      <c r="D2108" s="957" t="s">
        <v>7534</v>
      </c>
      <c r="E2108" s="956">
        <v>9118</v>
      </c>
      <c r="F2108" s="955"/>
      <c r="L2108" s="954"/>
      <c r="M2108" s="952"/>
      <c r="N2108" s="952"/>
    </row>
    <row r="2109" spans="1:14">
      <c r="A2109" s="958" t="s">
        <v>374</v>
      </c>
      <c r="B2109" s="958">
        <v>29</v>
      </c>
      <c r="C2109" s="958" t="s">
        <v>7533</v>
      </c>
      <c r="D2109" s="957" t="s">
        <v>7532</v>
      </c>
      <c r="E2109" s="956">
        <v>26947</v>
      </c>
      <c r="F2109" s="955"/>
      <c r="L2109" s="954"/>
      <c r="M2109" s="952"/>
      <c r="N2109" s="952"/>
    </row>
    <row r="2110" spans="1:14">
      <c r="A2110" s="958" t="s">
        <v>374</v>
      </c>
      <c r="B2110" s="958">
        <v>29</v>
      </c>
      <c r="C2110" s="958" t="s">
        <v>7531</v>
      </c>
      <c r="D2110" s="957" t="s">
        <v>7530</v>
      </c>
      <c r="E2110" s="956">
        <v>43376</v>
      </c>
      <c r="F2110" s="955"/>
      <c r="L2110" s="954"/>
      <c r="M2110" s="952"/>
      <c r="N2110" s="952"/>
    </row>
    <row r="2111" spans="1:14">
      <c r="A2111" s="958" t="s">
        <v>374</v>
      </c>
      <c r="B2111" s="958">
        <v>29</v>
      </c>
      <c r="C2111" s="958" t="s">
        <v>7529</v>
      </c>
      <c r="D2111" s="957" t="s">
        <v>3008</v>
      </c>
      <c r="E2111" s="956">
        <v>12385</v>
      </c>
      <c r="F2111" s="955"/>
      <c r="L2111" s="954"/>
      <c r="M2111" s="952"/>
      <c r="N2111" s="952"/>
    </row>
    <row r="2112" spans="1:14">
      <c r="A2112" s="958" t="s">
        <v>374</v>
      </c>
      <c r="B2112" s="958">
        <v>29</v>
      </c>
      <c r="C2112" s="958" t="s">
        <v>7528</v>
      </c>
      <c r="D2112" s="957" t="s">
        <v>7527</v>
      </c>
      <c r="E2112" s="956">
        <v>15440</v>
      </c>
      <c r="F2112" s="955"/>
      <c r="L2112" s="954"/>
      <c r="M2112" s="952"/>
      <c r="N2112" s="952"/>
    </row>
    <row r="2113" spans="1:14">
      <c r="A2113" s="958" t="s">
        <v>374</v>
      </c>
      <c r="B2113" s="958">
        <v>29</v>
      </c>
      <c r="C2113" s="958" t="s">
        <v>7526</v>
      </c>
      <c r="D2113" s="957" t="s">
        <v>7525</v>
      </c>
      <c r="E2113" s="956">
        <v>28229</v>
      </c>
      <c r="F2113" s="955"/>
      <c r="L2113" s="954"/>
      <c r="M2113" s="952"/>
      <c r="N2113" s="952"/>
    </row>
    <row r="2114" spans="1:14">
      <c r="A2114" s="958" t="s">
        <v>374</v>
      </c>
      <c r="B2114" s="958">
        <v>29</v>
      </c>
      <c r="C2114" s="958" t="s">
        <v>7524</v>
      </c>
      <c r="D2114" s="957" t="s">
        <v>7523</v>
      </c>
      <c r="E2114" s="956">
        <v>21825</v>
      </c>
      <c r="F2114" s="955"/>
      <c r="L2114" s="954"/>
      <c r="M2114" s="952"/>
      <c r="N2114" s="952"/>
    </row>
    <row r="2115" spans="1:14">
      <c r="A2115" s="958" t="s">
        <v>374</v>
      </c>
      <c r="B2115" s="958">
        <v>29</v>
      </c>
      <c r="C2115" s="958" t="s">
        <v>7522</v>
      </c>
      <c r="D2115" s="957" t="s">
        <v>7521</v>
      </c>
      <c r="E2115" s="956">
        <v>8564</v>
      </c>
      <c r="F2115" s="955"/>
      <c r="L2115" s="954"/>
      <c r="M2115" s="952"/>
      <c r="N2115" s="952"/>
    </row>
    <row r="2116" spans="1:14">
      <c r="A2116" s="958" t="s">
        <v>374</v>
      </c>
      <c r="B2116" s="958">
        <v>29</v>
      </c>
      <c r="C2116" s="958" t="s">
        <v>7520</v>
      </c>
      <c r="D2116" s="957" t="s">
        <v>7519</v>
      </c>
      <c r="E2116" s="956">
        <v>17451</v>
      </c>
      <c r="F2116" s="955"/>
      <c r="L2116" s="954"/>
      <c r="M2116" s="952"/>
      <c r="N2116" s="952"/>
    </row>
    <row r="2117" spans="1:14">
      <c r="A2117" s="958" t="s">
        <v>374</v>
      </c>
      <c r="B2117" s="958">
        <v>29</v>
      </c>
      <c r="C2117" s="958" t="s">
        <v>7518</v>
      </c>
      <c r="D2117" s="957" t="s">
        <v>7517</v>
      </c>
      <c r="E2117" s="956">
        <v>21750</v>
      </c>
      <c r="F2117" s="955"/>
      <c r="L2117" s="954"/>
      <c r="M2117" s="952"/>
      <c r="N2117" s="952"/>
    </row>
    <row r="2118" spans="1:14">
      <c r="A2118" s="958" t="s">
        <v>374</v>
      </c>
      <c r="B2118" s="958">
        <v>29</v>
      </c>
      <c r="C2118" s="958" t="s">
        <v>7516</v>
      </c>
      <c r="D2118" s="957" t="s">
        <v>7515</v>
      </c>
      <c r="E2118" s="956">
        <v>9019</v>
      </c>
      <c r="F2118" s="955"/>
      <c r="L2118" s="954"/>
      <c r="M2118" s="952"/>
      <c r="N2118" s="952"/>
    </row>
    <row r="2119" spans="1:14">
      <c r="A2119" s="958" t="s">
        <v>374</v>
      </c>
      <c r="B2119" s="958">
        <v>29</v>
      </c>
      <c r="C2119" s="958" t="s">
        <v>7514</v>
      </c>
      <c r="D2119" s="957" t="s">
        <v>7513</v>
      </c>
      <c r="E2119" s="956">
        <v>21607</v>
      </c>
      <c r="F2119" s="955"/>
      <c r="L2119" s="954"/>
      <c r="M2119" s="952"/>
      <c r="N2119" s="952"/>
    </row>
    <row r="2120" spans="1:14">
      <c r="A2120" s="958" t="s">
        <v>374</v>
      </c>
      <c r="B2120" s="958">
        <v>29</v>
      </c>
      <c r="C2120" s="958" t="s">
        <v>7512</v>
      </c>
      <c r="D2120" s="957" t="s">
        <v>7511</v>
      </c>
      <c r="E2120" s="956">
        <v>32000</v>
      </c>
      <c r="F2120" s="955"/>
      <c r="L2120" s="954"/>
      <c r="M2120" s="952"/>
      <c r="N2120" s="952"/>
    </row>
    <row r="2121" spans="1:14">
      <c r="A2121" s="958" t="s">
        <v>374</v>
      </c>
      <c r="B2121" s="958">
        <v>29</v>
      </c>
      <c r="C2121" s="958" t="s">
        <v>7510</v>
      </c>
      <c r="D2121" s="957" t="s">
        <v>7509</v>
      </c>
      <c r="E2121" s="956">
        <v>28989</v>
      </c>
      <c r="F2121" s="955"/>
      <c r="L2121" s="954"/>
      <c r="M2121" s="952"/>
      <c r="N2121" s="952"/>
    </row>
    <row r="2122" spans="1:14">
      <c r="A2122" s="958" t="s">
        <v>374</v>
      </c>
      <c r="B2122" s="958">
        <v>29</v>
      </c>
      <c r="C2122" s="958" t="s">
        <v>7508</v>
      </c>
      <c r="D2122" s="957" t="s">
        <v>7507</v>
      </c>
      <c r="E2122" s="956">
        <v>9831</v>
      </c>
      <c r="F2122" s="955"/>
      <c r="L2122" s="954"/>
      <c r="M2122" s="952"/>
      <c r="N2122" s="952"/>
    </row>
    <row r="2123" spans="1:14">
      <c r="A2123" s="958" t="s">
        <v>374</v>
      </c>
      <c r="B2123" s="958">
        <v>29</v>
      </c>
      <c r="C2123" s="958" t="s">
        <v>7506</v>
      </c>
      <c r="D2123" s="957" t="s">
        <v>7505</v>
      </c>
      <c r="E2123" s="956">
        <v>117782</v>
      </c>
      <c r="F2123" s="955"/>
      <c r="L2123" s="954"/>
      <c r="M2123" s="952"/>
      <c r="N2123" s="952"/>
    </row>
    <row r="2124" spans="1:14">
      <c r="A2124" s="958" t="s">
        <v>374</v>
      </c>
      <c r="B2124" s="958">
        <v>29</v>
      </c>
      <c r="C2124" s="958" t="s">
        <v>7504</v>
      </c>
      <c r="D2124" s="957" t="s">
        <v>7503</v>
      </c>
      <c r="E2124" s="956">
        <v>13578</v>
      </c>
      <c r="F2124" s="955"/>
      <c r="L2124" s="954"/>
      <c r="M2124" s="952"/>
      <c r="N2124" s="952"/>
    </row>
    <row r="2125" spans="1:14">
      <c r="A2125" s="958" t="s">
        <v>374</v>
      </c>
      <c r="B2125" s="958">
        <v>29</v>
      </c>
      <c r="C2125" s="958" t="s">
        <v>7502</v>
      </c>
      <c r="D2125" s="957" t="s">
        <v>7501</v>
      </c>
      <c r="E2125" s="956">
        <v>7347</v>
      </c>
      <c r="F2125" s="955"/>
      <c r="L2125" s="954"/>
      <c r="M2125" s="952"/>
      <c r="N2125" s="952"/>
    </row>
    <row r="2126" spans="1:14">
      <c r="A2126" s="958" t="s">
        <v>374</v>
      </c>
      <c r="B2126" s="958">
        <v>29</v>
      </c>
      <c r="C2126" s="958" t="s">
        <v>7500</v>
      </c>
      <c r="D2126" s="957" t="s">
        <v>7499</v>
      </c>
      <c r="E2126" s="956">
        <v>16667</v>
      </c>
      <c r="F2126" s="955"/>
      <c r="L2126" s="954"/>
      <c r="M2126" s="952"/>
      <c r="N2126" s="952"/>
    </row>
    <row r="2127" spans="1:14">
      <c r="A2127" s="958" t="s">
        <v>374</v>
      </c>
      <c r="B2127" s="958">
        <v>29</v>
      </c>
      <c r="C2127" s="958" t="s">
        <v>7498</v>
      </c>
      <c r="D2127" s="957" t="s">
        <v>7497</v>
      </c>
      <c r="E2127" s="956">
        <v>17123</v>
      </c>
      <c r="F2127" s="955"/>
      <c r="L2127" s="954"/>
      <c r="M2127" s="952"/>
      <c r="N2127" s="952"/>
    </row>
    <row r="2128" spans="1:14">
      <c r="A2128" s="958" t="s">
        <v>374</v>
      </c>
      <c r="B2128" s="958">
        <v>29</v>
      </c>
      <c r="C2128" s="958" t="s">
        <v>7496</v>
      </c>
      <c r="D2128" s="957" t="s">
        <v>7495</v>
      </c>
      <c r="E2128" s="956">
        <v>35048</v>
      </c>
      <c r="F2128" s="955"/>
      <c r="L2128" s="954"/>
      <c r="M2128" s="952"/>
      <c r="N2128" s="952"/>
    </row>
    <row r="2129" spans="1:14">
      <c r="A2129" s="958" t="s">
        <v>374</v>
      </c>
      <c r="B2129" s="958">
        <v>29</v>
      </c>
      <c r="C2129" s="958" t="s">
        <v>7494</v>
      </c>
      <c r="D2129" s="957" t="s">
        <v>7493</v>
      </c>
      <c r="E2129" s="956">
        <v>16260</v>
      </c>
      <c r="F2129" s="955"/>
      <c r="L2129" s="954"/>
      <c r="M2129" s="952"/>
      <c r="N2129" s="952"/>
    </row>
    <row r="2130" spans="1:14">
      <c r="A2130" s="958" t="s">
        <v>374</v>
      </c>
      <c r="B2130" s="958">
        <v>29</v>
      </c>
      <c r="C2130" s="958" t="s">
        <v>7492</v>
      </c>
      <c r="D2130" s="957" t="s">
        <v>7491</v>
      </c>
      <c r="E2130" s="956">
        <v>20150</v>
      </c>
      <c r="F2130" s="955"/>
      <c r="L2130" s="954"/>
      <c r="M2130" s="952"/>
      <c r="N2130" s="952"/>
    </row>
    <row r="2131" spans="1:14">
      <c r="A2131" s="958" t="s">
        <v>374</v>
      </c>
      <c r="B2131" s="958">
        <v>29</v>
      </c>
      <c r="C2131" s="958" t="s">
        <v>7490</v>
      </c>
      <c r="D2131" s="957" t="s">
        <v>7489</v>
      </c>
      <c r="E2131" s="956">
        <v>10437</v>
      </c>
      <c r="F2131" s="955"/>
      <c r="L2131" s="954"/>
      <c r="M2131" s="952"/>
      <c r="N2131" s="952"/>
    </row>
    <row r="2132" spans="1:14">
      <c r="A2132" s="958" t="s">
        <v>374</v>
      </c>
      <c r="B2132" s="958">
        <v>29</v>
      </c>
      <c r="C2132" s="958" t="s">
        <v>7488</v>
      </c>
      <c r="D2132" s="957" t="s">
        <v>7487</v>
      </c>
      <c r="E2132" s="956">
        <v>10023</v>
      </c>
      <c r="F2132" s="955"/>
      <c r="L2132" s="954"/>
      <c r="M2132" s="952"/>
      <c r="N2132" s="952"/>
    </row>
    <row r="2133" spans="1:14">
      <c r="A2133" s="958" t="s">
        <v>374</v>
      </c>
      <c r="B2133" s="958">
        <v>29</v>
      </c>
      <c r="C2133" s="958" t="s">
        <v>7486</v>
      </c>
      <c r="D2133" s="957" t="s">
        <v>7485</v>
      </c>
      <c r="E2133" s="956">
        <v>10707</v>
      </c>
      <c r="F2133" s="955"/>
      <c r="L2133" s="954"/>
      <c r="M2133" s="952"/>
      <c r="N2133" s="952"/>
    </row>
    <row r="2134" spans="1:14">
      <c r="A2134" s="958" t="s">
        <v>374</v>
      </c>
      <c r="B2134" s="958">
        <v>29</v>
      </c>
      <c r="C2134" s="958" t="s">
        <v>7484</v>
      </c>
      <c r="D2134" s="957" t="s">
        <v>7483</v>
      </c>
      <c r="E2134" s="956">
        <v>24755</v>
      </c>
      <c r="F2134" s="955"/>
      <c r="L2134" s="954"/>
      <c r="M2134" s="952"/>
      <c r="N2134" s="952"/>
    </row>
    <row r="2135" spans="1:14">
      <c r="A2135" s="958" t="s">
        <v>374</v>
      </c>
      <c r="B2135" s="958">
        <v>29</v>
      </c>
      <c r="C2135" s="958" t="s">
        <v>7482</v>
      </c>
      <c r="D2135" s="957" t="s">
        <v>7481</v>
      </c>
      <c r="E2135" s="956">
        <v>9322</v>
      </c>
      <c r="F2135" s="955"/>
      <c r="L2135" s="954"/>
      <c r="M2135" s="952"/>
      <c r="N2135" s="952"/>
    </row>
    <row r="2136" spans="1:14">
      <c r="A2136" s="958" t="s">
        <v>374</v>
      </c>
      <c r="B2136" s="958">
        <v>29</v>
      </c>
      <c r="C2136" s="958" t="s">
        <v>7480</v>
      </c>
      <c r="D2136" s="957" t="s">
        <v>2127</v>
      </c>
      <c r="E2136" s="956">
        <v>26265</v>
      </c>
      <c r="F2136" s="955"/>
      <c r="L2136" s="954"/>
      <c r="M2136" s="952"/>
      <c r="N2136" s="952"/>
    </row>
    <row r="2137" spans="1:14">
      <c r="A2137" s="958" t="s">
        <v>374</v>
      </c>
      <c r="B2137" s="958">
        <v>29</v>
      </c>
      <c r="C2137" s="958" t="s">
        <v>7479</v>
      </c>
      <c r="D2137" s="957" t="s">
        <v>7478</v>
      </c>
      <c r="E2137" s="956">
        <v>46871</v>
      </c>
      <c r="F2137" s="955"/>
      <c r="L2137" s="954"/>
      <c r="M2137" s="952"/>
      <c r="N2137" s="952"/>
    </row>
    <row r="2138" spans="1:14">
      <c r="A2138" s="958" t="s">
        <v>374</v>
      </c>
      <c r="B2138" s="958">
        <v>29</v>
      </c>
      <c r="C2138" s="958" t="s">
        <v>7477</v>
      </c>
      <c r="D2138" s="957" t="s">
        <v>7476</v>
      </c>
      <c r="E2138" s="956">
        <v>39519</v>
      </c>
      <c r="F2138" s="955"/>
      <c r="L2138" s="954"/>
      <c r="M2138" s="952"/>
      <c r="N2138" s="952"/>
    </row>
    <row r="2139" spans="1:14">
      <c r="A2139" s="958" t="s">
        <v>374</v>
      </c>
      <c r="B2139" s="958">
        <v>29</v>
      </c>
      <c r="C2139" s="958" t="s">
        <v>7475</v>
      </c>
      <c r="D2139" s="957" t="s">
        <v>7474</v>
      </c>
      <c r="E2139" s="956">
        <v>14914</v>
      </c>
      <c r="F2139" s="955"/>
      <c r="L2139" s="954"/>
      <c r="M2139" s="952"/>
      <c r="N2139" s="952"/>
    </row>
    <row r="2140" spans="1:14">
      <c r="A2140" s="958" t="s">
        <v>374</v>
      </c>
      <c r="B2140" s="958">
        <v>29</v>
      </c>
      <c r="C2140" s="958" t="s">
        <v>7473</v>
      </c>
      <c r="D2140" s="957" t="s">
        <v>7472</v>
      </c>
      <c r="E2140" s="956">
        <v>148686</v>
      </c>
      <c r="F2140" s="955"/>
      <c r="L2140" s="954"/>
      <c r="M2140" s="952"/>
      <c r="N2140" s="952"/>
    </row>
    <row r="2141" spans="1:14">
      <c r="A2141" s="958" t="s">
        <v>374</v>
      </c>
      <c r="B2141" s="958">
        <v>29</v>
      </c>
      <c r="C2141" s="958" t="s">
        <v>7471</v>
      </c>
      <c r="D2141" s="957" t="s">
        <v>7470</v>
      </c>
      <c r="E2141" s="956">
        <v>7224</v>
      </c>
      <c r="F2141" s="955"/>
      <c r="L2141" s="954"/>
      <c r="M2141" s="952"/>
      <c r="N2141" s="952"/>
    </row>
    <row r="2142" spans="1:14">
      <c r="A2142" s="958" t="s">
        <v>374</v>
      </c>
      <c r="B2142" s="958">
        <v>29</v>
      </c>
      <c r="C2142" s="958" t="s">
        <v>7469</v>
      </c>
      <c r="D2142" s="957" t="s">
        <v>7468</v>
      </c>
      <c r="E2142" s="956">
        <v>28174</v>
      </c>
      <c r="F2142" s="955"/>
      <c r="L2142" s="954"/>
      <c r="M2142" s="952"/>
      <c r="N2142" s="952"/>
    </row>
    <row r="2143" spans="1:14">
      <c r="A2143" s="958" t="s">
        <v>374</v>
      </c>
      <c r="B2143" s="958">
        <v>29</v>
      </c>
      <c r="C2143" s="958" t="s">
        <v>7467</v>
      </c>
      <c r="D2143" s="957" t="s">
        <v>7466</v>
      </c>
      <c r="E2143" s="956">
        <v>15142</v>
      </c>
      <c r="F2143" s="955"/>
      <c r="L2143" s="954"/>
      <c r="M2143" s="952"/>
      <c r="N2143" s="952"/>
    </row>
    <row r="2144" spans="1:14">
      <c r="A2144" s="958" t="s">
        <v>374</v>
      </c>
      <c r="B2144" s="958">
        <v>29</v>
      </c>
      <c r="C2144" s="958" t="s">
        <v>7465</v>
      </c>
      <c r="D2144" s="957" t="s">
        <v>7464</v>
      </c>
      <c r="E2144" s="956">
        <v>12338</v>
      </c>
      <c r="F2144" s="955"/>
      <c r="L2144" s="954"/>
      <c r="M2144" s="952"/>
      <c r="N2144" s="952"/>
    </row>
    <row r="2145" spans="1:14">
      <c r="A2145" s="958" t="s">
        <v>374</v>
      </c>
      <c r="B2145" s="958">
        <v>29</v>
      </c>
      <c r="C2145" s="958" t="s">
        <v>7463</v>
      </c>
      <c r="D2145" s="957" t="s">
        <v>7462</v>
      </c>
      <c r="E2145" s="956">
        <v>27719</v>
      </c>
      <c r="F2145" s="955"/>
      <c r="L2145" s="954"/>
      <c r="M2145" s="952"/>
      <c r="N2145" s="952"/>
    </row>
    <row r="2146" spans="1:14">
      <c r="A2146" s="958" t="s">
        <v>374</v>
      </c>
      <c r="B2146" s="958">
        <v>29</v>
      </c>
      <c r="C2146" s="958" t="s">
        <v>7461</v>
      </c>
      <c r="D2146" s="957" t="s">
        <v>7460</v>
      </c>
      <c r="E2146" s="956">
        <v>25439</v>
      </c>
      <c r="F2146" s="955"/>
      <c r="L2146" s="954"/>
      <c r="M2146" s="952"/>
      <c r="N2146" s="952"/>
    </row>
    <row r="2147" spans="1:14">
      <c r="A2147" s="958" t="s">
        <v>374</v>
      </c>
      <c r="B2147" s="958">
        <v>29</v>
      </c>
      <c r="C2147" s="958" t="s">
        <v>7459</v>
      </c>
      <c r="D2147" s="957" t="s">
        <v>7458</v>
      </c>
      <c r="E2147" s="956">
        <v>27580</v>
      </c>
      <c r="F2147" s="955"/>
      <c r="L2147" s="954"/>
      <c r="M2147" s="952"/>
      <c r="N2147" s="952"/>
    </row>
    <row r="2148" spans="1:14">
      <c r="A2148" s="958" t="s">
        <v>374</v>
      </c>
      <c r="B2148" s="958">
        <v>29</v>
      </c>
      <c r="C2148" s="958" t="s">
        <v>7457</v>
      </c>
      <c r="D2148" s="957" t="s">
        <v>7456</v>
      </c>
      <c r="E2148" s="956">
        <v>8972</v>
      </c>
      <c r="F2148" s="955"/>
      <c r="L2148" s="954"/>
      <c r="M2148" s="952"/>
      <c r="N2148" s="952"/>
    </row>
    <row r="2149" spans="1:14">
      <c r="A2149" s="958" t="s">
        <v>374</v>
      </c>
      <c r="B2149" s="958">
        <v>29</v>
      </c>
      <c r="C2149" s="958" t="s">
        <v>7455</v>
      </c>
      <c r="D2149" s="957" t="s">
        <v>7454</v>
      </c>
      <c r="E2149" s="956">
        <v>22621</v>
      </c>
      <c r="F2149" s="955"/>
      <c r="L2149" s="954"/>
      <c r="M2149" s="952"/>
      <c r="N2149" s="952"/>
    </row>
    <row r="2150" spans="1:14">
      <c r="A2150" s="958" t="s">
        <v>374</v>
      </c>
      <c r="B2150" s="958">
        <v>29</v>
      </c>
      <c r="C2150" s="958" t="s">
        <v>7453</v>
      </c>
      <c r="D2150" s="957" t="s">
        <v>7452</v>
      </c>
      <c r="E2150" s="956">
        <v>41008</v>
      </c>
      <c r="F2150" s="955"/>
      <c r="L2150" s="954"/>
      <c r="M2150" s="952"/>
      <c r="N2150" s="952"/>
    </row>
    <row r="2151" spans="1:14">
      <c r="A2151" s="958" t="s">
        <v>374</v>
      </c>
      <c r="B2151" s="958">
        <v>29</v>
      </c>
      <c r="C2151" s="958" t="s">
        <v>7451</v>
      </c>
      <c r="D2151" s="957" t="s">
        <v>7450</v>
      </c>
      <c r="E2151" s="956">
        <v>14396</v>
      </c>
      <c r="F2151" s="955"/>
      <c r="L2151" s="954"/>
      <c r="M2151" s="952"/>
      <c r="N2151" s="952"/>
    </row>
    <row r="2152" spans="1:14">
      <c r="A2152" s="958" t="s">
        <v>374</v>
      </c>
      <c r="B2152" s="958">
        <v>29</v>
      </c>
      <c r="C2152" s="958" t="s">
        <v>7449</v>
      </c>
      <c r="D2152" s="957" t="s">
        <v>7448</v>
      </c>
      <c r="E2152" s="956">
        <v>22339</v>
      </c>
      <c r="F2152" s="955"/>
      <c r="L2152" s="954"/>
      <c r="M2152" s="952"/>
      <c r="N2152" s="952"/>
    </row>
    <row r="2153" spans="1:14">
      <c r="A2153" s="958" t="s">
        <v>374</v>
      </c>
      <c r="B2153" s="958">
        <v>29</v>
      </c>
      <c r="C2153" s="958" t="s">
        <v>7447</v>
      </c>
      <c r="D2153" s="957" t="s">
        <v>7446</v>
      </c>
      <c r="E2153" s="956">
        <v>33436</v>
      </c>
      <c r="F2153" s="955"/>
      <c r="L2153" s="954"/>
      <c r="M2153" s="952"/>
      <c r="N2153" s="952"/>
    </row>
    <row r="2154" spans="1:14">
      <c r="A2154" s="958" t="s">
        <v>374</v>
      </c>
      <c r="B2154" s="958">
        <v>29</v>
      </c>
      <c r="C2154" s="958" t="s">
        <v>7445</v>
      </c>
      <c r="D2154" s="957" t="s">
        <v>7444</v>
      </c>
      <c r="E2154" s="956">
        <v>35421</v>
      </c>
      <c r="F2154" s="955"/>
      <c r="L2154" s="954"/>
      <c r="M2154" s="952"/>
      <c r="N2154" s="952"/>
    </row>
    <row r="2155" spans="1:14">
      <c r="A2155" s="958" t="s">
        <v>374</v>
      </c>
      <c r="B2155" s="958">
        <v>29</v>
      </c>
      <c r="C2155" s="958" t="s">
        <v>7443</v>
      </c>
      <c r="D2155" s="957" t="s">
        <v>7442</v>
      </c>
      <c r="E2155" s="956">
        <v>14592</v>
      </c>
      <c r="F2155" s="955"/>
      <c r="L2155" s="954"/>
      <c r="M2155" s="952"/>
      <c r="N2155" s="952"/>
    </row>
    <row r="2156" spans="1:14">
      <c r="A2156" s="958" t="s">
        <v>374</v>
      </c>
      <c r="B2156" s="958">
        <v>29</v>
      </c>
      <c r="C2156" s="958" t="s">
        <v>7441</v>
      </c>
      <c r="D2156" s="957" t="s">
        <v>7440</v>
      </c>
      <c r="E2156" s="956">
        <v>53807</v>
      </c>
      <c r="F2156" s="955"/>
      <c r="L2156" s="954"/>
      <c r="M2156" s="952"/>
      <c r="N2156" s="952"/>
    </row>
    <row r="2157" spans="1:14">
      <c r="A2157" s="958" t="s">
        <v>374</v>
      </c>
      <c r="B2157" s="958">
        <v>29</v>
      </c>
      <c r="C2157" s="958" t="s">
        <v>7439</v>
      </c>
      <c r="D2157" s="957" t="s">
        <v>7438</v>
      </c>
      <c r="E2157" s="956">
        <v>5812</v>
      </c>
      <c r="F2157" s="955"/>
      <c r="L2157" s="954"/>
      <c r="M2157" s="952"/>
      <c r="N2157" s="952"/>
    </row>
    <row r="2158" spans="1:14">
      <c r="A2158" s="958" t="s">
        <v>374</v>
      </c>
      <c r="B2158" s="958">
        <v>29</v>
      </c>
      <c r="C2158" s="958" t="s">
        <v>7437</v>
      </c>
      <c r="D2158" s="957" t="s">
        <v>7436</v>
      </c>
      <c r="E2158" s="956">
        <v>12989</v>
      </c>
      <c r="F2158" s="955"/>
      <c r="L2158" s="954"/>
      <c r="M2158" s="952"/>
      <c r="N2158" s="952"/>
    </row>
    <row r="2159" spans="1:14">
      <c r="A2159" s="958" t="s">
        <v>374</v>
      </c>
      <c r="B2159" s="958">
        <v>29</v>
      </c>
      <c r="C2159" s="958" t="s">
        <v>7435</v>
      </c>
      <c r="D2159" s="957" t="s">
        <v>7434</v>
      </c>
      <c r="E2159" s="956">
        <v>15371</v>
      </c>
      <c r="F2159" s="955"/>
      <c r="L2159" s="954"/>
      <c r="M2159" s="952"/>
      <c r="N2159" s="952"/>
    </row>
    <row r="2160" spans="1:14">
      <c r="A2160" s="958" t="s">
        <v>374</v>
      </c>
      <c r="B2160" s="958">
        <v>29</v>
      </c>
      <c r="C2160" s="958" t="s">
        <v>7433</v>
      </c>
      <c r="D2160" s="957" t="s">
        <v>7432</v>
      </c>
      <c r="E2160" s="956">
        <v>11655</v>
      </c>
      <c r="F2160" s="955"/>
      <c r="L2160" s="954"/>
      <c r="M2160" s="952"/>
      <c r="N2160" s="952"/>
    </row>
    <row r="2161" spans="1:14">
      <c r="A2161" s="958" t="s">
        <v>374</v>
      </c>
      <c r="B2161" s="958">
        <v>29</v>
      </c>
      <c r="C2161" s="958" t="s">
        <v>7431</v>
      </c>
      <c r="D2161" s="957" t="s">
        <v>7430</v>
      </c>
      <c r="E2161" s="956">
        <v>40732</v>
      </c>
      <c r="F2161" s="955"/>
      <c r="L2161" s="954"/>
      <c r="M2161" s="952"/>
      <c r="N2161" s="952"/>
    </row>
    <row r="2162" spans="1:14" ht="17.25">
      <c r="A2162" s="958" t="s">
        <v>374</v>
      </c>
      <c r="B2162" s="958">
        <v>29</v>
      </c>
      <c r="C2162" s="958" t="s">
        <v>7429</v>
      </c>
      <c r="D2162" s="957" t="s">
        <v>7428</v>
      </c>
      <c r="E2162" s="956" t="s">
        <v>7427</v>
      </c>
      <c r="F2162" s="955"/>
      <c r="L2162" s="954"/>
      <c r="M2162" s="952"/>
      <c r="N2162" s="952"/>
    </row>
    <row r="2163" spans="1:14">
      <c r="A2163" s="958" t="s">
        <v>374</v>
      </c>
      <c r="B2163" s="958">
        <v>29</v>
      </c>
      <c r="C2163" s="958" t="s">
        <v>7426</v>
      </c>
      <c r="D2163" s="957" t="s">
        <v>7425</v>
      </c>
      <c r="E2163" s="956">
        <v>30814</v>
      </c>
      <c r="F2163" s="955"/>
      <c r="L2163" s="954"/>
      <c r="M2163" s="952"/>
      <c r="N2163" s="952"/>
    </row>
    <row r="2164" spans="1:14">
      <c r="A2164" s="958" t="s">
        <v>374</v>
      </c>
      <c r="B2164" s="958">
        <v>29</v>
      </c>
      <c r="C2164" s="958" t="s">
        <v>7424</v>
      </c>
      <c r="D2164" s="957" t="s">
        <v>7423</v>
      </c>
      <c r="E2164" s="956">
        <v>15667</v>
      </c>
      <c r="F2164" s="955"/>
      <c r="L2164" s="954"/>
      <c r="M2164" s="952"/>
      <c r="N2164" s="952"/>
    </row>
    <row r="2165" spans="1:14">
      <c r="A2165" s="958" t="s">
        <v>374</v>
      </c>
      <c r="B2165" s="958">
        <v>29</v>
      </c>
      <c r="C2165" s="958" t="s">
        <v>7422</v>
      </c>
      <c r="D2165" s="957" t="s">
        <v>7421</v>
      </c>
      <c r="E2165" s="956">
        <v>2872347</v>
      </c>
      <c r="F2165" s="955"/>
      <c r="L2165" s="954"/>
      <c r="M2165" s="952"/>
      <c r="N2165" s="952"/>
    </row>
    <row r="2166" spans="1:14">
      <c r="A2166" s="958" t="s">
        <v>374</v>
      </c>
      <c r="B2166" s="958">
        <v>29</v>
      </c>
      <c r="C2166" s="958" t="s">
        <v>7420</v>
      </c>
      <c r="D2166" s="957" t="s">
        <v>6011</v>
      </c>
      <c r="E2166" s="956">
        <v>20791</v>
      </c>
      <c r="F2166" s="955"/>
      <c r="L2166" s="954"/>
      <c r="M2166" s="952"/>
      <c r="N2166" s="952"/>
    </row>
    <row r="2167" spans="1:14">
      <c r="A2167" s="958" t="s">
        <v>374</v>
      </c>
      <c r="B2167" s="958">
        <v>29</v>
      </c>
      <c r="C2167" s="958" t="s">
        <v>7419</v>
      </c>
      <c r="D2167" s="957" t="s">
        <v>7418</v>
      </c>
      <c r="E2167" s="956">
        <v>14213</v>
      </c>
      <c r="F2167" s="955"/>
      <c r="L2167" s="954"/>
      <c r="M2167" s="952"/>
      <c r="N2167" s="952"/>
    </row>
    <row r="2168" spans="1:14">
      <c r="A2168" s="958" t="s">
        <v>374</v>
      </c>
      <c r="B2168" s="958">
        <v>29</v>
      </c>
      <c r="C2168" s="958" t="s">
        <v>7417</v>
      </c>
      <c r="D2168" s="957" t="s">
        <v>7416</v>
      </c>
      <c r="E2168" s="956">
        <v>27778</v>
      </c>
      <c r="F2168" s="955"/>
      <c r="L2168" s="954"/>
      <c r="M2168" s="952"/>
      <c r="N2168" s="952"/>
    </row>
    <row r="2169" spans="1:14">
      <c r="A2169" s="958" t="s">
        <v>374</v>
      </c>
      <c r="B2169" s="958">
        <v>29</v>
      </c>
      <c r="C2169" s="958" t="s">
        <v>7415</v>
      </c>
      <c r="D2169" s="957" t="s">
        <v>7414</v>
      </c>
      <c r="E2169" s="956">
        <v>6315</v>
      </c>
      <c r="F2169" s="955"/>
      <c r="L2169" s="954"/>
      <c r="M2169" s="952"/>
      <c r="N2169" s="952"/>
    </row>
    <row r="2170" spans="1:14">
      <c r="A2170" s="958" t="s">
        <v>374</v>
      </c>
      <c r="B2170" s="958">
        <v>29</v>
      </c>
      <c r="C2170" s="958" t="s">
        <v>7413</v>
      </c>
      <c r="D2170" s="957" t="s">
        <v>3502</v>
      </c>
      <c r="E2170" s="956">
        <v>10631</v>
      </c>
      <c r="F2170" s="955"/>
      <c r="L2170" s="954"/>
      <c r="M2170" s="952"/>
      <c r="N2170" s="952"/>
    </row>
    <row r="2171" spans="1:14">
      <c r="A2171" s="958" t="s">
        <v>374</v>
      </c>
      <c r="B2171" s="958">
        <v>29</v>
      </c>
      <c r="C2171" s="958" t="s">
        <v>7412</v>
      </c>
      <c r="D2171" s="957" t="s">
        <v>7411</v>
      </c>
      <c r="E2171" s="956">
        <v>37348</v>
      </c>
      <c r="F2171" s="955"/>
      <c r="L2171" s="954"/>
      <c r="M2171" s="952"/>
      <c r="N2171" s="952"/>
    </row>
    <row r="2172" spans="1:14">
      <c r="A2172" s="958" t="s">
        <v>374</v>
      </c>
      <c r="B2172" s="958">
        <v>29</v>
      </c>
      <c r="C2172" s="958" t="s">
        <v>7410</v>
      </c>
      <c r="D2172" s="957" t="s">
        <v>5989</v>
      </c>
      <c r="E2172" s="956">
        <v>12597</v>
      </c>
      <c r="F2172" s="955"/>
      <c r="L2172" s="954"/>
      <c r="M2172" s="952"/>
      <c r="N2172" s="952"/>
    </row>
    <row r="2173" spans="1:14">
      <c r="A2173" s="958" t="s">
        <v>374</v>
      </c>
      <c r="B2173" s="958">
        <v>29</v>
      </c>
      <c r="C2173" s="958" t="s">
        <v>7409</v>
      </c>
      <c r="D2173" s="957" t="s">
        <v>7408</v>
      </c>
      <c r="E2173" s="956">
        <v>39845</v>
      </c>
      <c r="F2173" s="955"/>
      <c r="L2173" s="954"/>
      <c r="M2173" s="952"/>
      <c r="N2173" s="952"/>
    </row>
    <row r="2174" spans="1:14">
      <c r="A2174" s="958" t="s">
        <v>374</v>
      </c>
      <c r="B2174" s="958">
        <v>29</v>
      </c>
      <c r="C2174" s="958" t="s">
        <v>7407</v>
      </c>
      <c r="D2174" s="957" t="s">
        <v>7406</v>
      </c>
      <c r="E2174" s="956">
        <v>26614</v>
      </c>
      <c r="F2174" s="955"/>
      <c r="L2174" s="954"/>
      <c r="M2174" s="952"/>
      <c r="N2174" s="952"/>
    </row>
    <row r="2175" spans="1:14">
      <c r="A2175" s="958" t="s">
        <v>374</v>
      </c>
      <c r="B2175" s="958">
        <v>29</v>
      </c>
      <c r="C2175" s="958" t="s">
        <v>7405</v>
      </c>
      <c r="D2175" s="957" t="s">
        <v>7404</v>
      </c>
      <c r="E2175" s="956">
        <v>8943</v>
      </c>
      <c r="F2175" s="955"/>
      <c r="L2175" s="954"/>
      <c r="M2175" s="952"/>
      <c r="N2175" s="952"/>
    </row>
    <row r="2176" spans="1:14">
      <c r="A2176" s="958" t="s">
        <v>374</v>
      </c>
      <c r="B2176" s="958">
        <v>29</v>
      </c>
      <c r="C2176" s="958" t="s">
        <v>7403</v>
      </c>
      <c r="D2176" s="957" t="s">
        <v>7402</v>
      </c>
      <c r="E2176" s="956">
        <v>28338</v>
      </c>
      <c r="F2176" s="955"/>
      <c r="L2176" s="954"/>
      <c r="M2176" s="952"/>
      <c r="N2176" s="952"/>
    </row>
    <row r="2177" spans="1:14">
      <c r="A2177" s="958" t="s">
        <v>374</v>
      </c>
      <c r="B2177" s="958">
        <v>29</v>
      </c>
      <c r="C2177" s="958" t="s">
        <v>7401</v>
      </c>
      <c r="D2177" s="957" t="s">
        <v>7400</v>
      </c>
      <c r="E2177" s="956">
        <v>10405</v>
      </c>
      <c r="F2177" s="955"/>
      <c r="L2177" s="954"/>
      <c r="M2177" s="952"/>
      <c r="N2177" s="952"/>
    </row>
    <row r="2178" spans="1:14">
      <c r="A2178" s="958" t="s">
        <v>374</v>
      </c>
      <c r="B2178" s="958">
        <v>29</v>
      </c>
      <c r="C2178" s="958" t="s">
        <v>7399</v>
      </c>
      <c r="D2178" s="957" t="s">
        <v>7398</v>
      </c>
      <c r="E2178" s="956">
        <v>60069</v>
      </c>
      <c r="F2178" s="955"/>
      <c r="L2178" s="954"/>
      <c r="M2178" s="952"/>
      <c r="N2178" s="952"/>
    </row>
    <row r="2179" spans="1:14">
      <c r="A2179" s="958" t="s">
        <v>374</v>
      </c>
      <c r="B2179" s="958">
        <v>29</v>
      </c>
      <c r="C2179" s="958" t="s">
        <v>7397</v>
      </c>
      <c r="D2179" s="957" t="s">
        <v>7396</v>
      </c>
      <c r="E2179" s="956">
        <v>101512</v>
      </c>
      <c r="F2179" s="955"/>
      <c r="L2179" s="954"/>
      <c r="M2179" s="952"/>
      <c r="N2179" s="952"/>
    </row>
    <row r="2180" spans="1:14">
      <c r="A2180" s="958" t="s">
        <v>374</v>
      </c>
      <c r="B2180" s="958">
        <v>29</v>
      </c>
      <c r="C2180" s="958" t="s">
        <v>7395</v>
      </c>
      <c r="D2180" s="957" t="s">
        <v>7394</v>
      </c>
      <c r="E2180" s="956">
        <v>52850</v>
      </c>
      <c r="F2180" s="955"/>
      <c r="L2180" s="954"/>
      <c r="M2180" s="952"/>
      <c r="N2180" s="952"/>
    </row>
    <row r="2181" spans="1:14">
      <c r="A2181" s="958" t="s">
        <v>374</v>
      </c>
      <c r="B2181" s="958">
        <v>29</v>
      </c>
      <c r="C2181" s="958" t="s">
        <v>7393</v>
      </c>
      <c r="D2181" s="957" t="s">
        <v>7392</v>
      </c>
      <c r="E2181" s="956">
        <v>33742</v>
      </c>
      <c r="F2181" s="955"/>
      <c r="L2181" s="954"/>
      <c r="M2181" s="952"/>
      <c r="N2181" s="952"/>
    </row>
    <row r="2182" spans="1:14">
      <c r="A2182" s="958" t="s">
        <v>374</v>
      </c>
      <c r="B2182" s="958">
        <v>29</v>
      </c>
      <c r="C2182" s="958" t="s">
        <v>7391</v>
      </c>
      <c r="D2182" s="957" t="s">
        <v>907</v>
      </c>
      <c r="E2182" s="956">
        <v>9058</v>
      </c>
      <c r="F2182" s="955"/>
      <c r="L2182" s="954"/>
      <c r="M2182" s="952"/>
      <c r="N2182" s="952"/>
    </row>
    <row r="2183" spans="1:14">
      <c r="A2183" s="958" t="s">
        <v>374</v>
      </c>
      <c r="B2183" s="958">
        <v>29</v>
      </c>
      <c r="C2183" s="958" t="s">
        <v>7390</v>
      </c>
      <c r="D2183" s="957" t="s">
        <v>7389</v>
      </c>
      <c r="E2183" s="956">
        <v>14740</v>
      </c>
      <c r="F2183" s="955"/>
      <c r="L2183" s="954"/>
      <c r="M2183" s="952"/>
      <c r="N2183" s="952"/>
    </row>
    <row r="2184" spans="1:14">
      <c r="A2184" s="958" t="s">
        <v>374</v>
      </c>
      <c r="B2184" s="958">
        <v>29</v>
      </c>
      <c r="C2184" s="958" t="s">
        <v>7388</v>
      </c>
      <c r="D2184" s="957" t="s">
        <v>7387</v>
      </c>
      <c r="E2184" s="956">
        <v>15391</v>
      </c>
      <c r="F2184" s="955"/>
      <c r="L2184" s="954"/>
      <c r="M2184" s="952"/>
      <c r="N2184" s="952"/>
    </row>
    <row r="2185" spans="1:14">
      <c r="A2185" s="958" t="s">
        <v>374</v>
      </c>
      <c r="B2185" s="958">
        <v>29</v>
      </c>
      <c r="C2185" s="958" t="s">
        <v>7386</v>
      </c>
      <c r="D2185" s="957" t="s">
        <v>7385</v>
      </c>
      <c r="E2185" s="956">
        <v>21074</v>
      </c>
      <c r="F2185" s="955"/>
      <c r="L2185" s="954"/>
      <c r="M2185" s="952"/>
      <c r="N2185" s="952"/>
    </row>
    <row r="2186" spans="1:14">
      <c r="A2186" s="958" t="s">
        <v>374</v>
      </c>
      <c r="B2186" s="958">
        <v>29</v>
      </c>
      <c r="C2186" s="958" t="s">
        <v>7384</v>
      </c>
      <c r="D2186" s="957" t="s">
        <v>7383</v>
      </c>
      <c r="E2186" s="956">
        <v>39802</v>
      </c>
      <c r="F2186" s="955"/>
      <c r="L2186" s="954"/>
      <c r="M2186" s="952"/>
      <c r="N2186" s="952"/>
    </row>
    <row r="2187" spans="1:14">
      <c r="A2187" s="958" t="s">
        <v>374</v>
      </c>
      <c r="B2187" s="958">
        <v>29</v>
      </c>
      <c r="C2187" s="958" t="s">
        <v>7382</v>
      </c>
      <c r="D2187" s="957" t="s">
        <v>1997</v>
      </c>
      <c r="E2187" s="956">
        <v>18793</v>
      </c>
      <c r="F2187" s="955"/>
      <c r="L2187" s="954"/>
      <c r="M2187" s="952"/>
      <c r="N2187" s="952"/>
    </row>
    <row r="2188" spans="1:14">
      <c r="A2188" s="958" t="s">
        <v>374</v>
      </c>
      <c r="B2188" s="958">
        <v>29</v>
      </c>
      <c r="C2188" s="958" t="s">
        <v>7381</v>
      </c>
      <c r="D2188" s="957" t="s">
        <v>7380</v>
      </c>
      <c r="E2188" s="956">
        <v>37550</v>
      </c>
      <c r="F2188" s="955"/>
      <c r="L2188" s="954"/>
      <c r="M2188" s="952"/>
      <c r="N2188" s="952"/>
    </row>
    <row r="2189" spans="1:14">
      <c r="A2189" s="958" t="s">
        <v>374</v>
      </c>
      <c r="B2189" s="958">
        <v>29</v>
      </c>
      <c r="C2189" s="958" t="s">
        <v>7379</v>
      </c>
      <c r="D2189" s="957" t="s">
        <v>7378</v>
      </c>
      <c r="E2189" s="956">
        <v>5657</v>
      </c>
      <c r="F2189" s="955"/>
      <c r="L2189" s="954"/>
      <c r="M2189" s="952"/>
      <c r="N2189" s="952"/>
    </row>
    <row r="2190" spans="1:14">
      <c r="A2190" s="958" t="s">
        <v>374</v>
      </c>
      <c r="B2190" s="958">
        <v>29</v>
      </c>
      <c r="C2190" s="958" t="s">
        <v>7377</v>
      </c>
      <c r="D2190" s="957" t="s">
        <v>7376</v>
      </c>
      <c r="E2190" s="956">
        <v>10462</v>
      </c>
      <c r="F2190" s="955"/>
      <c r="L2190" s="954"/>
      <c r="M2190" s="952"/>
      <c r="N2190" s="952"/>
    </row>
    <row r="2191" spans="1:14">
      <c r="A2191" s="958" t="s">
        <v>374</v>
      </c>
      <c r="B2191" s="958">
        <v>29</v>
      </c>
      <c r="C2191" s="958" t="s">
        <v>7375</v>
      </c>
      <c r="D2191" s="957" t="s">
        <v>7374</v>
      </c>
      <c r="E2191" s="956">
        <v>11675</v>
      </c>
      <c r="F2191" s="955"/>
      <c r="L2191" s="954"/>
      <c r="M2191" s="952"/>
      <c r="N2191" s="952"/>
    </row>
    <row r="2192" spans="1:14">
      <c r="A2192" s="958" t="s">
        <v>374</v>
      </c>
      <c r="B2192" s="958">
        <v>29</v>
      </c>
      <c r="C2192" s="958" t="s">
        <v>7373</v>
      </c>
      <c r="D2192" s="957" t="s">
        <v>7372</v>
      </c>
      <c r="E2192" s="956">
        <v>44300</v>
      </c>
      <c r="F2192" s="955"/>
      <c r="L2192" s="954"/>
      <c r="M2192" s="952"/>
      <c r="N2192" s="952"/>
    </row>
    <row r="2193" spans="1:14">
      <c r="A2193" s="958" t="s">
        <v>374</v>
      </c>
      <c r="B2193" s="958">
        <v>29</v>
      </c>
      <c r="C2193" s="958" t="s">
        <v>7371</v>
      </c>
      <c r="D2193" s="957" t="s">
        <v>7370</v>
      </c>
      <c r="E2193" s="956">
        <v>17398</v>
      </c>
      <c r="F2193" s="955"/>
      <c r="L2193" s="954"/>
      <c r="M2193" s="952"/>
      <c r="N2193" s="952"/>
    </row>
    <row r="2194" spans="1:14">
      <c r="A2194" s="958" t="s">
        <v>374</v>
      </c>
      <c r="B2194" s="958">
        <v>29</v>
      </c>
      <c r="C2194" s="958" t="s">
        <v>7369</v>
      </c>
      <c r="D2194" s="957" t="s">
        <v>7368</v>
      </c>
      <c r="E2194" s="956">
        <v>17273</v>
      </c>
      <c r="F2194" s="955"/>
      <c r="L2194" s="954"/>
      <c r="M2194" s="952"/>
      <c r="N2194" s="952"/>
    </row>
    <row r="2195" spans="1:14">
      <c r="A2195" s="958" t="s">
        <v>374</v>
      </c>
      <c r="B2195" s="958">
        <v>29</v>
      </c>
      <c r="C2195" s="958" t="s">
        <v>7367</v>
      </c>
      <c r="D2195" s="957" t="s">
        <v>7366</v>
      </c>
      <c r="E2195" s="956">
        <v>12043</v>
      </c>
      <c r="F2195" s="955"/>
      <c r="L2195" s="954"/>
      <c r="M2195" s="952"/>
      <c r="N2195" s="952"/>
    </row>
    <row r="2196" spans="1:14">
      <c r="A2196" s="958" t="s">
        <v>374</v>
      </c>
      <c r="B2196" s="958">
        <v>29</v>
      </c>
      <c r="C2196" s="958" t="s">
        <v>7365</v>
      </c>
      <c r="D2196" s="957" t="s">
        <v>7364</v>
      </c>
      <c r="E2196" s="956">
        <v>12913</v>
      </c>
      <c r="F2196" s="955"/>
      <c r="L2196" s="954"/>
      <c r="M2196" s="952"/>
      <c r="N2196" s="952"/>
    </row>
    <row r="2197" spans="1:14">
      <c r="A2197" s="958" t="s">
        <v>374</v>
      </c>
      <c r="B2197" s="958">
        <v>29</v>
      </c>
      <c r="C2197" s="958" t="s">
        <v>7363</v>
      </c>
      <c r="D2197" s="957" t="s">
        <v>7362</v>
      </c>
      <c r="E2197" s="956">
        <v>44091</v>
      </c>
      <c r="F2197" s="955"/>
      <c r="L2197" s="954"/>
      <c r="M2197" s="952"/>
      <c r="N2197" s="952"/>
    </row>
    <row r="2198" spans="1:14">
      <c r="A2198" s="958" t="s">
        <v>374</v>
      </c>
      <c r="B2198" s="958">
        <v>29</v>
      </c>
      <c r="C2198" s="958" t="s">
        <v>7361</v>
      </c>
      <c r="D2198" s="957" t="s">
        <v>7360</v>
      </c>
      <c r="E2198" s="956">
        <v>11434</v>
      </c>
      <c r="F2198" s="955"/>
      <c r="L2198" s="954"/>
      <c r="M2198" s="952"/>
      <c r="N2198" s="952"/>
    </row>
    <row r="2199" spans="1:14">
      <c r="A2199" s="958" t="s">
        <v>374</v>
      </c>
      <c r="B2199" s="958">
        <v>29</v>
      </c>
      <c r="C2199" s="958" t="s">
        <v>7359</v>
      </c>
      <c r="D2199" s="957" t="s">
        <v>7358</v>
      </c>
      <c r="E2199" s="956">
        <v>79015</v>
      </c>
      <c r="F2199" s="955"/>
      <c r="L2199" s="954"/>
      <c r="M2199" s="952"/>
      <c r="N2199" s="952"/>
    </row>
    <row r="2200" spans="1:14">
      <c r="A2200" s="958" t="s">
        <v>374</v>
      </c>
      <c r="B2200" s="958">
        <v>29</v>
      </c>
      <c r="C2200" s="958" t="s">
        <v>7357</v>
      </c>
      <c r="D2200" s="957" t="s">
        <v>7356</v>
      </c>
      <c r="E2200" s="956">
        <v>31472</v>
      </c>
      <c r="F2200" s="955"/>
      <c r="L2200" s="954"/>
      <c r="M2200" s="952"/>
      <c r="N2200" s="952"/>
    </row>
    <row r="2201" spans="1:14">
      <c r="A2201" s="958" t="s">
        <v>374</v>
      </c>
      <c r="B2201" s="958">
        <v>29</v>
      </c>
      <c r="C2201" s="958" t="s">
        <v>7355</v>
      </c>
      <c r="D2201" s="957" t="s">
        <v>7354</v>
      </c>
      <c r="E2201" s="956">
        <v>40684</v>
      </c>
      <c r="F2201" s="955"/>
      <c r="L2201" s="954"/>
      <c r="M2201" s="952"/>
      <c r="N2201" s="952"/>
    </row>
    <row r="2202" spans="1:14">
      <c r="A2202" s="958" t="s">
        <v>374</v>
      </c>
      <c r="B2202" s="958">
        <v>29</v>
      </c>
      <c r="C2202" s="958" t="s">
        <v>7353</v>
      </c>
      <c r="D2202" s="957" t="s">
        <v>7352</v>
      </c>
      <c r="E2202" s="956">
        <v>17386</v>
      </c>
      <c r="F2202" s="955"/>
      <c r="L2202" s="954"/>
      <c r="M2202" s="952"/>
      <c r="N2202" s="952"/>
    </row>
    <row r="2203" spans="1:14">
      <c r="A2203" s="958" t="s">
        <v>374</v>
      </c>
      <c r="B2203" s="958">
        <v>29</v>
      </c>
      <c r="C2203" s="958" t="s">
        <v>7351</v>
      </c>
      <c r="D2203" s="957" t="s">
        <v>7350</v>
      </c>
      <c r="E2203" s="956">
        <v>14878</v>
      </c>
      <c r="F2203" s="955"/>
      <c r="L2203" s="954"/>
      <c r="M2203" s="952"/>
      <c r="N2203" s="952"/>
    </row>
    <row r="2204" spans="1:14">
      <c r="A2204" s="958" t="s">
        <v>374</v>
      </c>
      <c r="B2204" s="958">
        <v>29</v>
      </c>
      <c r="C2204" s="958" t="s">
        <v>7349</v>
      </c>
      <c r="D2204" s="957" t="s">
        <v>7348</v>
      </c>
      <c r="E2204" s="956">
        <v>80861</v>
      </c>
      <c r="F2204" s="955"/>
      <c r="L2204" s="954"/>
      <c r="M2204" s="952"/>
      <c r="N2204" s="952"/>
    </row>
    <row r="2205" spans="1:14">
      <c r="A2205" s="958" t="s">
        <v>374</v>
      </c>
      <c r="B2205" s="958">
        <v>29</v>
      </c>
      <c r="C2205" s="958" t="s">
        <v>7347</v>
      </c>
      <c r="D2205" s="957" t="s">
        <v>7346</v>
      </c>
      <c r="E2205" s="956">
        <v>13397</v>
      </c>
      <c r="F2205" s="955"/>
      <c r="L2205" s="954"/>
      <c r="M2205" s="952"/>
      <c r="N2205" s="952"/>
    </row>
    <row r="2206" spans="1:14">
      <c r="A2206" s="958" t="s">
        <v>374</v>
      </c>
      <c r="B2206" s="958">
        <v>29</v>
      </c>
      <c r="C2206" s="958" t="s">
        <v>7345</v>
      </c>
      <c r="D2206" s="957" t="s">
        <v>7344</v>
      </c>
      <c r="E2206" s="956">
        <v>134377</v>
      </c>
      <c r="F2206" s="955"/>
      <c r="L2206" s="954"/>
      <c r="M2206" s="952"/>
      <c r="N2206" s="952"/>
    </row>
    <row r="2207" spans="1:14">
      <c r="A2207" s="958" t="s">
        <v>374</v>
      </c>
      <c r="B2207" s="958">
        <v>29</v>
      </c>
      <c r="C2207" s="958" t="s">
        <v>7343</v>
      </c>
      <c r="D2207" s="957" t="s">
        <v>7342</v>
      </c>
      <c r="E2207" s="956">
        <v>13012</v>
      </c>
      <c r="F2207" s="955"/>
      <c r="L2207" s="954"/>
      <c r="M2207" s="952"/>
      <c r="N2207" s="952"/>
    </row>
    <row r="2208" spans="1:14">
      <c r="A2208" s="958" t="s">
        <v>374</v>
      </c>
      <c r="B2208" s="958">
        <v>29</v>
      </c>
      <c r="C2208" s="958" t="s">
        <v>7341</v>
      </c>
      <c r="D2208" s="957" t="s">
        <v>7340</v>
      </c>
      <c r="E2208" s="956">
        <v>9986</v>
      </c>
      <c r="F2208" s="955"/>
      <c r="L2208" s="954"/>
      <c r="M2208" s="952"/>
      <c r="N2208" s="952"/>
    </row>
    <row r="2209" spans="1:14">
      <c r="A2209" s="958" t="s">
        <v>374</v>
      </c>
      <c r="B2209" s="958">
        <v>29</v>
      </c>
      <c r="C2209" s="958" t="s">
        <v>7339</v>
      </c>
      <c r="D2209" s="957" t="s">
        <v>1897</v>
      </c>
      <c r="E2209" s="956">
        <v>23191</v>
      </c>
      <c r="F2209" s="955"/>
      <c r="L2209" s="954"/>
      <c r="M2209" s="952"/>
      <c r="N2209" s="952"/>
    </row>
    <row r="2210" spans="1:14" ht="17.25">
      <c r="A2210" s="958" t="s">
        <v>374</v>
      </c>
      <c r="B2210" s="958">
        <v>29</v>
      </c>
      <c r="C2210" s="958" t="s">
        <v>7338</v>
      </c>
      <c r="D2210" s="957" t="s">
        <v>7337</v>
      </c>
      <c r="E2210" s="956" t="s">
        <v>7336</v>
      </c>
      <c r="F2210" s="955"/>
      <c r="L2210" s="954"/>
      <c r="M2210" s="952"/>
      <c r="N2210" s="952"/>
    </row>
    <row r="2211" spans="1:14">
      <c r="A2211" s="958" t="s">
        <v>374</v>
      </c>
      <c r="B2211" s="958">
        <v>29</v>
      </c>
      <c r="C2211" s="958" t="s">
        <v>7335</v>
      </c>
      <c r="D2211" s="957" t="s">
        <v>7334</v>
      </c>
      <c r="E2211" s="956">
        <v>12518</v>
      </c>
      <c r="F2211" s="955"/>
      <c r="L2211" s="954"/>
      <c r="M2211" s="952"/>
      <c r="N2211" s="952"/>
    </row>
    <row r="2212" spans="1:14">
      <c r="A2212" s="958" t="s">
        <v>374</v>
      </c>
      <c r="B2212" s="958">
        <v>29</v>
      </c>
      <c r="C2212" s="958" t="s">
        <v>7333</v>
      </c>
      <c r="D2212" s="957" t="s">
        <v>7332</v>
      </c>
      <c r="E2212" s="956">
        <v>20403</v>
      </c>
      <c r="F2212" s="955"/>
      <c r="L2212" s="954"/>
      <c r="M2212" s="952"/>
      <c r="N2212" s="952"/>
    </row>
    <row r="2213" spans="1:14">
      <c r="A2213" s="958" t="s">
        <v>374</v>
      </c>
      <c r="B2213" s="958">
        <v>29</v>
      </c>
      <c r="C2213" s="958" t="s">
        <v>7331</v>
      </c>
      <c r="D2213" s="957" t="s">
        <v>7330</v>
      </c>
      <c r="E2213" s="956">
        <v>17366</v>
      </c>
      <c r="F2213" s="955"/>
      <c r="L2213" s="954"/>
      <c r="M2213" s="952"/>
      <c r="N2213" s="952"/>
    </row>
    <row r="2214" spans="1:14">
      <c r="A2214" s="958" t="s">
        <v>374</v>
      </c>
      <c r="B2214" s="958">
        <v>29</v>
      </c>
      <c r="C2214" s="958" t="s">
        <v>7329</v>
      </c>
      <c r="D2214" s="957" t="s">
        <v>7328</v>
      </c>
      <c r="E2214" s="956">
        <v>7918</v>
      </c>
      <c r="F2214" s="955"/>
      <c r="L2214" s="954"/>
      <c r="M2214" s="952"/>
      <c r="N2214" s="952"/>
    </row>
    <row r="2215" spans="1:14">
      <c r="A2215" s="958" t="s">
        <v>374</v>
      </c>
      <c r="B2215" s="958">
        <v>29</v>
      </c>
      <c r="C2215" s="958" t="s">
        <v>7327</v>
      </c>
      <c r="D2215" s="957" t="s">
        <v>7326</v>
      </c>
      <c r="E2215" s="956">
        <v>21074</v>
      </c>
      <c r="F2215" s="955"/>
      <c r="L2215" s="954"/>
      <c r="M2215" s="952"/>
      <c r="N2215" s="952"/>
    </row>
    <row r="2216" spans="1:14">
      <c r="A2216" s="958" t="s">
        <v>374</v>
      </c>
      <c r="B2216" s="958">
        <v>29</v>
      </c>
      <c r="C2216" s="958" t="s">
        <v>7325</v>
      </c>
      <c r="D2216" s="957" t="s">
        <v>7324</v>
      </c>
      <c r="E2216" s="956">
        <v>17010</v>
      </c>
      <c r="F2216" s="955"/>
      <c r="L2216" s="954"/>
      <c r="M2216" s="952"/>
      <c r="N2216" s="952"/>
    </row>
    <row r="2217" spans="1:14">
      <c r="A2217" s="958" t="s">
        <v>374</v>
      </c>
      <c r="B2217" s="958">
        <v>29</v>
      </c>
      <c r="C2217" s="958" t="s">
        <v>7323</v>
      </c>
      <c r="D2217" s="957" t="s">
        <v>7322</v>
      </c>
      <c r="E2217" s="956">
        <v>160487</v>
      </c>
      <c r="F2217" s="955"/>
      <c r="L2217" s="954"/>
      <c r="M2217" s="952"/>
      <c r="N2217" s="952"/>
    </row>
    <row r="2218" spans="1:14">
      <c r="A2218" s="958" t="s">
        <v>374</v>
      </c>
      <c r="B2218" s="958">
        <v>29</v>
      </c>
      <c r="C2218" s="958" t="s">
        <v>7321</v>
      </c>
      <c r="D2218" s="957" t="s">
        <v>4208</v>
      </c>
      <c r="E2218" s="956">
        <v>7425</v>
      </c>
      <c r="F2218" s="955"/>
      <c r="L2218" s="954"/>
      <c r="M2218" s="952"/>
      <c r="N2218" s="952"/>
    </row>
    <row r="2219" spans="1:14">
      <c r="A2219" s="958" t="s">
        <v>374</v>
      </c>
      <c r="B2219" s="958">
        <v>29</v>
      </c>
      <c r="C2219" s="958" t="s">
        <v>7320</v>
      </c>
      <c r="D2219" s="957" t="s">
        <v>7319</v>
      </c>
      <c r="E2219" s="956">
        <v>22518</v>
      </c>
      <c r="F2219" s="955"/>
      <c r="L2219" s="954"/>
      <c r="M2219" s="952"/>
      <c r="N2219" s="952"/>
    </row>
    <row r="2220" spans="1:14">
      <c r="A2220" s="958" t="s">
        <v>374</v>
      </c>
      <c r="B2220" s="958">
        <v>29</v>
      </c>
      <c r="C2220" s="958" t="s">
        <v>7318</v>
      </c>
      <c r="D2220" s="957" t="s">
        <v>7317</v>
      </c>
      <c r="E2220" s="956">
        <v>14943</v>
      </c>
      <c r="F2220" s="955"/>
      <c r="L2220" s="954"/>
      <c r="M2220" s="952"/>
      <c r="N2220" s="952"/>
    </row>
    <row r="2221" spans="1:14">
      <c r="A2221" s="958" t="s">
        <v>374</v>
      </c>
      <c r="B2221" s="958">
        <v>29</v>
      </c>
      <c r="C2221" s="958" t="s">
        <v>7316</v>
      </c>
      <c r="D2221" s="957" t="s">
        <v>7315</v>
      </c>
      <c r="E2221" s="956">
        <v>13033</v>
      </c>
      <c r="F2221" s="955"/>
      <c r="L2221" s="954"/>
      <c r="M2221" s="952"/>
      <c r="N2221" s="952"/>
    </row>
    <row r="2222" spans="1:14">
      <c r="A2222" s="958" t="s">
        <v>374</v>
      </c>
      <c r="B2222" s="958">
        <v>29</v>
      </c>
      <c r="C2222" s="958" t="s">
        <v>7314</v>
      </c>
      <c r="D2222" s="957" t="s">
        <v>7313</v>
      </c>
      <c r="E2222" s="956">
        <v>16394</v>
      </c>
      <c r="F2222" s="955"/>
      <c r="L2222" s="954"/>
      <c r="M2222" s="952"/>
      <c r="N2222" s="952"/>
    </row>
    <row r="2223" spans="1:14">
      <c r="A2223" s="958" t="s">
        <v>374</v>
      </c>
      <c r="B2223" s="958">
        <v>29</v>
      </c>
      <c r="C2223" s="958" t="s">
        <v>7312</v>
      </c>
      <c r="D2223" s="957" t="s">
        <v>7311</v>
      </c>
      <c r="E2223" s="956">
        <v>50687</v>
      </c>
      <c r="F2223" s="955"/>
      <c r="L2223" s="954"/>
      <c r="M2223" s="952"/>
      <c r="N2223" s="952"/>
    </row>
    <row r="2224" spans="1:14">
      <c r="A2224" s="958" t="s">
        <v>374</v>
      </c>
      <c r="B2224" s="958">
        <v>29</v>
      </c>
      <c r="C2224" s="958" t="s">
        <v>7310</v>
      </c>
      <c r="D2224" s="957" t="s">
        <v>7309</v>
      </c>
      <c r="E2224" s="956">
        <v>24240</v>
      </c>
      <c r="F2224" s="955"/>
      <c r="L2224" s="954"/>
      <c r="M2224" s="952"/>
      <c r="N2224" s="952"/>
    </row>
    <row r="2225" spans="1:14">
      <c r="A2225" s="958" t="s">
        <v>374</v>
      </c>
      <c r="B2225" s="958">
        <v>29</v>
      </c>
      <c r="C2225" s="958" t="s">
        <v>7308</v>
      </c>
      <c r="D2225" s="957" t="s">
        <v>7307</v>
      </c>
      <c r="E2225" s="956">
        <v>19895</v>
      </c>
      <c r="F2225" s="955"/>
      <c r="L2225" s="954"/>
      <c r="M2225" s="952"/>
      <c r="N2225" s="952"/>
    </row>
    <row r="2226" spans="1:14">
      <c r="A2226" s="958" t="s">
        <v>374</v>
      </c>
      <c r="B2226" s="958">
        <v>29</v>
      </c>
      <c r="C2226" s="958" t="s">
        <v>7306</v>
      </c>
      <c r="D2226" s="957" t="s">
        <v>7305</v>
      </c>
      <c r="E2226" s="956">
        <v>19056</v>
      </c>
      <c r="F2226" s="955"/>
      <c r="L2226" s="954"/>
      <c r="M2226" s="952"/>
      <c r="N2226" s="952"/>
    </row>
    <row r="2227" spans="1:14">
      <c r="A2227" s="958" t="s">
        <v>374</v>
      </c>
      <c r="B2227" s="958">
        <v>29</v>
      </c>
      <c r="C2227" s="958" t="s">
        <v>7304</v>
      </c>
      <c r="D2227" s="957" t="s">
        <v>7303</v>
      </c>
      <c r="E2227" s="956">
        <v>27035</v>
      </c>
      <c r="F2227" s="955"/>
      <c r="L2227" s="954"/>
      <c r="M2227" s="952"/>
      <c r="N2227" s="952"/>
    </row>
    <row r="2228" spans="1:14">
      <c r="A2228" s="958" t="s">
        <v>374</v>
      </c>
      <c r="B2228" s="958">
        <v>29</v>
      </c>
      <c r="C2228" s="958" t="s">
        <v>7302</v>
      </c>
      <c r="D2228" s="957" t="s">
        <v>7301</v>
      </c>
      <c r="E2228" s="956">
        <v>13887</v>
      </c>
      <c r="F2228" s="955"/>
      <c r="L2228" s="954"/>
      <c r="M2228" s="952"/>
      <c r="N2228" s="952"/>
    </row>
    <row r="2229" spans="1:14">
      <c r="A2229" s="958" t="s">
        <v>374</v>
      </c>
      <c r="B2229" s="958">
        <v>29</v>
      </c>
      <c r="C2229" s="958" t="s">
        <v>7300</v>
      </c>
      <c r="D2229" s="957" t="s">
        <v>7299</v>
      </c>
      <c r="E2229" s="956">
        <v>19222</v>
      </c>
      <c r="F2229" s="955"/>
      <c r="L2229" s="954"/>
      <c r="M2229" s="952"/>
      <c r="N2229" s="952"/>
    </row>
    <row r="2230" spans="1:14">
      <c r="A2230" s="958" t="s">
        <v>374</v>
      </c>
      <c r="B2230" s="958">
        <v>29</v>
      </c>
      <c r="C2230" s="958" t="s">
        <v>7298</v>
      </c>
      <c r="D2230" s="957" t="s">
        <v>7297</v>
      </c>
      <c r="E2230" s="956">
        <v>19002</v>
      </c>
      <c r="F2230" s="955"/>
      <c r="L2230" s="954"/>
      <c r="M2230" s="952"/>
      <c r="N2230" s="952"/>
    </row>
    <row r="2231" spans="1:14">
      <c r="A2231" s="958" t="s">
        <v>374</v>
      </c>
      <c r="B2231" s="958">
        <v>29</v>
      </c>
      <c r="C2231" s="958" t="s">
        <v>7296</v>
      </c>
      <c r="D2231" s="957" t="s">
        <v>7295</v>
      </c>
      <c r="E2231" s="956">
        <v>16658</v>
      </c>
      <c r="F2231" s="955"/>
      <c r="L2231" s="954"/>
      <c r="M2231" s="952"/>
      <c r="N2231" s="952"/>
    </row>
    <row r="2232" spans="1:14">
      <c r="A2232" s="958" t="s">
        <v>374</v>
      </c>
      <c r="B2232" s="958">
        <v>29</v>
      </c>
      <c r="C2232" s="958" t="s">
        <v>7294</v>
      </c>
      <c r="D2232" s="957" t="s">
        <v>7293</v>
      </c>
      <c r="E2232" s="956">
        <v>20519</v>
      </c>
      <c r="F2232" s="955"/>
      <c r="L2232" s="954"/>
      <c r="M2232" s="952"/>
      <c r="N2232" s="952"/>
    </row>
    <row r="2233" spans="1:14">
      <c r="A2233" s="958" t="s">
        <v>374</v>
      </c>
      <c r="B2233" s="958">
        <v>29</v>
      </c>
      <c r="C2233" s="958" t="s">
        <v>7292</v>
      </c>
      <c r="D2233" s="957" t="s">
        <v>7291</v>
      </c>
      <c r="E2233" s="956">
        <v>19178</v>
      </c>
      <c r="F2233" s="955"/>
      <c r="L2233" s="954"/>
      <c r="M2233" s="952"/>
      <c r="N2233" s="952"/>
    </row>
    <row r="2234" spans="1:14">
      <c r="A2234" s="958" t="s">
        <v>374</v>
      </c>
      <c r="B2234" s="958">
        <v>29</v>
      </c>
      <c r="C2234" s="958" t="s">
        <v>7290</v>
      </c>
      <c r="D2234" s="957" t="s">
        <v>5402</v>
      </c>
      <c r="E2234" s="956">
        <v>96562</v>
      </c>
      <c r="F2234" s="955"/>
      <c r="L2234" s="954"/>
      <c r="M2234" s="952"/>
      <c r="N2234" s="952"/>
    </row>
    <row r="2235" spans="1:14">
      <c r="A2235" s="958" t="s">
        <v>374</v>
      </c>
      <c r="B2235" s="958">
        <v>29</v>
      </c>
      <c r="C2235" s="958" t="s">
        <v>7289</v>
      </c>
      <c r="D2235" s="957" t="s">
        <v>7288</v>
      </c>
      <c r="E2235" s="956">
        <v>28473</v>
      </c>
      <c r="F2235" s="955"/>
      <c r="L2235" s="954"/>
      <c r="M2235" s="952"/>
      <c r="N2235" s="952"/>
    </row>
    <row r="2236" spans="1:14">
      <c r="A2236" s="958" t="s">
        <v>374</v>
      </c>
      <c r="B2236" s="958">
        <v>29</v>
      </c>
      <c r="C2236" s="958" t="s">
        <v>7287</v>
      </c>
      <c r="D2236" s="957" t="s">
        <v>7286</v>
      </c>
      <c r="E2236" s="956">
        <v>14104</v>
      </c>
      <c r="F2236" s="955"/>
      <c r="L2236" s="954"/>
      <c r="M2236" s="952"/>
      <c r="N2236" s="952"/>
    </row>
    <row r="2237" spans="1:14">
      <c r="A2237" s="958" t="s">
        <v>374</v>
      </c>
      <c r="B2237" s="958">
        <v>29</v>
      </c>
      <c r="C2237" s="958" t="s">
        <v>7285</v>
      </c>
      <c r="D2237" s="957" t="s">
        <v>7284</v>
      </c>
      <c r="E2237" s="956">
        <v>9170</v>
      </c>
      <c r="F2237" s="955"/>
      <c r="L2237" s="954"/>
      <c r="M2237" s="952"/>
      <c r="N2237" s="952"/>
    </row>
    <row r="2238" spans="1:14">
      <c r="A2238" s="958" t="s">
        <v>374</v>
      </c>
      <c r="B2238" s="958">
        <v>29</v>
      </c>
      <c r="C2238" s="958" t="s">
        <v>7283</v>
      </c>
      <c r="D2238" s="957" t="s">
        <v>7282</v>
      </c>
      <c r="E2238" s="956">
        <v>12697</v>
      </c>
      <c r="F2238" s="955"/>
      <c r="L2238" s="954"/>
      <c r="M2238" s="952"/>
      <c r="N2238" s="952"/>
    </row>
    <row r="2239" spans="1:14">
      <c r="A2239" s="958" t="s">
        <v>374</v>
      </c>
      <c r="B2239" s="958">
        <v>29</v>
      </c>
      <c r="C2239" s="958" t="s">
        <v>7281</v>
      </c>
      <c r="D2239" s="957" t="s">
        <v>7280</v>
      </c>
      <c r="E2239" s="956">
        <v>8838</v>
      </c>
      <c r="F2239" s="955"/>
      <c r="L2239" s="954"/>
      <c r="M2239" s="952"/>
      <c r="N2239" s="952"/>
    </row>
    <row r="2240" spans="1:14" ht="17.25">
      <c r="A2240" s="958" t="s">
        <v>374</v>
      </c>
      <c r="B2240" s="958">
        <v>29</v>
      </c>
      <c r="C2240" s="958" t="s">
        <v>7279</v>
      </c>
      <c r="D2240" s="957" t="s">
        <v>1807</v>
      </c>
      <c r="E2240" s="956" t="s">
        <v>7278</v>
      </c>
      <c r="F2240" s="955"/>
      <c r="L2240" s="954"/>
      <c r="M2240" s="952"/>
      <c r="N2240" s="952"/>
    </row>
    <row r="2241" spans="1:14">
      <c r="A2241" s="958" t="s">
        <v>374</v>
      </c>
      <c r="B2241" s="958">
        <v>29</v>
      </c>
      <c r="C2241" s="958" t="s">
        <v>7277</v>
      </c>
      <c r="D2241" s="957" t="s">
        <v>7276</v>
      </c>
      <c r="E2241" s="956">
        <v>6205</v>
      </c>
      <c r="F2241" s="955"/>
      <c r="L2241" s="954"/>
      <c r="M2241" s="952"/>
      <c r="N2241" s="952"/>
    </row>
    <row r="2242" spans="1:14">
      <c r="A2242" s="958" t="s">
        <v>374</v>
      </c>
      <c r="B2242" s="958">
        <v>29</v>
      </c>
      <c r="C2242" s="958" t="s">
        <v>7275</v>
      </c>
      <c r="D2242" s="957" t="s">
        <v>7274</v>
      </c>
      <c r="E2242" s="956">
        <v>341597</v>
      </c>
      <c r="F2242" s="955"/>
      <c r="L2242" s="954"/>
      <c r="M2242" s="952"/>
      <c r="N2242" s="952"/>
    </row>
    <row r="2243" spans="1:14">
      <c r="A2243" s="958" t="s">
        <v>374</v>
      </c>
      <c r="B2243" s="958">
        <v>29</v>
      </c>
      <c r="C2243" s="958" t="s">
        <v>7273</v>
      </c>
      <c r="D2243" s="957" t="s">
        <v>7272</v>
      </c>
      <c r="E2243" s="956">
        <v>9345</v>
      </c>
      <c r="F2243" s="955"/>
      <c r="L2243" s="954"/>
      <c r="M2243" s="952"/>
      <c r="N2243" s="952"/>
    </row>
    <row r="2244" spans="1:14">
      <c r="A2244" s="958" t="s">
        <v>374</v>
      </c>
      <c r="B2244" s="958">
        <v>29</v>
      </c>
      <c r="C2244" s="958" t="s">
        <v>7271</v>
      </c>
      <c r="D2244" s="957" t="s">
        <v>7270</v>
      </c>
      <c r="E2244" s="956">
        <v>12238</v>
      </c>
      <c r="F2244" s="955"/>
      <c r="L2244" s="954"/>
      <c r="M2244" s="952"/>
      <c r="N2244" s="952"/>
    </row>
    <row r="2245" spans="1:14">
      <c r="A2245" s="958" t="s">
        <v>374</v>
      </c>
      <c r="B2245" s="958">
        <v>29</v>
      </c>
      <c r="C2245" s="958" t="s">
        <v>7269</v>
      </c>
      <c r="D2245" s="957" t="s">
        <v>7268</v>
      </c>
      <c r="E2245" s="956">
        <v>21101</v>
      </c>
      <c r="F2245" s="955"/>
      <c r="L2245" s="954"/>
      <c r="M2245" s="952"/>
      <c r="N2245" s="952"/>
    </row>
    <row r="2246" spans="1:14">
      <c r="A2246" s="958" t="s">
        <v>374</v>
      </c>
      <c r="B2246" s="958">
        <v>29</v>
      </c>
      <c r="C2246" s="958" t="s">
        <v>7267</v>
      </c>
      <c r="D2246" s="957" t="s">
        <v>7266</v>
      </c>
      <c r="E2246" s="956">
        <v>46483</v>
      </c>
      <c r="F2246" s="955"/>
      <c r="L2246" s="954"/>
      <c r="M2246" s="952"/>
      <c r="N2246" s="952"/>
    </row>
    <row r="2247" spans="1:14">
      <c r="A2247" s="958" t="s">
        <v>366</v>
      </c>
      <c r="B2247" s="958">
        <v>31</v>
      </c>
      <c r="C2247" s="958" t="s">
        <v>7265</v>
      </c>
      <c r="D2247" s="957" t="s">
        <v>7264</v>
      </c>
      <c r="E2247" s="956">
        <v>6989</v>
      </c>
      <c r="F2247" s="955"/>
      <c r="L2247" s="954"/>
      <c r="M2247" s="952"/>
      <c r="N2247" s="952"/>
    </row>
    <row r="2248" spans="1:14">
      <c r="A2248" s="958" t="s">
        <v>366</v>
      </c>
      <c r="B2248" s="958">
        <v>31</v>
      </c>
      <c r="C2248" s="958" t="s">
        <v>1774</v>
      </c>
      <c r="D2248" s="957" t="s">
        <v>7263</v>
      </c>
      <c r="E2248" s="956">
        <v>23237</v>
      </c>
      <c r="F2248" s="955"/>
      <c r="L2248" s="954"/>
      <c r="M2248" s="952"/>
      <c r="N2248" s="952"/>
    </row>
    <row r="2249" spans="1:14">
      <c r="A2249" s="958" t="s">
        <v>366</v>
      </c>
      <c r="B2249" s="958">
        <v>31</v>
      </c>
      <c r="C2249" s="958" t="s">
        <v>7262</v>
      </c>
      <c r="D2249" s="957" t="s">
        <v>7261</v>
      </c>
      <c r="E2249" s="956">
        <v>13454</v>
      </c>
      <c r="F2249" s="955"/>
      <c r="L2249" s="954"/>
      <c r="M2249" s="952"/>
      <c r="N2249" s="952"/>
    </row>
    <row r="2250" spans="1:14">
      <c r="A2250" s="958" t="s">
        <v>366</v>
      </c>
      <c r="B2250" s="958">
        <v>31</v>
      </c>
      <c r="C2250" s="958" t="s">
        <v>7260</v>
      </c>
      <c r="D2250" s="957" t="s">
        <v>7259</v>
      </c>
      <c r="E2250" s="956">
        <v>3994</v>
      </c>
      <c r="F2250" s="955"/>
      <c r="L2250" s="954"/>
      <c r="M2250" s="952"/>
      <c r="N2250" s="952"/>
    </row>
    <row r="2251" spans="1:14">
      <c r="A2251" s="958" t="s">
        <v>366</v>
      </c>
      <c r="B2251" s="958">
        <v>31</v>
      </c>
      <c r="C2251" s="958" t="s">
        <v>7258</v>
      </c>
      <c r="D2251" s="957" t="s">
        <v>7257</v>
      </c>
      <c r="E2251" s="956">
        <v>9470</v>
      </c>
      <c r="F2251" s="955"/>
      <c r="L2251" s="954"/>
      <c r="M2251" s="952"/>
      <c r="N2251" s="952"/>
    </row>
    <row r="2252" spans="1:14">
      <c r="A2252" s="958" t="s">
        <v>366</v>
      </c>
      <c r="B2252" s="958">
        <v>31</v>
      </c>
      <c r="C2252" s="958" t="s">
        <v>1770</v>
      </c>
      <c r="D2252" s="957" t="s">
        <v>1614</v>
      </c>
      <c r="E2252" s="956">
        <v>13735</v>
      </c>
      <c r="F2252" s="955"/>
      <c r="L2252" s="954"/>
      <c r="M2252" s="952"/>
      <c r="N2252" s="952"/>
    </row>
    <row r="2253" spans="1:14">
      <c r="A2253" s="958" t="s">
        <v>366</v>
      </c>
      <c r="B2253" s="958">
        <v>31</v>
      </c>
      <c r="C2253" s="958" t="s">
        <v>1768</v>
      </c>
      <c r="D2253" s="957" t="s">
        <v>7256</v>
      </c>
      <c r="E2253" s="956">
        <v>1999</v>
      </c>
      <c r="F2253" s="955"/>
      <c r="L2253" s="954"/>
      <c r="M2253" s="952"/>
      <c r="N2253" s="952"/>
    </row>
    <row r="2254" spans="1:14">
      <c r="A2254" s="958" t="s">
        <v>366</v>
      </c>
      <c r="B2254" s="958">
        <v>31</v>
      </c>
      <c r="C2254" s="958" t="s">
        <v>1766</v>
      </c>
      <c r="D2254" s="957" t="s">
        <v>7255</v>
      </c>
      <c r="E2254" s="956">
        <v>4486</v>
      </c>
      <c r="F2254" s="955"/>
      <c r="L2254" s="954"/>
      <c r="M2254" s="952"/>
      <c r="N2254" s="952"/>
    </row>
    <row r="2255" spans="1:14">
      <c r="A2255" s="958" t="s">
        <v>366</v>
      </c>
      <c r="B2255" s="958">
        <v>31</v>
      </c>
      <c r="C2255" s="958" t="s">
        <v>1762</v>
      </c>
      <c r="D2255" s="957" t="s">
        <v>7254</v>
      </c>
      <c r="E2255" s="956">
        <v>19207</v>
      </c>
      <c r="F2255" s="955"/>
      <c r="L2255" s="954"/>
      <c r="M2255" s="952"/>
      <c r="N2255" s="952"/>
    </row>
    <row r="2256" spans="1:14">
      <c r="A2256" s="958" t="s">
        <v>366</v>
      </c>
      <c r="B2256" s="958">
        <v>31</v>
      </c>
      <c r="C2256" s="958" t="s">
        <v>1760</v>
      </c>
      <c r="D2256" s="957" t="s">
        <v>7253</v>
      </c>
      <c r="E2256" s="956">
        <v>13539</v>
      </c>
      <c r="F2256" s="955"/>
      <c r="L2256" s="954"/>
      <c r="M2256" s="952"/>
      <c r="N2256" s="952"/>
    </row>
    <row r="2257" spans="1:14">
      <c r="A2257" s="958" t="s">
        <v>366</v>
      </c>
      <c r="B2257" s="958">
        <v>31</v>
      </c>
      <c r="C2257" s="958" t="s">
        <v>1758</v>
      </c>
      <c r="D2257" s="957" t="s">
        <v>7252</v>
      </c>
      <c r="E2257" s="956">
        <v>25167</v>
      </c>
      <c r="F2257" s="955"/>
      <c r="L2257" s="954"/>
      <c r="M2257" s="952"/>
      <c r="N2257" s="952"/>
    </row>
    <row r="2258" spans="1:14">
      <c r="A2258" s="958" t="s">
        <v>366</v>
      </c>
      <c r="B2258" s="958">
        <v>31</v>
      </c>
      <c r="C2258" s="958" t="s">
        <v>7251</v>
      </c>
      <c r="D2258" s="957" t="s">
        <v>7250</v>
      </c>
      <c r="E2258" s="956">
        <v>6003</v>
      </c>
      <c r="F2258" s="955"/>
      <c r="L2258" s="954"/>
      <c r="M2258" s="952"/>
      <c r="N2258" s="952"/>
    </row>
    <row r="2259" spans="1:14">
      <c r="A2259" s="958" t="s">
        <v>366</v>
      </c>
      <c r="B2259" s="958">
        <v>31</v>
      </c>
      <c r="C2259" s="958" t="s">
        <v>7249</v>
      </c>
      <c r="D2259" s="957" t="s">
        <v>7248</v>
      </c>
      <c r="E2259" s="956">
        <v>2674</v>
      </c>
      <c r="F2259" s="955"/>
      <c r="L2259" s="954"/>
      <c r="M2259" s="952"/>
      <c r="N2259" s="952"/>
    </row>
    <row r="2260" spans="1:14">
      <c r="A2260" s="958" t="s">
        <v>366</v>
      </c>
      <c r="B2260" s="958">
        <v>31</v>
      </c>
      <c r="C2260" s="958" t="s">
        <v>7247</v>
      </c>
      <c r="D2260" s="957" t="s">
        <v>7246</v>
      </c>
      <c r="E2260" s="956">
        <v>3007</v>
      </c>
      <c r="F2260" s="955"/>
      <c r="L2260" s="954"/>
      <c r="M2260" s="952"/>
      <c r="N2260" s="952"/>
    </row>
    <row r="2261" spans="1:14">
      <c r="A2261" s="958" t="s">
        <v>366</v>
      </c>
      <c r="B2261" s="958">
        <v>31</v>
      </c>
      <c r="C2261" s="958" t="s">
        <v>1754</v>
      </c>
      <c r="D2261" s="957" t="s">
        <v>7245</v>
      </c>
      <c r="E2261" s="956">
        <v>35362</v>
      </c>
      <c r="F2261" s="955"/>
      <c r="L2261" s="954"/>
      <c r="M2261" s="952"/>
      <c r="N2261" s="952"/>
    </row>
    <row r="2262" spans="1:14">
      <c r="A2262" s="958" t="s">
        <v>366</v>
      </c>
      <c r="B2262" s="958">
        <v>31</v>
      </c>
      <c r="C2262" s="958" t="s">
        <v>7244</v>
      </c>
      <c r="D2262" s="957" t="s">
        <v>7243</v>
      </c>
      <c r="E2262" s="956">
        <v>79996</v>
      </c>
      <c r="F2262" s="955"/>
      <c r="L2262" s="954"/>
      <c r="M2262" s="952"/>
      <c r="N2262" s="952"/>
    </row>
    <row r="2263" spans="1:14">
      <c r="A2263" s="958" t="s">
        <v>366</v>
      </c>
      <c r="B2263" s="958">
        <v>31</v>
      </c>
      <c r="C2263" s="958" t="s">
        <v>7242</v>
      </c>
      <c r="D2263" s="957" t="s">
        <v>7241</v>
      </c>
      <c r="E2263" s="956">
        <v>6907</v>
      </c>
      <c r="F2263" s="955"/>
      <c r="L2263" s="954"/>
      <c r="M2263" s="952"/>
      <c r="N2263" s="952"/>
    </row>
    <row r="2264" spans="1:14">
      <c r="A2264" s="958" t="s">
        <v>366</v>
      </c>
      <c r="B2264" s="958">
        <v>31</v>
      </c>
      <c r="C2264" s="958" t="s">
        <v>7240</v>
      </c>
      <c r="D2264" s="957" t="s">
        <v>7239</v>
      </c>
      <c r="E2264" s="956">
        <v>41896</v>
      </c>
      <c r="F2264" s="955"/>
      <c r="L2264" s="954"/>
      <c r="M2264" s="952"/>
      <c r="N2264" s="952"/>
    </row>
    <row r="2265" spans="1:14">
      <c r="A2265" s="958" t="s">
        <v>366</v>
      </c>
      <c r="B2265" s="958">
        <v>31</v>
      </c>
      <c r="C2265" s="958" t="s">
        <v>7238</v>
      </c>
      <c r="D2265" s="957" t="s">
        <v>7237</v>
      </c>
      <c r="E2265" s="956">
        <v>7424</v>
      </c>
      <c r="F2265" s="955"/>
      <c r="L2265" s="954"/>
      <c r="M2265" s="952"/>
      <c r="N2265" s="952"/>
    </row>
    <row r="2266" spans="1:14">
      <c r="A2266" s="958" t="s">
        <v>366</v>
      </c>
      <c r="B2266" s="958">
        <v>31</v>
      </c>
      <c r="C2266" s="958" t="s">
        <v>1752</v>
      </c>
      <c r="D2266" s="957" t="s">
        <v>7236</v>
      </c>
      <c r="E2266" s="956">
        <v>19853</v>
      </c>
      <c r="F2266" s="955"/>
      <c r="L2266" s="954"/>
      <c r="M2266" s="952"/>
      <c r="N2266" s="952"/>
    </row>
    <row r="2267" spans="1:14">
      <c r="A2267" s="958" t="s">
        <v>366</v>
      </c>
      <c r="B2267" s="958">
        <v>31</v>
      </c>
      <c r="C2267" s="958" t="s">
        <v>1750</v>
      </c>
      <c r="D2267" s="957" t="s">
        <v>7235</v>
      </c>
      <c r="E2267" s="956">
        <v>14466</v>
      </c>
      <c r="F2267" s="955"/>
      <c r="L2267" s="954"/>
      <c r="M2267" s="952"/>
      <c r="N2267" s="952"/>
    </row>
    <row r="2268" spans="1:14">
      <c r="A2268" s="958" t="s">
        <v>366</v>
      </c>
      <c r="B2268" s="958">
        <v>31</v>
      </c>
      <c r="C2268" s="958" t="s">
        <v>7234</v>
      </c>
      <c r="D2268" s="957" t="s">
        <v>7233</v>
      </c>
      <c r="E2268" s="956">
        <v>5847</v>
      </c>
      <c r="F2268" s="955"/>
      <c r="L2268" s="954"/>
      <c r="M2268" s="952"/>
      <c r="N2268" s="952"/>
    </row>
    <row r="2269" spans="1:14">
      <c r="A2269" s="958" t="s">
        <v>366</v>
      </c>
      <c r="B2269" s="958">
        <v>31</v>
      </c>
      <c r="C2269" s="958" t="s">
        <v>1748</v>
      </c>
      <c r="D2269" s="957" t="s">
        <v>7232</v>
      </c>
      <c r="E2269" s="956">
        <v>11000</v>
      </c>
      <c r="F2269" s="955"/>
      <c r="L2269" s="954"/>
      <c r="M2269" s="952"/>
      <c r="N2269" s="952"/>
    </row>
    <row r="2270" spans="1:14">
      <c r="A2270" s="958" t="s">
        <v>366</v>
      </c>
      <c r="B2270" s="958">
        <v>31</v>
      </c>
      <c r="C2270" s="958" t="s">
        <v>1744</v>
      </c>
      <c r="D2270" s="957" t="s">
        <v>7231</v>
      </c>
      <c r="E2270" s="956">
        <v>3907</v>
      </c>
      <c r="F2270" s="955"/>
      <c r="L2270" s="954"/>
      <c r="M2270" s="952"/>
      <c r="N2270" s="952"/>
    </row>
    <row r="2271" spans="1:14">
      <c r="A2271" s="958" t="s">
        <v>366</v>
      </c>
      <c r="B2271" s="958">
        <v>31</v>
      </c>
      <c r="C2271" s="958" t="s">
        <v>1742</v>
      </c>
      <c r="D2271" s="957" t="s">
        <v>7230</v>
      </c>
      <c r="E2271" s="956">
        <v>15203</v>
      </c>
      <c r="F2271" s="955"/>
      <c r="L2271" s="954"/>
      <c r="M2271" s="952"/>
      <c r="N2271" s="952"/>
    </row>
    <row r="2272" spans="1:14">
      <c r="A2272" s="958" t="s">
        <v>366</v>
      </c>
      <c r="B2272" s="958">
        <v>31</v>
      </c>
      <c r="C2272" s="958" t="s">
        <v>1740</v>
      </c>
      <c r="D2272" s="957" t="s">
        <v>7229</v>
      </c>
      <c r="E2272" s="956">
        <v>3606</v>
      </c>
      <c r="F2272" s="955"/>
      <c r="L2272" s="954"/>
      <c r="M2272" s="952"/>
      <c r="N2272" s="952"/>
    </row>
    <row r="2273" spans="1:14">
      <c r="A2273" s="958" t="s">
        <v>366</v>
      </c>
      <c r="B2273" s="958">
        <v>31</v>
      </c>
      <c r="C2273" s="958" t="s">
        <v>7228</v>
      </c>
      <c r="D2273" s="957" t="s">
        <v>7227</v>
      </c>
      <c r="E2273" s="956">
        <v>4713</v>
      </c>
      <c r="F2273" s="955"/>
      <c r="L2273" s="954"/>
      <c r="M2273" s="952"/>
      <c r="N2273" s="952"/>
    </row>
    <row r="2274" spans="1:14">
      <c r="A2274" s="958" t="s">
        <v>366</v>
      </c>
      <c r="B2274" s="958">
        <v>31</v>
      </c>
      <c r="C2274" s="958" t="s">
        <v>1738</v>
      </c>
      <c r="D2274" s="957" t="s">
        <v>7226</v>
      </c>
      <c r="E2274" s="956">
        <v>41077</v>
      </c>
      <c r="F2274" s="955"/>
      <c r="L2274" s="954"/>
      <c r="M2274" s="952"/>
      <c r="N2274" s="952"/>
    </row>
    <row r="2275" spans="1:14">
      <c r="A2275" s="958" t="s">
        <v>366</v>
      </c>
      <c r="B2275" s="958">
        <v>31</v>
      </c>
      <c r="C2275" s="958" t="s">
        <v>1736</v>
      </c>
      <c r="D2275" s="957" t="s">
        <v>7225</v>
      </c>
      <c r="E2275" s="956">
        <v>9412</v>
      </c>
      <c r="F2275" s="955"/>
      <c r="L2275" s="954"/>
      <c r="M2275" s="952"/>
      <c r="N2275" s="952"/>
    </row>
    <row r="2276" spans="1:14">
      <c r="A2276" s="958" t="s">
        <v>366</v>
      </c>
      <c r="B2276" s="958">
        <v>31</v>
      </c>
      <c r="C2276" s="958" t="s">
        <v>1734</v>
      </c>
      <c r="D2276" s="957" t="s">
        <v>7224</v>
      </c>
      <c r="E2276" s="956">
        <v>12224</v>
      </c>
      <c r="F2276" s="955"/>
      <c r="L2276" s="954"/>
      <c r="M2276" s="952"/>
      <c r="N2276" s="952"/>
    </row>
    <row r="2277" spans="1:14">
      <c r="A2277" s="958" t="s">
        <v>366</v>
      </c>
      <c r="B2277" s="958">
        <v>31</v>
      </c>
      <c r="C2277" s="958" t="s">
        <v>7223</v>
      </c>
      <c r="D2277" s="957" t="s">
        <v>7222</v>
      </c>
      <c r="E2277" s="956">
        <v>8520</v>
      </c>
      <c r="F2277" s="955"/>
      <c r="L2277" s="954"/>
      <c r="M2277" s="952"/>
      <c r="N2277" s="952"/>
    </row>
    <row r="2278" spans="1:14">
      <c r="A2278" s="958" t="s">
        <v>366</v>
      </c>
      <c r="B2278" s="958">
        <v>31</v>
      </c>
      <c r="C2278" s="958" t="s">
        <v>1732</v>
      </c>
      <c r="D2278" s="957" t="s">
        <v>3324</v>
      </c>
      <c r="E2278" s="956">
        <v>11445</v>
      </c>
      <c r="F2278" s="955"/>
      <c r="L2278" s="954"/>
      <c r="M2278" s="952"/>
      <c r="N2278" s="952"/>
    </row>
    <row r="2279" spans="1:14">
      <c r="A2279" s="958" t="s">
        <v>366</v>
      </c>
      <c r="B2279" s="958">
        <v>31</v>
      </c>
      <c r="C2279" s="958" t="s">
        <v>7221</v>
      </c>
      <c r="D2279" s="957" t="s">
        <v>7220</v>
      </c>
      <c r="E2279" s="956">
        <v>9318</v>
      </c>
      <c r="F2279" s="955"/>
      <c r="L2279" s="954"/>
      <c r="M2279" s="952"/>
      <c r="N2279" s="952"/>
    </row>
    <row r="2280" spans="1:14">
      <c r="A2280" s="958" t="s">
        <v>366</v>
      </c>
      <c r="B2280" s="958">
        <v>31</v>
      </c>
      <c r="C2280" s="958" t="s">
        <v>1728</v>
      </c>
      <c r="D2280" s="957" t="s">
        <v>7219</v>
      </c>
      <c r="E2280" s="956">
        <v>1598</v>
      </c>
      <c r="F2280" s="955"/>
      <c r="L2280" s="954"/>
      <c r="M2280" s="952"/>
      <c r="N2280" s="952"/>
    </row>
    <row r="2281" spans="1:14">
      <c r="A2281" s="958" t="s">
        <v>366</v>
      </c>
      <c r="B2281" s="958">
        <v>31</v>
      </c>
      <c r="C2281" s="958" t="s">
        <v>1724</v>
      </c>
      <c r="D2281" s="957" t="s">
        <v>7218</v>
      </c>
      <c r="E2281" s="956">
        <v>2347</v>
      </c>
      <c r="F2281" s="955"/>
      <c r="L2281" s="954"/>
      <c r="M2281" s="952"/>
      <c r="N2281" s="952"/>
    </row>
    <row r="2282" spans="1:14">
      <c r="A2282" s="958" t="s">
        <v>366</v>
      </c>
      <c r="B2282" s="958">
        <v>31</v>
      </c>
      <c r="C2282" s="958" t="s">
        <v>1720</v>
      </c>
      <c r="D2282" s="957" t="s">
        <v>7217</v>
      </c>
      <c r="E2282" s="956">
        <v>2063</v>
      </c>
      <c r="F2282" s="955"/>
      <c r="L2282" s="954"/>
      <c r="M2282" s="952"/>
      <c r="N2282" s="952"/>
    </row>
    <row r="2283" spans="1:14">
      <c r="A2283" s="958" t="s">
        <v>366</v>
      </c>
      <c r="B2283" s="958">
        <v>31</v>
      </c>
      <c r="C2283" s="958" t="s">
        <v>7216</v>
      </c>
      <c r="D2283" s="957" t="s">
        <v>7215</v>
      </c>
      <c r="E2283" s="956">
        <v>36708</v>
      </c>
      <c r="F2283" s="955"/>
      <c r="L2283" s="954"/>
      <c r="M2283" s="952"/>
      <c r="N2283" s="952"/>
    </row>
    <row r="2284" spans="1:14">
      <c r="A2284" s="958" t="s">
        <v>366</v>
      </c>
      <c r="B2284" s="958">
        <v>31</v>
      </c>
      <c r="C2284" s="958" t="s">
        <v>1714</v>
      </c>
      <c r="D2284" s="957" t="s">
        <v>7214</v>
      </c>
      <c r="E2284" s="956">
        <v>117267</v>
      </c>
      <c r="F2284" s="955"/>
      <c r="L2284" s="954"/>
      <c r="M2284" s="952"/>
      <c r="N2284" s="952"/>
    </row>
    <row r="2285" spans="1:14">
      <c r="A2285" s="958" t="s">
        <v>366</v>
      </c>
      <c r="B2285" s="958">
        <v>31</v>
      </c>
      <c r="C2285" s="958" t="s">
        <v>7213</v>
      </c>
      <c r="D2285" s="957" t="s">
        <v>7212</v>
      </c>
      <c r="E2285" s="956">
        <v>2795</v>
      </c>
      <c r="F2285" s="955"/>
      <c r="L2285" s="954"/>
      <c r="M2285" s="952"/>
      <c r="N2285" s="952"/>
    </row>
    <row r="2286" spans="1:14">
      <c r="A2286" s="958" t="s">
        <v>366</v>
      </c>
      <c r="B2286" s="958">
        <v>31</v>
      </c>
      <c r="C2286" s="958" t="s">
        <v>1712</v>
      </c>
      <c r="D2286" s="957" t="s">
        <v>7211</v>
      </c>
      <c r="E2286" s="956">
        <v>8439</v>
      </c>
      <c r="F2286" s="955"/>
      <c r="L2286" s="954"/>
      <c r="M2286" s="952"/>
      <c r="N2286" s="952"/>
    </row>
    <row r="2287" spans="1:14">
      <c r="A2287" s="958" t="s">
        <v>366</v>
      </c>
      <c r="B2287" s="958">
        <v>31</v>
      </c>
      <c r="C2287" s="958" t="s">
        <v>1710</v>
      </c>
      <c r="D2287" s="957" t="s">
        <v>7210</v>
      </c>
      <c r="E2287" s="956">
        <v>6869</v>
      </c>
      <c r="F2287" s="955"/>
      <c r="L2287" s="954"/>
      <c r="M2287" s="952"/>
      <c r="N2287" s="952"/>
    </row>
    <row r="2288" spans="1:14">
      <c r="A2288" s="958" t="s">
        <v>366</v>
      </c>
      <c r="B2288" s="958">
        <v>31</v>
      </c>
      <c r="C2288" s="958" t="s">
        <v>1708</v>
      </c>
      <c r="D2288" s="957" t="s">
        <v>7209</v>
      </c>
      <c r="E2288" s="956">
        <v>2834</v>
      </c>
      <c r="F2288" s="955"/>
      <c r="L2288" s="954"/>
      <c r="M2288" s="952"/>
      <c r="N2288" s="952"/>
    </row>
    <row r="2289" spans="1:14">
      <c r="A2289" s="958" t="s">
        <v>366</v>
      </c>
      <c r="B2289" s="958">
        <v>31</v>
      </c>
      <c r="C2289" s="958" t="s">
        <v>1706</v>
      </c>
      <c r="D2289" s="957" t="s">
        <v>7208</v>
      </c>
      <c r="E2289" s="956">
        <v>9273</v>
      </c>
      <c r="F2289" s="955"/>
      <c r="L2289" s="954"/>
      <c r="M2289" s="952"/>
      <c r="N2289" s="952"/>
    </row>
    <row r="2290" spans="1:14">
      <c r="A2290" s="958" t="s">
        <v>366</v>
      </c>
      <c r="B2290" s="958">
        <v>31</v>
      </c>
      <c r="C2290" s="958" t="s">
        <v>1704</v>
      </c>
      <c r="D2290" s="957" t="s">
        <v>7207</v>
      </c>
      <c r="E2290" s="956">
        <v>106229</v>
      </c>
      <c r="F2290" s="955"/>
      <c r="L2290" s="954"/>
      <c r="M2290" s="952"/>
      <c r="N2290" s="952"/>
    </row>
    <row r="2291" spans="1:14">
      <c r="A2291" s="958" t="s">
        <v>366</v>
      </c>
      <c r="B2291" s="958">
        <v>31</v>
      </c>
      <c r="C2291" s="958" t="s">
        <v>1702</v>
      </c>
      <c r="D2291" s="957" t="s">
        <v>7206</v>
      </c>
      <c r="E2291" s="956">
        <v>10772</v>
      </c>
      <c r="F2291" s="955"/>
      <c r="L2291" s="954"/>
      <c r="M2291" s="952"/>
      <c r="N2291" s="952"/>
    </row>
    <row r="2292" spans="1:14">
      <c r="A2292" s="958" t="s">
        <v>366</v>
      </c>
      <c r="B2292" s="958">
        <v>31</v>
      </c>
      <c r="C2292" s="958" t="s">
        <v>7205</v>
      </c>
      <c r="D2292" s="957" t="s">
        <v>7204</v>
      </c>
      <c r="E2292" s="956">
        <v>40092</v>
      </c>
      <c r="F2292" s="955"/>
      <c r="L2292" s="954"/>
      <c r="M2292" s="952"/>
      <c r="N2292" s="952"/>
    </row>
    <row r="2293" spans="1:14">
      <c r="A2293" s="958" t="s">
        <v>366</v>
      </c>
      <c r="B2293" s="958">
        <v>31</v>
      </c>
      <c r="C2293" s="958" t="s">
        <v>1700</v>
      </c>
      <c r="D2293" s="957" t="s">
        <v>7203</v>
      </c>
      <c r="E2293" s="956">
        <v>15070</v>
      </c>
      <c r="F2293" s="955"/>
      <c r="L2293" s="954"/>
      <c r="M2293" s="952"/>
      <c r="N2293" s="952"/>
    </row>
    <row r="2294" spans="1:14">
      <c r="A2294" s="958" t="s">
        <v>366</v>
      </c>
      <c r="B2294" s="958">
        <v>31</v>
      </c>
      <c r="C2294" s="958" t="s">
        <v>1698</v>
      </c>
      <c r="D2294" s="957" t="s">
        <v>7202</v>
      </c>
      <c r="E2294" s="956">
        <v>2727</v>
      </c>
      <c r="F2294" s="955"/>
      <c r="L2294" s="954"/>
      <c r="M2294" s="952"/>
      <c r="N2294" s="952"/>
    </row>
    <row r="2295" spans="1:14">
      <c r="A2295" s="958" t="s">
        <v>366</v>
      </c>
      <c r="B2295" s="958">
        <v>31</v>
      </c>
      <c r="C2295" s="958" t="s">
        <v>7201</v>
      </c>
      <c r="D2295" s="957" t="s">
        <v>7200</v>
      </c>
      <c r="E2295" s="956">
        <v>5231</v>
      </c>
      <c r="F2295" s="955"/>
      <c r="L2295" s="954"/>
      <c r="M2295" s="952"/>
      <c r="N2295" s="952"/>
    </row>
    <row r="2296" spans="1:14">
      <c r="A2296" s="958" t="s">
        <v>366</v>
      </c>
      <c r="B2296" s="958">
        <v>31</v>
      </c>
      <c r="C2296" s="958" t="s">
        <v>1696</v>
      </c>
      <c r="D2296" s="957" t="s">
        <v>7199</v>
      </c>
      <c r="E2296" s="956">
        <v>17875</v>
      </c>
      <c r="F2296" s="955"/>
      <c r="L2296" s="954"/>
      <c r="M2296" s="952"/>
      <c r="N2296" s="952"/>
    </row>
    <row r="2297" spans="1:14">
      <c r="A2297" s="958" t="s">
        <v>366</v>
      </c>
      <c r="B2297" s="958">
        <v>31</v>
      </c>
      <c r="C2297" s="958" t="s">
        <v>1694</v>
      </c>
      <c r="D2297" s="957" t="s">
        <v>7198</v>
      </c>
      <c r="E2297" s="956">
        <v>14179</v>
      </c>
      <c r="F2297" s="955"/>
      <c r="L2297" s="954"/>
      <c r="M2297" s="952"/>
      <c r="N2297" s="952"/>
    </row>
    <row r="2298" spans="1:14">
      <c r="A2298" s="958" t="s">
        <v>366</v>
      </c>
      <c r="B2298" s="958">
        <v>31</v>
      </c>
      <c r="C2298" s="958" t="s">
        <v>1692</v>
      </c>
      <c r="D2298" s="957" t="s">
        <v>7197</v>
      </c>
      <c r="E2298" s="956">
        <v>12868</v>
      </c>
      <c r="F2298" s="955"/>
      <c r="L2298" s="954"/>
      <c r="M2298" s="952"/>
      <c r="N2298" s="952"/>
    </row>
    <row r="2299" spans="1:14">
      <c r="A2299" s="958" t="s">
        <v>366</v>
      </c>
      <c r="B2299" s="958">
        <v>31</v>
      </c>
      <c r="C2299" s="958" t="s">
        <v>1690</v>
      </c>
      <c r="D2299" s="957" t="s">
        <v>7196</v>
      </c>
      <c r="E2299" s="956">
        <v>4869</v>
      </c>
      <c r="F2299" s="955"/>
      <c r="L2299" s="954"/>
      <c r="M2299" s="952"/>
      <c r="N2299" s="952"/>
    </row>
    <row r="2300" spans="1:14">
      <c r="A2300" s="958" t="s">
        <v>366</v>
      </c>
      <c r="B2300" s="958">
        <v>31</v>
      </c>
      <c r="C2300" s="958" t="s">
        <v>1688</v>
      </c>
      <c r="D2300" s="957" t="s">
        <v>7195</v>
      </c>
      <c r="E2300" s="956">
        <v>19148</v>
      </c>
      <c r="F2300" s="955"/>
      <c r="L2300" s="954"/>
      <c r="M2300" s="952"/>
      <c r="N2300" s="952"/>
    </row>
    <row r="2301" spans="1:14">
      <c r="A2301" s="958" t="s">
        <v>366</v>
      </c>
      <c r="B2301" s="958">
        <v>31</v>
      </c>
      <c r="C2301" s="958" t="s">
        <v>1686</v>
      </c>
      <c r="D2301" s="957" t="s">
        <v>7194</v>
      </c>
      <c r="E2301" s="956">
        <v>7826</v>
      </c>
      <c r="F2301" s="955"/>
      <c r="L2301" s="954"/>
      <c r="M2301" s="952"/>
      <c r="N2301" s="952"/>
    </row>
    <row r="2302" spans="1:14">
      <c r="A2302" s="958" t="s">
        <v>366</v>
      </c>
      <c r="B2302" s="958">
        <v>31</v>
      </c>
      <c r="C2302" s="958" t="s">
        <v>1684</v>
      </c>
      <c r="D2302" s="957" t="s">
        <v>7193</v>
      </c>
      <c r="E2302" s="956">
        <v>23829</v>
      </c>
      <c r="F2302" s="955"/>
      <c r="L2302" s="954"/>
      <c r="M2302" s="952"/>
      <c r="N2302" s="952"/>
    </row>
    <row r="2303" spans="1:14">
      <c r="A2303" s="958" t="s">
        <v>366</v>
      </c>
      <c r="B2303" s="958">
        <v>31</v>
      </c>
      <c r="C2303" s="958" t="s">
        <v>1680</v>
      </c>
      <c r="D2303" s="957" t="s">
        <v>7192</v>
      </c>
      <c r="E2303" s="956">
        <v>4795</v>
      </c>
      <c r="F2303" s="955"/>
      <c r="L2303" s="954"/>
      <c r="M2303" s="952"/>
      <c r="N2303" s="952"/>
    </row>
    <row r="2304" spans="1:14">
      <c r="A2304" s="958" t="s">
        <v>366</v>
      </c>
      <c r="B2304" s="958">
        <v>31</v>
      </c>
      <c r="C2304" s="958" t="s">
        <v>7191</v>
      </c>
      <c r="D2304" s="957" t="s">
        <v>7190</v>
      </c>
      <c r="E2304" s="956">
        <v>5746</v>
      </c>
      <c r="F2304" s="955"/>
      <c r="L2304" s="954"/>
      <c r="M2304" s="952"/>
      <c r="N2304" s="952"/>
    </row>
    <row r="2305" spans="1:14">
      <c r="A2305" s="958" t="s">
        <v>366</v>
      </c>
      <c r="B2305" s="958">
        <v>31</v>
      </c>
      <c r="C2305" s="958" t="s">
        <v>1676</v>
      </c>
      <c r="D2305" s="957" t="s">
        <v>7189</v>
      </c>
      <c r="E2305" s="956">
        <v>32485</v>
      </c>
      <c r="F2305" s="955"/>
      <c r="L2305" s="954"/>
      <c r="M2305" s="952"/>
      <c r="N2305" s="952"/>
    </row>
    <row r="2306" spans="1:14">
      <c r="A2306" s="958" t="s">
        <v>366</v>
      </c>
      <c r="B2306" s="958">
        <v>31</v>
      </c>
      <c r="C2306" s="958" t="s">
        <v>7188</v>
      </c>
      <c r="D2306" s="957" t="s">
        <v>7187</v>
      </c>
      <c r="E2306" s="956">
        <v>5397</v>
      </c>
      <c r="F2306" s="955"/>
      <c r="L2306" s="954"/>
      <c r="M2306" s="952"/>
      <c r="N2306" s="952"/>
    </row>
    <row r="2307" spans="1:14">
      <c r="A2307" s="958" t="s">
        <v>366</v>
      </c>
      <c r="B2307" s="958">
        <v>31</v>
      </c>
      <c r="C2307" s="958" t="s">
        <v>1674</v>
      </c>
      <c r="D2307" s="957" t="s">
        <v>7186</v>
      </c>
      <c r="E2307" s="956">
        <v>137313</v>
      </c>
      <c r="F2307" s="955"/>
      <c r="L2307" s="954"/>
      <c r="M2307" s="952"/>
      <c r="N2307" s="952"/>
    </row>
    <row r="2308" spans="1:14">
      <c r="A2308" s="958" t="s">
        <v>366</v>
      </c>
      <c r="B2308" s="958">
        <v>31</v>
      </c>
      <c r="C2308" s="958" t="s">
        <v>1671</v>
      </c>
      <c r="D2308" s="957" t="s">
        <v>7185</v>
      </c>
      <c r="E2308" s="956">
        <v>5131</v>
      </c>
      <c r="F2308" s="955"/>
      <c r="L2308" s="954"/>
      <c r="M2308" s="952"/>
      <c r="N2308" s="952"/>
    </row>
    <row r="2309" spans="1:14">
      <c r="A2309" s="958" t="s">
        <v>366</v>
      </c>
      <c r="B2309" s="958">
        <v>31</v>
      </c>
      <c r="C2309" s="958" t="s">
        <v>7184</v>
      </c>
      <c r="D2309" s="957" t="s">
        <v>7183</v>
      </c>
      <c r="E2309" s="956">
        <v>20810</v>
      </c>
      <c r="F2309" s="955"/>
      <c r="L2309" s="954"/>
      <c r="M2309" s="952"/>
      <c r="N2309" s="952"/>
    </row>
    <row r="2310" spans="1:14">
      <c r="A2310" s="958" t="s">
        <v>366</v>
      </c>
      <c r="B2310" s="958">
        <v>31</v>
      </c>
      <c r="C2310" s="958" t="s">
        <v>1667</v>
      </c>
      <c r="D2310" s="957" t="s">
        <v>7182</v>
      </c>
      <c r="E2310" s="956">
        <v>10255</v>
      </c>
      <c r="F2310" s="955"/>
      <c r="L2310" s="954"/>
      <c r="M2310" s="952"/>
      <c r="N2310" s="952"/>
    </row>
    <row r="2311" spans="1:14">
      <c r="A2311" s="958" t="s">
        <v>366</v>
      </c>
      <c r="B2311" s="958">
        <v>31</v>
      </c>
      <c r="C2311" s="958" t="s">
        <v>7181</v>
      </c>
      <c r="D2311" s="957" t="s">
        <v>7180</v>
      </c>
      <c r="E2311" s="956">
        <v>3429</v>
      </c>
      <c r="F2311" s="955"/>
      <c r="L2311" s="954"/>
      <c r="M2311" s="952"/>
      <c r="N2311" s="952"/>
    </row>
    <row r="2312" spans="1:14">
      <c r="A2312" s="958" t="s">
        <v>366</v>
      </c>
      <c r="B2312" s="958">
        <v>31</v>
      </c>
      <c r="C2312" s="958" t="s">
        <v>1665</v>
      </c>
      <c r="D2312" s="957" t="s">
        <v>7179</v>
      </c>
      <c r="E2312" s="956">
        <v>2512070</v>
      </c>
      <c r="F2312" s="955"/>
      <c r="L2312" s="954"/>
      <c r="M2312" s="952"/>
      <c r="N2312" s="952"/>
    </row>
    <row r="2313" spans="1:14">
      <c r="A2313" s="958" t="s">
        <v>366</v>
      </c>
      <c r="B2313" s="958">
        <v>31</v>
      </c>
      <c r="C2313" s="958" t="s">
        <v>1659</v>
      </c>
      <c r="D2313" s="957" t="s">
        <v>7178</v>
      </c>
      <c r="E2313" s="956">
        <v>26700</v>
      </c>
      <c r="F2313" s="955"/>
      <c r="L2313" s="954"/>
      <c r="M2313" s="952"/>
      <c r="N2313" s="952"/>
    </row>
    <row r="2314" spans="1:14">
      <c r="A2314" s="958" t="s">
        <v>366</v>
      </c>
      <c r="B2314" s="958">
        <v>31</v>
      </c>
      <c r="C2314" s="958" t="s">
        <v>1655</v>
      </c>
      <c r="D2314" s="957" t="s">
        <v>7177</v>
      </c>
      <c r="E2314" s="956">
        <v>7715</v>
      </c>
      <c r="F2314" s="955"/>
      <c r="L2314" s="954"/>
      <c r="M2314" s="952"/>
      <c r="N2314" s="952"/>
    </row>
    <row r="2315" spans="1:14">
      <c r="A2315" s="958" t="s">
        <v>366</v>
      </c>
      <c r="B2315" s="958">
        <v>31</v>
      </c>
      <c r="C2315" s="958" t="s">
        <v>7176</v>
      </c>
      <c r="D2315" s="957" t="s">
        <v>7175</v>
      </c>
      <c r="E2315" s="956">
        <v>11932</v>
      </c>
      <c r="F2315" s="955"/>
      <c r="L2315" s="954"/>
      <c r="M2315" s="952"/>
      <c r="N2315" s="952"/>
    </row>
    <row r="2316" spans="1:14">
      <c r="A2316" s="958" t="s">
        <v>366</v>
      </c>
      <c r="B2316" s="958">
        <v>31</v>
      </c>
      <c r="C2316" s="958" t="s">
        <v>1653</v>
      </c>
      <c r="D2316" s="957" t="s">
        <v>7174</v>
      </c>
      <c r="E2316" s="956">
        <v>4604</v>
      </c>
      <c r="F2316" s="955"/>
      <c r="L2316" s="954"/>
      <c r="M2316" s="952"/>
      <c r="N2316" s="952"/>
    </row>
    <row r="2317" spans="1:14">
      <c r="A2317" s="958" t="s">
        <v>366</v>
      </c>
      <c r="B2317" s="958">
        <v>31</v>
      </c>
      <c r="C2317" s="958" t="s">
        <v>7173</v>
      </c>
      <c r="D2317" s="957" t="s">
        <v>7172</v>
      </c>
      <c r="E2317" s="956">
        <v>4735</v>
      </c>
      <c r="F2317" s="955"/>
      <c r="L2317" s="954"/>
      <c r="M2317" s="952"/>
      <c r="N2317" s="952"/>
    </row>
    <row r="2318" spans="1:14">
      <c r="A2318" s="958" t="s">
        <v>366</v>
      </c>
      <c r="B2318" s="958">
        <v>31</v>
      </c>
      <c r="C2318" s="958" t="s">
        <v>7171</v>
      </c>
      <c r="D2318" s="957" t="s">
        <v>7170</v>
      </c>
      <c r="E2318" s="956">
        <v>439340</v>
      </c>
      <c r="F2318" s="955"/>
      <c r="L2318" s="954"/>
      <c r="M2318" s="952"/>
      <c r="N2318" s="952"/>
    </row>
    <row r="2319" spans="1:14">
      <c r="A2319" s="958" t="s">
        <v>366</v>
      </c>
      <c r="B2319" s="958">
        <v>31</v>
      </c>
      <c r="C2319" s="958" t="s">
        <v>7169</v>
      </c>
      <c r="D2319" s="957" t="s">
        <v>7168</v>
      </c>
      <c r="E2319" s="956">
        <v>3379</v>
      </c>
      <c r="F2319" s="955"/>
      <c r="L2319" s="954"/>
      <c r="M2319" s="952"/>
      <c r="N2319" s="952"/>
    </row>
    <row r="2320" spans="1:14">
      <c r="A2320" s="958" t="s">
        <v>366</v>
      </c>
      <c r="B2320" s="958">
        <v>31</v>
      </c>
      <c r="C2320" s="958" t="s">
        <v>1651</v>
      </c>
      <c r="D2320" s="957" t="s">
        <v>7167</v>
      </c>
      <c r="E2320" s="956">
        <v>14494</v>
      </c>
      <c r="F2320" s="955"/>
      <c r="L2320" s="954"/>
      <c r="M2320" s="952"/>
      <c r="N2320" s="952"/>
    </row>
    <row r="2321" spans="1:14">
      <c r="A2321" s="958" t="s">
        <v>366</v>
      </c>
      <c r="B2321" s="958">
        <v>31</v>
      </c>
      <c r="C2321" s="958" t="s">
        <v>7166</v>
      </c>
      <c r="D2321" s="957" t="s">
        <v>7165</v>
      </c>
      <c r="E2321" s="956">
        <v>2515</v>
      </c>
      <c r="F2321" s="955"/>
      <c r="L2321" s="954"/>
      <c r="M2321" s="952"/>
      <c r="N2321" s="952"/>
    </row>
    <row r="2322" spans="1:14">
      <c r="A2322" s="958" t="s">
        <v>366</v>
      </c>
      <c r="B2322" s="958">
        <v>31</v>
      </c>
      <c r="C2322" s="958" t="s">
        <v>1649</v>
      </c>
      <c r="D2322" s="957" t="s">
        <v>4065</v>
      </c>
      <c r="E2322" s="956">
        <v>40127</v>
      </c>
      <c r="F2322" s="955"/>
      <c r="L2322" s="954"/>
      <c r="M2322" s="952"/>
      <c r="N2322" s="952"/>
    </row>
    <row r="2323" spans="1:14">
      <c r="A2323" s="958" t="s">
        <v>366</v>
      </c>
      <c r="B2323" s="958">
        <v>31</v>
      </c>
      <c r="C2323" s="958" t="s">
        <v>1647</v>
      </c>
      <c r="D2323" s="957" t="s">
        <v>7164</v>
      </c>
      <c r="E2323" s="956">
        <v>5090</v>
      </c>
      <c r="F2323" s="955"/>
      <c r="L2323" s="954"/>
      <c r="M2323" s="952"/>
      <c r="N2323" s="952"/>
    </row>
    <row r="2324" spans="1:14">
      <c r="A2324" s="958" t="s">
        <v>366</v>
      </c>
      <c r="B2324" s="958">
        <v>31</v>
      </c>
      <c r="C2324" s="958" t="s">
        <v>1645</v>
      </c>
      <c r="D2324" s="957" t="s">
        <v>7163</v>
      </c>
      <c r="E2324" s="956">
        <v>49979</v>
      </c>
      <c r="F2324" s="955"/>
      <c r="L2324" s="954"/>
      <c r="M2324" s="952"/>
      <c r="N2324" s="952"/>
    </row>
    <row r="2325" spans="1:14">
      <c r="A2325" s="958" t="s">
        <v>366</v>
      </c>
      <c r="B2325" s="958">
        <v>31</v>
      </c>
      <c r="C2325" s="958" t="s">
        <v>1643</v>
      </c>
      <c r="D2325" s="957" t="s">
        <v>7162</v>
      </c>
      <c r="E2325" s="956">
        <v>50605</v>
      </c>
      <c r="F2325" s="955"/>
      <c r="L2325" s="954"/>
      <c r="M2325" s="952"/>
      <c r="N2325" s="952"/>
    </row>
    <row r="2326" spans="1:14">
      <c r="A2326" s="958" t="s">
        <v>366</v>
      </c>
      <c r="B2326" s="958">
        <v>31</v>
      </c>
      <c r="C2326" s="958" t="s">
        <v>1641</v>
      </c>
      <c r="D2326" s="957" t="s">
        <v>7161</v>
      </c>
      <c r="E2326" s="956">
        <v>6474</v>
      </c>
      <c r="F2326" s="955"/>
      <c r="L2326" s="954"/>
      <c r="M2326" s="952"/>
      <c r="N2326" s="952"/>
    </row>
    <row r="2327" spans="1:14">
      <c r="A2327" s="958" t="s">
        <v>366</v>
      </c>
      <c r="B2327" s="958">
        <v>31</v>
      </c>
      <c r="C2327" s="958" t="s">
        <v>7160</v>
      </c>
      <c r="D2327" s="957" t="s">
        <v>7159</v>
      </c>
      <c r="E2327" s="956">
        <v>4217</v>
      </c>
      <c r="F2327" s="955"/>
      <c r="L2327" s="954"/>
      <c r="M2327" s="952"/>
      <c r="N2327" s="952"/>
    </row>
    <row r="2328" spans="1:14">
      <c r="A2328" s="958" t="s">
        <v>366</v>
      </c>
      <c r="B2328" s="958">
        <v>31</v>
      </c>
      <c r="C2328" s="958" t="s">
        <v>1635</v>
      </c>
      <c r="D2328" s="957" t="s">
        <v>7158</v>
      </c>
      <c r="E2328" s="956">
        <v>6083</v>
      </c>
      <c r="F2328" s="955"/>
      <c r="L2328" s="954"/>
      <c r="M2328" s="952"/>
      <c r="N2328" s="952"/>
    </row>
    <row r="2329" spans="1:14">
      <c r="A2329" s="958" t="s">
        <v>366</v>
      </c>
      <c r="B2329" s="958">
        <v>31</v>
      </c>
      <c r="C2329" s="958" t="s">
        <v>1633</v>
      </c>
      <c r="D2329" s="957" t="s">
        <v>7157</v>
      </c>
      <c r="E2329" s="956">
        <v>14935</v>
      </c>
      <c r="F2329" s="955"/>
      <c r="L2329" s="954"/>
      <c r="M2329" s="952"/>
      <c r="N2329" s="952"/>
    </row>
    <row r="2330" spans="1:14">
      <c r="A2330" s="958" t="s">
        <v>366</v>
      </c>
      <c r="B2330" s="958">
        <v>31</v>
      </c>
      <c r="C2330" s="958" t="s">
        <v>1631</v>
      </c>
      <c r="D2330" s="957" t="s">
        <v>7156</v>
      </c>
      <c r="E2330" s="956">
        <v>10547</v>
      </c>
      <c r="F2330" s="955"/>
      <c r="L2330" s="954"/>
      <c r="M2330" s="952"/>
      <c r="N2330" s="952"/>
    </row>
    <row r="2331" spans="1:14">
      <c r="A2331" s="958" t="s">
        <v>366</v>
      </c>
      <c r="B2331" s="958">
        <v>31</v>
      </c>
      <c r="C2331" s="958" t="s">
        <v>1623</v>
      </c>
      <c r="D2331" s="957" t="s">
        <v>4053</v>
      </c>
      <c r="E2331" s="956">
        <v>17603</v>
      </c>
      <c r="F2331" s="955"/>
      <c r="L2331" s="954"/>
      <c r="M2331" s="952"/>
      <c r="N2331" s="952"/>
    </row>
    <row r="2332" spans="1:14">
      <c r="A2332" s="958" t="s">
        <v>366</v>
      </c>
      <c r="B2332" s="958">
        <v>31</v>
      </c>
      <c r="C2332" s="958" t="s">
        <v>7155</v>
      </c>
      <c r="D2332" s="957" t="s">
        <v>7154</v>
      </c>
      <c r="E2332" s="956">
        <v>6868</v>
      </c>
      <c r="F2332" s="955"/>
      <c r="L2332" s="954"/>
      <c r="M2332" s="952"/>
      <c r="N2332" s="952"/>
    </row>
    <row r="2333" spans="1:14">
      <c r="A2333" s="958" t="s">
        <v>366</v>
      </c>
      <c r="B2333" s="958">
        <v>31</v>
      </c>
      <c r="C2333" s="958" t="s">
        <v>7153</v>
      </c>
      <c r="D2333" s="957" t="s">
        <v>7152</v>
      </c>
      <c r="E2333" s="956">
        <v>5493</v>
      </c>
      <c r="F2333" s="955"/>
      <c r="L2333" s="954"/>
      <c r="M2333" s="952"/>
      <c r="N2333" s="952"/>
    </row>
    <row r="2334" spans="1:14">
      <c r="A2334" s="958" t="s">
        <v>366</v>
      </c>
      <c r="B2334" s="958">
        <v>31</v>
      </c>
      <c r="C2334" s="958" t="s">
        <v>7151</v>
      </c>
      <c r="D2334" s="957" t="s">
        <v>7150</v>
      </c>
      <c r="E2334" s="956">
        <v>11230</v>
      </c>
      <c r="F2334" s="955"/>
      <c r="L2334" s="954"/>
      <c r="M2334" s="952"/>
      <c r="N2334" s="952"/>
    </row>
    <row r="2335" spans="1:14">
      <c r="A2335" s="958" t="s">
        <v>366</v>
      </c>
      <c r="B2335" s="958">
        <v>31</v>
      </c>
      <c r="C2335" s="958" t="s">
        <v>1621</v>
      </c>
      <c r="D2335" s="957" t="s">
        <v>7149</v>
      </c>
      <c r="E2335" s="956">
        <v>19412</v>
      </c>
      <c r="F2335" s="955"/>
      <c r="L2335" s="954"/>
      <c r="M2335" s="952"/>
      <c r="N2335" s="952"/>
    </row>
    <row r="2336" spans="1:14">
      <c r="A2336" s="958" t="s">
        <v>366</v>
      </c>
      <c r="B2336" s="958">
        <v>31</v>
      </c>
      <c r="C2336" s="958" t="s">
        <v>1619</v>
      </c>
      <c r="D2336" s="957" t="s">
        <v>7148</v>
      </c>
      <c r="E2336" s="956">
        <v>14971</v>
      </c>
      <c r="F2336" s="955"/>
      <c r="L2336" s="954"/>
      <c r="M2336" s="952"/>
      <c r="N2336" s="952"/>
    </row>
    <row r="2337" spans="1:14">
      <c r="A2337" s="958" t="s">
        <v>366</v>
      </c>
      <c r="B2337" s="958">
        <v>31</v>
      </c>
      <c r="C2337" s="958" t="s">
        <v>7147</v>
      </c>
      <c r="D2337" s="957" t="s">
        <v>7146</v>
      </c>
      <c r="E2337" s="956">
        <v>6319</v>
      </c>
      <c r="F2337" s="955"/>
      <c r="L2337" s="954"/>
      <c r="M2337" s="952"/>
      <c r="N2337" s="952"/>
    </row>
    <row r="2338" spans="1:14">
      <c r="A2338" s="958" t="s">
        <v>366</v>
      </c>
      <c r="B2338" s="958">
        <v>31</v>
      </c>
      <c r="C2338" s="958" t="s">
        <v>7145</v>
      </c>
      <c r="D2338" s="957" t="s">
        <v>7144</v>
      </c>
      <c r="E2338" s="956">
        <v>16538</v>
      </c>
      <c r="F2338" s="955"/>
      <c r="L2338" s="954"/>
      <c r="M2338" s="952"/>
      <c r="N2338" s="952"/>
    </row>
    <row r="2339" spans="1:14">
      <c r="A2339" s="958" t="s">
        <v>366</v>
      </c>
      <c r="B2339" s="958">
        <v>31</v>
      </c>
      <c r="C2339" s="958" t="s">
        <v>7143</v>
      </c>
      <c r="D2339" s="957" t="s">
        <v>7142</v>
      </c>
      <c r="E2339" s="956">
        <v>32347</v>
      </c>
      <c r="F2339" s="955"/>
      <c r="L2339" s="954"/>
      <c r="M2339" s="952"/>
      <c r="N2339" s="952"/>
    </row>
    <row r="2340" spans="1:14">
      <c r="A2340" s="958" t="s">
        <v>366</v>
      </c>
      <c r="B2340" s="958">
        <v>31</v>
      </c>
      <c r="C2340" s="958" t="s">
        <v>7141</v>
      </c>
      <c r="D2340" s="957" t="s">
        <v>7140</v>
      </c>
      <c r="E2340" s="956">
        <v>4333</v>
      </c>
      <c r="F2340" s="955"/>
      <c r="L2340" s="954"/>
      <c r="M2340" s="952"/>
      <c r="N2340" s="952"/>
    </row>
    <row r="2341" spans="1:14">
      <c r="A2341" s="958" t="s">
        <v>366</v>
      </c>
      <c r="B2341" s="958">
        <v>31</v>
      </c>
      <c r="C2341" s="958" t="s">
        <v>7139</v>
      </c>
      <c r="D2341" s="957" t="s">
        <v>7138</v>
      </c>
      <c r="E2341" s="956">
        <v>4801</v>
      </c>
      <c r="F2341" s="955"/>
      <c r="L2341" s="954"/>
      <c r="M2341" s="952"/>
      <c r="N2341" s="952"/>
    </row>
    <row r="2342" spans="1:14">
      <c r="A2342" s="958" t="s">
        <v>366</v>
      </c>
      <c r="B2342" s="958">
        <v>31</v>
      </c>
      <c r="C2342" s="958" t="s">
        <v>7137</v>
      </c>
      <c r="D2342" s="957" t="s">
        <v>7136</v>
      </c>
      <c r="E2342" s="956">
        <v>14459</v>
      </c>
      <c r="F2342" s="955"/>
      <c r="L2342" s="954"/>
      <c r="M2342" s="952"/>
      <c r="N2342" s="952"/>
    </row>
    <row r="2343" spans="1:14">
      <c r="A2343" s="958" t="s">
        <v>366</v>
      </c>
      <c r="B2343" s="958">
        <v>31</v>
      </c>
      <c r="C2343" s="958" t="s">
        <v>7135</v>
      </c>
      <c r="D2343" s="957" t="s">
        <v>7134</v>
      </c>
      <c r="E2343" s="956">
        <v>40103</v>
      </c>
      <c r="F2343" s="955"/>
      <c r="L2343" s="954"/>
      <c r="M2343" s="952"/>
      <c r="N2343" s="952"/>
    </row>
    <row r="2344" spans="1:14">
      <c r="A2344" s="958" t="s">
        <v>366</v>
      </c>
      <c r="B2344" s="958">
        <v>31</v>
      </c>
      <c r="C2344" s="958" t="s">
        <v>7133</v>
      </c>
      <c r="D2344" s="957" t="s">
        <v>7132</v>
      </c>
      <c r="E2344" s="956">
        <v>11001</v>
      </c>
      <c r="F2344" s="955"/>
      <c r="L2344" s="954"/>
      <c r="M2344" s="952"/>
      <c r="N2344" s="952"/>
    </row>
    <row r="2345" spans="1:14">
      <c r="A2345" s="958" t="s">
        <v>366</v>
      </c>
      <c r="B2345" s="958">
        <v>31</v>
      </c>
      <c r="C2345" s="958" t="s">
        <v>7131</v>
      </c>
      <c r="D2345" s="957" t="s">
        <v>7130</v>
      </c>
      <c r="E2345" s="956">
        <v>10365</v>
      </c>
      <c r="F2345" s="955"/>
      <c r="L2345" s="954"/>
      <c r="M2345" s="952"/>
      <c r="N2345" s="952"/>
    </row>
    <row r="2346" spans="1:14">
      <c r="A2346" s="958" t="s">
        <v>366</v>
      </c>
      <c r="B2346" s="958">
        <v>31</v>
      </c>
      <c r="C2346" s="958" t="s">
        <v>7129</v>
      </c>
      <c r="D2346" s="957" t="s">
        <v>7128</v>
      </c>
      <c r="E2346" s="956">
        <v>3982</v>
      </c>
      <c r="F2346" s="955"/>
      <c r="L2346" s="954"/>
      <c r="M2346" s="952"/>
      <c r="N2346" s="952"/>
    </row>
    <row r="2347" spans="1:14">
      <c r="A2347" s="958" t="s">
        <v>366</v>
      </c>
      <c r="B2347" s="958">
        <v>31</v>
      </c>
      <c r="C2347" s="958" t="s">
        <v>7127</v>
      </c>
      <c r="D2347" s="957" t="s">
        <v>7126</v>
      </c>
      <c r="E2347" s="956">
        <v>24841</v>
      </c>
      <c r="F2347" s="955"/>
      <c r="L2347" s="954"/>
      <c r="M2347" s="952"/>
      <c r="N2347" s="952"/>
    </row>
    <row r="2348" spans="1:14">
      <c r="A2348" s="958" t="s">
        <v>366</v>
      </c>
      <c r="B2348" s="958">
        <v>31</v>
      </c>
      <c r="C2348" s="958" t="s">
        <v>7125</v>
      </c>
      <c r="D2348" s="957" t="s">
        <v>7124</v>
      </c>
      <c r="E2348" s="956">
        <v>28056</v>
      </c>
      <c r="F2348" s="955"/>
      <c r="L2348" s="954"/>
      <c r="M2348" s="952"/>
      <c r="N2348" s="952"/>
    </row>
    <row r="2349" spans="1:14">
      <c r="A2349" s="958" t="s">
        <v>366</v>
      </c>
      <c r="B2349" s="958">
        <v>31</v>
      </c>
      <c r="C2349" s="958" t="s">
        <v>7123</v>
      </c>
      <c r="D2349" s="957" t="s">
        <v>7122</v>
      </c>
      <c r="E2349" s="956">
        <v>6949</v>
      </c>
      <c r="F2349" s="955"/>
      <c r="L2349" s="954"/>
      <c r="M2349" s="952"/>
      <c r="N2349" s="952"/>
    </row>
    <row r="2350" spans="1:14">
      <c r="A2350" s="958" t="s">
        <v>366</v>
      </c>
      <c r="B2350" s="958">
        <v>31</v>
      </c>
      <c r="C2350" s="958" t="s">
        <v>7121</v>
      </c>
      <c r="D2350" s="957" t="s">
        <v>7120</v>
      </c>
      <c r="E2350" s="956">
        <v>14075</v>
      </c>
      <c r="F2350" s="955"/>
      <c r="L2350" s="954"/>
      <c r="M2350" s="952"/>
      <c r="N2350" s="952"/>
    </row>
    <row r="2351" spans="1:14">
      <c r="A2351" s="958" t="s">
        <v>366</v>
      </c>
      <c r="B2351" s="958">
        <v>31</v>
      </c>
      <c r="C2351" s="958" t="s">
        <v>7119</v>
      </c>
      <c r="D2351" s="957" t="s">
        <v>7118</v>
      </c>
      <c r="E2351" s="956">
        <v>3603</v>
      </c>
      <c r="F2351" s="955"/>
      <c r="L2351" s="954"/>
      <c r="M2351" s="952"/>
      <c r="N2351" s="952"/>
    </row>
    <row r="2352" spans="1:14">
      <c r="A2352" s="958" t="s">
        <v>366</v>
      </c>
      <c r="B2352" s="958">
        <v>31</v>
      </c>
      <c r="C2352" s="958" t="s">
        <v>7117</v>
      </c>
      <c r="D2352" s="957" t="s">
        <v>7116</v>
      </c>
      <c r="E2352" s="956">
        <v>11547</v>
      </c>
      <c r="F2352" s="955"/>
      <c r="L2352" s="954"/>
      <c r="M2352" s="952"/>
      <c r="N2352" s="952"/>
    </row>
    <row r="2353" spans="1:14">
      <c r="A2353" s="958" t="s">
        <v>366</v>
      </c>
      <c r="B2353" s="958">
        <v>31</v>
      </c>
      <c r="C2353" s="958" t="s">
        <v>7115</v>
      </c>
      <c r="D2353" s="957" t="s">
        <v>1245</v>
      </c>
      <c r="E2353" s="956">
        <v>2692</v>
      </c>
      <c r="F2353" s="955"/>
      <c r="L2353" s="954"/>
      <c r="M2353" s="952"/>
      <c r="N2353" s="952"/>
    </row>
    <row r="2354" spans="1:14">
      <c r="A2354" s="958" t="s">
        <v>366</v>
      </c>
      <c r="B2354" s="958">
        <v>31</v>
      </c>
      <c r="C2354" s="958" t="s">
        <v>7114</v>
      </c>
      <c r="D2354" s="957" t="s">
        <v>7113</v>
      </c>
      <c r="E2354" s="956">
        <v>11624</v>
      </c>
      <c r="F2354" s="955"/>
      <c r="L2354" s="954"/>
      <c r="M2354" s="952"/>
      <c r="N2354" s="952"/>
    </row>
    <row r="2355" spans="1:14">
      <c r="A2355" s="958" t="s">
        <v>366</v>
      </c>
      <c r="B2355" s="958">
        <v>31</v>
      </c>
      <c r="C2355" s="958" t="s">
        <v>7112</v>
      </c>
      <c r="D2355" s="957" t="s">
        <v>7111</v>
      </c>
      <c r="E2355" s="956">
        <v>44718</v>
      </c>
      <c r="F2355" s="955"/>
      <c r="L2355" s="954"/>
      <c r="M2355" s="952"/>
      <c r="N2355" s="952"/>
    </row>
    <row r="2356" spans="1:14">
      <c r="A2356" s="958" t="s">
        <v>366</v>
      </c>
      <c r="B2356" s="958">
        <v>31</v>
      </c>
      <c r="C2356" s="958" t="s">
        <v>7110</v>
      </c>
      <c r="D2356" s="957" t="s">
        <v>7109</v>
      </c>
      <c r="E2356" s="956">
        <v>5496</v>
      </c>
      <c r="F2356" s="955"/>
      <c r="L2356" s="954"/>
      <c r="M2356" s="952"/>
      <c r="N2356" s="952"/>
    </row>
    <row r="2357" spans="1:14">
      <c r="A2357" s="958" t="s">
        <v>366</v>
      </c>
      <c r="B2357" s="958">
        <v>31</v>
      </c>
      <c r="C2357" s="958" t="s">
        <v>7108</v>
      </c>
      <c r="D2357" s="957" t="s">
        <v>7107</v>
      </c>
      <c r="E2357" s="956">
        <v>3987</v>
      </c>
      <c r="F2357" s="955"/>
      <c r="L2357" s="954"/>
      <c r="M2357" s="952"/>
      <c r="N2357" s="952"/>
    </row>
    <row r="2358" spans="1:14">
      <c r="A2358" s="958" t="s">
        <v>366</v>
      </c>
      <c r="B2358" s="958">
        <v>31</v>
      </c>
      <c r="C2358" s="958" t="s">
        <v>7106</v>
      </c>
      <c r="D2358" s="957" t="s">
        <v>7105</v>
      </c>
      <c r="E2358" s="956">
        <v>14480</v>
      </c>
      <c r="F2358" s="955"/>
      <c r="L2358" s="954"/>
      <c r="M2358" s="952"/>
      <c r="N2358" s="952"/>
    </row>
    <row r="2359" spans="1:14">
      <c r="A2359" s="958" t="s">
        <v>366</v>
      </c>
      <c r="B2359" s="958">
        <v>31</v>
      </c>
      <c r="C2359" s="958" t="s">
        <v>7104</v>
      </c>
      <c r="D2359" s="957" t="s">
        <v>7103</v>
      </c>
      <c r="E2359" s="956">
        <v>2901</v>
      </c>
      <c r="F2359" s="955"/>
      <c r="L2359" s="954"/>
      <c r="M2359" s="952"/>
      <c r="N2359" s="952"/>
    </row>
    <row r="2360" spans="1:14">
      <c r="A2360" s="958" t="s">
        <v>366</v>
      </c>
      <c r="B2360" s="958">
        <v>31</v>
      </c>
      <c r="C2360" s="958" t="s">
        <v>7102</v>
      </c>
      <c r="D2360" s="957" t="s">
        <v>7101</v>
      </c>
      <c r="E2360" s="956">
        <v>21770</v>
      </c>
      <c r="F2360" s="955"/>
      <c r="L2360" s="954"/>
      <c r="M2360" s="952"/>
      <c r="N2360" s="952"/>
    </row>
    <row r="2361" spans="1:14">
      <c r="A2361" s="958" t="s">
        <v>366</v>
      </c>
      <c r="B2361" s="958">
        <v>31</v>
      </c>
      <c r="C2361" s="958" t="s">
        <v>7100</v>
      </c>
      <c r="D2361" s="957" t="s">
        <v>7099</v>
      </c>
      <c r="E2361" s="956">
        <v>29551</v>
      </c>
      <c r="F2361" s="955"/>
      <c r="L2361" s="954"/>
      <c r="M2361" s="952"/>
      <c r="N2361" s="952"/>
    </row>
    <row r="2362" spans="1:14">
      <c r="A2362" s="958" t="s">
        <v>366</v>
      </c>
      <c r="B2362" s="958">
        <v>31</v>
      </c>
      <c r="C2362" s="958" t="s">
        <v>7098</v>
      </c>
      <c r="D2362" s="957" t="s">
        <v>7097</v>
      </c>
      <c r="E2362" s="956">
        <v>12814</v>
      </c>
      <c r="F2362" s="955"/>
      <c r="L2362" s="954"/>
      <c r="M2362" s="952"/>
      <c r="N2362" s="952"/>
    </row>
    <row r="2363" spans="1:14">
      <c r="A2363" s="958" t="s">
        <v>366</v>
      </c>
      <c r="B2363" s="958">
        <v>31</v>
      </c>
      <c r="C2363" s="958" t="s">
        <v>7096</v>
      </c>
      <c r="D2363" s="957" t="s">
        <v>7095</v>
      </c>
      <c r="E2363" s="956">
        <v>3721</v>
      </c>
      <c r="F2363" s="955"/>
      <c r="L2363" s="954"/>
      <c r="M2363" s="952"/>
      <c r="N2363" s="952"/>
    </row>
    <row r="2364" spans="1:14">
      <c r="A2364" s="958" t="s">
        <v>366</v>
      </c>
      <c r="B2364" s="958">
        <v>31</v>
      </c>
      <c r="C2364" s="958" t="s">
        <v>7094</v>
      </c>
      <c r="D2364" s="957" t="s">
        <v>7093</v>
      </c>
      <c r="E2364" s="956">
        <v>16665</v>
      </c>
      <c r="F2364" s="955"/>
      <c r="L2364" s="954"/>
      <c r="M2364" s="952"/>
      <c r="N2364" s="952"/>
    </row>
    <row r="2365" spans="1:14">
      <c r="A2365" s="958" t="s">
        <v>366</v>
      </c>
      <c r="B2365" s="958">
        <v>31</v>
      </c>
      <c r="C2365" s="958" t="s">
        <v>7092</v>
      </c>
      <c r="D2365" s="957" t="s">
        <v>7091</v>
      </c>
      <c r="E2365" s="956">
        <v>21055</v>
      </c>
      <c r="F2365" s="955"/>
      <c r="L2365" s="954"/>
      <c r="M2365" s="952"/>
      <c r="N2365" s="952"/>
    </row>
    <row r="2366" spans="1:14">
      <c r="A2366" s="958" t="s">
        <v>366</v>
      </c>
      <c r="B2366" s="958">
        <v>31</v>
      </c>
      <c r="C2366" s="958" t="s">
        <v>7090</v>
      </c>
      <c r="D2366" s="957" t="s">
        <v>7089</v>
      </c>
      <c r="E2366" s="956">
        <v>19745</v>
      </c>
      <c r="F2366" s="955"/>
      <c r="L2366" s="954"/>
      <c r="M2366" s="952"/>
      <c r="N2366" s="952"/>
    </row>
    <row r="2367" spans="1:14">
      <c r="A2367" s="958" t="s">
        <v>366</v>
      </c>
      <c r="B2367" s="958">
        <v>31</v>
      </c>
      <c r="C2367" s="958" t="s">
        <v>7088</v>
      </c>
      <c r="D2367" s="957" t="s">
        <v>7087</v>
      </c>
      <c r="E2367" s="956">
        <v>3817</v>
      </c>
      <c r="F2367" s="955"/>
      <c r="L2367" s="954"/>
      <c r="M2367" s="952"/>
      <c r="N2367" s="952"/>
    </row>
    <row r="2368" spans="1:14">
      <c r="A2368" s="958" t="s">
        <v>366</v>
      </c>
      <c r="B2368" s="958">
        <v>31</v>
      </c>
      <c r="C2368" s="958" t="s">
        <v>7086</v>
      </c>
      <c r="D2368" s="957" t="s">
        <v>7085</v>
      </c>
      <c r="E2368" s="956">
        <v>54029</v>
      </c>
      <c r="F2368" s="955"/>
      <c r="L2368" s="954"/>
      <c r="M2368" s="952"/>
      <c r="N2368" s="952"/>
    </row>
    <row r="2369" spans="1:14">
      <c r="A2369" s="958" t="s">
        <v>366</v>
      </c>
      <c r="B2369" s="958">
        <v>31</v>
      </c>
      <c r="C2369" s="958" t="s">
        <v>7084</v>
      </c>
      <c r="D2369" s="957" t="s">
        <v>7083</v>
      </c>
      <c r="E2369" s="956">
        <v>11655</v>
      </c>
      <c r="F2369" s="955"/>
      <c r="L2369" s="954"/>
      <c r="M2369" s="952"/>
      <c r="N2369" s="952"/>
    </row>
    <row r="2370" spans="1:14">
      <c r="A2370" s="958" t="s">
        <v>366</v>
      </c>
      <c r="B2370" s="958">
        <v>31</v>
      </c>
      <c r="C2370" s="958" t="s">
        <v>7082</v>
      </c>
      <c r="D2370" s="957" t="s">
        <v>7081</v>
      </c>
      <c r="E2370" s="956">
        <v>8151</v>
      </c>
      <c r="F2370" s="955"/>
      <c r="L2370" s="954"/>
      <c r="M2370" s="952"/>
      <c r="N2370" s="952"/>
    </row>
    <row r="2371" spans="1:14">
      <c r="A2371" s="958" t="s">
        <v>366</v>
      </c>
      <c r="B2371" s="958">
        <v>31</v>
      </c>
      <c r="C2371" s="958" t="s">
        <v>7080</v>
      </c>
      <c r="D2371" s="957" t="s">
        <v>7079</v>
      </c>
      <c r="E2371" s="956">
        <v>15461</v>
      </c>
      <c r="F2371" s="955"/>
      <c r="L2371" s="954"/>
      <c r="M2371" s="952"/>
      <c r="N2371" s="952"/>
    </row>
    <row r="2372" spans="1:14">
      <c r="A2372" s="958" t="s">
        <v>366</v>
      </c>
      <c r="B2372" s="958">
        <v>31</v>
      </c>
      <c r="C2372" s="958" t="s">
        <v>7078</v>
      </c>
      <c r="D2372" s="957" t="s">
        <v>7077</v>
      </c>
      <c r="E2372" s="956">
        <v>28774</v>
      </c>
      <c r="F2372" s="955"/>
      <c r="L2372" s="954"/>
      <c r="M2372" s="952"/>
      <c r="N2372" s="952"/>
    </row>
    <row r="2373" spans="1:14">
      <c r="A2373" s="958" t="s">
        <v>366</v>
      </c>
      <c r="B2373" s="958">
        <v>31</v>
      </c>
      <c r="C2373" s="958" t="s">
        <v>7076</v>
      </c>
      <c r="D2373" s="957" t="s">
        <v>7075</v>
      </c>
      <c r="E2373" s="956">
        <v>4563</v>
      </c>
      <c r="F2373" s="955"/>
      <c r="L2373" s="954"/>
      <c r="M2373" s="952"/>
      <c r="N2373" s="952"/>
    </row>
    <row r="2374" spans="1:14">
      <c r="A2374" s="958" t="s">
        <v>366</v>
      </c>
      <c r="B2374" s="958">
        <v>31</v>
      </c>
      <c r="C2374" s="958" t="s">
        <v>7074</v>
      </c>
      <c r="D2374" s="957" t="s">
        <v>7073</v>
      </c>
      <c r="E2374" s="956">
        <v>12150</v>
      </c>
      <c r="F2374" s="955"/>
      <c r="L2374" s="954"/>
      <c r="M2374" s="952"/>
      <c r="N2374" s="952"/>
    </row>
    <row r="2375" spans="1:14">
      <c r="A2375" s="958" t="s">
        <v>366</v>
      </c>
      <c r="B2375" s="958">
        <v>31</v>
      </c>
      <c r="C2375" s="958" t="s">
        <v>7072</v>
      </c>
      <c r="D2375" s="957" t="s">
        <v>7071</v>
      </c>
      <c r="E2375" s="956">
        <v>5603</v>
      </c>
      <c r="F2375" s="955"/>
      <c r="L2375" s="954"/>
      <c r="M2375" s="952"/>
      <c r="N2375" s="952"/>
    </row>
    <row r="2376" spans="1:14">
      <c r="A2376" s="958" t="s">
        <v>366</v>
      </c>
      <c r="B2376" s="958">
        <v>31</v>
      </c>
      <c r="C2376" s="958" t="s">
        <v>7070</v>
      </c>
      <c r="D2376" s="957" t="s">
        <v>7069</v>
      </c>
      <c r="E2376" s="956">
        <v>14886</v>
      </c>
      <c r="F2376" s="955"/>
      <c r="L2376" s="954"/>
      <c r="M2376" s="952"/>
      <c r="N2376" s="952"/>
    </row>
    <row r="2377" spans="1:14">
      <c r="A2377" s="958" t="s">
        <v>366</v>
      </c>
      <c r="B2377" s="958">
        <v>31</v>
      </c>
      <c r="C2377" s="958" t="s">
        <v>7068</v>
      </c>
      <c r="D2377" s="957" t="s">
        <v>4009</v>
      </c>
      <c r="E2377" s="956">
        <v>4525</v>
      </c>
      <c r="F2377" s="955"/>
      <c r="L2377" s="954"/>
      <c r="M2377" s="952"/>
      <c r="N2377" s="952"/>
    </row>
    <row r="2378" spans="1:14">
      <c r="A2378" s="958" t="s">
        <v>366</v>
      </c>
      <c r="B2378" s="958">
        <v>31</v>
      </c>
      <c r="C2378" s="958" t="s">
        <v>7067</v>
      </c>
      <c r="D2378" s="957" t="s">
        <v>7066</v>
      </c>
      <c r="E2378" s="956">
        <v>5438</v>
      </c>
      <c r="F2378" s="955"/>
      <c r="L2378" s="954"/>
      <c r="M2378" s="952"/>
      <c r="N2378" s="952"/>
    </row>
    <row r="2379" spans="1:14">
      <c r="A2379" s="958" t="s">
        <v>366</v>
      </c>
      <c r="B2379" s="958">
        <v>31</v>
      </c>
      <c r="C2379" s="958" t="s">
        <v>7065</v>
      </c>
      <c r="D2379" s="957" t="s">
        <v>7064</v>
      </c>
      <c r="E2379" s="956">
        <v>4653</v>
      </c>
      <c r="F2379" s="955"/>
      <c r="L2379" s="954"/>
      <c r="M2379" s="952"/>
      <c r="N2379" s="952"/>
    </row>
    <row r="2380" spans="1:14">
      <c r="A2380" s="958" t="s">
        <v>366</v>
      </c>
      <c r="B2380" s="958">
        <v>31</v>
      </c>
      <c r="C2380" s="958" t="s">
        <v>7063</v>
      </c>
      <c r="D2380" s="957" t="s">
        <v>7062</v>
      </c>
      <c r="E2380" s="956">
        <v>37784</v>
      </c>
      <c r="F2380" s="955"/>
      <c r="L2380" s="954"/>
      <c r="M2380" s="952"/>
      <c r="N2380" s="952"/>
    </row>
    <row r="2381" spans="1:14">
      <c r="A2381" s="958" t="s">
        <v>366</v>
      </c>
      <c r="B2381" s="958">
        <v>31</v>
      </c>
      <c r="C2381" s="958" t="s">
        <v>7061</v>
      </c>
      <c r="D2381" s="957" t="s">
        <v>7060</v>
      </c>
      <c r="E2381" s="956">
        <v>6920</v>
      </c>
      <c r="F2381" s="955"/>
      <c r="L2381" s="954"/>
      <c r="M2381" s="952"/>
      <c r="N2381" s="952"/>
    </row>
    <row r="2382" spans="1:14">
      <c r="A2382" s="958" t="s">
        <v>366</v>
      </c>
      <c r="B2382" s="958">
        <v>31</v>
      </c>
      <c r="C2382" s="958" t="s">
        <v>7059</v>
      </c>
      <c r="D2382" s="957" t="s">
        <v>7058</v>
      </c>
      <c r="E2382" s="956">
        <v>9754</v>
      </c>
      <c r="F2382" s="955"/>
      <c r="L2382" s="954"/>
      <c r="M2382" s="952"/>
      <c r="N2382" s="952"/>
    </row>
    <row r="2383" spans="1:14">
      <c r="A2383" s="958" t="s">
        <v>366</v>
      </c>
      <c r="B2383" s="958">
        <v>31</v>
      </c>
      <c r="C2383" s="958" t="s">
        <v>7057</v>
      </c>
      <c r="D2383" s="957" t="s">
        <v>7056</v>
      </c>
      <c r="E2383" s="956">
        <v>16173</v>
      </c>
      <c r="F2383" s="955"/>
      <c r="L2383" s="954"/>
      <c r="M2383" s="952"/>
      <c r="N2383" s="952"/>
    </row>
    <row r="2384" spans="1:14">
      <c r="A2384" s="958" t="s">
        <v>366</v>
      </c>
      <c r="B2384" s="958">
        <v>31</v>
      </c>
      <c r="C2384" s="958" t="s">
        <v>7055</v>
      </c>
      <c r="D2384" s="957" t="s">
        <v>7054</v>
      </c>
      <c r="E2384" s="956">
        <v>5468</v>
      </c>
      <c r="F2384" s="955"/>
      <c r="L2384" s="954"/>
      <c r="M2384" s="952"/>
      <c r="N2384" s="952"/>
    </row>
    <row r="2385" spans="1:14">
      <c r="A2385" s="958" t="s">
        <v>366</v>
      </c>
      <c r="B2385" s="958">
        <v>31</v>
      </c>
      <c r="C2385" s="958" t="s">
        <v>7053</v>
      </c>
      <c r="D2385" s="957" t="s">
        <v>7052</v>
      </c>
      <c r="E2385" s="956">
        <v>15234</v>
      </c>
      <c r="F2385" s="955"/>
      <c r="L2385" s="954"/>
      <c r="M2385" s="952"/>
      <c r="N2385" s="952"/>
    </row>
    <row r="2386" spans="1:14">
      <c r="A2386" s="958" t="s">
        <v>366</v>
      </c>
      <c r="B2386" s="958">
        <v>31</v>
      </c>
      <c r="C2386" s="958" t="s">
        <v>7051</v>
      </c>
      <c r="D2386" s="957" t="s">
        <v>7050</v>
      </c>
      <c r="E2386" s="956">
        <v>8632</v>
      </c>
      <c r="F2386" s="955"/>
      <c r="L2386" s="954"/>
      <c r="M2386" s="952"/>
      <c r="N2386" s="952"/>
    </row>
    <row r="2387" spans="1:14">
      <c r="A2387" s="958" t="s">
        <v>366</v>
      </c>
      <c r="B2387" s="958">
        <v>31</v>
      </c>
      <c r="C2387" s="958" t="s">
        <v>7049</v>
      </c>
      <c r="D2387" s="957" t="s">
        <v>7048</v>
      </c>
      <c r="E2387" s="956">
        <v>9298</v>
      </c>
      <c r="F2387" s="955"/>
      <c r="L2387" s="954"/>
      <c r="M2387" s="952"/>
      <c r="N2387" s="952"/>
    </row>
    <row r="2388" spans="1:14">
      <c r="A2388" s="958" t="s">
        <v>366</v>
      </c>
      <c r="B2388" s="958">
        <v>31</v>
      </c>
      <c r="C2388" s="958" t="s">
        <v>7047</v>
      </c>
      <c r="D2388" s="957" t="s">
        <v>7046</v>
      </c>
      <c r="E2388" s="956">
        <v>23685</v>
      </c>
      <c r="F2388" s="955"/>
      <c r="L2388" s="954"/>
      <c r="M2388" s="952"/>
      <c r="N2388" s="952"/>
    </row>
    <row r="2389" spans="1:14">
      <c r="A2389" s="958" t="s">
        <v>366</v>
      </c>
      <c r="B2389" s="958">
        <v>31</v>
      </c>
      <c r="C2389" s="958" t="s">
        <v>7045</v>
      </c>
      <c r="D2389" s="957" t="s">
        <v>7044</v>
      </c>
      <c r="E2389" s="956">
        <v>3183</v>
      </c>
      <c r="F2389" s="955"/>
      <c r="L2389" s="954"/>
      <c r="M2389" s="952"/>
      <c r="N2389" s="952"/>
    </row>
    <row r="2390" spans="1:14">
      <c r="A2390" s="958" t="s">
        <v>366</v>
      </c>
      <c r="B2390" s="958">
        <v>31</v>
      </c>
      <c r="C2390" s="958" t="s">
        <v>7043</v>
      </c>
      <c r="D2390" s="957" t="s">
        <v>7042</v>
      </c>
      <c r="E2390" s="956">
        <v>25501</v>
      </c>
      <c r="F2390" s="955"/>
      <c r="L2390" s="954"/>
      <c r="M2390" s="952"/>
      <c r="N2390" s="952"/>
    </row>
    <row r="2391" spans="1:14">
      <c r="A2391" s="958" t="s">
        <v>366</v>
      </c>
      <c r="B2391" s="958">
        <v>31</v>
      </c>
      <c r="C2391" s="958" t="s">
        <v>7041</v>
      </c>
      <c r="D2391" s="957" t="s">
        <v>7040</v>
      </c>
      <c r="E2391" s="956">
        <v>33000</v>
      </c>
      <c r="F2391" s="955"/>
      <c r="L2391" s="954"/>
      <c r="M2391" s="952"/>
      <c r="N2391" s="952"/>
    </row>
    <row r="2392" spans="1:14">
      <c r="A2392" s="958" t="s">
        <v>366</v>
      </c>
      <c r="B2392" s="958">
        <v>31</v>
      </c>
      <c r="C2392" s="958" t="s">
        <v>7039</v>
      </c>
      <c r="D2392" s="957" t="s">
        <v>7038</v>
      </c>
      <c r="E2392" s="956">
        <v>92062</v>
      </c>
      <c r="F2392" s="955"/>
      <c r="L2392" s="954"/>
      <c r="M2392" s="952"/>
      <c r="N2392" s="952"/>
    </row>
    <row r="2393" spans="1:14">
      <c r="A2393" s="958" t="s">
        <v>366</v>
      </c>
      <c r="B2393" s="958">
        <v>31</v>
      </c>
      <c r="C2393" s="958" t="s">
        <v>7037</v>
      </c>
      <c r="D2393" s="957" t="s">
        <v>7036</v>
      </c>
      <c r="E2393" s="956">
        <v>9405</v>
      </c>
      <c r="F2393" s="955"/>
      <c r="L2393" s="954"/>
      <c r="M2393" s="952"/>
      <c r="N2393" s="952"/>
    </row>
    <row r="2394" spans="1:14">
      <c r="A2394" s="958" t="s">
        <v>366</v>
      </c>
      <c r="B2394" s="958">
        <v>31</v>
      </c>
      <c r="C2394" s="958" t="s">
        <v>7035</v>
      </c>
      <c r="D2394" s="957" t="s">
        <v>7034</v>
      </c>
      <c r="E2394" s="956">
        <v>6757</v>
      </c>
      <c r="F2394" s="955"/>
      <c r="L2394" s="954"/>
      <c r="M2394" s="952"/>
      <c r="N2394" s="952"/>
    </row>
    <row r="2395" spans="1:14">
      <c r="A2395" s="958" t="s">
        <v>366</v>
      </c>
      <c r="B2395" s="958">
        <v>31</v>
      </c>
      <c r="C2395" s="958" t="s">
        <v>7033</v>
      </c>
      <c r="D2395" s="957" t="s">
        <v>7032</v>
      </c>
      <c r="E2395" s="956">
        <v>18837</v>
      </c>
      <c r="F2395" s="955"/>
      <c r="L2395" s="954"/>
      <c r="M2395" s="952"/>
      <c r="N2395" s="952"/>
    </row>
    <row r="2396" spans="1:14">
      <c r="A2396" s="958" t="s">
        <v>366</v>
      </c>
      <c r="B2396" s="958">
        <v>31</v>
      </c>
      <c r="C2396" s="958" t="s">
        <v>7031</v>
      </c>
      <c r="D2396" s="957" t="s">
        <v>7030</v>
      </c>
      <c r="E2396" s="956">
        <v>2632</v>
      </c>
      <c r="F2396" s="955"/>
      <c r="L2396" s="954"/>
      <c r="M2396" s="952"/>
      <c r="N2396" s="952"/>
    </row>
    <row r="2397" spans="1:14">
      <c r="A2397" s="958" t="s">
        <v>366</v>
      </c>
      <c r="B2397" s="958">
        <v>31</v>
      </c>
      <c r="C2397" s="958" t="s">
        <v>7029</v>
      </c>
      <c r="D2397" s="957" t="s">
        <v>7028</v>
      </c>
      <c r="E2397" s="956">
        <v>12170</v>
      </c>
      <c r="F2397" s="955"/>
      <c r="L2397" s="954"/>
      <c r="M2397" s="952"/>
      <c r="N2397" s="952"/>
    </row>
    <row r="2398" spans="1:14">
      <c r="A2398" s="958" t="s">
        <v>366</v>
      </c>
      <c r="B2398" s="958">
        <v>31</v>
      </c>
      <c r="C2398" s="958" t="s">
        <v>7027</v>
      </c>
      <c r="D2398" s="957" t="s">
        <v>7026</v>
      </c>
      <c r="E2398" s="956">
        <v>11476</v>
      </c>
      <c r="F2398" s="955"/>
      <c r="L2398" s="954"/>
      <c r="M2398" s="952"/>
      <c r="N2398" s="952"/>
    </row>
    <row r="2399" spans="1:14">
      <c r="A2399" s="958" t="s">
        <v>366</v>
      </c>
      <c r="B2399" s="958">
        <v>31</v>
      </c>
      <c r="C2399" s="958" t="s">
        <v>7025</v>
      </c>
      <c r="D2399" s="957" t="s">
        <v>7024</v>
      </c>
      <c r="E2399" s="956">
        <v>14859</v>
      </c>
      <c r="F2399" s="955"/>
      <c r="L2399" s="954"/>
      <c r="M2399" s="952"/>
      <c r="N2399" s="952"/>
    </row>
    <row r="2400" spans="1:14">
      <c r="A2400" s="958" t="s">
        <v>366</v>
      </c>
      <c r="B2400" s="958">
        <v>31</v>
      </c>
      <c r="C2400" s="958" t="s">
        <v>7023</v>
      </c>
      <c r="D2400" s="957" t="s">
        <v>7022</v>
      </c>
      <c r="E2400" s="956">
        <v>22478</v>
      </c>
      <c r="F2400" s="955"/>
      <c r="L2400" s="954"/>
      <c r="M2400" s="952"/>
      <c r="N2400" s="952"/>
    </row>
    <row r="2401" spans="1:14">
      <c r="A2401" s="958" t="s">
        <v>366</v>
      </c>
      <c r="B2401" s="958">
        <v>31</v>
      </c>
      <c r="C2401" s="958" t="s">
        <v>7021</v>
      </c>
      <c r="D2401" s="957" t="s">
        <v>7020</v>
      </c>
      <c r="E2401" s="956">
        <v>30329</v>
      </c>
      <c r="F2401" s="955"/>
      <c r="L2401" s="954"/>
      <c r="M2401" s="952"/>
      <c r="N2401" s="952"/>
    </row>
    <row r="2402" spans="1:14">
      <c r="A2402" s="958" t="s">
        <v>366</v>
      </c>
      <c r="B2402" s="958">
        <v>31</v>
      </c>
      <c r="C2402" s="958" t="s">
        <v>7019</v>
      </c>
      <c r="D2402" s="957" t="s">
        <v>7018</v>
      </c>
      <c r="E2402" s="956">
        <v>21225</v>
      </c>
      <c r="F2402" s="955"/>
      <c r="L2402" s="954"/>
      <c r="M2402" s="952"/>
      <c r="N2402" s="952"/>
    </row>
    <row r="2403" spans="1:14">
      <c r="A2403" s="958" t="s">
        <v>366</v>
      </c>
      <c r="B2403" s="958">
        <v>31</v>
      </c>
      <c r="C2403" s="958" t="s">
        <v>7017</v>
      </c>
      <c r="D2403" s="957" t="s">
        <v>7016</v>
      </c>
      <c r="E2403" s="956">
        <v>19355</v>
      </c>
      <c r="F2403" s="955"/>
      <c r="L2403" s="954"/>
      <c r="M2403" s="952"/>
      <c r="N2403" s="952"/>
    </row>
    <row r="2404" spans="1:14">
      <c r="A2404" s="958" t="s">
        <v>366</v>
      </c>
      <c r="B2404" s="958">
        <v>31</v>
      </c>
      <c r="C2404" s="958" t="s">
        <v>7015</v>
      </c>
      <c r="D2404" s="957" t="s">
        <v>7014</v>
      </c>
      <c r="E2404" s="956">
        <v>10027</v>
      </c>
      <c r="F2404" s="955"/>
      <c r="L2404" s="954"/>
      <c r="M2404" s="952"/>
      <c r="N2404" s="952"/>
    </row>
    <row r="2405" spans="1:14">
      <c r="A2405" s="958" t="s">
        <v>366</v>
      </c>
      <c r="B2405" s="958">
        <v>31</v>
      </c>
      <c r="C2405" s="958" t="s">
        <v>7013</v>
      </c>
      <c r="D2405" s="957" t="s">
        <v>7012</v>
      </c>
      <c r="E2405" s="956">
        <v>4047</v>
      </c>
      <c r="F2405" s="955"/>
      <c r="L2405" s="954"/>
      <c r="M2405" s="952"/>
      <c r="N2405" s="952"/>
    </row>
    <row r="2406" spans="1:14">
      <c r="A2406" s="958" t="s">
        <v>366</v>
      </c>
      <c r="B2406" s="958">
        <v>31</v>
      </c>
      <c r="C2406" s="958" t="s">
        <v>7011</v>
      </c>
      <c r="D2406" s="957" t="s">
        <v>7010</v>
      </c>
      <c r="E2406" s="956">
        <v>3579</v>
      </c>
      <c r="F2406" s="955"/>
      <c r="L2406" s="954"/>
      <c r="M2406" s="952"/>
      <c r="N2406" s="952"/>
    </row>
    <row r="2407" spans="1:14">
      <c r="A2407" s="958" t="s">
        <v>366</v>
      </c>
      <c r="B2407" s="958">
        <v>31</v>
      </c>
      <c r="C2407" s="958" t="s">
        <v>7009</v>
      </c>
      <c r="D2407" s="957" t="s">
        <v>7008</v>
      </c>
      <c r="E2407" s="956">
        <v>4478</v>
      </c>
      <c r="F2407" s="955"/>
      <c r="L2407" s="954"/>
      <c r="M2407" s="952"/>
      <c r="N2407" s="952"/>
    </row>
    <row r="2408" spans="1:14">
      <c r="A2408" s="958" t="s">
        <v>366</v>
      </c>
      <c r="B2408" s="958">
        <v>31</v>
      </c>
      <c r="C2408" s="958" t="s">
        <v>7007</v>
      </c>
      <c r="D2408" s="957" t="s">
        <v>7006</v>
      </c>
      <c r="E2408" s="956">
        <v>2257</v>
      </c>
      <c r="F2408" s="955"/>
      <c r="L2408" s="954"/>
      <c r="M2408" s="952"/>
      <c r="N2408" s="952"/>
    </row>
    <row r="2409" spans="1:14">
      <c r="A2409" s="958" t="s">
        <v>366</v>
      </c>
      <c r="B2409" s="958">
        <v>31</v>
      </c>
      <c r="C2409" s="958" t="s">
        <v>7005</v>
      </c>
      <c r="D2409" s="957" t="s">
        <v>7004</v>
      </c>
      <c r="E2409" s="956">
        <v>3075</v>
      </c>
      <c r="F2409" s="955"/>
      <c r="L2409" s="954"/>
      <c r="M2409" s="952"/>
      <c r="N2409" s="952"/>
    </row>
    <row r="2410" spans="1:14">
      <c r="A2410" s="958" t="s">
        <v>366</v>
      </c>
      <c r="B2410" s="958">
        <v>31</v>
      </c>
      <c r="C2410" s="958" t="s">
        <v>7003</v>
      </c>
      <c r="D2410" s="957" t="s">
        <v>7002</v>
      </c>
      <c r="E2410" s="956">
        <v>17740</v>
      </c>
      <c r="F2410" s="955"/>
      <c r="L2410" s="954"/>
      <c r="M2410" s="952"/>
      <c r="N2410" s="952"/>
    </row>
    <row r="2411" spans="1:14">
      <c r="A2411" s="958" t="s">
        <v>366</v>
      </c>
      <c r="B2411" s="958">
        <v>31</v>
      </c>
      <c r="C2411" s="958" t="s">
        <v>7001</v>
      </c>
      <c r="D2411" s="957" t="s">
        <v>7000</v>
      </c>
      <c r="E2411" s="956">
        <v>3954</v>
      </c>
      <c r="F2411" s="955"/>
      <c r="L2411" s="954"/>
      <c r="M2411" s="952"/>
      <c r="N2411" s="952"/>
    </row>
    <row r="2412" spans="1:14">
      <c r="A2412" s="958" t="s">
        <v>366</v>
      </c>
      <c r="B2412" s="958">
        <v>31</v>
      </c>
      <c r="C2412" s="958" t="s">
        <v>6999</v>
      </c>
      <c r="D2412" s="957" t="s">
        <v>6998</v>
      </c>
      <c r="E2412" s="956">
        <v>75123</v>
      </c>
      <c r="F2412" s="955"/>
      <c r="L2412" s="954"/>
      <c r="M2412" s="952"/>
      <c r="N2412" s="952"/>
    </row>
    <row r="2413" spans="1:14">
      <c r="A2413" s="958" t="s">
        <v>366</v>
      </c>
      <c r="B2413" s="958">
        <v>31</v>
      </c>
      <c r="C2413" s="958" t="s">
        <v>6997</v>
      </c>
      <c r="D2413" s="957" t="s">
        <v>6996</v>
      </c>
      <c r="E2413" s="956">
        <v>5376</v>
      </c>
      <c r="F2413" s="955"/>
      <c r="L2413" s="954"/>
      <c r="M2413" s="952"/>
      <c r="N2413" s="952"/>
    </row>
    <row r="2414" spans="1:14">
      <c r="A2414" s="958" t="s">
        <v>366</v>
      </c>
      <c r="B2414" s="958">
        <v>31</v>
      </c>
      <c r="C2414" s="958" t="s">
        <v>6995</v>
      </c>
      <c r="D2414" s="957" t="s">
        <v>6994</v>
      </c>
      <c r="E2414" s="956">
        <v>3641</v>
      </c>
      <c r="F2414" s="955"/>
      <c r="L2414" s="954"/>
      <c r="M2414" s="952"/>
      <c r="N2414" s="952"/>
    </row>
    <row r="2415" spans="1:14">
      <c r="A2415" s="958" t="s">
        <v>366</v>
      </c>
      <c r="B2415" s="958">
        <v>31</v>
      </c>
      <c r="C2415" s="958" t="s">
        <v>6993</v>
      </c>
      <c r="D2415" s="957" t="s">
        <v>6992</v>
      </c>
      <c r="E2415" s="956">
        <v>6311</v>
      </c>
      <c r="F2415" s="955"/>
      <c r="L2415" s="954"/>
      <c r="M2415" s="952"/>
      <c r="N2415" s="952"/>
    </row>
    <row r="2416" spans="1:14">
      <c r="A2416" s="958" t="s">
        <v>366</v>
      </c>
      <c r="B2416" s="958">
        <v>31</v>
      </c>
      <c r="C2416" s="958" t="s">
        <v>6991</v>
      </c>
      <c r="D2416" s="957" t="s">
        <v>6990</v>
      </c>
      <c r="E2416" s="956">
        <v>4986</v>
      </c>
      <c r="F2416" s="955"/>
      <c r="L2416" s="954"/>
      <c r="M2416" s="952"/>
      <c r="N2416" s="952"/>
    </row>
    <row r="2417" spans="1:14">
      <c r="A2417" s="958" t="s">
        <v>366</v>
      </c>
      <c r="B2417" s="958">
        <v>31</v>
      </c>
      <c r="C2417" s="958" t="s">
        <v>6989</v>
      </c>
      <c r="D2417" s="957" t="s">
        <v>6988</v>
      </c>
      <c r="E2417" s="956">
        <v>21656</v>
      </c>
      <c r="F2417" s="955"/>
      <c r="L2417" s="954"/>
      <c r="M2417" s="952"/>
      <c r="N2417" s="952"/>
    </row>
    <row r="2418" spans="1:14">
      <c r="A2418" s="958" t="s">
        <v>366</v>
      </c>
      <c r="B2418" s="958">
        <v>31</v>
      </c>
      <c r="C2418" s="958" t="s">
        <v>6987</v>
      </c>
      <c r="D2418" s="957" t="s">
        <v>6986</v>
      </c>
      <c r="E2418" s="956">
        <v>1164</v>
      </c>
      <c r="F2418" s="955"/>
      <c r="L2418" s="954"/>
      <c r="M2418" s="952"/>
      <c r="N2418" s="952"/>
    </row>
    <row r="2419" spans="1:14">
      <c r="A2419" s="958" t="s">
        <v>366</v>
      </c>
      <c r="B2419" s="958">
        <v>31</v>
      </c>
      <c r="C2419" s="958" t="s">
        <v>6985</v>
      </c>
      <c r="D2419" s="957" t="s">
        <v>6984</v>
      </c>
      <c r="E2419" s="956">
        <v>7032</v>
      </c>
      <c r="F2419" s="955"/>
      <c r="L2419" s="954"/>
      <c r="M2419" s="952"/>
      <c r="N2419" s="952"/>
    </row>
    <row r="2420" spans="1:14">
      <c r="A2420" s="958" t="s">
        <v>366</v>
      </c>
      <c r="B2420" s="958">
        <v>31</v>
      </c>
      <c r="C2420" s="958" t="s">
        <v>6983</v>
      </c>
      <c r="D2420" s="957" t="s">
        <v>6982</v>
      </c>
      <c r="E2420" s="956">
        <v>10350</v>
      </c>
      <c r="F2420" s="955"/>
      <c r="L2420" s="954"/>
      <c r="M2420" s="952"/>
      <c r="N2420" s="952"/>
    </row>
    <row r="2421" spans="1:14">
      <c r="A2421" s="958" t="s">
        <v>366</v>
      </c>
      <c r="B2421" s="958">
        <v>31</v>
      </c>
      <c r="C2421" s="958" t="s">
        <v>6981</v>
      </c>
      <c r="D2421" s="957" t="s">
        <v>6980</v>
      </c>
      <c r="E2421" s="956">
        <v>3154</v>
      </c>
      <c r="F2421" s="955"/>
      <c r="L2421" s="954"/>
      <c r="M2421" s="952"/>
      <c r="N2421" s="952"/>
    </row>
    <row r="2422" spans="1:14">
      <c r="A2422" s="958" t="s">
        <v>366</v>
      </c>
      <c r="B2422" s="958">
        <v>31</v>
      </c>
      <c r="C2422" s="958" t="s">
        <v>6979</v>
      </c>
      <c r="D2422" s="957" t="s">
        <v>6978</v>
      </c>
      <c r="E2422" s="956">
        <v>5704</v>
      </c>
      <c r="F2422" s="955"/>
      <c r="L2422" s="954"/>
      <c r="M2422" s="952"/>
      <c r="N2422" s="952"/>
    </row>
    <row r="2423" spans="1:14">
      <c r="A2423" s="958" t="s">
        <v>366</v>
      </c>
      <c r="B2423" s="958">
        <v>31</v>
      </c>
      <c r="C2423" s="958" t="s">
        <v>6977</v>
      </c>
      <c r="D2423" s="957" t="s">
        <v>6976</v>
      </c>
      <c r="E2423" s="956">
        <v>15356</v>
      </c>
      <c r="F2423" s="955"/>
      <c r="L2423" s="954"/>
      <c r="M2423" s="952"/>
      <c r="N2423" s="952"/>
    </row>
    <row r="2424" spans="1:14">
      <c r="A2424" s="958" t="s">
        <v>366</v>
      </c>
      <c r="B2424" s="958">
        <v>31</v>
      </c>
      <c r="C2424" s="958" t="s">
        <v>6975</v>
      </c>
      <c r="D2424" s="957" t="s">
        <v>6974</v>
      </c>
      <c r="E2424" s="956">
        <v>13680</v>
      </c>
      <c r="F2424" s="955"/>
      <c r="L2424" s="954"/>
      <c r="M2424" s="952"/>
      <c r="N2424" s="952"/>
    </row>
    <row r="2425" spans="1:14">
      <c r="A2425" s="958" t="s">
        <v>366</v>
      </c>
      <c r="B2425" s="958">
        <v>31</v>
      </c>
      <c r="C2425" s="958" t="s">
        <v>6973</v>
      </c>
      <c r="D2425" s="957" t="s">
        <v>6972</v>
      </c>
      <c r="E2425" s="956">
        <v>2687</v>
      </c>
      <c r="F2425" s="955"/>
      <c r="L2425" s="954"/>
      <c r="M2425" s="952"/>
      <c r="N2425" s="952"/>
    </row>
    <row r="2426" spans="1:14">
      <c r="A2426" s="958" t="s">
        <v>366</v>
      </c>
      <c r="B2426" s="958">
        <v>31</v>
      </c>
      <c r="C2426" s="958" t="s">
        <v>6971</v>
      </c>
      <c r="D2426" s="957" t="s">
        <v>6970</v>
      </c>
      <c r="E2426" s="956">
        <v>6787</v>
      </c>
      <c r="F2426" s="955"/>
      <c r="L2426" s="954"/>
      <c r="M2426" s="952"/>
      <c r="N2426" s="952"/>
    </row>
    <row r="2427" spans="1:14">
      <c r="A2427" s="958" t="s">
        <v>366</v>
      </c>
      <c r="B2427" s="958">
        <v>31</v>
      </c>
      <c r="C2427" s="958" t="s">
        <v>6969</v>
      </c>
      <c r="D2427" s="957" t="s">
        <v>6968</v>
      </c>
      <c r="E2427" s="956">
        <v>4843</v>
      </c>
      <c r="F2427" s="955"/>
      <c r="L2427" s="954"/>
      <c r="M2427" s="952"/>
      <c r="N2427" s="952"/>
    </row>
    <row r="2428" spans="1:14">
      <c r="A2428" s="958" t="s">
        <v>366</v>
      </c>
      <c r="B2428" s="958">
        <v>31</v>
      </c>
      <c r="C2428" s="958" t="s">
        <v>6967</v>
      </c>
      <c r="D2428" s="957" t="s">
        <v>6966</v>
      </c>
      <c r="E2428" s="956">
        <v>7551</v>
      </c>
      <c r="F2428" s="955"/>
      <c r="L2428" s="954"/>
      <c r="M2428" s="952"/>
      <c r="N2428" s="952"/>
    </row>
    <row r="2429" spans="1:14">
      <c r="A2429" s="958" t="s">
        <v>366</v>
      </c>
      <c r="B2429" s="958">
        <v>31</v>
      </c>
      <c r="C2429" s="958" t="s">
        <v>6965</v>
      </c>
      <c r="D2429" s="957" t="s">
        <v>6964</v>
      </c>
      <c r="E2429" s="956">
        <v>28617</v>
      </c>
      <c r="F2429" s="955"/>
      <c r="L2429" s="954"/>
      <c r="M2429" s="952"/>
      <c r="N2429" s="952"/>
    </row>
    <row r="2430" spans="1:14">
      <c r="A2430" s="958" t="s">
        <v>366</v>
      </c>
      <c r="B2430" s="958">
        <v>31</v>
      </c>
      <c r="C2430" s="958" t="s">
        <v>6963</v>
      </c>
      <c r="D2430" s="957" t="s">
        <v>6962</v>
      </c>
      <c r="E2430" s="956">
        <v>7556</v>
      </c>
      <c r="F2430" s="955"/>
      <c r="L2430" s="954"/>
      <c r="M2430" s="952"/>
      <c r="N2430" s="952"/>
    </row>
    <row r="2431" spans="1:14">
      <c r="A2431" s="958" t="s">
        <v>366</v>
      </c>
      <c r="B2431" s="958">
        <v>31</v>
      </c>
      <c r="C2431" s="958" t="s">
        <v>6961</v>
      </c>
      <c r="D2431" s="957" t="s">
        <v>6960</v>
      </c>
      <c r="E2431" s="956">
        <v>8873</v>
      </c>
      <c r="F2431" s="955"/>
      <c r="L2431" s="954"/>
      <c r="M2431" s="952"/>
      <c r="N2431" s="952"/>
    </row>
    <row r="2432" spans="1:14">
      <c r="A2432" s="958" t="s">
        <v>366</v>
      </c>
      <c r="B2432" s="958">
        <v>31</v>
      </c>
      <c r="C2432" s="958" t="s">
        <v>6959</v>
      </c>
      <c r="D2432" s="957" t="s">
        <v>6958</v>
      </c>
      <c r="E2432" s="956">
        <v>3111</v>
      </c>
      <c r="F2432" s="955"/>
      <c r="L2432" s="954"/>
      <c r="M2432" s="952"/>
      <c r="N2432" s="952"/>
    </row>
    <row r="2433" spans="1:14">
      <c r="A2433" s="958" t="s">
        <v>366</v>
      </c>
      <c r="B2433" s="958">
        <v>31</v>
      </c>
      <c r="C2433" s="958" t="s">
        <v>6957</v>
      </c>
      <c r="D2433" s="957" t="s">
        <v>6956</v>
      </c>
      <c r="E2433" s="956">
        <v>6929</v>
      </c>
      <c r="F2433" s="955"/>
      <c r="L2433" s="954"/>
      <c r="M2433" s="952"/>
      <c r="N2433" s="952"/>
    </row>
    <row r="2434" spans="1:14">
      <c r="A2434" s="958" t="s">
        <v>366</v>
      </c>
      <c r="B2434" s="958">
        <v>31</v>
      </c>
      <c r="C2434" s="958" t="s">
        <v>6955</v>
      </c>
      <c r="D2434" s="957" t="s">
        <v>6954</v>
      </c>
      <c r="E2434" s="956">
        <v>10292</v>
      </c>
      <c r="F2434" s="955"/>
      <c r="L2434" s="954"/>
      <c r="M2434" s="952"/>
      <c r="N2434" s="952"/>
    </row>
    <row r="2435" spans="1:14">
      <c r="A2435" s="958" t="s">
        <v>366</v>
      </c>
      <c r="B2435" s="958">
        <v>31</v>
      </c>
      <c r="C2435" s="958" t="s">
        <v>6953</v>
      </c>
      <c r="D2435" s="957" t="s">
        <v>6952</v>
      </c>
      <c r="E2435" s="956">
        <v>2812</v>
      </c>
      <c r="F2435" s="955"/>
      <c r="L2435" s="954"/>
      <c r="M2435" s="952"/>
      <c r="N2435" s="952"/>
    </row>
    <row r="2436" spans="1:14">
      <c r="A2436" s="958" t="s">
        <v>366</v>
      </c>
      <c r="B2436" s="958">
        <v>31</v>
      </c>
      <c r="C2436" s="958" t="s">
        <v>6951</v>
      </c>
      <c r="D2436" s="957" t="s">
        <v>6950</v>
      </c>
      <c r="E2436" s="956">
        <v>27893</v>
      </c>
      <c r="F2436" s="955"/>
      <c r="L2436" s="954"/>
      <c r="M2436" s="952"/>
      <c r="N2436" s="952"/>
    </row>
    <row r="2437" spans="1:14">
      <c r="A2437" s="958" t="s">
        <v>366</v>
      </c>
      <c r="B2437" s="958">
        <v>31</v>
      </c>
      <c r="C2437" s="958" t="s">
        <v>6949</v>
      </c>
      <c r="D2437" s="957" t="s">
        <v>6948</v>
      </c>
      <c r="E2437" s="956">
        <v>4574</v>
      </c>
      <c r="F2437" s="955"/>
      <c r="L2437" s="954"/>
      <c r="M2437" s="952"/>
      <c r="N2437" s="952"/>
    </row>
    <row r="2438" spans="1:14">
      <c r="A2438" s="958" t="s">
        <v>366</v>
      </c>
      <c r="B2438" s="958">
        <v>31</v>
      </c>
      <c r="C2438" s="958" t="s">
        <v>6947</v>
      </c>
      <c r="D2438" s="957" t="s">
        <v>6946</v>
      </c>
      <c r="E2438" s="956">
        <v>17842</v>
      </c>
      <c r="F2438" s="955"/>
      <c r="L2438" s="954"/>
      <c r="M2438" s="952"/>
      <c r="N2438" s="952"/>
    </row>
    <row r="2439" spans="1:14">
      <c r="A2439" s="958" t="s">
        <v>366</v>
      </c>
      <c r="B2439" s="958">
        <v>31</v>
      </c>
      <c r="C2439" s="958" t="s">
        <v>6945</v>
      </c>
      <c r="D2439" s="957" t="s">
        <v>6944</v>
      </c>
      <c r="E2439" s="956">
        <v>5507</v>
      </c>
      <c r="F2439" s="955"/>
      <c r="L2439" s="954"/>
      <c r="M2439" s="952"/>
      <c r="N2439" s="952"/>
    </row>
    <row r="2440" spans="1:14">
      <c r="A2440" s="958" t="s">
        <v>366</v>
      </c>
      <c r="B2440" s="958">
        <v>31</v>
      </c>
      <c r="C2440" s="958" t="s">
        <v>6943</v>
      </c>
      <c r="D2440" s="957" t="s">
        <v>6942</v>
      </c>
      <c r="E2440" s="956">
        <v>13638</v>
      </c>
      <c r="F2440" s="955"/>
      <c r="L2440" s="954"/>
      <c r="M2440" s="952"/>
      <c r="N2440" s="952"/>
    </row>
    <row r="2441" spans="1:14">
      <c r="A2441" s="958" t="s">
        <v>366</v>
      </c>
      <c r="B2441" s="958">
        <v>31</v>
      </c>
      <c r="C2441" s="958" t="s">
        <v>6941</v>
      </c>
      <c r="D2441" s="957" t="s">
        <v>6940</v>
      </c>
      <c r="E2441" s="956">
        <v>11638</v>
      </c>
      <c r="F2441" s="955"/>
      <c r="L2441" s="954"/>
      <c r="M2441" s="952"/>
      <c r="N2441" s="952"/>
    </row>
    <row r="2442" spans="1:14">
      <c r="A2442" s="958" t="s">
        <v>366</v>
      </c>
      <c r="B2442" s="958">
        <v>31</v>
      </c>
      <c r="C2442" s="958" t="s">
        <v>6939</v>
      </c>
      <c r="D2442" s="957" t="s">
        <v>6938</v>
      </c>
      <c r="E2442" s="956">
        <v>7642</v>
      </c>
      <c r="F2442" s="955"/>
      <c r="L2442" s="954"/>
      <c r="M2442" s="952"/>
      <c r="N2442" s="952"/>
    </row>
    <row r="2443" spans="1:14">
      <c r="A2443" s="958" t="s">
        <v>366</v>
      </c>
      <c r="B2443" s="958">
        <v>31</v>
      </c>
      <c r="C2443" s="958" t="s">
        <v>6937</v>
      </c>
      <c r="D2443" s="957" t="s">
        <v>6936</v>
      </c>
      <c r="E2443" s="956">
        <v>6730</v>
      </c>
      <c r="F2443" s="955"/>
      <c r="L2443" s="954"/>
      <c r="M2443" s="952"/>
      <c r="N2443" s="952"/>
    </row>
    <row r="2444" spans="1:14">
      <c r="A2444" s="958" t="s">
        <v>366</v>
      </c>
      <c r="B2444" s="958">
        <v>31</v>
      </c>
      <c r="C2444" s="958" t="s">
        <v>6935</v>
      </c>
      <c r="D2444" s="957" t="s">
        <v>6934</v>
      </c>
      <c r="E2444" s="956">
        <v>11950</v>
      </c>
      <c r="F2444" s="955"/>
      <c r="L2444" s="954"/>
      <c r="M2444" s="952"/>
      <c r="N2444" s="952"/>
    </row>
    <row r="2445" spans="1:14">
      <c r="A2445" s="958" t="s">
        <v>366</v>
      </c>
      <c r="B2445" s="958">
        <v>31</v>
      </c>
      <c r="C2445" s="958" t="s">
        <v>6933</v>
      </c>
      <c r="D2445" s="957" t="s">
        <v>6932</v>
      </c>
      <c r="E2445" s="956">
        <v>54762</v>
      </c>
      <c r="F2445" s="955"/>
      <c r="L2445" s="954"/>
      <c r="M2445" s="952"/>
      <c r="N2445" s="952"/>
    </row>
    <row r="2446" spans="1:14">
      <c r="A2446" s="958" t="s">
        <v>366</v>
      </c>
      <c r="B2446" s="958">
        <v>31</v>
      </c>
      <c r="C2446" s="958" t="s">
        <v>6931</v>
      </c>
      <c r="D2446" s="957" t="s">
        <v>6930</v>
      </c>
      <c r="E2446" s="956">
        <v>5045</v>
      </c>
      <c r="F2446" s="955"/>
      <c r="L2446" s="954"/>
      <c r="M2446" s="952"/>
      <c r="N2446" s="952"/>
    </row>
    <row r="2447" spans="1:14">
      <c r="A2447" s="958" t="s">
        <v>366</v>
      </c>
      <c r="B2447" s="958">
        <v>31</v>
      </c>
      <c r="C2447" s="958" t="s">
        <v>6929</v>
      </c>
      <c r="D2447" s="957" t="s">
        <v>6928</v>
      </c>
      <c r="E2447" s="956">
        <v>6939</v>
      </c>
      <c r="F2447" s="955"/>
      <c r="L2447" s="954"/>
      <c r="M2447" s="952"/>
      <c r="N2447" s="952"/>
    </row>
    <row r="2448" spans="1:14">
      <c r="A2448" s="958" t="s">
        <v>366</v>
      </c>
      <c r="B2448" s="958">
        <v>31</v>
      </c>
      <c r="C2448" s="958" t="s">
        <v>6927</v>
      </c>
      <c r="D2448" s="957" t="s">
        <v>6926</v>
      </c>
      <c r="E2448" s="956">
        <v>128589</v>
      </c>
      <c r="F2448" s="955"/>
      <c r="L2448" s="954"/>
      <c r="M2448" s="952"/>
      <c r="N2448" s="952"/>
    </row>
    <row r="2449" spans="1:14">
      <c r="A2449" s="958" t="s">
        <v>366</v>
      </c>
      <c r="B2449" s="958">
        <v>31</v>
      </c>
      <c r="C2449" s="958" t="s">
        <v>6925</v>
      </c>
      <c r="D2449" s="957" t="s">
        <v>6924</v>
      </c>
      <c r="E2449" s="956">
        <v>22921</v>
      </c>
      <c r="F2449" s="955"/>
      <c r="L2449" s="954"/>
      <c r="M2449" s="952"/>
      <c r="N2449" s="952"/>
    </row>
    <row r="2450" spans="1:14">
      <c r="A2450" s="958" t="s">
        <v>366</v>
      </c>
      <c r="B2450" s="958">
        <v>31</v>
      </c>
      <c r="C2450" s="958" t="s">
        <v>6923</v>
      </c>
      <c r="D2450" s="957" t="s">
        <v>6922</v>
      </c>
      <c r="E2450" s="956">
        <v>1783</v>
      </c>
      <c r="F2450" s="955"/>
      <c r="L2450" s="954"/>
      <c r="M2450" s="952"/>
      <c r="N2450" s="952"/>
    </row>
    <row r="2451" spans="1:14">
      <c r="A2451" s="958" t="s">
        <v>366</v>
      </c>
      <c r="B2451" s="958">
        <v>31</v>
      </c>
      <c r="C2451" s="958" t="s">
        <v>6921</v>
      </c>
      <c r="D2451" s="957" t="s">
        <v>6920</v>
      </c>
      <c r="E2451" s="956">
        <v>663855</v>
      </c>
      <c r="F2451" s="955"/>
      <c r="L2451" s="954"/>
      <c r="M2451" s="952"/>
      <c r="N2451" s="952"/>
    </row>
    <row r="2452" spans="1:14">
      <c r="A2452" s="958" t="s">
        <v>366</v>
      </c>
      <c r="B2452" s="958">
        <v>31</v>
      </c>
      <c r="C2452" s="958" t="s">
        <v>6919</v>
      </c>
      <c r="D2452" s="957" t="s">
        <v>6918</v>
      </c>
      <c r="E2452" s="956">
        <v>9159</v>
      </c>
      <c r="F2452" s="955"/>
      <c r="L2452" s="954"/>
      <c r="M2452" s="952"/>
      <c r="N2452" s="952"/>
    </row>
    <row r="2453" spans="1:14">
      <c r="A2453" s="958" t="s">
        <v>366</v>
      </c>
      <c r="B2453" s="958">
        <v>31</v>
      </c>
      <c r="C2453" s="958" t="s">
        <v>6917</v>
      </c>
      <c r="D2453" s="957" t="s">
        <v>6916</v>
      </c>
      <c r="E2453" s="956">
        <v>26602</v>
      </c>
      <c r="F2453" s="955"/>
      <c r="L2453" s="954"/>
      <c r="M2453" s="952"/>
      <c r="N2453" s="952"/>
    </row>
    <row r="2454" spans="1:14">
      <c r="A2454" s="958" t="s">
        <v>366</v>
      </c>
      <c r="B2454" s="958">
        <v>31</v>
      </c>
      <c r="C2454" s="958" t="s">
        <v>6915</v>
      </c>
      <c r="D2454" s="957" t="s">
        <v>6914</v>
      </c>
      <c r="E2454" s="956">
        <v>8890</v>
      </c>
      <c r="F2454" s="955"/>
      <c r="L2454" s="954"/>
      <c r="M2454" s="952"/>
      <c r="N2454" s="952"/>
    </row>
    <row r="2455" spans="1:14">
      <c r="A2455" s="958" t="s">
        <v>366</v>
      </c>
      <c r="B2455" s="958">
        <v>31</v>
      </c>
      <c r="C2455" s="958" t="s">
        <v>6913</v>
      </c>
      <c r="D2455" s="957" t="s">
        <v>6912</v>
      </c>
      <c r="E2455" s="956">
        <v>3538</v>
      </c>
      <c r="F2455" s="955"/>
      <c r="L2455" s="954"/>
      <c r="M2455" s="952"/>
      <c r="N2455" s="952"/>
    </row>
    <row r="2456" spans="1:14">
      <c r="A2456" s="958" t="s">
        <v>366</v>
      </c>
      <c r="B2456" s="958">
        <v>31</v>
      </c>
      <c r="C2456" s="958" t="s">
        <v>6911</v>
      </c>
      <c r="D2456" s="957" t="s">
        <v>6910</v>
      </c>
      <c r="E2456" s="956">
        <v>23731</v>
      </c>
      <c r="F2456" s="955"/>
      <c r="L2456" s="954"/>
      <c r="M2456" s="952"/>
      <c r="N2456" s="952"/>
    </row>
    <row r="2457" spans="1:14">
      <c r="A2457" s="958" t="s">
        <v>366</v>
      </c>
      <c r="B2457" s="958">
        <v>31</v>
      </c>
      <c r="C2457" s="958" t="s">
        <v>6909</v>
      </c>
      <c r="D2457" s="957" t="s">
        <v>6908</v>
      </c>
      <c r="E2457" s="956">
        <v>9991</v>
      </c>
      <c r="F2457" s="955"/>
      <c r="L2457" s="954"/>
      <c r="M2457" s="952"/>
      <c r="N2457" s="952"/>
    </row>
    <row r="2458" spans="1:14">
      <c r="A2458" s="958" t="s">
        <v>366</v>
      </c>
      <c r="B2458" s="958">
        <v>31</v>
      </c>
      <c r="C2458" s="958" t="s">
        <v>6907</v>
      </c>
      <c r="D2458" s="957" t="s">
        <v>6906</v>
      </c>
      <c r="E2458" s="956">
        <v>27974</v>
      </c>
      <c r="F2458" s="955"/>
      <c r="L2458" s="954"/>
      <c r="M2458" s="952"/>
      <c r="N2458" s="952"/>
    </row>
    <row r="2459" spans="1:14">
      <c r="A2459" s="958" t="s">
        <v>366</v>
      </c>
      <c r="B2459" s="958">
        <v>31</v>
      </c>
      <c r="C2459" s="958" t="s">
        <v>6905</v>
      </c>
      <c r="D2459" s="957" t="s">
        <v>6904</v>
      </c>
      <c r="E2459" s="956">
        <v>109855</v>
      </c>
      <c r="F2459" s="955"/>
      <c r="L2459" s="954"/>
      <c r="M2459" s="952"/>
      <c r="N2459" s="952"/>
    </row>
    <row r="2460" spans="1:14">
      <c r="A2460" s="958" t="s">
        <v>366</v>
      </c>
      <c r="B2460" s="958">
        <v>31</v>
      </c>
      <c r="C2460" s="958" t="s">
        <v>6903</v>
      </c>
      <c r="D2460" s="957" t="s">
        <v>6902</v>
      </c>
      <c r="E2460" s="956">
        <v>9222</v>
      </c>
      <c r="F2460" s="955"/>
      <c r="L2460" s="954"/>
      <c r="M2460" s="952"/>
      <c r="N2460" s="952"/>
    </row>
    <row r="2461" spans="1:14">
      <c r="A2461" s="958" t="s">
        <v>366</v>
      </c>
      <c r="B2461" s="958">
        <v>31</v>
      </c>
      <c r="C2461" s="958" t="s">
        <v>6901</v>
      </c>
      <c r="D2461" s="957" t="s">
        <v>6900</v>
      </c>
      <c r="E2461" s="956">
        <v>3086</v>
      </c>
      <c r="F2461" s="955"/>
      <c r="L2461" s="954"/>
      <c r="M2461" s="952"/>
      <c r="N2461" s="952"/>
    </row>
    <row r="2462" spans="1:14">
      <c r="A2462" s="958" t="s">
        <v>366</v>
      </c>
      <c r="B2462" s="958">
        <v>31</v>
      </c>
      <c r="C2462" s="958" t="s">
        <v>6899</v>
      </c>
      <c r="D2462" s="957" t="s">
        <v>6898</v>
      </c>
      <c r="E2462" s="956">
        <v>3434</v>
      </c>
      <c r="F2462" s="955"/>
      <c r="L2462" s="954"/>
      <c r="M2462" s="952"/>
      <c r="N2462" s="952"/>
    </row>
    <row r="2463" spans="1:14">
      <c r="A2463" s="958" t="s">
        <v>366</v>
      </c>
      <c r="B2463" s="958">
        <v>31</v>
      </c>
      <c r="C2463" s="958" t="s">
        <v>6897</v>
      </c>
      <c r="D2463" s="957" t="s">
        <v>6896</v>
      </c>
      <c r="E2463" s="956">
        <v>3215</v>
      </c>
      <c r="F2463" s="955"/>
      <c r="L2463" s="954"/>
      <c r="M2463" s="952"/>
      <c r="N2463" s="952"/>
    </row>
    <row r="2464" spans="1:14">
      <c r="A2464" s="958" t="s">
        <v>366</v>
      </c>
      <c r="B2464" s="958">
        <v>31</v>
      </c>
      <c r="C2464" s="958" t="s">
        <v>6895</v>
      </c>
      <c r="D2464" s="957" t="s">
        <v>6894</v>
      </c>
      <c r="E2464" s="956">
        <v>3704</v>
      </c>
      <c r="F2464" s="955"/>
      <c r="L2464" s="954"/>
      <c r="M2464" s="952"/>
      <c r="N2464" s="952"/>
    </row>
    <row r="2465" spans="1:14">
      <c r="A2465" s="958" t="s">
        <v>366</v>
      </c>
      <c r="B2465" s="958">
        <v>31</v>
      </c>
      <c r="C2465" s="958" t="s">
        <v>6893</v>
      </c>
      <c r="D2465" s="957" t="s">
        <v>6892</v>
      </c>
      <c r="E2465" s="956">
        <v>6337</v>
      </c>
      <c r="F2465" s="955"/>
      <c r="L2465" s="954"/>
      <c r="M2465" s="952"/>
      <c r="N2465" s="952"/>
    </row>
    <row r="2466" spans="1:14">
      <c r="A2466" s="958" t="s">
        <v>366</v>
      </c>
      <c r="B2466" s="958">
        <v>31</v>
      </c>
      <c r="C2466" s="958" t="s">
        <v>6891</v>
      </c>
      <c r="D2466" s="957" t="s">
        <v>6890</v>
      </c>
      <c r="E2466" s="956">
        <v>2771</v>
      </c>
      <c r="F2466" s="955"/>
      <c r="L2466" s="954"/>
      <c r="M2466" s="952"/>
      <c r="N2466" s="952"/>
    </row>
    <row r="2467" spans="1:14">
      <c r="A2467" s="958" t="s">
        <v>366</v>
      </c>
      <c r="B2467" s="958">
        <v>31</v>
      </c>
      <c r="C2467" s="958" t="s">
        <v>6889</v>
      </c>
      <c r="D2467" s="957" t="s">
        <v>6888</v>
      </c>
      <c r="E2467" s="956">
        <v>4410</v>
      </c>
      <c r="F2467" s="955"/>
      <c r="L2467" s="954"/>
      <c r="M2467" s="952"/>
      <c r="N2467" s="952"/>
    </row>
    <row r="2468" spans="1:14">
      <c r="A2468" s="958" t="s">
        <v>366</v>
      </c>
      <c r="B2468" s="958">
        <v>31</v>
      </c>
      <c r="C2468" s="958" t="s">
        <v>6887</v>
      </c>
      <c r="D2468" s="957" t="s">
        <v>6886</v>
      </c>
      <c r="E2468" s="956">
        <v>6704</v>
      </c>
      <c r="F2468" s="955"/>
      <c r="L2468" s="954"/>
      <c r="M2468" s="952"/>
      <c r="N2468" s="952"/>
    </row>
    <row r="2469" spans="1:14">
      <c r="A2469" s="958" t="s">
        <v>366</v>
      </c>
      <c r="B2469" s="958">
        <v>31</v>
      </c>
      <c r="C2469" s="958" t="s">
        <v>6885</v>
      </c>
      <c r="D2469" s="957" t="s">
        <v>6884</v>
      </c>
      <c r="E2469" s="956">
        <v>12798</v>
      </c>
      <c r="F2469" s="955"/>
      <c r="L2469" s="954"/>
      <c r="M2469" s="952"/>
      <c r="N2469" s="952"/>
    </row>
    <row r="2470" spans="1:14">
      <c r="A2470" s="958" t="s">
        <v>366</v>
      </c>
      <c r="B2470" s="958">
        <v>31</v>
      </c>
      <c r="C2470" s="958" t="s">
        <v>6883</v>
      </c>
      <c r="D2470" s="957" t="s">
        <v>6882</v>
      </c>
      <c r="E2470" s="956">
        <v>5971</v>
      </c>
      <c r="F2470" s="955"/>
      <c r="L2470" s="954"/>
      <c r="M2470" s="952"/>
      <c r="N2470" s="952"/>
    </row>
    <row r="2471" spans="1:14">
      <c r="A2471" s="958" t="s">
        <v>366</v>
      </c>
      <c r="B2471" s="958">
        <v>31</v>
      </c>
      <c r="C2471" s="958" t="s">
        <v>6881</v>
      </c>
      <c r="D2471" s="957" t="s">
        <v>6880</v>
      </c>
      <c r="E2471" s="956">
        <v>5150</v>
      </c>
      <c r="F2471" s="955"/>
      <c r="L2471" s="954"/>
      <c r="M2471" s="952"/>
      <c r="N2471" s="952"/>
    </row>
    <row r="2472" spans="1:14">
      <c r="A2472" s="958" t="s">
        <v>366</v>
      </c>
      <c r="B2472" s="958">
        <v>31</v>
      </c>
      <c r="C2472" s="958" t="s">
        <v>6879</v>
      </c>
      <c r="D2472" s="957" t="s">
        <v>6878</v>
      </c>
      <c r="E2472" s="956">
        <v>10242</v>
      </c>
      <c r="F2472" s="955"/>
      <c r="L2472" s="954"/>
      <c r="M2472" s="952"/>
      <c r="N2472" s="952"/>
    </row>
    <row r="2473" spans="1:14">
      <c r="A2473" s="958" t="s">
        <v>366</v>
      </c>
      <c r="B2473" s="958">
        <v>31</v>
      </c>
      <c r="C2473" s="958" t="s">
        <v>6877</v>
      </c>
      <c r="D2473" s="957" t="s">
        <v>6876</v>
      </c>
      <c r="E2473" s="956">
        <v>5034</v>
      </c>
      <c r="F2473" s="955"/>
      <c r="L2473" s="954"/>
      <c r="M2473" s="952"/>
      <c r="N2473" s="952"/>
    </row>
    <row r="2474" spans="1:14">
      <c r="A2474" s="958" t="s">
        <v>366</v>
      </c>
      <c r="B2474" s="958">
        <v>31</v>
      </c>
      <c r="C2474" s="958" t="s">
        <v>6875</v>
      </c>
      <c r="D2474" s="957" t="s">
        <v>6874</v>
      </c>
      <c r="E2474" s="956">
        <v>3626</v>
      </c>
      <c r="F2474" s="955"/>
      <c r="L2474" s="954"/>
      <c r="M2474" s="952"/>
      <c r="N2474" s="952"/>
    </row>
    <row r="2475" spans="1:14">
      <c r="A2475" s="958" t="s">
        <v>366</v>
      </c>
      <c r="B2475" s="958">
        <v>31</v>
      </c>
      <c r="C2475" s="958" t="s">
        <v>6873</v>
      </c>
      <c r="D2475" s="957" t="s">
        <v>6872</v>
      </c>
      <c r="E2475" s="956">
        <v>15417</v>
      </c>
      <c r="F2475" s="955"/>
      <c r="L2475" s="954"/>
      <c r="M2475" s="952"/>
      <c r="N2475" s="952"/>
    </row>
    <row r="2476" spans="1:14">
      <c r="A2476" s="958" t="s">
        <v>366</v>
      </c>
      <c r="B2476" s="958">
        <v>31</v>
      </c>
      <c r="C2476" s="958" t="s">
        <v>6871</v>
      </c>
      <c r="D2476" s="957" t="s">
        <v>6870</v>
      </c>
      <c r="E2476" s="956">
        <v>4982</v>
      </c>
      <c r="F2476" s="955"/>
      <c r="L2476" s="954"/>
      <c r="M2476" s="952"/>
      <c r="N2476" s="952"/>
    </row>
    <row r="2477" spans="1:14">
      <c r="A2477" s="958" t="s">
        <v>366</v>
      </c>
      <c r="B2477" s="958">
        <v>31</v>
      </c>
      <c r="C2477" s="958" t="s">
        <v>6869</v>
      </c>
      <c r="D2477" s="957" t="s">
        <v>6868</v>
      </c>
      <c r="E2477" s="956">
        <v>7729</v>
      </c>
      <c r="F2477" s="955"/>
      <c r="L2477" s="954"/>
      <c r="M2477" s="952"/>
      <c r="N2477" s="952"/>
    </row>
    <row r="2478" spans="1:14">
      <c r="A2478" s="958" t="s">
        <v>366</v>
      </c>
      <c r="B2478" s="958">
        <v>31</v>
      </c>
      <c r="C2478" s="958" t="s">
        <v>6867</v>
      </c>
      <c r="D2478" s="957" t="s">
        <v>6866</v>
      </c>
      <c r="E2478" s="956">
        <v>80129</v>
      </c>
      <c r="F2478" s="955"/>
      <c r="L2478" s="954"/>
      <c r="M2478" s="952"/>
      <c r="N2478" s="952"/>
    </row>
    <row r="2479" spans="1:14">
      <c r="A2479" s="958" t="s">
        <v>366</v>
      </c>
      <c r="B2479" s="958">
        <v>31</v>
      </c>
      <c r="C2479" s="958" t="s">
        <v>6865</v>
      </c>
      <c r="D2479" s="957" t="s">
        <v>6864</v>
      </c>
      <c r="E2479" s="956">
        <v>5410</v>
      </c>
      <c r="F2479" s="955"/>
      <c r="L2479" s="954"/>
      <c r="M2479" s="952"/>
      <c r="N2479" s="952"/>
    </row>
    <row r="2480" spans="1:14">
      <c r="A2480" s="958" t="s">
        <v>366</v>
      </c>
      <c r="B2480" s="958">
        <v>31</v>
      </c>
      <c r="C2480" s="958" t="s">
        <v>6863</v>
      </c>
      <c r="D2480" s="957" t="s">
        <v>6862</v>
      </c>
      <c r="E2480" s="956">
        <v>8025</v>
      </c>
      <c r="F2480" s="955"/>
      <c r="L2480" s="954"/>
      <c r="M2480" s="952"/>
      <c r="N2480" s="952"/>
    </row>
    <row r="2481" spans="1:14">
      <c r="A2481" s="958" t="s">
        <v>366</v>
      </c>
      <c r="B2481" s="958">
        <v>31</v>
      </c>
      <c r="C2481" s="958" t="s">
        <v>6861</v>
      </c>
      <c r="D2481" s="957" t="s">
        <v>6860</v>
      </c>
      <c r="E2481" s="956">
        <v>7114</v>
      </c>
      <c r="F2481" s="955"/>
      <c r="L2481" s="954"/>
      <c r="M2481" s="952"/>
      <c r="N2481" s="952"/>
    </row>
    <row r="2482" spans="1:14">
      <c r="A2482" s="958" t="s">
        <v>366</v>
      </c>
      <c r="B2482" s="958">
        <v>31</v>
      </c>
      <c r="C2482" s="958" t="s">
        <v>6859</v>
      </c>
      <c r="D2482" s="957" t="s">
        <v>6858</v>
      </c>
      <c r="E2482" s="956">
        <v>10533</v>
      </c>
      <c r="F2482" s="955"/>
      <c r="L2482" s="954"/>
      <c r="M2482" s="952"/>
      <c r="N2482" s="952"/>
    </row>
    <row r="2483" spans="1:14">
      <c r="A2483" s="958" t="s">
        <v>366</v>
      </c>
      <c r="B2483" s="958">
        <v>31</v>
      </c>
      <c r="C2483" s="958" t="s">
        <v>6857</v>
      </c>
      <c r="D2483" s="957" t="s">
        <v>6856</v>
      </c>
      <c r="E2483" s="956">
        <v>5013</v>
      </c>
      <c r="F2483" s="955"/>
      <c r="L2483" s="954"/>
      <c r="M2483" s="952"/>
      <c r="N2483" s="952"/>
    </row>
    <row r="2484" spans="1:14">
      <c r="A2484" s="958" t="s">
        <v>366</v>
      </c>
      <c r="B2484" s="958">
        <v>31</v>
      </c>
      <c r="C2484" s="958" t="s">
        <v>6855</v>
      </c>
      <c r="D2484" s="957" t="s">
        <v>6854</v>
      </c>
      <c r="E2484" s="956">
        <v>7243</v>
      </c>
      <c r="F2484" s="955"/>
      <c r="L2484" s="954"/>
      <c r="M2484" s="952"/>
      <c r="N2484" s="952"/>
    </row>
    <row r="2485" spans="1:14">
      <c r="A2485" s="958" t="s">
        <v>366</v>
      </c>
      <c r="B2485" s="958">
        <v>31</v>
      </c>
      <c r="C2485" s="958" t="s">
        <v>6853</v>
      </c>
      <c r="D2485" s="957" t="s">
        <v>6852</v>
      </c>
      <c r="E2485" s="956">
        <v>2901</v>
      </c>
      <c r="F2485" s="955"/>
      <c r="L2485" s="954"/>
      <c r="M2485" s="952"/>
      <c r="N2485" s="952"/>
    </row>
    <row r="2486" spans="1:14">
      <c r="A2486" s="958" t="s">
        <v>366</v>
      </c>
      <c r="B2486" s="958">
        <v>31</v>
      </c>
      <c r="C2486" s="958" t="s">
        <v>6851</v>
      </c>
      <c r="D2486" s="957" t="s">
        <v>6850</v>
      </c>
      <c r="E2486" s="956">
        <v>47723</v>
      </c>
      <c r="F2486" s="955"/>
      <c r="L2486" s="954"/>
      <c r="M2486" s="952"/>
      <c r="N2486" s="952"/>
    </row>
    <row r="2487" spans="1:14">
      <c r="A2487" s="958" t="s">
        <v>366</v>
      </c>
      <c r="B2487" s="958">
        <v>31</v>
      </c>
      <c r="C2487" s="958" t="s">
        <v>6849</v>
      </c>
      <c r="D2487" s="957" t="s">
        <v>6848</v>
      </c>
      <c r="E2487" s="956">
        <v>3802</v>
      </c>
      <c r="F2487" s="955"/>
      <c r="L2487" s="954"/>
      <c r="M2487" s="952"/>
      <c r="N2487" s="952"/>
    </row>
    <row r="2488" spans="1:14">
      <c r="A2488" s="958" t="s">
        <v>366</v>
      </c>
      <c r="B2488" s="958">
        <v>31</v>
      </c>
      <c r="C2488" s="958" t="s">
        <v>6847</v>
      </c>
      <c r="D2488" s="957" t="s">
        <v>6846</v>
      </c>
      <c r="E2488" s="956">
        <v>7729</v>
      </c>
      <c r="F2488" s="955"/>
      <c r="L2488" s="954"/>
      <c r="M2488" s="952"/>
      <c r="N2488" s="952"/>
    </row>
    <row r="2489" spans="1:14">
      <c r="A2489" s="958" t="s">
        <v>366</v>
      </c>
      <c r="B2489" s="958">
        <v>31</v>
      </c>
      <c r="C2489" s="958" t="s">
        <v>6845</v>
      </c>
      <c r="D2489" s="957" t="s">
        <v>6844</v>
      </c>
      <c r="E2489" s="956">
        <v>3417</v>
      </c>
      <c r="F2489" s="955"/>
      <c r="L2489" s="954"/>
      <c r="M2489" s="952"/>
      <c r="N2489" s="952"/>
    </row>
    <row r="2490" spans="1:14">
      <c r="A2490" s="958" t="s">
        <v>366</v>
      </c>
      <c r="B2490" s="958">
        <v>31</v>
      </c>
      <c r="C2490" s="958" t="s">
        <v>6843</v>
      </c>
      <c r="D2490" s="957" t="s">
        <v>6842</v>
      </c>
      <c r="E2490" s="956">
        <v>19931</v>
      </c>
      <c r="F2490" s="955"/>
      <c r="L2490" s="954"/>
      <c r="M2490" s="952"/>
      <c r="N2490" s="952"/>
    </row>
    <row r="2491" spans="1:14">
      <c r="A2491" s="958" t="s">
        <v>366</v>
      </c>
      <c r="B2491" s="958">
        <v>31</v>
      </c>
      <c r="C2491" s="958" t="s">
        <v>6841</v>
      </c>
      <c r="D2491" s="957" t="s">
        <v>6840</v>
      </c>
      <c r="E2491" s="956">
        <v>4979</v>
      </c>
      <c r="F2491" s="955"/>
      <c r="L2491" s="954"/>
      <c r="M2491" s="952"/>
      <c r="N2491" s="952"/>
    </row>
    <row r="2492" spans="1:14">
      <c r="A2492" s="958" t="s">
        <v>366</v>
      </c>
      <c r="B2492" s="958">
        <v>31</v>
      </c>
      <c r="C2492" s="958" t="s">
        <v>6839</v>
      </c>
      <c r="D2492" s="957" t="s">
        <v>6838</v>
      </c>
      <c r="E2492" s="956">
        <v>7571</v>
      </c>
      <c r="F2492" s="955"/>
      <c r="L2492" s="954"/>
      <c r="M2492" s="952"/>
      <c r="N2492" s="952"/>
    </row>
    <row r="2493" spans="1:14">
      <c r="A2493" s="958" t="s">
        <v>366</v>
      </c>
      <c r="B2493" s="958">
        <v>31</v>
      </c>
      <c r="C2493" s="958" t="s">
        <v>6837</v>
      </c>
      <c r="D2493" s="957" t="s">
        <v>6836</v>
      </c>
      <c r="E2493" s="956">
        <v>238230</v>
      </c>
      <c r="F2493" s="955"/>
      <c r="L2493" s="954"/>
      <c r="M2493" s="952"/>
      <c r="N2493" s="952"/>
    </row>
    <row r="2494" spans="1:14">
      <c r="A2494" s="958" t="s">
        <v>366</v>
      </c>
      <c r="B2494" s="958">
        <v>31</v>
      </c>
      <c r="C2494" s="958" t="s">
        <v>6835</v>
      </c>
      <c r="D2494" s="957" t="s">
        <v>6834</v>
      </c>
      <c r="E2494" s="956">
        <v>6786</v>
      </c>
      <c r="F2494" s="955"/>
      <c r="L2494" s="954"/>
      <c r="M2494" s="952"/>
      <c r="N2494" s="952"/>
    </row>
    <row r="2495" spans="1:14">
      <c r="A2495" s="958" t="s">
        <v>366</v>
      </c>
      <c r="B2495" s="958">
        <v>31</v>
      </c>
      <c r="C2495" s="958" t="s">
        <v>6833</v>
      </c>
      <c r="D2495" s="957" t="s">
        <v>6832</v>
      </c>
      <c r="E2495" s="956">
        <v>6011</v>
      </c>
      <c r="F2495" s="955"/>
      <c r="L2495" s="954"/>
      <c r="M2495" s="952"/>
      <c r="N2495" s="952"/>
    </row>
    <row r="2496" spans="1:14">
      <c r="A2496" s="958" t="s">
        <v>366</v>
      </c>
      <c r="B2496" s="958">
        <v>31</v>
      </c>
      <c r="C2496" s="958" t="s">
        <v>6831</v>
      </c>
      <c r="D2496" s="957" t="s">
        <v>6830</v>
      </c>
      <c r="E2496" s="956">
        <v>11019</v>
      </c>
      <c r="F2496" s="955"/>
      <c r="L2496" s="954"/>
      <c r="M2496" s="952"/>
      <c r="N2496" s="952"/>
    </row>
    <row r="2497" spans="1:14">
      <c r="A2497" s="958" t="s">
        <v>366</v>
      </c>
      <c r="B2497" s="958">
        <v>31</v>
      </c>
      <c r="C2497" s="958" t="s">
        <v>6829</v>
      </c>
      <c r="D2497" s="957" t="s">
        <v>6828</v>
      </c>
      <c r="E2497" s="956">
        <v>3677</v>
      </c>
      <c r="F2497" s="955"/>
      <c r="L2497" s="954"/>
      <c r="M2497" s="952"/>
      <c r="N2497" s="952"/>
    </row>
    <row r="2498" spans="1:14">
      <c r="A2498" s="958" t="s">
        <v>366</v>
      </c>
      <c r="B2498" s="958">
        <v>31</v>
      </c>
      <c r="C2498" s="958" t="s">
        <v>6827</v>
      </c>
      <c r="D2498" s="957" t="s">
        <v>6826</v>
      </c>
      <c r="E2498" s="956">
        <v>5072</v>
      </c>
      <c r="F2498" s="955"/>
      <c r="L2498" s="954"/>
      <c r="M2498" s="952"/>
      <c r="N2498" s="952"/>
    </row>
    <row r="2499" spans="1:14">
      <c r="A2499" s="958" t="s">
        <v>366</v>
      </c>
      <c r="B2499" s="958">
        <v>31</v>
      </c>
      <c r="C2499" s="958" t="s">
        <v>6825</v>
      </c>
      <c r="D2499" s="957" t="s">
        <v>6824</v>
      </c>
      <c r="E2499" s="956">
        <v>4195</v>
      </c>
      <c r="F2499" s="955"/>
      <c r="L2499" s="954"/>
      <c r="M2499" s="952"/>
      <c r="N2499" s="952"/>
    </row>
    <row r="2500" spans="1:14">
      <c r="A2500" s="958" t="s">
        <v>366</v>
      </c>
      <c r="B2500" s="958">
        <v>31</v>
      </c>
      <c r="C2500" s="958" t="s">
        <v>6823</v>
      </c>
      <c r="D2500" s="957" t="s">
        <v>6822</v>
      </c>
      <c r="E2500" s="956">
        <v>5237</v>
      </c>
      <c r="F2500" s="955"/>
      <c r="L2500" s="954"/>
      <c r="M2500" s="952"/>
      <c r="N2500" s="952"/>
    </row>
    <row r="2501" spans="1:14">
      <c r="A2501" s="958" t="s">
        <v>366</v>
      </c>
      <c r="B2501" s="958">
        <v>31</v>
      </c>
      <c r="C2501" s="958" t="s">
        <v>6821</v>
      </c>
      <c r="D2501" s="957" t="s">
        <v>6820</v>
      </c>
      <c r="E2501" s="956">
        <v>3001</v>
      </c>
      <c r="F2501" s="955"/>
      <c r="L2501" s="954"/>
      <c r="M2501" s="952"/>
      <c r="N2501" s="952"/>
    </row>
    <row r="2502" spans="1:14">
      <c r="A2502" s="958" t="s">
        <v>366</v>
      </c>
      <c r="B2502" s="958">
        <v>31</v>
      </c>
      <c r="C2502" s="958" t="s">
        <v>6819</v>
      </c>
      <c r="D2502" s="957" t="s">
        <v>6818</v>
      </c>
      <c r="E2502" s="956">
        <v>6572</v>
      </c>
      <c r="F2502" s="955"/>
      <c r="L2502" s="954"/>
      <c r="M2502" s="952"/>
      <c r="N2502" s="952"/>
    </row>
    <row r="2503" spans="1:14">
      <c r="A2503" s="958" t="s">
        <v>366</v>
      </c>
      <c r="B2503" s="958">
        <v>31</v>
      </c>
      <c r="C2503" s="958" t="s">
        <v>6817</v>
      </c>
      <c r="D2503" s="957" t="s">
        <v>6816</v>
      </c>
      <c r="E2503" s="956">
        <v>10153</v>
      </c>
      <c r="F2503" s="955"/>
      <c r="L2503" s="954"/>
      <c r="M2503" s="952"/>
      <c r="N2503" s="952"/>
    </row>
    <row r="2504" spans="1:14">
      <c r="A2504" s="958" t="s">
        <v>366</v>
      </c>
      <c r="B2504" s="958">
        <v>31</v>
      </c>
      <c r="C2504" s="958" t="s">
        <v>6815</v>
      </c>
      <c r="D2504" s="957" t="s">
        <v>6814</v>
      </c>
      <c r="E2504" s="956">
        <v>5169</v>
      </c>
      <c r="F2504" s="955"/>
      <c r="L2504" s="954"/>
      <c r="M2504" s="952"/>
      <c r="N2504" s="952"/>
    </row>
    <row r="2505" spans="1:14">
      <c r="A2505" s="958" t="s">
        <v>366</v>
      </c>
      <c r="B2505" s="958">
        <v>31</v>
      </c>
      <c r="C2505" s="958" t="s">
        <v>6813</v>
      </c>
      <c r="D2505" s="957" t="s">
        <v>6812</v>
      </c>
      <c r="E2505" s="956">
        <v>13483</v>
      </c>
      <c r="F2505" s="955"/>
      <c r="L2505" s="954"/>
      <c r="M2505" s="952"/>
      <c r="N2505" s="952"/>
    </row>
    <row r="2506" spans="1:14">
      <c r="A2506" s="958" t="s">
        <v>366</v>
      </c>
      <c r="B2506" s="958">
        <v>31</v>
      </c>
      <c r="C2506" s="958" t="s">
        <v>6811</v>
      </c>
      <c r="D2506" s="957" t="s">
        <v>6810</v>
      </c>
      <c r="E2506" s="956">
        <v>4259</v>
      </c>
      <c r="F2506" s="955"/>
      <c r="L2506" s="954"/>
      <c r="M2506" s="952"/>
      <c r="N2506" s="952"/>
    </row>
    <row r="2507" spans="1:14">
      <c r="A2507" s="958" t="s">
        <v>366</v>
      </c>
      <c r="B2507" s="958">
        <v>31</v>
      </c>
      <c r="C2507" s="958" t="s">
        <v>6809</v>
      </c>
      <c r="D2507" s="957" t="s">
        <v>6808</v>
      </c>
      <c r="E2507" s="956">
        <v>1527</v>
      </c>
      <c r="F2507" s="955"/>
      <c r="L2507" s="954"/>
      <c r="M2507" s="952"/>
      <c r="N2507" s="952"/>
    </row>
    <row r="2508" spans="1:14">
      <c r="A2508" s="958" t="s">
        <v>366</v>
      </c>
      <c r="B2508" s="958">
        <v>31</v>
      </c>
      <c r="C2508" s="958" t="s">
        <v>6807</v>
      </c>
      <c r="D2508" s="957" t="s">
        <v>6806</v>
      </c>
      <c r="E2508" s="956">
        <v>1908</v>
      </c>
      <c r="F2508" s="955"/>
      <c r="L2508" s="954"/>
      <c r="M2508" s="952"/>
      <c r="N2508" s="952"/>
    </row>
    <row r="2509" spans="1:14">
      <c r="A2509" s="958" t="s">
        <v>366</v>
      </c>
      <c r="B2509" s="958">
        <v>31</v>
      </c>
      <c r="C2509" s="958" t="s">
        <v>6805</v>
      </c>
      <c r="D2509" s="957" t="s">
        <v>6804</v>
      </c>
      <c r="E2509" s="956">
        <v>7841</v>
      </c>
      <c r="F2509" s="955"/>
      <c r="L2509" s="954"/>
      <c r="M2509" s="952"/>
      <c r="N2509" s="952"/>
    </row>
    <row r="2510" spans="1:14">
      <c r="A2510" s="958" t="s">
        <v>366</v>
      </c>
      <c r="B2510" s="958">
        <v>31</v>
      </c>
      <c r="C2510" s="958" t="s">
        <v>6803</v>
      </c>
      <c r="D2510" s="957" t="s">
        <v>6802</v>
      </c>
      <c r="E2510" s="956">
        <v>28076</v>
      </c>
      <c r="F2510" s="955"/>
      <c r="L2510" s="954"/>
      <c r="M2510" s="952"/>
      <c r="N2510" s="952"/>
    </row>
    <row r="2511" spans="1:14">
      <c r="A2511" s="958" t="s">
        <v>366</v>
      </c>
      <c r="B2511" s="958">
        <v>31</v>
      </c>
      <c r="C2511" s="958" t="s">
        <v>6801</v>
      </c>
      <c r="D2511" s="957" t="s">
        <v>6800</v>
      </c>
      <c r="E2511" s="956">
        <v>11134</v>
      </c>
      <c r="F2511" s="955"/>
      <c r="L2511" s="954"/>
      <c r="M2511" s="952"/>
      <c r="N2511" s="952"/>
    </row>
    <row r="2512" spans="1:14">
      <c r="A2512" s="958" t="s">
        <v>366</v>
      </c>
      <c r="B2512" s="958">
        <v>31</v>
      </c>
      <c r="C2512" s="958" t="s">
        <v>6799</v>
      </c>
      <c r="D2512" s="957" t="s">
        <v>6798</v>
      </c>
      <c r="E2512" s="956">
        <v>7242</v>
      </c>
      <c r="F2512" s="955"/>
      <c r="L2512" s="954"/>
      <c r="M2512" s="952"/>
      <c r="N2512" s="952"/>
    </row>
    <row r="2513" spans="1:14">
      <c r="A2513" s="958" t="s">
        <v>366</v>
      </c>
      <c r="B2513" s="958">
        <v>31</v>
      </c>
      <c r="C2513" s="958" t="s">
        <v>6797</v>
      </c>
      <c r="D2513" s="957" t="s">
        <v>6796</v>
      </c>
      <c r="E2513" s="956">
        <v>5370</v>
      </c>
      <c r="F2513" s="955"/>
      <c r="L2513" s="954"/>
      <c r="M2513" s="952"/>
      <c r="N2513" s="952"/>
    </row>
    <row r="2514" spans="1:14">
      <c r="A2514" s="958" t="s">
        <v>366</v>
      </c>
      <c r="B2514" s="958">
        <v>31</v>
      </c>
      <c r="C2514" s="958" t="s">
        <v>6795</v>
      </c>
      <c r="D2514" s="957" t="s">
        <v>6794</v>
      </c>
      <c r="E2514" s="956">
        <v>15298</v>
      </c>
      <c r="F2514" s="955"/>
      <c r="L2514" s="954"/>
      <c r="M2514" s="952"/>
      <c r="N2514" s="952"/>
    </row>
    <row r="2515" spans="1:14">
      <c r="A2515" s="958" t="s">
        <v>366</v>
      </c>
      <c r="B2515" s="958">
        <v>31</v>
      </c>
      <c r="C2515" s="958" t="s">
        <v>6793</v>
      </c>
      <c r="D2515" s="957" t="s">
        <v>6792</v>
      </c>
      <c r="E2515" s="956">
        <v>18895</v>
      </c>
      <c r="F2515" s="955"/>
      <c r="L2515" s="954"/>
      <c r="M2515" s="952"/>
      <c r="N2515" s="952"/>
    </row>
    <row r="2516" spans="1:14">
      <c r="A2516" s="958" t="s">
        <v>366</v>
      </c>
      <c r="B2516" s="958">
        <v>31</v>
      </c>
      <c r="C2516" s="958" t="s">
        <v>6791</v>
      </c>
      <c r="D2516" s="957" t="s">
        <v>6790</v>
      </c>
      <c r="E2516" s="956">
        <v>70552</v>
      </c>
      <c r="F2516" s="955"/>
      <c r="L2516" s="954"/>
      <c r="M2516" s="952"/>
      <c r="N2516" s="952"/>
    </row>
    <row r="2517" spans="1:14">
      <c r="A2517" s="958" t="s">
        <v>366</v>
      </c>
      <c r="B2517" s="958">
        <v>31</v>
      </c>
      <c r="C2517" s="958" t="s">
        <v>6789</v>
      </c>
      <c r="D2517" s="957" t="s">
        <v>6788</v>
      </c>
      <c r="E2517" s="956">
        <v>24951</v>
      </c>
      <c r="F2517" s="955"/>
      <c r="L2517" s="954"/>
      <c r="M2517" s="952"/>
      <c r="N2517" s="952"/>
    </row>
    <row r="2518" spans="1:14">
      <c r="A2518" s="958" t="s">
        <v>366</v>
      </c>
      <c r="B2518" s="958">
        <v>31</v>
      </c>
      <c r="C2518" s="958" t="s">
        <v>6787</v>
      </c>
      <c r="D2518" s="957" t="s">
        <v>6786</v>
      </c>
      <c r="E2518" s="956">
        <v>31617</v>
      </c>
      <c r="F2518" s="955"/>
      <c r="L2518" s="954"/>
      <c r="M2518" s="952"/>
      <c r="N2518" s="952"/>
    </row>
    <row r="2519" spans="1:14">
      <c r="A2519" s="958" t="s">
        <v>366</v>
      </c>
      <c r="B2519" s="958">
        <v>31</v>
      </c>
      <c r="C2519" s="958" t="s">
        <v>6785</v>
      </c>
      <c r="D2519" s="957" t="s">
        <v>6784</v>
      </c>
      <c r="E2519" s="956">
        <v>4692</v>
      </c>
      <c r="F2519" s="955"/>
      <c r="L2519" s="954"/>
      <c r="M2519" s="952"/>
      <c r="N2519" s="952"/>
    </row>
    <row r="2520" spans="1:14">
      <c r="A2520" s="958" t="s">
        <v>366</v>
      </c>
      <c r="B2520" s="958">
        <v>31</v>
      </c>
      <c r="C2520" s="958" t="s">
        <v>6783</v>
      </c>
      <c r="D2520" s="957" t="s">
        <v>6782</v>
      </c>
      <c r="E2520" s="956">
        <v>11354</v>
      </c>
      <c r="F2520" s="955"/>
      <c r="L2520" s="954"/>
      <c r="M2520" s="952"/>
      <c r="N2520" s="952"/>
    </row>
    <row r="2521" spans="1:14">
      <c r="A2521" s="958" t="s">
        <v>366</v>
      </c>
      <c r="B2521" s="958">
        <v>31</v>
      </c>
      <c r="C2521" s="958" t="s">
        <v>6781</v>
      </c>
      <c r="D2521" s="957" t="s">
        <v>6780</v>
      </c>
      <c r="E2521" s="956">
        <v>2343</v>
      </c>
      <c r="F2521" s="955"/>
      <c r="L2521" s="954"/>
      <c r="M2521" s="952"/>
      <c r="N2521" s="952"/>
    </row>
    <row r="2522" spans="1:14">
      <c r="A2522" s="958" t="s">
        <v>366</v>
      </c>
      <c r="B2522" s="958">
        <v>31</v>
      </c>
      <c r="C2522" s="958" t="s">
        <v>6779</v>
      </c>
      <c r="D2522" s="957" t="s">
        <v>6778</v>
      </c>
      <c r="E2522" s="956">
        <v>3500</v>
      </c>
      <c r="F2522" s="955"/>
      <c r="L2522" s="954"/>
      <c r="M2522" s="952"/>
      <c r="N2522" s="952"/>
    </row>
    <row r="2523" spans="1:14">
      <c r="A2523" s="958" t="s">
        <v>366</v>
      </c>
      <c r="B2523" s="958">
        <v>31</v>
      </c>
      <c r="C2523" s="958" t="s">
        <v>6777</v>
      </c>
      <c r="D2523" s="957" t="s">
        <v>6776</v>
      </c>
      <c r="E2523" s="956">
        <v>7978</v>
      </c>
      <c r="F2523" s="955"/>
      <c r="L2523" s="954"/>
      <c r="M2523" s="952"/>
      <c r="N2523" s="952"/>
    </row>
    <row r="2524" spans="1:14">
      <c r="A2524" s="958" t="s">
        <v>366</v>
      </c>
      <c r="B2524" s="958">
        <v>31</v>
      </c>
      <c r="C2524" s="958" t="s">
        <v>6775</v>
      </c>
      <c r="D2524" s="957" t="s">
        <v>6774</v>
      </c>
      <c r="E2524" s="956">
        <v>11275</v>
      </c>
      <c r="F2524" s="955"/>
      <c r="L2524" s="954"/>
      <c r="M2524" s="952"/>
      <c r="N2524" s="952"/>
    </row>
    <row r="2525" spans="1:14">
      <c r="A2525" s="958" t="s">
        <v>366</v>
      </c>
      <c r="B2525" s="958">
        <v>31</v>
      </c>
      <c r="C2525" s="958" t="s">
        <v>6773</v>
      </c>
      <c r="D2525" s="957" t="s">
        <v>6772</v>
      </c>
      <c r="E2525" s="956">
        <v>3913</v>
      </c>
      <c r="F2525" s="955"/>
      <c r="L2525" s="954"/>
      <c r="M2525" s="952"/>
      <c r="N2525" s="952"/>
    </row>
    <row r="2526" spans="1:14">
      <c r="A2526" s="958" t="s">
        <v>366</v>
      </c>
      <c r="B2526" s="958">
        <v>31</v>
      </c>
      <c r="C2526" s="958" t="s">
        <v>6771</v>
      </c>
      <c r="D2526" s="957" t="s">
        <v>6770</v>
      </c>
      <c r="E2526" s="956">
        <v>36225</v>
      </c>
      <c r="F2526" s="955"/>
      <c r="L2526" s="954"/>
      <c r="M2526" s="952"/>
      <c r="N2526" s="952"/>
    </row>
    <row r="2527" spans="1:14">
      <c r="A2527" s="958" t="s">
        <v>366</v>
      </c>
      <c r="B2527" s="958">
        <v>31</v>
      </c>
      <c r="C2527" s="958" t="s">
        <v>6769</v>
      </c>
      <c r="D2527" s="957" t="s">
        <v>6768</v>
      </c>
      <c r="E2527" s="956">
        <v>2377</v>
      </c>
      <c r="F2527" s="955"/>
      <c r="L2527" s="954"/>
      <c r="M2527" s="952"/>
      <c r="N2527" s="952"/>
    </row>
    <row r="2528" spans="1:14">
      <c r="A2528" s="958" t="s">
        <v>366</v>
      </c>
      <c r="B2528" s="958">
        <v>31</v>
      </c>
      <c r="C2528" s="958" t="s">
        <v>6767</v>
      </c>
      <c r="D2528" s="957" t="s">
        <v>6766</v>
      </c>
      <c r="E2528" s="956">
        <v>3241</v>
      </c>
      <c r="F2528" s="955"/>
      <c r="L2528" s="954"/>
      <c r="M2528" s="952"/>
      <c r="N2528" s="952"/>
    </row>
    <row r="2529" spans="1:14">
      <c r="A2529" s="958" t="s">
        <v>366</v>
      </c>
      <c r="B2529" s="958">
        <v>31</v>
      </c>
      <c r="C2529" s="958" t="s">
        <v>6765</v>
      </c>
      <c r="D2529" s="957" t="s">
        <v>6764</v>
      </c>
      <c r="E2529" s="956">
        <v>4753</v>
      </c>
      <c r="F2529" s="955"/>
      <c r="L2529" s="954"/>
      <c r="M2529" s="952"/>
      <c r="N2529" s="952"/>
    </row>
    <row r="2530" spans="1:14">
      <c r="A2530" s="958" t="s">
        <v>366</v>
      </c>
      <c r="B2530" s="958">
        <v>31</v>
      </c>
      <c r="C2530" s="958" t="s">
        <v>6763</v>
      </c>
      <c r="D2530" s="957" t="s">
        <v>6762</v>
      </c>
      <c r="E2530" s="956">
        <v>3167</v>
      </c>
      <c r="F2530" s="955"/>
      <c r="L2530" s="954"/>
      <c r="M2530" s="952"/>
      <c r="N2530" s="952"/>
    </row>
    <row r="2531" spans="1:14">
      <c r="A2531" s="958" t="s">
        <v>366</v>
      </c>
      <c r="B2531" s="958">
        <v>31</v>
      </c>
      <c r="C2531" s="958" t="s">
        <v>6761</v>
      </c>
      <c r="D2531" s="957" t="s">
        <v>6760</v>
      </c>
      <c r="E2531" s="956">
        <v>7457</v>
      </c>
      <c r="F2531" s="955"/>
      <c r="L2531" s="954"/>
      <c r="M2531" s="952"/>
      <c r="N2531" s="952"/>
    </row>
    <row r="2532" spans="1:14">
      <c r="A2532" s="958" t="s">
        <v>366</v>
      </c>
      <c r="B2532" s="958">
        <v>31</v>
      </c>
      <c r="C2532" s="958" t="s">
        <v>6759</v>
      </c>
      <c r="D2532" s="957" t="s">
        <v>6758</v>
      </c>
      <c r="E2532" s="956">
        <v>15336</v>
      </c>
      <c r="F2532" s="955"/>
      <c r="L2532" s="954"/>
      <c r="M2532" s="952"/>
      <c r="N2532" s="952"/>
    </row>
    <row r="2533" spans="1:14">
      <c r="A2533" s="958" t="s">
        <v>366</v>
      </c>
      <c r="B2533" s="958">
        <v>31</v>
      </c>
      <c r="C2533" s="958" t="s">
        <v>6757</v>
      </c>
      <c r="D2533" s="957" t="s">
        <v>6756</v>
      </c>
      <c r="E2533" s="956">
        <v>3431</v>
      </c>
      <c r="F2533" s="955"/>
      <c r="L2533" s="954"/>
      <c r="M2533" s="952"/>
      <c r="N2533" s="952"/>
    </row>
    <row r="2534" spans="1:14">
      <c r="A2534" s="958" t="s">
        <v>366</v>
      </c>
      <c r="B2534" s="958">
        <v>31</v>
      </c>
      <c r="C2534" s="958" t="s">
        <v>6755</v>
      </c>
      <c r="D2534" s="957" t="s">
        <v>6754</v>
      </c>
      <c r="E2534" s="956">
        <v>9820</v>
      </c>
      <c r="F2534" s="955"/>
      <c r="L2534" s="954"/>
      <c r="M2534" s="952"/>
      <c r="N2534" s="952"/>
    </row>
    <row r="2535" spans="1:14">
      <c r="A2535" s="958" t="s">
        <v>366</v>
      </c>
      <c r="B2535" s="958">
        <v>31</v>
      </c>
      <c r="C2535" s="958" t="s">
        <v>6753</v>
      </c>
      <c r="D2535" s="957" t="s">
        <v>6752</v>
      </c>
      <c r="E2535" s="956">
        <v>11006</v>
      </c>
      <c r="F2535" s="955"/>
      <c r="L2535" s="954"/>
      <c r="M2535" s="952"/>
      <c r="N2535" s="952"/>
    </row>
    <row r="2536" spans="1:14">
      <c r="A2536" s="958" t="s">
        <v>366</v>
      </c>
      <c r="B2536" s="958">
        <v>31</v>
      </c>
      <c r="C2536" s="958" t="s">
        <v>6751</v>
      </c>
      <c r="D2536" s="957" t="s">
        <v>6750</v>
      </c>
      <c r="E2536" s="956">
        <v>7461</v>
      </c>
      <c r="F2536" s="955"/>
      <c r="L2536" s="954"/>
      <c r="M2536" s="952"/>
      <c r="N2536" s="952"/>
    </row>
    <row r="2537" spans="1:14">
      <c r="A2537" s="958" t="s">
        <v>366</v>
      </c>
      <c r="B2537" s="958">
        <v>31</v>
      </c>
      <c r="C2537" s="958" t="s">
        <v>6749</v>
      </c>
      <c r="D2537" s="957" t="s">
        <v>6748</v>
      </c>
      <c r="E2537" s="956">
        <v>67683</v>
      </c>
      <c r="F2537" s="955"/>
      <c r="L2537" s="954"/>
      <c r="M2537" s="952"/>
      <c r="N2537" s="952"/>
    </row>
    <row r="2538" spans="1:14">
      <c r="A2538" s="958" t="s">
        <v>366</v>
      </c>
      <c r="B2538" s="958">
        <v>31</v>
      </c>
      <c r="C2538" s="958" t="s">
        <v>6747</v>
      </c>
      <c r="D2538" s="957" t="s">
        <v>1157</v>
      </c>
      <c r="E2538" s="956">
        <v>9562</v>
      </c>
      <c r="F2538" s="955"/>
      <c r="L2538" s="954"/>
      <c r="M2538" s="952"/>
      <c r="N2538" s="952"/>
    </row>
    <row r="2539" spans="1:14">
      <c r="A2539" s="958" t="s">
        <v>366</v>
      </c>
      <c r="B2539" s="958">
        <v>31</v>
      </c>
      <c r="C2539" s="958" t="s">
        <v>6746</v>
      </c>
      <c r="D2539" s="957" t="s">
        <v>6745</v>
      </c>
      <c r="E2539" s="956">
        <v>4412</v>
      </c>
      <c r="F2539" s="955"/>
      <c r="L2539" s="954"/>
      <c r="M2539" s="952"/>
      <c r="N2539" s="952"/>
    </row>
    <row r="2540" spans="1:14">
      <c r="A2540" s="958" t="s">
        <v>366</v>
      </c>
      <c r="B2540" s="958">
        <v>31</v>
      </c>
      <c r="C2540" s="958" t="s">
        <v>6744</v>
      </c>
      <c r="D2540" s="957" t="s">
        <v>6743</v>
      </c>
      <c r="E2540" s="956">
        <v>2947</v>
      </c>
      <c r="F2540" s="955"/>
      <c r="L2540" s="954"/>
      <c r="M2540" s="952"/>
      <c r="N2540" s="952"/>
    </row>
    <row r="2541" spans="1:14">
      <c r="A2541" s="958" t="s">
        <v>366</v>
      </c>
      <c r="B2541" s="958">
        <v>31</v>
      </c>
      <c r="C2541" s="958" t="s">
        <v>6742</v>
      </c>
      <c r="D2541" s="957" t="s">
        <v>6741</v>
      </c>
      <c r="E2541" s="956">
        <v>10332</v>
      </c>
      <c r="F2541" s="955"/>
      <c r="L2541" s="954"/>
      <c r="M2541" s="952"/>
      <c r="N2541" s="952"/>
    </row>
    <row r="2542" spans="1:14">
      <c r="A2542" s="958" t="s">
        <v>366</v>
      </c>
      <c r="B2542" s="958">
        <v>31</v>
      </c>
      <c r="C2542" s="958" t="s">
        <v>6740</v>
      </c>
      <c r="D2542" s="957" t="s">
        <v>6739</v>
      </c>
      <c r="E2542" s="956">
        <v>5215</v>
      </c>
      <c r="F2542" s="955"/>
      <c r="L2542" s="954"/>
      <c r="M2542" s="952"/>
      <c r="N2542" s="952"/>
    </row>
    <row r="2543" spans="1:14">
      <c r="A2543" s="958" t="s">
        <v>366</v>
      </c>
      <c r="B2543" s="958">
        <v>31</v>
      </c>
      <c r="C2543" s="958" t="s">
        <v>6738</v>
      </c>
      <c r="D2543" s="957" t="s">
        <v>6737</v>
      </c>
      <c r="E2543" s="956">
        <v>26277</v>
      </c>
      <c r="F2543" s="955"/>
      <c r="L2543" s="954"/>
      <c r="M2543" s="952"/>
      <c r="N2543" s="952"/>
    </row>
    <row r="2544" spans="1:14">
      <c r="A2544" s="958" t="s">
        <v>366</v>
      </c>
      <c r="B2544" s="958">
        <v>31</v>
      </c>
      <c r="C2544" s="958" t="s">
        <v>6736</v>
      </c>
      <c r="D2544" s="957" t="s">
        <v>6735</v>
      </c>
      <c r="E2544" s="956">
        <v>5391</v>
      </c>
      <c r="F2544" s="955"/>
      <c r="L2544" s="954"/>
      <c r="M2544" s="952"/>
      <c r="N2544" s="952"/>
    </row>
    <row r="2545" spans="1:14">
      <c r="A2545" s="958" t="s">
        <v>366</v>
      </c>
      <c r="B2545" s="958">
        <v>31</v>
      </c>
      <c r="C2545" s="958" t="s">
        <v>6734</v>
      </c>
      <c r="D2545" s="957" t="s">
        <v>6733</v>
      </c>
      <c r="E2545" s="956">
        <v>5880</v>
      </c>
      <c r="F2545" s="955"/>
      <c r="L2545" s="954"/>
      <c r="M2545" s="952"/>
      <c r="N2545" s="952"/>
    </row>
    <row r="2546" spans="1:14">
      <c r="A2546" s="958" t="s">
        <v>366</v>
      </c>
      <c r="B2546" s="958">
        <v>31</v>
      </c>
      <c r="C2546" s="958" t="s">
        <v>6732</v>
      </c>
      <c r="D2546" s="957" t="s">
        <v>6731</v>
      </c>
      <c r="E2546" s="956">
        <v>9611</v>
      </c>
      <c r="F2546" s="955"/>
      <c r="L2546" s="954"/>
      <c r="M2546" s="952"/>
      <c r="N2546" s="952"/>
    </row>
    <row r="2547" spans="1:14">
      <c r="A2547" s="958" t="s">
        <v>366</v>
      </c>
      <c r="B2547" s="958">
        <v>31</v>
      </c>
      <c r="C2547" s="958" t="s">
        <v>6730</v>
      </c>
      <c r="D2547" s="957" t="s">
        <v>6729</v>
      </c>
      <c r="E2547" s="956">
        <v>3478</v>
      </c>
      <c r="F2547" s="955"/>
      <c r="L2547" s="954"/>
      <c r="M2547" s="952"/>
      <c r="N2547" s="952"/>
    </row>
    <row r="2548" spans="1:14">
      <c r="A2548" s="958" t="s">
        <v>366</v>
      </c>
      <c r="B2548" s="958">
        <v>31</v>
      </c>
      <c r="C2548" s="958" t="s">
        <v>6728</v>
      </c>
      <c r="D2548" s="957" t="s">
        <v>6727</v>
      </c>
      <c r="E2548" s="956">
        <v>18103</v>
      </c>
      <c r="F2548" s="955"/>
      <c r="L2548" s="954"/>
      <c r="M2548" s="952"/>
      <c r="N2548" s="952"/>
    </row>
    <row r="2549" spans="1:14">
      <c r="A2549" s="958" t="s">
        <v>366</v>
      </c>
      <c r="B2549" s="958">
        <v>31</v>
      </c>
      <c r="C2549" s="958" t="s">
        <v>6726</v>
      </c>
      <c r="D2549" s="957" t="s">
        <v>6725</v>
      </c>
      <c r="E2549" s="956">
        <v>4581</v>
      </c>
      <c r="F2549" s="955"/>
      <c r="L2549" s="954"/>
      <c r="M2549" s="952"/>
      <c r="N2549" s="952"/>
    </row>
    <row r="2550" spans="1:14">
      <c r="A2550" s="958" t="s">
        <v>366</v>
      </c>
      <c r="B2550" s="958">
        <v>31</v>
      </c>
      <c r="C2550" s="958" t="s">
        <v>6724</v>
      </c>
      <c r="D2550" s="957" t="s">
        <v>6723</v>
      </c>
      <c r="E2550" s="956">
        <v>5369</v>
      </c>
      <c r="F2550" s="955"/>
      <c r="L2550" s="954"/>
      <c r="M2550" s="952"/>
      <c r="N2550" s="952"/>
    </row>
    <row r="2551" spans="1:14">
      <c r="A2551" s="958" t="s">
        <v>366</v>
      </c>
      <c r="B2551" s="958">
        <v>31</v>
      </c>
      <c r="C2551" s="958" t="s">
        <v>6722</v>
      </c>
      <c r="D2551" s="957" t="s">
        <v>6721</v>
      </c>
      <c r="E2551" s="956">
        <v>59496</v>
      </c>
      <c r="F2551" s="955"/>
      <c r="L2551" s="954"/>
      <c r="M2551" s="952"/>
      <c r="N2551" s="952"/>
    </row>
    <row r="2552" spans="1:14">
      <c r="A2552" s="958" t="s">
        <v>366</v>
      </c>
      <c r="B2552" s="958">
        <v>31</v>
      </c>
      <c r="C2552" s="958" t="s">
        <v>6720</v>
      </c>
      <c r="D2552" s="957" t="s">
        <v>6719</v>
      </c>
      <c r="E2552" s="956">
        <v>4349</v>
      </c>
      <c r="F2552" s="955"/>
      <c r="L2552" s="954"/>
      <c r="M2552" s="952"/>
      <c r="N2552" s="952"/>
    </row>
    <row r="2553" spans="1:14">
      <c r="A2553" s="958" t="s">
        <v>366</v>
      </c>
      <c r="B2553" s="958">
        <v>31</v>
      </c>
      <c r="C2553" s="958" t="s">
        <v>6718</v>
      </c>
      <c r="D2553" s="957" t="s">
        <v>6717</v>
      </c>
      <c r="E2553" s="956">
        <v>6817</v>
      </c>
      <c r="F2553" s="955"/>
      <c r="L2553" s="954"/>
      <c r="M2553" s="952"/>
      <c r="N2553" s="952"/>
    </row>
    <row r="2554" spans="1:14">
      <c r="A2554" s="958" t="s">
        <v>366</v>
      </c>
      <c r="B2554" s="958">
        <v>31</v>
      </c>
      <c r="C2554" s="958" t="s">
        <v>6716</v>
      </c>
      <c r="D2554" s="957" t="s">
        <v>6715</v>
      </c>
      <c r="E2554" s="956">
        <v>5109</v>
      </c>
      <c r="F2554" s="955"/>
      <c r="L2554" s="954"/>
      <c r="M2554" s="952"/>
      <c r="N2554" s="952"/>
    </row>
    <row r="2555" spans="1:14">
      <c r="A2555" s="958" t="s">
        <v>366</v>
      </c>
      <c r="B2555" s="958">
        <v>31</v>
      </c>
      <c r="C2555" s="958" t="s">
        <v>6714</v>
      </c>
      <c r="D2555" s="957" t="s">
        <v>6713</v>
      </c>
      <c r="E2555" s="956">
        <v>3150</v>
      </c>
      <c r="F2555" s="955"/>
      <c r="L2555" s="954"/>
      <c r="M2555" s="952"/>
      <c r="N2555" s="952"/>
    </row>
    <row r="2556" spans="1:14">
      <c r="A2556" s="958" t="s">
        <v>366</v>
      </c>
      <c r="B2556" s="958">
        <v>31</v>
      </c>
      <c r="C2556" s="958" t="s">
        <v>6712</v>
      </c>
      <c r="D2556" s="957" t="s">
        <v>6711</v>
      </c>
      <c r="E2556" s="956">
        <v>3353</v>
      </c>
      <c r="F2556" s="955"/>
      <c r="L2556" s="954"/>
      <c r="M2556" s="952"/>
      <c r="N2556" s="952"/>
    </row>
    <row r="2557" spans="1:14">
      <c r="A2557" s="958" t="s">
        <v>366</v>
      </c>
      <c r="B2557" s="958">
        <v>31</v>
      </c>
      <c r="C2557" s="958" t="s">
        <v>6710</v>
      </c>
      <c r="D2557" s="957" t="s">
        <v>6709</v>
      </c>
      <c r="E2557" s="956">
        <v>3966</v>
      </c>
      <c r="F2557" s="955"/>
      <c r="L2557" s="954"/>
      <c r="M2557" s="952"/>
      <c r="N2557" s="952"/>
    </row>
    <row r="2558" spans="1:14">
      <c r="A2558" s="958" t="s">
        <v>366</v>
      </c>
      <c r="B2558" s="958">
        <v>31</v>
      </c>
      <c r="C2558" s="958" t="s">
        <v>6708</v>
      </c>
      <c r="D2558" s="957" t="s">
        <v>6707</v>
      </c>
      <c r="E2558" s="956">
        <v>4350</v>
      </c>
      <c r="F2558" s="955"/>
      <c r="L2558" s="954"/>
      <c r="M2558" s="952"/>
      <c r="N2558" s="952"/>
    </row>
    <row r="2559" spans="1:14">
      <c r="A2559" s="958" t="s">
        <v>366</v>
      </c>
      <c r="B2559" s="958">
        <v>31</v>
      </c>
      <c r="C2559" s="958" t="s">
        <v>6706</v>
      </c>
      <c r="D2559" s="957" t="s">
        <v>6705</v>
      </c>
      <c r="E2559" s="956">
        <v>6158</v>
      </c>
      <c r="F2559" s="955"/>
      <c r="L2559" s="954"/>
      <c r="M2559" s="952"/>
      <c r="N2559" s="952"/>
    </row>
    <row r="2560" spans="1:14">
      <c r="A2560" s="958" t="s">
        <v>366</v>
      </c>
      <c r="B2560" s="958">
        <v>31</v>
      </c>
      <c r="C2560" s="958" t="s">
        <v>6704</v>
      </c>
      <c r="D2560" s="957" t="s">
        <v>6703</v>
      </c>
      <c r="E2560" s="956">
        <v>11825</v>
      </c>
      <c r="F2560" s="955"/>
      <c r="L2560" s="954"/>
      <c r="M2560" s="952"/>
      <c r="N2560" s="952"/>
    </row>
    <row r="2561" spans="1:14">
      <c r="A2561" s="958" t="s">
        <v>366</v>
      </c>
      <c r="B2561" s="958">
        <v>31</v>
      </c>
      <c r="C2561" s="958" t="s">
        <v>6702</v>
      </c>
      <c r="D2561" s="957" t="s">
        <v>6701</v>
      </c>
      <c r="E2561" s="956">
        <v>279885</v>
      </c>
      <c r="F2561" s="955"/>
      <c r="L2561" s="954"/>
      <c r="M2561" s="952"/>
      <c r="N2561" s="952"/>
    </row>
    <row r="2562" spans="1:14">
      <c r="A2562" s="958" t="s">
        <v>366</v>
      </c>
      <c r="B2562" s="958">
        <v>31</v>
      </c>
      <c r="C2562" s="958" t="s">
        <v>6700</v>
      </c>
      <c r="D2562" s="957" t="s">
        <v>6699</v>
      </c>
      <c r="E2562" s="956">
        <v>15836</v>
      </c>
      <c r="F2562" s="955"/>
      <c r="L2562" s="954"/>
      <c r="M2562" s="952"/>
      <c r="N2562" s="952"/>
    </row>
    <row r="2563" spans="1:14">
      <c r="A2563" s="958" t="s">
        <v>366</v>
      </c>
      <c r="B2563" s="958">
        <v>31</v>
      </c>
      <c r="C2563" s="958" t="s">
        <v>6698</v>
      </c>
      <c r="D2563" s="957" t="s">
        <v>6697</v>
      </c>
      <c r="E2563" s="956">
        <v>1388</v>
      </c>
      <c r="F2563" s="955"/>
      <c r="L2563" s="954"/>
      <c r="M2563" s="952"/>
      <c r="N2563" s="952"/>
    </row>
    <row r="2564" spans="1:14">
      <c r="A2564" s="958" t="s">
        <v>366</v>
      </c>
      <c r="B2564" s="958">
        <v>31</v>
      </c>
      <c r="C2564" s="958" t="s">
        <v>6696</v>
      </c>
      <c r="D2564" s="957" t="s">
        <v>6695</v>
      </c>
      <c r="E2564" s="956">
        <v>34319</v>
      </c>
      <c r="F2564" s="955"/>
      <c r="L2564" s="954"/>
      <c r="M2564" s="952"/>
      <c r="N2564" s="952"/>
    </row>
    <row r="2565" spans="1:14">
      <c r="A2565" s="958" t="s">
        <v>366</v>
      </c>
      <c r="B2565" s="958">
        <v>31</v>
      </c>
      <c r="C2565" s="958" t="s">
        <v>6694</v>
      </c>
      <c r="D2565" s="957" t="s">
        <v>6693</v>
      </c>
      <c r="E2565" s="956">
        <v>14245</v>
      </c>
      <c r="F2565" s="955"/>
      <c r="L2565" s="954"/>
      <c r="M2565" s="952"/>
      <c r="N2565" s="952"/>
    </row>
    <row r="2566" spans="1:14">
      <c r="A2566" s="958" t="s">
        <v>366</v>
      </c>
      <c r="B2566" s="958">
        <v>31</v>
      </c>
      <c r="C2566" s="958" t="s">
        <v>6692</v>
      </c>
      <c r="D2566" s="957" t="s">
        <v>3153</v>
      </c>
      <c r="E2566" s="956">
        <v>10324</v>
      </c>
      <c r="F2566" s="955"/>
      <c r="L2566" s="954"/>
      <c r="M2566" s="952"/>
      <c r="N2566" s="952"/>
    </row>
    <row r="2567" spans="1:14">
      <c r="A2567" s="958" t="s">
        <v>366</v>
      </c>
      <c r="B2567" s="958">
        <v>31</v>
      </c>
      <c r="C2567" s="958" t="s">
        <v>6691</v>
      </c>
      <c r="D2567" s="957" t="s">
        <v>6690</v>
      </c>
      <c r="E2567" s="956">
        <v>4972</v>
      </c>
      <c r="F2567" s="955"/>
      <c r="L2567" s="954"/>
      <c r="M2567" s="952"/>
      <c r="N2567" s="952"/>
    </row>
    <row r="2568" spans="1:14">
      <c r="A2568" s="958" t="s">
        <v>366</v>
      </c>
      <c r="B2568" s="958">
        <v>31</v>
      </c>
      <c r="C2568" s="958" t="s">
        <v>6689</v>
      </c>
      <c r="D2568" s="957" t="s">
        <v>6688</v>
      </c>
      <c r="E2568" s="956">
        <v>19021</v>
      </c>
      <c r="F2568" s="955"/>
      <c r="L2568" s="954"/>
      <c r="M2568" s="952"/>
      <c r="N2568" s="952"/>
    </row>
    <row r="2569" spans="1:14">
      <c r="A2569" s="958" t="s">
        <v>366</v>
      </c>
      <c r="B2569" s="958">
        <v>31</v>
      </c>
      <c r="C2569" s="958" t="s">
        <v>6687</v>
      </c>
      <c r="D2569" s="957" t="s">
        <v>6686</v>
      </c>
      <c r="E2569" s="956">
        <v>8911</v>
      </c>
      <c r="F2569" s="955"/>
      <c r="L2569" s="954"/>
      <c r="M2569" s="952"/>
      <c r="N2569" s="952"/>
    </row>
    <row r="2570" spans="1:14">
      <c r="A2570" s="958" t="s">
        <v>366</v>
      </c>
      <c r="B2570" s="958">
        <v>31</v>
      </c>
      <c r="C2570" s="958" t="s">
        <v>6685</v>
      </c>
      <c r="D2570" s="957" t="s">
        <v>6684</v>
      </c>
      <c r="E2570" s="956">
        <v>3796</v>
      </c>
      <c r="F2570" s="955"/>
      <c r="L2570" s="954"/>
      <c r="M2570" s="952"/>
      <c r="N2570" s="952"/>
    </row>
    <row r="2571" spans="1:14">
      <c r="A2571" s="958" t="s">
        <v>366</v>
      </c>
      <c r="B2571" s="958">
        <v>31</v>
      </c>
      <c r="C2571" s="958" t="s">
        <v>6683</v>
      </c>
      <c r="D2571" s="957" t="s">
        <v>6682</v>
      </c>
      <c r="E2571" s="956">
        <v>6580</v>
      </c>
      <c r="F2571" s="955"/>
      <c r="L2571" s="954"/>
      <c r="M2571" s="952"/>
      <c r="N2571" s="952"/>
    </row>
    <row r="2572" spans="1:14">
      <c r="A2572" s="958" t="s">
        <v>366</v>
      </c>
      <c r="B2572" s="958">
        <v>31</v>
      </c>
      <c r="C2572" s="958" t="s">
        <v>6681</v>
      </c>
      <c r="D2572" s="957" t="s">
        <v>6680</v>
      </c>
      <c r="E2572" s="956">
        <v>51917</v>
      </c>
      <c r="F2572" s="955"/>
      <c r="L2572" s="954"/>
      <c r="M2572" s="952"/>
      <c r="N2572" s="952"/>
    </row>
    <row r="2573" spans="1:14">
      <c r="A2573" s="958" t="s">
        <v>366</v>
      </c>
      <c r="B2573" s="958">
        <v>31</v>
      </c>
      <c r="C2573" s="958" t="s">
        <v>6679</v>
      </c>
      <c r="D2573" s="957" t="s">
        <v>6678</v>
      </c>
      <c r="E2573" s="956">
        <v>7078</v>
      </c>
      <c r="F2573" s="955"/>
      <c r="L2573" s="954"/>
      <c r="M2573" s="952"/>
      <c r="N2573" s="952"/>
    </row>
    <row r="2574" spans="1:14">
      <c r="A2574" s="958" t="s">
        <v>366</v>
      </c>
      <c r="B2574" s="958">
        <v>31</v>
      </c>
      <c r="C2574" s="958" t="s">
        <v>6677</v>
      </c>
      <c r="D2574" s="957" t="s">
        <v>6676</v>
      </c>
      <c r="E2574" s="956">
        <v>8039</v>
      </c>
      <c r="F2574" s="955"/>
      <c r="L2574" s="954"/>
      <c r="M2574" s="952"/>
      <c r="N2574" s="952"/>
    </row>
    <row r="2575" spans="1:14">
      <c r="A2575" s="958" t="s">
        <v>366</v>
      </c>
      <c r="B2575" s="958">
        <v>31</v>
      </c>
      <c r="C2575" s="958" t="s">
        <v>6675</v>
      </c>
      <c r="D2575" s="957" t="s">
        <v>6674</v>
      </c>
      <c r="E2575" s="956">
        <v>8392</v>
      </c>
      <c r="F2575" s="955"/>
      <c r="L2575" s="954"/>
      <c r="M2575" s="952"/>
      <c r="N2575" s="952"/>
    </row>
    <row r="2576" spans="1:14">
      <c r="A2576" s="958" t="s">
        <v>366</v>
      </c>
      <c r="B2576" s="958">
        <v>31</v>
      </c>
      <c r="C2576" s="958" t="s">
        <v>6673</v>
      </c>
      <c r="D2576" s="957" t="s">
        <v>6672</v>
      </c>
      <c r="E2576" s="956">
        <v>5639</v>
      </c>
      <c r="F2576" s="955"/>
      <c r="L2576" s="954"/>
      <c r="M2576" s="952"/>
      <c r="N2576" s="952"/>
    </row>
    <row r="2577" spans="1:14">
      <c r="A2577" s="958" t="s">
        <v>366</v>
      </c>
      <c r="B2577" s="958">
        <v>31</v>
      </c>
      <c r="C2577" s="958" t="s">
        <v>6671</v>
      </c>
      <c r="D2577" s="957" t="s">
        <v>6670</v>
      </c>
      <c r="E2577" s="956">
        <v>6558</v>
      </c>
      <c r="F2577" s="955"/>
      <c r="L2577" s="954"/>
      <c r="M2577" s="952"/>
      <c r="N2577" s="952"/>
    </row>
    <row r="2578" spans="1:14">
      <c r="A2578" s="958" t="s">
        <v>366</v>
      </c>
      <c r="B2578" s="958">
        <v>31</v>
      </c>
      <c r="C2578" s="958" t="s">
        <v>6669</v>
      </c>
      <c r="D2578" s="957" t="s">
        <v>6668</v>
      </c>
      <c r="E2578" s="956">
        <v>11004</v>
      </c>
      <c r="F2578" s="955"/>
      <c r="L2578" s="954"/>
      <c r="M2578" s="952"/>
      <c r="N2578" s="952"/>
    </row>
    <row r="2579" spans="1:14">
      <c r="A2579" s="958" t="s">
        <v>366</v>
      </c>
      <c r="B2579" s="958">
        <v>31</v>
      </c>
      <c r="C2579" s="958" t="s">
        <v>6667</v>
      </c>
      <c r="D2579" s="957" t="s">
        <v>6666</v>
      </c>
      <c r="E2579" s="956">
        <v>5021</v>
      </c>
      <c r="F2579" s="955"/>
      <c r="L2579" s="954"/>
      <c r="M2579" s="952"/>
      <c r="N2579" s="952"/>
    </row>
    <row r="2580" spans="1:14">
      <c r="A2580" s="958" t="s">
        <v>366</v>
      </c>
      <c r="B2580" s="958">
        <v>31</v>
      </c>
      <c r="C2580" s="958" t="s">
        <v>6665</v>
      </c>
      <c r="D2580" s="957" t="s">
        <v>6664</v>
      </c>
      <c r="E2580" s="956">
        <v>25199</v>
      </c>
      <c r="F2580" s="955"/>
      <c r="L2580" s="954"/>
      <c r="M2580" s="952"/>
      <c r="N2580" s="952"/>
    </row>
    <row r="2581" spans="1:14">
      <c r="A2581" s="958" t="s">
        <v>366</v>
      </c>
      <c r="B2581" s="958">
        <v>31</v>
      </c>
      <c r="C2581" s="958" t="s">
        <v>6663</v>
      </c>
      <c r="D2581" s="957" t="s">
        <v>6662</v>
      </c>
      <c r="E2581" s="956">
        <v>8395</v>
      </c>
      <c r="F2581" s="955"/>
      <c r="L2581" s="954"/>
      <c r="M2581" s="952"/>
      <c r="N2581" s="952"/>
    </row>
    <row r="2582" spans="1:14">
      <c r="A2582" s="958" t="s">
        <v>366</v>
      </c>
      <c r="B2582" s="958">
        <v>31</v>
      </c>
      <c r="C2582" s="958" t="s">
        <v>6661</v>
      </c>
      <c r="D2582" s="957" t="s">
        <v>6660</v>
      </c>
      <c r="E2582" s="956">
        <v>5400</v>
      </c>
      <c r="F2582" s="955"/>
      <c r="L2582" s="954"/>
      <c r="M2582" s="952"/>
      <c r="N2582" s="952"/>
    </row>
    <row r="2583" spans="1:14">
      <c r="A2583" s="958" t="s">
        <v>366</v>
      </c>
      <c r="B2583" s="958">
        <v>31</v>
      </c>
      <c r="C2583" s="958" t="s">
        <v>6659</v>
      </c>
      <c r="D2583" s="957" t="s">
        <v>6658</v>
      </c>
      <c r="E2583" s="956">
        <v>13828</v>
      </c>
      <c r="F2583" s="955"/>
      <c r="L2583" s="954"/>
      <c r="M2583" s="952"/>
      <c r="N2583" s="952"/>
    </row>
    <row r="2584" spans="1:14">
      <c r="A2584" s="958" t="s">
        <v>366</v>
      </c>
      <c r="B2584" s="958">
        <v>31</v>
      </c>
      <c r="C2584" s="958" t="s">
        <v>6657</v>
      </c>
      <c r="D2584" s="957" t="s">
        <v>6656</v>
      </c>
      <c r="E2584" s="956">
        <v>180204</v>
      </c>
      <c r="F2584" s="955"/>
      <c r="L2584" s="954"/>
      <c r="M2584" s="952"/>
      <c r="N2584" s="952"/>
    </row>
    <row r="2585" spans="1:14">
      <c r="A2585" s="958" t="s">
        <v>366</v>
      </c>
      <c r="B2585" s="958">
        <v>31</v>
      </c>
      <c r="C2585" s="958" t="s">
        <v>6655</v>
      </c>
      <c r="D2585" s="957" t="s">
        <v>6654</v>
      </c>
      <c r="E2585" s="956">
        <v>3488</v>
      </c>
      <c r="F2585" s="955"/>
      <c r="L2585" s="954"/>
      <c r="M2585" s="952"/>
      <c r="N2585" s="952"/>
    </row>
    <row r="2586" spans="1:14">
      <c r="A2586" s="958" t="s">
        <v>366</v>
      </c>
      <c r="B2586" s="958">
        <v>31</v>
      </c>
      <c r="C2586" s="958" t="s">
        <v>6653</v>
      </c>
      <c r="D2586" s="957" t="s">
        <v>6652</v>
      </c>
      <c r="E2586" s="956">
        <v>2989</v>
      </c>
      <c r="F2586" s="955"/>
      <c r="L2586" s="954"/>
      <c r="M2586" s="952"/>
      <c r="N2586" s="952"/>
    </row>
    <row r="2587" spans="1:14">
      <c r="A2587" s="958" t="s">
        <v>366</v>
      </c>
      <c r="B2587" s="958">
        <v>31</v>
      </c>
      <c r="C2587" s="958" t="s">
        <v>6651</v>
      </c>
      <c r="D2587" s="957" t="s">
        <v>6650</v>
      </c>
      <c r="E2587" s="956">
        <v>11990</v>
      </c>
      <c r="F2587" s="955"/>
      <c r="L2587" s="954"/>
      <c r="M2587" s="952"/>
      <c r="N2587" s="952"/>
    </row>
    <row r="2588" spans="1:14">
      <c r="A2588" s="958" t="s">
        <v>366</v>
      </c>
      <c r="B2588" s="958">
        <v>31</v>
      </c>
      <c r="C2588" s="958" t="s">
        <v>6649</v>
      </c>
      <c r="D2588" s="957" t="s">
        <v>6648</v>
      </c>
      <c r="E2588" s="956">
        <v>43045</v>
      </c>
      <c r="F2588" s="955"/>
      <c r="L2588" s="954"/>
      <c r="M2588" s="952"/>
      <c r="N2588" s="952"/>
    </row>
    <row r="2589" spans="1:14">
      <c r="A2589" s="958" t="s">
        <v>366</v>
      </c>
      <c r="B2589" s="958">
        <v>31</v>
      </c>
      <c r="C2589" s="958" t="s">
        <v>6647</v>
      </c>
      <c r="D2589" s="957" t="s">
        <v>6646</v>
      </c>
      <c r="E2589" s="956">
        <v>10860</v>
      </c>
      <c r="F2589" s="955"/>
      <c r="L2589" s="954"/>
      <c r="M2589" s="952"/>
      <c r="N2589" s="952"/>
    </row>
    <row r="2590" spans="1:14">
      <c r="A2590" s="958" t="s">
        <v>366</v>
      </c>
      <c r="B2590" s="958">
        <v>31</v>
      </c>
      <c r="C2590" s="958" t="s">
        <v>6645</v>
      </c>
      <c r="D2590" s="957" t="s">
        <v>6644</v>
      </c>
      <c r="E2590" s="956">
        <v>7947</v>
      </c>
      <c r="F2590" s="955"/>
      <c r="L2590" s="954"/>
      <c r="M2590" s="952"/>
      <c r="N2590" s="952"/>
    </row>
    <row r="2591" spans="1:14">
      <c r="A2591" s="958" t="s">
        <v>366</v>
      </c>
      <c r="B2591" s="958">
        <v>31</v>
      </c>
      <c r="C2591" s="958" t="s">
        <v>6643</v>
      </c>
      <c r="D2591" s="957" t="s">
        <v>6642</v>
      </c>
      <c r="E2591" s="956">
        <v>6550</v>
      </c>
      <c r="F2591" s="955"/>
      <c r="L2591" s="954"/>
      <c r="M2591" s="952"/>
      <c r="N2591" s="952"/>
    </row>
    <row r="2592" spans="1:14">
      <c r="A2592" s="958" t="s">
        <v>366</v>
      </c>
      <c r="B2592" s="958">
        <v>31</v>
      </c>
      <c r="C2592" s="958" t="s">
        <v>6641</v>
      </c>
      <c r="D2592" s="957" t="s">
        <v>6640</v>
      </c>
      <c r="E2592" s="956">
        <v>12375</v>
      </c>
      <c r="F2592" s="955"/>
      <c r="L2592" s="954"/>
      <c r="M2592" s="952"/>
      <c r="N2592" s="952"/>
    </row>
    <row r="2593" spans="1:14">
      <c r="A2593" s="958" t="s">
        <v>366</v>
      </c>
      <c r="B2593" s="958">
        <v>31</v>
      </c>
      <c r="C2593" s="958" t="s">
        <v>6639</v>
      </c>
      <c r="D2593" s="957" t="s">
        <v>6638</v>
      </c>
      <c r="E2593" s="956">
        <v>6903</v>
      </c>
      <c r="F2593" s="955"/>
      <c r="L2593" s="954"/>
      <c r="M2593" s="952"/>
      <c r="N2593" s="952"/>
    </row>
    <row r="2594" spans="1:14">
      <c r="A2594" s="958" t="s">
        <v>366</v>
      </c>
      <c r="B2594" s="958">
        <v>31</v>
      </c>
      <c r="C2594" s="958" t="s">
        <v>6637</v>
      </c>
      <c r="D2594" s="957" t="s">
        <v>6636</v>
      </c>
      <c r="E2594" s="956">
        <v>7328</v>
      </c>
      <c r="F2594" s="955"/>
      <c r="L2594" s="954"/>
      <c r="M2594" s="952"/>
      <c r="N2594" s="952"/>
    </row>
    <row r="2595" spans="1:14">
      <c r="A2595" s="958" t="s">
        <v>366</v>
      </c>
      <c r="B2595" s="958">
        <v>31</v>
      </c>
      <c r="C2595" s="958" t="s">
        <v>6635</v>
      </c>
      <c r="D2595" s="957" t="s">
        <v>6634</v>
      </c>
      <c r="E2595" s="956">
        <v>7351</v>
      </c>
      <c r="F2595" s="955"/>
      <c r="L2595" s="954"/>
      <c r="M2595" s="952"/>
      <c r="N2595" s="952"/>
    </row>
    <row r="2596" spans="1:14">
      <c r="A2596" s="958" t="s">
        <v>366</v>
      </c>
      <c r="B2596" s="958">
        <v>31</v>
      </c>
      <c r="C2596" s="958" t="s">
        <v>6633</v>
      </c>
      <c r="D2596" s="957" t="s">
        <v>3844</v>
      </c>
      <c r="E2596" s="956">
        <v>6891</v>
      </c>
      <c r="F2596" s="955"/>
      <c r="L2596" s="954"/>
      <c r="M2596" s="952"/>
      <c r="N2596" s="952"/>
    </row>
    <row r="2597" spans="1:14">
      <c r="A2597" s="958" t="s">
        <v>366</v>
      </c>
      <c r="B2597" s="958">
        <v>31</v>
      </c>
      <c r="C2597" s="958" t="s">
        <v>6632</v>
      </c>
      <c r="D2597" s="957" t="s">
        <v>6631</v>
      </c>
      <c r="E2597" s="956">
        <v>2767</v>
      </c>
      <c r="F2597" s="955"/>
      <c r="L2597" s="954"/>
      <c r="M2597" s="952"/>
      <c r="N2597" s="952"/>
    </row>
    <row r="2598" spans="1:14">
      <c r="A2598" s="958" t="s">
        <v>366</v>
      </c>
      <c r="B2598" s="958">
        <v>31</v>
      </c>
      <c r="C2598" s="958" t="s">
        <v>6630</v>
      </c>
      <c r="D2598" s="957" t="s">
        <v>6629</v>
      </c>
      <c r="E2598" s="956">
        <v>24140</v>
      </c>
      <c r="F2598" s="955"/>
      <c r="L2598" s="954"/>
      <c r="M2598" s="952"/>
      <c r="N2598" s="952"/>
    </row>
    <row r="2599" spans="1:14">
      <c r="A2599" s="958" t="s">
        <v>366</v>
      </c>
      <c r="B2599" s="958">
        <v>31</v>
      </c>
      <c r="C2599" s="958" t="s">
        <v>6628</v>
      </c>
      <c r="D2599" s="957" t="s">
        <v>6627</v>
      </c>
      <c r="E2599" s="956">
        <v>6271</v>
      </c>
      <c r="F2599" s="955"/>
      <c r="L2599" s="954"/>
      <c r="M2599" s="952"/>
      <c r="N2599" s="952"/>
    </row>
    <row r="2600" spans="1:14">
      <c r="A2600" s="958" t="s">
        <v>366</v>
      </c>
      <c r="B2600" s="958">
        <v>31</v>
      </c>
      <c r="C2600" s="958" t="s">
        <v>6626</v>
      </c>
      <c r="D2600" s="957" t="s">
        <v>6625</v>
      </c>
      <c r="E2600" s="956">
        <v>7515</v>
      </c>
      <c r="F2600" s="955"/>
      <c r="L2600" s="954"/>
      <c r="M2600" s="952"/>
      <c r="N2600" s="952"/>
    </row>
    <row r="2601" spans="1:14">
      <c r="A2601" s="958" t="s">
        <v>366</v>
      </c>
      <c r="B2601" s="958">
        <v>31</v>
      </c>
      <c r="C2601" s="958" t="s">
        <v>6624</v>
      </c>
      <c r="D2601" s="957" t="s">
        <v>6623</v>
      </c>
      <c r="E2601" s="956">
        <v>18607</v>
      </c>
      <c r="F2601" s="955"/>
      <c r="L2601" s="954"/>
      <c r="M2601" s="952"/>
      <c r="N2601" s="952"/>
    </row>
    <row r="2602" spans="1:14">
      <c r="A2602" s="958" t="s">
        <v>366</v>
      </c>
      <c r="B2602" s="958">
        <v>31</v>
      </c>
      <c r="C2602" s="958" t="s">
        <v>6622</v>
      </c>
      <c r="D2602" s="957" t="s">
        <v>6621</v>
      </c>
      <c r="E2602" s="956">
        <v>19861</v>
      </c>
      <c r="F2602" s="955"/>
      <c r="L2602" s="954"/>
      <c r="M2602" s="952"/>
      <c r="N2602" s="952"/>
    </row>
    <row r="2603" spans="1:14">
      <c r="A2603" s="958" t="s">
        <v>366</v>
      </c>
      <c r="B2603" s="958">
        <v>31</v>
      </c>
      <c r="C2603" s="958" t="s">
        <v>6620</v>
      </c>
      <c r="D2603" s="957" t="s">
        <v>6619</v>
      </c>
      <c r="E2603" s="956">
        <v>263410</v>
      </c>
      <c r="F2603" s="955"/>
      <c r="L2603" s="954"/>
      <c r="M2603" s="952"/>
      <c r="N2603" s="952"/>
    </row>
    <row r="2604" spans="1:14">
      <c r="A2604" s="958" t="s">
        <v>366</v>
      </c>
      <c r="B2604" s="958">
        <v>31</v>
      </c>
      <c r="C2604" s="958" t="s">
        <v>6618</v>
      </c>
      <c r="D2604" s="957" t="s">
        <v>6617</v>
      </c>
      <c r="E2604" s="956">
        <v>4221</v>
      </c>
      <c r="F2604" s="955"/>
      <c r="L2604" s="954"/>
      <c r="M2604" s="952"/>
      <c r="N2604" s="952"/>
    </row>
    <row r="2605" spans="1:14">
      <c r="A2605" s="958" t="s">
        <v>366</v>
      </c>
      <c r="B2605" s="958">
        <v>31</v>
      </c>
      <c r="C2605" s="958" t="s">
        <v>6616</v>
      </c>
      <c r="D2605" s="957" t="s">
        <v>6615</v>
      </c>
      <c r="E2605" s="956">
        <v>10079</v>
      </c>
      <c r="F2605" s="955"/>
      <c r="L2605" s="954"/>
      <c r="M2605" s="952"/>
      <c r="N2605" s="952"/>
    </row>
    <row r="2606" spans="1:14">
      <c r="A2606" s="958" t="s">
        <v>366</v>
      </c>
      <c r="B2606" s="958">
        <v>31</v>
      </c>
      <c r="C2606" s="958" t="s">
        <v>6614</v>
      </c>
      <c r="D2606" s="957" t="s">
        <v>6613</v>
      </c>
      <c r="E2606" s="956">
        <v>6987</v>
      </c>
      <c r="F2606" s="955"/>
      <c r="L2606" s="954"/>
      <c r="M2606" s="952"/>
      <c r="N2606" s="952"/>
    </row>
    <row r="2607" spans="1:14">
      <c r="A2607" s="958" t="s">
        <v>366</v>
      </c>
      <c r="B2607" s="958">
        <v>31</v>
      </c>
      <c r="C2607" s="958" t="s">
        <v>6612</v>
      </c>
      <c r="D2607" s="957" t="s">
        <v>6611</v>
      </c>
      <c r="E2607" s="956">
        <v>120060</v>
      </c>
      <c r="F2607" s="955"/>
      <c r="L2607" s="954"/>
      <c r="M2607" s="952"/>
      <c r="N2607" s="952"/>
    </row>
    <row r="2608" spans="1:14">
      <c r="A2608" s="958" t="s">
        <v>366</v>
      </c>
      <c r="B2608" s="958">
        <v>31</v>
      </c>
      <c r="C2608" s="958" t="s">
        <v>6610</v>
      </c>
      <c r="D2608" s="957" t="s">
        <v>6609</v>
      </c>
      <c r="E2608" s="956">
        <v>11512</v>
      </c>
      <c r="F2608" s="955"/>
      <c r="L2608" s="954"/>
      <c r="M2608" s="952"/>
      <c r="N2608" s="952"/>
    </row>
    <row r="2609" spans="1:14">
      <c r="A2609" s="958" t="s">
        <v>366</v>
      </c>
      <c r="B2609" s="958">
        <v>31</v>
      </c>
      <c r="C2609" s="958" t="s">
        <v>6608</v>
      </c>
      <c r="D2609" s="957" t="s">
        <v>6607</v>
      </c>
      <c r="E2609" s="956">
        <v>51875</v>
      </c>
      <c r="F2609" s="955"/>
      <c r="L2609" s="954"/>
      <c r="M2609" s="952"/>
      <c r="N2609" s="952"/>
    </row>
    <row r="2610" spans="1:14">
      <c r="A2610" s="958" t="s">
        <v>366</v>
      </c>
      <c r="B2610" s="958">
        <v>31</v>
      </c>
      <c r="C2610" s="958" t="s">
        <v>6606</v>
      </c>
      <c r="D2610" s="957" t="s">
        <v>6605</v>
      </c>
      <c r="E2610" s="956">
        <v>5385</v>
      </c>
      <c r="F2610" s="955"/>
      <c r="L2610" s="954"/>
      <c r="M2610" s="952"/>
      <c r="N2610" s="952"/>
    </row>
    <row r="2611" spans="1:14">
      <c r="A2611" s="958" t="s">
        <v>366</v>
      </c>
      <c r="B2611" s="958">
        <v>31</v>
      </c>
      <c r="C2611" s="958" t="s">
        <v>6604</v>
      </c>
      <c r="D2611" s="957" t="s">
        <v>6603</v>
      </c>
      <c r="E2611" s="956">
        <v>18153</v>
      </c>
      <c r="F2611" s="955"/>
      <c r="L2611" s="954"/>
      <c r="M2611" s="952"/>
      <c r="N2611" s="952"/>
    </row>
    <row r="2612" spans="1:14">
      <c r="A2612" s="958" t="s">
        <v>366</v>
      </c>
      <c r="B2612" s="958">
        <v>31</v>
      </c>
      <c r="C2612" s="958" t="s">
        <v>6602</v>
      </c>
      <c r="D2612" s="957" t="s">
        <v>6601</v>
      </c>
      <c r="E2612" s="956">
        <v>13358</v>
      </c>
      <c r="F2612" s="955"/>
      <c r="L2612" s="954"/>
      <c r="M2612" s="952"/>
      <c r="N2612" s="952"/>
    </row>
    <row r="2613" spans="1:14">
      <c r="A2613" s="958" t="s">
        <v>366</v>
      </c>
      <c r="B2613" s="958">
        <v>31</v>
      </c>
      <c r="C2613" s="958" t="s">
        <v>6600</v>
      </c>
      <c r="D2613" s="957" t="s">
        <v>6599</v>
      </c>
      <c r="E2613" s="956">
        <v>12760</v>
      </c>
      <c r="F2613" s="955"/>
      <c r="L2613" s="954"/>
      <c r="M2613" s="952"/>
      <c r="N2613" s="952"/>
    </row>
    <row r="2614" spans="1:14">
      <c r="A2614" s="958" t="s">
        <v>366</v>
      </c>
      <c r="B2614" s="958">
        <v>31</v>
      </c>
      <c r="C2614" s="958" t="s">
        <v>6598</v>
      </c>
      <c r="D2614" s="957" t="s">
        <v>6597</v>
      </c>
      <c r="E2614" s="956">
        <v>96869</v>
      </c>
      <c r="F2614" s="955"/>
      <c r="L2614" s="954"/>
      <c r="M2614" s="952"/>
      <c r="N2614" s="952"/>
    </row>
    <row r="2615" spans="1:14">
      <c r="A2615" s="958" t="s">
        <v>366</v>
      </c>
      <c r="B2615" s="958">
        <v>31</v>
      </c>
      <c r="C2615" s="958" t="s">
        <v>6596</v>
      </c>
      <c r="D2615" s="957" t="s">
        <v>6595</v>
      </c>
      <c r="E2615" s="956">
        <v>34735</v>
      </c>
      <c r="F2615" s="955"/>
      <c r="L2615" s="954"/>
      <c r="M2615" s="952"/>
      <c r="N2615" s="952"/>
    </row>
    <row r="2616" spans="1:14">
      <c r="A2616" s="958" t="s">
        <v>366</v>
      </c>
      <c r="B2616" s="958">
        <v>31</v>
      </c>
      <c r="C2616" s="958" t="s">
        <v>6594</v>
      </c>
      <c r="D2616" s="957" t="s">
        <v>6593</v>
      </c>
      <c r="E2616" s="956">
        <v>4355</v>
      </c>
      <c r="F2616" s="955"/>
      <c r="L2616" s="954"/>
      <c r="M2616" s="952"/>
      <c r="N2616" s="952"/>
    </row>
    <row r="2617" spans="1:14">
      <c r="A2617" s="958" t="s">
        <v>366</v>
      </c>
      <c r="B2617" s="958">
        <v>31</v>
      </c>
      <c r="C2617" s="958" t="s">
        <v>6592</v>
      </c>
      <c r="D2617" s="957" t="s">
        <v>6591</v>
      </c>
      <c r="E2617" s="956">
        <v>23211</v>
      </c>
      <c r="F2617" s="955"/>
      <c r="L2617" s="954"/>
      <c r="M2617" s="952"/>
      <c r="N2617" s="952"/>
    </row>
    <row r="2618" spans="1:14">
      <c r="A2618" s="958" t="s">
        <v>366</v>
      </c>
      <c r="B2618" s="958">
        <v>31</v>
      </c>
      <c r="C2618" s="958" t="s">
        <v>6590</v>
      </c>
      <c r="D2618" s="957" t="s">
        <v>6589</v>
      </c>
      <c r="E2618" s="956">
        <v>2081</v>
      </c>
      <c r="F2618" s="955"/>
      <c r="L2618" s="954"/>
      <c r="M2618" s="952"/>
      <c r="N2618" s="952"/>
    </row>
    <row r="2619" spans="1:14">
      <c r="A2619" s="958" t="s">
        <v>366</v>
      </c>
      <c r="B2619" s="958">
        <v>31</v>
      </c>
      <c r="C2619" s="958" t="s">
        <v>6588</v>
      </c>
      <c r="D2619" s="957" t="s">
        <v>6587</v>
      </c>
      <c r="E2619" s="956">
        <v>10192</v>
      </c>
      <c r="F2619" s="955"/>
      <c r="L2619" s="954"/>
      <c r="M2619" s="952"/>
      <c r="N2619" s="952"/>
    </row>
    <row r="2620" spans="1:14">
      <c r="A2620" s="958" t="s">
        <v>366</v>
      </c>
      <c r="B2620" s="958">
        <v>31</v>
      </c>
      <c r="C2620" s="958" t="s">
        <v>6586</v>
      </c>
      <c r="D2620" s="957" t="s">
        <v>6585</v>
      </c>
      <c r="E2620" s="956">
        <v>15579</v>
      </c>
      <c r="F2620" s="955"/>
      <c r="L2620" s="954"/>
      <c r="M2620" s="952"/>
      <c r="N2620" s="952"/>
    </row>
    <row r="2621" spans="1:14">
      <c r="A2621" s="958" t="s">
        <v>366</v>
      </c>
      <c r="B2621" s="958">
        <v>31</v>
      </c>
      <c r="C2621" s="958" t="s">
        <v>6584</v>
      </c>
      <c r="D2621" s="957" t="s">
        <v>6583</v>
      </c>
      <c r="E2621" s="956">
        <v>15331</v>
      </c>
      <c r="F2621" s="955"/>
      <c r="L2621" s="954"/>
      <c r="M2621" s="952"/>
      <c r="N2621" s="952"/>
    </row>
    <row r="2622" spans="1:14">
      <c r="A2622" s="958" t="s">
        <v>366</v>
      </c>
      <c r="B2622" s="958">
        <v>31</v>
      </c>
      <c r="C2622" s="958" t="s">
        <v>6582</v>
      </c>
      <c r="D2622" s="957" t="s">
        <v>6581</v>
      </c>
      <c r="E2622" s="956">
        <v>12228</v>
      </c>
      <c r="F2622" s="955"/>
      <c r="L2622" s="954"/>
      <c r="M2622" s="952"/>
      <c r="N2622" s="952"/>
    </row>
    <row r="2623" spans="1:14">
      <c r="A2623" s="958" t="s">
        <v>366</v>
      </c>
      <c r="B2623" s="958">
        <v>31</v>
      </c>
      <c r="C2623" s="958" t="s">
        <v>6580</v>
      </c>
      <c r="D2623" s="957" t="s">
        <v>6579</v>
      </c>
      <c r="E2623" s="956">
        <v>21062</v>
      </c>
      <c r="F2623" s="955"/>
      <c r="L2623" s="954"/>
      <c r="M2623" s="952"/>
      <c r="N2623" s="952"/>
    </row>
    <row r="2624" spans="1:14">
      <c r="A2624" s="958" t="s">
        <v>366</v>
      </c>
      <c r="B2624" s="958">
        <v>31</v>
      </c>
      <c r="C2624" s="958" t="s">
        <v>6578</v>
      </c>
      <c r="D2624" s="957" t="s">
        <v>6577</v>
      </c>
      <c r="E2624" s="956">
        <v>15243</v>
      </c>
      <c r="F2624" s="955"/>
      <c r="L2624" s="954"/>
      <c r="M2624" s="952"/>
      <c r="N2624" s="952"/>
    </row>
    <row r="2625" spans="1:14">
      <c r="A2625" s="958" t="s">
        <v>366</v>
      </c>
      <c r="B2625" s="958">
        <v>31</v>
      </c>
      <c r="C2625" s="958" t="s">
        <v>6576</v>
      </c>
      <c r="D2625" s="957" t="s">
        <v>6575</v>
      </c>
      <c r="E2625" s="956">
        <v>21762</v>
      </c>
      <c r="F2625" s="955"/>
      <c r="L2625" s="954"/>
      <c r="M2625" s="952"/>
      <c r="N2625" s="952"/>
    </row>
    <row r="2626" spans="1:14">
      <c r="A2626" s="958" t="s">
        <v>366</v>
      </c>
      <c r="B2626" s="958">
        <v>31</v>
      </c>
      <c r="C2626" s="958" t="s">
        <v>6574</v>
      </c>
      <c r="D2626" s="957" t="s">
        <v>4891</v>
      </c>
      <c r="E2626" s="956">
        <v>9783</v>
      </c>
      <c r="F2626" s="955"/>
      <c r="L2626" s="954"/>
      <c r="M2626" s="952"/>
      <c r="N2626" s="952"/>
    </row>
    <row r="2627" spans="1:14">
      <c r="A2627" s="958" t="s">
        <v>366</v>
      </c>
      <c r="B2627" s="958">
        <v>31</v>
      </c>
      <c r="C2627" s="958" t="s">
        <v>6573</v>
      </c>
      <c r="D2627" s="957" t="s">
        <v>6572</v>
      </c>
      <c r="E2627" s="956">
        <v>11146</v>
      </c>
      <c r="F2627" s="955"/>
      <c r="L2627" s="954"/>
      <c r="M2627" s="952"/>
      <c r="N2627" s="952"/>
    </row>
    <row r="2628" spans="1:14">
      <c r="A2628" s="958" t="s">
        <v>366</v>
      </c>
      <c r="B2628" s="958">
        <v>31</v>
      </c>
      <c r="C2628" s="958" t="s">
        <v>6571</v>
      </c>
      <c r="D2628" s="957" t="s">
        <v>6570</v>
      </c>
      <c r="E2628" s="956">
        <v>16108</v>
      </c>
      <c r="F2628" s="955"/>
      <c r="L2628" s="954"/>
      <c r="M2628" s="952"/>
      <c r="N2628" s="952"/>
    </row>
    <row r="2629" spans="1:14">
      <c r="A2629" s="958" t="s">
        <v>366</v>
      </c>
      <c r="B2629" s="958">
        <v>31</v>
      </c>
      <c r="C2629" s="958" t="s">
        <v>6569</v>
      </c>
      <c r="D2629" s="957" t="s">
        <v>6568</v>
      </c>
      <c r="E2629" s="956">
        <v>93214</v>
      </c>
      <c r="F2629" s="955"/>
      <c r="L2629" s="954"/>
      <c r="M2629" s="952"/>
      <c r="N2629" s="952"/>
    </row>
    <row r="2630" spans="1:14">
      <c r="A2630" s="958" t="s">
        <v>366</v>
      </c>
      <c r="B2630" s="958">
        <v>31</v>
      </c>
      <c r="C2630" s="958" t="s">
        <v>6567</v>
      </c>
      <c r="D2630" s="957" t="s">
        <v>6566</v>
      </c>
      <c r="E2630" s="956">
        <v>5419</v>
      </c>
      <c r="F2630" s="955"/>
      <c r="L2630" s="954"/>
      <c r="M2630" s="952"/>
      <c r="N2630" s="952"/>
    </row>
    <row r="2631" spans="1:14">
      <c r="A2631" s="958" t="s">
        <v>366</v>
      </c>
      <c r="B2631" s="958">
        <v>31</v>
      </c>
      <c r="C2631" s="958" t="s">
        <v>6565</v>
      </c>
      <c r="D2631" s="957" t="s">
        <v>6564</v>
      </c>
      <c r="E2631" s="956">
        <v>14990</v>
      </c>
      <c r="F2631" s="955"/>
      <c r="L2631" s="954"/>
      <c r="M2631" s="952"/>
      <c r="N2631" s="952"/>
    </row>
    <row r="2632" spans="1:14">
      <c r="A2632" s="958" t="s">
        <v>366</v>
      </c>
      <c r="B2632" s="958">
        <v>31</v>
      </c>
      <c r="C2632" s="958" t="s">
        <v>6563</v>
      </c>
      <c r="D2632" s="957" t="s">
        <v>6562</v>
      </c>
      <c r="E2632" s="956">
        <v>6051</v>
      </c>
      <c r="F2632" s="955"/>
      <c r="L2632" s="954"/>
      <c r="M2632" s="952"/>
      <c r="N2632" s="952"/>
    </row>
    <row r="2633" spans="1:14">
      <c r="A2633" s="958" t="s">
        <v>366</v>
      </c>
      <c r="B2633" s="958">
        <v>31</v>
      </c>
      <c r="C2633" s="958" t="s">
        <v>6561</v>
      </c>
      <c r="D2633" s="957" t="s">
        <v>6560</v>
      </c>
      <c r="E2633" s="956">
        <v>104671</v>
      </c>
      <c r="F2633" s="955"/>
      <c r="L2633" s="954"/>
      <c r="M2633" s="952"/>
      <c r="N2633" s="952"/>
    </row>
    <row r="2634" spans="1:14">
      <c r="A2634" s="958" t="s">
        <v>366</v>
      </c>
      <c r="B2634" s="958">
        <v>31</v>
      </c>
      <c r="C2634" s="958" t="s">
        <v>6559</v>
      </c>
      <c r="D2634" s="957" t="s">
        <v>6558</v>
      </c>
      <c r="E2634" s="956">
        <v>6023</v>
      </c>
      <c r="F2634" s="955"/>
      <c r="L2634" s="954"/>
      <c r="M2634" s="952"/>
      <c r="N2634" s="952"/>
    </row>
    <row r="2635" spans="1:14">
      <c r="A2635" s="958" t="s">
        <v>366</v>
      </c>
      <c r="B2635" s="958">
        <v>31</v>
      </c>
      <c r="C2635" s="958" t="s">
        <v>6557</v>
      </c>
      <c r="D2635" s="957" t="s">
        <v>6556</v>
      </c>
      <c r="E2635" s="956">
        <v>39263</v>
      </c>
      <c r="F2635" s="955"/>
      <c r="L2635" s="954"/>
      <c r="M2635" s="952"/>
      <c r="N2635" s="952"/>
    </row>
    <row r="2636" spans="1:14">
      <c r="A2636" s="958" t="s">
        <v>366</v>
      </c>
      <c r="B2636" s="958">
        <v>31</v>
      </c>
      <c r="C2636" s="958" t="s">
        <v>6555</v>
      </c>
      <c r="D2636" s="957" t="s">
        <v>6554</v>
      </c>
      <c r="E2636" s="956">
        <v>3788</v>
      </c>
      <c r="F2636" s="955"/>
      <c r="L2636" s="954"/>
      <c r="M2636" s="952"/>
      <c r="N2636" s="952"/>
    </row>
    <row r="2637" spans="1:14">
      <c r="A2637" s="958" t="s">
        <v>366</v>
      </c>
      <c r="B2637" s="958">
        <v>31</v>
      </c>
      <c r="C2637" s="958" t="s">
        <v>6553</v>
      </c>
      <c r="D2637" s="957" t="s">
        <v>6552</v>
      </c>
      <c r="E2637" s="956">
        <v>20143</v>
      </c>
      <c r="F2637" s="955"/>
      <c r="L2637" s="954"/>
      <c r="M2637" s="952"/>
      <c r="N2637" s="952"/>
    </row>
    <row r="2638" spans="1:14">
      <c r="A2638" s="958" t="s">
        <v>366</v>
      </c>
      <c r="B2638" s="958">
        <v>31</v>
      </c>
      <c r="C2638" s="958" t="s">
        <v>6551</v>
      </c>
      <c r="D2638" s="957" t="s">
        <v>6550</v>
      </c>
      <c r="E2638" s="956">
        <v>12326</v>
      </c>
      <c r="F2638" s="955"/>
      <c r="L2638" s="954"/>
      <c r="M2638" s="952"/>
      <c r="N2638" s="952"/>
    </row>
    <row r="2639" spans="1:14">
      <c r="A2639" s="958" t="s">
        <v>366</v>
      </c>
      <c r="B2639" s="958">
        <v>31</v>
      </c>
      <c r="C2639" s="958" t="s">
        <v>6549</v>
      </c>
      <c r="D2639" s="957" t="s">
        <v>6548</v>
      </c>
      <c r="E2639" s="956">
        <v>7686</v>
      </c>
      <c r="F2639" s="955"/>
      <c r="L2639" s="954"/>
      <c r="M2639" s="952"/>
      <c r="N2639" s="952"/>
    </row>
    <row r="2640" spans="1:14">
      <c r="A2640" s="958" t="s">
        <v>366</v>
      </c>
      <c r="B2640" s="958">
        <v>31</v>
      </c>
      <c r="C2640" s="958" t="s">
        <v>6547</v>
      </c>
      <c r="D2640" s="957" t="s">
        <v>2327</v>
      </c>
      <c r="E2640" s="956">
        <v>25979</v>
      </c>
      <c r="F2640" s="955"/>
      <c r="L2640" s="954"/>
      <c r="M2640" s="952"/>
      <c r="N2640" s="952"/>
    </row>
    <row r="2641" spans="1:14">
      <c r="A2641" s="958" t="s">
        <v>366</v>
      </c>
      <c r="B2641" s="958">
        <v>31</v>
      </c>
      <c r="C2641" s="958" t="s">
        <v>6546</v>
      </c>
      <c r="D2641" s="957" t="s">
        <v>6545</v>
      </c>
      <c r="E2641" s="956">
        <v>3133</v>
      </c>
      <c r="F2641" s="955"/>
      <c r="L2641" s="954"/>
      <c r="M2641" s="952"/>
      <c r="N2641" s="952"/>
    </row>
    <row r="2642" spans="1:14">
      <c r="A2642" s="958" t="s">
        <v>366</v>
      </c>
      <c r="B2642" s="958">
        <v>31</v>
      </c>
      <c r="C2642" s="958" t="s">
        <v>6544</v>
      </c>
      <c r="D2642" s="957" t="s">
        <v>6543</v>
      </c>
      <c r="E2642" s="956">
        <v>38909</v>
      </c>
      <c r="F2642" s="955"/>
      <c r="L2642" s="954"/>
      <c r="M2642" s="952"/>
      <c r="N2642" s="952"/>
    </row>
    <row r="2643" spans="1:14">
      <c r="A2643" s="958" t="s">
        <v>366</v>
      </c>
      <c r="B2643" s="958">
        <v>31</v>
      </c>
      <c r="C2643" s="958" t="s">
        <v>6542</v>
      </c>
      <c r="D2643" s="957" t="s">
        <v>6541</v>
      </c>
      <c r="E2643" s="956">
        <v>5404</v>
      </c>
      <c r="F2643" s="955"/>
      <c r="L2643" s="954"/>
      <c r="M2643" s="952"/>
      <c r="N2643" s="952"/>
    </row>
    <row r="2644" spans="1:14">
      <c r="A2644" s="958" t="s">
        <v>366</v>
      </c>
      <c r="B2644" s="958">
        <v>31</v>
      </c>
      <c r="C2644" s="958" t="s">
        <v>6540</v>
      </c>
      <c r="D2644" s="957" t="s">
        <v>6539</v>
      </c>
      <c r="E2644" s="956">
        <v>71648</v>
      </c>
      <c r="F2644" s="955"/>
      <c r="L2644" s="954"/>
      <c r="M2644" s="952"/>
      <c r="N2644" s="952"/>
    </row>
    <row r="2645" spans="1:14">
      <c r="A2645" s="958" t="s">
        <v>366</v>
      </c>
      <c r="B2645" s="958">
        <v>31</v>
      </c>
      <c r="C2645" s="958" t="s">
        <v>6538</v>
      </c>
      <c r="D2645" s="957" t="s">
        <v>6537</v>
      </c>
      <c r="E2645" s="956">
        <v>67742</v>
      </c>
      <c r="F2645" s="955"/>
      <c r="L2645" s="954"/>
      <c r="M2645" s="952"/>
      <c r="N2645" s="952"/>
    </row>
    <row r="2646" spans="1:14">
      <c r="A2646" s="958" t="s">
        <v>366</v>
      </c>
      <c r="B2646" s="958">
        <v>31</v>
      </c>
      <c r="C2646" s="958" t="s">
        <v>6536</v>
      </c>
      <c r="D2646" s="957" t="s">
        <v>6535</v>
      </c>
      <c r="E2646" s="956">
        <v>4350</v>
      </c>
      <c r="F2646" s="955"/>
      <c r="L2646" s="954"/>
      <c r="M2646" s="952"/>
      <c r="N2646" s="952"/>
    </row>
    <row r="2647" spans="1:14">
      <c r="A2647" s="958" t="s">
        <v>366</v>
      </c>
      <c r="B2647" s="958">
        <v>31</v>
      </c>
      <c r="C2647" s="958" t="s">
        <v>6534</v>
      </c>
      <c r="D2647" s="957" t="s">
        <v>6533</v>
      </c>
      <c r="E2647" s="956">
        <v>8134</v>
      </c>
      <c r="F2647" s="955"/>
      <c r="L2647" s="954"/>
      <c r="M2647" s="952"/>
      <c r="N2647" s="952"/>
    </row>
    <row r="2648" spans="1:14">
      <c r="A2648" s="958" t="s">
        <v>366</v>
      </c>
      <c r="B2648" s="958">
        <v>31</v>
      </c>
      <c r="C2648" s="958" t="s">
        <v>6532</v>
      </c>
      <c r="D2648" s="957" t="s">
        <v>6531</v>
      </c>
      <c r="E2648" s="956">
        <v>4912</v>
      </c>
      <c r="F2648" s="955"/>
      <c r="L2648" s="954"/>
      <c r="M2648" s="952"/>
      <c r="N2648" s="952"/>
    </row>
    <row r="2649" spans="1:14">
      <c r="A2649" s="958" t="s">
        <v>366</v>
      </c>
      <c r="B2649" s="958">
        <v>31</v>
      </c>
      <c r="C2649" s="958" t="s">
        <v>6530</v>
      </c>
      <c r="D2649" s="957" t="s">
        <v>6529</v>
      </c>
      <c r="E2649" s="956">
        <v>7692</v>
      </c>
      <c r="F2649" s="955"/>
      <c r="L2649" s="954"/>
      <c r="M2649" s="952"/>
      <c r="N2649" s="952"/>
    </row>
    <row r="2650" spans="1:14">
      <c r="A2650" s="958" t="s">
        <v>366</v>
      </c>
      <c r="B2650" s="958">
        <v>31</v>
      </c>
      <c r="C2650" s="958" t="s">
        <v>6528</v>
      </c>
      <c r="D2650" s="957" t="s">
        <v>6527</v>
      </c>
      <c r="E2650" s="956">
        <v>12386</v>
      </c>
      <c r="F2650" s="955"/>
      <c r="L2650" s="954"/>
      <c r="M2650" s="952"/>
      <c r="N2650" s="952"/>
    </row>
    <row r="2651" spans="1:14">
      <c r="A2651" s="958" t="s">
        <v>366</v>
      </c>
      <c r="B2651" s="958">
        <v>31</v>
      </c>
      <c r="C2651" s="958" t="s">
        <v>6526</v>
      </c>
      <c r="D2651" s="957" t="s">
        <v>6525</v>
      </c>
      <c r="E2651" s="956">
        <v>7531</v>
      </c>
      <c r="F2651" s="955"/>
      <c r="L2651" s="954"/>
      <c r="M2651" s="952"/>
      <c r="N2651" s="952"/>
    </row>
    <row r="2652" spans="1:14">
      <c r="A2652" s="958" t="s">
        <v>366</v>
      </c>
      <c r="B2652" s="958">
        <v>31</v>
      </c>
      <c r="C2652" s="958" t="s">
        <v>6524</v>
      </c>
      <c r="D2652" s="957" t="s">
        <v>6523</v>
      </c>
      <c r="E2652" s="956">
        <v>5211</v>
      </c>
      <c r="F2652" s="955"/>
      <c r="L2652" s="954"/>
      <c r="M2652" s="952"/>
      <c r="N2652" s="952"/>
    </row>
    <row r="2653" spans="1:14">
      <c r="A2653" s="958" t="s">
        <v>366</v>
      </c>
      <c r="B2653" s="958">
        <v>31</v>
      </c>
      <c r="C2653" s="958" t="s">
        <v>6522</v>
      </c>
      <c r="D2653" s="957" t="s">
        <v>6521</v>
      </c>
      <c r="E2653" s="956">
        <v>25391</v>
      </c>
      <c r="F2653" s="955"/>
      <c r="L2653" s="954"/>
      <c r="M2653" s="952"/>
      <c r="N2653" s="952"/>
    </row>
    <row r="2654" spans="1:14">
      <c r="A2654" s="958" t="s">
        <v>366</v>
      </c>
      <c r="B2654" s="958">
        <v>31</v>
      </c>
      <c r="C2654" s="958" t="s">
        <v>6520</v>
      </c>
      <c r="D2654" s="957" t="s">
        <v>6519</v>
      </c>
      <c r="E2654" s="956">
        <v>4787</v>
      </c>
      <c r="F2654" s="955"/>
      <c r="L2654" s="954"/>
      <c r="M2654" s="952"/>
      <c r="N2654" s="952"/>
    </row>
    <row r="2655" spans="1:14">
      <c r="A2655" s="958" t="s">
        <v>366</v>
      </c>
      <c r="B2655" s="958">
        <v>31</v>
      </c>
      <c r="C2655" s="958" t="s">
        <v>6518</v>
      </c>
      <c r="D2655" s="957" t="s">
        <v>6517</v>
      </c>
      <c r="E2655" s="956">
        <v>15432</v>
      </c>
      <c r="F2655" s="955"/>
      <c r="L2655" s="954"/>
      <c r="M2655" s="952"/>
      <c r="N2655" s="952"/>
    </row>
    <row r="2656" spans="1:14">
      <c r="A2656" s="958" t="s">
        <v>366</v>
      </c>
      <c r="B2656" s="958">
        <v>31</v>
      </c>
      <c r="C2656" s="958" t="s">
        <v>6516</v>
      </c>
      <c r="D2656" s="957" t="s">
        <v>6515</v>
      </c>
      <c r="E2656" s="956">
        <v>4573</v>
      </c>
      <c r="F2656" s="955"/>
      <c r="L2656" s="954"/>
      <c r="M2656" s="952"/>
      <c r="N2656" s="952"/>
    </row>
    <row r="2657" spans="1:14">
      <c r="A2657" s="958" t="s">
        <v>366</v>
      </c>
      <c r="B2657" s="958">
        <v>31</v>
      </c>
      <c r="C2657" s="958" t="s">
        <v>6514</v>
      </c>
      <c r="D2657" s="957" t="s">
        <v>6513</v>
      </c>
      <c r="E2657" s="956">
        <v>79910</v>
      </c>
      <c r="F2657" s="955"/>
      <c r="L2657" s="954"/>
      <c r="M2657" s="952"/>
      <c r="N2657" s="952"/>
    </row>
    <row r="2658" spans="1:14">
      <c r="A2658" s="958" t="s">
        <v>366</v>
      </c>
      <c r="B2658" s="958">
        <v>31</v>
      </c>
      <c r="C2658" s="958" t="s">
        <v>6512</v>
      </c>
      <c r="D2658" s="957" t="s">
        <v>6511</v>
      </c>
      <c r="E2658" s="956">
        <v>47452</v>
      </c>
      <c r="F2658" s="955"/>
      <c r="L2658" s="954"/>
      <c r="M2658" s="952"/>
      <c r="N2658" s="952"/>
    </row>
    <row r="2659" spans="1:14">
      <c r="A2659" s="958" t="s">
        <v>366</v>
      </c>
      <c r="B2659" s="958">
        <v>31</v>
      </c>
      <c r="C2659" s="958" t="s">
        <v>6510</v>
      </c>
      <c r="D2659" s="957" t="s">
        <v>6509</v>
      </c>
      <c r="E2659" s="956">
        <v>4695</v>
      </c>
      <c r="F2659" s="955"/>
      <c r="L2659" s="954"/>
      <c r="M2659" s="952"/>
      <c r="N2659" s="952"/>
    </row>
    <row r="2660" spans="1:14">
      <c r="A2660" s="958" t="s">
        <v>366</v>
      </c>
      <c r="B2660" s="958">
        <v>31</v>
      </c>
      <c r="C2660" s="958" t="s">
        <v>6508</v>
      </c>
      <c r="D2660" s="957" t="s">
        <v>6507</v>
      </c>
      <c r="E2660" s="956">
        <v>10812</v>
      </c>
      <c r="F2660" s="955"/>
      <c r="L2660" s="954"/>
      <c r="M2660" s="952"/>
      <c r="N2660" s="952"/>
    </row>
    <row r="2661" spans="1:14">
      <c r="A2661" s="958" t="s">
        <v>366</v>
      </c>
      <c r="B2661" s="958">
        <v>31</v>
      </c>
      <c r="C2661" s="958" t="s">
        <v>6506</v>
      </c>
      <c r="D2661" s="957" t="s">
        <v>6505</v>
      </c>
      <c r="E2661" s="956">
        <v>4501</v>
      </c>
      <c r="F2661" s="955"/>
      <c r="L2661" s="954"/>
      <c r="M2661" s="952"/>
      <c r="N2661" s="952"/>
    </row>
    <row r="2662" spans="1:14">
      <c r="A2662" s="958" t="s">
        <v>366</v>
      </c>
      <c r="B2662" s="958">
        <v>31</v>
      </c>
      <c r="C2662" s="958" t="s">
        <v>6504</v>
      </c>
      <c r="D2662" s="957" t="s">
        <v>6503</v>
      </c>
      <c r="E2662" s="956">
        <v>4995</v>
      </c>
      <c r="F2662" s="955"/>
      <c r="L2662" s="954"/>
      <c r="M2662" s="952"/>
      <c r="N2662" s="952"/>
    </row>
    <row r="2663" spans="1:14">
      <c r="A2663" s="958" t="s">
        <v>366</v>
      </c>
      <c r="B2663" s="958">
        <v>31</v>
      </c>
      <c r="C2663" s="958" t="s">
        <v>6502</v>
      </c>
      <c r="D2663" s="957" t="s">
        <v>6501</v>
      </c>
      <c r="E2663" s="956">
        <v>4867</v>
      </c>
      <c r="F2663" s="955"/>
      <c r="L2663" s="954"/>
      <c r="M2663" s="952"/>
      <c r="N2663" s="952"/>
    </row>
    <row r="2664" spans="1:14">
      <c r="A2664" s="958" t="s">
        <v>366</v>
      </c>
      <c r="B2664" s="958">
        <v>31</v>
      </c>
      <c r="C2664" s="958" t="s">
        <v>6500</v>
      </c>
      <c r="D2664" s="957" t="s">
        <v>6499</v>
      </c>
      <c r="E2664" s="956">
        <v>5725</v>
      </c>
      <c r="F2664" s="955"/>
      <c r="L2664" s="954"/>
      <c r="M2664" s="952"/>
      <c r="N2664" s="952"/>
    </row>
    <row r="2665" spans="1:14">
      <c r="A2665" s="958" t="s">
        <v>366</v>
      </c>
      <c r="B2665" s="958">
        <v>31</v>
      </c>
      <c r="C2665" s="958" t="s">
        <v>6498</v>
      </c>
      <c r="D2665" s="957" t="s">
        <v>6497</v>
      </c>
      <c r="E2665" s="956">
        <v>26946</v>
      </c>
      <c r="F2665" s="955"/>
      <c r="L2665" s="954"/>
      <c r="M2665" s="952"/>
      <c r="N2665" s="952"/>
    </row>
    <row r="2666" spans="1:14">
      <c r="A2666" s="958" t="s">
        <v>366</v>
      </c>
      <c r="B2666" s="958">
        <v>31</v>
      </c>
      <c r="C2666" s="958" t="s">
        <v>6496</v>
      </c>
      <c r="D2666" s="957" t="s">
        <v>6495</v>
      </c>
      <c r="E2666" s="956">
        <v>568873</v>
      </c>
      <c r="F2666" s="955"/>
      <c r="L2666" s="954"/>
      <c r="M2666" s="952"/>
      <c r="N2666" s="952"/>
    </row>
    <row r="2667" spans="1:14">
      <c r="A2667" s="958" t="s">
        <v>366</v>
      </c>
      <c r="B2667" s="958">
        <v>31</v>
      </c>
      <c r="C2667" s="958" t="s">
        <v>6494</v>
      </c>
      <c r="D2667" s="957" t="s">
        <v>6493</v>
      </c>
      <c r="E2667" s="956">
        <v>4331</v>
      </c>
      <c r="F2667" s="955"/>
      <c r="L2667" s="954"/>
      <c r="M2667" s="952"/>
      <c r="N2667" s="952"/>
    </row>
    <row r="2668" spans="1:14">
      <c r="A2668" s="958" t="s">
        <v>366</v>
      </c>
      <c r="B2668" s="958">
        <v>31</v>
      </c>
      <c r="C2668" s="958" t="s">
        <v>6492</v>
      </c>
      <c r="D2668" s="957" t="s">
        <v>6491</v>
      </c>
      <c r="E2668" s="956">
        <v>10563</v>
      </c>
      <c r="F2668" s="955"/>
      <c r="L2668" s="954"/>
      <c r="M2668" s="952"/>
      <c r="N2668" s="952"/>
    </row>
    <row r="2669" spans="1:14">
      <c r="A2669" s="958" t="s">
        <v>366</v>
      </c>
      <c r="B2669" s="958">
        <v>31</v>
      </c>
      <c r="C2669" s="958" t="s">
        <v>6490</v>
      </c>
      <c r="D2669" s="957" t="s">
        <v>6489</v>
      </c>
      <c r="E2669" s="956">
        <v>5724</v>
      </c>
      <c r="F2669" s="955"/>
      <c r="L2669" s="954"/>
      <c r="M2669" s="952"/>
      <c r="N2669" s="952"/>
    </row>
    <row r="2670" spans="1:14">
      <c r="A2670" s="958" t="s">
        <v>366</v>
      </c>
      <c r="B2670" s="958">
        <v>31</v>
      </c>
      <c r="C2670" s="958" t="s">
        <v>6488</v>
      </c>
      <c r="D2670" s="957" t="s">
        <v>6487</v>
      </c>
      <c r="E2670" s="956">
        <v>18111</v>
      </c>
      <c r="F2670" s="955"/>
      <c r="L2670" s="954"/>
      <c r="M2670" s="952"/>
      <c r="N2670" s="952"/>
    </row>
    <row r="2671" spans="1:14">
      <c r="A2671" s="958" t="s">
        <v>366</v>
      </c>
      <c r="B2671" s="958">
        <v>31</v>
      </c>
      <c r="C2671" s="958" t="s">
        <v>6486</v>
      </c>
      <c r="D2671" s="957" t="s">
        <v>6485</v>
      </c>
      <c r="E2671" s="956">
        <v>7613</v>
      </c>
      <c r="F2671" s="955"/>
      <c r="L2671" s="954"/>
      <c r="M2671" s="952"/>
      <c r="N2671" s="952"/>
    </row>
    <row r="2672" spans="1:14">
      <c r="A2672" s="958" t="s">
        <v>366</v>
      </c>
      <c r="B2672" s="958">
        <v>31</v>
      </c>
      <c r="C2672" s="958" t="s">
        <v>6484</v>
      </c>
      <c r="D2672" s="957" t="s">
        <v>6483</v>
      </c>
      <c r="E2672" s="956">
        <v>52165</v>
      </c>
      <c r="F2672" s="955"/>
      <c r="L2672" s="954"/>
      <c r="M2672" s="952"/>
      <c r="N2672" s="952"/>
    </row>
    <row r="2673" spans="1:14">
      <c r="A2673" s="958" t="s">
        <v>366</v>
      </c>
      <c r="B2673" s="958">
        <v>31</v>
      </c>
      <c r="C2673" s="958" t="s">
        <v>6482</v>
      </c>
      <c r="D2673" s="957" t="s">
        <v>6481</v>
      </c>
      <c r="E2673" s="956">
        <v>4102</v>
      </c>
      <c r="F2673" s="955"/>
      <c r="L2673" s="954"/>
      <c r="M2673" s="952"/>
      <c r="N2673" s="952"/>
    </row>
    <row r="2674" spans="1:14">
      <c r="A2674" s="958" t="s">
        <v>366</v>
      </c>
      <c r="B2674" s="958">
        <v>31</v>
      </c>
      <c r="C2674" s="958" t="s">
        <v>6480</v>
      </c>
      <c r="D2674" s="957" t="s">
        <v>6479</v>
      </c>
      <c r="E2674" s="956">
        <v>13009</v>
      </c>
      <c r="F2674" s="955"/>
      <c r="L2674" s="954"/>
      <c r="M2674" s="952"/>
      <c r="N2674" s="952"/>
    </row>
    <row r="2675" spans="1:14">
      <c r="A2675" s="958" t="s">
        <v>366</v>
      </c>
      <c r="B2675" s="958">
        <v>31</v>
      </c>
      <c r="C2675" s="958" t="s">
        <v>6478</v>
      </c>
      <c r="D2675" s="957" t="s">
        <v>6477</v>
      </c>
      <c r="E2675" s="956">
        <v>18052</v>
      </c>
      <c r="F2675" s="955"/>
      <c r="L2675" s="954"/>
      <c r="M2675" s="952"/>
      <c r="N2675" s="952"/>
    </row>
    <row r="2676" spans="1:14">
      <c r="A2676" s="958" t="s">
        <v>366</v>
      </c>
      <c r="B2676" s="958">
        <v>31</v>
      </c>
      <c r="C2676" s="958" t="s">
        <v>6476</v>
      </c>
      <c r="D2676" s="957" t="s">
        <v>6475</v>
      </c>
      <c r="E2676" s="956">
        <v>9532</v>
      </c>
      <c r="F2676" s="955"/>
      <c r="L2676" s="954"/>
      <c r="M2676" s="952"/>
      <c r="N2676" s="952"/>
    </row>
    <row r="2677" spans="1:14">
      <c r="A2677" s="958" t="s">
        <v>366</v>
      </c>
      <c r="B2677" s="958">
        <v>31</v>
      </c>
      <c r="C2677" s="958" t="s">
        <v>6474</v>
      </c>
      <c r="D2677" s="957" t="s">
        <v>1069</v>
      </c>
      <c r="E2677" s="956">
        <v>64527</v>
      </c>
      <c r="F2677" s="955"/>
      <c r="L2677" s="954"/>
      <c r="M2677" s="952"/>
      <c r="N2677" s="952"/>
    </row>
    <row r="2678" spans="1:14">
      <c r="A2678" s="958" t="s">
        <v>366</v>
      </c>
      <c r="B2678" s="958">
        <v>31</v>
      </c>
      <c r="C2678" s="958" t="s">
        <v>6473</v>
      </c>
      <c r="D2678" s="957" t="s">
        <v>6472</v>
      </c>
      <c r="E2678" s="956">
        <v>19923</v>
      </c>
      <c r="F2678" s="955"/>
      <c r="L2678" s="954"/>
      <c r="M2678" s="952"/>
      <c r="N2678" s="952"/>
    </row>
    <row r="2679" spans="1:14">
      <c r="A2679" s="958" t="s">
        <v>366</v>
      </c>
      <c r="B2679" s="958">
        <v>31</v>
      </c>
      <c r="C2679" s="958" t="s">
        <v>6471</v>
      </c>
      <c r="D2679" s="957" t="s">
        <v>6470</v>
      </c>
      <c r="E2679" s="956">
        <v>20814</v>
      </c>
      <c r="F2679" s="955"/>
      <c r="L2679" s="954"/>
      <c r="M2679" s="952"/>
      <c r="N2679" s="952"/>
    </row>
    <row r="2680" spans="1:14">
      <c r="A2680" s="958" t="s">
        <v>366</v>
      </c>
      <c r="B2680" s="958">
        <v>31</v>
      </c>
      <c r="C2680" s="958" t="s">
        <v>6469</v>
      </c>
      <c r="D2680" s="957" t="s">
        <v>6468</v>
      </c>
      <c r="E2680" s="956">
        <v>3391</v>
      </c>
      <c r="F2680" s="955"/>
      <c r="L2680" s="954"/>
      <c r="M2680" s="952"/>
      <c r="N2680" s="952"/>
    </row>
    <row r="2681" spans="1:14">
      <c r="A2681" s="958" t="s">
        <v>366</v>
      </c>
      <c r="B2681" s="958">
        <v>31</v>
      </c>
      <c r="C2681" s="958" t="s">
        <v>6467</v>
      </c>
      <c r="D2681" s="957" t="s">
        <v>3776</v>
      </c>
      <c r="E2681" s="956">
        <v>6810</v>
      </c>
      <c r="F2681" s="955"/>
      <c r="L2681" s="954"/>
      <c r="M2681" s="952"/>
      <c r="N2681" s="952"/>
    </row>
    <row r="2682" spans="1:14">
      <c r="A2682" s="958" t="s">
        <v>366</v>
      </c>
      <c r="B2682" s="958">
        <v>31</v>
      </c>
      <c r="C2682" s="958" t="s">
        <v>6466</v>
      </c>
      <c r="D2682" s="957" t="s">
        <v>6465</v>
      </c>
      <c r="E2682" s="956">
        <v>6512</v>
      </c>
      <c r="F2682" s="955"/>
      <c r="L2682" s="954"/>
      <c r="M2682" s="952"/>
      <c r="N2682" s="952"/>
    </row>
    <row r="2683" spans="1:14">
      <c r="A2683" s="958" t="s">
        <v>366</v>
      </c>
      <c r="B2683" s="958">
        <v>31</v>
      </c>
      <c r="C2683" s="958" t="s">
        <v>6464</v>
      </c>
      <c r="D2683" s="957" t="s">
        <v>6463</v>
      </c>
      <c r="E2683" s="956">
        <v>103773</v>
      </c>
      <c r="F2683" s="955"/>
      <c r="L2683" s="954"/>
      <c r="M2683" s="952"/>
      <c r="N2683" s="952"/>
    </row>
    <row r="2684" spans="1:14">
      <c r="A2684" s="958" t="s">
        <v>366</v>
      </c>
      <c r="B2684" s="958">
        <v>31</v>
      </c>
      <c r="C2684" s="958" t="s">
        <v>6462</v>
      </c>
      <c r="D2684" s="957" t="s">
        <v>6461</v>
      </c>
      <c r="E2684" s="956">
        <v>3229</v>
      </c>
      <c r="F2684" s="955"/>
      <c r="L2684" s="954"/>
      <c r="M2684" s="952"/>
      <c r="N2684" s="952"/>
    </row>
    <row r="2685" spans="1:14">
      <c r="A2685" s="958" t="s">
        <v>366</v>
      </c>
      <c r="B2685" s="958">
        <v>31</v>
      </c>
      <c r="C2685" s="958" t="s">
        <v>6460</v>
      </c>
      <c r="D2685" s="957" t="s">
        <v>6459</v>
      </c>
      <c r="E2685" s="956">
        <v>4918</v>
      </c>
      <c r="F2685" s="955"/>
      <c r="L2685" s="954"/>
      <c r="M2685" s="952"/>
      <c r="N2685" s="952"/>
    </row>
    <row r="2686" spans="1:14">
      <c r="A2686" s="958" t="s">
        <v>366</v>
      </c>
      <c r="B2686" s="958">
        <v>31</v>
      </c>
      <c r="C2686" s="958" t="s">
        <v>6458</v>
      </c>
      <c r="D2686" s="957" t="s">
        <v>6457</v>
      </c>
      <c r="E2686" s="956">
        <v>52587</v>
      </c>
      <c r="F2686" s="955"/>
      <c r="L2686" s="954"/>
      <c r="M2686" s="952"/>
      <c r="N2686" s="952"/>
    </row>
    <row r="2687" spans="1:14">
      <c r="A2687" s="958" t="s">
        <v>366</v>
      </c>
      <c r="B2687" s="958">
        <v>31</v>
      </c>
      <c r="C2687" s="958" t="s">
        <v>6456</v>
      </c>
      <c r="D2687" s="957" t="s">
        <v>6455</v>
      </c>
      <c r="E2687" s="956">
        <v>5069</v>
      </c>
      <c r="F2687" s="955"/>
      <c r="L2687" s="954"/>
      <c r="M2687" s="952"/>
      <c r="N2687" s="952"/>
    </row>
    <row r="2688" spans="1:14">
      <c r="A2688" s="958" t="s">
        <v>366</v>
      </c>
      <c r="B2688" s="958">
        <v>31</v>
      </c>
      <c r="C2688" s="958" t="s">
        <v>6454</v>
      </c>
      <c r="D2688" s="957" t="s">
        <v>6453</v>
      </c>
      <c r="E2688" s="956">
        <v>16698</v>
      </c>
      <c r="F2688" s="955"/>
      <c r="L2688" s="954"/>
      <c r="M2688" s="952"/>
      <c r="N2688" s="952"/>
    </row>
    <row r="2689" spans="1:14">
      <c r="A2689" s="958" t="s">
        <v>366</v>
      </c>
      <c r="B2689" s="958">
        <v>31</v>
      </c>
      <c r="C2689" s="958" t="s">
        <v>6452</v>
      </c>
      <c r="D2689" s="957" t="s">
        <v>6451</v>
      </c>
      <c r="E2689" s="956">
        <v>7536</v>
      </c>
      <c r="F2689" s="955"/>
      <c r="L2689" s="954"/>
      <c r="M2689" s="952"/>
      <c r="N2689" s="952"/>
    </row>
    <row r="2690" spans="1:14">
      <c r="A2690" s="958" t="s">
        <v>366</v>
      </c>
      <c r="B2690" s="958">
        <v>31</v>
      </c>
      <c r="C2690" s="958" t="s">
        <v>6450</v>
      </c>
      <c r="D2690" s="957" t="s">
        <v>6449</v>
      </c>
      <c r="E2690" s="956">
        <v>9496</v>
      </c>
      <c r="F2690" s="955"/>
      <c r="L2690" s="954"/>
      <c r="M2690" s="952"/>
      <c r="N2690" s="952"/>
    </row>
    <row r="2691" spans="1:14">
      <c r="A2691" s="958" t="s">
        <v>366</v>
      </c>
      <c r="B2691" s="958">
        <v>31</v>
      </c>
      <c r="C2691" s="958" t="s">
        <v>6448</v>
      </c>
      <c r="D2691" s="957" t="s">
        <v>6447</v>
      </c>
      <c r="E2691" s="956">
        <v>6266</v>
      </c>
      <c r="F2691" s="955"/>
      <c r="L2691" s="954"/>
      <c r="M2691" s="952"/>
      <c r="N2691" s="952"/>
    </row>
    <row r="2692" spans="1:14">
      <c r="A2692" s="958" t="s">
        <v>366</v>
      </c>
      <c r="B2692" s="958">
        <v>31</v>
      </c>
      <c r="C2692" s="958" t="s">
        <v>6446</v>
      </c>
      <c r="D2692" s="957" t="s">
        <v>6445</v>
      </c>
      <c r="E2692" s="956">
        <v>6699</v>
      </c>
      <c r="F2692" s="955"/>
      <c r="L2692" s="954"/>
      <c r="M2692" s="952"/>
      <c r="N2692" s="952"/>
    </row>
    <row r="2693" spans="1:14">
      <c r="A2693" s="958" t="s">
        <v>366</v>
      </c>
      <c r="B2693" s="958">
        <v>31</v>
      </c>
      <c r="C2693" s="958" t="s">
        <v>6444</v>
      </c>
      <c r="D2693" s="957" t="s">
        <v>6443</v>
      </c>
      <c r="E2693" s="956">
        <v>5446</v>
      </c>
      <c r="F2693" s="955"/>
      <c r="L2693" s="954"/>
      <c r="M2693" s="952"/>
      <c r="N2693" s="952"/>
    </row>
    <row r="2694" spans="1:14">
      <c r="A2694" s="958" t="s">
        <v>366</v>
      </c>
      <c r="B2694" s="958">
        <v>31</v>
      </c>
      <c r="C2694" s="958" t="s">
        <v>6442</v>
      </c>
      <c r="D2694" s="957" t="s">
        <v>6441</v>
      </c>
      <c r="E2694" s="956">
        <v>18215</v>
      </c>
      <c r="F2694" s="955"/>
      <c r="L2694" s="954"/>
      <c r="M2694" s="952"/>
      <c r="N2694" s="952"/>
    </row>
    <row r="2695" spans="1:14">
      <c r="A2695" s="958" t="s">
        <v>366</v>
      </c>
      <c r="B2695" s="958">
        <v>31</v>
      </c>
      <c r="C2695" s="958" t="s">
        <v>6440</v>
      </c>
      <c r="D2695" s="957" t="s">
        <v>6439</v>
      </c>
      <c r="E2695" s="956">
        <v>7111</v>
      </c>
      <c r="F2695" s="955"/>
      <c r="L2695" s="954"/>
      <c r="M2695" s="952"/>
      <c r="N2695" s="952"/>
    </row>
    <row r="2696" spans="1:14">
      <c r="A2696" s="958" t="s">
        <v>366</v>
      </c>
      <c r="B2696" s="958">
        <v>31</v>
      </c>
      <c r="C2696" s="958" t="s">
        <v>6438</v>
      </c>
      <c r="D2696" s="957" t="s">
        <v>6437</v>
      </c>
      <c r="E2696" s="956">
        <v>42133</v>
      </c>
      <c r="F2696" s="955"/>
      <c r="L2696" s="954"/>
      <c r="M2696" s="952"/>
      <c r="N2696" s="952"/>
    </row>
    <row r="2697" spans="1:14">
      <c r="A2697" s="958" t="s">
        <v>366</v>
      </c>
      <c r="B2697" s="958">
        <v>31</v>
      </c>
      <c r="C2697" s="958" t="s">
        <v>6436</v>
      </c>
      <c r="D2697" s="957" t="s">
        <v>6435</v>
      </c>
      <c r="E2697" s="956">
        <v>5098</v>
      </c>
      <c r="F2697" s="955"/>
      <c r="L2697" s="954"/>
      <c r="M2697" s="952"/>
      <c r="N2697" s="952"/>
    </row>
    <row r="2698" spans="1:14">
      <c r="A2698" s="958" t="s">
        <v>366</v>
      </c>
      <c r="B2698" s="958">
        <v>31</v>
      </c>
      <c r="C2698" s="958" t="s">
        <v>6434</v>
      </c>
      <c r="D2698" s="957" t="s">
        <v>6433</v>
      </c>
      <c r="E2698" s="956">
        <v>18650</v>
      </c>
      <c r="F2698" s="955"/>
      <c r="L2698" s="954"/>
      <c r="M2698" s="952"/>
      <c r="N2698" s="952"/>
    </row>
    <row r="2699" spans="1:14">
      <c r="A2699" s="958" t="s">
        <v>366</v>
      </c>
      <c r="B2699" s="958">
        <v>31</v>
      </c>
      <c r="C2699" s="958" t="s">
        <v>6432</v>
      </c>
      <c r="D2699" s="957" t="s">
        <v>6431</v>
      </c>
      <c r="E2699" s="956">
        <v>6543</v>
      </c>
      <c r="F2699" s="955"/>
      <c r="L2699" s="954"/>
      <c r="M2699" s="952"/>
      <c r="N2699" s="952"/>
    </row>
    <row r="2700" spans="1:14">
      <c r="A2700" s="958" t="s">
        <v>366</v>
      </c>
      <c r="B2700" s="958">
        <v>31</v>
      </c>
      <c r="C2700" s="958" t="s">
        <v>6430</v>
      </c>
      <c r="D2700" s="957" t="s">
        <v>6429</v>
      </c>
      <c r="E2700" s="956">
        <v>18407</v>
      </c>
      <c r="F2700" s="955"/>
      <c r="L2700" s="954"/>
      <c r="M2700" s="952"/>
      <c r="N2700" s="952"/>
    </row>
    <row r="2701" spans="1:14">
      <c r="A2701" s="958" t="s">
        <v>366</v>
      </c>
      <c r="B2701" s="958">
        <v>31</v>
      </c>
      <c r="C2701" s="958" t="s">
        <v>6428</v>
      </c>
      <c r="D2701" s="957" t="s">
        <v>6427</v>
      </c>
      <c r="E2701" s="956">
        <v>90229</v>
      </c>
      <c r="F2701" s="955"/>
      <c r="L2701" s="954"/>
      <c r="M2701" s="952"/>
      <c r="N2701" s="952"/>
    </row>
    <row r="2702" spans="1:14">
      <c r="A2702" s="958" t="s">
        <v>366</v>
      </c>
      <c r="B2702" s="958">
        <v>31</v>
      </c>
      <c r="C2702" s="958" t="s">
        <v>6426</v>
      </c>
      <c r="D2702" s="957" t="s">
        <v>6425</v>
      </c>
      <c r="E2702" s="956">
        <v>22707</v>
      </c>
      <c r="F2702" s="955"/>
      <c r="L2702" s="954"/>
      <c r="M2702" s="952"/>
      <c r="N2702" s="952"/>
    </row>
    <row r="2703" spans="1:14">
      <c r="A2703" s="958" t="s">
        <v>366</v>
      </c>
      <c r="B2703" s="958">
        <v>31</v>
      </c>
      <c r="C2703" s="958" t="s">
        <v>6424</v>
      </c>
      <c r="D2703" s="957" t="s">
        <v>6423</v>
      </c>
      <c r="E2703" s="956">
        <v>27644</v>
      </c>
      <c r="F2703" s="955"/>
      <c r="L2703" s="954"/>
      <c r="M2703" s="952"/>
      <c r="N2703" s="952"/>
    </row>
    <row r="2704" spans="1:14">
      <c r="A2704" s="958" t="s">
        <v>366</v>
      </c>
      <c r="B2704" s="958">
        <v>31</v>
      </c>
      <c r="C2704" s="958" t="s">
        <v>6422</v>
      </c>
      <c r="D2704" s="957" t="s">
        <v>6421</v>
      </c>
      <c r="E2704" s="956">
        <v>7976</v>
      </c>
      <c r="F2704" s="955"/>
      <c r="L2704" s="954"/>
      <c r="M2704" s="952"/>
      <c r="N2704" s="952"/>
    </row>
    <row r="2705" spans="1:14">
      <c r="A2705" s="958" t="s">
        <v>366</v>
      </c>
      <c r="B2705" s="958">
        <v>31</v>
      </c>
      <c r="C2705" s="958" t="s">
        <v>6420</v>
      </c>
      <c r="D2705" s="957" t="s">
        <v>6419</v>
      </c>
      <c r="E2705" s="956">
        <v>12814</v>
      </c>
      <c r="F2705" s="955"/>
      <c r="L2705" s="954"/>
      <c r="M2705" s="952"/>
      <c r="N2705" s="952"/>
    </row>
    <row r="2706" spans="1:14">
      <c r="A2706" s="958" t="s">
        <v>366</v>
      </c>
      <c r="B2706" s="958">
        <v>31</v>
      </c>
      <c r="C2706" s="958" t="s">
        <v>6418</v>
      </c>
      <c r="D2706" s="957" t="s">
        <v>6417</v>
      </c>
      <c r="E2706" s="956">
        <v>14095</v>
      </c>
      <c r="F2706" s="955"/>
      <c r="L2706" s="954"/>
      <c r="M2706" s="952"/>
      <c r="N2706" s="952"/>
    </row>
    <row r="2707" spans="1:14">
      <c r="A2707" s="958" t="s">
        <v>366</v>
      </c>
      <c r="B2707" s="958">
        <v>31</v>
      </c>
      <c r="C2707" s="958" t="s">
        <v>6416</v>
      </c>
      <c r="D2707" s="957" t="s">
        <v>6415</v>
      </c>
      <c r="E2707" s="956">
        <v>60724</v>
      </c>
      <c r="F2707" s="955"/>
      <c r="L2707" s="954"/>
      <c r="M2707" s="952"/>
      <c r="N2707" s="952"/>
    </row>
    <row r="2708" spans="1:14">
      <c r="A2708" s="958" t="s">
        <v>366</v>
      </c>
      <c r="B2708" s="958">
        <v>31</v>
      </c>
      <c r="C2708" s="958" t="s">
        <v>6414</v>
      </c>
      <c r="D2708" s="957" t="s">
        <v>6413</v>
      </c>
      <c r="E2708" s="956">
        <v>4115</v>
      </c>
      <c r="F2708" s="955"/>
      <c r="L2708" s="954"/>
      <c r="M2708" s="952"/>
      <c r="N2708" s="952"/>
    </row>
    <row r="2709" spans="1:14">
      <c r="A2709" s="958" t="s">
        <v>366</v>
      </c>
      <c r="B2709" s="958">
        <v>31</v>
      </c>
      <c r="C2709" s="958" t="s">
        <v>6412</v>
      </c>
      <c r="D2709" s="957" t="s">
        <v>6411</v>
      </c>
      <c r="E2709" s="956">
        <v>15416</v>
      </c>
      <c r="F2709" s="955"/>
      <c r="L2709" s="954"/>
      <c r="M2709" s="952"/>
      <c r="N2709" s="952"/>
    </row>
    <row r="2710" spans="1:14">
      <c r="A2710" s="958" t="s">
        <v>366</v>
      </c>
      <c r="B2710" s="958">
        <v>31</v>
      </c>
      <c r="C2710" s="958" t="s">
        <v>6410</v>
      </c>
      <c r="D2710" s="957" t="s">
        <v>6409</v>
      </c>
      <c r="E2710" s="956">
        <v>2973</v>
      </c>
      <c r="F2710" s="955"/>
      <c r="L2710" s="954"/>
      <c r="M2710" s="952"/>
      <c r="N2710" s="952"/>
    </row>
    <row r="2711" spans="1:14">
      <c r="A2711" s="958" t="s">
        <v>366</v>
      </c>
      <c r="B2711" s="958">
        <v>31</v>
      </c>
      <c r="C2711" s="958" t="s">
        <v>6408</v>
      </c>
      <c r="D2711" s="957" t="s">
        <v>6407</v>
      </c>
      <c r="E2711" s="956">
        <v>4039</v>
      </c>
      <c r="F2711" s="955"/>
      <c r="L2711" s="954"/>
      <c r="M2711" s="952"/>
      <c r="N2711" s="952"/>
    </row>
    <row r="2712" spans="1:14">
      <c r="A2712" s="958" t="s">
        <v>366</v>
      </c>
      <c r="B2712" s="958">
        <v>31</v>
      </c>
      <c r="C2712" s="958" t="s">
        <v>6406</v>
      </c>
      <c r="D2712" s="957" t="s">
        <v>6405</v>
      </c>
      <c r="E2712" s="956">
        <v>2755</v>
      </c>
      <c r="F2712" s="955"/>
      <c r="L2712" s="954"/>
      <c r="M2712" s="952"/>
      <c r="N2712" s="952"/>
    </row>
    <row r="2713" spans="1:14">
      <c r="A2713" s="958" t="s">
        <v>366</v>
      </c>
      <c r="B2713" s="958">
        <v>31</v>
      </c>
      <c r="C2713" s="958" t="s">
        <v>6404</v>
      </c>
      <c r="D2713" s="957" t="s">
        <v>6403</v>
      </c>
      <c r="E2713" s="956">
        <v>13388</v>
      </c>
      <c r="F2713" s="955"/>
      <c r="L2713" s="954"/>
      <c r="M2713" s="952"/>
      <c r="N2713" s="952"/>
    </row>
    <row r="2714" spans="1:14">
      <c r="A2714" s="958" t="s">
        <v>366</v>
      </c>
      <c r="B2714" s="958">
        <v>31</v>
      </c>
      <c r="C2714" s="958" t="s">
        <v>6402</v>
      </c>
      <c r="D2714" s="957" t="s">
        <v>6401</v>
      </c>
      <c r="E2714" s="956">
        <v>8417</v>
      </c>
      <c r="F2714" s="955"/>
      <c r="L2714" s="954"/>
      <c r="M2714" s="952"/>
      <c r="N2714" s="952"/>
    </row>
    <row r="2715" spans="1:14">
      <c r="A2715" s="958" t="s">
        <v>366</v>
      </c>
      <c r="B2715" s="958">
        <v>31</v>
      </c>
      <c r="C2715" s="958" t="s">
        <v>6400</v>
      </c>
      <c r="D2715" s="957" t="s">
        <v>6399</v>
      </c>
      <c r="E2715" s="956">
        <v>8586</v>
      </c>
      <c r="F2715" s="955"/>
      <c r="L2715" s="954"/>
      <c r="M2715" s="952"/>
      <c r="N2715" s="952"/>
    </row>
    <row r="2716" spans="1:14">
      <c r="A2716" s="958" t="s">
        <v>366</v>
      </c>
      <c r="B2716" s="958">
        <v>31</v>
      </c>
      <c r="C2716" s="958" t="s">
        <v>6398</v>
      </c>
      <c r="D2716" s="957" t="s">
        <v>6397</v>
      </c>
      <c r="E2716" s="956">
        <v>4459</v>
      </c>
      <c r="F2716" s="955"/>
      <c r="L2716" s="954"/>
      <c r="M2716" s="952"/>
      <c r="N2716" s="952"/>
    </row>
    <row r="2717" spans="1:14">
      <c r="A2717" s="958" t="s">
        <v>366</v>
      </c>
      <c r="B2717" s="958">
        <v>31</v>
      </c>
      <c r="C2717" s="958" t="s">
        <v>6396</v>
      </c>
      <c r="D2717" s="957" t="s">
        <v>6395</v>
      </c>
      <c r="E2717" s="956">
        <v>31086</v>
      </c>
      <c r="F2717" s="955"/>
      <c r="L2717" s="954"/>
      <c r="M2717" s="952"/>
      <c r="N2717" s="952"/>
    </row>
    <row r="2718" spans="1:14">
      <c r="A2718" s="958" t="s">
        <v>366</v>
      </c>
      <c r="B2718" s="958">
        <v>31</v>
      </c>
      <c r="C2718" s="958" t="s">
        <v>6394</v>
      </c>
      <c r="D2718" s="957" t="s">
        <v>6393</v>
      </c>
      <c r="E2718" s="956">
        <v>14468</v>
      </c>
      <c r="F2718" s="955"/>
      <c r="L2718" s="954"/>
      <c r="M2718" s="952"/>
      <c r="N2718" s="952"/>
    </row>
    <row r="2719" spans="1:14">
      <c r="A2719" s="958" t="s">
        <v>366</v>
      </c>
      <c r="B2719" s="958">
        <v>31</v>
      </c>
      <c r="C2719" s="958" t="s">
        <v>6392</v>
      </c>
      <c r="D2719" s="957" t="s">
        <v>6391</v>
      </c>
      <c r="E2719" s="956">
        <v>11157</v>
      </c>
      <c r="F2719" s="955"/>
      <c r="L2719" s="954"/>
      <c r="M2719" s="952"/>
      <c r="N2719" s="952"/>
    </row>
    <row r="2720" spans="1:14">
      <c r="A2720" s="958" t="s">
        <v>366</v>
      </c>
      <c r="B2720" s="958">
        <v>31</v>
      </c>
      <c r="C2720" s="958" t="s">
        <v>6390</v>
      </c>
      <c r="D2720" s="957" t="s">
        <v>6389</v>
      </c>
      <c r="E2720" s="956">
        <v>18908</v>
      </c>
      <c r="F2720" s="955"/>
      <c r="L2720" s="954"/>
      <c r="M2720" s="952"/>
      <c r="N2720" s="952"/>
    </row>
    <row r="2721" spans="1:14">
      <c r="A2721" s="958" t="s">
        <v>366</v>
      </c>
      <c r="B2721" s="958">
        <v>31</v>
      </c>
      <c r="C2721" s="958" t="s">
        <v>6388</v>
      </c>
      <c r="D2721" s="957" t="s">
        <v>6387</v>
      </c>
      <c r="E2721" s="956">
        <v>12459</v>
      </c>
      <c r="F2721" s="955"/>
      <c r="L2721" s="954"/>
      <c r="M2721" s="952"/>
      <c r="N2721" s="952"/>
    </row>
    <row r="2722" spans="1:14">
      <c r="A2722" s="958" t="s">
        <v>366</v>
      </c>
      <c r="B2722" s="958">
        <v>31</v>
      </c>
      <c r="C2722" s="958" t="s">
        <v>6386</v>
      </c>
      <c r="D2722" s="957" t="s">
        <v>6385</v>
      </c>
      <c r="E2722" s="956">
        <v>37820</v>
      </c>
      <c r="F2722" s="955"/>
      <c r="L2722" s="954"/>
      <c r="M2722" s="952"/>
      <c r="N2722" s="952"/>
    </row>
    <row r="2723" spans="1:14">
      <c r="A2723" s="958" t="s">
        <v>366</v>
      </c>
      <c r="B2723" s="958">
        <v>31</v>
      </c>
      <c r="C2723" s="958" t="s">
        <v>6384</v>
      </c>
      <c r="D2723" s="957" t="s">
        <v>6383</v>
      </c>
      <c r="E2723" s="956">
        <v>3749</v>
      </c>
      <c r="F2723" s="955"/>
      <c r="L2723" s="954"/>
      <c r="M2723" s="952"/>
      <c r="N2723" s="952"/>
    </row>
    <row r="2724" spans="1:14">
      <c r="A2724" s="958" t="s">
        <v>366</v>
      </c>
      <c r="B2724" s="958">
        <v>31</v>
      </c>
      <c r="C2724" s="958" t="s">
        <v>6382</v>
      </c>
      <c r="D2724" s="957" t="s">
        <v>6381</v>
      </c>
      <c r="E2724" s="956">
        <v>3802</v>
      </c>
      <c r="F2724" s="955"/>
      <c r="L2724" s="954"/>
      <c r="M2724" s="952"/>
      <c r="N2724" s="952"/>
    </row>
    <row r="2725" spans="1:14">
      <c r="A2725" s="958" t="s">
        <v>366</v>
      </c>
      <c r="B2725" s="958">
        <v>31</v>
      </c>
      <c r="C2725" s="958" t="s">
        <v>6380</v>
      </c>
      <c r="D2725" s="957" t="s">
        <v>6379</v>
      </c>
      <c r="E2725" s="956">
        <v>20820</v>
      </c>
      <c r="F2725" s="955"/>
      <c r="L2725" s="954"/>
      <c r="M2725" s="952"/>
      <c r="N2725" s="952"/>
    </row>
    <row r="2726" spans="1:14">
      <c r="A2726" s="958" t="s">
        <v>366</v>
      </c>
      <c r="B2726" s="958">
        <v>31</v>
      </c>
      <c r="C2726" s="958" t="s">
        <v>6378</v>
      </c>
      <c r="D2726" s="957" t="s">
        <v>6377</v>
      </c>
      <c r="E2726" s="956">
        <v>6446</v>
      </c>
      <c r="F2726" s="955"/>
      <c r="L2726" s="954"/>
      <c r="M2726" s="952"/>
      <c r="N2726" s="952"/>
    </row>
    <row r="2727" spans="1:14">
      <c r="A2727" s="958" t="s">
        <v>366</v>
      </c>
      <c r="B2727" s="958">
        <v>31</v>
      </c>
      <c r="C2727" s="958" t="s">
        <v>6376</v>
      </c>
      <c r="D2727" s="957" t="s">
        <v>6375</v>
      </c>
      <c r="E2727" s="956">
        <v>10739</v>
      </c>
      <c r="F2727" s="955"/>
      <c r="L2727" s="954"/>
      <c r="M2727" s="952"/>
      <c r="N2727" s="952"/>
    </row>
    <row r="2728" spans="1:14">
      <c r="A2728" s="958" t="s">
        <v>366</v>
      </c>
      <c r="B2728" s="958">
        <v>31</v>
      </c>
      <c r="C2728" s="958" t="s">
        <v>6374</v>
      </c>
      <c r="D2728" s="957" t="s">
        <v>5466</v>
      </c>
      <c r="E2728" s="956">
        <v>5605</v>
      </c>
      <c r="F2728" s="955"/>
      <c r="L2728" s="954"/>
      <c r="M2728" s="952"/>
      <c r="N2728" s="952"/>
    </row>
    <row r="2729" spans="1:14">
      <c r="A2729" s="958" t="s">
        <v>366</v>
      </c>
      <c r="B2729" s="958">
        <v>31</v>
      </c>
      <c r="C2729" s="958" t="s">
        <v>6373</v>
      </c>
      <c r="D2729" s="957" t="s">
        <v>6372</v>
      </c>
      <c r="E2729" s="956">
        <v>31484</v>
      </c>
      <c r="F2729" s="955"/>
      <c r="L2729" s="954"/>
      <c r="M2729" s="952"/>
      <c r="N2729" s="952"/>
    </row>
    <row r="2730" spans="1:14">
      <c r="A2730" s="958" t="s">
        <v>366</v>
      </c>
      <c r="B2730" s="958">
        <v>31</v>
      </c>
      <c r="C2730" s="958" t="s">
        <v>6371</v>
      </c>
      <c r="D2730" s="957" t="s">
        <v>6370</v>
      </c>
      <c r="E2730" s="956">
        <v>3894</v>
      </c>
      <c r="F2730" s="955"/>
      <c r="L2730" s="954"/>
      <c r="M2730" s="952"/>
      <c r="N2730" s="952"/>
    </row>
    <row r="2731" spans="1:14">
      <c r="A2731" s="958" t="s">
        <v>366</v>
      </c>
      <c r="B2731" s="958">
        <v>31</v>
      </c>
      <c r="C2731" s="958" t="s">
        <v>6369</v>
      </c>
      <c r="D2731" s="957" t="s">
        <v>6368</v>
      </c>
      <c r="E2731" s="956">
        <v>13589</v>
      </c>
      <c r="F2731" s="955"/>
      <c r="L2731" s="954"/>
      <c r="M2731" s="952"/>
      <c r="N2731" s="952"/>
    </row>
    <row r="2732" spans="1:14">
      <c r="A2732" s="958" t="s">
        <v>366</v>
      </c>
      <c r="B2732" s="958">
        <v>31</v>
      </c>
      <c r="C2732" s="958" t="s">
        <v>6367</v>
      </c>
      <c r="D2732" s="957" t="s">
        <v>6366</v>
      </c>
      <c r="E2732" s="956">
        <v>10754</v>
      </c>
      <c r="F2732" s="955"/>
      <c r="L2732" s="954"/>
      <c r="M2732" s="952"/>
      <c r="N2732" s="952"/>
    </row>
    <row r="2733" spans="1:14">
      <c r="A2733" s="958" t="s">
        <v>366</v>
      </c>
      <c r="B2733" s="958">
        <v>31</v>
      </c>
      <c r="C2733" s="958" t="s">
        <v>6365</v>
      </c>
      <c r="D2733" s="957" t="s">
        <v>6364</v>
      </c>
      <c r="E2733" s="956">
        <v>15014</v>
      </c>
      <c r="F2733" s="955"/>
      <c r="L2733" s="954"/>
      <c r="M2733" s="952"/>
      <c r="N2733" s="952"/>
    </row>
    <row r="2734" spans="1:14">
      <c r="A2734" s="958" t="s">
        <v>366</v>
      </c>
      <c r="B2734" s="958">
        <v>31</v>
      </c>
      <c r="C2734" s="958" t="s">
        <v>6363</v>
      </c>
      <c r="D2734" s="957" t="s">
        <v>6362</v>
      </c>
      <c r="E2734" s="956">
        <v>4888</v>
      </c>
      <c r="F2734" s="955"/>
      <c r="L2734" s="954"/>
      <c r="M2734" s="952"/>
      <c r="N2734" s="952"/>
    </row>
    <row r="2735" spans="1:14">
      <c r="A2735" s="958" t="s">
        <v>366</v>
      </c>
      <c r="B2735" s="958">
        <v>31</v>
      </c>
      <c r="C2735" s="958" t="s">
        <v>6361</v>
      </c>
      <c r="D2735" s="957" t="s">
        <v>6360</v>
      </c>
      <c r="E2735" s="956">
        <v>4919</v>
      </c>
      <c r="F2735" s="955"/>
      <c r="L2735" s="954"/>
      <c r="M2735" s="952"/>
      <c r="N2735" s="952"/>
    </row>
    <row r="2736" spans="1:14">
      <c r="A2736" s="958" t="s">
        <v>366</v>
      </c>
      <c r="B2736" s="958">
        <v>31</v>
      </c>
      <c r="C2736" s="958" t="s">
        <v>6359</v>
      </c>
      <c r="D2736" s="957" t="s">
        <v>6358</v>
      </c>
      <c r="E2736" s="956">
        <v>7517</v>
      </c>
      <c r="F2736" s="955"/>
      <c r="L2736" s="954"/>
      <c r="M2736" s="952"/>
      <c r="N2736" s="952"/>
    </row>
    <row r="2737" spans="1:14">
      <c r="A2737" s="958" t="s">
        <v>366</v>
      </c>
      <c r="B2737" s="958">
        <v>31</v>
      </c>
      <c r="C2737" s="958" t="s">
        <v>6357</v>
      </c>
      <c r="D2737" s="957" t="s">
        <v>6356</v>
      </c>
      <c r="E2737" s="956">
        <v>2220</v>
      </c>
      <c r="F2737" s="955"/>
      <c r="L2737" s="954"/>
      <c r="M2737" s="952"/>
      <c r="N2737" s="952"/>
    </row>
    <row r="2738" spans="1:14">
      <c r="A2738" s="958" t="s">
        <v>366</v>
      </c>
      <c r="B2738" s="958">
        <v>31</v>
      </c>
      <c r="C2738" s="958" t="s">
        <v>6355</v>
      </c>
      <c r="D2738" s="957" t="s">
        <v>6354</v>
      </c>
      <c r="E2738" s="956">
        <v>8688</v>
      </c>
      <c r="F2738" s="955"/>
      <c r="L2738" s="954"/>
      <c r="M2738" s="952"/>
      <c r="N2738" s="952"/>
    </row>
    <row r="2739" spans="1:14">
      <c r="A2739" s="958" t="s">
        <v>366</v>
      </c>
      <c r="B2739" s="958">
        <v>31</v>
      </c>
      <c r="C2739" s="958" t="s">
        <v>6353</v>
      </c>
      <c r="D2739" s="957" t="s">
        <v>6352</v>
      </c>
      <c r="E2739" s="956">
        <v>14877</v>
      </c>
      <c r="F2739" s="955"/>
      <c r="L2739" s="954"/>
      <c r="M2739" s="952"/>
      <c r="N2739" s="952"/>
    </row>
    <row r="2740" spans="1:14">
      <c r="A2740" s="958" t="s">
        <v>366</v>
      </c>
      <c r="B2740" s="958">
        <v>31</v>
      </c>
      <c r="C2740" s="958" t="s">
        <v>6351</v>
      </c>
      <c r="D2740" s="957" t="s">
        <v>6350</v>
      </c>
      <c r="E2740" s="956">
        <v>21120</v>
      </c>
      <c r="F2740" s="955"/>
      <c r="L2740" s="954"/>
      <c r="M2740" s="952"/>
      <c r="N2740" s="952"/>
    </row>
    <row r="2741" spans="1:14">
      <c r="A2741" s="958" t="s">
        <v>366</v>
      </c>
      <c r="B2741" s="958">
        <v>31</v>
      </c>
      <c r="C2741" s="958" t="s">
        <v>6349</v>
      </c>
      <c r="D2741" s="957" t="s">
        <v>6348</v>
      </c>
      <c r="E2741" s="956">
        <v>20854</v>
      </c>
      <c r="F2741" s="955"/>
      <c r="L2741" s="954"/>
      <c r="M2741" s="952"/>
      <c r="N2741" s="952"/>
    </row>
    <row r="2742" spans="1:14">
      <c r="A2742" s="958" t="s">
        <v>366</v>
      </c>
      <c r="B2742" s="958">
        <v>31</v>
      </c>
      <c r="C2742" s="958" t="s">
        <v>6347</v>
      </c>
      <c r="D2742" s="957" t="s">
        <v>6346</v>
      </c>
      <c r="E2742" s="956">
        <v>13166</v>
      </c>
      <c r="F2742" s="955"/>
      <c r="L2742" s="954"/>
      <c r="M2742" s="952"/>
      <c r="N2742" s="952"/>
    </row>
    <row r="2743" spans="1:14">
      <c r="A2743" s="958" t="s">
        <v>366</v>
      </c>
      <c r="B2743" s="958">
        <v>31</v>
      </c>
      <c r="C2743" s="958" t="s">
        <v>6345</v>
      </c>
      <c r="D2743" s="957" t="s">
        <v>6344</v>
      </c>
      <c r="E2743" s="956">
        <v>47809</v>
      </c>
      <c r="F2743" s="955"/>
      <c r="L2743" s="954"/>
      <c r="M2743" s="952"/>
      <c r="N2743" s="952"/>
    </row>
    <row r="2744" spans="1:14">
      <c r="A2744" s="958" t="s">
        <v>366</v>
      </c>
      <c r="B2744" s="958">
        <v>31</v>
      </c>
      <c r="C2744" s="958" t="s">
        <v>6343</v>
      </c>
      <c r="D2744" s="957" t="s">
        <v>6342</v>
      </c>
      <c r="E2744" s="956">
        <v>4906</v>
      </c>
      <c r="F2744" s="955"/>
      <c r="L2744" s="954"/>
      <c r="M2744" s="952"/>
      <c r="N2744" s="952"/>
    </row>
    <row r="2745" spans="1:14">
      <c r="A2745" s="958" t="s">
        <v>366</v>
      </c>
      <c r="B2745" s="958">
        <v>31</v>
      </c>
      <c r="C2745" s="958" t="s">
        <v>6341</v>
      </c>
      <c r="D2745" s="957" t="s">
        <v>6340</v>
      </c>
      <c r="E2745" s="956">
        <v>21524</v>
      </c>
      <c r="F2745" s="955"/>
      <c r="L2745" s="954"/>
      <c r="M2745" s="952"/>
      <c r="N2745" s="952"/>
    </row>
    <row r="2746" spans="1:14">
      <c r="A2746" s="958" t="s">
        <v>366</v>
      </c>
      <c r="B2746" s="958">
        <v>31</v>
      </c>
      <c r="C2746" s="958" t="s">
        <v>6339</v>
      </c>
      <c r="D2746" s="957" t="s">
        <v>6338</v>
      </c>
      <c r="E2746" s="956">
        <v>409341</v>
      </c>
      <c r="F2746" s="955"/>
      <c r="L2746" s="954"/>
      <c r="M2746" s="952"/>
      <c r="N2746" s="952"/>
    </row>
    <row r="2747" spans="1:14">
      <c r="A2747" s="958" t="s">
        <v>366</v>
      </c>
      <c r="B2747" s="958">
        <v>31</v>
      </c>
      <c r="C2747" s="958" t="s">
        <v>6337</v>
      </c>
      <c r="D2747" s="957" t="s">
        <v>6336</v>
      </c>
      <c r="E2747" s="956">
        <v>23803</v>
      </c>
      <c r="F2747" s="955"/>
      <c r="L2747" s="954"/>
      <c r="M2747" s="952"/>
      <c r="N2747" s="952"/>
    </row>
    <row r="2748" spans="1:14">
      <c r="A2748" s="958" t="s">
        <v>366</v>
      </c>
      <c r="B2748" s="958">
        <v>31</v>
      </c>
      <c r="C2748" s="958" t="s">
        <v>6335</v>
      </c>
      <c r="D2748" s="957" t="s">
        <v>6334</v>
      </c>
      <c r="E2748" s="956">
        <v>8249</v>
      </c>
      <c r="F2748" s="955"/>
      <c r="L2748" s="954"/>
      <c r="M2748" s="952"/>
      <c r="N2748" s="952"/>
    </row>
    <row r="2749" spans="1:14">
      <c r="A2749" s="958" t="s">
        <v>366</v>
      </c>
      <c r="B2749" s="958">
        <v>31</v>
      </c>
      <c r="C2749" s="958" t="s">
        <v>6333</v>
      </c>
      <c r="D2749" s="957" t="s">
        <v>6332</v>
      </c>
      <c r="E2749" s="956">
        <v>8863</v>
      </c>
      <c r="F2749" s="955"/>
      <c r="L2749" s="954"/>
      <c r="M2749" s="952"/>
      <c r="N2749" s="952"/>
    </row>
    <row r="2750" spans="1:14">
      <c r="A2750" s="958" t="s">
        <v>366</v>
      </c>
      <c r="B2750" s="958">
        <v>31</v>
      </c>
      <c r="C2750" s="958" t="s">
        <v>6331</v>
      </c>
      <c r="D2750" s="957" t="s">
        <v>6330</v>
      </c>
      <c r="E2750" s="956">
        <v>2462</v>
      </c>
      <c r="F2750" s="955"/>
      <c r="L2750" s="954"/>
      <c r="M2750" s="952"/>
      <c r="N2750" s="952"/>
    </row>
    <row r="2751" spans="1:14">
      <c r="A2751" s="958" t="s">
        <v>366</v>
      </c>
      <c r="B2751" s="958">
        <v>31</v>
      </c>
      <c r="C2751" s="958" t="s">
        <v>6329</v>
      </c>
      <c r="D2751" s="957" t="s">
        <v>6328</v>
      </c>
      <c r="E2751" s="956">
        <v>3182</v>
      </c>
      <c r="F2751" s="955"/>
      <c r="L2751" s="954"/>
      <c r="M2751" s="952"/>
      <c r="N2751" s="952"/>
    </row>
    <row r="2752" spans="1:14">
      <c r="A2752" s="958" t="s">
        <v>366</v>
      </c>
      <c r="B2752" s="958">
        <v>31</v>
      </c>
      <c r="C2752" s="958" t="s">
        <v>6327</v>
      </c>
      <c r="D2752" s="957" t="s">
        <v>6326</v>
      </c>
      <c r="E2752" s="956">
        <v>6029</v>
      </c>
      <c r="F2752" s="955"/>
      <c r="L2752" s="954"/>
      <c r="M2752" s="952"/>
      <c r="N2752" s="952"/>
    </row>
    <row r="2753" spans="1:14">
      <c r="A2753" s="958" t="s">
        <v>366</v>
      </c>
      <c r="B2753" s="958">
        <v>31</v>
      </c>
      <c r="C2753" s="958" t="s">
        <v>6325</v>
      </c>
      <c r="D2753" s="957" t="s">
        <v>6324</v>
      </c>
      <c r="E2753" s="956">
        <v>108763</v>
      </c>
      <c r="F2753" s="955"/>
      <c r="L2753" s="954"/>
      <c r="M2753" s="952"/>
      <c r="N2753" s="952"/>
    </row>
    <row r="2754" spans="1:14">
      <c r="A2754" s="958" t="s">
        <v>366</v>
      </c>
      <c r="B2754" s="958">
        <v>31</v>
      </c>
      <c r="C2754" s="958" t="s">
        <v>6323</v>
      </c>
      <c r="D2754" s="957" t="s">
        <v>6322</v>
      </c>
      <c r="E2754" s="956">
        <v>26979</v>
      </c>
      <c r="F2754" s="955"/>
      <c r="L2754" s="954"/>
      <c r="M2754" s="952"/>
      <c r="N2754" s="952"/>
    </row>
    <row r="2755" spans="1:14">
      <c r="A2755" s="958" t="s">
        <v>366</v>
      </c>
      <c r="B2755" s="958">
        <v>31</v>
      </c>
      <c r="C2755" s="958" t="s">
        <v>6321</v>
      </c>
      <c r="D2755" s="957" t="s">
        <v>6320</v>
      </c>
      <c r="E2755" s="956">
        <v>20569</v>
      </c>
      <c r="F2755" s="955"/>
      <c r="L2755" s="954"/>
      <c r="M2755" s="952"/>
      <c r="N2755" s="952"/>
    </row>
    <row r="2756" spans="1:14">
      <c r="A2756" s="958" t="s">
        <v>366</v>
      </c>
      <c r="B2756" s="958">
        <v>31</v>
      </c>
      <c r="C2756" s="958" t="s">
        <v>6319</v>
      </c>
      <c r="D2756" s="957" t="s">
        <v>6318</v>
      </c>
      <c r="E2756" s="956">
        <v>3220</v>
      </c>
      <c r="F2756" s="955"/>
      <c r="L2756" s="954"/>
      <c r="M2756" s="952"/>
      <c r="N2756" s="952"/>
    </row>
    <row r="2757" spans="1:14">
      <c r="A2757" s="958" t="s">
        <v>366</v>
      </c>
      <c r="B2757" s="958">
        <v>31</v>
      </c>
      <c r="C2757" s="958" t="s">
        <v>6317</v>
      </c>
      <c r="D2757" s="957" t="s">
        <v>6316</v>
      </c>
      <c r="E2757" s="956">
        <v>40750</v>
      </c>
      <c r="F2757" s="955"/>
      <c r="L2757" s="954"/>
      <c r="M2757" s="952"/>
      <c r="N2757" s="952"/>
    </row>
    <row r="2758" spans="1:14">
      <c r="A2758" s="958" t="s">
        <v>366</v>
      </c>
      <c r="B2758" s="958">
        <v>31</v>
      </c>
      <c r="C2758" s="958" t="s">
        <v>6315</v>
      </c>
      <c r="D2758" s="957" t="s">
        <v>6314</v>
      </c>
      <c r="E2758" s="956">
        <v>6996</v>
      </c>
      <c r="F2758" s="955"/>
      <c r="L2758" s="954"/>
      <c r="M2758" s="952"/>
      <c r="N2758" s="952"/>
    </row>
    <row r="2759" spans="1:14">
      <c r="A2759" s="958" t="s">
        <v>366</v>
      </c>
      <c r="B2759" s="958">
        <v>31</v>
      </c>
      <c r="C2759" s="958" t="s">
        <v>6313</v>
      </c>
      <c r="D2759" s="957" t="s">
        <v>6312</v>
      </c>
      <c r="E2759" s="956">
        <v>3311</v>
      </c>
      <c r="F2759" s="955"/>
      <c r="L2759" s="954"/>
      <c r="M2759" s="952"/>
      <c r="N2759" s="952"/>
    </row>
    <row r="2760" spans="1:14">
      <c r="A2760" s="958" t="s">
        <v>366</v>
      </c>
      <c r="B2760" s="958">
        <v>31</v>
      </c>
      <c r="C2760" s="958" t="s">
        <v>6311</v>
      </c>
      <c r="D2760" s="957" t="s">
        <v>6310</v>
      </c>
      <c r="E2760" s="956">
        <v>4730</v>
      </c>
      <c r="F2760" s="955"/>
      <c r="L2760" s="954"/>
      <c r="M2760" s="952"/>
      <c r="N2760" s="952"/>
    </row>
    <row r="2761" spans="1:14">
      <c r="A2761" s="958" t="s">
        <v>366</v>
      </c>
      <c r="B2761" s="958">
        <v>31</v>
      </c>
      <c r="C2761" s="958" t="s">
        <v>6309</v>
      </c>
      <c r="D2761" s="957" t="s">
        <v>6308</v>
      </c>
      <c r="E2761" s="956">
        <v>8608</v>
      </c>
      <c r="F2761" s="955"/>
      <c r="L2761" s="954"/>
      <c r="M2761" s="952"/>
      <c r="N2761" s="952"/>
    </row>
    <row r="2762" spans="1:14">
      <c r="A2762" s="958" t="s">
        <v>366</v>
      </c>
      <c r="B2762" s="958">
        <v>31</v>
      </c>
      <c r="C2762" s="958" t="s">
        <v>6307</v>
      </c>
      <c r="D2762" s="957" t="s">
        <v>6306</v>
      </c>
      <c r="E2762" s="956">
        <v>26769</v>
      </c>
      <c r="F2762" s="955"/>
      <c r="L2762" s="954"/>
      <c r="M2762" s="952"/>
      <c r="N2762" s="952"/>
    </row>
    <row r="2763" spans="1:14">
      <c r="A2763" s="958" t="s">
        <v>366</v>
      </c>
      <c r="B2763" s="958">
        <v>31</v>
      </c>
      <c r="C2763" s="958" t="s">
        <v>6305</v>
      </c>
      <c r="D2763" s="957" t="s">
        <v>6304</v>
      </c>
      <c r="E2763" s="956">
        <v>10295</v>
      </c>
      <c r="F2763" s="955"/>
      <c r="L2763" s="954"/>
      <c r="M2763" s="952"/>
      <c r="N2763" s="952"/>
    </row>
    <row r="2764" spans="1:14">
      <c r="A2764" s="958" t="s">
        <v>366</v>
      </c>
      <c r="B2764" s="958">
        <v>31</v>
      </c>
      <c r="C2764" s="958" t="s">
        <v>6303</v>
      </c>
      <c r="D2764" s="957" t="s">
        <v>6302</v>
      </c>
      <c r="E2764" s="956">
        <v>3190</v>
      </c>
      <c r="F2764" s="955"/>
      <c r="L2764" s="954"/>
      <c r="M2764" s="952"/>
      <c r="N2764" s="952"/>
    </row>
    <row r="2765" spans="1:14">
      <c r="A2765" s="958" t="s">
        <v>366</v>
      </c>
      <c r="B2765" s="958">
        <v>31</v>
      </c>
      <c r="C2765" s="958" t="s">
        <v>6301</v>
      </c>
      <c r="D2765" s="957" t="s">
        <v>6300</v>
      </c>
      <c r="E2765" s="956">
        <v>17578</v>
      </c>
      <c r="F2765" s="955"/>
      <c r="L2765" s="954"/>
      <c r="M2765" s="952"/>
      <c r="N2765" s="952"/>
    </row>
    <row r="2766" spans="1:14">
      <c r="A2766" s="958" t="s">
        <v>366</v>
      </c>
      <c r="B2766" s="958">
        <v>31</v>
      </c>
      <c r="C2766" s="958" t="s">
        <v>6299</v>
      </c>
      <c r="D2766" s="957" t="s">
        <v>6298</v>
      </c>
      <c r="E2766" s="956">
        <v>94889</v>
      </c>
      <c r="F2766" s="955"/>
      <c r="L2766" s="954"/>
      <c r="M2766" s="952"/>
      <c r="N2766" s="952"/>
    </row>
    <row r="2767" spans="1:14">
      <c r="A2767" s="958" t="s">
        <v>366</v>
      </c>
      <c r="B2767" s="958">
        <v>31</v>
      </c>
      <c r="C2767" s="958" t="s">
        <v>6297</v>
      </c>
      <c r="D2767" s="957" t="s">
        <v>6296</v>
      </c>
      <c r="E2767" s="956">
        <v>3600</v>
      </c>
      <c r="F2767" s="955"/>
      <c r="L2767" s="954"/>
      <c r="M2767" s="952"/>
      <c r="N2767" s="952"/>
    </row>
    <row r="2768" spans="1:14">
      <c r="A2768" s="958" t="s">
        <v>366</v>
      </c>
      <c r="B2768" s="958">
        <v>31</v>
      </c>
      <c r="C2768" s="958" t="s">
        <v>6295</v>
      </c>
      <c r="D2768" s="957" t="s">
        <v>6294</v>
      </c>
      <c r="E2768" s="956">
        <v>15545</v>
      </c>
      <c r="F2768" s="955"/>
      <c r="L2768" s="954"/>
      <c r="M2768" s="952"/>
      <c r="N2768" s="952"/>
    </row>
    <row r="2769" spans="1:14">
      <c r="A2769" s="958" t="s">
        <v>366</v>
      </c>
      <c r="B2769" s="958">
        <v>31</v>
      </c>
      <c r="C2769" s="958" t="s">
        <v>6293</v>
      </c>
      <c r="D2769" s="957" t="s">
        <v>6292</v>
      </c>
      <c r="E2769" s="956">
        <v>7500</v>
      </c>
      <c r="F2769" s="955"/>
      <c r="L2769" s="954"/>
      <c r="M2769" s="952"/>
      <c r="N2769" s="952"/>
    </row>
    <row r="2770" spans="1:14">
      <c r="A2770" s="958" t="s">
        <v>366</v>
      </c>
      <c r="B2770" s="958">
        <v>31</v>
      </c>
      <c r="C2770" s="958" t="s">
        <v>6291</v>
      </c>
      <c r="D2770" s="957" t="s">
        <v>6290</v>
      </c>
      <c r="E2770" s="956">
        <v>16723</v>
      </c>
      <c r="F2770" s="955"/>
      <c r="L2770" s="954"/>
      <c r="M2770" s="952"/>
      <c r="N2770" s="952"/>
    </row>
    <row r="2771" spans="1:14">
      <c r="A2771" s="958" t="s">
        <v>366</v>
      </c>
      <c r="B2771" s="958">
        <v>31</v>
      </c>
      <c r="C2771" s="958" t="s">
        <v>6289</v>
      </c>
      <c r="D2771" s="957" t="s">
        <v>6288</v>
      </c>
      <c r="E2771" s="956">
        <v>102693</v>
      </c>
      <c r="F2771" s="955"/>
      <c r="L2771" s="954"/>
      <c r="M2771" s="952"/>
      <c r="N2771" s="952"/>
    </row>
    <row r="2772" spans="1:14">
      <c r="A2772" s="958" t="s">
        <v>366</v>
      </c>
      <c r="B2772" s="958">
        <v>31</v>
      </c>
      <c r="C2772" s="958" t="s">
        <v>6287</v>
      </c>
      <c r="D2772" s="957" t="s">
        <v>6286</v>
      </c>
      <c r="E2772" s="956">
        <v>31331</v>
      </c>
      <c r="F2772" s="955"/>
      <c r="L2772" s="954"/>
      <c r="M2772" s="952"/>
      <c r="N2772" s="952"/>
    </row>
    <row r="2773" spans="1:14">
      <c r="A2773" s="958" t="s">
        <v>366</v>
      </c>
      <c r="B2773" s="958">
        <v>31</v>
      </c>
      <c r="C2773" s="958" t="s">
        <v>6285</v>
      </c>
      <c r="D2773" s="957" t="s">
        <v>6284</v>
      </c>
      <c r="E2773" s="956">
        <v>10755</v>
      </c>
      <c r="F2773" s="955"/>
      <c r="L2773" s="954"/>
      <c r="M2773" s="952"/>
      <c r="N2773" s="952"/>
    </row>
    <row r="2774" spans="1:14">
      <c r="A2774" s="958" t="s">
        <v>366</v>
      </c>
      <c r="B2774" s="958">
        <v>31</v>
      </c>
      <c r="C2774" s="958" t="s">
        <v>6283</v>
      </c>
      <c r="D2774" s="957" t="s">
        <v>6282</v>
      </c>
      <c r="E2774" s="956">
        <v>5299</v>
      </c>
      <c r="F2774" s="955"/>
      <c r="L2774" s="954"/>
      <c r="M2774" s="952"/>
      <c r="N2774" s="952"/>
    </row>
    <row r="2775" spans="1:14">
      <c r="A2775" s="958" t="s">
        <v>366</v>
      </c>
      <c r="B2775" s="958">
        <v>31</v>
      </c>
      <c r="C2775" s="958" t="s">
        <v>6281</v>
      </c>
      <c r="D2775" s="957" t="s">
        <v>6280</v>
      </c>
      <c r="E2775" s="956">
        <v>1747</v>
      </c>
      <c r="F2775" s="955"/>
      <c r="L2775" s="954"/>
      <c r="M2775" s="952"/>
      <c r="N2775" s="952"/>
    </row>
    <row r="2776" spans="1:14">
      <c r="A2776" s="958" t="s">
        <v>366</v>
      </c>
      <c r="B2776" s="958">
        <v>31</v>
      </c>
      <c r="C2776" s="958" t="s">
        <v>6279</v>
      </c>
      <c r="D2776" s="957" t="s">
        <v>6278</v>
      </c>
      <c r="E2776" s="956">
        <v>6096</v>
      </c>
      <c r="F2776" s="955"/>
      <c r="L2776" s="954"/>
      <c r="M2776" s="952"/>
      <c r="N2776" s="952"/>
    </row>
    <row r="2777" spans="1:14">
      <c r="A2777" s="958" t="s">
        <v>366</v>
      </c>
      <c r="B2777" s="958">
        <v>31</v>
      </c>
      <c r="C2777" s="958" t="s">
        <v>6277</v>
      </c>
      <c r="D2777" s="957" t="s">
        <v>6276</v>
      </c>
      <c r="E2777" s="956">
        <v>2787</v>
      </c>
      <c r="F2777" s="955"/>
      <c r="L2777" s="954"/>
      <c r="M2777" s="952"/>
      <c r="N2777" s="952"/>
    </row>
    <row r="2778" spans="1:14">
      <c r="A2778" s="958" t="s">
        <v>366</v>
      </c>
      <c r="B2778" s="958">
        <v>31</v>
      </c>
      <c r="C2778" s="958" t="s">
        <v>6275</v>
      </c>
      <c r="D2778" s="957" t="s">
        <v>6274</v>
      </c>
      <c r="E2778" s="956">
        <v>41687</v>
      </c>
      <c r="F2778" s="955"/>
      <c r="L2778" s="954"/>
      <c r="M2778" s="952"/>
      <c r="N2778" s="952"/>
    </row>
    <row r="2779" spans="1:14">
      <c r="A2779" s="958" t="s">
        <v>366</v>
      </c>
      <c r="B2779" s="958">
        <v>31</v>
      </c>
      <c r="C2779" s="958" t="s">
        <v>6273</v>
      </c>
      <c r="D2779" s="957" t="s">
        <v>6272</v>
      </c>
      <c r="E2779" s="956">
        <v>2133</v>
      </c>
      <c r="F2779" s="955"/>
      <c r="L2779" s="954"/>
      <c r="M2779" s="952"/>
      <c r="N2779" s="952"/>
    </row>
    <row r="2780" spans="1:14">
      <c r="A2780" s="958" t="s">
        <v>366</v>
      </c>
      <c r="B2780" s="958">
        <v>31</v>
      </c>
      <c r="C2780" s="958" t="s">
        <v>6271</v>
      </c>
      <c r="D2780" s="957" t="s">
        <v>6270</v>
      </c>
      <c r="E2780" s="956">
        <v>3148</v>
      </c>
      <c r="F2780" s="955"/>
      <c r="L2780" s="954"/>
      <c r="M2780" s="952"/>
      <c r="N2780" s="952"/>
    </row>
    <row r="2781" spans="1:14">
      <c r="A2781" s="958" t="s">
        <v>366</v>
      </c>
      <c r="B2781" s="958">
        <v>31</v>
      </c>
      <c r="C2781" s="958" t="s">
        <v>6269</v>
      </c>
      <c r="D2781" s="957" t="s">
        <v>6268</v>
      </c>
      <c r="E2781" s="956">
        <v>4655</v>
      </c>
      <c r="F2781" s="955"/>
      <c r="L2781" s="954"/>
      <c r="M2781" s="952"/>
      <c r="N2781" s="952"/>
    </row>
    <row r="2782" spans="1:14">
      <c r="A2782" s="958" t="s">
        <v>366</v>
      </c>
      <c r="B2782" s="958">
        <v>31</v>
      </c>
      <c r="C2782" s="958" t="s">
        <v>6267</v>
      </c>
      <c r="D2782" s="957" t="s">
        <v>6266</v>
      </c>
      <c r="E2782" s="956">
        <v>8018</v>
      </c>
      <c r="F2782" s="955"/>
      <c r="L2782" s="954"/>
      <c r="M2782" s="952"/>
      <c r="N2782" s="952"/>
    </row>
    <row r="2783" spans="1:14">
      <c r="A2783" s="958" t="s">
        <v>366</v>
      </c>
      <c r="B2783" s="958">
        <v>31</v>
      </c>
      <c r="C2783" s="958" t="s">
        <v>6265</v>
      </c>
      <c r="D2783" s="957" t="s">
        <v>6264</v>
      </c>
      <c r="E2783" s="956">
        <v>39500</v>
      </c>
      <c r="F2783" s="955"/>
      <c r="L2783" s="954"/>
      <c r="M2783" s="952"/>
      <c r="N2783" s="952"/>
    </row>
    <row r="2784" spans="1:14">
      <c r="A2784" s="958" t="s">
        <v>366</v>
      </c>
      <c r="B2784" s="958">
        <v>31</v>
      </c>
      <c r="C2784" s="958" t="s">
        <v>6263</v>
      </c>
      <c r="D2784" s="957" t="s">
        <v>6262</v>
      </c>
      <c r="E2784" s="956">
        <v>33639</v>
      </c>
      <c r="F2784" s="955"/>
      <c r="L2784" s="954"/>
      <c r="M2784" s="952"/>
      <c r="N2784" s="952"/>
    </row>
    <row r="2785" spans="1:14">
      <c r="A2785" s="958" t="s">
        <v>366</v>
      </c>
      <c r="B2785" s="958">
        <v>31</v>
      </c>
      <c r="C2785" s="958" t="s">
        <v>6261</v>
      </c>
      <c r="D2785" s="957" t="s">
        <v>6260</v>
      </c>
      <c r="E2785" s="956">
        <v>74281</v>
      </c>
      <c r="F2785" s="955"/>
      <c r="L2785" s="954"/>
      <c r="M2785" s="952"/>
      <c r="N2785" s="952"/>
    </row>
    <row r="2786" spans="1:14">
      <c r="A2786" s="958" t="s">
        <v>366</v>
      </c>
      <c r="B2786" s="958">
        <v>31</v>
      </c>
      <c r="C2786" s="958" t="s">
        <v>6259</v>
      </c>
      <c r="D2786" s="957" t="s">
        <v>6258</v>
      </c>
      <c r="E2786" s="956">
        <v>5934</v>
      </c>
      <c r="F2786" s="955"/>
      <c r="L2786" s="954"/>
      <c r="M2786" s="952"/>
      <c r="N2786" s="952"/>
    </row>
    <row r="2787" spans="1:14">
      <c r="A2787" s="958" t="s">
        <v>366</v>
      </c>
      <c r="B2787" s="958">
        <v>31</v>
      </c>
      <c r="C2787" s="958" t="s">
        <v>6257</v>
      </c>
      <c r="D2787" s="957" t="s">
        <v>6256</v>
      </c>
      <c r="E2787" s="956">
        <v>6378</v>
      </c>
      <c r="F2787" s="955"/>
      <c r="L2787" s="954"/>
      <c r="M2787" s="952"/>
      <c r="N2787" s="952"/>
    </row>
    <row r="2788" spans="1:14">
      <c r="A2788" s="958" t="s">
        <v>366</v>
      </c>
      <c r="B2788" s="958">
        <v>31</v>
      </c>
      <c r="C2788" s="958" t="s">
        <v>6255</v>
      </c>
      <c r="D2788" s="957" t="s">
        <v>6254</v>
      </c>
      <c r="E2788" s="956">
        <v>20154</v>
      </c>
      <c r="F2788" s="955"/>
      <c r="L2788" s="954"/>
      <c r="M2788" s="952"/>
      <c r="N2788" s="952"/>
    </row>
    <row r="2789" spans="1:14">
      <c r="A2789" s="958" t="s">
        <v>366</v>
      </c>
      <c r="B2789" s="958">
        <v>31</v>
      </c>
      <c r="C2789" s="958" t="s">
        <v>6253</v>
      </c>
      <c r="D2789" s="957" t="s">
        <v>6252</v>
      </c>
      <c r="E2789" s="956">
        <v>4486</v>
      </c>
      <c r="F2789" s="955"/>
      <c r="L2789" s="954"/>
      <c r="M2789" s="952"/>
      <c r="N2789" s="952"/>
    </row>
    <row r="2790" spans="1:14">
      <c r="A2790" s="958" t="s">
        <v>366</v>
      </c>
      <c r="B2790" s="958">
        <v>31</v>
      </c>
      <c r="C2790" s="958" t="s">
        <v>6251</v>
      </c>
      <c r="D2790" s="957" t="s">
        <v>6250</v>
      </c>
      <c r="E2790" s="956">
        <v>8283</v>
      </c>
      <c r="F2790" s="955"/>
      <c r="L2790" s="954"/>
      <c r="M2790" s="952"/>
      <c r="N2790" s="952"/>
    </row>
    <row r="2791" spans="1:14">
      <c r="A2791" s="958" t="s">
        <v>366</v>
      </c>
      <c r="B2791" s="958">
        <v>31</v>
      </c>
      <c r="C2791" s="958" t="s">
        <v>6249</v>
      </c>
      <c r="D2791" s="957" t="s">
        <v>6248</v>
      </c>
      <c r="E2791" s="956">
        <v>6089</v>
      </c>
      <c r="F2791" s="955"/>
      <c r="L2791" s="954"/>
      <c r="M2791" s="952"/>
      <c r="N2791" s="952"/>
    </row>
    <row r="2792" spans="1:14">
      <c r="A2792" s="958" t="s">
        <v>366</v>
      </c>
      <c r="B2792" s="958">
        <v>31</v>
      </c>
      <c r="C2792" s="958" t="s">
        <v>6247</v>
      </c>
      <c r="D2792" s="957" t="s">
        <v>6246</v>
      </c>
      <c r="E2792" s="956">
        <v>1529</v>
      </c>
      <c r="F2792" s="955"/>
      <c r="L2792" s="954"/>
      <c r="M2792" s="952"/>
      <c r="N2792" s="952"/>
    </row>
    <row r="2793" spans="1:14">
      <c r="A2793" s="958" t="s">
        <v>366</v>
      </c>
      <c r="B2793" s="958">
        <v>31</v>
      </c>
      <c r="C2793" s="958" t="s">
        <v>6245</v>
      </c>
      <c r="D2793" s="957" t="s">
        <v>6244</v>
      </c>
      <c r="E2793" s="956">
        <v>6616</v>
      </c>
      <c r="F2793" s="955"/>
      <c r="L2793" s="954"/>
      <c r="M2793" s="952"/>
      <c r="N2793" s="952"/>
    </row>
    <row r="2794" spans="1:14">
      <c r="A2794" s="958" t="s">
        <v>366</v>
      </c>
      <c r="B2794" s="958">
        <v>31</v>
      </c>
      <c r="C2794" s="958" t="s">
        <v>6243</v>
      </c>
      <c r="D2794" s="957" t="s">
        <v>6242</v>
      </c>
      <c r="E2794" s="956">
        <v>5507</v>
      </c>
      <c r="F2794" s="955"/>
      <c r="L2794" s="954"/>
      <c r="M2794" s="952"/>
      <c r="N2794" s="952"/>
    </row>
    <row r="2795" spans="1:14">
      <c r="A2795" s="958" t="s">
        <v>366</v>
      </c>
      <c r="B2795" s="958">
        <v>31</v>
      </c>
      <c r="C2795" s="958" t="s">
        <v>6241</v>
      </c>
      <c r="D2795" s="957" t="s">
        <v>6240</v>
      </c>
      <c r="E2795" s="956">
        <v>15674</v>
      </c>
      <c r="F2795" s="955"/>
      <c r="L2795" s="954"/>
      <c r="M2795" s="952"/>
      <c r="N2795" s="952"/>
    </row>
    <row r="2796" spans="1:14">
      <c r="A2796" s="958" t="s">
        <v>366</v>
      </c>
      <c r="B2796" s="958">
        <v>31</v>
      </c>
      <c r="C2796" s="958" t="s">
        <v>6239</v>
      </c>
      <c r="D2796" s="957" t="s">
        <v>6238</v>
      </c>
      <c r="E2796" s="956">
        <v>93158</v>
      </c>
      <c r="F2796" s="955"/>
      <c r="L2796" s="954"/>
      <c r="M2796" s="952"/>
      <c r="N2796" s="952"/>
    </row>
    <row r="2797" spans="1:14">
      <c r="A2797" s="958" t="s">
        <v>366</v>
      </c>
      <c r="B2797" s="958">
        <v>31</v>
      </c>
      <c r="C2797" s="958" t="s">
        <v>6237</v>
      </c>
      <c r="D2797" s="957" t="s">
        <v>6236</v>
      </c>
      <c r="E2797" s="956">
        <v>93969</v>
      </c>
      <c r="F2797" s="955"/>
      <c r="L2797" s="954"/>
      <c r="M2797" s="952"/>
      <c r="N2797" s="952"/>
    </row>
    <row r="2798" spans="1:14">
      <c r="A2798" s="958" t="s">
        <v>366</v>
      </c>
      <c r="B2798" s="958">
        <v>31</v>
      </c>
      <c r="C2798" s="958" t="s">
        <v>6235</v>
      </c>
      <c r="D2798" s="957" t="s">
        <v>6234</v>
      </c>
      <c r="E2798" s="956">
        <v>21513</v>
      </c>
      <c r="F2798" s="955"/>
      <c r="L2798" s="954"/>
      <c r="M2798" s="952"/>
      <c r="N2798" s="952"/>
    </row>
    <row r="2799" spans="1:14">
      <c r="A2799" s="958" t="s">
        <v>366</v>
      </c>
      <c r="B2799" s="958">
        <v>31</v>
      </c>
      <c r="C2799" s="958" t="s">
        <v>6233</v>
      </c>
      <c r="D2799" s="957" t="s">
        <v>6232</v>
      </c>
      <c r="E2799" s="956">
        <v>21083</v>
      </c>
      <c r="F2799" s="955"/>
      <c r="L2799" s="954"/>
      <c r="M2799" s="952"/>
      <c r="N2799" s="952"/>
    </row>
    <row r="2800" spans="1:14">
      <c r="A2800" s="958" t="s">
        <v>366</v>
      </c>
      <c r="B2800" s="958">
        <v>31</v>
      </c>
      <c r="C2800" s="958" t="s">
        <v>6231</v>
      </c>
      <c r="D2800" s="957" t="s">
        <v>6230</v>
      </c>
      <c r="E2800" s="956">
        <v>24540</v>
      </c>
      <c r="F2800" s="955"/>
      <c r="L2800" s="954"/>
      <c r="M2800" s="952"/>
      <c r="N2800" s="952"/>
    </row>
    <row r="2801" spans="1:14">
      <c r="A2801" s="958" t="s">
        <v>366</v>
      </c>
      <c r="B2801" s="958">
        <v>31</v>
      </c>
      <c r="C2801" s="958" t="s">
        <v>6229</v>
      </c>
      <c r="D2801" s="957" t="s">
        <v>6228</v>
      </c>
      <c r="E2801" s="956">
        <v>1649</v>
      </c>
      <c r="F2801" s="955"/>
      <c r="L2801" s="954"/>
      <c r="M2801" s="952"/>
      <c r="N2801" s="952"/>
    </row>
    <row r="2802" spans="1:14">
      <c r="A2802" s="958" t="s">
        <v>366</v>
      </c>
      <c r="B2802" s="958">
        <v>31</v>
      </c>
      <c r="C2802" s="958" t="s">
        <v>6227</v>
      </c>
      <c r="D2802" s="957" t="s">
        <v>6226</v>
      </c>
      <c r="E2802" s="956">
        <v>16344</v>
      </c>
      <c r="F2802" s="955"/>
      <c r="L2802" s="954"/>
      <c r="M2802" s="952"/>
      <c r="N2802" s="952"/>
    </row>
    <row r="2803" spans="1:14">
      <c r="A2803" s="958" t="s">
        <v>366</v>
      </c>
      <c r="B2803" s="958">
        <v>31</v>
      </c>
      <c r="C2803" s="958" t="s">
        <v>6225</v>
      </c>
      <c r="D2803" s="957" t="s">
        <v>6224</v>
      </c>
      <c r="E2803" s="956">
        <v>8084</v>
      </c>
      <c r="F2803" s="955"/>
      <c r="L2803" s="954"/>
      <c r="M2803" s="952"/>
      <c r="N2803" s="952"/>
    </row>
    <row r="2804" spans="1:14">
      <c r="A2804" s="958" t="s">
        <v>366</v>
      </c>
      <c r="B2804" s="958">
        <v>31</v>
      </c>
      <c r="C2804" s="958" t="s">
        <v>6223</v>
      </c>
      <c r="D2804" s="957" t="s">
        <v>6222</v>
      </c>
      <c r="E2804" s="956">
        <v>2039</v>
      </c>
      <c r="F2804" s="955"/>
      <c r="L2804" s="954"/>
      <c r="M2804" s="952"/>
      <c r="N2804" s="952"/>
    </row>
    <row r="2805" spans="1:14">
      <c r="A2805" s="958" t="s">
        <v>366</v>
      </c>
      <c r="B2805" s="958">
        <v>31</v>
      </c>
      <c r="C2805" s="958" t="s">
        <v>6221</v>
      </c>
      <c r="D2805" s="957" t="s">
        <v>6220</v>
      </c>
      <c r="E2805" s="956">
        <v>114679</v>
      </c>
      <c r="F2805" s="955"/>
      <c r="L2805" s="954"/>
      <c r="M2805" s="952"/>
      <c r="N2805" s="952"/>
    </row>
    <row r="2806" spans="1:14">
      <c r="A2806" s="958" t="s">
        <v>366</v>
      </c>
      <c r="B2806" s="958">
        <v>31</v>
      </c>
      <c r="C2806" s="958" t="s">
        <v>6219</v>
      </c>
      <c r="D2806" s="957" t="s">
        <v>6218</v>
      </c>
      <c r="E2806" s="956">
        <v>5972</v>
      </c>
      <c r="F2806" s="955"/>
      <c r="L2806" s="954"/>
      <c r="M2806" s="952"/>
      <c r="N2806" s="952"/>
    </row>
    <row r="2807" spans="1:14">
      <c r="A2807" s="958" t="s">
        <v>366</v>
      </c>
      <c r="B2807" s="958">
        <v>31</v>
      </c>
      <c r="C2807" s="958" t="s">
        <v>6217</v>
      </c>
      <c r="D2807" s="957" t="s">
        <v>6216</v>
      </c>
      <c r="E2807" s="956">
        <v>152488</v>
      </c>
      <c r="F2807" s="955"/>
      <c r="L2807" s="954"/>
      <c r="M2807" s="952"/>
      <c r="N2807" s="952"/>
    </row>
    <row r="2808" spans="1:14">
      <c r="A2808" s="958" t="s">
        <v>366</v>
      </c>
      <c r="B2808" s="958">
        <v>31</v>
      </c>
      <c r="C2808" s="958" t="s">
        <v>6215</v>
      </c>
      <c r="D2808" s="957" t="s">
        <v>6214</v>
      </c>
      <c r="E2808" s="956">
        <v>90757</v>
      </c>
      <c r="F2808" s="955"/>
      <c r="L2808" s="954"/>
      <c r="M2808" s="952"/>
      <c r="N2808" s="952"/>
    </row>
    <row r="2809" spans="1:14">
      <c r="A2809" s="958" t="s">
        <v>366</v>
      </c>
      <c r="B2809" s="958">
        <v>31</v>
      </c>
      <c r="C2809" s="958" t="s">
        <v>6213</v>
      </c>
      <c r="D2809" s="957" t="s">
        <v>6212</v>
      </c>
      <c r="E2809" s="956">
        <v>5684</v>
      </c>
      <c r="F2809" s="955"/>
      <c r="L2809" s="954"/>
      <c r="M2809" s="952"/>
      <c r="N2809" s="952"/>
    </row>
    <row r="2810" spans="1:14">
      <c r="A2810" s="958" t="s">
        <v>366</v>
      </c>
      <c r="B2810" s="958">
        <v>31</v>
      </c>
      <c r="C2810" s="958" t="s">
        <v>6211</v>
      </c>
      <c r="D2810" s="957" t="s">
        <v>6210</v>
      </c>
      <c r="E2810" s="956">
        <v>9571</v>
      </c>
      <c r="F2810" s="955"/>
      <c r="L2810" s="954"/>
      <c r="M2810" s="952"/>
      <c r="N2810" s="952"/>
    </row>
    <row r="2811" spans="1:14">
      <c r="A2811" s="958" t="s">
        <v>366</v>
      </c>
      <c r="B2811" s="958">
        <v>31</v>
      </c>
      <c r="C2811" s="958" t="s">
        <v>6209</v>
      </c>
      <c r="D2811" s="957" t="s">
        <v>6208</v>
      </c>
      <c r="E2811" s="956">
        <v>4830</v>
      </c>
      <c r="F2811" s="955"/>
      <c r="L2811" s="954"/>
      <c r="M2811" s="952"/>
      <c r="N2811" s="952"/>
    </row>
    <row r="2812" spans="1:14">
      <c r="A2812" s="958" t="s">
        <v>366</v>
      </c>
      <c r="B2812" s="958">
        <v>31</v>
      </c>
      <c r="C2812" s="958" t="s">
        <v>6207</v>
      </c>
      <c r="D2812" s="957" t="s">
        <v>6206</v>
      </c>
      <c r="E2812" s="956">
        <v>8450</v>
      </c>
      <c r="F2812" s="955"/>
      <c r="L2812" s="954"/>
      <c r="M2812" s="952"/>
      <c r="N2812" s="952"/>
    </row>
    <row r="2813" spans="1:14">
      <c r="A2813" s="958" t="s">
        <v>366</v>
      </c>
      <c r="B2813" s="958">
        <v>31</v>
      </c>
      <c r="C2813" s="958" t="s">
        <v>6205</v>
      </c>
      <c r="D2813" s="957" t="s">
        <v>6204</v>
      </c>
      <c r="E2813" s="956">
        <v>17541</v>
      </c>
      <c r="F2813" s="955"/>
      <c r="L2813" s="954"/>
      <c r="M2813" s="952"/>
      <c r="N2813" s="952"/>
    </row>
    <row r="2814" spans="1:14">
      <c r="A2814" s="958" t="s">
        <v>366</v>
      </c>
      <c r="B2814" s="958">
        <v>31</v>
      </c>
      <c r="C2814" s="958" t="s">
        <v>6203</v>
      </c>
      <c r="D2814" s="957" t="s">
        <v>6202</v>
      </c>
      <c r="E2814" s="956">
        <v>24324</v>
      </c>
      <c r="F2814" s="955"/>
      <c r="L2814" s="954"/>
      <c r="M2814" s="952"/>
      <c r="N2814" s="952"/>
    </row>
    <row r="2815" spans="1:14">
      <c r="A2815" s="958" t="s">
        <v>366</v>
      </c>
      <c r="B2815" s="958">
        <v>31</v>
      </c>
      <c r="C2815" s="958" t="s">
        <v>6201</v>
      </c>
      <c r="D2815" s="957" t="s">
        <v>6200</v>
      </c>
      <c r="E2815" s="956">
        <v>7097</v>
      </c>
      <c r="F2815" s="955"/>
      <c r="L2815" s="954"/>
      <c r="M2815" s="952"/>
      <c r="N2815" s="952"/>
    </row>
    <row r="2816" spans="1:14">
      <c r="A2816" s="958" t="s">
        <v>366</v>
      </c>
      <c r="B2816" s="958">
        <v>31</v>
      </c>
      <c r="C2816" s="958" t="s">
        <v>6199</v>
      </c>
      <c r="D2816" s="957" t="s">
        <v>6198</v>
      </c>
      <c r="E2816" s="956">
        <v>3052</v>
      </c>
      <c r="F2816" s="955"/>
      <c r="L2816" s="954"/>
      <c r="M2816" s="952"/>
      <c r="N2816" s="952"/>
    </row>
    <row r="2817" spans="1:14">
      <c r="A2817" s="958" t="s">
        <v>366</v>
      </c>
      <c r="B2817" s="958">
        <v>31</v>
      </c>
      <c r="C2817" s="958" t="s">
        <v>6197</v>
      </c>
      <c r="D2817" s="957" t="s">
        <v>6196</v>
      </c>
      <c r="E2817" s="956">
        <v>3972</v>
      </c>
      <c r="F2817" s="955"/>
      <c r="L2817" s="954"/>
      <c r="M2817" s="952"/>
      <c r="N2817" s="952"/>
    </row>
    <row r="2818" spans="1:14">
      <c r="A2818" s="958" t="s">
        <v>366</v>
      </c>
      <c r="B2818" s="958">
        <v>31</v>
      </c>
      <c r="C2818" s="958" t="s">
        <v>6195</v>
      </c>
      <c r="D2818" s="957" t="s">
        <v>6194</v>
      </c>
      <c r="E2818" s="956">
        <v>2504</v>
      </c>
      <c r="F2818" s="955"/>
      <c r="L2818" s="954"/>
      <c r="M2818" s="952"/>
      <c r="N2818" s="952"/>
    </row>
    <row r="2819" spans="1:14">
      <c r="A2819" s="958" t="s">
        <v>366</v>
      </c>
      <c r="B2819" s="958">
        <v>31</v>
      </c>
      <c r="C2819" s="958" t="s">
        <v>6193</v>
      </c>
      <c r="D2819" s="957" t="s">
        <v>6192</v>
      </c>
      <c r="E2819" s="956">
        <v>11195</v>
      </c>
      <c r="F2819" s="955"/>
      <c r="L2819" s="954"/>
      <c r="M2819" s="952"/>
      <c r="N2819" s="952"/>
    </row>
    <row r="2820" spans="1:14">
      <c r="A2820" s="958" t="s">
        <v>366</v>
      </c>
      <c r="B2820" s="958">
        <v>31</v>
      </c>
      <c r="C2820" s="958" t="s">
        <v>6191</v>
      </c>
      <c r="D2820" s="957" t="s">
        <v>6190</v>
      </c>
      <c r="E2820" s="956">
        <v>12107</v>
      </c>
      <c r="F2820" s="955"/>
      <c r="L2820" s="954"/>
      <c r="M2820" s="952"/>
      <c r="N2820" s="952"/>
    </row>
    <row r="2821" spans="1:14">
      <c r="A2821" s="958" t="s">
        <v>366</v>
      </c>
      <c r="B2821" s="958">
        <v>31</v>
      </c>
      <c r="C2821" s="958" t="s">
        <v>6189</v>
      </c>
      <c r="D2821" s="957" t="s">
        <v>6188</v>
      </c>
      <c r="E2821" s="956">
        <v>3635</v>
      </c>
      <c r="F2821" s="955"/>
      <c r="L2821" s="954"/>
      <c r="M2821" s="952"/>
      <c r="N2821" s="952"/>
    </row>
    <row r="2822" spans="1:14">
      <c r="A2822" s="958" t="s">
        <v>366</v>
      </c>
      <c r="B2822" s="958">
        <v>31</v>
      </c>
      <c r="C2822" s="958" t="s">
        <v>6187</v>
      </c>
      <c r="D2822" s="957" t="s">
        <v>6186</v>
      </c>
      <c r="E2822" s="956">
        <v>64258</v>
      </c>
      <c r="F2822" s="955"/>
      <c r="L2822" s="954"/>
      <c r="M2822" s="952"/>
      <c r="N2822" s="952"/>
    </row>
    <row r="2823" spans="1:14">
      <c r="A2823" s="958" t="s">
        <v>366</v>
      </c>
      <c r="B2823" s="958">
        <v>31</v>
      </c>
      <c r="C2823" s="958" t="s">
        <v>6185</v>
      </c>
      <c r="D2823" s="957" t="s">
        <v>6184</v>
      </c>
      <c r="E2823" s="956">
        <v>1807</v>
      </c>
      <c r="F2823" s="955"/>
      <c r="L2823" s="954"/>
      <c r="M2823" s="952"/>
      <c r="N2823" s="952"/>
    </row>
    <row r="2824" spans="1:14">
      <c r="A2824" s="958" t="s">
        <v>366</v>
      </c>
      <c r="B2824" s="958">
        <v>31</v>
      </c>
      <c r="C2824" s="958" t="s">
        <v>6183</v>
      </c>
      <c r="D2824" s="957" t="s">
        <v>6182</v>
      </c>
      <c r="E2824" s="956">
        <v>3320</v>
      </c>
      <c r="F2824" s="955"/>
      <c r="L2824" s="954"/>
      <c r="M2824" s="952"/>
      <c r="N2824" s="952"/>
    </row>
    <row r="2825" spans="1:14">
      <c r="A2825" s="958" t="s">
        <v>366</v>
      </c>
      <c r="B2825" s="958">
        <v>31</v>
      </c>
      <c r="C2825" s="958" t="s">
        <v>6181</v>
      </c>
      <c r="D2825" s="957" t="s">
        <v>6180</v>
      </c>
      <c r="E2825" s="956">
        <v>4406</v>
      </c>
      <c r="F2825" s="955"/>
      <c r="L2825" s="954"/>
      <c r="M2825" s="952"/>
      <c r="N2825" s="952"/>
    </row>
    <row r="2826" spans="1:14">
      <c r="A2826" s="958" t="s">
        <v>366</v>
      </c>
      <c r="B2826" s="958">
        <v>31</v>
      </c>
      <c r="C2826" s="958" t="s">
        <v>6179</v>
      </c>
      <c r="D2826" s="957" t="s">
        <v>6178</v>
      </c>
      <c r="E2826" s="956">
        <v>11506</v>
      </c>
      <c r="F2826" s="955"/>
      <c r="L2826" s="954"/>
      <c r="M2826" s="952"/>
      <c r="N2826" s="952"/>
    </row>
    <row r="2827" spans="1:14">
      <c r="A2827" s="958" t="s">
        <v>366</v>
      </c>
      <c r="B2827" s="958">
        <v>31</v>
      </c>
      <c r="C2827" s="958" t="s">
        <v>6177</v>
      </c>
      <c r="D2827" s="957" t="s">
        <v>6176</v>
      </c>
      <c r="E2827" s="956">
        <v>16168</v>
      </c>
      <c r="F2827" s="955"/>
      <c r="L2827" s="954"/>
      <c r="M2827" s="952"/>
      <c r="N2827" s="952"/>
    </row>
    <row r="2828" spans="1:14">
      <c r="A2828" s="958" t="s">
        <v>366</v>
      </c>
      <c r="B2828" s="958">
        <v>31</v>
      </c>
      <c r="C2828" s="958" t="s">
        <v>6175</v>
      </c>
      <c r="D2828" s="957" t="s">
        <v>6174</v>
      </c>
      <c r="E2828" s="956">
        <v>21390</v>
      </c>
      <c r="F2828" s="955"/>
      <c r="L2828" s="954"/>
      <c r="M2828" s="952"/>
      <c r="N2828" s="952"/>
    </row>
    <row r="2829" spans="1:14">
      <c r="A2829" s="958" t="s">
        <v>366</v>
      </c>
      <c r="B2829" s="958">
        <v>31</v>
      </c>
      <c r="C2829" s="958" t="s">
        <v>6173</v>
      </c>
      <c r="D2829" s="957" t="s">
        <v>6172</v>
      </c>
      <c r="E2829" s="956">
        <v>6810</v>
      </c>
      <c r="F2829" s="955"/>
      <c r="L2829" s="954"/>
      <c r="M2829" s="952"/>
      <c r="N2829" s="952"/>
    </row>
    <row r="2830" spans="1:14">
      <c r="A2830" s="958" t="s">
        <v>366</v>
      </c>
      <c r="B2830" s="958">
        <v>31</v>
      </c>
      <c r="C2830" s="958" t="s">
        <v>6171</v>
      </c>
      <c r="D2830" s="957" t="s">
        <v>6170</v>
      </c>
      <c r="E2830" s="956">
        <v>4252</v>
      </c>
      <c r="F2830" s="955"/>
      <c r="L2830" s="954"/>
      <c r="M2830" s="952"/>
      <c r="N2830" s="952"/>
    </row>
    <row r="2831" spans="1:14">
      <c r="A2831" s="958" t="s">
        <v>366</v>
      </c>
      <c r="B2831" s="958">
        <v>31</v>
      </c>
      <c r="C2831" s="958" t="s">
        <v>6169</v>
      </c>
      <c r="D2831" s="957" t="s">
        <v>6168</v>
      </c>
      <c r="E2831" s="956">
        <v>2748</v>
      </c>
      <c r="F2831" s="955"/>
      <c r="L2831" s="954"/>
      <c r="M2831" s="952"/>
      <c r="N2831" s="952"/>
    </row>
    <row r="2832" spans="1:14">
      <c r="A2832" s="958" t="s">
        <v>366</v>
      </c>
      <c r="B2832" s="958">
        <v>31</v>
      </c>
      <c r="C2832" s="958" t="s">
        <v>6167</v>
      </c>
      <c r="D2832" s="957" t="s">
        <v>6166</v>
      </c>
      <c r="E2832" s="956">
        <v>8566</v>
      </c>
      <c r="F2832" s="955"/>
      <c r="L2832" s="954"/>
      <c r="M2832" s="952"/>
      <c r="N2832" s="952"/>
    </row>
    <row r="2833" spans="1:14">
      <c r="A2833" s="958" t="s">
        <v>366</v>
      </c>
      <c r="B2833" s="958">
        <v>31</v>
      </c>
      <c r="C2833" s="958" t="s">
        <v>6165</v>
      </c>
      <c r="D2833" s="957" t="s">
        <v>6164</v>
      </c>
      <c r="E2833" s="956">
        <v>4140</v>
      </c>
      <c r="F2833" s="955"/>
      <c r="L2833" s="954"/>
      <c r="M2833" s="952"/>
      <c r="N2833" s="952"/>
    </row>
    <row r="2834" spans="1:14">
      <c r="A2834" s="958" t="s">
        <v>366</v>
      </c>
      <c r="B2834" s="958">
        <v>31</v>
      </c>
      <c r="C2834" s="958" t="s">
        <v>6163</v>
      </c>
      <c r="D2834" s="957" t="s">
        <v>6162</v>
      </c>
      <c r="E2834" s="956">
        <v>4497</v>
      </c>
      <c r="F2834" s="955"/>
      <c r="L2834" s="954"/>
      <c r="M2834" s="952"/>
      <c r="N2834" s="952"/>
    </row>
    <row r="2835" spans="1:14">
      <c r="A2835" s="958" t="s">
        <v>366</v>
      </c>
      <c r="B2835" s="958">
        <v>31</v>
      </c>
      <c r="C2835" s="958" t="s">
        <v>6161</v>
      </c>
      <c r="D2835" s="957" t="s">
        <v>6160</v>
      </c>
      <c r="E2835" s="956">
        <v>4982</v>
      </c>
      <c r="F2835" s="955"/>
      <c r="L2835" s="954"/>
      <c r="M2835" s="952"/>
      <c r="N2835" s="952"/>
    </row>
    <row r="2836" spans="1:14">
      <c r="A2836" s="958" t="s">
        <v>366</v>
      </c>
      <c r="B2836" s="958">
        <v>31</v>
      </c>
      <c r="C2836" s="958" t="s">
        <v>6159</v>
      </c>
      <c r="D2836" s="957" t="s">
        <v>6158</v>
      </c>
      <c r="E2836" s="956">
        <v>8660</v>
      </c>
      <c r="F2836" s="955"/>
      <c r="L2836" s="954"/>
      <c r="M2836" s="952"/>
      <c r="N2836" s="952"/>
    </row>
    <row r="2837" spans="1:14">
      <c r="A2837" s="958" t="s">
        <v>366</v>
      </c>
      <c r="B2837" s="958">
        <v>31</v>
      </c>
      <c r="C2837" s="958" t="s">
        <v>6157</v>
      </c>
      <c r="D2837" s="957" t="s">
        <v>6156</v>
      </c>
      <c r="E2837" s="956">
        <v>4941</v>
      </c>
      <c r="F2837" s="955"/>
      <c r="L2837" s="954"/>
      <c r="M2837" s="952"/>
      <c r="N2837" s="952"/>
    </row>
    <row r="2838" spans="1:14">
      <c r="A2838" s="958" t="s">
        <v>366</v>
      </c>
      <c r="B2838" s="958">
        <v>31</v>
      </c>
      <c r="C2838" s="958" t="s">
        <v>6155</v>
      </c>
      <c r="D2838" s="957" t="s">
        <v>6154</v>
      </c>
      <c r="E2838" s="956">
        <v>7507</v>
      </c>
      <c r="F2838" s="955"/>
      <c r="L2838" s="954"/>
      <c r="M2838" s="952"/>
      <c r="N2838" s="952"/>
    </row>
    <row r="2839" spans="1:14">
      <c r="A2839" s="958" t="s">
        <v>366</v>
      </c>
      <c r="B2839" s="958">
        <v>31</v>
      </c>
      <c r="C2839" s="958" t="s">
        <v>6153</v>
      </c>
      <c r="D2839" s="957" t="s">
        <v>6152</v>
      </c>
      <c r="E2839" s="956">
        <v>6409</v>
      </c>
      <c r="F2839" s="955"/>
      <c r="L2839" s="954"/>
      <c r="M2839" s="952"/>
      <c r="N2839" s="952"/>
    </row>
    <row r="2840" spans="1:14">
      <c r="A2840" s="958" t="s">
        <v>366</v>
      </c>
      <c r="B2840" s="958">
        <v>31</v>
      </c>
      <c r="C2840" s="958" t="s">
        <v>6151</v>
      </c>
      <c r="D2840" s="957" t="s">
        <v>6150</v>
      </c>
      <c r="E2840" s="956">
        <v>6199</v>
      </c>
      <c r="F2840" s="955"/>
      <c r="L2840" s="954"/>
      <c r="M2840" s="952"/>
      <c r="N2840" s="952"/>
    </row>
    <row r="2841" spans="1:14">
      <c r="A2841" s="958" t="s">
        <v>366</v>
      </c>
      <c r="B2841" s="958">
        <v>31</v>
      </c>
      <c r="C2841" s="958" t="s">
        <v>6149</v>
      </c>
      <c r="D2841" s="957" t="s">
        <v>6148</v>
      </c>
      <c r="E2841" s="956">
        <v>17626</v>
      </c>
      <c r="F2841" s="955"/>
      <c r="L2841" s="954"/>
      <c r="M2841" s="952"/>
      <c r="N2841" s="952"/>
    </row>
    <row r="2842" spans="1:14">
      <c r="A2842" s="958" t="s">
        <v>366</v>
      </c>
      <c r="B2842" s="958">
        <v>31</v>
      </c>
      <c r="C2842" s="958" t="s">
        <v>6147</v>
      </c>
      <c r="D2842" s="957" t="s">
        <v>6146</v>
      </c>
      <c r="E2842" s="956">
        <v>5472</v>
      </c>
      <c r="F2842" s="955"/>
      <c r="L2842" s="954"/>
      <c r="M2842" s="952"/>
      <c r="N2842" s="952"/>
    </row>
    <row r="2843" spans="1:14">
      <c r="A2843" s="958" t="s">
        <v>366</v>
      </c>
      <c r="B2843" s="958">
        <v>31</v>
      </c>
      <c r="C2843" s="958" t="s">
        <v>6145</v>
      </c>
      <c r="D2843" s="957" t="s">
        <v>6144</v>
      </c>
      <c r="E2843" s="956">
        <v>8596</v>
      </c>
      <c r="F2843" s="955"/>
      <c r="L2843" s="954"/>
      <c r="M2843" s="952"/>
      <c r="N2843" s="952"/>
    </row>
    <row r="2844" spans="1:14">
      <c r="A2844" s="958" t="s">
        <v>366</v>
      </c>
      <c r="B2844" s="958">
        <v>31</v>
      </c>
      <c r="C2844" s="958" t="s">
        <v>6143</v>
      </c>
      <c r="D2844" s="957" t="s">
        <v>6142</v>
      </c>
      <c r="E2844" s="956">
        <v>10752</v>
      </c>
      <c r="F2844" s="955"/>
      <c r="L2844" s="954"/>
      <c r="M2844" s="952"/>
      <c r="N2844" s="952"/>
    </row>
    <row r="2845" spans="1:14">
      <c r="A2845" s="958" t="s">
        <v>366</v>
      </c>
      <c r="B2845" s="958">
        <v>31</v>
      </c>
      <c r="C2845" s="958" t="s">
        <v>6141</v>
      </c>
      <c r="D2845" s="957" t="s">
        <v>6140</v>
      </c>
      <c r="E2845" s="956">
        <v>56428</v>
      </c>
      <c r="F2845" s="955"/>
      <c r="L2845" s="954"/>
      <c r="M2845" s="952"/>
      <c r="N2845" s="952"/>
    </row>
    <row r="2846" spans="1:14">
      <c r="A2846" s="958" t="s">
        <v>366</v>
      </c>
      <c r="B2846" s="958">
        <v>31</v>
      </c>
      <c r="C2846" s="958" t="s">
        <v>6139</v>
      </c>
      <c r="D2846" s="957" t="s">
        <v>6138</v>
      </c>
      <c r="E2846" s="956">
        <v>10787</v>
      </c>
      <c r="F2846" s="955"/>
      <c r="L2846" s="954"/>
      <c r="M2846" s="952"/>
      <c r="N2846" s="952"/>
    </row>
    <row r="2847" spans="1:14">
      <c r="A2847" s="958" t="s">
        <v>366</v>
      </c>
      <c r="B2847" s="958">
        <v>31</v>
      </c>
      <c r="C2847" s="958" t="s">
        <v>6137</v>
      </c>
      <c r="D2847" s="957" t="s">
        <v>6136</v>
      </c>
      <c r="E2847" s="956">
        <v>27989</v>
      </c>
      <c r="F2847" s="955"/>
      <c r="L2847" s="954"/>
      <c r="M2847" s="952"/>
      <c r="N2847" s="952"/>
    </row>
    <row r="2848" spans="1:14">
      <c r="A2848" s="958" t="s">
        <v>366</v>
      </c>
      <c r="B2848" s="958">
        <v>31</v>
      </c>
      <c r="C2848" s="958" t="s">
        <v>6135</v>
      </c>
      <c r="D2848" s="957" t="s">
        <v>6134</v>
      </c>
      <c r="E2848" s="956">
        <v>34691</v>
      </c>
      <c r="F2848" s="955"/>
      <c r="L2848" s="954"/>
      <c r="M2848" s="952"/>
      <c r="N2848" s="952"/>
    </row>
    <row r="2849" spans="1:14">
      <c r="A2849" s="958" t="s">
        <v>366</v>
      </c>
      <c r="B2849" s="958">
        <v>31</v>
      </c>
      <c r="C2849" s="958" t="s">
        <v>6133</v>
      </c>
      <c r="D2849" s="957" t="s">
        <v>6132</v>
      </c>
      <c r="E2849" s="956">
        <v>12133</v>
      </c>
      <c r="F2849" s="955"/>
      <c r="L2849" s="954"/>
      <c r="M2849" s="952"/>
      <c r="N2849" s="952"/>
    </row>
    <row r="2850" spans="1:14">
      <c r="A2850" s="958" t="s">
        <v>366</v>
      </c>
      <c r="B2850" s="958">
        <v>31</v>
      </c>
      <c r="C2850" s="958" t="s">
        <v>6131</v>
      </c>
      <c r="D2850" s="957" t="s">
        <v>6130</v>
      </c>
      <c r="E2850" s="956">
        <v>16791</v>
      </c>
      <c r="F2850" s="955"/>
      <c r="L2850" s="954"/>
      <c r="M2850" s="952"/>
      <c r="N2850" s="952"/>
    </row>
    <row r="2851" spans="1:14">
      <c r="A2851" s="958" t="s">
        <v>366</v>
      </c>
      <c r="B2851" s="958">
        <v>31</v>
      </c>
      <c r="C2851" s="958" t="s">
        <v>6129</v>
      </c>
      <c r="D2851" s="957" t="s">
        <v>6128</v>
      </c>
      <c r="E2851" s="956">
        <v>167397</v>
      </c>
      <c r="F2851" s="955"/>
      <c r="L2851" s="954"/>
      <c r="M2851" s="952"/>
      <c r="N2851" s="952"/>
    </row>
    <row r="2852" spans="1:14">
      <c r="A2852" s="958" t="s">
        <v>366</v>
      </c>
      <c r="B2852" s="958">
        <v>31</v>
      </c>
      <c r="C2852" s="958" t="s">
        <v>6127</v>
      </c>
      <c r="D2852" s="957" t="s">
        <v>6126</v>
      </c>
      <c r="E2852" s="956">
        <v>8432</v>
      </c>
      <c r="F2852" s="955"/>
      <c r="L2852" s="954"/>
      <c r="M2852" s="952"/>
      <c r="N2852" s="952"/>
    </row>
    <row r="2853" spans="1:14">
      <c r="A2853" s="958" t="s">
        <v>366</v>
      </c>
      <c r="B2853" s="958">
        <v>31</v>
      </c>
      <c r="C2853" s="958" t="s">
        <v>6125</v>
      </c>
      <c r="D2853" s="957" t="s">
        <v>6124</v>
      </c>
      <c r="E2853" s="956">
        <v>31812</v>
      </c>
      <c r="F2853" s="955"/>
      <c r="L2853" s="954"/>
      <c r="M2853" s="952"/>
      <c r="N2853" s="952"/>
    </row>
    <row r="2854" spans="1:14">
      <c r="A2854" s="958" t="s">
        <v>366</v>
      </c>
      <c r="B2854" s="958">
        <v>31</v>
      </c>
      <c r="C2854" s="958" t="s">
        <v>6123</v>
      </c>
      <c r="D2854" s="957" t="s">
        <v>6122</v>
      </c>
      <c r="E2854" s="956">
        <v>59742</v>
      </c>
      <c r="F2854" s="955"/>
      <c r="L2854" s="954"/>
      <c r="M2854" s="952"/>
      <c r="N2854" s="952"/>
    </row>
    <row r="2855" spans="1:14">
      <c r="A2855" s="958" t="s">
        <v>366</v>
      </c>
      <c r="B2855" s="958">
        <v>31</v>
      </c>
      <c r="C2855" s="958" t="s">
        <v>6121</v>
      </c>
      <c r="D2855" s="957" t="s">
        <v>6120</v>
      </c>
      <c r="E2855" s="956">
        <v>4261</v>
      </c>
      <c r="F2855" s="955"/>
      <c r="L2855" s="954"/>
      <c r="M2855" s="952"/>
      <c r="N2855" s="952"/>
    </row>
    <row r="2856" spans="1:14">
      <c r="A2856" s="958" t="s">
        <v>366</v>
      </c>
      <c r="B2856" s="958">
        <v>31</v>
      </c>
      <c r="C2856" s="958" t="s">
        <v>6119</v>
      </c>
      <c r="D2856" s="957" t="s">
        <v>6118</v>
      </c>
      <c r="E2856" s="956">
        <v>12121</v>
      </c>
      <c r="F2856" s="955"/>
      <c r="L2856" s="954"/>
      <c r="M2856" s="952"/>
      <c r="N2856" s="952"/>
    </row>
    <row r="2857" spans="1:14">
      <c r="A2857" s="958" t="s">
        <v>366</v>
      </c>
      <c r="B2857" s="958">
        <v>31</v>
      </c>
      <c r="C2857" s="958" t="s">
        <v>6117</v>
      </c>
      <c r="D2857" s="957" t="s">
        <v>6116</v>
      </c>
      <c r="E2857" s="956">
        <v>37906</v>
      </c>
      <c r="F2857" s="955"/>
      <c r="L2857" s="954"/>
      <c r="M2857" s="952"/>
      <c r="N2857" s="952"/>
    </row>
    <row r="2858" spans="1:14">
      <c r="A2858" s="958" t="s">
        <v>366</v>
      </c>
      <c r="B2858" s="958">
        <v>31</v>
      </c>
      <c r="C2858" s="958" t="s">
        <v>6115</v>
      </c>
      <c r="D2858" s="957" t="s">
        <v>6114</v>
      </c>
      <c r="E2858" s="956">
        <v>11279</v>
      </c>
      <c r="F2858" s="955"/>
      <c r="L2858" s="954"/>
      <c r="M2858" s="952"/>
      <c r="N2858" s="952"/>
    </row>
    <row r="2859" spans="1:14">
      <c r="A2859" s="958" t="s">
        <v>366</v>
      </c>
      <c r="B2859" s="958">
        <v>31</v>
      </c>
      <c r="C2859" s="958" t="s">
        <v>6113</v>
      </c>
      <c r="D2859" s="957" t="s">
        <v>6112</v>
      </c>
      <c r="E2859" s="956">
        <v>16555</v>
      </c>
      <c r="F2859" s="955"/>
      <c r="L2859" s="954"/>
      <c r="M2859" s="952"/>
      <c r="N2859" s="952"/>
    </row>
    <row r="2860" spans="1:14">
      <c r="A2860" s="958" t="s">
        <v>366</v>
      </c>
      <c r="B2860" s="958">
        <v>31</v>
      </c>
      <c r="C2860" s="958" t="s">
        <v>6111</v>
      </c>
      <c r="D2860" s="957" t="s">
        <v>6110</v>
      </c>
      <c r="E2860" s="956">
        <v>150737</v>
      </c>
      <c r="F2860" s="955"/>
      <c r="L2860" s="954"/>
      <c r="M2860" s="952"/>
      <c r="N2860" s="952"/>
    </row>
    <row r="2861" spans="1:14">
      <c r="A2861" s="958" t="s">
        <v>366</v>
      </c>
      <c r="B2861" s="958">
        <v>31</v>
      </c>
      <c r="C2861" s="958" t="s">
        <v>6109</v>
      </c>
      <c r="D2861" s="957" t="s">
        <v>6108</v>
      </c>
      <c r="E2861" s="956">
        <v>5940</v>
      </c>
      <c r="F2861" s="955"/>
      <c r="L2861" s="954"/>
      <c r="M2861" s="952"/>
      <c r="N2861" s="952"/>
    </row>
    <row r="2862" spans="1:14">
      <c r="A2862" s="958" t="s">
        <v>366</v>
      </c>
      <c r="B2862" s="958">
        <v>31</v>
      </c>
      <c r="C2862" s="958" t="s">
        <v>6107</v>
      </c>
      <c r="D2862" s="957" t="s">
        <v>6106</v>
      </c>
      <c r="E2862" s="956">
        <v>9031</v>
      </c>
      <c r="F2862" s="955"/>
      <c r="L2862" s="954"/>
      <c r="M2862" s="952"/>
      <c r="N2862" s="952"/>
    </row>
    <row r="2863" spans="1:14">
      <c r="A2863" s="958" t="s">
        <v>366</v>
      </c>
      <c r="B2863" s="958">
        <v>31</v>
      </c>
      <c r="C2863" s="958" t="s">
        <v>6105</v>
      </c>
      <c r="D2863" s="957" t="s">
        <v>6104</v>
      </c>
      <c r="E2863" s="956">
        <v>27856</v>
      </c>
      <c r="F2863" s="955"/>
      <c r="L2863" s="954"/>
      <c r="M2863" s="952"/>
      <c r="N2863" s="952"/>
    </row>
    <row r="2864" spans="1:14">
      <c r="A2864" s="958" t="s">
        <v>366</v>
      </c>
      <c r="B2864" s="958">
        <v>31</v>
      </c>
      <c r="C2864" s="958" t="s">
        <v>6103</v>
      </c>
      <c r="D2864" s="957" t="s">
        <v>6102</v>
      </c>
      <c r="E2864" s="956">
        <v>8603</v>
      </c>
      <c r="F2864" s="955"/>
      <c r="L2864" s="954"/>
      <c r="M2864" s="952"/>
      <c r="N2864" s="952"/>
    </row>
    <row r="2865" spans="1:14">
      <c r="A2865" s="958" t="s">
        <v>366</v>
      </c>
      <c r="B2865" s="958">
        <v>31</v>
      </c>
      <c r="C2865" s="958" t="s">
        <v>6101</v>
      </c>
      <c r="D2865" s="957" t="s">
        <v>6100</v>
      </c>
      <c r="E2865" s="956">
        <v>3603</v>
      </c>
      <c r="F2865" s="955"/>
      <c r="L2865" s="954"/>
      <c r="M2865" s="952"/>
      <c r="N2865" s="952"/>
    </row>
    <row r="2866" spans="1:14">
      <c r="A2866" s="958" t="s">
        <v>366</v>
      </c>
      <c r="B2866" s="958">
        <v>31</v>
      </c>
      <c r="C2866" s="958" t="s">
        <v>6099</v>
      </c>
      <c r="D2866" s="957" t="s">
        <v>4489</v>
      </c>
      <c r="E2866" s="956">
        <v>5369</v>
      </c>
      <c r="F2866" s="955"/>
      <c r="L2866" s="954"/>
      <c r="M2866" s="952"/>
      <c r="N2866" s="952"/>
    </row>
    <row r="2867" spans="1:14">
      <c r="A2867" s="958" t="s">
        <v>366</v>
      </c>
      <c r="B2867" s="958">
        <v>31</v>
      </c>
      <c r="C2867" s="958" t="s">
        <v>6098</v>
      </c>
      <c r="D2867" s="957" t="s">
        <v>6097</v>
      </c>
      <c r="E2867" s="956">
        <v>3641</v>
      </c>
      <c r="F2867" s="955"/>
      <c r="L2867" s="954"/>
      <c r="M2867" s="952"/>
      <c r="N2867" s="952"/>
    </row>
    <row r="2868" spans="1:14">
      <c r="A2868" s="958" t="s">
        <v>366</v>
      </c>
      <c r="B2868" s="958">
        <v>31</v>
      </c>
      <c r="C2868" s="958" t="s">
        <v>6096</v>
      </c>
      <c r="D2868" s="957" t="s">
        <v>6095</v>
      </c>
      <c r="E2868" s="956">
        <v>3002</v>
      </c>
      <c r="F2868" s="955"/>
      <c r="L2868" s="954"/>
      <c r="M2868" s="952"/>
      <c r="N2868" s="952"/>
    </row>
    <row r="2869" spans="1:14">
      <c r="A2869" s="958" t="s">
        <v>366</v>
      </c>
      <c r="B2869" s="958">
        <v>31</v>
      </c>
      <c r="C2869" s="958" t="s">
        <v>6094</v>
      </c>
      <c r="D2869" s="957" t="s">
        <v>6093</v>
      </c>
      <c r="E2869" s="956">
        <v>19573</v>
      </c>
      <c r="F2869" s="955"/>
      <c r="L2869" s="954"/>
      <c r="M2869" s="952"/>
      <c r="N2869" s="952"/>
    </row>
    <row r="2870" spans="1:14">
      <c r="A2870" s="958" t="s">
        <v>366</v>
      </c>
      <c r="B2870" s="958">
        <v>31</v>
      </c>
      <c r="C2870" s="958" t="s">
        <v>6092</v>
      </c>
      <c r="D2870" s="957" t="s">
        <v>6091</v>
      </c>
      <c r="E2870" s="956">
        <v>8317</v>
      </c>
      <c r="F2870" s="955"/>
      <c r="L2870" s="954"/>
      <c r="M2870" s="952"/>
      <c r="N2870" s="952"/>
    </row>
    <row r="2871" spans="1:14">
      <c r="A2871" s="958" t="s">
        <v>366</v>
      </c>
      <c r="B2871" s="958">
        <v>31</v>
      </c>
      <c r="C2871" s="958" t="s">
        <v>6090</v>
      </c>
      <c r="D2871" s="957" t="s">
        <v>6089</v>
      </c>
      <c r="E2871" s="956">
        <v>10733</v>
      </c>
      <c r="F2871" s="955"/>
      <c r="L2871" s="954"/>
      <c r="M2871" s="952"/>
      <c r="N2871" s="952"/>
    </row>
    <row r="2872" spans="1:14">
      <c r="A2872" s="958" t="s">
        <v>366</v>
      </c>
      <c r="B2872" s="958">
        <v>31</v>
      </c>
      <c r="C2872" s="958" t="s">
        <v>6088</v>
      </c>
      <c r="D2872" s="957" t="s">
        <v>6087</v>
      </c>
      <c r="E2872" s="956">
        <v>3563</v>
      </c>
      <c r="F2872" s="955"/>
      <c r="L2872" s="954"/>
      <c r="M2872" s="952"/>
      <c r="N2872" s="952"/>
    </row>
    <row r="2873" spans="1:14">
      <c r="A2873" s="958" t="s">
        <v>366</v>
      </c>
      <c r="B2873" s="958">
        <v>31</v>
      </c>
      <c r="C2873" s="958" t="s">
        <v>6086</v>
      </c>
      <c r="D2873" s="957" t="s">
        <v>6085</v>
      </c>
      <c r="E2873" s="956">
        <v>1939</v>
      </c>
      <c r="F2873" s="955"/>
      <c r="L2873" s="954"/>
      <c r="M2873" s="952"/>
      <c r="N2873" s="952"/>
    </row>
    <row r="2874" spans="1:14">
      <c r="A2874" s="958" t="s">
        <v>366</v>
      </c>
      <c r="B2874" s="958">
        <v>31</v>
      </c>
      <c r="C2874" s="958" t="s">
        <v>6084</v>
      </c>
      <c r="D2874" s="957" t="s">
        <v>6083</v>
      </c>
      <c r="E2874" s="956">
        <v>16354</v>
      </c>
      <c r="F2874" s="955"/>
      <c r="L2874" s="954"/>
      <c r="M2874" s="952"/>
      <c r="N2874" s="952"/>
    </row>
    <row r="2875" spans="1:14">
      <c r="A2875" s="958" t="s">
        <v>366</v>
      </c>
      <c r="B2875" s="958">
        <v>31</v>
      </c>
      <c r="C2875" s="958" t="s">
        <v>6082</v>
      </c>
      <c r="D2875" s="957" t="s">
        <v>6081</v>
      </c>
      <c r="E2875" s="956">
        <v>23762</v>
      </c>
      <c r="F2875" s="955"/>
      <c r="L2875" s="954"/>
      <c r="M2875" s="952"/>
      <c r="N2875" s="952"/>
    </row>
    <row r="2876" spans="1:14">
      <c r="A2876" s="958" t="s">
        <v>366</v>
      </c>
      <c r="B2876" s="958">
        <v>31</v>
      </c>
      <c r="C2876" s="958" t="s">
        <v>6080</v>
      </c>
      <c r="D2876" s="957" t="s">
        <v>6079</v>
      </c>
      <c r="E2876" s="956">
        <v>10517</v>
      </c>
      <c r="F2876" s="955"/>
      <c r="L2876" s="954"/>
      <c r="M2876" s="952"/>
      <c r="N2876" s="952"/>
    </row>
    <row r="2877" spans="1:14">
      <c r="A2877" s="958" t="s">
        <v>366</v>
      </c>
      <c r="B2877" s="958">
        <v>31</v>
      </c>
      <c r="C2877" s="958" t="s">
        <v>6078</v>
      </c>
      <c r="D2877" s="957" t="s">
        <v>6077</v>
      </c>
      <c r="E2877" s="956">
        <v>7154</v>
      </c>
      <c r="F2877" s="955"/>
      <c r="L2877" s="954"/>
      <c r="M2877" s="952"/>
      <c r="N2877" s="952"/>
    </row>
    <row r="2878" spans="1:14">
      <c r="A2878" s="958" t="s">
        <v>366</v>
      </c>
      <c r="B2878" s="958">
        <v>31</v>
      </c>
      <c r="C2878" s="958" t="s">
        <v>6076</v>
      </c>
      <c r="D2878" s="957" t="s">
        <v>6075</v>
      </c>
      <c r="E2878" s="956">
        <v>11500</v>
      </c>
      <c r="F2878" s="955"/>
      <c r="L2878" s="954"/>
      <c r="M2878" s="952"/>
      <c r="N2878" s="952"/>
    </row>
    <row r="2879" spans="1:14">
      <c r="A2879" s="958" t="s">
        <v>366</v>
      </c>
      <c r="B2879" s="958">
        <v>31</v>
      </c>
      <c r="C2879" s="958" t="s">
        <v>6074</v>
      </c>
      <c r="D2879" s="957" t="s">
        <v>6073</v>
      </c>
      <c r="E2879" s="956">
        <v>17397</v>
      </c>
      <c r="F2879" s="955"/>
      <c r="L2879" s="954"/>
      <c r="M2879" s="952"/>
      <c r="N2879" s="952"/>
    </row>
    <row r="2880" spans="1:14">
      <c r="A2880" s="958" t="s">
        <v>366</v>
      </c>
      <c r="B2880" s="958">
        <v>31</v>
      </c>
      <c r="C2880" s="958" t="s">
        <v>6072</v>
      </c>
      <c r="D2880" s="957" t="s">
        <v>6071</v>
      </c>
      <c r="E2880" s="956">
        <v>4808</v>
      </c>
      <c r="F2880" s="955"/>
      <c r="L2880" s="954"/>
      <c r="M2880" s="952"/>
      <c r="N2880" s="952"/>
    </row>
    <row r="2881" spans="1:14">
      <c r="A2881" s="958" t="s">
        <v>366</v>
      </c>
      <c r="B2881" s="958">
        <v>31</v>
      </c>
      <c r="C2881" s="958" t="s">
        <v>6070</v>
      </c>
      <c r="D2881" s="957" t="s">
        <v>6069</v>
      </c>
      <c r="E2881" s="956">
        <v>8136</v>
      </c>
      <c r="F2881" s="955"/>
      <c r="L2881" s="954"/>
      <c r="M2881" s="952"/>
      <c r="N2881" s="952"/>
    </row>
    <row r="2882" spans="1:14">
      <c r="A2882" s="958" t="s">
        <v>366</v>
      </c>
      <c r="B2882" s="958">
        <v>31</v>
      </c>
      <c r="C2882" s="958" t="s">
        <v>6068</v>
      </c>
      <c r="D2882" s="957" t="s">
        <v>6067</v>
      </c>
      <c r="E2882" s="956">
        <v>9481</v>
      </c>
      <c r="F2882" s="955"/>
      <c r="L2882" s="954"/>
      <c r="M2882" s="952"/>
      <c r="N2882" s="952"/>
    </row>
    <row r="2883" spans="1:14">
      <c r="A2883" s="958" t="s">
        <v>366</v>
      </c>
      <c r="B2883" s="958">
        <v>31</v>
      </c>
      <c r="C2883" s="958" t="s">
        <v>6066</v>
      </c>
      <c r="D2883" s="957" t="s">
        <v>6065</v>
      </c>
      <c r="E2883" s="956">
        <v>334858</v>
      </c>
      <c r="F2883" s="955"/>
      <c r="L2883" s="954"/>
      <c r="M2883" s="952"/>
      <c r="N2883" s="952"/>
    </row>
    <row r="2884" spans="1:14">
      <c r="A2884" s="958" t="s">
        <v>366</v>
      </c>
      <c r="B2884" s="958">
        <v>31</v>
      </c>
      <c r="C2884" s="958" t="s">
        <v>6064</v>
      </c>
      <c r="D2884" s="957" t="s">
        <v>6063</v>
      </c>
      <c r="E2884" s="956">
        <v>4033</v>
      </c>
      <c r="F2884" s="955"/>
      <c r="L2884" s="954"/>
      <c r="M2884" s="952"/>
      <c r="N2884" s="952"/>
    </row>
    <row r="2885" spans="1:14">
      <c r="A2885" s="958" t="s">
        <v>366</v>
      </c>
      <c r="B2885" s="958">
        <v>31</v>
      </c>
      <c r="C2885" s="958" t="s">
        <v>6062</v>
      </c>
      <c r="D2885" s="957" t="s">
        <v>6061</v>
      </c>
      <c r="E2885" s="956">
        <v>10312</v>
      </c>
      <c r="F2885" s="955"/>
      <c r="L2885" s="954"/>
      <c r="M2885" s="952"/>
      <c r="N2885" s="952"/>
    </row>
    <row r="2886" spans="1:14">
      <c r="A2886" s="958" t="s">
        <v>366</v>
      </c>
      <c r="B2886" s="958">
        <v>31</v>
      </c>
      <c r="C2886" s="958" t="s">
        <v>6060</v>
      </c>
      <c r="D2886" s="957" t="s">
        <v>6059</v>
      </c>
      <c r="E2886" s="956">
        <v>13564</v>
      </c>
      <c r="F2886" s="955"/>
      <c r="L2886" s="954"/>
      <c r="M2886" s="952"/>
      <c r="N2886" s="952"/>
    </row>
    <row r="2887" spans="1:14">
      <c r="A2887" s="958" t="s">
        <v>366</v>
      </c>
      <c r="B2887" s="958">
        <v>31</v>
      </c>
      <c r="C2887" s="958" t="s">
        <v>6058</v>
      </c>
      <c r="D2887" s="957" t="s">
        <v>6057</v>
      </c>
      <c r="E2887" s="956">
        <v>2610</v>
      </c>
      <c r="F2887" s="955"/>
      <c r="L2887" s="954"/>
      <c r="M2887" s="952"/>
      <c r="N2887" s="952"/>
    </row>
    <row r="2888" spans="1:14">
      <c r="A2888" s="958" t="s">
        <v>366</v>
      </c>
      <c r="B2888" s="958">
        <v>31</v>
      </c>
      <c r="C2888" s="958" t="s">
        <v>6056</v>
      </c>
      <c r="D2888" s="957" t="s">
        <v>6055</v>
      </c>
      <c r="E2888" s="956">
        <v>5150</v>
      </c>
      <c r="F2888" s="955"/>
      <c r="L2888" s="954"/>
      <c r="M2888" s="952"/>
      <c r="N2888" s="952"/>
    </row>
    <row r="2889" spans="1:14">
      <c r="A2889" s="958" t="s">
        <v>366</v>
      </c>
      <c r="B2889" s="958">
        <v>31</v>
      </c>
      <c r="C2889" s="958" t="s">
        <v>6054</v>
      </c>
      <c r="D2889" s="957" t="s">
        <v>6053</v>
      </c>
      <c r="E2889" s="956">
        <v>5474</v>
      </c>
      <c r="F2889" s="955"/>
      <c r="L2889" s="954"/>
      <c r="M2889" s="952"/>
      <c r="N2889" s="952"/>
    </row>
    <row r="2890" spans="1:14">
      <c r="A2890" s="958" t="s">
        <v>366</v>
      </c>
      <c r="B2890" s="958">
        <v>31</v>
      </c>
      <c r="C2890" s="958" t="s">
        <v>6052</v>
      </c>
      <c r="D2890" s="957" t="s">
        <v>6051</v>
      </c>
      <c r="E2890" s="956">
        <v>5832</v>
      </c>
      <c r="F2890" s="955"/>
      <c r="L2890" s="954"/>
      <c r="M2890" s="952"/>
      <c r="N2890" s="952"/>
    </row>
    <row r="2891" spans="1:14">
      <c r="A2891" s="958" t="s">
        <v>366</v>
      </c>
      <c r="B2891" s="958">
        <v>31</v>
      </c>
      <c r="C2891" s="958" t="s">
        <v>6050</v>
      </c>
      <c r="D2891" s="957" t="s">
        <v>6049</v>
      </c>
      <c r="E2891" s="956">
        <v>8949</v>
      </c>
      <c r="F2891" s="955"/>
      <c r="L2891" s="954"/>
      <c r="M2891" s="952"/>
      <c r="N2891" s="952"/>
    </row>
    <row r="2892" spans="1:14">
      <c r="A2892" s="958" t="s">
        <v>366</v>
      </c>
      <c r="B2892" s="958">
        <v>31</v>
      </c>
      <c r="C2892" s="958" t="s">
        <v>6048</v>
      </c>
      <c r="D2892" s="957" t="s">
        <v>6047</v>
      </c>
      <c r="E2892" s="956">
        <v>12313</v>
      </c>
      <c r="F2892" s="955"/>
      <c r="L2892" s="954"/>
      <c r="M2892" s="952"/>
      <c r="N2892" s="952"/>
    </row>
    <row r="2893" spans="1:14">
      <c r="A2893" s="958" t="s">
        <v>366</v>
      </c>
      <c r="B2893" s="958">
        <v>31</v>
      </c>
      <c r="C2893" s="958" t="s">
        <v>6046</v>
      </c>
      <c r="D2893" s="957" t="s">
        <v>6045</v>
      </c>
      <c r="E2893" s="956">
        <v>30914</v>
      </c>
      <c r="F2893" s="955"/>
      <c r="L2893" s="954"/>
      <c r="M2893" s="952"/>
      <c r="N2893" s="952"/>
    </row>
    <row r="2894" spans="1:14">
      <c r="A2894" s="958" t="s">
        <v>366</v>
      </c>
      <c r="B2894" s="958">
        <v>31</v>
      </c>
      <c r="C2894" s="958" t="s">
        <v>6044</v>
      </c>
      <c r="D2894" s="957" t="s">
        <v>6043</v>
      </c>
      <c r="E2894" s="956">
        <v>14339</v>
      </c>
      <c r="F2894" s="955"/>
      <c r="L2894" s="954"/>
      <c r="M2894" s="952"/>
      <c r="N2894" s="952"/>
    </row>
    <row r="2895" spans="1:14">
      <c r="A2895" s="958" t="s">
        <v>366</v>
      </c>
      <c r="B2895" s="958">
        <v>31</v>
      </c>
      <c r="C2895" s="958" t="s">
        <v>6042</v>
      </c>
      <c r="D2895" s="957" t="s">
        <v>6041</v>
      </c>
      <c r="E2895" s="956">
        <v>17910</v>
      </c>
      <c r="F2895" s="955"/>
      <c r="L2895" s="954"/>
      <c r="M2895" s="952"/>
      <c r="N2895" s="952"/>
    </row>
    <row r="2896" spans="1:14">
      <c r="A2896" s="958" t="s">
        <v>366</v>
      </c>
      <c r="B2896" s="958">
        <v>31</v>
      </c>
      <c r="C2896" s="958" t="s">
        <v>6040</v>
      </c>
      <c r="D2896" s="957" t="s">
        <v>6039</v>
      </c>
      <c r="E2896" s="956">
        <v>5476</v>
      </c>
      <c r="F2896" s="955"/>
      <c r="L2896" s="954"/>
      <c r="M2896" s="952"/>
      <c r="N2896" s="952"/>
    </row>
    <row r="2897" spans="1:14">
      <c r="A2897" s="958" t="s">
        <v>366</v>
      </c>
      <c r="B2897" s="958">
        <v>31</v>
      </c>
      <c r="C2897" s="958" t="s">
        <v>6038</v>
      </c>
      <c r="D2897" s="957" t="s">
        <v>6037</v>
      </c>
      <c r="E2897" s="956">
        <v>12846</v>
      </c>
      <c r="F2897" s="955"/>
      <c r="L2897" s="954"/>
      <c r="M2897" s="952"/>
      <c r="N2897" s="952"/>
    </row>
    <row r="2898" spans="1:14">
      <c r="A2898" s="958" t="s">
        <v>366</v>
      </c>
      <c r="B2898" s="958">
        <v>31</v>
      </c>
      <c r="C2898" s="958" t="s">
        <v>6036</v>
      </c>
      <c r="D2898" s="957" t="s">
        <v>6035</v>
      </c>
      <c r="E2898" s="956">
        <v>4604</v>
      </c>
      <c r="F2898" s="955"/>
      <c r="L2898" s="954"/>
      <c r="M2898" s="952"/>
      <c r="N2898" s="952"/>
    </row>
    <row r="2899" spans="1:14">
      <c r="A2899" s="958" t="s">
        <v>366</v>
      </c>
      <c r="B2899" s="958">
        <v>31</v>
      </c>
      <c r="C2899" s="958" t="s">
        <v>6034</v>
      </c>
      <c r="D2899" s="957" t="s">
        <v>6033</v>
      </c>
      <c r="E2899" s="956">
        <v>2305</v>
      </c>
      <c r="F2899" s="955"/>
      <c r="L2899" s="954"/>
      <c r="M2899" s="952"/>
      <c r="N2899" s="952"/>
    </row>
    <row r="2900" spans="1:14">
      <c r="A2900" s="958" t="s">
        <v>366</v>
      </c>
      <c r="B2900" s="958">
        <v>31</v>
      </c>
      <c r="C2900" s="958" t="s">
        <v>6032</v>
      </c>
      <c r="D2900" s="957" t="s">
        <v>6031</v>
      </c>
      <c r="E2900" s="956">
        <v>8109</v>
      </c>
      <c r="F2900" s="955"/>
      <c r="L2900" s="954"/>
      <c r="M2900" s="952"/>
      <c r="N2900" s="952"/>
    </row>
    <row r="2901" spans="1:14">
      <c r="A2901" s="958" t="s">
        <v>366</v>
      </c>
      <c r="B2901" s="958">
        <v>31</v>
      </c>
      <c r="C2901" s="958" t="s">
        <v>6030</v>
      </c>
      <c r="D2901" s="957" t="s">
        <v>6029</v>
      </c>
      <c r="E2901" s="956">
        <v>3533</v>
      </c>
      <c r="F2901" s="955"/>
      <c r="L2901" s="954"/>
      <c r="M2901" s="952"/>
      <c r="N2901" s="952"/>
    </row>
    <row r="2902" spans="1:14">
      <c r="A2902" s="958" t="s">
        <v>366</v>
      </c>
      <c r="B2902" s="958">
        <v>31</v>
      </c>
      <c r="C2902" s="958" t="s">
        <v>6028</v>
      </c>
      <c r="D2902" s="957" t="s">
        <v>6027</v>
      </c>
      <c r="E2902" s="956">
        <v>4594</v>
      </c>
      <c r="F2902" s="955"/>
      <c r="L2902" s="954"/>
      <c r="M2902" s="952"/>
      <c r="N2902" s="952"/>
    </row>
    <row r="2903" spans="1:14">
      <c r="A2903" s="958" t="s">
        <v>366</v>
      </c>
      <c r="B2903" s="958">
        <v>31</v>
      </c>
      <c r="C2903" s="958" t="s">
        <v>6026</v>
      </c>
      <c r="D2903" s="957" t="s">
        <v>6025</v>
      </c>
      <c r="E2903" s="956">
        <v>5995</v>
      </c>
      <c r="F2903" s="955"/>
      <c r="L2903" s="954"/>
      <c r="M2903" s="952"/>
      <c r="N2903" s="952"/>
    </row>
    <row r="2904" spans="1:14">
      <c r="A2904" s="958" t="s">
        <v>366</v>
      </c>
      <c r="B2904" s="958">
        <v>31</v>
      </c>
      <c r="C2904" s="958" t="s">
        <v>6024</v>
      </c>
      <c r="D2904" s="957" t="s">
        <v>6023</v>
      </c>
      <c r="E2904" s="956">
        <v>10241</v>
      </c>
      <c r="F2904" s="955"/>
      <c r="L2904" s="954"/>
      <c r="M2904" s="952"/>
      <c r="N2904" s="952"/>
    </row>
    <row r="2905" spans="1:14">
      <c r="A2905" s="958" t="s">
        <v>366</v>
      </c>
      <c r="B2905" s="958">
        <v>31</v>
      </c>
      <c r="C2905" s="958" t="s">
        <v>6022</v>
      </c>
      <c r="D2905" s="957" t="s">
        <v>6021</v>
      </c>
      <c r="E2905" s="956">
        <v>136344</v>
      </c>
      <c r="F2905" s="955"/>
      <c r="L2905" s="954"/>
      <c r="M2905" s="952"/>
      <c r="N2905" s="952"/>
    </row>
    <row r="2906" spans="1:14">
      <c r="A2906" s="958" t="s">
        <v>366</v>
      </c>
      <c r="B2906" s="958">
        <v>31</v>
      </c>
      <c r="C2906" s="958" t="s">
        <v>6020</v>
      </c>
      <c r="D2906" s="957" t="s">
        <v>6019</v>
      </c>
      <c r="E2906" s="956">
        <v>15470</v>
      </c>
      <c r="F2906" s="955"/>
      <c r="L2906" s="954"/>
      <c r="M2906" s="952"/>
      <c r="N2906" s="952"/>
    </row>
    <row r="2907" spans="1:14">
      <c r="A2907" s="958" t="s">
        <v>366</v>
      </c>
      <c r="B2907" s="958">
        <v>31</v>
      </c>
      <c r="C2907" s="958" t="s">
        <v>6018</v>
      </c>
      <c r="D2907" s="957" t="s">
        <v>6017</v>
      </c>
      <c r="E2907" s="956">
        <v>26185</v>
      </c>
      <c r="F2907" s="955"/>
      <c r="L2907" s="954"/>
      <c r="M2907" s="952"/>
      <c r="N2907" s="952"/>
    </row>
    <row r="2908" spans="1:14">
      <c r="A2908" s="958" t="s">
        <v>366</v>
      </c>
      <c r="B2908" s="958">
        <v>31</v>
      </c>
      <c r="C2908" s="958" t="s">
        <v>6016</v>
      </c>
      <c r="D2908" s="957" t="s">
        <v>6015</v>
      </c>
      <c r="E2908" s="956">
        <v>41527</v>
      </c>
      <c r="F2908" s="955"/>
      <c r="L2908" s="954"/>
      <c r="M2908" s="952"/>
      <c r="N2908" s="952"/>
    </row>
    <row r="2909" spans="1:14">
      <c r="A2909" s="958" t="s">
        <v>366</v>
      </c>
      <c r="B2909" s="958">
        <v>31</v>
      </c>
      <c r="C2909" s="958" t="s">
        <v>6014</v>
      </c>
      <c r="D2909" s="957" t="s">
        <v>6013</v>
      </c>
      <c r="E2909" s="956">
        <v>7009</v>
      </c>
      <c r="F2909" s="955"/>
      <c r="L2909" s="954"/>
      <c r="M2909" s="952"/>
      <c r="N2909" s="952"/>
    </row>
    <row r="2910" spans="1:14">
      <c r="A2910" s="958" t="s">
        <v>366</v>
      </c>
      <c r="B2910" s="958">
        <v>31</v>
      </c>
      <c r="C2910" s="958" t="s">
        <v>6012</v>
      </c>
      <c r="D2910" s="957" t="s">
        <v>6011</v>
      </c>
      <c r="E2910" s="956">
        <v>31324</v>
      </c>
      <c r="F2910" s="955"/>
      <c r="L2910" s="954"/>
      <c r="M2910" s="952"/>
      <c r="N2910" s="952"/>
    </row>
    <row r="2911" spans="1:14">
      <c r="A2911" s="958" t="s">
        <v>366</v>
      </c>
      <c r="B2911" s="958">
        <v>31</v>
      </c>
      <c r="C2911" s="958" t="s">
        <v>6010</v>
      </c>
      <c r="D2911" s="957" t="s">
        <v>6009</v>
      </c>
      <c r="E2911" s="956">
        <v>8147</v>
      </c>
      <c r="F2911" s="955"/>
      <c r="L2911" s="954"/>
      <c r="M2911" s="952"/>
      <c r="N2911" s="952"/>
    </row>
    <row r="2912" spans="1:14">
      <c r="A2912" s="958" t="s">
        <v>366</v>
      </c>
      <c r="B2912" s="958">
        <v>31</v>
      </c>
      <c r="C2912" s="958" t="s">
        <v>6008</v>
      </c>
      <c r="D2912" s="957" t="s">
        <v>6007</v>
      </c>
      <c r="E2912" s="956">
        <v>3150</v>
      </c>
      <c r="F2912" s="955"/>
      <c r="L2912" s="954"/>
      <c r="M2912" s="952"/>
      <c r="N2912" s="952"/>
    </row>
    <row r="2913" spans="1:14">
      <c r="A2913" s="958" t="s">
        <v>366</v>
      </c>
      <c r="B2913" s="958">
        <v>31</v>
      </c>
      <c r="C2913" s="958" t="s">
        <v>6006</v>
      </c>
      <c r="D2913" s="957" t="s">
        <v>6005</v>
      </c>
      <c r="E2913" s="956">
        <v>4430</v>
      </c>
      <c r="F2913" s="955"/>
      <c r="L2913" s="954"/>
      <c r="M2913" s="952"/>
      <c r="N2913" s="952"/>
    </row>
    <row r="2914" spans="1:14">
      <c r="A2914" s="958" t="s">
        <v>366</v>
      </c>
      <c r="B2914" s="958">
        <v>31</v>
      </c>
      <c r="C2914" s="958" t="s">
        <v>6004</v>
      </c>
      <c r="D2914" s="957" t="s">
        <v>6003</v>
      </c>
      <c r="E2914" s="956">
        <v>8604</v>
      </c>
      <c r="F2914" s="955"/>
      <c r="L2914" s="954"/>
      <c r="M2914" s="952"/>
      <c r="N2914" s="952"/>
    </row>
    <row r="2915" spans="1:14">
      <c r="A2915" s="958" t="s">
        <v>366</v>
      </c>
      <c r="B2915" s="958">
        <v>31</v>
      </c>
      <c r="C2915" s="958" t="s">
        <v>6002</v>
      </c>
      <c r="D2915" s="957" t="s">
        <v>6001</v>
      </c>
      <c r="E2915" s="956">
        <v>4142</v>
      </c>
      <c r="F2915" s="955"/>
      <c r="L2915" s="954"/>
      <c r="M2915" s="952"/>
      <c r="N2915" s="952"/>
    </row>
    <row r="2916" spans="1:14">
      <c r="A2916" s="958" t="s">
        <v>366</v>
      </c>
      <c r="B2916" s="958">
        <v>31</v>
      </c>
      <c r="C2916" s="958" t="s">
        <v>6000</v>
      </c>
      <c r="D2916" s="957" t="s">
        <v>5999</v>
      </c>
      <c r="E2916" s="956">
        <v>4758</v>
      </c>
      <c r="F2916" s="955"/>
      <c r="L2916" s="954"/>
      <c r="M2916" s="952"/>
      <c r="N2916" s="952"/>
    </row>
    <row r="2917" spans="1:14">
      <c r="A2917" s="958" t="s">
        <v>366</v>
      </c>
      <c r="B2917" s="958">
        <v>31</v>
      </c>
      <c r="C2917" s="958" t="s">
        <v>5998</v>
      </c>
      <c r="D2917" s="957" t="s">
        <v>5997</v>
      </c>
      <c r="E2917" s="956">
        <v>4409</v>
      </c>
      <c r="F2917" s="955"/>
      <c r="L2917" s="954"/>
      <c r="M2917" s="952"/>
      <c r="N2917" s="952"/>
    </row>
    <row r="2918" spans="1:14">
      <c r="A2918" s="958" t="s">
        <v>366</v>
      </c>
      <c r="B2918" s="958">
        <v>31</v>
      </c>
      <c r="C2918" s="958" t="s">
        <v>5996</v>
      </c>
      <c r="D2918" s="957" t="s">
        <v>5995</v>
      </c>
      <c r="E2918" s="956">
        <v>3846</v>
      </c>
      <c r="F2918" s="955"/>
      <c r="L2918" s="954"/>
      <c r="M2918" s="952"/>
      <c r="N2918" s="952"/>
    </row>
    <row r="2919" spans="1:14">
      <c r="A2919" s="958" t="s">
        <v>366</v>
      </c>
      <c r="B2919" s="958">
        <v>31</v>
      </c>
      <c r="C2919" s="958" t="s">
        <v>5994</v>
      </c>
      <c r="D2919" s="957" t="s">
        <v>5993</v>
      </c>
      <c r="E2919" s="956">
        <v>6366</v>
      </c>
      <c r="F2919" s="955"/>
      <c r="L2919" s="954"/>
      <c r="M2919" s="952"/>
      <c r="N2919" s="952"/>
    </row>
    <row r="2920" spans="1:14">
      <c r="A2920" s="958" t="s">
        <v>366</v>
      </c>
      <c r="B2920" s="958">
        <v>31</v>
      </c>
      <c r="C2920" s="958" t="s">
        <v>5992</v>
      </c>
      <c r="D2920" s="957" t="s">
        <v>5991</v>
      </c>
      <c r="E2920" s="956">
        <v>14003</v>
      </c>
      <c r="F2920" s="955"/>
      <c r="L2920" s="954"/>
      <c r="M2920" s="952"/>
      <c r="N2920" s="952"/>
    </row>
    <row r="2921" spans="1:14">
      <c r="A2921" s="958" t="s">
        <v>366</v>
      </c>
      <c r="B2921" s="958">
        <v>31</v>
      </c>
      <c r="C2921" s="958" t="s">
        <v>5990</v>
      </c>
      <c r="D2921" s="957" t="s">
        <v>5989</v>
      </c>
      <c r="E2921" s="956">
        <v>219134</v>
      </c>
      <c r="F2921" s="955"/>
      <c r="L2921" s="954"/>
      <c r="M2921" s="952"/>
      <c r="N2921" s="952"/>
    </row>
    <row r="2922" spans="1:14">
      <c r="A2922" s="958" t="s">
        <v>366</v>
      </c>
      <c r="B2922" s="958">
        <v>31</v>
      </c>
      <c r="C2922" s="958" t="s">
        <v>5988</v>
      </c>
      <c r="D2922" s="957" t="s">
        <v>5987</v>
      </c>
      <c r="E2922" s="956">
        <v>16208</v>
      </c>
      <c r="F2922" s="955"/>
      <c r="L2922" s="954"/>
      <c r="M2922" s="952"/>
      <c r="N2922" s="952"/>
    </row>
    <row r="2923" spans="1:14">
      <c r="A2923" s="958" t="s">
        <v>366</v>
      </c>
      <c r="B2923" s="958">
        <v>31</v>
      </c>
      <c r="C2923" s="958" t="s">
        <v>5986</v>
      </c>
      <c r="D2923" s="957" t="s">
        <v>5985</v>
      </c>
      <c r="E2923" s="956">
        <v>10847</v>
      </c>
      <c r="F2923" s="955"/>
      <c r="L2923" s="954"/>
      <c r="M2923" s="952"/>
      <c r="N2923" s="952"/>
    </row>
    <row r="2924" spans="1:14">
      <c r="A2924" s="958" t="s">
        <v>366</v>
      </c>
      <c r="B2924" s="958">
        <v>31</v>
      </c>
      <c r="C2924" s="958" t="s">
        <v>5984</v>
      </c>
      <c r="D2924" s="957" t="s">
        <v>5983</v>
      </c>
      <c r="E2924" s="956">
        <v>5232</v>
      </c>
      <c r="F2924" s="955"/>
      <c r="L2924" s="954"/>
      <c r="M2924" s="952"/>
      <c r="N2924" s="952"/>
    </row>
    <row r="2925" spans="1:14">
      <c r="A2925" s="958" t="s">
        <v>366</v>
      </c>
      <c r="B2925" s="958">
        <v>31</v>
      </c>
      <c r="C2925" s="958" t="s">
        <v>5982</v>
      </c>
      <c r="D2925" s="957" t="s">
        <v>5981</v>
      </c>
      <c r="E2925" s="956">
        <v>14615</v>
      </c>
      <c r="F2925" s="955"/>
      <c r="L2925" s="954"/>
      <c r="M2925" s="952"/>
      <c r="N2925" s="952"/>
    </row>
    <row r="2926" spans="1:14">
      <c r="A2926" s="958" t="s">
        <v>366</v>
      </c>
      <c r="B2926" s="958">
        <v>31</v>
      </c>
      <c r="C2926" s="958" t="s">
        <v>5980</v>
      </c>
      <c r="D2926" s="957" t="s">
        <v>5979</v>
      </c>
      <c r="E2926" s="956">
        <v>7100</v>
      </c>
      <c r="F2926" s="955"/>
      <c r="L2926" s="954"/>
      <c r="M2926" s="952"/>
      <c r="N2926" s="952"/>
    </row>
    <row r="2927" spans="1:14">
      <c r="A2927" s="958" t="s">
        <v>366</v>
      </c>
      <c r="B2927" s="958">
        <v>31</v>
      </c>
      <c r="C2927" s="958" t="s">
        <v>5978</v>
      </c>
      <c r="D2927" s="957" t="s">
        <v>5977</v>
      </c>
      <c r="E2927" s="956">
        <v>3872</v>
      </c>
      <c r="F2927" s="955"/>
      <c r="L2927" s="954"/>
      <c r="M2927" s="952"/>
      <c r="N2927" s="952"/>
    </row>
    <row r="2928" spans="1:14">
      <c r="A2928" s="958" t="s">
        <v>366</v>
      </c>
      <c r="B2928" s="958">
        <v>31</v>
      </c>
      <c r="C2928" s="958" t="s">
        <v>5976</v>
      </c>
      <c r="D2928" s="957" t="s">
        <v>5975</v>
      </c>
      <c r="E2928" s="956">
        <v>7642</v>
      </c>
      <c r="F2928" s="955"/>
      <c r="L2928" s="954"/>
      <c r="M2928" s="952"/>
      <c r="N2928" s="952"/>
    </row>
    <row r="2929" spans="1:14">
      <c r="A2929" s="958" t="s">
        <v>366</v>
      </c>
      <c r="B2929" s="958">
        <v>31</v>
      </c>
      <c r="C2929" s="958" t="s">
        <v>5974</v>
      </c>
      <c r="D2929" s="957" t="s">
        <v>5973</v>
      </c>
      <c r="E2929" s="956">
        <v>3976</v>
      </c>
      <c r="F2929" s="955"/>
      <c r="L2929" s="954"/>
      <c r="M2929" s="952"/>
      <c r="N2929" s="952"/>
    </row>
    <row r="2930" spans="1:14">
      <c r="A2930" s="958" t="s">
        <v>366</v>
      </c>
      <c r="B2930" s="958">
        <v>31</v>
      </c>
      <c r="C2930" s="958" t="s">
        <v>5972</v>
      </c>
      <c r="D2930" s="957" t="s">
        <v>5971</v>
      </c>
      <c r="E2930" s="956">
        <v>2458</v>
      </c>
      <c r="F2930" s="955"/>
      <c r="L2930" s="954"/>
      <c r="M2930" s="952"/>
      <c r="N2930" s="952"/>
    </row>
    <row r="2931" spans="1:14">
      <c r="A2931" s="958" t="s">
        <v>366</v>
      </c>
      <c r="B2931" s="958">
        <v>31</v>
      </c>
      <c r="C2931" s="958" t="s">
        <v>5970</v>
      </c>
      <c r="D2931" s="957" t="s">
        <v>5969</v>
      </c>
      <c r="E2931" s="956">
        <v>4821</v>
      </c>
      <c r="F2931" s="955"/>
      <c r="L2931" s="954"/>
      <c r="M2931" s="952"/>
      <c r="N2931" s="952"/>
    </row>
    <row r="2932" spans="1:14">
      <c r="A2932" s="958" t="s">
        <v>366</v>
      </c>
      <c r="B2932" s="958">
        <v>31</v>
      </c>
      <c r="C2932" s="958" t="s">
        <v>5968</v>
      </c>
      <c r="D2932" s="957" t="s">
        <v>5967</v>
      </c>
      <c r="E2932" s="956">
        <v>8674</v>
      </c>
      <c r="F2932" s="955"/>
      <c r="L2932" s="954"/>
      <c r="M2932" s="952"/>
      <c r="N2932" s="952"/>
    </row>
    <row r="2933" spans="1:14">
      <c r="A2933" s="958" t="s">
        <v>366</v>
      </c>
      <c r="B2933" s="958">
        <v>31</v>
      </c>
      <c r="C2933" s="958" t="s">
        <v>5966</v>
      </c>
      <c r="D2933" s="957" t="s">
        <v>5965</v>
      </c>
      <c r="E2933" s="956">
        <v>34663</v>
      </c>
      <c r="F2933" s="955"/>
      <c r="L2933" s="954"/>
      <c r="M2933" s="952"/>
      <c r="N2933" s="952"/>
    </row>
    <row r="2934" spans="1:14">
      <c r="A2934" s="958" t="s">
        <v>366</v>
      </c>
      <c r="B2934" s="958">
        <v>31</v>
      </c>
      <c r="C2934" s="958" t="s">
        <v>5964</v>
      </c>
      <c r="D2934" s="957" t="s">
        <v>5963</v>
      </c>
      <c r="E2934" s="956">
        <v>4295</v>
      </c>
      <c r="F2934" s="955"/>
      <c r="L2934" s="954"/>
      <c r="M2934" s="952"/>
      <c r="N2934" s="952"/>
    </row>
    <row r="2935" spans="1:14">
      <c r="A2935" s="958" t="s">
        <v>366</v>
      </c>
      <c r="B2935" s="958">
        <v>31</v>
      </c>
      <c r="C2935" s="958" t="s">
        <v>5962</v>
      </c>
      <c r="D2935" s="957" t="s">
        <v>5961</v>
      </c>
      <c r="E2935" s="956">
        <v>3777</v>
      </c>
      <c r="F2935" s="955"/>
      <c r="L2935" s="954"/>
      <c r="M2935" s="952"/>
      <c r="N2935" s="952"/>
    </row>
    <row r="2936" spans="1:14">
      <c r="A2936" s="958" t="s">
        <v>366</v>
      </c>
      <c r="B2936" s="958">
        <v>31</v>
      </c>
      <c r="C2936" s="958" t="s">
        <v>5960</v>
      </c>
      <c r="D2936" s="957" t="s">
        <v>5959</v>
      </c>
      <c r="E2936" s="956">
        <v>8949</v>
      </c>
      <c r="F2936" s="955"/>
      <c r="L2936" s="954"/>
      <c r="M2936" s="952"/>
      <c r="N2936" s="952"/>
    </row>
    <row r="2937" spans="1:14">
      <c r="A2937" s="958" t="s">
        <v>366</v>
      </c>
      <c r="B2937" s="958">
        <v>31</v>
      </c>
      <c r="C2937" s="958" t="s">
        <v>5958</v>
      </c>
      <c r="D2937" s="957" t="s">
        <v>5957</v>
      </c>
      <c r="E2937" s="956">
        <v>4884</v>
      </c>
      <c r="F2937" s="955"/>
      <c r="L2937" s="954"/>
      <c r="M2937" s="952"/>
      <c r="N2937" s="952"/>
    </row>
    <row r="2938" spans="1:14">
      <c r="A2938" s="958" t="s">
        <v>366</v>
      </c>
      <c r="B2938" s="958">
        <v>31</v>
      </c>
      <c r="C2938" s="958" t="s">
        <v>5956</v>
      </c>
      <c r="D2938" s="957" t="s">
        <v>5955</v>
      </c>
      <c r="E2938" s="956">
        <v>7212</v>
      </c>
      <c r="F2938" s="955"/>
      <c r="L2938" s="954"/>
      <c r="M2938" s="952"/>
      <c r="N2938" s="952"/>
    </row>
    <row r="2939" spans="1:14">
      <c r="A2939" s="958" t="s">
        <v>366</v>
      </c>
      <c r="B2939" s="958">
        <v>31</v>
      </c>
      <c r="C2939" s="958" t="s">
        <v>5954</v>
      </c>
      <c r="D2939" s="957" t="s">
        <v>5953</v>
      </c>
      <c r="E2939" s="956">
        <v>3425</v>
      </c>
      <c r="F2939" s="955"/>
      <c r="L2939" s="954"/>
      <c r="M2939" s="952"/>
      <c r="N2939" s="952"/>
    </row>
    <row r="2940" spans="1:14">
      <c r="A2940" s="958" t="s">
        <v>366</v>
      </c>
      <c r="B2940" s="958">
        <v>31</v>
      </c>
      <c r="C2940" s="958" t="s">
        <v>5952</v>
      </c>
      <c r="D2940" s="957" t="s">
        <v>5951</v>
      </c>
      <c r="E2940" s="956">
        <v>5489</v>
      </c>
      <c r="F2940" s="955"/>
      <c r="L2940" s="954"/>
      <c r="M2940" s="952"/>
      <c r="N2940" s="952"/>
    </row>
    <row r="2941" spans="1:14">
      <c r="A2941" s="958" t="s">
        <v>366</v>
      </c>
      <c r="B2941" s="958">
        <v>31</v>
      </c>
      <c r="C2941" s="958" t="s">
        <v>5950</v>
      </c>
      <c r="D2941" s="957" t="s">
        <v>5949</v>
      </c>
      <c r="E2941" s="956">
        <v>43260</v>
      </c>
      <c r="F2941" s="955"/>
      <c r="L2941" s="954"/>
      <c r="M2941" s="952"/>
      <c r="N2941" s="952"/>
    </row>
    <row r="2942" spans="1:14">
      <c r="A2942" s="958" t="s">
        <v>366</v>
      </c>
      <c r="B2942" s="958">
        <v>31</v>
      </c>
      <c r="C2942" s="958" t="s">
        <v>5948</v>
      </c>
      <c r="D2942" s="957" t="s">
        <v>5947</v>
      </c>
      <c r="E2942" s="956">
        <v>3350</v>
      </c>
      <c r="F2942" s="955"/>
      <c r="L2942" s="954"/>
      <c r="M2942" s="952"/>
      <c r="N2942" s="952"/>
    </row>
    <row r="2943" spans="1:14">
      <c r="A2943" s="958" t="s">
        <v>366</v>
      </c>
      <c r="B2943" s="958">
        <v>31</v>
      </c>
      <c r="C2943" s="958" t="s">
        <v>5946</v>
      </c>
      <c r="D2943" s="957" t="s">
        <v>5945</v>
      </c>
      <c r="E2943" s="956">
        <v>19742</v>
      </c>
      <c r="F2943" s="955"/>
      <c r="L2943" s="954"/>
      <c r="M2943" s="952"/>
      <c r="N2943" s="952"/>
    </row>
    <row r="2944" spans="1:14">
      <c r="A2944" s="958" t="s">
        <v>366</v>
      </c>
      <c r="B2944" s="958">
        <v>31</v>
      </c>
      <c r="C2944" s="958" t="s">
        <v>5944</v>
      </c>
      <c r="D2944" s="957" t="s">
        <v>5943</v>
      </c>
      <c r="E2944" s="956">
        <v>18525</v>
      </c>
      <c r="F2944" s="955"/>
      <c r="L2944" s="954"/>
      <c r="M2944" s="952"/>
      <c r="N2944" s="952"/>
    </row>
    <row r="2945" spans="1:14">
      <c r="A2945" s="958" t="s">
        <v>366</v>
      </c>
      <c r="B2945" s="958">
        <v>31</v>
      </c>
      <c r="C2945" s="958" t="s">
        <v>5942</v>
      </c>
      <c r="D2945" s="957" t="s">
        <v>5941</v>
      </c>
      <c r="E2945" s="956">
        <v>3602</v>
      </c>
      <c r="F2945" s="955"/>
      <c r="L2945" s="954"/>
      <c r="M2945" s="952"/>
      <c r="N2945" s="952"/>
    </row>
    <row r="2946" spans="1:14">
      <c r="A2946" s="958" t="s">
        <v>366</v>
      </c>
      <c r="B2946" s="958">
        <v>31</v>
      </c>
      <c r="C2946" s="958" t="s">
        <v>5940</v>
      </c>
      <c r="D2946" s="957" t="s">
        <v>5939</v>
      </c>
      <c r="E2946" s="956">
        <v>3911</v>
      </c>
      <c r="F2946" s="955"/>
      <c r="L2946" s="954"/>
      <c r="M2946" s="952"/>
      <c r="N2946" s="952"/>
    </row>
    <row r="2947" spans="1:14">
      <c r="A2947" s="958" t="s">
        <v>366</v>
      </c>
      <c r="B2947" s="958">
        <v>31</v>
      </c>
      <c r="C2947" s="958" t="s">
        <v>5938</v>
      </c>
      <c r="D2947" s="957" t="s">
        <v>5937</v>
      </c>
      <c r="E2947" s="956">
        <v>3838</v>
      </c>
      <c r="F2947" s="955"/>
      <c r="L2947" s="954"/>
      <c r="M2947" s="952"/>
      <c r="N2947" s="952"/>
    </row>
    <row r="2948" spans="1:14">
      <c r="A2948" s="958" t="s">
        <v>366</v>
      </c>
      <c r="B2948" s="958">
        <v>31</v>
      </c>
      <c r="C2948" s="958" t="s">
        <v>5936</v>
      </c>
      <c r="D2948" s="957" t="s">
        <v>5935</v>
      </c>
      <c r="E2948" s="956">
        <v>11640</v>
      </c>
      <c r="F2948" s="955"/>
      <c r="L2948" s="954"/>
      <c r="M2948" s="952"/>
      <c r="N2948" s="952"/>
    </row>
    <row r="2949" spans="1:14">
      <c r="A2949" s="958" t="s">
        <v>366</v>
      </c>
      <c r="B2949" s="958">
        <v>31</v>
      </c>
      <c r="C2949" s="958" t="s">
        <v>5934</v>
      </c>
      <c r="D2949" s="957" t="s">
        <v>5933</v>
      </c>
      <c r="E2949" s="956">
        <v>28243</v>
      </c>
      <c r="F2949" s="955"/>
      <c r="L2949" s="954"/>
      <c r="M2949" s="952"/>
      <c r="N2949" s="952"/>
    </row>
    <row r="2950" spans="1:14">
      <c r="A2950" s="958" t="s">
        <v>366</v>
      </c>
      <c r="B2950" s="958">
        <v>31</v>
      </c>
      <c r="C2950" s="958" t="s">
        <v>5932</v>
      </c>
      <c r="D2950" s="957" t="s">
        <v>5931</v>
      </c>
      <c r="E2950" s="956">
        <v>7277</v>
      </c>
      <c r="F2950" s="955"/>
      <c r="L2950" s="954"/>
      <c r="M2950" s="952"/>
      <c r="N2950" s="952"/>
    </row>
    <row r="2951" spans="1:14">
      <c r="A2951" s="958" t="s">
        <v>366</v>
      </c>
      <c r="B2951" s="958">
        <v>31</v>
      </c>
      <c r="C2951" s="958" t="s">
        <v>5930</v>
      </c>
      <c r="D2951" s="957" t="s">
        <v>5929</v>
      </c>
      <c r="E2951" s="956">
        <v>1765</v>
      </c>
      <c r="F2951" s="955"/>
      <c r="L2951" s="954"/>
      <c r="M2951" s="952"/>
      <c r="N2951" s="952"/>
    </row>
    <row r="2952" spans="1:14">
      <c r="A2952" s="958" t="s">
        <v>366</v>
      </c>
      <c r="B2952" s="958">
        <v>31</v>
      </c>
      <c r="C2952" s="958" t="s">
        <v>5928</v>
      </c>
      <c r="D2952" s="957" t="s">
        <v>5927</v>
      </c>
      <c r="E2952" s="956">
        <v>3087</v>
      </c>
      <c r="F2952" s="955"/>
      <c r="L2952" s="954"/>
      <c r="M2952" s="952"/>
      <c r="N2952" s="952"/>
    </row>
    <row r="2953" spans="1:14">
      <c r="A2953" s="958" t="s">
        <v>366</v>
      </c>
      <c r="B2953" s="958">
        <v>31</v>
      </c>
      <c r="C2953" s="958" t="s">
        <v>5926</v>
      </c>
      <c r="D2953" s="957" t="s">
        <v>5925</v>
      </c>
      <c r="E2953" s="956">
        <v>46487</v>
      </c>
      <c r="F2953" s="955"/>
      <c r="L2953" s="954"/>
      <c r="M2953" s="952"/>
      <c r="N2953" s="952"/>
    </row>
    <row r="2954" spans="1:14">
      <c r="A2954" s="958" t="s">
        <v>366</v>
      </c>
      <c r="B2954" s="958">
        <v>31</v>
      </c>
      <c r="C2954" s="958" t="s">
        <v>5924</v>
      </c>
      <c r="D2954" s="957" t="s">
        <v>5923</v>
      </c>
      <c r="E2954" s="956">
        <v>5286</v>
      </c>
      <c r="F2954" s="955"/>
      <c r="L2954" s="954"/>
      <c r="M2954" s="952"/>
      <c r="N2954" s="952"/>
    </row>
    <row r="2955" spans="1:14">
      <c r="A2955" s="958" t="s">
        <v>366</v>
      </c>
      <c r="B2955" s="958">
        <v>31</v>
      </c>
      <c r="C2955" s="958" t="s">
        <v>5922</v>
      </c>
      <c r="D2955" s="957" t="s">
        <v>5921</v>
      </c>
      <c r="E2955" s="956">
        <v>3738</v>
      </c>
      <c r="F2955" s="955"/>
      <c r="L2955" s="954"/>
      <c r="M2955" s="952"/>
      <c r="N2955" s="952"/>
    </row>
    <row r="2956" spans="1:14">
      <c r="A2956" s="958" t="s">
        <v>366</v>
      </c>
      <c r="B2956" s="958">
        <v>31</v>
      </c>
      <c r="C2956" s="958" t="s">
        <v>5920</v>
      </c>
      <c r="D2956" s="957" t="s">
        <v>5919</v>
      </c>
      <c r="E2956" s="956">
        <v>5644</v>
      </c>
      <c r="F2956" s="955"/>
      <c r="L2956" s="954"/>
      <c r="M2956" s="952"/>
      <c r="N2956" s="952"/>
    </row>
    <row r="2957" spans="1:14">
      <c r="A2957" s="958" t="s">
        <v>366</v>
      </c>
      <c r="B2957" s="958">
        <v>31</v>
      </c>
      <c r="C2957" s="958" t="s">
        <v>5918</v>
      </c>
      <c r="D2957" s="957" t="s">
        <v>5917</v>
      </c>
      <c r="E2957" s="956">
        <v>17359</v>
      </c>
      <c r="F2957" s="955"/>
      <c r="L2957" s="954"/>
      <c r="M2957" s="952"/>
      <c r="N2957" s="952"/>
    </row>
    <row r="2958" spans="1:14">
      <c r="A2958" s="958" t="s">
        <v>366</v>
      </c>
      <c r="B2958" s="958">
        <v>31</v>
      </c>
      <c r="C2958" s="958" t="s">
        <v>5916</v>
      </c>
      <c r="D2958" s="957" t="s">
        <v>5915</v>
      </c>
      <c r="E2958" s="956">
        <v>3369</v>
      </c>
      <c r="F2958" s="955"/>
      <c r="L2958" s="954"/>
      <c r="M2958" s="952"/>
      <c r="N2958" s="952"/>
    </row>
    <row r="2959" spans="1:14">
      <c r="A2959" s="958" t="s">
        <v>366</v>
      </c>
      <c r="B2959" s="958">
        <v>31</v>
      </c>
      <c r="C2959" s="958" t="s">
        <v>5914</v>
      </c>
      <c r="D2959" s="957" t="s">
        <v>4324</v>
      </c>
      <c r="E2959" s="956">
        <v>56323</v>
      </c>
      <c r="F2959" s="955"/>
      <c r="L2959" s="954"/>
      <c r="M2959" s="952"/>
      <c r="N2959" s="952"/>
    </row>
    <row r="2960" spans="1:14">
      <c r="A2960" s="958" t="s">
        <v>366</v>
      </c>
      <c r="B2960" s="958">
        <v>31</v>
      </c>
      <c r="C2960" s="958" t="s">
        <v>5913</v>
      </c>
      <c r="D2960" s="957" t="s">
        <v>1999</v>
      </c>
      <c r="E2960" s="956">
        <v>6527</v>
      </c>
      <c r="F2960" s="955"/>
      <c r="L2960" s="954"/>
      <c r="M2960" s="952"/>
      <c r="N2960" s="952"/>
    </row>
    <row r="2961" spans="1:14">
      <c r="A2961" s="958" t="s">
        <v>366</v>
      </c>
      <c r="B2961" s="958">
        <v>31</v>
      </c>
      <c r="C2961" s="958" t="s">
        <v>5912</v>
      </c>
      <c r="D2961" s="957" t="s">
        <v>5911</v>
      </c>
      <c r="E2961" s="956">
        <v>6238</v>
      </c>
      <c r="F2961" s="955"/>
      <c r="L2961" s="954"/>
      <c r="M2961" s="952"/>
      <c r="N2961" s="952"/>
    </row>
    <row r="2962" spans="1:14">
      <c r="A2962" s="958" t="s">
        <v>366</v>
      </c>
      <c r="B2962" s="958">
        <v>31</v>
      </c>
      <c r="C2962" s="958" t="s">
        <v>5910</v>
      </c>
      <c r="D2962" s="957" t="s">
        <v>5909</v>
      </c>
      <c r="E2962" s="956">
        <v>4844</v>
      </c>
      <c r="F2962" s="955"/>
      <c r="L2962" s="954"/>
      <c r="M2962" s="952"/>
      <c r="N2962" s="952"/>
    </row>
    <row r="2963" spans="1:14">
      <c r="A2963" s="958" t="s">
        <v>366</v>
      </c>
      <c r="B2963" s="958">
        <v>31</v>
      </c>
      <c r="C2963" s="958" t="s">
        <v>5908</v>
      </c>
      <c r="D2963" s="957" t="s">
        <v>5907</v>
      </c>
      <c r="E2963" s="956">
        <v>12366</v>
      </c>
      <c r="F2963" s="955"/>
      <c r="L2963" s="954"/>
      <c r="M2963" s="952"/>
      <c r="N2963" s="952"/>
    </row>
    <row r="2964" spans="1:14">
      <c r="A2964" s="958" t="s">
        <v>366</v>
      </c>
      <c r="B2964" s="958">
        <v>31</v>
      </c>
      <c r="C2964" s="958" t="s">
        <v>5906</v>
      </c>
      <c r="D2964" s="957" t="s">
        <v>5905</v>
      </c>
      <c r="E2964" s="956">
        <v>3962</v>
      </c>
      <c r="F2964" s="955"/>
      <c r="L2964" s="954"/>
      <c r="M2964" s="952"/>
      <c r="N2964" s="952"/>
    </row>
    <row r="2965" spans="1:14">
      <c r="A2965" s="958" t="s">
        <v>366</v>
      </c>
      <c r="B2965" s="958">
        <v>31</v>
      </c>
      <c r="C2965" s="958" t="s">
        <v>5904</v>
      </c>
      <c r="D2965" s="957" t="s">
        <v>5903</v>
      </c>
      <c r="E2965" s="956">
        <v>4012</v>
      </c>
      <c r="F2965" s="955"/>
      <c r="L2965" s="954"/>
      <c r="M2965" s="952"/>
      <c r="N2965" s="952"/>
    </row>
    <row r="2966" spans="1:14">
      <c r="A2966" s="958" t="s">
        <v>366</v>
      </c>
      <c r="B2966" s="958">
        <v>31</v>
      </c>
      <c r="C2966" s="958" t="s">
        <v>5902</v>
      </c>
      <c r="D2966" s="957" t="s">
        <v>5901</v>
      </c>
      <c r="E2966" s="956">
        <v>8389</v>
      </c>
      <c r="F2966" s="955"/>
      <c r="L2966" s="954"/>
      <c r="M2966" s="952"/>
      <c r="N2966" s="952"/>
    </row>
    <row r="2967" spans="1:14">
      <c r="A2967" s="958" t="s">
        <v>366</v>
      </c>
      <c r="B2967" s="958">
        <v>31</v>
      </c>
      <c r="C2967" s="958" t="s">
        <v>5900</v>
      </c>
      <c r="D2967" s="957" t="s">
        <v>5899</v>
      </c>
      <c r="E2967" s="956">
        <v>12411</v>
      </c>
      <c r="F2967" s="955"/>
      <c r="L2967" s="954"/>
      <c r="M2967" s="952"/>
      <c r="N2967" s="952"/>
    </row>
    <row r="2968" spans="1:14">
      <c r="A2968" s="958" t="s">
        <v>366</v>
      </c>
      <c r="B2968" s="958">
        <v>31</v>
      </c>
      <c r="C2968" s="958" t="s">
        <v>5898</v>
      </c>
      <c r="D2968" s="957" t="s">
        <v>5897</v>
      </c>
      <c r="E2968" s="956">
        <v>10920</v>
      </c>
      <c r="F2968" s="955"/>
      <c r="L2968" s="954"/>
      <c r="M2968" s="952"/>
      <c r="N2968" s="952"/>
    </row>
    <row r="2969" spans="1:14">
      <c r="A2969" s="958" t="s">
        <v>366</v>
      </c>
      <c r="B2969" s="958">
        <v>31</v>
      </c>
      <c r="C2969" s="958" t="s">
        <v>5896</v>
      </c>
      <c r="D2969" s="957" t="s">
        <v>5895</v>
      </c>
      <c r="E2969" s="956">
        <v>25449</v>
      </c>
      <c r="F2969" s="955"/>
      <c r="L2969" s="954"/>
      <c r="M2969" s="952"/>
      <c r="N2969" s="952"/>
    </row>
    <row r="2970" spans="1:14">
      <c r="A2970" s="958" t="s">
        <v>366</v>
      </c>
      <c r="B2970" s="958">
        <v>31</v>
      </c>
      <c r="C2970" s="958" t="s">
        <v>5894</v>
      </c>
      <c r="D2970" s="957" t="s">
        <v>5893</v>
      </c>
      <c r="E2970" s="956">
        <v>35469</v>
      </c>
      <c r="F2970" s="955"/>
      <c r="L2970" s="954"/>
      <c r="M2970" s="952"/>
      <c r="N2970" s="952"/>
    </row>
    <row r="2971" spans="1:14">
      <c r="A2971" s="958" t="s">
        <v>366</v>
      </c>
      <c r="B2971" s="958">
        <v>31</v>
      </c>
      <c r="C2971" s="958" t="s">
        <v>5892</v>
      </c>
      <c r="D2971" s="957" t="s">
        <v>5891</v>
      </c>
      <c r="E2971" s="956">
        <v>7453</v>
      </c>
      <c r="F2971" s="955"/>
      <c r="L2971" s="954"/>
      <c r="M2971" s="952"/>
      <c r="N2971" s="952"/>
    </row>
    <row r="2972" spans="1:14">
      <c r="A2972" s="958" t="s">
        <v>366</v>
      </c>
      <c r="B2972" s="958">
        <v>31</v>
      </c>
      <c r="C2972" s="958" t="s">
        <v>5890</v>
      </c>
      <c r="D2972" s="957" t="s">
        <v>5889</v>
      </c>
      <c r="E2972" s="956">
        <v>4915</v>
      </c>
      <c r="F2972" s="955"/>
      <c r="L2972" s="954"/>
      <c r="M2972" s="952"/>
      <c r="N2972" s="952"/>
    </row>
    <row r="2973" spans="1:14">
      <c r="A2973" s="958" t="s">
        <v>366</v>
      </c>
      <c r="B2973" s="958">
        <v>31</v>
      </c>
      <c r="C2973" s="958" t="s">
        <v>5888</v>
      </c>
      <c r="D2973" s="957" t="s">
        <v>5887</v>
      </c>
      <c r="E2973" s="956">
        <v>2749</v>
      </c>
      <c r="F2973" s="955"/>
      <c r="L2973" s="954"/>
      <c r="M2973" s="952"/>
      <c r="N2973" s="952"/>
    </row>
    <row r="2974" spans="1:14">
      <c r="A2974" s="958" t="s">
        <v>366</v>
      </c>
      <c r="B2974" s="958">
        <v>31</v>
      </c>
      <c r="C2974" s="958" t="s">
        <v>5886</v>
      </c>
      <c r="D2974" s="957" t="s">
        <v>5885</v>
      </c>
      <c r="E2974" s="956">
        <v>25165</v>
      </c>
      <c r="F2974" s="955"/>
      <c r="L2974" s="954"/>
      <c r="M2974" s="952"/>
      <c r="N2974" s="952"/>
    </row>
    <row r="2975" spans="1:14">
      <c r="A2975" s="958" t="s">
        <v>366</v>
      </c>
      <c r="B2975" s="958">
        <v>31</v>
      </c>
      <c r="C2975" s="958" t="s">
        <v>5884</v>
      </c>
      <c r="D2975" s="957" t="s">
        <v>5883</v>
      </c>
      <c r="E2975" s="956">
        <v>13014</v>
      </c>
      <c r="F2975" s="955"/>
      <c r="L2975" s="954"/>
      <c r="M2975" s="952"/>
      <c r="N2975" s="952"/>
    </row>
    <row r="2976" spans="1:14">
      <c r="A2976" s="958" t="s">
        <v>366</v>
      </c>
      <c r="B2976" s="958">
        <v>31</v>
      </c>
      <c r="C2976" s="958" t="s">
        <v>5882</v>
      </c>
      <c r="D2976" s="957" t="s">
        <v>5881</v>
      </c>
      <c r="E2976" s="956">
        <v>90082</v>
      </c>
      <c r="F2976" s="955"/>
      <c r="L2976" s="954"/>
      <c r="M2976" s="952"/>
      <c r="N2976" s="952"/>
    </row>
    <row r="2977" spans="1:14">
      <c r="A2977" s="958" t="s">
        <v>366</v>
      </c>
      <c r="B2977" s="958">
        <v>31</v>
      </c>
      <c r="C2977" s="958" t="s">
        <v>5880</v>
      </c>
      <c r="D2977" s="957" t="s">
        <v>5879</v>
      </c>
      <c r="E2977" s="956">
        <v>11559</v>
      </c>
      <c r="F2977" s="955"/>
      <c r="L2977" s="954"/>
      <c r="M2977" s="952"/>
      <c r="N2977" s="952"/>
    </row>
    <row r="2978" spans="1:14">
      <c r="A2978" s="958" t="s">
        <v>366</v>
      </c>
      <c r="B2978" s="958">
        <v>31</v>
      </c>
      <c r="C2978" s="958" t="s">
        <v>5878</v>
      </c>
      <c r="D2978" s="957" t="s">
        <v>5877</v>
      </c>
      <c r="E2978" s="956">
        <v>5859</v>
      </c>
      <c r="F2978" s="955"/>
      <c r="L2978" s="954"/>
      <c r="M2978" s="952"/>
      <c r="N2978" s="952"/>
    </row>
    <row r="2979" spans="1:14">
      <c r="A2979" s="958" t="s">
        <v>366</v>
      </c>
      <c r="B2979" s="958">
        <v>31</v>
      </c>
      <c r="C2979" s="958" t="s">
        <v>5876</v>
      </c>
      <c r="D2979" s="957" t="s">
        <v>5875</v>
      </c>
      <c r="E2979" s="956">
        <v>7498</v>
      </c>
      <c r="F2979" s="955"/>
      <c r="L2979" s="954"/>
      <c r="M2979" s="952"/>
      <c r="N2979" s="952"/>
    </row>
    <row r="2980" spans="1:14">
      <c r="A2980" s="958" t="s">
        <v>366</v>
      </c>
      <c r="B2980" s="958">
        <v>31</v>
      </c>
      <c r="C2980" s="958" t="s">
        <v>5874</v>
      </c>
      <c r="D2980" s="957" t="s">
        <v>5873</v>
      </c>
      <c r="E2980" s="956">
        <v>4419</v>
      </c>
      <c r="F2980" s="955"/>
      <c r="L2980" s="954"/>
      <c r="M2980" s="952"/>
      <c r="N2980" s="952"/>
    </row>
    <row r="2981" spans="1:14">
      <c r="A2981" s="958" t="s">
        <v>366</v>
      </c>
      <c r="B2981" s="958">
        <v>31</v>
      </c>
      <c r="C2981" s="958" t="s">
        <v>5872</v>
      </c>
      <c r="D2981" s="957" t="s">
        <v>5871</v>
      </c>
      <c r="E2981" s="956">
        <v>23618</v>
      </c>
      <c r="F2981" s="955"/>
      <c r="L2981" s="954"/>
      <c r="M2981" s="952"/>
      <c r="N2981" s="952"/>
    </row>
    <row r="2982" spans="1:14">
      <c r="A2982" s="958" t="s">
        <v>366</v>
      </c>
      <c r="B2982" s="958">
        <v>31</v>
      </c>
      <c r="C2982" s="958" t="s">
        <v>5870</v>
      </c>
      <c r="D2982" s="957" t="s">
        <v>5869</v>
      </c>
      <c r="E2982" s="956">
        <v>15774</v>
      </c>
      <c r="F2982" s="955"/>
      <c r="L2982" s="954"/>
      <c r="M2982" s="952"/>
      <c r="N2982" s="952"/>
    </row>
    <row r="2983" spans="1:14">
      <c r="A2983" s="958" t="s">
        <v>366</v>
      </c>
      <c r="B2983" s="958">
        <v>31</v>
      </c>
      <c r="C2983" s="958" t="s">
        <v>5868</v>
      </c>
      <c r="D2983" s="957" t="s">
        <v>5867</v>
      </c>
      <c r="E2983" s="956">
        <v>26361</v>
      </c>
      <c r="F2983" s="955"/>
      <c r="L2983" s="954"/>
      <c r="M2983" s="952"/>
      <c r="N2983" s="952"/>
    </row>
    <row r="2984" spans="1:14">
      <c r="A2984" s="958" t="s">
        <v>366</v>
      </c>
      <c r="B2984" s="958">
        <v>31</v>
      </c>
      <c r="C2984" s="958" t="s">
        <v>5866</v>
      </c>
      <c r="D2984" s="957" t="s">
        <v>5865</v>
      </c>
      <c r="E2984" s="956">
        <v>31578</v>
      </c>
      <c r="F2984" s="955"/>
      <c r="L2984" s="954"/>
      <c r="M2984" s="952"/>
      <c r="N2984" s="952"/>
    </row>
    <row r="2985" spans="1:14">
      <c r="A2985" s="958" t="s">
        <v>366</v>
      </c>
      <c r="B2985" s="958">
        <v>31</v>
      </c>
      <c r="C2985" s="958" t="s">
        <v>5864</v>
      </c>
      <c r="D2985" s="957" t="s">
        <v>5863</v>
      </c>
      <c r="E2985" s="956">
        <v>7426</v>
      </c>
      <c r="F2985" s="955"/>
      <c r="L2985" s="954"/>
      <c r="M2985" s="952"/>
      <c r="N2985" s="952"/>
    </row>
    <row r="2986" spans="1:14">
      <c r="A2986" s="958" t="s">
        <v>366</v>
      </c>
      <c r="B2986" s="958">
        <v>31</v>
      </c>
      <c r="C2986" s="958" t="s">
        <v>5862</v>
      </c>
      <c r="D2986" s="957" t="s">
        <v>5861</v>
      </c>
      <c r="E2986" s="956">
        <v>23766</v>
      </c>
      <c r="F2986" s="955"/>
      <c r="L2986" s="954"/>
      <c r="M2986" s="952"/>
      <c r="N2986" s="952"/>
    </row>
    <row r="2987" spans="1:14">
      <c r="A2987" s="958" t="s">
        <v>366</v>
      </c>
      <c r="B2987" s="958">
        <v>31</v>
      </c>
      <c r="C2987" s="958" t="s">
        <v>5860</v>
      </c>
      <c r="D2987" s="957" t="s">
        <v>5859</v>
      </c>
      <c r="E2987" s="956">
        <v>4268</v>
      </c>
      <c r="F2987" s="955"/>
      <c r="L2987" s="954"/>
      <c r="M2987" s="952"/>
      <c r="N2987" s="952"/>
    </row>
    <row r="2988" spans="1:14">
      <c r="A2988" s="958" t="s">
        <v>366</v>
      </c>
      <c r="B2988" s="958">
        <v>31</v>
      </c>
      <c r="C2988" s="958" t="s">
        <v>5858</v>
      </c>
      <c r="D2988" s="957" t="s">
        <v>5857</v>
      </c>
      <c r="E2988" s="956">
        <v>5004</v>
      </c>
      <c r="F2988" s="955"/>
      <c r="L2988" s="954"/>
      <c r="M2988" s="952"/>
      <c r="N2988" s="952"/>
    </row>
    <row r="2989" spans="1:14">
      <c r="A2989" s="958" t="s">
        <v>366</v>
      </c>
      <c r="B2989" s="958">
        <v>31</v>
      </c>
      <c r="C2989" s="958" t="s">
        <v>5856</v>
      </c>
      <c r="D2989" s="957" t="s">
        <v>5855</v>
      </c>
      <c r="E2989" s="956">
        <v>4196</v>
      </c>
      <c r="F2989" s="955"/>
      <c r="L2989" s="954"/>
      <c r="M2989" s="952"/>
      <c r="N2989" s="952"/>
    </row>
    <row r="2990" spans="1:14">
      <c r="A2990" s="958" t="s">
        <v>366</v>
      </c>
      <c r="B2990" s="958">
        <v>31</v>
      </c>
      <c r="C2990" s="958" t="s">
        <v>5854</v>
      </c>
      <c r="D2990" s="957" t="s">
        <v>5853</v>
      </c>
      <c r="E2990" s="956">
        <v>3860</v>
      </c>
      <c r="F2990" s="955"/>
      <c r="L2990" s="954"/>
      <c r="M2990" s="952"/>
      <c r="N2990" s="952"/>
    </row>
    <row r="2991" spans="1:14">
      <c r="A2991" s="958" t="s">
        <v>366</v>
      </c>
      <c r="B2991" s="958">
        <v>31</v>
      </c>
      <c r="C2991" s="958" t="s">
        <v>5852</v>
      </c>
      <c r="D2991" s="957" t="s">
        <v>5851</v>
      </c>
      <c r="E2991" s="956">
        <v>5420</v>
      </c>
      <c r="F2991" s="955"/>
      <c r="L2991" s="954"/>
      <c r="M2991" s="952"/>
      <c r="N2991" s="952"/>
    </row>
    <row r="2992" spans="1:14">
      <c r="A2992" s="958" t="s">
        <v>366</v>
      </c>
      <c r="B2992" s="958">
        <v>31</v>
      </c>
      <c r="C2992" s="958" t="s">
        <v>5850</v>
      </c>
      <c r="D2992" s="957" t="s">
        <v>5849</v>
      </c>
      <c r="E2992" s="956">
        <v>6453</v>
      </c>
      <c r="F2992" s="955"/>
      <c r="L2992" s="954"/>
      <c r="M2992" s="952"/>
      <c r="N2992" s="952"/>
    </row>
    <row r="2993" spans="1:14">
      <c r="A2993" s="958" t="s">
        <v>366</v>
      </c>
      <c r="B2993" s="958">
        <v>31</v>
      </c>
      <c r="C2993" s="958" t="s">
        <v>5848</v>
      </c>
      <c r="D2993" s="957" t="s">
        <v>5847</v>
      </c>
      <c r="E2993" s="956">
        <v>2791</v>
      </c>
      <c r="F2993" s="955"/>
      <c r="L2993" s="954"/>
      <c r="M2993" s="952"/>
      <c r="N2993" s="952"/>
    </row>
    <row r="2994" spans="1:14">
      <c r="A2994" s="958" t="s">
        <v>366</v>
      </c>
      <c r="B2994" s="958">
        <v>31</v>
      </c>
      <c r="C2994" s="958" t="s">
        <v>5846</v>
      </c>
      <c r="D2994" s="957" t="s">
        <v>5845</v>
      </c>
      <c r="E2994" s="956">
        <v>45851</v>
      </c>
      <c r="F2994" s="955"/>
      <c r="L2994" s="954"/>
      <c r="M2994" s="952"/>
      <c r="N2994" s="952"/>
    </row>
    <row r="2995" spans="1:14">
      <c r="A2995" s="958" t="s">
        <v>366</v>
      </c>
      <c r="B2995" s="958">
        <v>31</v>
      </c>
      <c r="C2995" s="958" t="s">
        <v>5844</v>
      </c>
      <c r="D2995" s="957" t="s">
        <v>5843</v>
      </c>
      <c r="E2995" s="956">
        <v>6938</v>
      </c>
      <c r="F2995" s="955"/>
      <c r="L2995" s="954"/>
      <c r="M2995" s="952"/>
      <c r="N2995" s="952"/>
    </row>
    <row r="2996" spans="1:14">
      <c r="A2996" s="958" t="s">
        <v>366</v>
      </c>
      <c r="B2996" s="958">
        <v>31</v>
      </c>
      <c r="C2996" s="958" t="s">
        <v>5842</v>
      </c>
      <c r="D2996" s="957" t="s">
        <v>5841</v>
      </c>
      <c r="E2996" s="956">
        <v>4659</v>
      </c>
      <c r="F2996" s="955"/>
      <c r="L2996" s="954"/>
      <c r="M2996" s="952"/>
      <c r="N2996" s="952"/>
    </row>
    <row r="2997" spans="1:14">
      <c r="A2997" s="958" t="s">
        <v>366</v>
      </c>
      <c r="B2997" s="958">
        <v>31</v>
      </c>
      <c r="C2997" s="958" t="s">
        <v>5840</v>
      </c>
      <c r="D2997" s="957" t="s">
        <v>5839</v>
      </c>
      <c r="E2997" s="956">
        <v>7781</v>
      </c>
      <c r="F2997" s="955"/>
      <c r="L2997" s="954"/>
      <c r="M2997" s="952"/>
      <c r="N2997" s="952"/>
    </row>
    <row r="2998" spans="1:14">
      <c r="A2998" s="958" t="s">
        <v>366</v>
      </c>
      <c r="B2998" s="958">
        <v>31</v>
      </c>
      <c r="C2998" s="958" t="s">
        <v>5838</v>
      </c>
      <c r="D2998" s="957" t="s">
        <v>5837</v>
      </c>
      <c r="E2998" s="956">
        <v>5246</v>
      </c>
      <c r="F2998" s="955"/>
      <c r="L2998" s="954"/>
      <c r="M2998" s="952"/>
      <c r="N2998" s="952"/>
    </row>
    <row r="2999" spans="1:14">
      <c r="A2999" s="958" t="s">
        <v>366</v>
      </c>
      <c r="B2999" s="958">
        <v>31</v>
      </c>
      <c r="C2999" s="958" t="s">
        <v>5836</v>
      </c>
      <c r="D2999" s="957" t="s">
        <v>5835</v>
      </c>
      <c r="E2999" s="956">
        <v>12337</v>
      </c>
      <c r="F2999" s="955"/>
      <c r="L2999" s="954"/>
      <c r="M2999" s="952"/>
      <c r="N2999" s="952"/>
    </row>
    <row r="3000" spans="1:14">
      <c r="A3000" s="958" t="s">
        <v>366</v>
      </c>
      <c r="B3000" s="958">
        <v>31</v>
      </c>
      <c r="C3000" s="958" t="s">
        <v>5834</v>
      </c>
      <c r="D3000" s="957" t="s">
        <v>5833</v>
      </c>
      <c r="E3000" s="956">
        <v>7051</v>
      </c>
      <c r="F3000" s="955"/>
      <c r="L3000" s="954"/>
      <c r="M3000" s="952"/>
      <c r="N3000" s="952"/>
    </row>
    <row r="3001" spans="1:14">
      <c r="A3001" s="958" t="s">
        <v>366</v>
      </c>
      <c r="B3001" s="958">
        <v>31</v>
      </c>
      <c r="C3001" s="958" t="s">
        <v>5832</v>
      </c>
      <c r="D3001" s="957" t="s">
        <v>5831</v>
      </c>
      <c r="E3001" s="956">
        <v>5504</v>
      </c>
      <c r="F3001" s="955"/>
      <c r="L3001" s="954"/>
      <c r="M3001" s="952"/>
      <c r="N3001" s="952"/>
    </row>
    <row r="3002" spans="1:14">
      <c r="A3002" s="958" t="s">
        <v>366</v>
      </c>
      <c r="B3002" s="958">
        <v>31</v>
      </c>
      <c r="C3002" s="958" t="s">
        <v>5830</v>
      </c>
      <c r="D3002" s="957" t="s">
        <v>5829</v>
      </c>
      <c r="E3002" s="956">
        <v>3007</v>
      </c>
      <c r="F3002" s="955"/>
      <c r="L3002" s="954"/>
      <c r="M3002" s="952"/>
      <c r="N3002" s="952"/>
    </row>
    <row r="3003" spans="1:14">
      <c r="A3003" s="958" t="s">
        <v>366</v>
      </c>
      <c r="B3003" s="958">
        <v>31</v>
      </c>
      <c r="C3003" s="958" t="s">
        <v>5828</v>
      </c>
      <c r="D3003" s="957" t="s">
        <v>5827</v>
      </c>
      <c r="E3003" s="956">
        <v>6555</v>
      </c>
      <c r="F3003" s="955"/>
      <c r="L3003" s="954"/>
      <c r="M3003" s="952"/>
      <c r="N3003" s="952"/>
    </row>
    <row r="3004" spans="1:14">
      <c r="A3004" s="958" t="s">
        <v>366</v>
      </c>
      <c r="B3004" s="958">
        <v>31</v>
      </c>
      <c r="C3004" s="958" t="s">
        <v>5826</v>
      </c>
      <c r="D3004" s="957" t="s">
        <v>5825</v>
      </c>
      <c r="E3004" s="956">
        <v>10044</v>
      </c>
      <c r="F3004" s="955"/>
      <c r="L3004" s="954"/>
      <c r="M3004" s="952"/>
      <c r="N3004" s="952"/>
    </row>
    <row r="3005" spans="1:14">
      <c r="A3005" s="958" t="s">
        <v>366</v>
      </c>
      <c r="B3005" s="958">
        <v>31</v>
      </c>
      <c r="C3005" s="958" t="s">
        <v>5824</v>
      </c>
      <c r="D3005" s="957" t="s">
        <v>5823</v>
      </c>
      <c r="E3005" s="956">
        <v>6775</v>
      </c>
      <c r="F3005" s="955"/>
      <c r="L3005" s="954"/>
      <c r="M3005" s="952"/>
      <c r="N3005" s="952"/>
    </row>
    <row r="3006" spans="1:14">
      <c r="A3006" s="958" t="s">
        <v>366</v>
      </c>
      <c r="B3006" s="958">
        <v>31</v>
      </c>
      <c r="C3006" s="958" t="s">
        <v>5822</v>
      </c>
      <c r="D3006" s="957" t="s">
        <v>5821</v>
      </c>
      <c r="E3006" s="956">
        <v>70956</v>
      </c>
      <c r="F3006" s="955"/>
      <c r="L3006" s="954"/>
      <c r="M3006" s="952"/>
      <c r="N3006" s="952"/>
    </row>
    <row r="3007" spans="1:14">
      <c r="A3007" s="958" t="s">
        <v>366</v>
      </c>
      <c r="B3007" s="958">
        <v>31</v>
      </c>
      <c r="C3007" s="958" t="s">
        <v>5820</v>
      </c>
      <c r="D3007" s="957" t="s">
        <v>5819</v>
      </c>
      <c r="E3007" s="956">
        <v>1506</v>
      </c>
      <c r="F3007" s="955"/>
      <c r="L3007" s="954"/>
      <c r="M3007" s="952"/>
      <c r="N3007" s="952"/>
    </row>
    <row r="3008" spans="1:14">
      <c r="A3008" s="958" t="s">
        <v>366</v>
      </c>
      <c r="B3008" s="958">
        <v>31</v>
      </c>
      <c r="C3008" s="958" t="s">
        <v>5818</v>
      </c>
      <c r="D3008" s="957" t="s">
        <v>5817</v>
      </c>
      <c r="E3008" s="956">
        <v>2241</v>
      </c>
      <c r="F3008" s="955"/>
      <c r="L3008" s="954"/>
      <c r="M3008" s="952"/>
      <c r="N3008" s="952"/>
    </row>
    <row r="3009" spans="1:14">
      <c r="A3009" s="958" t="s">
        <v>366</v>
      </c>
      <c r="B3009" s="958">
        <v>31</v>
      </c>
      <c r="C3009" s="958" t="s">
        <v>5816</v>
      </c>
      <c r="D3009" s="957" t="s">
        <v>5815</v>
      </c>
      <c r="E3009" s="956">
        <v>10941</v>
      </c>
      <c r="F3009" s="955"/>
      <c r="L3009" s="954"/>
      <c r="M3009" s="952"/>
      <c r="N3009" s="952"/>
    </row>
    <row r="3010" spans="1:14">
      <c r="A3010" s="958" t="s">
        <v>366</v>
      </c>
      <c r="B3010" s="958">
        <v>31</v>
      </c>
      <c r="C3010" s="958" t="s">
        <v>5814</v>
      </c>
      <c r="D3010" s="957" t="s">
        <v>5813</v>
      </c>
      <c r="E3010" s="956">
        <v>7021</v>
      </c>
      <c r="F3010" s="955"/>
      <c r="L3010" s="954"/>
      <c r="M3010" s="952"/>
      <c r="N3010" s="952"/>
    </row>
    <row r="3011" spans="1:14">
      <c r="A3011" s="958" t="s">
        <v>366</v>
      </c>
      <c r="B3011" s="958">
        <v>31</v>
      </c>
      <c r="C3011" s="958" t="s">
        <v>5812</v>
      </c>
      <c r="D3011" s="957" t="s">
        <v>5811</v>
      </c>
      <c r="E3011" s="956">
        <v>7089</v>
      </c>
      <c r="F3011" s="955"/>
      <c r="L3011" s="954"/>
      <c r="M3011" s="952"/>
      <c r="N3011" s="952"/>
    </row>
    <row r="3012" spans="1:14">
      <c r="A3012" s="958" t="s">
        <v>366</v>
      </c>
      <c r="B3012" s="958">
        <v>31</v>
      </c>
      <c r="C3012" s="958" t="s">
        <v>5810</v>
      </c>
      <c r="D3012" s="957" t="s">
        <v>5809</v>
      </c>
      <c r="E3012" s="956">
        <v>7753</v>
      </c>
      <c r="F3012" s="955"/>
      <c r="L3012" s="954"/>
      <c r="M3012" s="952"/>
      <c r="N3012" s="952"/>
    </row>
    <row r="3013" spans="1:14">
      <c r="A3013" s="958" t="s">
        <v>366</v>
      </c>
      <c r="B3013" s="958">
        <v>31</v>
      </c>
      <c r="C3013" s="958" t="s">
        <v>5808</v>
      </c>
      <c r="D3013" s="957" t="s">
        <v>5807</v>
      </c>
      <c r="E3013" s="956">
        <v>6930</v>
      </c>
      <c r="F3013" s="955"/>
      <c r="L3013" s="954"/>
      <c r="M3013" s="952"/>
      <c r="N3013" s="952"/>
    </row>
    <row r="3014" spans="1:14">
      <c r="A3014" s="958" t="s">
        <v>366</v>
      </c>
      <c r="B3014" s="958">
        <v>31</v>
      </c>
      <c r="C3014" s="958" t="s">
        <v>5806</v>
      </c>
      <c r="D3014" s="957" t="s">
        <v>5805</v>
      </c>
      <c r="E3014" s="956">
        <v>6300</v>
      </c>
      <c r="F3014" s="955"/>
      <c r="L3014" s="954"/>
      <c r="M3014" s="952"/>
      <c r="N3014" s="952"/>
    </row>
    <row r="3015" spans="1:14">
      <c r="A3015" s="958" t="s">
        <v>366</v>
      </c>
      <c r="B3015" s="958">
        <v>31</v>
      </c>
      <c r="C3015" s="958" t="s">
        <v>5804</v>
      </c>
      <c r="D3015" s="957" t="s">
        <v>5803</v>
      </c>
      <c r="E3015" s="956">
        <v>32752</v>
      </c>
      <c r="F3015" s="955"/>
      <c r="L3015" s="954"/>
      <c r="M3015" s="952"/>
      <c r="N3015" s="952"/>
    </row>
    <row r="3016" spans="1:14">
      <c r="A3016" s="958" t="s">
        <v>366</v>
      </c>
      <c r="B3016" s="958">
        <v>31</v>
      </c>
      <c r="C3016" s="958" t="s">
        <v>5802</v>
      </c>
      <c r="D3016" s="957" t="s">
        <v>5801</v>
      </c>
      <c r="E3016" s="956">
        <v>12258</v>
      </c>
      <c r="F3016" s="955"/>
      <c r="L3016" s="954"/>
      <c r="M3016" s="952"/>
      <c r="N3016" s="952"/>
    </row>
    <row r="3017" spans="1:14">
      <c r="A3017" s="958" t="s">
        <v>366</v>
      </c>
      <c r="B3017" s="958">
        <v>31</v>
      </c>
      <c r="C3017" s="958" t="s">
        <v>5800</v>
      </c>
      <c r="D3017" s="957" t="s">
        <v>5799</v>
      </c>
      <c r="E3017" s="956">
        <v>2633</v>
      </c>
      <c r="F3017" s="955"/>
      <c r="L3017" s="954"/>
      <c r="M3017" s="952"/>
      <c r="N3017" s="952"/>
    </row>
    <row r="3018" spans="1:14">
      <c r="A3018" s="958" t="s">
        <v>366</v>
      </c>
      <c r="B3018" s="958">
        <v>31</v>
      </c>
      <c r="C3018" s="958" t="s">
        <v>5798</v>
      </c>
      <c r="D3018" s="957" t="s">
        <v>5797</v>
      </c>
      <c r="E3018" s="956">
        <v>5356</v>
      </c>
      <c r="F3018" s="955"/>
      <c r="L3018" s="954"/>
      <c r="M3018" s="952"/>
      <c r="N3018" s="952"/>
    </row>
    <row r="3019" spans="1:14">
      <c r="A3019" s="958" t="s">
        <v>366</v>
      </c>
      <c r="B3019" s="958">
        <v>31</v>
      </c>
      <c r="C3019" s="958" t="s">
        <v>5796</v>
      </c>
      <c r="D3019" s="957" t="s">
        <v>5795</v>
      </c>
      <c r="E3019" s="956">
        <v>2005</v>
      </c>
      <c r="F3019" s="955"/>
      <c r="L3019" s="954"/>
      <c r="M3019" s="952"/>
      <c r="N3019" s="952"/>
    </row>
    <row r="3020" spans="1:14">
      <c r="A3020" s="958" t="s">
        <v>366</v>
      </c>
      <c r="B3020" s="958">
        <v>31</v>
      </c>
      <c r="C3020" s="958" t="s">
        <v>5794</v>
      </c>
      <c r="D3020" s="957" t="s">
        <v>5793</v>
      </c>
      <c r="E3020" s="956">
        <v>7812</v>
      </c>
      <c r="F3020" s="955"/>
      <c r="L3020" s="954"/>
      <c r="M3020" s="952"/>
      <c r="N3020" s="952"/>
    </row>
    <row r="3021" spans="1:14">
      <c r="A3021" s="958" t="s">
        <v>366</v>
      </c>
      <c r="B3021" s="958">
        <v>31</v>
      </c>
      <c r="C3021" s="958" t="s">
        <v>5792</v>
      </c>
      <c r="D3021" s="957" t="s">
        <v>5791</v>
      </c>
      <c r="E3021" s="956">
        <v>1502</v>
      </c>
      <c r="F3021" s="955"/>
      <c r="L3021" s="954"/>
      <c r="M3021" s="952"/>
      <c r="N3021" s="952"/>
    </row>
    <row r="3022" spans="1:14">
      <c r="A3022" s="958" t="s">
        <v>366</v>
      </c>
      <c r="B3022" s="958">
        <v>31</v>
      </c>
      <c r="C3022" s="958" t="s">
        <v>5790</v>
      </c>
      <c r="D3022" s="957" t="s">
        <v>5789</v>
      </c>
      <c r="E3022" s="956">
        <v>4156</v>
      </c>
      <c r="F3022" s="955"/>
      <c r="L3022" s="954"/>
      <c r="M3022" s="952"/>
      <c r="N3022" s="952"/>
    </row>
    <row r="3023" spans="1:14">
      <c r="A3023" s="958" t="s">
        <v>366</v>
      </c>
      <c r="B3023" s="958">
        <v>31</v>
      </c>
      <c r="C3023" s="958" t="s">
        <v>5788</v>
      </c>
      <c r="D3023" s="957" t="s">
        <v>5787</v>
      </c>
      <c r="E3023" s="956">
        <v>5786</v>
      </c>
      <c r="F3023" s="955"/>
      <c r="L3023" s="954"/>
      <c r="M3023" s="952"/>
      <c r="N3023" s="952"/>
    </row>
    <row r="3024" spans="1:14">
      <c r="A3024" s="958" t="s">
        <v>366</v>
      </c>
      <c r="B3024" s="958">
        <v>31</v>
      </c>
      <c r="C3024" s="958" t="s">
        <v>5786</v>
      </c>
      <c r="D3024" s="957" t="s">
        <v>5785</v>
      </c>
      <c r="E3024" s="956">
        <v>3523</v>
      </c>
      <c r="F3024" s="955"/>
      <c r="L3024" s="954"/>
      <c r="M3024" s="952"/>
      <c r="N3024" s="952"/>
    </row>
    <row r="3025" spans="1:14">
      <c r="A3025" s="958" t="s">
        <v>366</v>
      </c>
      <c r="B3025" s="958">
        <v>31</v>
      </c>
      <c r="C3025" s="958" t="s">
        <v>5784</v>
      </c>
      <c r="D3025" s="957" t="s">
        <v>5783</v>
      </c>
      <c r="E3025" s="956">
        <v>10459</v>
      </c>
      <c r="F3025" s="955"/>
      <c r="L3025" s="954"/>
      <c r="M3025" s="952"/>
      <c r="N3025" s="952"/>
    </row>
    <row r="3026" spans="1:14">
      <c r="A3026" s="958" t="s">
        <v>366</v>
      </c>
      <c r="B3026" s="958">
        <v>31</v>
      </c>
      <c r="C3026" s="958" t="s">
        <v>5782</v>
      </c>
      <c r="D3026" s="957" t="s">
        <v>5781</v>
      </c>
      <c r="E3026" s="956">
        <v>7326</v>
      </c>
      <c r="F3026" s="955"/>
      <c r="L3026" s="954"/>
      <c r="M3026" s="952"/>
      <c r="N3026" s="952"/>
    </row>
    <row r="3027" spans="1:14">
      <c r="A3027" s="958" t="s">
        <v>366</v>
      </c>
      <c r="B3027" s="958">
        <v>31</v>
      </c>
      <c r="C3027" s="958" t="s">
        <v>5780</v>
      </c>
      <c r="D3027" s="957" t="s">
        <v>5779</v>
      </c>
      <c r="E3027" s="956">
        <v>1851</v>
      </c>
      <c r="F3027" s="955"/>
      <c r="L3027" s="954"/>
      <c r="M3027" s="952"/>
      <c r="N3027" s="952"/>
    </row>
    <row r="3028" spans="1:14">
      <c r="A3028" s="958" t="s">
        <v>366</v>
      </c>
      <c r="B3028" s="958">
        <v>31</v>
      </c>
      <c r="C3028" s="958" t="s">
        <v>5778</v>
      </c>
      <c r="D3028" s="957" t="s">
        <v>5777</v>
      </c>
      <c r="E3028" s="956">
        <v>4293</v>
      </c>
      <c r="F3028" s="955"/>
      <c r="L3028" s="954"/>
      <c r="M3028" s="952"/>
      <c r="N3028" s="952"/>
    </row>
    <row r="3029" spans="1:14">
      <c r="A3029" s="958" t="s">
        <v>366</v>
      </c>
      <c r="B3029" s="958">
        <v>31</v>
      </c>
      <c r="C3029" s="958" t="s">
        <v>5776</v>
      </c>
      <c r="D3029" s="957" t="s">
        <v>5775</v>
      </c>
      <c r="E3029" s="956">
        <v>781</v>
      </c>
      <c r="F3029" s="955"/>
      <c r="L3029" s="954"/>
      <c r="M3029" s="952"/>
      <c r="N3029" s="952"/>
    </row>
    <row r="3030" spans="1:14">
      <c r="A3030" s="958" t="s">
        <v>366</v>
      </c>
      <c r="B3030" s="958">
        <v>31</v>
      </c>
      <c r="C3030" s="958" t="s">
        <v>5774</v>
      </c>
      <c r="D3030" s="957" t="s">
        <v>5773</v>
      </c>
      <c r="E3030" s="956">
        <v>8699</v>
      </c>
      <c r="F3030" s="955"/>
      <c r="L3030" s="954"/>
      <c r="M3030" s="952"/>
      <c r="N3030" s="952"/>
    </row>
    <row r="3031" spans="1:14">
      <c r="A3031" s="958" t="s">
        <v>366</v>
      </c>
      <c r="B3031" s="958">
        <v>31</v>
      </c>
      <c r="C3031" s="958" t="s">
        <v>5772</v>
      </c>
      <c r="D3031" s="957" t="s">
        <v>5771</v>
      </c>
      <c r="E3031" s="956">
        <v>11582</v>
      </c>
      <c r="F3031" s="955"/>
      <c r="L3031" s="954"/>
      <c r="M3031" s="952"/>
      <c r="N3031" s="952"/>
    </row>
    <row r="3032" spans="1:14">
      <c r="A3032" s="958" t="s">
        <v>366</v>
      </c>
      <c r="B3032" s="958">
        <v>31</v>
      </c>
      <c r="C3032" s="958" t="s">
        <v>5770</v>
      </c>
      <c r="D3032" s="957" t="s">
        <v>5769</v>
      </c>
      <c r="E3032" s="956">
        <v>7669</v>
      </c>
      <c r="F3032" s="955"/>
      <c r="L3032" s="954"/>
      <c r="M3032" s="952"/>
      <c r="N3032" s="952"/>
    </row>
    <row r="3033" spans="1:14">
      <c r="A3033" s="958" t="s">
        <v>366</v>
      </c>
      <c r="B3033" s="958">
        <v>31</v>
      </c>
      <c r="C3033" s="958" t="s">
        <v>5768</v>
      </c>
      <c r="D3033" s="957" t="s">
        <v>5767</v>
      </c>
      <c r="E3033" s="956">
        <v>4781</v>
      </c>
      <c r="F3033" s="955"/>
      <c r="L3033" s="954"/>
      <c r="M3033" s="952"/>
      <c r="N3033" s="952"/>
    </row>
    <row r="3034" spans="1:14">
      <c r="A3034" s="958" t="s">
        <v>366</v>
      </c>
      <c r="B3034" s="958">
        <v>31</v>
      </c>
      <c r="C3034" s="958" t="s">
        <v>5766</v>
      </c>
      <c r="D3034" s="957" t="s">
        <v>5765</v>
      </c>
      <c r="E3034" s="956">
        <v>1963</v>
      </c>
      <c r="F3034" s="955"/>
      <c r="L3034" s="954"/>
      <c r="M3034" s="952"/>
      <c r="N3034" s="952"/>
    </row>
    <row r="3035" spans="1:14">
      <c r="A3035" s="958" t="s">
        <v>366</v>
      </c>
      <c r="B3035" s="958">
        <v>31</v>
      </c>
      <c r="C3035" s="958" t="s">
        <v>5764</v>
      </c>
      <c r="D3035" s="957" t="s">
        <v>5763</v>
      </c>
      <c r="E3035" s="956">
        <v>20966</v>
      </c>
      <c r="F3035" s="955"/>
      <c r="L3035" s="954"/>
      <c r="M3035" s="952"/>
      <c r="N3035" s="952"/>
    </row>
    <row r="3036" spans="1:14">
      <c r="A3036" s="958" t="s">
        <v>366</v>
      </c>
      <c r="B3036" s="958">
        <v>31</v>
      </c>
      <c r="C3036" s="958" t="s">
        <v>5762</v>
      </c>
      <c r="D3036" s="957" t="s">
        <v>5761</v>
      </c>
      <c r="E3036" s="956">
        <v>239639</v>
      </c>
      <c r="F3036" s="955"/>
      <c r="L3036" s="954"/>
      <c r="M3036" s="952"/>
      <c r="N3036" s="952"/>
    </row>
    <row r="3037" spans="1:14">
      <c r="A3037" s="958" t="s">
        <v>366</v>
      </c>
      <c r="B3037" s="958">
        <v>31</v>
      </c>
      <c r="C3037" s="958" t="s">
        <v>5760</v>
      </c>
      <c r="D3037" s="957" t="s">
        <v>5759</v>
      </c>
      <c r="E3037" s="956">
        <v>2261</v>
      </c>
      <c r="F3037" s="955"/>
      <c r="L3037" s="954"/>
      <c r="M3037" s="952"/>
      <c r="N3037" s="952"/>
    </row>
    <row r="3038" spans="1:14">
      <c r="A3038" s="958" t="s">
        <v>366</v>
      </c>
      <c r="B3038" s="958">
        <v>31</v>
      </c>
      <c r="C3038" s="958" t="s">
        <v>5758</v>
      </c>
      <c r="D3038" s="957" t="s">
        <v>5757</v>
      </c>
      <c r="E3038" s="956">
        <v>6238</v>
      </c>
      <c r="F3038" s="955"/>
      <c r="L3038" s="954"/>
      <c r="M3038" s="952"/>
      <c r="N3038" s="952"/>
    </row>
    <row r="3039" spans="1:14">
      <c r="A3039" s="958" t="s">
        <v>366</v>
      </c>
      <c r="B3039" s="958">
        <v>31</v>
      </c>
      <c r="C3039" s="958" t="s">
        <v>5756</v>
      </c>
      <c r="D3039" s="957" t="s">
        <v>5755</v>
      </c>
      <c r="E3039" s="956">
        <v>2615</v>
      </c>
      <c r="F3039" s="955"/>
      <c r="L3039" s="954"/>
      <c r="M3039" s="952"/>
      <c r="N3039" s="952"/>
    </row>
    <row r="3040" spans="1:14">
      <c r="A3040" s="958" t="s">
        <v>366</v>
      </c>
      <c r="B3040" s="958">
        <v>31</v>
      </c>
      <c r="C3040" s="958" t="s">
        <v>5754</v>
      </c>
      <c r="D3040" s="957" t="s">
        <v>5753</v>
      </c>
      <c r="E3040" s="956">
        <v>19633</v>
      </c>
      <c r="F3040" s="955"/>
      <c r="L3040" s="954"/>
      <c r="M3040" s="952"/>
      <c r="N3040" s="952"/>
    </row>
    <row r="3041" spans="1:14">
      <c r="A3041" s="958" t="s">
        <v>366</v>
      </c>
      <c r="B3041" s="958">
        <v>31</v>
      </c>
      <c r="C3041" s="958" t="s">
        <v>5752</v>
      </c>
      <c r="D3041" s="957" t="s">
        <v>5751</v>
      </c>
      <c r="E3041" s="956">
        <v>5553</v>
      </c>
      <c r="F3041" s="955"/>
      <c r="L3041" s="954"/>
      <c r="M3041" s="952"/>
      <c r="N3041" s="952"/>
    </row>
    <row r="3042" spans="1:14">
      <c r="A3042" s="958" t="s">
        <v>366</v>
      </c>
      <c r="B3042" s="958">
        <v>31</v>
      </c>
      <c r="C3042" s="958" t="s">
        <v>5750</v>
      </c>
      <c r="D3042" s="957" t="s">
        <v>5749</v>
      </c>
      <c r="E3042" s="956">
        <v>6151</v>
      </c>
      <c r="F3042" s="955"/>
      <c r="L3042" s="954"/>
      <c r="M3042" s="952"/>
      <c r="N3042" s="952"/>
    </row>
    <row r="3043" spans="1:14">
      <c r="A3043" s="958" t="s">
        <v>366</v>
      </c>
      <c r="B3043" s="958">
        <v>31</v>
      </c>
      <c r="C3043" s="958" t="s">
        <v>5748</v>
      </c>
      <c r="D3043" s="957" t="s">
        <v>5747</v>
      </c>
      <c r="E3043" s="956">
        <v>3750</v>
      </c>
      <c r="F3043" s="955"/>
      <c r="L3043" s="954"/>
      <c r="M3043" s="952"/>
      <c r="N3043" s="952"/>
    </row>
    <row r="3044" spans="1:14">
      <c r="A3044" s="958" t="s">
        <v>366</v>
      </c>
      <c r="B3044" s="958">
        <v>31</v>
      </c>
      <c r="C3044" s="958" t="s">
        <v>5746</v>
      </c>
      <c r="D3044" s="957" t="s">
        <v>5745</v>
      </c>
      <c r="E3044" s="956">
        <v>34132</v>
      </c>
      <c r="F3044" s="955"/>
      <c r="L3044" s="954"/>
      <c r="M3044" s="952"/>
      <c r="N3044" s="952"/>
    </row>
    <row r="3045" spans="1:14">
      <c r="A3045" s="958" t="s">
        <v>366</v>
      </c>
      <c r="B3045" s="958">
        <v>31</v>
      </c>
      <c r="C3045" s="958" t="s">
        <v>5744</v>
      </c>
      <c r="D3045" s="957" t="s">
        <v>5743</v>
      </c>
      <c r="E3045" s="956">
        <v>3110</v>
      </c>
      <c r="F3045" s="955"/>
      <c r="L3045" s="954"/>
      <c r="M3045" s="952"/>
      <c r="N3045" s="952"/>
    </row>
    <row r="3046" spans="1:14">
      <c r="A3046" s="958" t="s">
        <v>366</v>
      </c>
      <c r="B3046" s="958">
        <v>31</v>
      </c>
      <c r="C3046" s="958" t="s">
        <v>5742</v>
      </c>
      <c r="D3046" s="957" t="s">
        <v>3409</v>
      </c>
      <c r="E3046" s="956">
        <v>4773</v>
      </c>
      <c r="F3046" s="955"/>
      <c r="L3046" s="954"/>
      <c r="M3046" s="952"/>
      <c r="N3046" s="952"/>
    </row>
    <row r="3047" spans="1:14">
      <c r="A3047" s="958" t="s">
        <v>366</v>
      </c>
      <c r="B3047" s="958">
        <v>31</v>
      </c>
      <c r="C3047" s="958" t="s">
        <v>5741</v>
      </c>
      <c r="D3047" s="957" t="s">
        <v>4230</v>
      </c>
      <c r="E3047" s="956">
        <v>1875</v>
      </c>
      <c r="F3047" s="955"/>
      <c r="L3047" s="954"/>
      <c r="M3047" s="952"/>
      <c r="N3047" s="952"/>
    </row>
    <row r="3048" spans="1:14">
      <c r="A3048" s="958" t="s">
        <v>366</v>
      </c>
      <c r="B3048" s="958">
        <v>31</v>
      </c>
      <c r="C3048" s="958" t="s">
        <v>5740</v>
      </c>
      <c r="D3048" s="957" t="s">
        <v>5739</v>
      </c>
      <c r="E3048" s="956">
        <v>4077</v>
      </c>
      <c r="F3048" s="955"/>
      <c r="L3048" s="954"/>
      <c r="M3048" s="952"/>
      <c r="N3048" s="952"/>
    </row>
    <row r="3049" spans="1:14">
      <c r="A3049" s="958" t="s">
        <v>366</v>
      </c>
      <c r="B3049" s="958">
        <v>31</v>
      </c>
      <c r="C3049" s="958" t="s">
        <v>5738</v>
      </c>
      <c r="D3049" s="957" t="s">
        <v>5737</v>
      </c>
      <c r="E3049" s="956">
        <v>14326</v>
      </c>
      <c r="F3049" s="955"/>
      <c r="L3049" s="954"/>
      <c r="M3049" s="952"/>
      <c r="N3049" s="952"/>
    </row>
    <row r="3050" spans="1:14">
      <c r="A3050" s="958" t="s">
        <v>366</v>
      </c>
      <c r="B3050" s="958">
        <v>31</v>
      </c>
      <c r="C3050" s="958" t="s">
        <v>5736</v>
      </c>
      <c r="D3050" s="957" t="s">
        <v>5735</v>
      </c>
      <c r="E3050" s="956">
        <v>11661</v>
      </c>
      <c r="F3050" s="955"/>
      <c r="L3050" s="954"/>
      <c r="M3050" s="952"/>
      <c r="N3050" s="952"/>
    </row>
    <row r="3051" spans="1:14">
      <c r="A3051" s="958" t="s">
        <v>366</v>
      </c>
      <c r="B3051" s="958">
        <v>31</v>
      </c>
      <c r="C3051" s="958" t="s">
        <v>5734</v>
      </c>
      <c r="D3051" s="957" t="s">
        <v>5733</v>
      </c>
      <c r="E3051" s="956">
        <v>140592</v>
      </c>
      <c r="F3051" s="955"/>
      <c r="L3051" s="954"/>
      <c r="M3051" s="952"/>
      <c r="N3051" s="952"/>
    </row>
    <row r="3052" spans="1:14">
      <c r="A3052" s="958" t="s">
        <v>366</v>
      </c>
      <c r="B3052" s="958">
        <v>31</v>
      </c>
      <c r="C3052" s="958" t="s">
        <v>5732</v>
      </c>
      <c r="D3052" s="957" t="s">
        <v>5731</v>
      </c>
      <c r="E3052" s="956">
        <v>89842</v>
      </c>
      <c r="F3052" s="955"/>
      <c r="L3052" s="954"/>
      <c r="M3052" s="952"/>
      <c r="N3052" s="952"/>
    </row>
    <row r="3053" spans="1:14">
      <c r="A3053" s="958" t="s">
        <v>366</v>
      </c>
      <c r="B3053" s="958">
        <v>31</v>
      </c>
      <c r="C3053" s="958" t="s">
        <v>5730</v>
      </c>
      <c r="D3053" s="957" t="s">
        <v>5729</v>
      </c>
      <c r="E3053" s="956">
        <v>7981</v>
      </c>
      <c r="F3053" s="955"/>
      <c r="L3053" s="954"/>
      <c r="M3053" s="952"/>
      <c r="N3053" s="952"/>
    </row>
    <row r="3054" spans="1:14">
      <c r="A3054" s="958" t="s">
        <v>366</v>
      </c>
      <c r="B3054" s="958">
        <v>31</v>
      </c>
      <c r="C3054" s="958" t="s">
        <v>5728</v>
      </c>
      <c r="D3054" s="957" t="s">
        <v>5727</v>
      </c>
      <c r="E3054" s="956">
        <v>6480</v>
      </c>
      <c r="F3054" s="955"/>
      <c r="L3054" s="954"/>
      <c r="M3054" s="952"/>
      <c r="N3054" s="952"/>
    </row>
    <row r="3055" spans="1:14">
      <c r="A3055" s="958" t="s">
        <v>366</v>
      </c>
      <c r="B3055" s="958">
        <v>31</v>
      </c>
      <c r="C3055" s="958" t="s">
        <v>5726</v>
      </c>
      <c r="D3055" s="957" t="s">
        <v>5725</v>
      </c>
      <c r="E3055" s="956">
        <v>16659</v>
      </c>
      <c r="F3055" s="955"/>
      <c r="L3055" s="954"/>
      <c r="M3055" s="952"/>
      <c r="N3055" s="952"/>
    </row>
    <row r="3056" spans="1:14">
      <c r="A3056" s="958" t="s">
        <v>366</v>
      </c>
      <c r="B3056" s="958">
        <v>31</v>
      </c>
      <c r="C3056" s="958" t="s">
        <v>5724</v>
      </c>
      <c r="D3056" s="957" t="s">
        <v>5723</v>
      </c>
      <c r="E3056" s="956">
        <v>4101</v>
      </c>
      <c r="F3056" s="955"/>
      <c r="L3056" s="954"/>
      <c r="M3056" s="952"/>
      <c r="N3056" s="952"/>
    </row>
    <row r="3057" spans="1:14">
      <c r="A3057" s="958" t="s">
        <v>366</v>
      </c>
      <c r="B3057" s="958">
        <v>31</v>
      </c>
      <c r="C3057" s="958" t="s">
        <v>5722</v>
      </c>
      <c r="D3057" s="957" t="s">
        <v>3393</v>
      </c>
      <c r="E3057" s="956">
        <v>6258</v>
      </c>
      <c r="F3057" s="955"/>
      <c r="L3057" s="954"/>
      <c r="M3057" s="952"/>
      <c r="N3057" s="952"/>
    </row>
    <row r="3058" spans="1:14">
      <c r="A3058" s="958" t="s">
        <v>366</v>
      </c>
      <c r="B3058" s="958">
        <v>31</v>
      </c>
      <c r="C3058" s="958" t="s">
        <v>5721</v>
      </c>
      <c r="D3058" s="957" t="s">
        <v>5720</v>
      </c>
      <c r="E3058" s="956">
        <v>8022</v>
      </c>
      <c r="F3058" s="955"/>
      <c r="L3058" s="954"/>
      <c r="M3058" s="952"/>
      <c r="N3058" s="952"/>
    </row>
    <row r="3059" spans="1:14">
      <c r="A3059" s="958" t="s">
        <v>366</v>
      </c>
      <c r="B3059" s="958">
        <v>31</v>
      </c>
      <c r="C3059" s="958" t="s">
        <v>5719</v>
      </c>
      <c r="D3059" s="957" t="s">
        <v>5718</v>
      </c>
      <c r="E3059" s="956">
        <v>79482</v>
      </c>
      <c r="F3059" s="955"/>
      <c r="L3059" s="954"/>
      <c r="M3059" s="952"/>
      <c r="N3059" s="952"/>
    </row>
    <row r="3060" spans="1:14">
      <c r="A3060" s="958" t="s">
        <v>366</v>
      </c>
      <c r="B3060" s="958">
        <v>31</v>
      </c>
      <c r="C3060" s="958" t="s">
        <v>5717</v>
      </c>
      <c r="D3060" s="957" t="s">
        <v>5716</v>
      </c>
      <c r="E3060" s="956">
        <v>32356</v>
      </c>
      <c r="F3060" s="955"/>
      <c r="L3060" s="954"/>
      <c r="M3060" s="952"/>
      <c r="N3060" s="952"/>
    </row>
    <row r="3061" spans="1:14">
      <c r="A3061" s="958" t="s">
        <v>366</v>
      </c>
      <c r="B3061" s="958">
        <v>31</v>
      </c>
      <c r="C3061" s="958" t="s">
        <v>5715</v>
      </c>
      <c r="D3061" s="957" t="s">
        <v>5714</v>
      </c>
      <c r="E3061" s="956">
        <v>56746</v>
      </c>
      <c r="F3061" s="955"/>
      <c r="L3061" s="954"/>
      <c r="M3061" s="952"/>
      <c r="N3061" s="952"/>
    </row>
    <row r="3062" spans="1:14">
      <c r="A3062" s="958" t="s">
        <v>366</v>
      </c>
      <c r="B3062" s="958">
        <v>31</v>
      </c>
      <c r="C3062" s="958" t="s">
        <v>5713</v>
      </c>
      <c r="D3062" s="957" t="s">
        <v>5712</v>
      </c>
      <c r="E3062" s="956">
        <v>6732</v>
      </c>
      <c r="F3062" s="955"/>
      <c r="L3062" s="954"/>
      <c r="M3062" s="952"/>
      <c r="N3062" s="952"/>
    </row>
    <row r="3063" spans="1:14">
      <c r="A3063" s="958" t="s">
        <v>366</v>
      </c>
      <c r="B3063" s="958">
        <v>31</v>
      </c>
      <c r="C3063" s="958" t="s">
        <v>5711</v>
      </c>
      <c r="D3063" s="957" t="s">
        <v>5710</v>
      </c>
      <c r="E3063" s="956">
        <v>25327</v>
      </c>
      <c r="F3063" s="955"/>
      <c r="L3063" s="954"/>
      <c r="M3063" s="952"/>
      <c r="N3063" s="952"/>
    </row>
    <row r="3064" spans="1:14">
      <c r="A3064" s="958" t="s">
        <v>366</v>
      </c>
      <c r="B3064" s="958">
        <v>31</v>
      </c>
      <c r="C3064" s="958" t="s">
        <v>5709</v>
      </c>
      <c r="D3064" s="957" t="s">
        <v>4183</v>
      </c>
      <c r="E3064" s="956">
        <v>19964</v>
      </c>
      <c r="F3064" s="955"/>
      <c r="L3064" s="954"/>
      <c r="M3064" s="952"/>
      <c r="N3064" s="952"/>
    </row>
    <row r="3065" spans="1:14">
      <c r="A3065" s="958" t="s">
        <v>366</v>
      </c>
      <c r="B3065" s="958">
        <v>31</v>
      </c>
      <c r="C3065" s="958" t="s">
        <v>5708</v>
      </c>
      <c r="D3065" s="957" t="s">
        <v>5707</v>
      </c>
      <c r="E3065" s="956">
        <v>5040</v>
      </c>
      <c r="F3065" s="955"/>
      <c r="L3065" s="954"/>
      <c r="M3065" s="952"/>
      <c r="N3065" s="952"/>
    </row>
    <row r="3066" spans="1:14">
      <c r="A3066" s="958" t="s">
        <v>366</v>
      </c>
      <c r="B3066" s="958">
        <v>31</v>
      </c>
      <c r="C3066" s="958" t="s">
        <v>5706</v>
      </c>
      <c r="D3066" s="957" t="s">
        <v>5705</v>
      </c>
      <c r="E3066" s="956">
        <v>115552</v>
      </c>
      <c r="F3066" s="955"/>
      <c r="L3066" s="954"/>
      <c r="M3066" s="952"/>
      <c r="N3066" s="952"/>
    </row>
    <row r="3067" spans="1:14">
      <c r="A3067" s="958" t="s">
        <v>366</v>
      </c>
      <c r="B3067" s="958">
        <v>31</v>
      </c>
      <c r="C3067" s="958" t="s">
        <v>5704</v>
      </c>
      <c r="D3067" s="957" t="s">
        <v>5703</v>
      </c>
      <c r="E3067" s="956">
        <v>12533</v>
      </c>
      <c r="F3067" s="955"/>
      <c r="L3067" s="954"/>
      <c r="M3067" s="952"/>
      <c r="N3067" s="952"/>
    </row>
    <row r="3068" spans="1:14">
      <c r="A3068" s="958" t="s">
        <v>366</v>
      </c>
      <c r="B3068" s="958">
        <v>31</v>
      </c>
      <c r="C3068" s="958" t="s">
        <v>5702</v>
      </c>
      <c r="D3068" s="957" t="s">
        <v>5701</v>
      </c>
      <c r="E3068" s="956">
        <v>12471</v>
      </c>
      <c r="F3068" s="955"/>
      <c r="L3068" s="954"/>
      <c r="M3068" s="952"/>
      <c r="N3068" s="952"/>
    </row>
    <row r="3069" spans="1:14">
      <c r="A3069" s="958" t="s">
        <v>366</v>
      </c>
      <c r="B3069" s="958">
        <v>31</v>
      </c>
      <c r="C3069" s="958" t="s">
        <v>5700</v>
      </c>
      <c r="D3069" s="957" t="s">
        <v>5699</v>
      </c>
      <c r="E3069" s="956">
        <v>333783</v>
      </c>
      <c r="F3069" s="955"/>
      <c r="L3069" s="954"/>
      <c r="M3069" s="952"/>
      <c r="N3069" s="952"/>
    </row>
    <row r="3070" spans="1:14">
      <c r="A3070" s="958" t="s">
        <v>366</v>
      </c>
      <c r="B3070" s="958">
        <v>31</v>
      </c>
      <c r="C3070" s="958" t="s">
        <v>5698</v>
      </c>
      <c r="D3070" s="957" t="s">
        <v>5697</v>
      </c>
      <c r="E3070" s="956">
        <v>691305</v>
      </c>
      <c r="F3070" s="955"/>
      <c r="L3070" s="954"/>
      <c r="M3070" s="952"/>
      <c r="N3070" s="952"/>
    </row>
    <row r="3071" spans="1:14">
      <c r="A3071" s="958" t="s">
        <v>366</v>
      </c>
      <c r="B3071" s="958">
        <v>31</v>
      </c>
      <c r="C3071" s="958" t="s">
        <v>5696</v>
      </c>
      <c r="D3071" s="957" t="s">
        <v>5695</v>
      </c>
      <c r="E3071" s="956">
        <v>2611</v>
      </c>
      <c r="F3071" s="955"/>
      <c r="L3071" s="954"/>
      <c r="M3071" s="952"/>
      <c r="N3071" s="952"/>
    </row>
    <row r="3072" spans="1:14">
      <c r="A3072" s="958" t="s">
        <v>366</v>
      </c>
      <c r="B3072" s="958">
        <v>31</v>
      </c>
      <c r="C3072" s="958" t="s">
        <v>5694</v>
      </c>
      <c r="D3072" s="957" t="s">
        <v>5693</v>
      </c>
      <c r="E3072" s="956">
        <v>84378</v>
      </c>
      <c r="F3072" s="955"/>
      <c r="L3072" s="954"/>
      <c r="M3072" s="952"/>
      <c r="N3072" s="952"/>
    </row>
    <row r="3073" spans="1:14">
      <c r="A3073" s="958" t="s">
        <v>366</v>
      </c>
      <c r="B3073" s="958">
        <v>31</v>
      </c>
      <c r="C3073" s="958" t="s">
        <v>5692</v>
      </c>
      <c r="D3073" s="957" t="s">
        <v>5691</v>
      </c>
      <c r="E3073" s="956">
        <v>4304</v>
      </c>
      <c r="F3073" s="955"/>
      <c r="L3073" s="954"/>
      <c r="M3073" s="952"/>
      <c r="N3073" s="952"/>
    </row>
    <row r="3074" spans="1:14">
      <c r="A3074" s="958" t="s">
        <v>366</v>
      </c>
      <c r="B3074" s="958">
        <v>31</v>
      </c>
      <c r="C3074" s="958" t="s">
        <v>5690</v>
      </c>
      <c r="D3074" s="957" t="s">
        <v>5689</v>
      </c>
      <c r="E3074" s="956">
        <v>3264</v>
      </c>
      <c r="F3074" s="955"/>
      <c r="L3074" s="954"/>
      <c r="M3074" s="952"/>
      <c r="N3074" s="952"/>
    </row>
    <row r="3075" spans="1:14">
      <c r="A3075" s="958" t="s">
        <v>366</v>
      </c>
      <c r="B3075" s="958">
        <v>31</v>
      </c>
      <c r="C3075" s="958" t="s">
        <v>5688</v>
      </c>
      <c r="D3075" s="957" t="s">
        <v>5687</v>
      </c>
      <c r="E3075" s="956">
        <v>10358</v>
      </c>
      <c r="F3075" s="955"/>
      <c r="L3075" s="954"/>
      <c r="M3075" s="952"/>
      <c r="N3075" s="952"/>
    </row>
    <row r="3076" spans="1:14">
      <c r="A3076" s="958" t="s">
        <v>366</v>
      </c>
      <c r="B3076" s="958">
        <v>31</v>
      </c>
      <c r="C3076" s="958" t="s">
        <v>5686</v>
      </c>
      <c r="D3076" s="957" t="s">
        <v>5685</v>
      </c>
      <c r="E3076" s="956">
        <v>16865</v>
      </c>
      <c r="F3076" s="955"/>
      <c r="L3076" s="954"/>
      <c r="M3076" s="952"/>
      <c r="N3076" s="952"/>
    </row>
    <row r="3077" spans="1:14">
      <c r="A3077" s="958" t="s">
        <v>366</v>
      </c>
      <c r="B3077" s="958">
        <v>31</v>
      </c>
      <c r="C3077" s="958" t="s">
        <v>5684</v>
      </c>
      <c r="D3077" s="957" t="s">
        <v>5683</v>
      </c>
      <c r="E3077" s="956">
        <v>6480</v>
      </c>
      <c r="F3077" s="955"/>
      <c r="L3077" s="954"/>
      <c r="M3077" s="952"/>
      <c r="N3077" s="952"/>
    </row>
    <row r="3078" spans="1:14">
      <c r="A3078" s="958" t="s">
        <v>366</v>
      </c>
      <c r="B3078" s="958">
        <v>31</v>
      </c>
      <c r="C3078" s="958" t="s">
        <v>5682</v>
      </c>
      <c r="D3078" s="957" t="s">
        <v>2787</v>
      </c>
      <c r="E3078" s="956">
        <v>2153</v>
      </c>
      <c r="F3078" s="955"/>
      <c r="L3078" s="954"/>
      <c r="M3078" s="952"/>
      <c r="N3078" s="952"/>
    </row>
    <row r="3079" spans="1:14">
      <c r="A3079" s="958" t="s">
        <v>366</v>
      </c>
      <c r="B3079" s="958">
        <v>31</v>
      </c>
      <c r="C3079" s="958" t="s">
        <v>5681</v>
      </c>
      <c r="D3079" s="957" t="s">
        <v>5680</v>
      </c>
      <c r="E3079" s="956">
        <v>5007</v>
      </c>
      <c r="F3079" s="955"/>
      <c r="L3079" s="954"/>
      <c r="M3079" s="952"/>
      <c r="N3079" s="952"/>
    </row>
    <row r="3080" spans="1:14">
      <c r="A3080" s="958" t="s">
        <v>366</v>
      </c>
      <c r="B3080" s="958">
        <v>31</v>
      </c>
      <c r="C3080" s="958" t="s">
        <v>5679</v>
      </c>
      <c r="D3080" s="957" t="s">
        <v>5678</v>
      </c>
      <c r="E3080" s="956">
        <v>135558</v>
      </c>
      <c r="F3080" s="955"/>
      <c r="L3080" s="954"/>
      <c r="M3080" s="952"/>
      <c r="N3080" s="952"/>
    </row>
    <row r="3081" spans="1:14">
      <c r="A3081" s="958" t="s">
        <v>366</v>
      </c>
      <c r="B3081" s="958">
        <v>31</v>
      </c>
      <c r="C3081" s="958" t="s">
        <v>5677</v>
      </c>
      <c r="D3081" s="957" t="s">
        <v>5676</v>
      </c>
      <c r="E3081" s="956">
        <v>7036</v>
      </c>
      <c r="F3081" s="955"/>
      <c r="L3081" s="954"/>
      <c r="M3081" s="952"/>
      <c r="N3081" s="952"/>
    </row>
    <row r="3082" spans="1:14">
      <c r="A3082" s="958" t="s">
        <v>366</v>
      </c>
      <c r="B3082" s="958">
        <v>31</v>
      </c>
      <c r="C3082" s="958" t="s">
        <v>5675</v>
      </c>
      <c r="D3082" s="957" t="s">
        <v>5674</v>
      </c>
      <c r="E3082" s="956">
        <v>39493</v>
      </c>
      <c r="F3082" s="955"/>
      <c r="L3082" s="954"/>
      <c r="M3082" s="952"/>
      <c r="N3082" s="952"/>
    </row>
    <row r="3083" spans="1:14">
      <c r="A3083" s="958" t="s">
        <v>366</v>
      </c>
      <c r="B3083" s="958">
        <v>31</v>
      </c>
      <c r="C3083" s="958" t="s">
        <v>5673</v>
      </c>
      <c r="D3083" s="957" t="s">
        <v>5672</v>
      </c>
      <c r="E3083" s="956">
        <v>19320</v>
      </c>
      <c r="F3083" s="955"/>
      <c r="L3083" s="954"/>
      <c r="M3083" s="952"/>
      <c r="N3083" s="952"/>
    </row>
    <row r="3084" spans="1:14">
      <c r="A3084" s="958" t="s">
        <v>366</v>
      </c>
      <c r="B3084" s="958">
        <v>31</v>
      </c>
      <c r="C3084" s="958" t="s">
        <v>5671</v>
      </c>
      <c r="D3084" s="957" t="s">
        <v>5670</v>
      </c>
      <c r="E3084" s="956">
        <v>20590</v>
      </c>
      <c r="F3084" s="955"/>
      <c r="L3084" s="954"/>
      <c r="M3084" s="952"/>
      <c r="N3084" s="952"/>
    </row>
    <row r="3085" spans="1:14">
      <c r="A3085" s="958" t="s">
        <v>366</v>
      </c>
      <c r="B3085" s="958">
        <v>31</v>
      </c>
      <c r="C3085" s="958" t="s">
        <v>5669</v>
      </c>
      <c r="D3085" s="957" t="s">
        <v>5668</v>
      </c>
      <c r="E3085" s="956">
        <v>9355</v>
      </c>
      <c r="F3085" s="955"/>
      <c r="L3085" s="954"/>
      <c r="M3085" s="952"/>
      <c r="N3085" s="952"/>
    </row>
    <row r="3086" spans="1:14">
      <c r="A3086" s="958" t="s">
        <v>366</v>
      </c>
      <c r="B3086" s="958">
        <v>31</v>
      </c>
      <c r="C3086" s="958" t="s">
        <v>5667</v>
      </c>
      <c r="D3086" s="957" t="s">
        <v>5666</v>
      </c>
      <c r="E3086" s="956">
        <v>5720</v>
      </c>
      <c r="F3086" s="955"/>
      <c r="L3086" s="954"/>
      <c r="M3086" s="952"/>
      <c r="N3086" s="952"/>
    </row>
    <row r="3087" spans="1:14">
      <c r="A3087" s="958" t="s">
        <v>366</v>
      </c>
      <c r="B3087" s="958">
        <v>31</v>
      </c>
      <c r="C3087" s="958" t="s">
        <v>5665</v>
      </c>
      <c r="D3087" s="957" t="s">
        <v>5664</v>
      </c>
      <c r="E3087" s="956">
        <v>3999</v>
      </c>
      <c r="F3087" s="955"/>
      <c r="L3087" s="954"/>
      <c r="M3087" s="952"/>
      <c r="N3087" s="952"/>
    </row>
    <row r="3088" spans="1:14">
      <c r="A3088" s="958" t="s">
        <v>366</v>
      </c>
      <c r="B3088" s="958">
        <v>31</v>
      </c>
      <c r="C3088" s="958" t="s">
        <v>5663</v>
      </c>
      <c r="D3088" s="957" t="s">
        <v>5662</v>
      </c>
      <c r="E3088" s="956">
        <v>4839</v>
      </c>
      <c r="F3088" s="955"/>
      <c r="L3088" s="954"/>
      <c r="M3088" s="952"/>
      <c r="N3088" s="952"/>
    </row>
    <row r="3089" spans="1:14">
      <c r="A3089" s="958" t="s">
        <v>366</v>
      </c>
      <c r="B3089" s="958">
        <v>31</v>
      </c>
      <c r="C3089" s="958" t="s">
        <v>5661</v>
      </c>
      <c r="D3089" s="957" t="s">
        <v>5660</v>
      </c>
      <c r="E3089" s="956">
        <v>127601</v>
      </c>
      <c r="F3089" s="955"/>
      <c r="L3089" s="954"/>
      <c r="M3089" s="952"/>
      <c r="N3089" s="952"/>
    </row>
    <row r="3090" spans="1:14">
      <c r="A3090" s="958" t="s">
        <v>366</v>
      </c>
      <c r="B3090" s="958">
        <v>31</v>
      </c>
      <c r="C3090" s="958" t="s">
        <v>5659</v>
      </c>
      <c r="D3090" s="957" t="s">
        <v>5658</v>
      </c>
      <c r="E3090" s="956">
        <v>78846</v>
      </c>
      <c r="F3090" s="955"/>
      <c r="L3090" s="954"/>
      <c r="M3090" s="952"/>
      <c r="N3090" s="952"/>
    </row>
    <row r="3091" spans="1:14">
      <c r="A3091" s="958" t="s">
        <v>366</v>
      </c>
      <c r="B3091" s="958">
        <v>31</v>
      </c>
      <c r="C3091" s="958" t="s">
        <v>5657</v>
      </c>
      <c r="D3091" s="957" t="s">
        <v>5656</v>
      </c>
      <c r="E3091" s="956">
        <v>3608</v>
      </c>
      <c r="F3091" s="955"/>
      <c r="L3091" s="954"/>
      <c r="M3091" s="952"/>
      <c r="N3091" s="952"/>
    </row>
    <row r="3092" spans="1:14">
      <c r="A3092" s="958" t="s">
        <v>366</v>
      </c>
      <c r="B3092" s="958">
        <v>31</v>
      </c>
      <c r="C3092" s="958" t="s">
        <v>5655</v>
      </c>
      <c r="D3092" s="957" t="s">
        <v>5654</v>
      </c>
      <c r="E3092" s="956">
        <v>3203</v>
      </c>
      <c r="F3092" s="955"/>
      <c r="L3092" s="954"/>
      <c r="M3092" s="952"/>
      <c r="N3092" s="952"/>
    </row>
    <row r="3093" spans="1:14">
      <c r="A3093" s="958" t="s">
        <v>366</v>
      </c>
      <c r="B3093" s="958">
        <v>31</v>
      </c>
      <c r="C3093" s="958" t="s">
        <v>5653</v>
      </c>
      <c r="D3093" s="957" t="s">
        <v>5652</v>
      </c>
      <c r="E3093" s="956">
        <v>13752</v>
      </c>
      <c r="F3093" s="955"/>
      <c r="L3093" s="954"/>
      <c r="M3093" s="952"/>
      <c r="N3093" s="952"/>
    </row>
    <row r="3094" spans="1:14">
      <c r="A3094" s="958" t="s">
        <v>366</v>
      </c>
      <c r="B3094" s="958">
        <v>31</v>
      </c>
      <c r="C3094" s="958" t="s">
        <v>5651</v>
      </c>
      <c r="D3094" s="957" t="s">
        <v>5650</v>
      </c>
      <c r="E3094" s="956">
        <v>8674</v>
      </c>
      <c r="F3094" s="955"/>
      <c r="L3094" s="954"/>
      <c r="M3094" s="952"/>
      <c r="N3094" s="952"/>
    </row>
    <row r="3095" spans="1:14">
      <c r="A3095" s="958" t="s">
        <v>366</v>
      </c>
      <c r="B3095" s="958">
        <v>31</v>
      </c>
      <c r="C3095" s="958" t="s">
        <v>5649</v>
      </c>
      <c r="D3095" s="957" t="s">
        <v>5648</v>
      </c>
      <c r="E3095" s="956">
        <v>10510</v>
      </c>
      <c r="F3095" s="955"/>
      <c r="L3095" s="954"/>
      <c r="M3095" s="952"/>
      <c r="N3095" s="952"/>
    </row>
    <row r="3096" spans="1:14">
      <c r="A3096" s="958" t="s">
        <v>366</v>
      </c>
      <c r="B3096" s="958">
        <v>31</v>
      </c>
      <c r="C3096" s="958" t="s">
        <v>5647</v>
      </c>
      <c r="D3096" s="957" t="s">
        <v>5646</v>
      </c>
      <c r="E3096" s="956">
        <v>5380</v>
      </c>
      <c r="F3096" s="955"/>
      <c r="L3096" s="954"/>
      <c r="M3096" s="952"/>
      <c r="N3096" s="952"/>
    </row>
    <row r="3097" spans="1:14">
      <c r="A3097" s="958" t="s">
        <v>366</v>
      </c>
      <c r="B3097" s="958">
        <v>31</v>
      </c>
      <c r="C3097" s="958" t="s">
        <v>5645</v>
      </c>
      <c r="D3097" s="957" t="s">
        <v>5644</v>
      </c>
      <c r="E3097" s="956">
        <v>42564</v>
      </c>
      <c r="F3097" s="955"/>
      <c r="L3097" s="954"/>
      <c r="M3097" s="952"/>
      <c r="N3097" s="952"/>
    </row>
    <row r="3098" spans="1:14">
      <c r="A3098" s="958" t="s">
        <v>366</v>
      </c>
      <c r="B3098" s="958">
        <v>31</v>
      </c>
      <c r="C3098" s="958" t="s">
        <v>5643</v>
      </c>
      <c r="D3098" s="957" t="s">
        <v>5642</v>
      </c>
      <c r="E3098" s="956">
        <v>5252</v>
      </c>
      <c r="F3098" s="955"/>
      <c r="L3098" s="954"/>
      <c r="M3098" s="952"/>
      <c r="N3098" s="952"/>
    </row>
    <row r="3099" spans="1:14">
      <c r="A3099" s="958" t="s">
        <v>366</v>
      </c>
      <c r="B3099" s="958">
        <v>31</v>
      </c>
      <c r="C3099" s="958" t="s">
        <v>5641</v>
      </c>
      <c r="D3099" s="957" t="s">
        <v>3370</v>
      </c>
      <c r="E3099" s="956">
        <v>2552</v>
      </c>
      <c r="F3099" s="955"/>
      <c r="L3099" s="954"/>
      <c r="M3099" s="952"/>
      <c r="N3099" s="952"/>
    </row>
    <row r="3100" spans="1:14">
      <c r="A3100" s="958" t="s">
        <v>371</v>
      </c>
      <c r="B3100" s="958">
        <v>32</v>
      </c>
      <c r="C3100" s="958" t="s">
        <v>1617</v>
      </c>
      <c r="D3100" s="957" t="s">
        <v>5640</v>
      </c>
      <c r="E3100" s="956">
        <v>30586</v>
      </c>
      <c r="F3100" s="955"/>
      <c r="L3100" s="954"/>
      <c r="M3100" s="952"/>
      <c r="N3100" s="952"/>
    </row>
    <row r="3101" spans="1:14">
      <c r="A3101" s="958" t="s">
        <v>371</v>
      </c>
      <c r="B3101" s="958">
        <v>32</v>
      </c>
      <c r="C3101" s="958" t="s">
        <v>5639</v>
      </c>
      <c r="D3101" s="957" t="s">
        <v>5638</v>
      </c>
      <c r="E3101" s="956">
        <v>9642</v>
      </c>
      <c r="F3101" s="955"/>
      <c r="L3101" s="954"/>
      <c r="M3101" s="952"/>
      <c r="N3101" s="952"/>
    </row>
    <row r="3102" spans="1:14">
      <c r="A3102" s="958" t="s">
        <v>371</v>
      </c>
      <c r="B3102" s="958">
        <v>32</v>
      </c>
      <c r="C3102" s="958" t="s">
        <v>5637</v>
      </c>
      <c r="D3102" s="957" t="s">
        <v>5636</v>
      </c>
      <c r="E3102" s="956">
        <v>11019</v>
      </c>
      <c r="F3102" s="955"/>
      <c r="L3102" s="954"/>
      <c r="M3102" s="952"/>
      <c r="N3102" s="952"/>
    </row>
    <row r="3103" spans="1:14">
      <c r="A3103" s="958" t="s">
        <v>371</v>
      </c>
      <c r="B3103" s="958">
        <v>32</v>
      </c>
      <c r="C3103" s="958" t="s">
        <v>1615</v>
      </c>
      <c r="D3103" s="957" t="s">
        <v>5635</v>
      </c>
      <c r="E3103" s="956">
        <v>30084</v>
      </c>
      <c r="F3103" s="955"/>
      <c r="L3103" s="954"/>
      <c r="M3103" s="952"/>
      <c r="N3103" s="952"/>
    </row>
    <row r="3104" spans="1:14">
      <c r="A3104" s="958" t="s">
        <v>371</v>
      </c>
      <c r="B3104" s="958">
        <v>32</v>
      </c>
      <c r="C3104" s="958" t="s">
        <v>1611</v>
      </c>
      <c r="D3104" s="957" t="s">
        <v>5634</v>
      </c>
      <c r="E3104" s="956">
        <v>14601</v>
      </c>
      <c r="F3104" s="955"/>
      <c r="L3104" s="954"/>
      <c r="M3104" s="952"/>
      <c r="N3104" s="952"/>
    </row>
    <row r="3105" spans="1:14">
      <c r="A3105" s="958" t="s">
        <v>371</v>
      </c>
      <c r="B3105" s="958">
        <v>32</v>
      </c>
      <c r="C3105" s="958" t="s">
        <v>1609</v>
      </c>
      <c r="D3105" s="957" t="s">
        <v>5633</v>
      </c>
      <c r="E3105" s="956">
        <v>7836</v>
      </c>
      <c r="F3105" s="955"/>
      <c r="L3105" s="954"/>
      <c r="M3105" s="952"/>
      <c r="N3105" s="952"/>
    </row>
    <row r="3106" spans="1:14">
      <c r="A3106" s="958" t="s">
        <v>371</v>
      </c>
      <c r="B3106" s="958">
        <v>32</v>
      </c>
      <c r="C3106" s="958" t="s">
        <v>1607</v>
      </c>
      <c r="D3106" s="957" t="s">
        <v>3332</v>
      </c>
      <c r="E3106" s="956">
        <v>29263</v>
      </c>
      <c r="F3106" s="955"/>
      <c r="L3106" s="954"/>
      <c r="M3106" s="952"/>
      <c r="N3106" s="952"/>
    </row>
    <row r="3107" spans="1:14">
      <c r="A3107" s="958" t="s">
        <v>371</v>
      </c>
      <c r="B3107" s="958">
        <v>32</v>
      </c>
      <c r="C3107" s="958" t="s">
        <v>1605</v>
      </c>
      <c r="D3107" s="957" t="s">
        <v>5632</v>
      </c>
      <c r="E3107" s="956">
        <v>7567</v>
      </c>
      <c r="F3107" s="955"/>
      <c r="L3107" s="954"/>
      <c r="M3107" s="952"/>
      <c r="N3107" s="952"/>
    </row>
    <row r="3108" spans="1:14">
      <c r="A3108" s="958" t="s">
        <v>371</v>
      </c>
      <c r="B3108" s="958">
        <v>32</v>
      </c>
      <c r="C3108" s="958" t="s">
        <v>1603</v>
      </c>
      <c r="D3108" s="957" t="s">
        <v>5631</v>
      </c>
      <c r="E3108" s="956">
        <v>101220</v>
      </c>
      <c r="F3108" s="955"/>
      <c r="L3108" s="954"/>
      <c r="M3108" s="952"/>
      <c r="N3108" s="952"/>
    </row>
    <row r="3109" spans="1:14">
      <c r="A3109" s="958" t="s">
        <v>371</v>
      </c>
      <c r="B3109" s="958">
        <v>32</v>
      </c>
      <c r="C3109" s="958" t="s">
        <v>5630</v>
      </c>
      <c r="D3109" s="957" t="s">
        <v>5629</v>
      </c>
      <c r="E3109" s="956">
        <v>11936</v>
      </c>
      <c r="F3109" s="955"/>
      <c r="L3109" s="954"/>
      <c r="M3109" s="952"/>
      <c r="N3109" s="952"/>
    </row>
    <row r="3110" spans="1:14">
      <c r="A3110" s="958" t="s">
        <v>371</v>
      </c>
      <c r="B3110" s="958">
        <v>32</v>
      </c>
      <c r="C3110" s="958" t="s">
        <v>1601</v>
      </c>
      <c r="D3110" s="957" t="s">
        <v>5628</v>
      </c>
      <c r="E3110" s="956">
        <v>30998</v>
      </c>
      <c r="F3110" s="955"/>
      <c r="L3110" s="954"/>
      <c r="M3110" s="952"/>
      <c r="N3110" s="952"/>
    </row>
    <row r="3111" spans="1:14">
      <c r="A3111" s="958" t="s">
        <v>371</v>
      </c>
      <c r="B3111" s="958">
        <v>32</v>
      </c>
      <c r="C3111" s="958" t="s">
        <v>5627</v>
      </c>
      <c r="D3111" s="957" t="s">
        <v>5626</v>
      </c>
      <c r="E3111" s="956">
        <v>44650</v>
      </c>
      <c r="F3111" s="955"/>
      <c r="L3111" s="954"/>
      <c r="M3111" s="952"/>
      <c r="N3111" s="952"/>
    </row>
    <row r="3112" spans="1:14">
      <c r="A3112" s="958" t="s">
        <v>371</v>
      </c>
      <c r="B3112" s="958">
        <v>32</v>
      </c>
      <c r="C3112" s="958" t="s">
        <v>1599</v>
      </c>
      <c r="D3112" s="957" t="s">
        <v>4065</v>
      </c>
      <c r="E3112" s="956">
        <v>15037</v>
      </c>
      <c r="F3112" s="955"/>
      <c r="L3112" s="954"/>
      <c r="M3112" s="952"/>
      <c r="N3112" s="952"/>
    </row>
    <row r="3113" spans="1:14">
      <c r="A3113" s="958" t="s">
        <v>371</v>
      </c>
      <c r="B3113" s="958">
        <v>32</v>
      </c>
      <c r="C3113" s="958" t="s">
        <v>5625</v>
      </c>
      <c r="D3113" s="957" t="s">
        <v>5624</v>
      </c>
      <c r="E3113" s="956">
        <v>9936</v>
      </c>
      <c r="F3113" s="955"/>
      <c r="L3113" s="954"/>
      <c r="M3113" s="952"/>
      <c r="N3113" s="952"/>
    </row>
    <row r="3114" spans="1:14">
      <c r="A3114" s="958" t="s">
        <v>371</v>
      </c>
      <c r="B3114" s="958">
        <v>32</v>
      </c>
      <c r="C3114" s="958" t="s">
        <v>5623</v>
      </c>
      <c r="D3114" s="957" t="s">
        <v>5622</v>
      </c>
      <c r="E3114" s="956">
        <v>12404</v>
      </c>
      <c r="F3114" s="955"/>
      <c r="L3114" s="954"/>
      <c r="M3114" s="952"/>
      <c r="N3114" s="952"/>
    </row>
    <row r="3115" spans="1:14">
      <c r="A3115" s="958" t="s">
        <v>371</v>
      </c>
      <c r="B3115" s="958">
        <v>32</v>
      </c>
      <c r="C3115" s="958" t="s">
        <v>1597</v>
      </c>
      <c r="D3115" s="957" t="s">
        <v>5621</v>
      </c>
      <c r="E3115" s="956">
        <v>208972</v>
      </c>
      <c r="F3115" s="955"/>
      <c r="L3115" s="954"/>
      <c r="M3115" s="952"/>
      <c r="N3115" s="952"/>
    </row>
    <row r="3116" spans="1:14">
      <c r="A3116" s="958" t="s">
        <v>371</v>
      </c>
      <c r="B3116" s="958">
        <v>32</v>
      </c>
      <c r="C3116" s="958" t="s">
        <v>1593</v>
      </c>
      <c r="D3116" s="957" t="s">
        <v>5620</v>
      </c>
      <c r="E3116" s="956">
        <v>381285</v>
      </c>
      <c r="F3116" s="955"/>
      <c r="L3116" s="954"/>
      <c r="M3116" s="952"/>
      <c r="N3116" s="952"/>
    </row>
    <row r="3117" spans="1:14">
      <c r="A3117" s="958" t="s">
        <v>371</v>
      </c>
      <c r="B3117" s="958">
        <v>32</v>
      </c>
      <c r="C3117" s="958" t="s">
        <v>1591</v>
      </c>
      <c r="D3117" s="957" t="s">
        <v>5619</v>
      </c>
      <c r="E3117" s="956">
        <v>37534</v>
      </c>
      <c r="F3117" s="955"/>
      <c r="L3117" s="954"/>
      <c r="M3117" s="952"/>
      <c r="N3117" s="952"/>
    </row>
    <row r="3118" spans="1:14">
      <c r="A3118" s="958" t="s">
        <v>371</v>
      </c>
      <c r="B3118" s="958">
        <v>32</v>
      </c>
      <c r="C3118" s="958" t="s">
        <v>5618</v>
      </c>
      <c r="D3118" s="957" t="s">
        <v>5617</v>
      </c>
      <c r="E3118" s="956">
        <v>122499</v>
      </c>
      <c r="F3118" s="955"/>
      <c r="L3118" s="954"/>
      <c r="M3118" s="952"/>
      <c r="N3118" s="952"/>
    </row>
    <row r="3119" spans="1:14">
      <c r="A3119" s="958" t="s">
        <v>371</v>
      </c>
      <c r="B3119" s="958">
        <v>32</v>
      </c>
      <c r="C3119" s="958" t="s">
        <v>1589</v>
      </c>
      <c r="D3119" s="957" t="s">
        <v>5616</v>
      </c>
      <c r="E3119" s="956">
        <v>31063</v>
      </c>
      <c r="F3119" s="955"/>
      <c r="L3119" s="954"/>
      <c r="M3119" s="952"/>
      <c r="N3119" s="952"/>
    </row>
    <row r="3120" spans="1:14">
      <c r="A3120" s="958" t="s">
        <v>371</v>
      </c>
      <c r="B3120" s="958">
        <v>32</v>
      </c>
      <c r="C3120" s="958" t="s">
        <v>1587</v>
      </c>
      <c r="D3120" s="957" t="s">
        <v>5615</v>
      </c>
      <c r="E3120" s="956">
        <v>12723</v>
      </c>
      <c r="F3120" s="955"/>
      <c r="L3120" s="954"/>
      <c r="M3120" s="952"/>
      <c r="N3120" s="952"/>
    </row>
    <row r="3121" spans="1:14">
      <c r="A3121" s="958" t="s">
        <v>371</v>
      </c>
      <c r="B3121" s="958">
        <v>32</v>
      </c>
      <c r="C3121" s="958" t="s">
        <v>1585</v>
      </c>
      <c r="D3121" s="957" t="s">
        <v>5614</v>
      </c>
      <c r="E3121" s="956">
        <v>4304</v>
      </c>
      <c r="F3121" s="955"/>
      <c r="L3121" s="954"/>
      <c r="M3121" s="952"/>
      <c r="N3121" s="952"/>
    </row>
    <row r="3122" spans="1:14">
      <c r="A3122" s="958" t="s">
        <v>371</v>
      </c>
      <c r="B3122" s="958">
        <v>32</v>
      </c>
      <c r="C3122" s="958" t="s">
        <v>1581</v>
      </c>
      <c r="D3122" s="957" t="s">
        <v>5613</v>
      </c>
      <c r="E3122" s="956">
        <v>33850</v>
      </c>
      <c r="F3122" s="955"/>
      <c r="L3122" s="954"/>
      <c r="M3122" s="952"/>
      <c r="N3122" s="952"/>
    </row>
    <row r="3123" spans="1:14">
      <c r="A3123" s="958" t="s">
        <v>371</v>
      </c>
      <c r="B3123" s="958">
        <v>32</v>
      </c>
      <c r="C3123" s="958" t="s">
        <v>5612</v>
      </c>
      <c r="D3123" s="957" t="s">
        <v>5611</v>
      </c>
      <c r="E3123" s="956">
        <v>6749</v>
      </c>
      <c r="F3123" s="955"/>
      <c r="L3123" s="954"/>
      <c r="M3123" s="952"/>
      <c r="N3123" s="952"/>
    </row>
    <row r="3124" spans="1:14">
      <c r="A3124" s="958" t="s">
        <v>371</v>
      </c>
      <c r="B3124" s="958">
        <v>32</v>
      </c>
      <c r="C3124" s="958" t="s">
        <v>5610</v>
      </c>
      <c r="D3124" s="957" t="s">
        <v>5609</v>
      </c>
      <c r="E3124" s="956">
        <v>22923</v>
      </c>
      <c r="F3124" s="955"/>
      <c r="L3124" s="954"/>
      <c r="M3124" s="952"/>
      <c r="N3124" s="952"/>
    </row>
    <row r="3125" spans="1:14">
      <c r="A3125" s="958" t="s">
        <v>371</v>
      </c>
      <c r="B3125" s="958">
        <v>32</v>
      </c>
      <c r="C3125" s="958" t="s">
        <v>5608</v>
      </c>
      <c r="D3125" s="957" t="s">
        <v>5607</v>
      </c>
      <c r="E3125" s="956">
        <v>21509</v>
      </c>
      <c r="F3125" s="955"/>
      <c r="L3125" s="954"/>
      <c r="M3125" s="952"/>
      <c r="N3125" s="952"/>
    </row>
    <row r="3126" spans="1:14">
      <c r="A3126" s="958" t="s">
        <v>371</v>
      </c>
      <c r="B3126" s="958">
        <v>32</v>
      </c>
      <c r="C3126" s="958" t="s">
        <v>5606</v>
      </c>
      <c r="D3126" s="957" t="s">
        <v>5605</v>
      </c>
      <c r="E3126" s="956">
        <v>12709</v>
      </c>
      <c r="F3126" s="955"/>
      <c r="L3126" s="954"/>
      <c r="M3126" s="952"/>
      <c r="N3126" s="952"/>
    </row>
    <row r="3127" spans="1:14">
      <c r="A3127" s="958" t="s">
        <v>371</v>
      </c>
      <c r="B3127" s="958">
        <v>32</v>
      </c>
      <c r="C3127" s="958" t="s">
        <v>5604</v>
      </c>
      <c r="D3127" s="957" t="s">
        <v>5603</v>
      </c>
      <c r="E3127" s="956">
        <v>30867</v>
      </c>
      <c r="F3127" s="955"/>
      <c r="L3127" s="954"/>
      <c r="M3127" s="952"/>
      <c r="N3127" s="952"/>
    </row>
    <row r="3128" spans="1:14">
      <c r="A3128" s="958" t="s">
        <v>371</v>
      </c>
      <c r="B3128" s="958">
        <v>32</v>
      </c>
      <c r="C3128" s="958" t="s">
        <v>5602</v>
      </c>
      <c r="D3128" s="957" t="s">
        <v>5601</v>
      </c>
      <c r="E3128" s="956">
        <v>124859</v>
      </c>
      <c r="F3128" s="955"/>
      <c r="L3128" s="954"/>
      <c r="M3128" s="952"/>
      <c r="N3128" s="952"/>
    </row>
    <row r="3129" spans="1:14">
      <c r="A3129" s="958" t="s">
        <v>371</v>
      </c>
      <c r="B3129" s="958">
        <v>32</v>
      </c>
      <c r="C3129" s="958" t="s">
        <v>5600</v>
      </c>
      <c r="D3129" s="957" t="s">
        <v>5599</v>
      </c>
      <c r="E3129" s="956">
        <v>26082</v>
      </c>
      <c r="F3129" s="955"/>
      <c r="L3129" s="954"/>
      <c r="M3129" s="952"/>
      <c r="N3129" s="952"/>
    </row>
    <row r="3130" spans="1:14">
      <c r="A3130" s="958" t="s">
        <v>371</v>
      </c>
      <c r="B3130" s="958">
        <v>32</v>
      </c>
      <c r="C3130" s="958" t="s">
        <v>1579</v>
      </c>
      <c r="D3130" s="957" t="s">
        <v>5598</v>
      </c>
      <c r="E3130" s="956">
        <v>12479</v>
      </c>
      <c r="F3130" s="955"/>
      <c r="L3130" s="954"/>
      <c r="M3130" s="952"/>
      <c r="N3130" s="952"/>
    </row>
    <row r="3131" spans="1:14">
      <c r="A3131" s="958" t="s">
        <v>371</v>
      </c>
      <c r="B3131" s="958">
        <v>32</v>
      </c>
      <c r="C3131" s="958" t="s">
        <v>5597</v>
      </c>
      <c r="D3131" s="957" t="s">
        <v>5596</v>
      </c>
      <c r="E3131" s="956">
        <v>8889</v>
      </c>
      <c r="F3131" s="955"/>
      <c r="L3131" s="954"/>
      <c r="M3131" s="952"/>
      <c r="N3131" s="952"/>
    </row>
    <row r="3132" spans="1:14">
      <c r="A3132" s="958" t="s">
        <v>371</v>
      </c>
      <c r="B3132" s="958">
        <v>32</v>
      </c>
      <c r="C3132" s="958" t="s">
        <v>1577</v>
      </c>
      <c r="D3132" s="957" t="s">
        <v>5595</v>
      </c>
      <c r="E3132" s="956">
        <v>13860</v>
      </c>
      <c r="F3132" s="955"/>
      <c r="L3132" s="954"/>
      <c r="M3132" s="952"/>
      <c r="N3132" s="952"/>
    </row>
    <row r="3133" spans="1:14">
      <c r="A3133" s="958" t="s">
        <v>371</v>
      </c>
      <c r="B3133" s="958">
        <v>32</v>
      </c>
      <c r="C3133" s="958" t="s">
        <v>5594</v>
      </c>
      <c r="D3133" s="957" t="s">
        <v>5593</v>
      </c>
      <c r="E3133" s="956">
        <v>13377</v>
      </c>
      <c r="F3133" s="955"/>
      <c r="L3133" s="954"/>
      <c r="M3133" s="952"/>
      <c r="N3133" s="952"/>
    </row>
    <row r="3134" spans="1:14">
      <c r="A3134" s="958" t="s">
        <v>371</v>
      </c>
      <c r="B3134" s="958">
        <v>32</v>
      </c>
      <c r="C3134" s="958" t="s">
        <v>1567</v>
      </c>
      <c r="D3134" s="957" t="s">
        <v>5592</v>
      </c>
      <c r="E3134" s="956">
        <v>14066</v>
      </c>
      <c r="F3134" s="955"/>
      <c r="L3134" s="954"/>
      <c r="M3134" s="952"/>
      <c r="N3134" s="952"/>
    </row>
    <row r="3135" spans="1:14">
      <c r="A3135" s="958" t="s">
        <v>371</v>
      </c>
      <c r="B3135" s="958">
        <v>32</v>
      </c>
      <c r="C3135" s="958" t="s">
        <v>5591</v>
      </c>
      <c r="D3135" s="957" t="s">
        <v>5590</v>
      </c>
      <c r="E3135" s="956">
        <v>34348</v>
      </c>
      <c r="F3135" s="955"/>
      <c r="L3135" s="954"/>
      <c r="M3135" s="952"/>
      <c r="N3135" s="952"/>
    </row>
    <row r="3136" spans="1:14">
      <c r="A3136" s="958" t="s">
        <v>371</v>
      </c>
      <c r="B3136" s="958">
        <v>32</v>
      </c>
      <c r="C3136" s="958" t="s">
        <v>5589</v>
      </c>
      <c r="D3136" s="957" t="s">
        <v>5588</v>
      </c>
      <c r="E3136" s="956">
        <v>10555</v>
      </c>
      <c r="F3136" s="955"/>
      <c r="L3136" s="954"/>
      <c r="M3136" s="952"/>
      <c r="N3136" s="952"/>
    </row>
    <row r="3137" spans="1:14">
      <c r="A3137" s="958" t="s">
        <v>371</v>
      </c>
      <c r="B3137" s="958">
        <v>32</v>
      </c>
      <c r="C3137" s="958" t="s">
        <v>1561</v>
      </c>
      <c r="D3137" s="957" t="s">
        <v>5587</v>
      </c>
      <c r="E3137" s="956">
        <v>29161</v>
      </c>
      <c r="F3137" s="955"/>
      <c r="L3137" s="954"/>
      <c r="M3137" s="952"/>
      <c r="N3137" s="952"/>
    </row>
    <row r="3138" spans="1:14">
      <c r="A3138" s="958" t="s">
        <v>371</v>
      </c>
      <c r="B3138" s="958">
        <v>32</v>
      </c>
      <c r="C3138" s="958" t="s">
        <v>1559</v>
      </c>
      <c r="D3138" s="957" t="s">
        <v>5586</v>
      </c>
      <c r="E3138" s="956">
        <v>30477</v>
      </c>
      <c r="F3138" s="955"/>
      <c r="L3138" s="954"/>
      <c r="M3138" s="952"/>
      <c r="N3138" s="952"/>
    </row>
    <row r="3139" spans="1:14">
      <c r="A3139" s="958" t="s">
        <v>371</v>
      </c>
      <c r="B3139" s="958">
        <v>32</v>
      </c>
      <c r="C3139" s="958" t="s">
        <v>1557</v>
      </c>
      <c r="D3139" s="957" t="s">
        <v>5585</v>
      </c>
      <c r="E3139" s="956">
        <v>12192</v>
      </c>
      <c r="F3139" s="955"/>
      <c r="L3139" s="954"/>
      <c r="M3139" s="952"/>
      <c r="N3139" s="952"/>
    </row>
    <row r="3140" spans="1:14">
      <c r="A3140" s="958" t="s">
        <v>371</v>
      </c>
      <c r="B3140" s="958">
        <v>32</v>
      </c>
      <c r="C3140" s="958" t="s">
        <v>5584</v>
      </c>
      <c r="D3140" s="957" t="s">
        <v>5583</v>
      </c>
      <c r="E3140" s="956">
        <v>16668</v>
      </c>
      <c r="F3140" s="955"/>
      <c r="L3140" s="954"/>
      <c r="M3140" s="952"/>
      <c r="N3140" s="952"/>
    </row>
    <row r="3141" spans="1:14">
      <c r="A3141" s="958" t="s">
        <v>371</v>
      </c>
      <c r="B3141" s="958">
        <v>32</v>
      </c>
      <c r="C3141" s="958" t="s">
        <v>5582</v>
      </c>
      <c r="D3141" s="957" t="s">
        <v>5581</v>
      </c>
      <c r="E3141" s="956">
        <v>10947</v>
      </c>
      <c r="F3141" s="955"/>
      <c r="L3141" s="954"/>
      <c r="M3141" s="952"/>
      <c r="N3141" s="952"/>
    </row>
    <row r="3142" spans="1:14">
      <c r="A3142" s="958" t="s">
        <v>371</v>
      </c>
      <c r="B3142" s="958">
        <v>32</v>
      </c>
      <c r="C3142" s="958" t="s">
        <v>1555</v>
      </c>
      <c r="D3142" s="957" t="s">
        <v>5580</v>
      </c>
      <c r="E3142" s="956">
        <v>173555</v>
      </c>
      <c r="F3142" s="955"/>
      <c r="L3142" s="954"/>
      <c r="M3142" s="952"/>
      <c r="N3142" s="952"/>
    </row>
    <row r="3143" spans="1:14">
      <c r="A3143" s="958" t="s">
        <v>371</v>
      </c>
      <c r="B3143" s="958">
        <v>32</v>
      </c>
      <c r="C3143" s="958" t="s">
        <v>1551</v>
      </c>
      <c r="D3143" s="957" t="s">
        <v>5579</v>
      </c>
      <c r="E3143" s="956">
        <v>15350</v>
      </c>
      <c r="F3143" s="955"/>
      <c r="L3143" s="954"/>
      <c r="M3143" s="952"/>
      <c r="N3143" s="952"/>
    </row>
    <row r="3144" spans="1:14">
      <c r="A3144" s="958" t="s">
        <v>371</v>
      </c>
      <c r="B3144" s="958">
        <v>32</v>
      </c>
      <c r="C3144" s="958" t="s">
        <v>5578</v>
      </c>
      <c r="D3144" s="957" t="s">
        <v>5577</v>
      </c>
      <c r="E3144" s="956">
        <v>38499</v>
      </c>
      <c r="F3144" s="955"/>
      <c r="L3144" s="954"/>
      <c r="M3144" s="952"/>
      <c r="N3144" s="952"/>
    </row>
    <row r="3145" spans="1:14">
      <c r="A3145" s="958" t="s">
        <v>371</v>
      </c>
      <c r="B3145" s="958">
        <v>32</v>
      </c>
      <c r="C3145" s="958" t="s">
        <v>5576</v>
      </c>
      <c r="D3145" s="957" t="s">
        <v>5575</v>
      </c>
      <c r="E3145" s="956">
        <v>16694</v>
      </c>
      <c r="F3145" s="955"/>
      <c r="L3145" s="954"/>
      <c r="M3145" s="952"/>
      <c r="N3145" s="952"/>
    </row>
    <row r="3146" spans="1:14">
      <c r="A3146" s="958" t="s">
        <v>371</v>
      </c>
      <c r="B3146" s="958">
        <v>32</v>
      </c>
      <c r="C3146" s="958" t="s">
        <v>1549</v>
      </c>
      <c r="D3146" s="957" t="s">
        <v>5574</v>
      </c>
      <c r="E3146" s="956">
        <v>12833</v>
      </c>
      <c r="F3146" s="955"/>
      <c r="L3146" s="954"/>
      <c r="M3146" s="952"/>
      <c r="N3146" s="952"/>
    </row>
    <row r="3147" spans="1:14">
      <c r="A3147" s="958" t="s">
        <v>371</v>
      </c>
      <c r="B3147" s="958">
        <v>32</v>
      </c>
      <c r="C3147" s="958" t="s">
        <v>1543</v>
      </c>
      <c r="D3147" s="957" t="s">
        <v>5573</v>
      </c>
      <c r="E3147" s="956">
        <v>26153</v>
      </c>
      <c r="F3147" s="955"/>
      <c r="L3147" s="954"/>
      <c r="M3147" s="952"/>
      <c r="N3147" s="952"/>
    </row>
    <row r="3148" spans="1:14">
      <c r="A3148" s="958" t="s">
        <v>371</v>
      </c>
      <c r="B3148" s="958">
        <v>32</v>
      </c>
      <c r="C3148" s="958" t="s">
        <v>1537</v>
      </c>
      <c r="D3148" s="957" t="s">
        <v>5572</v>
      </c>
      <c r="E3148" s="956">
        <v>18833</v>
      </c>
      <c r="F3148" s="955"/>
      <c r="L3148" s="954"/>
      <c r="M3148" s="952"/>
      <c r="N3148" s="952"/>
    </row>
    <row r="3149" spans="1:14">
      <c r="A3149" s="958" t="s">
        <v>371</v>
      </c>
      <c r="B3149" s="958">
        <v>32</v>
      </c>
      <c r="C3149" s="958" t="s">
        <v>1535</v>
      </c>
      <c r="D3149" s="957" t="s">
        <v>5571</v>
      </c>
      <c r="E3149" s="956">
        <v>5524</v>
      </c>
      <c r="F3149" s="955"/>
      <c r="L3149" s="954"/>
      <c r="M3149" s="952"/>
      <c r="N3149" s="952"/>
    </row>
    <row r="3150" spans="1:14">
      <c r="A3150" s="958" t="s">
        <v>371</v>
      </c>
      <c r="B3150" s="958">
        <v>32</v>
      </c>
      <c r="C3150" s="958" t="s">
        <v>1533</v>
      </c>
      <c r="D3150" s="957" t="s">
        <v>5570</v>
      </c>
      <c r="E3150" s="956">
        <v>17465</v>
      </c>
      <c r="F3150" s="955"/>
      <c r="L3150" s="954"/>
      <c r="M3150" s="952"/>
      <c r="N3150" s="952"/>
    </row>
    <row r="3151" spans="1:14">
      <c r="A3151" s="958" t="s">
        <v>371</v>
      </c>
      <c r="B3151" s="958">
        <v>32</v>
      </c>
      <c r="C3151" s="958" t="s">
        <v>1531</v>
      </c>
      <c r="D3151" s="957" t="s">
        <v>5569</v>
      </c>
      <c r="E3151" s="956">
        <v>15449</v>
      </c>
      <c r="F3151" s="955"/>
      <c r="L3151" s="954"/>
      <c r="M3151" s="952"/>
      <c r="N3151" s="952"/>
    </row>
    <row r="3152" spans="1:14">
      <c r="A3152" s="958" t="s">
        <v>371</v>
      </c>
      <c r="B3152" s="958">
        <v>32</v>
      </c>
      <c r="C3152" s="958" t="s">
        <v>1527</v>
      </c>
      <c r="D3152" s="957" t="s">
        <v>5568</v>
      </c>
      <c r="E3152" s="956">
        <v>50110</v>
      </c>
      <c r="F3152" s="955"/>
      <c r="L3152" s="954"/>
      <c r="M3152" s="952"/>
      <c r="N3152" s="952"/>
    </row>
    <row r="3153" spans="1:14">
      <c r="A3153" s="958" t="s">
        <v>371</v>
      </c>
      <c r="B3153" s="958">
        <v>32</v>
      </c>
      <c r="C3153" s="958" t="s">
        <v>5567</v>
      </c>
      <c r="D3153" s="957" t="s">
        <v>5566</v>
      </c>
      <c r="E3153" s="956">
        <v>23184</v>
      </c>
      <c r="F3153" s="955"/>
      <c r="L3153" s="954"/>
      <c r="M3153" s="952"/>
      <c r="N3153" s="952"/>
    </row>
    <row r="3154" spans="1:14">
      <c r="A3154" s="958" t="s">
        <v>371</v>
      </c>
      <c r="B3154" s="958">
        <v>32</v>
      </c>
      <c r="C3154" s="958" t="s">
        <v>5565</v>
      </c>
      <c r="D3154" s="957" t="s">
        <v>5564</v>
      </c>
      <c r="E3154" s="956">
        <v>26184</v>
      </c>
      <c r="F3154" s="955"/>
      <c r="L3154" s="954"/>
      <c r="M3154" s="952"/>
      <c r="N3154" s="952"/>
    </row>
    <row r="3155" spans="1:14">
      <c r="A3155" s="958" t="s">
        <v>371</v>
      </c>
      <c r="B3155" s="958">
        <v>32</v>
      </c>
      <c r="C3155" s="958" t="s">
        <v>1523</v>
      </c>
      <c r="D3155" s="957" t="s">
        <v>5563</v>
      </c>
      <c r="E3155" s="956">
        <v>27047</v>
      </c>
      <c r="F3155" s="955"/>
      <c r="L3155" s="954"/>
      <c r="M3155" s="952"/>
      <c r="N3155" s="952"/>
    </row>
    <row r="3156" spans="1:14">
      <c r="A3156" s="958" t="s">
        <v>371</v>
      </c>
      <c r="B3156" s="958">
        <v>32</v>
      </c>
      <c r="C3156" s="958" t="s">
        <v>1521</v>
      </c>
      <c r="D3156" s="957" t="s">
        <v>5562</v>
      </c>
      <c r="E3156" s="956">
        <v>21711</v>
      </c>
      <c r="F3156" s="955"/>
      <c r="L3156" s="954"/>
      <c r="M3156" s="952"/>
      <c r="N3156" s="952"/>
    </row>
    <row r="3157" spans="1:14">
      <c r="A3157" s="958" t="s">
        <v>371</v>
      </c>
      <c r="B3157" s="958">
        <v>32</v>
      </c>
      <c r="C3157" s="958" t="s">
        <v>5561</v>
      </c>
      <c r="D3157" s="957" t="s">
        <v>5560</v>
      </c>
      <c r="E3157" s="956">
        <v>7863</v>
      </c>
      <c r="F3157" s="955"/>
      <c r="L3157" s="954"/>
      <c r="M3157" s="952"/>
      <c r="N3157" s="952"/>
    </row>
    <row r="3158" spans="1:14">
      <c r="A3158" s="958" t="s">
        <v>371</v>
      </c>
      <c r="B3158" s="958">
        <v>32</v>
      </c>
      <c r="C3158" s="958" t="s">
        <v>5559</v>
      </c>
      <c r="D3158" s="957" t="s">
        <v>5558</v>
      </c>
      <c r="E3158" s="956">
        <v>11574</v>
      </c>
      <c r="F3158" s="955"/>
      <c r="L3158" s="954"/>
      <c r="M3158" s="952"/>
      <c r="N3158" s="952"/>
    </row>
    <row r="3159" spans="1:14">
      <c r="A3159" s="958" t="s">
        <v>371</v>
      </c>
      <c r="B3159" s="958">
        <v>32</v>
      </c>
      <c r="C3159" s="958" t="s">
        <v>5557</v>
      </c>
      <c r="D3159" s="957" t="s">
        <v>5556</v>
      </c>
      <c r="E3159" s="956">
        <v>19141</v>
      </c>
      <c r="F3159" s="955"/>
      <c r="L3159" s="954"/>
      <c r="M3159" s="952"/>
      <c r="N3159" s="952"/>
    </row>
    <row r="3160" spans="1:14">
      <c r="A3160" s="958" t="s">
        <v>371</v>
      </c>
      <c r="B3160" s="958">
        <v>32</v>
      </c>
      <c r="C3160" s="958" t="s">
        <v>5555</v>
      </c>
      <c r="D3160" s="957" t="s">
        <v>5554</v>
      </c>
      <c r="E3160" s="956">
        <v>11622</v>
      </c>
      <c r="F3160" s="955"/>
      <c r="L3160" s="954"/>
      <c r="M3160" s="952"/>
      <c r="N3160" s="952"/>
    </row>
    <row r="3161" spans="1:14">
      <c r="A3161" s="958" t="s">
        <v>371</v>
      </c>
      <c r="B3161" s="958">
        <v>32</v>
      </c>
      <c r="C3161" s="958" t="s">
        <v>1519</v>
      </c>
      <c r="D3161" s="957" t="s">
        <v>5553</v>
      </c>
      <c r="E3161" s="956">
        <v>12224</v>
      </c>
      <c r="F3161" s="955"/>
      <c r="L3161" s="954"/>
      <c r="M3161" s="952"/>
      <c r="N3161" s="952"/>
    </row>
    <row r="3162" spans="1:14">
      <c r="A3162" s="958" t="s">
        <v>371</v>
      </c>
      <c r="B3162" s="958">
        <v>32</v>
      </c>
      <c r="C3162" s="958" t="s">
        <v>1513</v>
      </c>
      <c r="D3162" s="957" t="s">
        <v>5552</v>
      </c>
      <c r="E3162" s="956">
        <v>40431</v>
      </c>
      <c r="F3162" s="955"/>
      <c r="L3162" s="954"/>
      <c r="M3162" s="952"/>
      <c r="N3162" s="952"/>
    </row>
    <row r="3163" spans="1:14">
      <c r="A3163" s="958" t="s">
        <v>371</v>
      </c>
      <c r="B3163" s="958">
        <v>32</v>
      </c>
      <c r="C3163" s="958" t="s">
        <v>1511</v>
      </c>
      <c r="D3163" s="957" t="s">
        <v>5551</v>
      </c>
      <c r="E3163" s="956">
        <v>23590</v>
      </c>
      <c r="F3163" s="955"/>
      <c r="L3163" s="954"/>
      <c r="M3163" s="952"/>
      <c r="N3163" s="952"/>
    </row>
    <row r="3164" spans="1:14">
      <c r="A3164" s="958" t="s">
        <v>371</v>
      </c>
      <c r="B3164" s="958">
        <v>32</v>
      </c>
      <c r="C3164" s="958" t="s">
        <v>5550</v>
      </c>
      <c r="D3164" s="957" t="s">
        <v>5549</v>
      </c>
      <c r="E3164" s="956">
        <v>8638</v>
      </c>
      <c r="F3164" s="955"/>
      <c r="L3164" s="954"/>
      <c r="M3164" s="952"/>
      <c r="N3164" s="952"/>
    </row>
    <row r="3165" spans="1:14">
      <c r="A3165" s="958" t="s">
        <v>371</v>
      </c>
      <c r="B3165" s="958">
        <v>32</v>
      </c>
      <c r="C3165" s="958" t="s">
        <v>5548</v>
      </c>
      <c r="D3165" s="957" t="s">
        <v>5547</v>
      </c>
      <c r="E3165" s="956">
        <v>37947</v>
      </c>
      <c r="F3165" s="955"/>
      <c r="L3165" s="954"/>
      <c r="M3165" s="952"/>
      <c r="N3165" s="952"/>
    </row>
    <row r="3166" spans="1:14">
      <c r="A3166" s="958" t="s">
        <v>371</v>
      </c>
      <c r="B3166" s="958">
        <v>32</v>
      </c>
      <c r="C3166" s="958" t="s">
        <v>1509</v>
      </c>
      <c r="D3166" s="957" t="s">
        <v>5546</v>
      </c>
      <c r="E3166" s="956">
        <v>10556</v>
      </c>
      <c r="F3166" s="955"/>
      <c r="L3166" s="954"/>
      <c r="M3166" s="952"/>
      <c r="N3166" s="952"/>
    </row>
    <row r="3167" spans="1:14">
      <c r="A3167" s="958" t="s">
        <v>371</v>
      </c>
      <c r="B3167" s="958">
        <v>32</v>
      </c>
      <c r="C3167" s="958" t="s">
        <v>1507</v>
      </c>
      <c r="D3167" s="957" t="s">
        <v>5545</v>
      </c>
      <c r="E3167" s="956">
        <v>130611</v>
      </c>
      <c r="F3167" s="955"/>
      <c r="L3167" s="954"/>
      <c r="M3167" s="952"/>
      <c r="N3167" s="952"/>
    </row>
    <row r="3168" spans="1:14">
      <c r="A3168" s="958" t="s">
        <v>371</v>
      </c>
      <c r="B3168" s="958">
        <v>32</v>
      </c>
      <c r="C3168" s="958" t="s">
        <v>5544</v>
      </c>
      <c r="D3168" s="957" t="s">
        <v>5543</v>
      </c>
      <c r="E3168" s="956">
        <v>12415</v>
      </c>
      <c r="F3168" s="955"/>
      <c r="L3168" s="954"/>
      <c r="M3168" s="952"/>
      <c r="N3168" s="952"/>
    </row>
    <row r="3169" spans="1:14">
      <c r="A3169" s="958" t="s">
        <v>371</v>
      </c>
      <c r="B3169" s="958">
        <v>32</v>
      </c>
      <c r="C3169" s="958" t="s">
        <v>1505</v>
      </c>
      <c r="D3169" s="957" t="s">
        <v>5542</v>
      </c>
      <c r="E3169" s="956">
        <v>517510</v>
      </c>
      <c r="F3169" s="955"/>
      <c r="L3169" s="954"/>
      <c r="M3169" s="952"/>
      <c r="N3169" s="952"/>
    </row>
    <row r="3170" spans="1:14">
      <c r="A3170" s="958" t="s">
        <v>371</v>
      </c>
      <c r="B3170" s="958">
        <v>32</v>
      </c>
      <c r="C3170" s="958" t="s">
        <v>5541</v>
      </c>
      <c r="D3170" s="957" t="s">
        <v>5540</v>
      </c>
      <c r="E3170" s="956">
        <v>30070</v>
      </c>
      <c r="F3170" s="955"/>
      <c r="L3170" s="954"/>
      <c r="M3170" s="952"/>
      <c r="N3170" s="952"/>
    </row>
    <row r="3171" spans="1:14">
      <c r="A3171" s="958" t="s">
        <v>371</v>
      </c>
      <c r="B3171" s="958">
        <v>32</v>
      </c>
      <c r="C3171" s="958" t="s">
        <v>5539</v>
      </c>
      <c r="D3171" s="957" t="s">
        <v>5538</v>
      </c>
      <c r="E3171" s="956">
        <v>21402</v>
      </c>
      <c r="F3171" s="955"/>
      <c r="L3171" s="954"/>
      <c r="M3171" s="952"/>
      <c r="N3171" s="952"/>
    </row>
    <row r="3172" spans="1:14">
      <c r="A3172" s="958" t="s">
        <v>371</v>
      </c>
      <c r="B3172" s="958">
        <v>32</v>
      </c>
      <c r="C3172" s="958" t="s">
        <v>5537</v>
      </c>
      <c r="D3172" s="957" t="s">
        <v>5536</v>
      </c>
      <c r="E3172" s="956">
        <v>25277</v>
      </c>
      <c r="F3172" s="955"/>
      <c r="L3172" s="954"/>
      <c r="M3172" s="952"/>
      <c r="N3172" s="952"/>
    </row>
    <row r="3173" spans="1:14">
      <c r="A3173" s="958" t="s">
        <v>371</v>
      </c>
      <c r="B3173" s="958">
        <v>32</v>
      </c>
      <c r="C3173" s="958" t="s">
        <v>1503</v>
      </c>
      <c r="D3173" s="957" t="s">
        <v>5535</v>
      </c>
      <c r="E3173" s="956">
        <v>78239</v>
      </c>
      <c r="F3173" s="955"/>
      <c r="L3173" s="954"/>
      <c r="M3173" s="952"/>
      <c r="N3173" s="952"/>
    </row>
    <row r="3174" spans="1:14">
      <c r="A3174" s="958" t="s">
        <v>371</v>
      </c>
      <c r="B3174" s="958">
        <v>32</v>
      </c>
      <c r="C3174" s="958" t="s">
        <v>1501</v>
      </c>
      <c r="D3174" s="957" t="s">
        <v>5534</v>
      </c>
      <c r="E3174" s="956">
        <v>9208</v>
      </c>
      <c r="F3174" s="955"/>
      <c r="L3174" s="954"/>
      <c r="M3174" s="952"/>
      <c r="N3174" s="952"/>
    </row>
    <row r="3175" spans="1:14">
      <c r="A3175" s="958" t="s">
        <v>371</v>
      </c>
      <c r="B3175" s="958">
        <v>32</v>
      </c>
      <c r="C3175" s="958" t="s">
        <v>1499</v>
      </c>
      <c r="D3175" s="957" t="s">
        <v>5533</v>
      </c>
      <c r="E3175" s="956">
        <v>14080</v>
      </c>
      <c r="F3175" s="955"/>
      <c r="L3175" s="954"/>
      <c r="M3175" s="952"/>
      <c r="N3175" s="952"/>
    </row>
    <row r="3176" spans="1:14">
      <c r="A3176" s="958" t="s">
        <v>371</v>
      </c>
      <c r="B3176" s="958">
        <v>32</v>
      </c>
      <c r="C3176" s="958" t="s">
        <v>1497</v>
      </c>
      <c r="D3176" s="957" t="s">
        <v>5532</v>
      </c>
      <c r="E3176" s="956">
        <v>493838</v>
      </c>
      <c r="F3176" s="955"/>
      <c r="L3176" s="954"/>
      <c r="M3176" s="952"/>
      <c r="N3176" s="952"/>
    </row>
    <row r="3177" spans="1:14">
      <c r="A3177" s="958" t="s">
        <v>371</v>
      </c>
      <c r="B3177" s="958">
        <v>32</v>
      </c>
      <c r="C3177" s="958" t="s">
        <v>1491</v>
      </c>
      <c r="D3177" s="957" t="s">
        <v>5531</v>
      </c>
      <c r="E3177" s="956">
        <v>362097</v>
      </c>
      <c r="F3177" s="955"/>
      <c r="L3177" s="954"/>
      <c r="M3177" s="952"/>
      <c r="N3177" s="952"/>
    </row>
    <row r="3178" spans="1:14">
      <c r="A3178" s="958" t="s">
        <v>360</v>
      </c>
      <c r="B3178" s="958">
        <v>33</v>
      </c>
      <c r="C3178" s="958" t="s">
        <v>1332</v>
      </c>
      <c r="D3178" s="957" t="s">
        <v>5530</v>
      </c>
      <c r="E3178" s="956">
        <v>203785</v>
      </c>
      <c r="F3178" s="955"/>
      <c r="L3178" s="954"/>
      <c r="M3178" s="952"/>
      <c r="N3178" s="952"/>
    </row>
    <row r="3179" spans="1:14">
      <c r="A3179" s="958" t="s">
        <v>360</v>
      </c>
      <c r="B3179" s="958">
        <v>33</v>
      </c>
      <c r="C3179" s="958" t="s">
        <v>1328</v>
      </c>
      <c r="D3179" s="957" t="s">
        <v>5529</v>
      </c>
      <c r="E3179" s="956">
        <v>11759</v>
      </c>
      <c r="F3179" s="955"/>
      <c r="L3179" s="954"/>
      <c r="M3179" s="952"/>
      <c r="N3179" s="952"/>
    </row>
    <row r="3180" spans="1:14">
      <c r="A3180" s="958" t="s">
        <v>360</v>
      </c>
      <c r="B3180" s="958">
        <v>33</v>
      </c>
      <c r="C3180" s="958" t="s">
        <v>1324</v>
      </c>
      <c r="D3180" s="957" t="s">
        <v>5528</v>
      </c>
      <c r="E3180" s="956">
        <v>132400</v>
      </c>
      <c r="F3180" s="955"/>
      <c r="L3180" s="954"/>
      <c r="M3180" s="952"/>
      <c r="N3180" s="952"/>
    </row>
    <row r="3181" spans="1:14">
      <c r="A3181" s="958" t="s">
        <v>360</v>
      </c>
      <c r="B3181" s="958">
        <v>33</v>
      </c>
      <c r="C3181" s="958" t="s">
        <v>5527</v>
      </c>
      <c r="D3181" s="957" t="s">
        <v>5526</v>
      </c>
      <c r="E3181" s="956">
        <v>12572</v>
      </c>
      <c r="F3181" s="955"/>
      <c r="L3181" s="954"/>
      <c r="M3181" s="952"/>
      <c r="N3181" s="952"/>
    </row>
    <row r="3182" spans="1:14">
      <c r="A3182" s="958" t="s">
        <v>360</v>
      </c>
      <c r="B3182" s="958">
        <v>33</v>
      </c>
      <c r="C3182" s="958" t="s">
        <v>5525</v>
      </c>
      <c r="D3182" s="957" t="s">
        <v>5524</v>
      </c>
      <c r="E3182" s="956">
        <v>40532</v>
      </c>
      <c r="F3182" s="955"/>
      <c r="L3182" s="954"/>
      <c r="M3182" s="952"/>
      <c r="N3182" s="952"/>
    </row>
    <row r="3183" spans="1:14">
      <c r="A3183" s="958" t="s">
        <v>360</v>
      </c>
      <c r="B3183" s="958">
        <v>33</v>
      </c>
      <c r="C3183" s="958" t="s">
        <v>1322</v>
      </c>
      <c r="D3183" s="957" t="s">
        <v>5523</v>
      </c>
      <c r="E3183" s="956">
        <v>30349</v>
      </c>
      <c r="F3183" s="955"/>
      <c r="L3183" s="954"/>
      <c r="M3183" s="952"/>
      <c r="N3183" s="952"/>
    </row>
    <row r="3184" spans="1:14">
      <c r="A3184" s="958" t="s">
        <v>360</v>
      </c>
      <c r="B3184" s="958">
        <v>33</v>
      </c>
      <c r="C3184" s="958" t="s">
        <v>1320</v>
      </c>
      <c r="D3184" s="957" t="s">
        <v>5522</v>
      </c>
      <c r="E3184" s="956">
        <v>100374</v>
      </c>
      <c r="F3184" s="955"/>
      <c r="L3184" s="954"/>
      <c r="M3184" s="952"/>
      <c r="N3184" s="952"/>
    </row>
    <row r="3185" spans="1:14">
      <c r="A3185" s="958" t="s">
        <v>360</v>
      </c>
      <c r="B3185" s="958">
        <v>33</v>
      </c>
      <c r="C3185" s="958" t="s">
        <v>5521</v>
      </c>
      <c r="D3185" s="957" t="s">
        <v>5520</v>
      </c>
      <c r="E3185" s="956">
        <v>184412</v>
      </c>
      <c r="F3185" s="955"/>
      <c r="L3185" s="954"/>
      <c r="M3185" s="952"/>
      <c r="N3185" s="952"/>
    </row>
    <row r="3186" spans="1:14">
      <c r="A3186" s="958" t="s">
        <v>360</v>
      </c>
      <c r="B3186" s="958">
        <v>33</v>
      </c>
      <c r="C3186" s="958" t="s">
        <v>5519</v>
      </c>
      <c r="D3186" s="957" t="s">
        <v>5518</v>
      </c>
      <c r="E3186" s="956">
        <v>510906</v>
      </c>
      <c r="F3186" s="955"/>
      <c r="L3186" s="954"/>
      <c r="M3186" s="952"/>
      <c r="N3186" s="952"/>
    </row>
    <row r="3187" spans="1:14">
      <c r="A3187" s="958" t="s">
        <v>360</v>
      </c>
      <c r="B3187" s="958">
        <v>33</v>
      </c>
      <c r="C3187" s="958" t="s">
        <v>1318</v>
      </c>
      <c r="D3187" s="957" t="s">
        <v>5517</v>
      </c>
      <c r="E3187" s="956">
        <v>27446</v>
      </c>
      <c r="F3187" s="955"/>
      <c r="L3187" s="954"/>
      <c r="M3187" s="952"/>
      <c r="N3187" s="952"/>
    </row>
    <row r="3188" spans="1:14">
      <c r="A3188" s="958" t="s">
        <v>360</v>
      </c>
      <c r="B3188" s="958">
        <v>33</v>
      </c>
      <c r="C3188" s="958" t="s">
        <v>1314</v>
      </c>
      <c r="D3188" s="957" t="s">
        <v>5516</v>
      </c>
      <c r="E3188" s="956">
        <v>37096</v>
      </c>
      <c r="F3188" s="955"/>
      <c r="L3188" s="954"/>
      <c r="M3188" s="952"/>
      <c r="N3188" s="952"/>
    </row>
    <row r="3189" spans="1:14">
      <c r="A3189" s="958" t="s">
        <v>360</v>
      </c>
      <c r="B3189" s="958">
        <v>33</v>
      </c>
      <c r="C3189" s="958" t="s">
        <v>5515</v>
      </c>
      <c r="D3189" s="957" t="s">
        <v>5514</v>
      </c>
      <c r="E3189" s="956">
        <v>219863</v>
      </c>
      <c r="F3189" s="955"/>
      <c r="L3189" s="954"/>
      <c r="M3189" s="952"/>
      <c r="N3189" s="952"/>
    </row>
    <row r="3190" spans="1:14">
      <c r="A3190" s="958" t="s">
        <v>360</v>
      </c>
      <c r="B3190" s="958">
        <v>33</v>
      </c>
      <c r="C3190" s="958" t="s">
        <v>1312</v>
      </c>
      <c r="D3190" s="957" t="s">
        <v>5513</v>
      </c>
      <c r="E3190" s="956">
        <v>58937</v>
      </c>
      <c r="F3190" s="955"/>
      <c r="L3190" s="954"/>
      <c r="M3190" s="952"/>
      <c r="N3190" s="952"/>
    </row>
    <row r="3191" spans="1:14">
      <c r="A3191" s="958" t="s">
        <v>360</v>
      </c>
      <c r="B3191" s="958">
        <v>33</v>
      </c>
      <c r="C3191" s="958" t="s">
        <v>1306</v>
      </c>
      <c r="D3191" s="957" t="s">
        <v>5512</v>
      </c>
      <c r="E3191" s="956">
        <v>15505</v>
      </c>
      <c r="F3191" s="955"/>
      <c r="L3191" s="954"/>
      <c r="M3191" s="952"/>
      <c r="N3191" s="952"/>
    </row>
    <row r="3192" spans="1:14">
      <c r="A3192" s="958" t="s">
        <v>360</v>
      </c>
      <c r="B3192" s="958">
        <v>33</v>
      </c>
      <c r="C3192" s="958" t="s">
        <v>5511</v>
      </c>
      <c r="D3192" s="957" t="s">
        <v>5510</v>
      </c>
      <c r="E3192" s="956">
        <v>16301</v>
      </c>
      <c r="F3192" s="955"/>
      <c r="L3192" s="954"/>
      <c r="M3192" s="952"/>
      <c r="N3192" s="952"/>
    </row>
    <row r="3193" spans="1:14">
      <c r="A3193" s="958" t="s">
        <v>360</v>
      </c>
      <c r="B3193" s="958">
        <v>33</v>
      </c>
      <c r="C3193" s="958" t="s">
        <v>5509</v>
      </c>
      <c r="D3193" s="957" t="s">
        <v>5508</v>
      </c>
      <c r="E3193" s="956">
        <v>8561</v>
      </c>
      <c r="F3193" s="955"/>
      <c r="L3193" s="954"/>
      <c r="M3193" s="952"/>
      <c r="N3193" s="952"/>
    </row>
    <row r="3194" spans="1:14">
      <c r="A3194" s="958" t="s">
        <v>360</v>
      </c>
      <c r="B3194" s="958">
        <v>33</v>
      </c>
      <c r="C3194" s="958" t="s">
        <v>5507</v>
      </c>
      <c r="D3194" s="957" t="s">
        <v>5506</v>
      </c>
      <c r="E3194" s="956">
        <v>507548</v>
      </c>
      <c r="F3194" s="955"/>
      <c r="L3194" s="954"/>
      <c r="M3194" s="952"/>
      <c r="N3194" s="952"/>
    </row>
    <row r="3195" spans="1:14">
      <c r="A3195" s="958" t="s">
        <v>360</v>
      </c>
      <c r="B3195" s="958">
        <v>33</v>
      </c>
      <c r="C3195" s="958" t="s">
        <v>1304</v>
      </c>
      <c r="D3195" s="957" t="s">
        <v>4009</v>
      </c>
      <c r="E3195" s="956">
        <v>20172</v>
      </c>
      <c r="F3195" s="955"/>
      <c r="L3195" s="954"/>
      <c r="M3195" s="952"/>
      <c r="N3195" s="952"/>
    </row>
    <row r="3196" spans="1:14">
      <c r="A3196" s="958" t="s">
        <v>360</v>
      </c>
      <c r="B3196" s="958">
        <v>33</v>
      </c>
      <c r="C3196" s="958" t="s">
        <v>5505</v>
      </c>
      <c r="D3196" s="957" t="s">
        <v>5504</v>
      </c>
      <c r="E3196" s="956">
        <v>12823</v>
      </c>
      <c r="F3196" s="955"/>
      <c r="L3196" s="954"/>
      <c r="M3196" s="952"/>
      <c r="N3196" s="952"/>
    </row>
    <row r="3197" spans="1:14">
      <c r="A3197" s="958" t="s">
        <v>360</v>
      </c>
      <c r="B3197" s="958">
        <v>33</v>
      </c>
      <c r="C3197" s="958" t="s">
        <v>1302</v>
      </c>
      <c r="D3197" s="957" t="s">
        <v>5503</v>
      </c>
      <c r="E3197" s="956">
        <v>18895</v>
      </c>
      <c r="F3197" s="955"/>
      <c r="L3197" s="954"/>
      <c r="M3197" s="952"/>
      <c r="N3197" s="952"/>
    </row>
    <row r="3198" spans="1:14">
      <c r="A3198" s="958" t="s">
        <v>360</v>
      </c>
      <c r="B3198" s="958">
        <v>33</v>
      </c>
      <c r="C3198" s="958" t="s">
        <v>1300</v>
      </c>
      <c r="D3198" s="957" t="s">
        <v>5502</v>
      </c>
      <c r="E3198" s="956">
        <v>44184</v>
      </c>
      <c r="F3198" s="955"/>
      <c r="L3198" s="954"/>
      <c r="M3198" s="952"/>
      <c r="N3198" s="952"/>
    </row>
    <row r="3199" spans="1:14">
      <c r="A3199" s="958" t="s">
        <v>360</v>
      </c>
      <c r="B3199" s="958">
        <v>33</v>
      </c>
      <c r="C3199" s="958" t="s">
        <v>1298</v>
      </c>
      <c r="D3199" s="957" t="s">
        <v>5501</v>
      </c>
      <c r="E3199" s="956">
        <v>23228</v>
      </c>
      <c r="F3199" s="955"/>
      <c r="L3199" s="954"/>
      <c r="M3199" s="952"/>
      <c r="N3199" s="952"/>
    </row>
    <row r="3200" spans="1:14">
      <c r="A3200" s="958" t="s">
        <v>360</v>
      </c>
      <c r="B3200" s="958">
        <v>33</v>
      </c>
      <c r="C3200" s="958" t="s">
        <v>1294</v>
      </c>
      <c r="D3200" s="957" t="s">
        <v>5500</v>
      </c>
      <c r="E3200" s="956">
        <v>21926</v>
      </c>
      <c r="F3200" s="955"/>
      <c r="L3200" s="954"/>
      <c r="M3200" s="952"/>
      <c r="N3200" s="952"/>
    </row>
    <row r="3201" spans="1:14">
      <c r="A3201" s="958" t="s">
        <v>360</v>
      </c>
      <c r="B3201" s="958">
        <v>33</v>
      </c>
      <c r="C3201" s="958" t="s">
        <v>1292</v>
      </c>
      <c r="D3201" s="957" t="s">
        <v>5499</v>
      </c>
      <c r="E3201" s="956">
        <v>11492</v>
      </c>
      <c r="F3201" s="955"/>
      <c r="L3201" s="954"/>
      <c r="M3201" s="952"/>
      <c r="N3201" s="952"/>
    </row>
    <row r="3202" spans="1:14">
      <c r="A3202" s="958" t="s">
        <v>360</v>
      </c>
      <c r="B3202" s="958">
        <v>33</v>
      </c>
      <c r="C3202" s="958" t="s">
        <v>1290</v>
      </c>
      <c r="D3202" s="957" t="s">
        <v>5498</v>
      </c>
      <c r="E3202" s="956">
        <v>919596</v>
      </c>
      <c r="F3202" s="955"/>
      <c r="L3202" s="954"/>
      <c r="M3202" s="952"/>
      <c r="N3202" s="952"/>
    </row>
    <row r="3203" spans="1:14">
      <c r="A3203" s="958" t="s">
        <v>360</v>
      </c>
      <c r="B3203" s="958">
        <v>33</v>
      </c>
      <c r="C3203" s="958" t="s">
        <v>1288</v>
      </c>
      <c r="D3203" s="957" t="s">
        <v>5497</v>
      </c>
      <c r="E3203" s="956">
        <v>14002</v>
      </c>
      <c r="F3203" s="955"/>
      <c r="L3203" s="954"/>
      <c r="M3203" s="952"/>
      <c r="N3203" s="952"/>
    </row>
    <row r="3204" spans="1:14">
      <c r="A3204" s="958" t="s">
        <v>360</v>
      </c>
      <c r="B3204" s="958">
        <v>33</v>
      </c>
      <c r="C3204" s="958" t="s">
        <v>5496</v>
      </c>
      <c r="D3204" s="957" t="s">
        <v>5495</v>
      </c>
      <c r="E3204" s="956">
        <v>60517</v>
      </c>
      <c r="F3204" s="955"/>
      <c r="L3204" s="954"/>
      <c r="M3204" s="952"/>
      <c r="N3204" s="952"/>
    </row>
    <row r="3205" spans="1:14">
      <c r="A3205" s="958" t="s">
        <v>360</v>
      </c>
      <c r="B3205" s="958">
        <v>33</v>
      </c>
      <c r="C3205" s="958" t="s">
        <v>5494</v>
      </c>
      <c r="D3205" s="957" t="s">
        <v>5493</v>
      </c>
      <c r="E3205" s="956">
        <v>28310</v>
      </c>
      <c r="F3205" s="955"/>
      <c r="L3205" s="954"/>
      <c r="M3205" s="952"/>
      <c r="N3205" s="952"/>
    </row>
    <row r="3206" spans="1:14">
      <c r="A3206" s="958" t="s">
        <v>360</v>
      </c>
      <c r="B3206" s="958">
        <v>33</v>
      </c>
      <c r="C3206" s="958" t="s">
        <v>5492</v>
      </c>
      <c r="D3206" s="957" t="s">
        <v>5491</v>
      </c>
      <c r="E3206" s="956">
        <v>240592</v>
      </c>
      <c r="F3206" s="955"/>
      <c r="L3206" s="954"/>
      <c r="M3206" s="952"/>
      <c r="N3206" s="952"/>
    </row>
    <row r="3207" spans="1:14">
      <c r="A3207" s="958" t="s">
        <v>360</v>
      </c>
      <c r="B3207" s="958">
        <v>33</v>
      </c>
      <c r="C3207" s="958" t="s">
        <v>5490</v>
      </c>
      <c r="D3207" s="957" t="s">
        <v>5489</v>
      </c>
      <c r="E3207" s="956">
        <v>133019</v>
      </c>
      <c r="F3207" s="955"/>
      <c r="L3207" s="954"/>
      <c r="M3207" s="952"/>
      <c r="N3207" s="952"/>
    </row>
    <row r="3208" spans="1:14">
      <c r="A3208" s="958" t="s">
        <v>360</v>
      </c>
      <c r="B3208" s="958">
        <v>33</v>
      </c>
      <c r="C3208" s="958" t="s">
        <v>5488</v>
      </c>
      <c r="D3208" s="957" t="s">
        <v>5487</v>
      </c>
      <c r="E3208" s="956">
        <v>15207</v>
      </c>
      <c r="F3208" s="955"/>
      <c r="L3208" s="954"/>
      <c r="M3208" s="952"/>
      <c r="N3208" s="952"/>
    </row>
    <row r="3209" spans="1:14">
      <c r="A3209" s="958" t="s">
        <v>360</v>
      </c>
      <c r="B3209" s="958">
        <v>33</v>
      </c>
      <c r="C3209" s="958" t="s">
        <v>5486</v>
      </c>
      <c r="D3209" s="957" t="s">
        <v>5485</v>
      </c>
      <c r="E3209" s="956">
        <v>23234</v>
      </c>
      <c r="F3209" s="955"/>
      <c r="L3209" s="954"/>
      <c r="M3209" s="952"/>
      <c r="N3209" s="952"/>
    </row>
    <row r="3210" spans="1:14">
      <c r="A3210" s="958" t="s">
        <v>360</v>
      </c>
      <c r="B3210" s="958">
        <v>33</v>
      </c>
      <c r="C3210" s="958" t="s">
        <v>5484</v>
      </c>
      <c r="D3210" s="957" t="s">
        <v>5483</v>
      </c>
      <c r="E3210" s="956">
        <v>103224</v>
      </c>
      <c r="F3210" s="955"/>
      <c r="L3210" s="954"/>
      <c r="M3210" s="952"/>
      <c r="N3210" s="952"/>
    </row>
    <row r="3211" spans="1:14">
      <c r="A3211" s="958" t="s">
        <v>360</v>
      </c>
      <c r="B3211" s="958">
        <v>33</v>
      </c>
      <c r="C3211" s="958" t="s">
        <v>5482</v>
      </c>
      <c r="D3211" s="957" t="s">
        <v>5481</v>
      </c>
      <c r="E3211" s="956">
        <v>31805</v>
      </c>
      <c r="F3211" s="955"/>
      <c r="L3211" s="954"/>
      <c r="M3211" s="952"/>
      <c r="N3211" s="952"/>
    </row>
    <row r="3212" spans="1:14">
      <c r="A3212" s="958" t="s">
        <v>360</v>
      </c>
      <c r="B3212" s="958">
        <v>33</v>
      </c>
      <c r="C3212" s="958" t="s">
        <v>5480</v>
      </c>
      <c r="D3212" s="957" t="s">
        <v>5479</v>
      </c>
      <c r="E3212" s="956">
        <v>104768</v>
      </c>
      <c r="F3212" s="955"/>
      <c r="L3212" s="954"/>
      <c r="M3212" s="952"/>
      <c r="N3212" s="952"/>
    </row>
    <row r="3213" spans="1:14">
      <c r="A3213" s="958" t="s">
        <v>360</v>
      </c>
      <c r="B3213" s="958">
        <v>33</v>
      </c>
      <c r="C3213" s="958" t="s">
        <v>5478</v>
      </c>
      <c r="D3213" s="957" t="s">
        <v>5477</v>
      </c>
      <c r="E3213" s="956">
        <v>7355</v>
      </c>
      <c r="F3213" s="955"/>
      <c r="L3213" s="954"/>
      <c r="M3213" s="952"/>
      <c r="N3213" s="952"/>
    </row>
    <row r="3214" spans="1:14">
      <c r="A3214" s="958" t="s">
        <v>360</v>
      </c>
      <c r="B3214" s="958">
        <v>33</v>
      </c>
      <c r="C3214" s="958" t="s">
        <v>5476</v>
      </c>
      <c r="D3214" s="957" t="s">
        <v>5475</v>
      </c>
      <c r="E3214" s="956">
        <v>256672</v>
      </c>
      <c r="F3214" s="955"/>
      <c r="L3214" s="954"/>
      <c r="M3214" s="952"/>
      <c r="N3214" s="952"/>
    </row>
    <row r="3215" spans="1:14">
      <c r="A3215" s="958" t="s">
        <v>360</v>
      </c>
      <c r="B3215" s="958">
        <v>33</v>
      </c>
      <c r="C3215" s="958" t="s">
        <v>5474</v>
      </c>
      <c r="D3215" s="957" t="s">
        <v>5473</v>
      </c>
      <c r="E3215" s="956">
        <v>5599</v>
      </c>
      <c r="F3215" s="955"/>
      <c r="L3215" s="954"/>
      <c r="M3215" s="952"/>
      <c r="N3215" s="952"/>
    </row>
    <row r="3216" spans="1:14">
      <c r="A3216" s="958" t="s">
        <v>360</v>
      </c>
      <c r="B3216" s="958">
        <v>33</v>
      </c>
      <c r="C3216" s="958" t="s">
        <v>1282</v>
      </c>
      <c r="D3216" s="957" t="s">
        <v>5472</v>
      </c>
      <c r="E3216" s="956">
        <v>245071</v>
      </c>
      <c r="F3216" s="955"/>
      <c r="L3216" s="954"/>
      <c r="M3216" s="952"/>
      <c r="N3216" s="952"/>
    </row>
    <row r="3217" spans="1:14">
      <c r="A3217" s="958" t="s">
        <v>360</v>
      </c>
      <c r="B3217" s="958">
        <v>33</v>
      </c>
      <c r="C3217" s="958" t="s">
        <v>1280</v>
      </c>
      <c r="D3217" s="957" t="s">
        <v>5471</v>
      </c>
      <c r="E3217" s="956">
        <v>44468</v>
      </c>
      <c r="F3217" s="955"/>
      <c r="L3217" s="954"/>
      <c r="M3217" s="952"/>
      <c r="N3217" s="952"/>
    </row>
    <row r="3218" spans="1:14">
      <c r="A3218" s="958" t="s">
        <v>360</v>
      </c>
      <c r="B3218" s="958">
        <v>33</v>
      </c>
      <c r="C3218" s="958" t="s">
        <v>5470</v>
      </c>
      <c r="D3218" s="957" t="s">
        <v>5469</v>
      </c>
      <c r="E3218" s="956">
        <v>161207</v>
      </c>
      <c r="F3218" s="955"/>
      <c r="L3218" s="954"/>
      <c r="M3218" s="952"/>
      <c r="N3218" s="952"/>
    </row>
    <row r="3219" spans="1:14">
      <c r="A3219" s="958" t="s">
        <v>360</v>
      </c>
      <c r="B3219" s="958">
        <v>33</v>
      </c>
      <c r="C3219" s="958" t="s">
        <v>1278</v>
      </c>
      <c r="D3219" s="957" t="s">
        <v>5468</v>
      </c>
      <c r="E3219" s="956">
        <v>18614</v>
      </c>
      <c r="F3219" s="955"/>
      <c r="L3219" s="954"/>
      <c r="M3219" s="952"/>
      <c r="N3219" s="952"/>
    </row>
    <row r="3220" spans="1:14">
      <c r="A3220" s="958" t="s">
        <v>360</v>
      </c>
      <c r="B3220" s="958">
        <v>33</v>
      </c>
      <c r="C3220" s="958" t="s">
        <v>5467</v>
      </c>
      <c r="D3220" s="957" t="s">
        <v>5466</v>
      </c>
      <c r="E3220" s="956">
        <v>176103</v>
      </c>
      <c r="F3220" s="955"/>
      <c r="L3220" s="954"/>
      <c r="M3220" s="952"/>
      <c r="N3220" s="952"/>
    </row>
    <row r="3221" spans="1:14">
      <c r="A3221" s="958" t="s">
        <v>360</v>
      </c>
      <c r="B3221" s="958">
        <v>33</v>
      </c>
      <c r="C3221" s="958" t="s">
        <v>5465</v>
      </c>
      <c r="D3221" s="957" t="s">
        <v>5464</v>
      </c>
      <c r="E3221" s="956">
        <v>25538</v>
      </c>
      <c r="F3221" s="955"/>
      <c r="L3221" s="954"/>
      <c r="M3221" s="952"/>
      <c r="N3221" s="952"/>
    </row>
    <row r="3222" spans="1:14">
      <c r="A3222" s="958" t="s">
        <v>360</v>
      </c>
      <c r="B3222" s="958">
        <v>33</v>
      </c>
      <c r="C3222" s="958" t="s">
        <v>5463</v>
      </c>
      <c r="D3222" s="957" t="s">
        <v>5462</v>
      </c>
      <c r="E3222" s="956">
        <v>27174</v>
      </c>
      <c r="F3222" s="955"/>
      <c r="L3222" s="954"/>
      <c r="M3222" s="952"/>
      <c r="N3222" s="952"/>
    </row>
    <row r="3223" spans="1:14">
      <c r="A3223" s="958" t="s">
        <v>360</v>
      </c>
      <c r="B3223" s="958">
        <v>33</v>
      </c>
      <c r="C3223" s="958" t="s">
        <v>1276</v>
      </c>
      <c r="D3223" s="957" t="s">
        <v>5461</v>
      </c>
      <c r="E3223" s="956">
        <v>15317</v>
      </c>
      <c r="F3223" s="955"/>
      <c r="L3223" s="954"/>
      <c r="M3223" s="952"/>
      <c r="N3223" s="952"/>
    </row>
    <row r="3224" spans="1:14">
      <c r="A3224" s="958" t="s">
        <v>360</v>
      </c>
      <c r="B3224" s="958">
        <v>33</v>
      </c>
      <c r="C3224" s="958" t="s">
        <v>1274</v>
      </c>
      <c r="D3224" s="957" t="s">
        <v>5460</v>
      </c>
      <c r="E3224" s="956">
        <v>162485</v>
      </c>
      <c r="F3224" s="955"/>
      <c r="L3224" s="954"/>
      <c r="M3224" s="952"/>
      <c r="N3224" s="952"/>
    </row>
    <row r="3225" spans="1:14">
      <c r="A3225" s="958" t="s">
        <v>360</v>
      </c>
      <c r="B3225" s="958">
        <v>33</v>
      </c>
      <c r="C3225" s="958" t="s">
        <v>1272</v>
      </c>
      <c r="D3225" s="957" t="s">
        <v>5459</v>
      </c>
      <c r="E3225" s="956">
        <v>513584</v>
      </c>
      <c r="F3225" s="955"/>
      <c r="L3225" s="954"/>
      <c r="M3225" s="952"/>
      <c r="N3225" s="952"/>
    </row>
    <row r="3226" spans="1:14">
      <c r="A3226" s="958" t="s">
        <v>360</v>
      </c>
      <c r="B3226" s="958">
        <v>33</v>
      </c>
      <c r="C3226" s="958" t="s">
        <v>1270</v>
      </c>
      <c r="D3226" s="957" t="s">
        <v>5458</v>
      </c>
      <c r="E3226" s="956">
        <v>190631</v>
      </c>
      <c r="F3226" s="955"/>
      <c r="L3226" s="954"/>
      <c r="M3226" s="952"/>
      <c r="N3226" s="952"/>
    </row>
    <row r="3227" spans="1:14">
      <c r="A3227" s="958" t="s">
        <v>360</v>
      </c>
      <c r="B3227" s="958">
        <v>33</v>
      </c>
      <c r="C3227" s="958" t="s">
        <v>1268</v>
      </c>
      <c r="D3227" s="957" t="s">
        <v>5457</v>
      </c>
      <c r="E3227" s="956">
        <v>821128</v>
      </c>
      <c r="F3227" s="955"/>
      <c r="L3227" s="954"/>
      <c r="M3227" s="952"/>
      <c r="N3227" s="952"/>
    </row>
    <row r="3228" spans="1:14">
      <c r="A3228" s="958" t="s">
        <v>360</v>
      </c>
      <c r="B3228" s="958">
        <v>33</v>
      </c>
      <c r="C3228" s="958" t="s">
        <v>1262</v>
      </c>
      <c r="D3228" s="957" t="s">
        <v>5456</v>
      </c>
      <c r="E3228" s="956">
        <v>52257</v>
      </c>
      <c r="F3228" s="955"/>
      <c r="L3228" s="954"/>
      <c r="M3228" s="952"/>
      <c r="N3228" s="952"/>
    </row>
    <row r="3229" spans="1:14">
      <c r="A3229" s="958" t="s">
        <v>360</v>
      </c>
      <c r="B3229" s="958">
        <v>33</v>
      </c>
      <c r="C3229" s="958" t="s">
        <v>5455</v>
      </c>
      <c r="D3229" s="957" t="s">
        <v>5454</v>
      </c>
      <c r="E3229" s="956">
        <v>44285</v>
      </c>
      <c r="F3229" s="955"/>
      <c r="L3229" s="954"/>
      <c r="M3229" s="952"/>
      <c r="N3229" s="952"/>
    </row>
    <row r="3230" spans="1:14">
      <c r="A3230" s="958" t="s">
        <v>360</v>
      </c>
      <c r="B3230" s="958">
        <v>33</v>
      </c>
      <c r="C3230" s="958" t="s">
        <v>1260</v>
      </c>
      <c r="D3230" s="957" t="s">
        <v>5453</v>
      </c>
      <c r="E3230" s="956">
        <v>43165</v>
      </c>
      <c r="F3230" s="955"/>
      <c r="L3230" s="954"/>
      <c r="M3230" s="952"/>
      <c r="N3230" s="952"/>
    </row>
    <row r="3231" spans="1:14">
      <c r="A3231" s="958" t="s">
        <v>360</v>
      </c>
      <c r="B3231" s="958">
        <v>33</v>
      </c>
      <c r="C3231" s="958" t="s">
        <v>5452</v>
      </c>
      <c r="D3231" s="957" t="s">
        <v>5451</v>
      </c>
      <c r="E3231" s="956">
        <v>27769</v>
      </c>
      <c r="F3231" s="955"/>
      <c r="L3231" s="954"/>
      <c r="M3231" s="952"/>
      <c r="N3231" s="952"/>
    </row>
    <row r="3232" spans="1:14">
      <c r="A3232" s="958" t="s">
        <v>360</v>
      </c>
      <c r="B3232" s="958">
        <v>33</v>
      </c>
      <c r="C3232" s="958" t="s">
        <v>1258</v>
      </c>
      <c r="D3232" s="957" t="s">
        <v>5450</v>
      </c>
      <c r="E3232" s="956">
        <v>306191</v>
      </c>
      <c r="F3232" s="955"/>
      <c r="L3232" s="954"/>
      <c r="M3232" s="952"/>
      <c r="N3232" s="952"/>
    </row>
    <row r="3233" spans="1:14">
      <c r="A3233" s="958" t="s">
        <v>360</v>
      </c>
      <c r="B3233" s="958">
        <v>33</v>
      </c>
      <c r="C3233" s="958" t="s">
        <v>5449</v>
      </c>
      <c r="D3233" s="957" t="s">
        <v>5448</v>
      </c>
      <c r="E3233" s="956">
        <v>25156</v>
      </c>
      <c r="F3233" s="955"/>
      <c r="L3233" s="954"/>
      <c r="M3233" s="952"/>
      <c r="N3233" s="952"/>
    </row>
    <row r="3234" spans="1:14">
      <c r="A3234" s="958" t="s">
        <v>360</v>
      </c>
      <c r="B3234" s="958">
        <v>33</v>
      </c>
      <c r="C3234" s="958" t="s">
        <v>1252</v>
      </c>
      <c r="D3234" s="957" t="s">
        <v>5447</v>
      </c>
      <c r="E3234" s="956">
        <v>29277</v>
      </c>
      <c r="F3234" s="955"/>
      <c r="L3234" s="954"/>
      <c r="M3234" s="952"/>
      <c r="N3234" s="952"/>
    </row>
    <row r="3235" spans="1:14">
      <c r="A3235" s="958" t="s">
        <v>360</v>
      </c>
      <c r="B3235" s="958">
        <v>33</v>
      </c>
      <c r="C3235" s="958" t="s">
        <v>1250</v>
      </c>
      <c r="D3235" s="957" t="s">
        <v>5446</v>
      </c>
      <c r="E3235" s="956">
        <v>18847</v>
      </c>
      <c r="F3235" s="955"/>
      <c r="L3235" s="954"/>
      <c r="M3235" s="952"/>
      <c r="N3235" s="952"/>
    </row>
    <row r="3236" spans="1:14">
      <c r="A3236" s="958" t="s">
        <v>360</v>
      </c>
      <c r="B3236" s="958">
        <v>33</v>
      </c>
      <c r="C3236" s="958" t="s">
        <v>5445</v>
      </c>
      <c r="D3236" s="957" t="s">
        <v>5444</v>
      </c>
      <c r="E3236" s="956">
        <v>19683</v>
      </c>
      <c r="F3236" s="955"/>
      <c r="L3236" s="954"/>
      <c r="M3236" s="952"/>
      <c r="N3236" s="952"/>
    </row>
    <row r="3237" spans="1:14">
      <c r="A3237" s="958" t="s">
        <v>360</v>
      </c>
      <c r="B3237" s="958">
        <v>33</v>
      </c>
      <c r="C3237" s="958" t="s">
        <v>5443</v>
      </c>
      <c r="D3237" s="957" t="s">
        <v>5442</v>
      </c>
      <c r="E3237" s="956">
        <v>14302</v>
      </c>
      <c r="F3237" s="955"/>
      <c r="L3237" s="954"/>
      <c r="M3237" s="952"/>
      <c r="N3237" s="952"/>
    </row>
    <row r="3238" spans="1:14">
      <c r="A3238" s="958" t="s">
        <v>360</v>
      </c>
      <c r="B3238" s="958">
        <v>33</v>
      </c>
      <c r="C3238" s="958" t="s">
        <v>5441</v>
      </c>
      <c r="D3238" s="957" t="s">
        <v>5440</v>
      </c>
      <c r="E3238" s="956">
        <v>150319</v>
      </c>
      <c r="F3238" s="955"/>
      <c r="L3238" s="954"/>
      <c r="M3238" s="952"/>
      <c r="N3238" s="952"/>
    </row>
    <row r="3239" spans="1:14">
      <c r="A3239" s="958" t="s">
        <v>360</v>
      </c>
      <c r="B3239" s="958">
        <v>33</v>
      </c>
      <c r="C3239" s="958" t="s">
        <v>5439</v>
      </c>
      <c r="D3239" s="957" t="s">
        <v>5438</v>
      </c>
      <c r="E3239" s="956">
        <v>24700</v>
      </c>
      <c r="F3239" s="955"/>
      <c r="L3239" s="954"/>
      <c r="M3239" s="952"/>
      <c r="N3239" s="952"/>
    </row>
    <row r="3240" spans="1:14">
      <c r="A3240" s="958" t="s">
        <v>360</v>
      </c>
      <c r="B3240" s="958">
        <v>33</v>
      </c>
      <c r="C3240" s="958" t="s">
        <v>1248</v>
      </c>
      <c r="D3240" s="957" t="s">
        <v>5437</v>
      </c>
      <c r="E3240" s="956">
        <v>131341</v>
      </c>
      <c r="F3240" s="955"/>
      <c r="L3240" s="954"/>
      <c r="M3240" s="952"/>
      <c r="N3240" s="952"/>
    </row>
    <row r="3241" spans="1:14">
      <c r="A3241" s="958" t="s">
        <v>360</v>
      </c>
      <c r="B3241" s="958">
        <v>33</v>
      </c>
      <c r="C3241" s="958" t="s">
        <v>1244</v>
      </c>
      <c r="D3241" s="957" t="s">
        <v>5436</v>
      </c>
      <c r="E3241" s="956">
        <v>60201</v>
      </c>
      <c r="F3241" s="955"/>
      <c r="L3241" s="954"/>
      <c r="M3241" s="952"/>
      <c r="N3241" s="952"/>
    </row>
    <row r="3242" spans="1:14">
      <c r="A3242" s="958" t="s">
        <v>360</v>
      </c>
      <c r="B3242" s="958">
        <v>33</v>
      </c>
      <c r="C3242" s="958" t="s">
        <v>1242</v>
      </c>
      <c r="D3242" s="957" t="s">
        <v>4430</v>
      </c>
      <c r="E3242" s="956">
        <v>18529</v>
      </c>
      <c r="F3242" s="955"/>
      <c r="L3242" s="954"/>
      <c r="M3242" s="952"/>
      <c r="N3242" s="952"/>
    </row>
    <row r="3243" spans="1:14">
      <c r="A3243" s="958" t="s">
        <v>360</v>
      </c>
      <c r="B3243" s="958">
        <v>33</v>
      </c>
      <c r="C3243" s="958" t="s">
        <v>1240</v>
      </c>
      <c r="D3243" s="957" t="s">
        <v>5435</v>
      </c>
      <c r="E3243" s="956">
        <v>9284</v>
      </c>
      <c r="F3243" s="955"/>
      <c r="L3243" s="954"/>
      <c r="M3243" s="952"/>
      <c r="N3243" s="952"/>
    </row>
    <row r="3244" spans="1:14">
      <c r="A3244" s="958" t="s">
        <v>360</v>
      </c>
      <c r="B3244" s="958">
        <v>33</v>
      </c>
      <c r="C3244" s="958" t="s">
        <v>5434</v>
      </c>
      <c r="D3244" s="957" t="s">
        <v>5433</v>
      </c>
      <c r="E3244" s="956">
        <v>150674</v>
      </c>
      <c r="F3244" s="955"/>
      <c r="L3244" s="954"/>
      <c r="M3244" s="952"/>
      <c r="N3244" s="952"/>
    </row>
    <row r="3245" spans="1:14">
      <c r="A3245" s="958" t="s">
        <v>360</v>
      </c>
      <c r="B3245" s="958">
        <v>33</v>
      </c>
      <c r="C3245" s="958" t="s">
        <v>1238</v>
      </c>
      <c r="D3245" s="957" t="s">
        <v>5432</v>
      </c>
      <c r="E3245" s="956">
        <v>6718903</v>
      </c>
      <c r="F3245" s="955"/>
      <c r="L3245" s="954"/>
      <c r="M3245" s="952"/>
      <c r="N3245" s="952"/>
    </row>
    <row r="3246" spans="1:14">
      <c r="A3246" s="958" t="s">
        <v>360</v>
      </c>
      <c r="B3246" s="958">
        <v>33</v>
      </c>
      <c r="C3246" s="958" t="s">
        <v>1236</v>
      </c>
      <c r="D3246" s="957" t="s">
        <v>5431</v>
      </c>
      <c r="E3246" s="956">
        <v>10404</v>
      </c>
      <c r="F3246" s="955"/>
      <c r="L3246" s="954"/>
      <c r="M3246" s="952"/>
      <c r="N3246" s="952"/>
    </row>
    <row r="3247" spans="1:14">
      <c r="A3247" s="958" t="s">
        <v>360</v>
      </c>
      <c r="B3247" s="958">
        <v>33</v>
      </c>
      <c r="C3247" s="958" t="s">
        <v>1232</v>
      </c>
      <c r="D3247" s="957" t="s">
        <v>5430</v>
      </c>
      <c r="E3247" s="956">
        <v>42479</v>
      </c>
      <c r="F3247" s="955"/>
      <c r="L3247" s="954"/>
      <c r="M3247" s="952"/>
      <c r="N3247" s="952"/>
    </row>
    <row r="3248" spans="1:14">
      <c r="A3248" s="958" t="s">
        <v>360</v>
      </c>
      <c r="B3248" s="958">
        <v>33</v>
      </c>
      <c r="C3248" s="958" t="s">
        <v>5429</v>
      </c>
      <c r="D3248" s="957" t="s">
        <v>5428</v>
      </c>
      <c r="E3248" s="956">
        <v>42205</v>
      </c>
      <c r="F3248" s="955"/>
      <c r="L3248" s="954"/>
      <c r="M3248" s="952"/>
      <c r="N3248" s="952"/>
    </row>
    <row r="3249" spans="1:14">
      <c r="A3249" s="958" t="s">
        <v>360</v>
      </c>
      <c r="B3249" s="958">
        <v>33</v>
      </c>
      <c r="C3249" s="958" t="s">
        <v>1230</v>
      </c>
      <c r="D3249" s="957" t="s">
        <v>5427</v>
      </c>
      <c r="E3249" s="956">
        <v>38669</v>
      </c>
      <c r="F3249" s="955"/>
      <c r="L3249" s="954"/>
      <c r="M3249" s="952"/>
      <c r="N3249" s="952"/>
    </row>
    <row r="3250" spans="1:14">
      <c r="A3250" s="958" t="s">
        <v>360</v>
      </c>
      <c r="B3250" s="958">
        <v>33</v>
      </c>
      <c r="C3250" s="958" t="s">
        <v>1226</v>
      </c>
      <c r="D3250" s="957" t="s">
        <v>5426</v>
      </c>
      <c r="E3250" s="956">
        <v>1084839</v>
      </c>
      <c r="F3250" s="955"/>
      <c r="L3250" s="954"/>
      <c r="M3250" s="952"/>
      <c r="N3250" s="952"/>
    </row>
    <row r="3251" spans="1:14">
      <c r="A3251" s="958" t="s">
        <v>360</v>
      </c>
      <c r="B3251" s="958">
        <v>33</v>
      </c>
      <c r="C3251" s="958" t="s">
        <v>1222</v>
      </c>
      <c r="D3251" s="957" t="s">
        <v>5425</v>
      </c>
      <c r="E3251" s="956">
        <v>36102</v>
      </c>
      <c r="F3251" s="955"/>
      <c r="L3251" s="954"/>
      <c r="M3251" s="952"/>
      <c r="N3251" s="952"/>
    </row>
    <row r="3252" spans="1:14">
      <c r="A3252" s="958" t="s">
        <v>360</v>
      </c>
      <c r="B3252" s="958">
        <v>33</v>
      </c>
      <c r="C3252" s="958" t="s">
        <v>1218</v>
      </c>
      <c r="D3252" s="957" t="s">
        <v>5424</v>
      </c>
      <c r="E3252" s="956">
        <v>472406</v>
      </c>
      <c r="F3252" s="955"/>
      <c r="L3252" s="954"/>
      <c r="M3252" s="952"/>
      <c r="N3252" s="952"/>
    </row>
    <row r="3253" spans="1:14">
      <c r="A3253" s="958" t="s">
        <v>360</v>
      </c>
      <c r="B3253" s="958">
        <v>33</v>
      </c>
      <c r="C3253" s="958" t="s">
        <v>5423</v>
      </c>
      <c r="D3253" s="957" t="s">
        <v>5422</v>
      </c>
      <c r="E3253" s="956">
        <v>7171</v>
      </c>
      <c r="F3253" s="955"/>
      <c r="L3253" s="954"/>
      <c r="M3253" s="952"/>
      <c r="N3253" s="952"/>
    </row>
    <row r="3254" spans="1:14">
      <c r="A3254" s="958" t="s">
        <v>360</v>
      </c>
      <c r="B3254" s="958">
        <v>33</v>
      </c>
      <c r="C3254" s="958" t="s">
        <v>5421</v>
      </c>
      <c r="D3254" s="957" t="s">
        <v>5420</v>
      </c>
      <c r="E3254" s="956">
        <v>21795</v>
      </c>
      <c r="F3254" s="955"/>
      <c r="L3254" s="954"/>
      <c r="M3254" s="952"/>
      <c r="N3254" s="952"/>
    </row>
    <row r="3255" spans="1:14">
      <c r="A3255" s="958" t="s">
        <v>360</v>
      </c>
      <c r="B3255" s="958">
        <v>33</v>
      </c>
      <c r="C3255" s="958" t="s">
        <v>1216</v>
      </c>
      <c r="D3255" s="957" t="s">
        <v>5419</v>
      </c>
      <c r="E3255" s="956">
        <v>104476</v>
      </c>
      <c r="F3255" s="955"/>
      <c r="L3255" s="954"/>
      <c r="M3255" s="952"/>
      <c r="N3255" s="952"/>
    </row>
    <row r="3256" spans="1:14">
      <c r="A3256" s="958" t="s">
        <v>360</v>
      </c>
      <c r="B3256" s="958">
        <v>33</v>
      </c>
      <c r="C3256" s="958" t="s">
        <v>1214</v>
      </c>
      <c r="D3256" s="957" t="s">
        <v>5418</v>
      </c>
      <c r="E3256" s="956">
        <v>9357</v>
      </c>
      <c r="F3256" s="955"/>
      <c r="L3256" s="954"/>
      <c r="M3256" s="952"/>
      <c r="N3256" s="952"/>
    </row>
    <row r="3257" spans="1:14">
      <c r="A3257" s="958" t="s">
        <v>360</v>
      </c>
      <c r="B3257" s="958">
        <v>33</v>
      </c>
      <c r="C3257" s="958" t="s">
        <v>1212</v>
      </c>
      <c r="D3257" s="957" t="s">
        <v>5417</v>
      </c>
      <c r="E3257" s="956">
        <v>18228</v>
      </c>
      <c r="F3257" s="955"/>
      <c r="L3257" s="954"/>
      <c r="M3257" s="952"/>
      <c r="N3257" s="952"/>
    </row>
    <row r="3258" spans="1:14">
      <c r="A3258" s="958" t="s">
        <v>360</v>
      </c>
      <c r="B3258" s="958">
        <v>33</v>
      </c>
      <c r="C3258" s="958" t="s">
        <v>5416</v>
      </c>
      <c r="D3258" s="957" t="s">
        <v>5415</v>
      </c>
      <c r="E3258" s="956">
        <v>89170</v>
      </c>
      <c r="F3258" s="955"/>
      <c r="L3258" s="954"/>
      <c r="M3258" s="952"/>
      <c r="N3258" s="952"/>
    </row>
    <row r="3259" spans="1:14">
      <c r="A3259" s="958" t="s">
        <v>360</v>
      </c>
      <c r="B3259" s="958">
        <v>33</v>
      </c>
      <c r="C3259" s="958" t="s">
        <v>5414</v>
      </c>
      <c r="D3259" s="957" t="s">
        <v>5413</v>
      </c>
      <c r="E3259" s="956">
        <v>82312</v>
      </c>
      <c r="F3259" s="955"/>
      <c r="L3259" s="954"/>
      <c r="M3259" s="952"/>
      <c r="N3259" s="952"/>
    </row>
    <row r="3260" spans="1:14">
      <c r="A3260" s="958" t="s">
        <v>360</v>
      </c>
      <c r="B3260" s="958">
        <v>33</v>
      </c>
      <c r="C3260" s="958" t="s">
        <v>5412</v>
      </c>
      <c r="D3260" s="957" t="s">
        <v>5411</v>
      </c>
      <c r="E3260" s="956">
        <v>21774</v>
      </c>
      <c r="F3260" s="955"/>
      <c r="L3260" s="954"/>
      <c r="M3260" s="952"/>
      <c r="N3260" s="952"/>
    </row>
    <row r="3261" spans="1:14">
      <c r="A3261" s="958" t="s">
        <v>360</v>
      </c>
      <c r="B3261" s="958">
        <v>33</v>
      </c>
      <c r="C3261" s="958" t="s">
        <v>1200</v>
      </c>
      <c r="D3261" s="957" t="s">
        <v>5410</v>
      </c>
      <c r="E3261" s="956">
        <v>15623</v>
      </c>
      <c r="F3261" s="955"/>
      <c r="L3261" s="954"/>
      <c r="M3261" s="952"/>
      <c r="N3261" s="952"/>
    </row>
    <row r="3262" spans="1:14">
      <c r="A3262" s="958" t="s">
        <v>360</v>
      </c>
      <c r="B3262" s="958">
        <v>33</v>
      </c>
      <c r="C3262" s="958" t="s">
        <v>5409</v>
      </c>
      <c r="D3262" s="957" t="s">
        <v>5408</v>
      </c>
      <c r="E3262" s="956">
        <v>34309</v>
      </c>
      <c r="F3262" s="955"/>
      <c r="L3262" s="954"/>
      <c r="M3262" s="952"/>
      <c r="N3262" s="952"/>
    </row>
    <row r="3263" spans="1:14">
      <c r="A3263" s="958" t="s">
        <v>360</v>
      </c>
      <c r="B3263" s="958">
        <v>33</v>
      </c>
      <c r="C3263" s="958" t="s">
        <v>1198</v>
      </c>
      <c r="D3263" s="957" t="s">
        <v>5407</v>
      </c>
      <c r="E3263" s="956">
        <v>182594</v>
      </c>
      <c r="F3263" s="955"/>
      <c r="L3263" s="954"/>
      <c r="M3263" s="952"/>
      <c r="N3263" s="952"/>
    </row>
    <row r="3264" spans="1:14">
      <c r="A3264" s="958" t="s">
        <v>360</v>
      </c>
      <c r="B3264" s="958">
        <v>33</v>
      </c>
      <c r="C3264" s="958" t="s">
        <v>1196</v>
      </c>
      <c r="D3264" s="957" t="s">
        <v>5406</v>
      </c>
      <c r="E3264" s="956">
        <v>10626</v>
      </c>
      <c r="F3264" s="955"/>
      <c r="L3264" s="954"/>
      <c r="M3264" s="952"/>
      <c r="N3264" s="952"/>
    </row>
    <row r="3265" spans="1:14">
      <c r="A3265" s="958" t="s">
        <v>360</v>
      </c>
      <c r="B3265" s="958">
        <v>33</v>
      </c>
      <c r="C3265" s="958" t="s">
        <v>5405</v>
      </c>
      <c r="D3265" s="957" t="s">
        <v>5404</v>
      </c>
      <c r="E3265" s="956">
        <v>81804</v>
      </c>
      <c r="F3265" s="955"/>
      <c r="L3265" s="954"/>
      <c r="M3265" s="952"/>
      <c r="N3265" s="952"/>
    </row>
    <row r="3266" spans="1:14">
      <c r="A3266" s="958" t="s">
        <v>360</v>
      </c>
      <c r="B3266" s="958">
        <v>33</v>
      </c>
      <c r="C3266" s="958" t="s">
        <v>5403</v>
      </c>
      <c r="D3266" s="957" t="s">
        <v>5402</v>
      </c>
      <c r="E3266" s="956">
        <v>76523</v>
      </c>
      <c r="F3266" s="955"/>
      <c r="L3266" s="954"/>
      <c r="M3266" s="952"/>
      <c r="N3266" s="952"/>
    </row>
    <row r="3267" spans="1:14">
      <c r="A3267" s="958" t="s">
        <v>360</v>
      </c>
      <c r="B3267" s="958">
        <v>33</v>
      </c>
      <c r="C3267" s="958" t="s">
        <v>5401</v>
      </c>
      <c r="D3267" s="957" t="s">
        <v>5400</v>
      </c>
      <c r="E3267" s="956">
        <v>11000</v>
      </c>
      <c r="F3267" s="955"/>
      <c r="L3267" s="954"/>
      <c r="M3267" s="952"/>
      <c r="N3267" s="952"/>
    </row>
    <row r="3268" spans="1:14">
      <c r="A3268" s="958" t="s">
        <v>360</v>
      </c>
      <c r="B3268" s="958">
        <v>33</v>
      </c>
      <c r="C3268" s="958" t="s">
        <v>1194</v>
      </c>
      <c r="D3268" s="957" t="s">
        <v>5399</v>
      </c>
      <c r="E3268" s="956">
        <v>36896</v>
      </c>
      <c r="F3268" s="955"/>
      <c r="L3268" s="954"/>
      <c r="M3268" s="952"/>
      <c r="N3268" s="952"/>
    </row>
    <row r="3269" spans="1:14">
      <c r="A3269" s="958" t="s">
        <v>360</v>
      </c>
      <c r="B3269" s="958">
        <v>33</v>
      </c>
      <c r="C3269" s="958" t="s">
        <v>1192</v>
      </c>
      <c r="D3269" s="957" t="s">
        <v>5398</v>
      </c>
      <c r="E3269" s="956">
        <v>273012</v>
      </c>
      <c r="F3269" s="955"/>
      <c r="L3269" s="954"/>
      <c r="M3269" s="952"/>
      <c r="N3269" s="952"/>
    </row>
    <row r="3270" spans="1:14">
      <c r="A3270" s="958" t="s">
        <v>354</v>
      </c>
      <c r="B3270" s="958">
        <v>35</v>
      </c>
      <c r="C3270" s="958" t="s">
        <v>5397</v>
      </c>
      <c r="D3270" s="957" t="s">
        <v>5396</v>
      </c>
      <c r="E3270" s="956">
        <v>35068</v>
      </c>
      <c r="F3270" s="955"/>
      <c r="L3270" s="954"/>
      <c r="M3270" s="952"/>
      <c r="N3270" s="952"/>
    </row>
    <row r="3271" spans="1:14">
      <c r="A3271" s="958" t="s">
        <v>354</v>
      </c>
      <c r="B3271" s="958">
        <v>35</v>
      </c>
      <c r="C3271" s="958" t="s">
        <v>5395</v>
      </c>
      <c r="D3271" s="957" t="s">
        <v>5394</v>
      </c>
      <c r="E3271" s="956">
        <v>3562</v>
      </c>
      <c r="F3271" s="955"/>
      <c r="L3271" s="954"/>
      <c r="M3271" s="952"/>
      <c r="N3271" s="952"/>
    </row>
    <row r="3272" spans="1:14">
      <c r="A3272" s="958" t="s">
        <v>354</v>
      </c>
      <c r="B3272" s="958">
        <v>35</v>
      </c>
      <c r="C3272" s="958" t="s">
        <v>5393</v>
      </c>
      <c r="D3272" s="957" t="s">
        <v>5392</v>
      </c>
      <c r="E3272" s="956">
        <v>36305</v>
      </c>
      <c r="F3272" s="955"/>
      <c r="L3272" s="954"/>
      <c r="M3272" s="952"/>
      <c r="N3272" s="952"/>
    </row>
    <row r="3273" spans="1:14">
      <c r="A3273" s="958" t="s">
        <v>354</v>
      </c>
      <c r="B3273" s="958">
        <v>35</v>
      </c>
      <c r="C3273" s="958" t="s">
        <v>5391</v>
      </c>
      <c r="D3273" s="957" t="s">
        <v>5390</v>
      </c>
      <c r="E3273" s="956">
        <v>8180</v>
      </c>
      <c r="F3273" s="955"/>
      <c r="L3273" s="954"/>
      <c r="M3273" s="952"/>
      <c r="N3273" s="952"/>
    </row>
    <row r="3274" spans="1:14">
      <c r="A3274" s="958" t="s">
        <v>354</v>
      </c>
      <c r="B3274" s="958">
        <v>35</v>
      </c>
      <c r="C3274" s="958" t="s">
        <v>5389</v>
      </c>
      <c r="D3274" s="957" t="s">
        <v>5388</v>
      </c>
      <c r="E3274" s="956">
        <v>18705</v>
      </c>
      <c r="F3274" s="955"/>
      <c r="L3274" s="954"/>
      <c r="M3274" s="952"/>
      <c r="N3274" s="952"/>
    </row>
    <row r="3275" spans="1:14">
      <c r="A3275" s="958" t="s">
        <v>354</v>
      </c>
      <c r="B3275" s="958">
        <v>35</v>
      </c>
      <c r="C3275" s="958" t="s">
        <v>5387</v>
      </c>
      <c r="D3275" s="957" t="s">
        <v>5386</v>
      </c>
      <c r="E3275" s="956">
        <v>6075</v>
      </c>
      <c r="F3275" s="955"/>
      <c r="L3275" s="954"/>
      <c r="M3275" s="952"/>
      <c r="N3275" s="952"/>
    </row>
    <row r="3276" spans="1:14">
      <c r="A3276" s="958" t="s">
        <v>354</v>
      </c>
      <c r="B3276" s="958">
        <v>35</v>
      </c>
      <c r="C3276" s="958" t="s">
        <v>5385</v>
      </c>
      <c r="D3276" s="957" t="s">
        <v>5384</v>
      </c>
      <c r="E3276" s="956">
        <v>3451</v>
      </c>
      <c r="F3276" s="955"/>
      <c r="L3276" s="954"/>
      <c r="M3276" s="952"/>
      <c r="N3276" s="952"/>
    </row>
    <row r="3277" spans="1:14">
      <c r="A3277" s="958" t="s">
        <v>354</v>
      </c>
      <c r="B3277" s="958">
        <v>35</v>
      </c>
      <c r="C3277" s="958" t="s">
        <v>5383</v>
      </c>
      <c r="D3277" s="957" t="s">
        <v>5382</v>
      </c>
      <c r="E3277" s="956">
        <v>37214</v>
      </c>
      <c r="F3277" s="955"/>
      <c r="L3277" s="954"/>
      <c r="M3277" s="952"/>
      <c r="N3277" s="952"/>
    </row>
    <row r="3278" spans="1:14">
      <c r="A3278" s="958" t="s">
        <v>354</v>
      </c>
      <c r="B3278" s="958">
        <v>35</v>
      </c>
      <c r="C3278" s="958" t="s">
        <v>5381</v>
      </c>
      <c r="D3278" s="957" t="s">
        <v>5380</v>
      </c>
      <c r="E3278" s="956">
        <v>6025</v>
      </c>
      <c r="F3278" s="955"/>
      <c r="L3278" s="954"/>
      <c r="M3278" s="952"/>
      <c r="N3278" s="952"/>
    </row>
    <row r="3279" spans="1:14">
      <c r="A3279" s="958" t="s">
        <v>354</v>
      </c>
      <c r="B3279" s="958">
        <v>35</v>
      </c>
      <c r="C3279" s="958" t="s">
        <v>5379</v>
      </c>
      <c r="D3279" s="957" t="s">
        <v>5378</v>
      </c>
      <c r="E3279" s="956">
        <v>4166</v>
      </c>
      <c r="F3279" s="955"/>
      <c r="L3279" s="954"/>
      <c r="M3279" s="952"/>
      <c r="N3279" s="952"/>
    </row>
    <row r="3280" spans="1:14">
      <c r="A3280" s="958" t="s">
        <v>354</v>
      </c>
      <c r="B3280" s="958">
        <v>35</v>
      </c>
      <c r="C3280" s="958" t="s">
        <v>5377</v>
      </c>
      <c r="D3280" s="957" t="s">
        <v>5376</v>
      </c>
      <c r="E3280" s="956">
        <v>4160</v>
      </c>
      <c r="F3280" s="955"/>
      <c r="L3280" s="954"/>
      <c r="M3280" s="952"/>
      <c r="N3280" s="952"/>
    </row>
    <row r="3281" spans="1:14">
      <c r="A3281" s="958" t="s">
        <v>354</v>
      </c>
      <c r="B3281" s="958">
        <v>35</v>
      </c>
      <c r="C3281" s="958" t="s">
        <v>5375</v>
      </c>
      <c r="D3281" s="957" t="s">
        <v>5374</v>
      </c>
      <c r="E3281" s="956">
        <v>16184</v>
      </c>
      <c r="F3281" s="955"/>
      <c r="L3281" s="954"/>
      <c r="M3281" s="952"/>
      <c r="N3281" s="952"/>
    </row>
    <row r="3282" spans="1:14">
      <c r="A3282" s="958" t="s">
        <v>354</v>
      </c>
      <c r="B3282" s="958">
        <v>35</v>
      </c>
      <c r="C3282" s="958" t="s">
        <v>5373</v>
      </c>
      <c r="D3282" s="957" t="s">
        <v>2749</v>
      </c>
      <c r="E3282" s="956">
        <v>4099</v>
      </c>
      <c r="F3282" s="955"/>
      <c r="L3282" s="954"/>
      <c r="M3282" s="952"/>
      <c r="N3282" s="952"/>
    </row>
    <row r="3283" spans="1:14">
      <c r="A3283" s="958" t="s">
        <v>354</v>
      </c>
      <c r="B3283" s="958">
        <v>35</v>
      </c>
      <c r="C3283" s="958" t="s">
        <v>5372</v>
      </c>
      <c r="D3283" s="957" t="s">
        <v>5371</v>
      </c>
      <c r="E3283" s="956">
        <v>18628</v>
      </c>
      <c r="F3283" s="955"/>
      <c r="L3283" s="954"/>
      <c r="M3283" s="952"/>
      <c r="N3283" s="952"/>
    </row>
    <row r="3284" spans="1:14">
      <c r="A3284" s="958" t="s">
        <v>354</v>
      </c>
      <c r="B3284" s="958">
        <v>35</v>
      </c>
      <c r="C3284" s="958" t="s">
        <v>5370</v>
      </c>
      <c r="D3284" s="957" t="s">
        <v>5369</v>
      </c>
      <c r="E3284" s="956">
        <v>3679</v>
      </c>
      <c r="F3284" s="955"/>
      <c r="L3284" s="954"/>
      <c r="M3284" s="952"/>
      <c r="N3284" s="952"/>
    </row>
    <row r="3285" spans="1:14">
      <c r="A3285" s="958" t="s">
        <v>354</v>
      </c>
      <c r="B3285" s="958">
        <v>35</v>
      </c>
      <c r="C3285" s="958" t="s">
        <v>5368</v>
      </c>
      <c r="D3285" s="957" t="s">
        <v>5367</v>
      </c>
      <c r="E3285" s="956">
        <v>24915</v>
      </c>
      <c r="F3285" s="955"/>
      <c r="L3285" s="954"/>
      <c r="M3285" s="952"/>
      <c r="N3285" s="952"/>
    </row>
    <row r="3286" spans="1:14">
      <c r="A3286" s="958" t="s">
        <v>354</v>
      </c>
      <c r="B3286" s="958">
        <v>35</v>
      </c>
      <c r="C3286" s="958" t="s">
        <v>5366</v>
      </c>
      <c r="D3286" s="957" t="s">
        <v>5365</v>
      </c>
      <c r="E3286" s="956">
        <v>5227</v>
      </c>
      <c r="F3286" s="955"/>
      <c r="L3286" s="954"/>
      <c r="M3286" s="952"/>
      <c r="N3286" s="952"/>
    </row>
    <row r="3287" spans="1:14">
      <c r="A3287" s="958" t="s">
        <v>354</v>
      </c>
      <c r="B3287" s="958">
        <v>35</v>
      </c>
      <c r="C3287" s="958" t="s">
        <v>5364</v>
      </c>
      <c r="D3287" s="957" t="s">
        <v>5363</v>
      </c>
      <c r="E3287" s="956">
        <v>3222</v>
      </c>
      <c r="F3287" s="955"/>
      <c r="L3287" s="954"/>
      <c r="M3287" s="952"/>
      <c r="N3287" s="952"/>
    </row>
    <row r="3288" spans="1:14">
      <c r="A3288" s="958" t="s">
        <v>354</v>
      </c>
      <c r="B3288" s="958">
        <v>35</v>
      </c>
      <c r="C3288" s="958" t="s">
        <v>5362</v>
      </c>
      <c r="D3288" s="957" t="s">
        <v>5361</v>
      </c>
      <c r="E3288" s="956">
        <v>239597</v>
      </c>
      <c r="F3288" s="955"/>
      <c r="L3288" s="954"/>
      <c r="M3288" s="952"/>
      <c r="N3288" s="952"/>
    </row>
    <row r="3289" spans="1:14">
      <c r="A3289" s="958" t="s">
        <v>354</v>
      </c>
      <c r="B3289" s="958">
        <v>35</v>
      </c>
      <c r="C3289" s="958" t="s">
        <v>5360</v>
      </c>
      <c r="D3289" s="957" t="s">
        <v>5359</v>
      </c>
      <c r="E3289" s="956">
        <v>40504</v>
      </c>
      <c r="F3289" s="955"/>
      <c r="L3289" s="954"/>
      <c r="M3289" s="952"/>
      <c r="N3289" s="952"/>
    </row>
    <row r="3290" spans="1:14">
      <c r="A3290" s="958" t="s">
        <v>354</v>
      </c>
      <c r="B3290" s="958">
        <v>35</v>
      </c>
      <c r="C3290" s="958" t="s">
        <v>5358</v>
      </c>
      <c r="D3290" s="957" t="s">
        <v>5357</v>
      </c>
      <c r="E3290" s="956">
        <v>5969</v>
      </c>
      <c r="F3290" s="955"/>
      <c r="L3290" s="954"/>
      <c r="M3290" s="952"/>
      <c r="N3290" s="952"/>
    </row>
    <row r="3291" spans="1:14">
      <c r="A3291" s="958" t="s">
        <v>354</v>
      </c>
      <c r="B3291" s="958">
        <v>35</v>
      </c>
      <c r="C3291" s="958" t="s">
        <v>5356</v>
      </c>
      <c r="D3291" s="957" t="s">
        <v>5355</v>
      </c>
      <c r="E3291" s="956">
        <v>72195</v>
      </c>
      <c r="F3291" s="955"/>
      <c r="L3291" s="954"/>
      <c r="M3291" s="952"/>
      <c r="N3291" s="952"/>
    </row>
    <row r="3292" spans="1:14">
      <c r="A3292" s="958" t="s">
        <v>354</v>
      </c>
      <c r="B3292" s="958">
        <v>35</v>
      </c>
      <c r="C3292" s="958" t="s">
        <v>5354</v>
      </c>
      <c r="D3292" s="957" t="s">
        <v>5353</v>
      </c>
      <c r="E3292" s="956">
        <v>4995</v>
      </c>
      <c r="F3292" s="955"/>
      <c r="L3292" s="954"/>
      <c r="M3292" s="952"/>
      <c r="N3292" s="952"/>
    </row>
    <row r="3293" spans="1:14">
      <c r="A3293" s="958" t="s">
        <v>354</v>
      </c>
      <c r="B3293" s="958">
        <v>35</v>
      </c>
      <c r="C3293" s="958" t="s">
        <v>5352</v>
      </c>
      <c r="D3293" s="957" t="s">
        <v>5351</v>
      </c>
      <c r="E3293" s="956">
        <v>57157</v>
      </c>
      <c r="F3293" s="955"/>
      <c r="L3293" s="954"/>
      <c r="M3293" s="952"/>
      <c r="N3293" s="952"/>
    </row>
    <row r="3294" spans="1:14">
      <c r="A3294" s="958" t="s">
        <v>354</v>
      </c>
      <c r="B3294" s="958">
        <v>35</v>
      </c>
      <c r="C3294" s="958" t="s">
        <v>5350</v>
      </c>
      <c r="D3294" s="957" t="s">
        <v>5349</v>
      </c>
      <c r="E3294" s="956">
        <v>25228</v>
      </c>
      <c r="F3294" s="955"/>
      <c r="L3294" s="954"/>
      <c r="M3294" s="952"/>
      <c r="N3294" s="952"/>
    </row>
    <row r="3295" spans="1:14">
      <c r="A3295" s="958" t="s">
        <v>354</v>
      </c>
      <c r="B3295" s="958">
        <v>35</v>
      </c>
      <c r="C3295" s="958" t="s">
        <v>5348</v>
      </c>
      <c r="D3295" s="957" t="s">
        <v>5347</v>
      </c>
      <c r="E3295" s="956">
        <v>6724</v>
      </c>
      <c r="F3295" s="955"/>
      <c r="L3295" s="954"/>
      <c r="M3295" s="952"/>
      <c r="N3295" s="952"/>
    </row>
    <row r="3296" spans="1:14">
      <c r="A3296" s="958" t="s">
        <v>354</v>
      </c>
      <c r="B3296" s="958">
        <v>35</v>
      </c>
      <c r="C3296" s="958" t="s">
        <v>5346</v>
      </c>
      <c r="D3296" s="957" t="s">
        <v>5345</v>
      </c>
      <c r="E3296" s="956">
        <v>4115</v>
      </c>
      <c r="F3296" s="955"/>
      <c r="L3296" s="954"/>
      <c r="M3296" s="952"/>
      <c r="N3296" s="952"/>
    </row>
    <row r="3297" spans="1:14">
      <c r="A3297" s="958" t="s">
        <v>354</v>
      </c>
      <c r="B3297" s="958">
        <v>35</v>
      </c>
      <c r="C3297" s="958" t="s">
        <v>5344</v>
      </c>
      <c r="D3297" s="957" t="s">
        <v>5343</v>
      </c>
      <c r="E3297" s="956">
        <v>36157</v>
      </c>
      <c r="F3297" s="955"/>
      <c r="L3297" s="954"/>
      <c r="M3297" s="952"/>
      <c r="N3297" s="952"/>
    </row>
    <row r="3298" spans="1:14">
      <c r="A3298" s="958" t="s">
        <v>354</v>
      </c>
      <c r="B3298" s="958">
        <v>35</v>
      </c>
      <c r="C3298" s="958" t="s">
        <v>5342</v>
      </c>
      <c r="D3298" s="957" t="s">
        <v>5341</v>
      </c>
      <c r="E3298" s="956">
        <v>4196</v>
      </c>
      <c r="F3298" s="955"/>
      <c r="L3298" s="954"/>
      <c r="M3298" s="952"/>
      <c r="N3298" s="952"/>
    </row>
    <row r="3299" spans="1:14">
      <c r="A3299" s="958" t="s">
        <v>354</v>
      </c>
      <c r="B3299" s="958">
        <v>35</v>
      </c>
      <c r="C3299" s="958" t="s">
        <v>5340</v>
      </c>
      <c r="D3299" s="957" t="s">
        <v>5339</v>
      </c>
      <c r="E3299" s="956">
        <v>24374</v>
      </c>
      <c r="F3299" s="955"/>
      <c r="L3299" s="954"/>
      <c r="M3299" s="952"/>
      <c r="N3299" s="952"/>
    </row>
    <row r="3300" spans="1:14">
      <c r="A3300" s="958" t="s">
        <v>354</v>
      </c>
      <c r="B3300" s="958">
        <v>35</v>
      </c>
      <c r="C3300" s="958" t="s">
        <v>5338</v>
      </c>
      <c r="D3300" s="957" t="s">
        <v>5337</v>
      </c>
      <c r="E3300" s="956">
        <v>22364</v>
      </c>
      <c r="F3300" s="955"/>
      <c r="L3300" s="954"/>
      <c r="M3300" s="952"/>
      <c r="N3300" s="952"/>
    </row>
    <row r="3301" spans="1:14">
      <c r="A3301" s="958" t="s">
        <v>354</v>
      </c>
      <c r="B3301" s="958">
        <v>35</v>
      </c>
      <c r="C3301" s="958" t="s">
        <v>5336</v>
      </c>
      <c r="D3301" s="957" t="s">
        <v>5335</v>
      </c>
      <c r="E3301" s="956">
        <v>197016</v>
      </c>
      <c r="F3301" s="955"/>
      <c r="L3301" s="954"/>
      <c r="M3301" s="952"/>
      <c r="N3301" s="952"/>
    </row>
    <row r="3302" spans="1:14">
      <c r="A3302" s="958" t="s">
        <v>354</v>
      </c>
      <c r="B3302" s="958">
        <v>35</v>
      </c>
      <c r="C3302" s="958" t="s">
        <v>5334</v>
      </c>
      <c r="D3302" s="957" t="s">
        <v>5333</v>
      </c>
      <c r="E3302" s="956">
        <v>34146</v>
      </c>
      <c r="F3302" s="955"/>
      <c r="L3302" s="954"/>
      <c r="M3302" s="952"/>
      <c r="N3302" s="952"/>
    </row>
    <row r="3303" spans="1:14">
      <c r="A3303" s="958" t="s">
        <v>354</v>
      </c>
      <c r="B3303" s="958">
        <v>35</v>
      </c>
      <c r="C3303" s="958" t="s">
        <v>5332</v>
      </c>
      <c r="D3303" s="957" t="s">
        <v>5331</v>
      </c>
      <c r="E3303" s="956">
        <v>5620</v>
      </c>
      <c r="F3303" s="955"/>
      <c r="L3303" s="954"/>
      <c r="M3303" s="952"/>
      <c r="N3303" s="952"/>
    </row>
    <row r="3304" spans="1:14">
      <c r="A3304" s="958" t="s">
        <v>354</v>
      </c>
      <c r="B3304" s="958">
        <v>35</v>
      </c>
      <c r="C3304" s="958" t="s">
        <v>5330</v>
      </c>
      <c r="D3304" s="957" t="s">
        <v>5329</v>
      </c>
      <c r="E3304" s="956">
        <v>6357</v>
      </c>
      <c r="F3304" s="955"/>
      <c r="L3304" s="954"/>
      <c r="M3304" s="952"/>
      <c r="N3304" s="952"/>
    </row>
    <row r="3305" spans="1:14">
      <c r="A3305" s="958" t="s">
        <v>354</v>
      </c>
      <c r="B3305" s="958">
        <v>35</v>
      </c>
      <c r="C3305" s="958" t="s">
        <v>5328</v>
      </c>
      <c r="D3305" s="957" t="s">
        <v>5327</v>
      </c>
      <c r="E3305" s="956">
        <v>2469</v>
      </c>
      <c r="F3305" s="955"/>
      <c r="L3305" s="954"/>
      <c r="M3305" s="952"/>
      <c r="N3305" s="952"/>
    </row>
    <row r="3306" spans="1:14">
      <c r="A3306" s="958" t="s">
        <v>354</v>
      </c>
      <c r="B3306" s="958">
        <v>35</v>
      </c>
      <c r="C3306" s="958" t="s">
        <v>5326</v>
      </c>
      <c r="D3306" s="957" t="s">
        <v>5325</v>
      </c>
      <c r="E3306" s="956">
        <v>236072</v>
      </c>
      <c r="F3306" s="955"/>
      <c r="L3306" s="954"/>
      <c r="M3306" s="952"/>
      <c r="N3306" s="952"/>
    </row>
    <row r="3307" spans="1:14">
      <c r="A3307" s="958" t="s">
        <v>354</v>
      </c>
      <c r="B3307" s="958">
        <v>35</v>
      </c>
      <c r="C3307" s="958" t="s">
        <v>5324</v>
      </c>
      <c r="D3307" s="957" t="s">
        <v>5323</v>
      </c>
      <c r="E3307" s="956">
        <v>134236</v>
      </c>
      <c r="F3307" s="955"/>
      <c r="L3307" s="954"/>
      <c r="M3307" s="952"/>
      <c r="N3307" s="952"/>
    </row>
    <row r="3308" spans="1:14">
      <c r="A3308" s="958" t="s">
        <v>354</v>
      </c>
      <c r="B3308" s="958">
        <v>35</v>
      </c>
      <c r="C3308" s="958" t="s">
        <v>5322</v>
      </c>
      <c r="D3308" s="957" t="s">
        <v>5321</v>
      </c>
      <c r="E3308" s="956">
        <v>1791</v>
      </c>
      <c r="F3308" s="955"/>
      <c r="L3308" s="954"/>
      <c r="M3308" s="952"/>
      <c r="N3308" s="952"/>
    </row>
    <row r="3309" spans="1:14">
      <c r="A3309" s="958" t="s">
        <v>354</v>
      </c>
      <c r="B3309" s="958">
        <v>35</v>
      </c>
      <c r="C3309" s="958" t="s">
        <v>5320</v>
      </c>
      <c r="D3309" s="957" t="s">
        <v>5319</v>
      </c>
      <c r="E3309" s="956">
        <v>8560</v>
      </c>
      <c r="F3309" s="955"/>
      <c r="L3309" s="954"/>
      <c r="M3309" s="952"/>
      <c r="N3309" s="952"/>
    </row>
    <row r="3310" spans="1:14">
      <c r="A3310" s="958" t="s">
        <v>354</v>
      </c>
      <c r="B3310" s="958">
        <v>35</v>
      </c>
      <c r="C3310" s="958" t="s">
        <v>5318</v>
      </c>
      <c r="D3310" s="957" t="s">
        <v>5317</v>
      </c>
      <c r="E3310" s="956">
        <v>3886</v>
      </c>
      <c r="F3310" s="955"/>
      <c r="L3310" s="954"/>
      <c r="M3310" s="952"/>
      <c r="N3310" s="952"/>
    </row>
    <row r="3311" spans="1:14">
      <c r="A3311" s="958" t="s">
        <v>354</v>
      </c>
      <c r="B3311" s="958">
        <v>35</v>
      </c>
      <c r="C3311" s="958" t="s">
        <v>5316</v>
      </c>
      <c r="D3311" s="957" t="s">
        <v>5315</v>
      </c>
      <c r="E3311" s="956">
        <v>11129</v>
      </c>
      <c r="F3311" s="955"/>
      <c r="L3311" s="954"/>
      <c r="M3311" s="952"/>
      <c r="N3311" s="952"/>
    </row>
    <row r="3312" spans="1:14">
      <c r="A3312" s="958" t="s">
        <v>354</v>
      </c>
      <c r="B3312" s="958">
        <v>35</v>
      </c>
      <c r="C3312" s="958" t="s">
        <v>5314</v>
      </c>
      <c r="D3312" s="957" t="s">
        <v>5313</v>
      </c>
      <c r="E3312" s="956">
        <v>9668</v>
      </c>
      <c r="F3312" s="955"/>
      <c r="L3312" s="954"/>
      <c r="M3312" s="952"/>
      <c r="N3312" s="952"/>
    </row>
    <row r="3313" spans="1:14">
      <c r="A3313" s="958" t="s">
        <v>354</v>
      </c>
      <c r="B3313" s="958">
        <v>35</v>
      </c>
      <c r="C3313" s="958" t="s">
        <v>5312</v>
      </c>
      <c r="D3313" s="957" t="s">
        <v>5311</v>
      </c>
      <c r="E3313" s="956">
        <v>54408</v>
      </c>
      <c r="F3313" s="955"/>
      <c r="L3313" s="954"/>
      <c r="M3313" s="952"/>
      <c r="N3313" s="952"/>
    </row>
    <row r="3314" spans="1:14">
      <c r="A3314" s="958" t="s">
        <v>354</v>
      </c>
      <c r="B3314" s="958">
        <v>35</v>
      </c>
      <c r="C3314" s="958" t="s">
        <v>5310</v>
      </c>
      <c r="D3314" s="957" t="s">
        <v>5309</v>
      </c>
      <c r="E3314" s="956">
        <v>89824</v>
      </c>
      <c r="F3314" s="955"/>
      <c r="L3314" s="954"/>
      <c r="M3314" s="952"/>
      <c r="N3314" s="952"/>
    </row>
    <row r="3315" spans="1:14">
      <c r="A3315" s="958" t="s">
        <v>354</v>
      </c>
      <c r="B3315" s="958">
        <v>35</v>
      </c>
      <c r="C3315" s="958" t="s">
        <v>5308</v>
      </c>
      <c r="D3315" s="957" t="s">
        <v>5307</v>
      </c>
      <c r="E3315" s="956">
        <v>1822</v>
      </c>
      <c r="F3315" s="955"/>
      <c r="L3315" s="954"/>
      <c r="M3315" s="952"/>
      <c r="N3315" s="952"/>
    </row>
    <row r="3316" spans="1:14">
      <c r="A3316" s="958" t="s">
        <v>354</v>
      </c>
      <c r="B3316" s="958">
        <v>35</v>
      </c>
      <c r="C3316" s="958" t="s">
        <v>5306</v>
      </c>
      <c r="D3316" s="957" t="s">
        <v>5305</v>
      </c>
      <c r="E3316" s="956">
        <v>104386</v>
      </c>
      <c r="F3316" s="955"/>
      <c r="L3316" s="954"/>
      <c r="M3316" s="952"/>
      <c r="N3316" s="952"/>
    </row>
    <row r="3317" spans="1:14">
      <c r="A3317" s="958" t="s">
        <v>354</v>
      </c>
      <c r="B3317" s="958">
        <v>35</v>
      </c>
      <c r="C3317" s="958" t="s">
        <v>5304</v>
      </c>
      <c r="D3317" s="957" t="s">
        <v>5303</v>
      </c>
      <c r="E3317" s="956">
        <v>142761</v>
      </c>
      <c r="F3317" s="955"/>
      <c r="L3317" s="954"/>
      <c r="M3317" s="952"/>
      <c r="N3317" s="952"/>
    </row>
    <row r="3318" spans="1:14">
      <c r="A3318" s="958" t="s">
        <v>354</v>
      </c>
      <c r="B3318" s="958">
        <v>35</v>
      </c>
      <c r="C3318" s="958" t="s">
        <v>5302</v>
      </c>
      <c r="D3318" s="957" t="s">
        <v>5301</v>
      </c>
      <c r="E3318" s="956">
        <v>15189</v>
      </c>
      <c r="F3318" s="955"/>
      <c r="L3318" s="954"/>
      <c r="M3318" s="952"/>
      <c r="N3318" s="952"/>
    </row>
    <row r="3319" spans="1:14">
      <c r="A3319" s="958" t="s">
        <v>354</v>
      </c>
      <c r="B3319" s="958">
        <v>35</v>
      </c>
      <c r="C3319" s="958" t="s">
        <v>5300</v>
      </c>
      <c r="D3319" s="957" t="s">
        <v>5299</v>
      </c>
      <c r="E3319" s="956">
        <v>5403</v>
      </c>
      <c r="F3319" s="955"/>
      <c r="L3319" s="954"/>
      <c r="M3319" s="952"/>
      <c r="N3319" s="952"/>
    </row>
    <row r="3320" spans="1:14">
      <c r="A3320" s="958" t="s">
        <v>354</v>
      </c>
      <c r="B3320" s="958">
        <v>35</v>
      </c>
      <c r="C3320" s="958" t="s">
        <v>5298</v>
      </c>
      <c r="D3320" s="957" t="s">
        <v>5297</v>
      </c>
      <c r="E3320" s="956">
        <v>13649</v>
      </c>
      <c r="F3320" s="955"/>
      <c r="L3320" s="954"/>
      <c r="M3320" s="952"/>
      <c r="N3320" s="952"/>
    </row>
    <row r="3321" spans="1:14">
      <c r="A3321" s="958" t="s">
        <v>354</v>
      </c>
      <c r="B3321" s="958">
        <v>35</v>
      </c>
      <c r="C3321" s="958" t="s">
        <v>5296</v>
      </c>
      <c r="D3321" s="957" t="s">
        <v>5295</v>
      </c>
      <c r="E3321" s="956">
        <v>90655</v>
      </c>
      <c r="F3321" s="955"/>
      <c r="L3321" s="954"/>
      <c r="M3321" s="952"/>
      <c r="N3321" s="952"/>
    </row>
    <row r="3322" spans="1:14">
      <c r="A3322" s="958" t="s">
        <v>354</v>
      </c>
      <c r="B3322" s="958">
        <v>35</v>
      </c>
      <c r="C3322" s="958" t="s">
        <v>5294</v>
      </c>
      <c r="D3322" s="957" t="s">
        <v>5293</v>
      </c>
      <c r="E3322" s="956">
        <v>17502</v>
      </c>
      <c r="F3322" s="955"/>
      <c r="L3322" s="954"/>
      <c r="M3322" s="952"/>
      <c r="N3322" s="952"/>
    </row>
    <row r="3323" spans="1:14">
      <c r="A3323" s="958" t="s">
        <v>354</v>
      </c>
      <c r="B3323" s="958">
        <v>35</v>
      </c>
      <c r="C3323" s="958" t="s">
        <v>5292</v>
      </c>
      <c r="D3323" s="957" t="s">
        <v>5291</v>
      </c>
      <c r="E3323" s="956">
        <v>5735</v>
      </c>
      <c r="F3323" s="955"/>
      <c r="L3323" s="954"/>
      <c r="M3323" s="952"/>
      <c r="N3323" s="952"/>
    </row>
    <row r="3324" spans="1:14">
      <c r="A3324" s="958" t="s">
        <v>354</v>
      </c>
      <c r="B3324" s="958">
        <v>35</v>
      </c>
      <c r="C3324" s="958" t="s">
        <v>5290</v>
      </c>
      <c r="D3324" s="957" t="s">
        <v>5289</v>
      </c>
      <c r="E3324" s="956">
        <v>9068</v>
      </c>
      <c r="F3324" s="955"/>
      <c r="L3324" s="954"/>
      <c r="M3324" s="952"/>
      <c r="N3324" s="952"/>
    </row>
    <row r="3325" spans="1:14">
      <c r="A3325" s="958" t="s">
        <v>354</v>
      </c>
      <c r="B3325" s="958">
        <v>35</v>
      </c>
      <c r="C3325" s="958" t="s">
        <v>5288</v>
      </c>
      <c r="D3325" s="957" t="s">
        <v>5287</v>
      </c>
      <c r="E3325" s="956">
        <v>10945</v>
      </c>
      <c r="F3325" s="955"/>
      <c r="L3325" s="954"/>
      <c r="M3325" s="952"/>
      <c r="N3325" s="952"/>
    </row>
    <row r="3326" spans="1:14">
      <c r="A3326" s="958" t="s">
        <v>354</v>
      </c>
      <c r="B3326" s="958">
        <v>35</v>
      </c>
      <c r="C3326" s="958" t="s">
        <v>5286</v>
      </c>
      <c r="D3326" s="957" t="s">
        <v>5285</v>
      </c>
      <c r="E3326" s="956">
        <v>3469</v>
      </c>
      <c r="F3326" s="955"/>
      <c r="L3326" s="954"/>
      <c r="M3326" s="952"/>
      <c r="N3326" s="952"/>
    </row>
    <row r="3327" spans="1:14">
      <c r="A3327" s="958" t="s">
        <v>354</v>
      </c>
      <c r="B3327" s="958">
        <v>35</v>
      </c>
      <c r="C3327" s="958" t="s">
        <v>5284</v>
      </c>
      <c r="D3327" s="957" t="s">
        <v>5283</v>
      </c>
      <c r="E3327" s="956">
        <v>7402</v>
      </c>
      <c r="F3327" s="955"/>
      <c r="L3327" s="954"/>
      <c r="M3327" s="952"/>
      <c r="N3327" s="952"/>
    </row>
    <row r="3328" spans="1:14">
      <c r="A3328" s="958" t="s">
        <v>354</v>
      </c>
      <c r="B3328" s="958">
        <v>35</v>
      </c>
      <c r="C3328" s="958" t="s">
        <v>5282</v>
      </c>
      <c r="D3328" s="957" t="s">
        <v>5281</v>
      </c>
      <c r="E3328" s="956">
        <v>35264</v>
      </c>
      <c r="F3328" s="955"/>
      <c r="L3328" s="954"/>
      <c r="M3328" s="952"/>
      <c r="N3328" s="952"/>
    </row>
    <row r="3329" spans="1:14">
      <c r="A3329" s="958" t="s">
        <v>354</v>
      </c>
      <c r="B3329" s="958">
        <v>35</v>
      </c>
      <c r="C3329" s="958" t="s">
        <v>5280</v>
      </c>
      <c r="D3329" s="957" t="s">
        <v>3292</v>
      </c>
      <c r="E3329" s="956">
        <v>36126</v>
      </c>
      <c r="F3329" s="955"/>
      <c r="L3329" s="954"/>
      <c r="M3329" s="952"/>
      <c r="N3329" s="952"/>
    </row>
    <row r="3330" spans="1:14">
      <c r="A3330" s="958" t="s">
        <v>354</v>
      </c>
      <c r="B3330" s="958">
        <v>35</v>
      </c>
      <c r="C3330" s="958" t="s">
        <v>5279</v>
      </c>
      <c r="D3330" s="957" t="s">
        <v>5278</v>
      </c>
      <c r="E3330" s="956">
        <v>5724</v>
      </c>
      <c r="F3330" s="955"/>
      <c r="L3330" s="954"/>
      <c r="M3330" s="952"/>
      <c r="N3330" s="952"/>
    </row>
    <row r="3331" spans="1:14">
      <c r="A3331" s="958" t="s">
        <v>354</v>
      </c>
      <c r="B3331" s="958">
        <v>35</v>
      </c>
      <c r="C3331" s="958" t="s">
        <v>5277</v>
      </c>
      <c r="D3331" s="957" t="s">
        <v>5276</v>
      </c>
      <c r="E3331" s="956">
        <v>7659</v>
      </c>
      <c r="F3331" s="955"/>
      <c r="L3331" s="954"/>
      <c r="M3331" s="952"/>
      <c r="N3331" s="952"/>
    </row>
    <row r="3332" spans="1:14">
      <c r="A3332" s="958" t="s">
        <v>354</v>
      </c>
      <c r="B3332" s="958">
        <v>35</v>
      </c>
      <c r="C3332" s="958" t="s">
        <v>5275</v>
      </c>
      <c r="D3332" s="957" t="s">
        <v>5274</v>
      </c>
      <c r="E3332" s="956">
        <v>122098</v>
      </c>
      <c r="F3332" s="955"/>
      <c r="L3332" s="954"/>
      <c r="M3332" s="952"/>
      <c r="N3332" s="952"/>
    </row>
    <row r="3333" spans="1:14">
      <c r="A3333" s="958" t="s">
        <v>354</v>
      </c>
      <c r="B3333" s="958">
        <v>35</v>
      </c>
      <c r="C3333" s="958" t="s">
        <v>5273</v>
      </c>
      <c r="D3333" s="957" t="s">
        <v>5272</v>
      </c>
      <c r="E3333" s="956">
        <v>32812</v>
      </c>
      <c r="F3333" s="955"/>
      <c r="L3333" s="954"/>
      <c r="M3333" s="952"/>
      <c r="N3333" s="952"/>
    </row>
    <row r="3334" spans="1:14">
      <c r="A3334" s="958" t="s">
        <v>354</v>
      </c>
      <c r="B3334" s="958">
        <v>35</v>
      </c>
      <c r="C3334" s="958" t="s">
        <v>5271</v>
      </c>
      <c r="D3334" s="957" t="s">
        <v>5270</v>
      </c>
      <c r="E3334" s="956">
        <v>274182</v>
      </c>
      <c r="F3334" s="955"/>
      <c r="L3334" s="954"/>
      <c r="M3334" s="952"/>
      <c r="N3334" s="952"/>
    </row>
    <row r="3335" spans="1:14">
      <c r="A3335" s="958" t="s">
        <v>354</v>
      </c>
      <c r="B3335" s="958">
        <v>35</v>
      </c>
      <c r="C3335" s="958" t="s">
        <v>5269</v>
      </c>
      <c r="D3335" s="957" t="s">
        <v>5268</v>
      </c>
      <c r="E3335" s="956">
        <v>20953</v>
      </c>
      <c r="F3335" s="955"/>
      <c r="L3335" s="954"/>
      <c r="M3335" s="952"/>
      <c r="N3335" s="952"/>
    </row>
    <row r="3336" spans="1:14">
      <c r="A3336" s="958" t="s">
        <v>354</v>
      </c>
      <c r="B3336" s="958">
        <v>35</v>
      </c>
      <c r="C3336" s="958" t="s">
        <v>5267</v>
      </c>
      <c r="D3336" s="957" t="s">
        <v>5266</v>
      </c>
      <c r="E3336" s="956">
        <v>62508</v>
      </c>
      <c r="F3336" s="955"/>
      <c r="L3336" s="954"/>
      <c r="M3336" s="952"/>
      <c r="N3336" s="952"/>
    </row>
    <row r="3337" spans="1:14">
      <c r="A3337" s="958" t="s">
        <v>354</v>
      </c>
      <c r="B3337" s="958">
        <v>35</v>
      </c>
      <c r="C3337" s="958" t="s">
        <v>5265</v>
      </c>
      <c r="D3337" s="957" t="s">
        <v>5264</v>
      </c>
      <c r="E3337" s="956">
        <v>376818</v>
      </c>
      <c r="F3337" s="955"/>
      <c r="L3337" s="954"/>
      <c r="M3337" s="952"/>
      <c r="N3337" s="952"/>
    </row>
    <row r="3338" spans="1:14">
      <c r="A3338" s="958" t="s">
        <v>354</v>
      </c>
      <c r="B3338" s="958">
        <v>35</v>
      </c>
      <c r="C3338" s="958" t="s">
        <v>5263</v>
      </c>
      <c r="D3338" s="957" t="s">
        <v>5262</v>
      </c>
      <c r="E3338" s="956">
        <v>77496</v>
      </c>
      <c r="F3338" s="955"/>
      <c r="L3338" s="954"/>
      <c r="M3338" s="952"/>
      <c r="N3338" s="952"/>
    </row>
    <row r="3339" spans="1:14">
      <c r="A3339" s="958" t="s">
        <v>354</v>
      </c>
      <c r="B3339" s="958">
        <v>35</v>
      </c>
      <c r="C3339" s="958" t="s">
        <v>5261</v>
      </c>
      <c r="D3339" s="957" t="s">
        <v>5260</v>
      </c>
      <c r="E3339" s="956">
        <v>2980</v>
      </c>
      <c r="F3339" s="955"/>
      <c r="L3339" s="954"/>
      <c r="M3339" s="952"/>
      <c r="N3339" s="952"/>
    </row>
    <row r="3340" spans="1:14">
      <c r="A3340" s="958" t="s">
        <v>354</v>
      </c>
      <c r="B3340" s="958">
        <v>35</v>
      </c>
      <c r="C3340" s="958" t="s">
        <v>5259</v>
      </c>
      <c r="D3340" s="957" t="s">
        <v>5258</v>
      </c>
      <c r="E3340" s="956">
        <v>11148</v>
      </c>
      <c r="F3340" s="955"/>
      <c r="L3340" s="954"/>
      <c r="M3340" s="952"/>
      <c r="N3340" s="952"/>
    </row>
    <row r="3341" spans="1:14">
      <c r="A3341" s="958" t="s">
        <v>354</v>
      </c>
      <c r="B3341" s="958">
        <v>35</v>
      </c>
      <c r="C3341" s="958" t="s">
        <v>5257</v>
      </c>
      <c r="D3341" s="957" t="s">
        <v>5256</v>
      </c>
      <c r="E3341" s="956">
        <v>63249</v>
      </c>
      <c r="F3341" s="955"/>
      <c r="L3341" s="954"/>
      <c r="M3341" s="952"/>
      <c r="N3341" s="952"/>
    </row>
    <row r="3342" spans="1:14">
      <c r="A3342" s="958" t="s">
        <v>354</v>
      </c>
      <c r="B3342" s="958">
        <v>35</v>
      </c>
      <c r="C3342" s="958" t="s">
        <v>5255</v>
      </c>
      <c r="D3342" s="957" t="s">
        <v>5254</v>
      </c>
      <c r="E3342" s="956">
        <v>8034</v>
      </c>
      <c r="F3342" s="955"/>
      <c r="L3342" s="954"/>
      <c r="M3342" s="952"/>
      <c r="N3342" s="952"/>
    </row>
    <row r="3343" spans="1:14">
      <c r="A3343" s="958" t="s">
        <v>354</v>
      </c>
      <c r="B3343" s="958">
        <v>35</v>
      </c>
      <c r="C3343" s="958" t="s">
        <v>5253</v>
      </c>
      <c r="D3343" s="957" t="s">
        <v>5252</v>
      </c>
      <c r="E3343" s="956">
        <v>123638</v>
      </c>
      <c r="F3343" s="955"/>
      <c r="L3343" s="954"/>
      <c r="M3343" s="952"/>
      <c r="N3343" s="952"/>
    </row>
    <row r="3344" spans="1:14">
      <c r="A3344" s="958" t="s">
        <v>354</v>
      </c>
      <c r="B3344" s="958">
        <v>35</v>
      </c>
      <c r="C3344" s="958" t="s">
        <v>5251</v>
      </c>
      <c r="D3344" s="957" t="s">
        <v>5250</v>
      </c>
      <c r="E3344" s="956">
        <v>32598</v>
      </c>
      <c r="F3344" s="955"/>
      <c r="L3344" s="954"/>
      <c r="M3344" s="952"/>
      <c r="N3344" s="952"/>
    </row>
    <row r="3345" spans="1:14">
      <c r="A3345" s="958" t="s">
        <v>354</v>
      </c>
      <c r="B3345" s="958">
        <v>35</v>
      </c>
      <c r="C3345" s="958" t="s">
        <v>5249</v>
      </c>
      <c r="D3345" s="957" t="s">
        <v>5248</v>
      </c>
      <c r="E3345" s="956">
        <v>14923</v>
      </c>
      <c r="F3345" s="955"/>
      <c r="L3345" s="954"/>
      <c r="M3345" s="952"/>
      <c r="N3345" s="952"/>
    </row>
    <row r="3346" spans="1:14">
      <c r="A3346" s="958" t="s">
        <v>354</v>
      </c>
      <c r="B3346" s="958">
        <v>35</v>
      </c>
      <c r="C3346" s="958" t="s">
        <v>5247</v>
      </c>
      <c r="D3346" s="957" t="s">
        <v>5246</v>
      </c>
      <c r="E3346" s="956">
        <v>12329</v>
      </c>
      <c r="F3346" s="955"/>
      <c r="L3346" s="954"/>
      <c r="M3346" s="952"/>
      <c r="N3346" s="952"/>
    </row>
    <row r="3347" spans="1:14">
      <c r="A3347" s="958" t="s">
        <v>354</v>
      </c>
      <c r="B3347" s="958">
        <v>35</v>
      </c>
      <c r="C3347" s="958" t="s">
        <v>5245</v>
      </c>
      <c r="D3347" s="957" t="s">
        <v>5244</v>
      </c>
      <c r="E3347" s="956">
        <v>11730</v>
      </c>
      <c r="F3347" s="955"/>
      <c r="L3347" s="954"/>
      <c r="M3347" s="952"/>
      <c r="N3347" s="952"/>
    </row>
    <row r="3348" spans="1:14">
      <c r="A3348" s="958" t="s">
        <v>354</v>
      </c>
      <c r="B3348" s="958">
        <v>35</v>
      </c>
      <c r="C3348" s="958" t="s">
        <v>5243</v>
      </c>
      <c r="D3348" s="957" t="s">
        <v>5242</v>
      </c>
      <c r="E3348" s="956">
        <v>60997</v>
      </c>
      <c r="F3348" s="955"/>
      <c r="L3348" s="954"/>
      <c r="M3348" s="952"/>
      <c r="N3348" s="952"/>
    </row>
    <row r="3349" spans="1:14">
      <c r="A3349" s="958" t="s">
        <v>354</v>
      </c>
      <c r="B3349" s="958">
        <v>35</v>
      </c>
      <c r="C3349" s="958" t="s">
        <v>5241</v>
      </c>
      <c r="D3349" s="957" t="s">
        <v>5240</v>
      </c>
      <c r="E3349" s="956">
        <v>25448</v>
      </c>
      <c r="F3349" s="955"/>
      <c r="L3349" s="954"/>
      <c r="M3349" s="952"/>
      <c r="N3349" s="952"/>
    </row>
    <row r="3350" spans="1:14">
      <c r="A3350" s="958" t="s">
        <v>354</v>
      </c>
      <c r="B3350" s="958">
        <v>35</v>
      </c>
      <c r="C3350" s="958" t="s">
        <v>5239</v>
      </c>
      <c r="D3350" s="957" t="s">
        <v>5238</v>
      </c>
      <c r="E3350" s="956">
        <v>3954</v>
      </c>
      <c r="F3350" s="955"/>
      <c r="L3350" s="954"/>
      <c r="M3350" s="952"/>
      <c r="N3350" s="952"/>
    </row>
    <row r="3351" spans="1:14">
      <c r="A3351" s="958" t="s">
        <v>354</v>
      </c>
      <c r="B3351" s="958">
        <v>35</v>
      </c>
      <c r="C3351" s="958" t="s">
        <v>5237</v>
      </c>
      <c r="D3351" s="957" t="s">
        <v>5236</v>
      </c>
      <c r="E3351" s="956">
        <v>837</v>
      </c>
      <c r="F3351" s="955"/>
      <c r="L3351" s="954"/>
      <c r="M3351" s="952"/>
      <c r="N3351" s="952"/>
    </row>
    <row r="3352" spans="1:14">
      <c r="A3352" s="958" t="s">
        <v>354</v>
      </c>
      <c r="B3352" s="958">
        <v>35</v>
      </c>
      <c r="C3352" s="958" t="s">
        <v>5235</v>
      </c>
      <c r="D3352" s="957" t="s">
        <v>5234</v>
      </c>
      <c r="E3352" s="956">
        <v>4823</v>
      </c>
      <c r="F3352" s="955"/>
      <c r="L3352" s="954"/>
      <c r="M3352" s="952"/>
      <c r="N3352" s="952"/>
    </row>
    <row r="3353" spans="1:14">
      <c r="A3353" s="958" t="s">
        <v>354</v>
      </c>
      <c r="B3353" s="958">
        <v>35</v>
      </c>
      <c r="C3353" s="958" t="s">
        <v>5233</v>
      </c>
      <c r="D3353" s="957" t="s">
        <v>5232</v>
      </c>
      <c r="E3353" s="956">
        <v>16046</v>
      </c>
      <c r="F3353" s="955"/>
      <c r="L3353" s="954"/>
      <c r="M3353" s="952"/>
      <c r="N3353" s="952"/>
    </row>
    <row r="3354" spans="1:14">
      <c r="A3354" s="958" t="s">
        <v>354</v>
      </c>
      <c r="B3354" s="958">
        <v>35</v>
      </c>
      <c r="C3354" s="958" t="s">
        <v>5231</v>
      </c>
      <c r="D3354" s="957" t="s">
        <v>5230</v>
      </c>
      <c r="E3354" s="956">
        <v>2653</v>
      </c>
      <c r="F3354" s="955"/>
      <c r="L3354" s="954"/>
      <c r="M3354" s="952"/>
      <c r="N3354" s="952"/>
    </row>
    <row r="3355" spans="1:14">
      <c r="A3355" s="958" t="s">
        <v>354</v>
      </c>
      <c r="B3355" s="958">
        <v>35</v>
      </c>
      <c r="C3355" s="958" t="s">
        <v>5229</v>
      </c>
      <c r="D3355" s="957" t="s">
        <v>5228</v>
      </c>
      <c r="E3355" s="956">
        <v>146497</v>
      </c>
      <c r="F3355" s="955"/>
      <c r="L3355" s="954"/>
      <c r="M3355" s="952"/>
      <c r="N3355" s="952"/>
    </row>
    <row r="3356" spans="1:14">
      <c r="A3356" s="958" t="s">
        <v>354</v>
      </c>
      <c r="B3356" s="958">
        <v>35</v>
      </c>
      <c r="C3356" s="958" t="s">
        <v>5227</v>
      </c>
      <c r="D3356" s="957" t="s">
        <v>5226</v>
      </c>
      <c r="E3356" s="956">
        <v>168668</v>
      </c>
      <c r="F3356" s="955"/>
      <c r="L3356" s="954"/>
      <c r="M3356" s="952"/>
      <c r="N3356" s="952"/>
    </row>
    <row r="3357" spans="1:14">
      <c r="A3357" s="958" t="s">
        <v>354</v>
      </c>
      <c r="B3357" s="958">
        <v>35</v>
      </c>
      <c r="C3357" s="958" t="s">
        <v>5225</v>
      </c>
      <c r="D3357" s="957" t="s">
        <v>5224</v>
      </c>
      <c r="E3357" s="956">
        <v>5686</v>
      </c>
      <c r="F3357" s="955"/>
      <c r="L3357" s="954"/>
      <c r="M3357" s="952"/>
      <c r="N3357" s="952"/>
    </row>
    <row r="3358" spans="1:14">
      <c r="A3358" s="958" t="s">
        <v>354</v>
      </c>
      <c r="B3358" s="958">
        <v>35</v>
      </c>
      <c r="C3358" s="958" t="s">
        <v>5223</v>
      </c>
      <c r="D3358" s="957" t="s">
        <v>5222</v>
      </c>
      <c r="E3358" s="956">
        <v>2865</v>
      </c>
      <c r="F3358" s="955"/>
      <c r="L3358" s="954"/>
      <c r="M3358" s="952"/>
      <c r="N3358" s="952"/>
    </row>
    <row r="3359" spans="1:14">
      <c r="A3359" s="958" t="s">
        <v>354</v>
      </c>
      <c r="B3359" s="958">
        <v>35</v>
      </c>
      <c r="C3359" s="958" t="s">
        <v>5221</v>
      </c>
      <c r="D3359" s="957" t="s">
        <v>5220</v>
      </c>
      <c r="E3359" s="956">
        <v>24939</v>
      </c>
      <c r="F3359" s="955"/>
      <c r="L3359" s="954"/>
      <c r="M3359" s="952"/>
      <c r="N3359" s="952"/>
    </row>
    <row r="3360" spans="1:14">
      <c r="A3360" s="958" t="s">
        <v>354</v>
      </c>
      <c r="B3360" s="958">
        <v>35</v>
      </c>
      <c r="C3360" s="958" t="s">
        <v>5219</v>
      </c>
      <c r="D3360" s="957" t="s">
        <v>5218</v>
      </c>
      <c r="E3360" s="956">
        <v>24403</v>
      </c>
      <c r="F3360" s="955"/>
      <c r="L3360" s="954"/>
      <c r="M3360" s="952"/>
      <c r="N3360" s="952"/>
    </row>
    <row r="3361" spans="1:14">
      <c r="A3361" s="958" t="s">
        <v>354</v>
      </c>
      <c r="B3361" s="958">
        <v>35</v>
      </c>
      <c r="C3361" s="958" t="s">
        <v>5217</v>
      </c>
      <c r="D3361" s="957" t="s">
        <v>5216</v>
      </c>
      <c r="E3361" s="956">
        <v>19878</v>
      </c>
      <c r="F3361" s="955"/>
      <c r="L3361" s="954"/>
      <c r="M3361" s="952"/>
      <c r="N3361" s="952"/>
    </row>
    <row r="3362" spans="1:14">
      <c r="A3362" s="958" t="s">
        <v>354</v>
      </c>
      <c r="B3362" s="958">
        <v>35</v>
      </c>
      <c r="C3362" s="958" t="s">
        <v>5215</v>
      </c>
      <c r="D3362" s="957" t="s">
        <v>5214</v>
      </c>
      <c r="E3362" s="956">
        <v>17144</v>
      </c>
      <c r="F3362" s="955"/>
      <c r="L3362" s="954"/>
      <c r="M3362" s="952"/>
      <c r="N3362" s="952"/>
    </row>
    <row r="3363" spans="1:14">
      <c r="A3363" s="958" t="s">
        <v>354</v>
      </c>
      <c r="B3363" s="958">
        <v>35</v>
      </c>
      <c r="C3363" s="958" t="s">
        <v>5213</v>
      </c>
      <c r="D3363" s="957" t="s">
        <v>5212</v>
      </c>
      <c r="E3363" s="956">
        <v>4481</v>
      </c>
      <c r="F3363" s="955"/>
      <c r="L3363" s="954"/>
      <c r="M3363" s="952"/>
      <c r="N3363" s="952"/>
    </row>
    <row r="3364" spans="1:14">
      <c r="A3364" s="958" t="s">
        <v>354</v>
      </c>
      <c r="B3364" s="958">
        <v>35</v>
      </c>
      <c r="C3364" s="958" t="s">
        <v>5211</v>
      </c>
      <c r="D3364" s="957" t="s">
        <v>5210</v>
      </c>
      <c r="E3364" s="956">
        <v>4264</v>
      </c>
      <c r="F3364" s="955"/>
      <c r="L3364" s="954"/>
      <c r="M3364" s="952"/>
      <c r="N3364" s="952"/>
    </row>
    <row r="3365" spans="1:14">
      <c r="A3365" s="958" t="s">
        <v>354</v>
      </c>
      <c r="B3365" s="958">
        <v>35</v>
      </c>
      <c r="C3365" s="958" t="s">
        <v>5209</v>
      </c>
      <c r="D3365" s="957" t="s">
        <v>5208</v>
      </c>
      <c r="E3365" s="956">
        <v>49707</v>
      </c>
      <c r="F3365" s="955"/>
      <c r="L3365" s="954"/>
      <c r="M3365" s="952"/>
      <c r="N3365" s="952"/>
    </row>
    <row r="3366" spans="1:14">
      <c r="A3366" s="958" t="s">
        <v>354</v>
      </c>
      <c r="B3366" s="958">
        <v>35</v>
      </c>
      <c r="C3366" s="958" t="s">
        <v>5207</v>
      </c>
      <c r="D3366" s="957" t="s">
        <v>5206</v>
      </c>
      <c r="E3366" s="956">
        <v>94263</v>
      </c>
      <c r="F3366" s="955"/>
      <c r="L3366" s="954"/>
      <c r="M3366" s="952"/>
      <c r="N3366" s="952"/>
    </row>
    <row r="3367" spans="1:14">
      <c r="A3367" s="958" t="s">
        <v>354</v>
      </c>
      <c r="B3367" s="958">
        <v>35</v>
      </c>
      <c r="C3367" s="958" t="s">
        <v>5205</v>
      </c>
      <c r="D3367" s="957" t="s">
        <v>5204</v>
      </c>
      <c r="E3367" s="956">
        <v>33327</v>
      </c>
      <c r="F3367" s="955"/>
      <c r="L3367" s="954"/>
      <c r="M3367" s="952"/>
      <c r="N3367" s="952"/>
    </row>
    <row r="3368" spans="1:14">
      <c r="A3368" s="958" t="s">
        <v>354</v>
      </c>
      <c r="B3368" s="958">
        <v>35</v>
      </c>
      <c r="C3368" s="958" t="s">
        <v>5203</v>
      </c>
      <c r="D3368" s="957" t="s">
        <v>5202</v>
      </c>
      <c r="E3368" s="956">
        <v>18985</v>
      </c>
      <c r="F3368" s="955"/>
      <c r="L3368" s="954"/>
      <c r="M3368" s="952"/>
      <c r="N3368" s="952"/>
    </row>
    <row r="3369" spans="1:14">
      <c r="A3369" s="958" t="s">
        <v>354</v>
      </c>
      <c r="B3369" s="958">
        <v>35</v>
      </c>
      <c r="C3369" s="958" t="s">
        <v>5201</v>
      </c>
      <c r="D3369" s="957" t="s">
        <v>4041</v>
      </c>
      <c r="E3369" s="956">
        <v>17767</v>
      </c>
      <c r="F3369" s="955"/>
      <c r="L3369" s="954"/>
      <c r="M3369" s="952"/>
      <c r="N3369" s="952"/>
    </row>
    <row r="3370" spans="1:14">
      <c r="A3370" s="958" t="s">
        <v>354</v>
      </c>
      <c r="B3370" s="958">
        <v>35</v>
      </c>
      <c r="C3370" s="958" t="s">
        <v>5200</v>
      </c>
      <c r="D3370" s="957" t="s">
        <v>5199</v>
      </c>
      <c r="E3370" s="956">
        <v>4191</v>
      </c>
      <c r="F3370" s="955"/>
      <c r="L3370" s="954"/>
      <c r="M3370" s="952"/>
      <c r="N3370" s="952"/>
    </row>
    <row r="3371" spans="1:14">
      <c r="A3371" s="958" t="s">
        <v>354</v>
      </c>
      <c r="B3371" s="958">
        <v>35</v>
      </c>
      <c r="C3371" s="958" t="s">
        <v>5198</v>
      </c>
      <c r="D3371" s="957" t="s">
        <v>5197</v>
      </c>
      <c r="E3371" s="956">
        <v>101470</v>
      </c>
      <c r="F3371" s="955"/>
      <c r="L3371" s="954"/>
      <c r="M3371" s="952"/>
      <c r="N3371" s="952"/>
    </row>
    <row r="3372" spans="1:14">
      <c r="A3372" s="958" t="s">
        <v>354</v>
      </c>
      <c r="B3372" s="958">
        <v>35</v>
      </c>
      <c r="C3372" s="958" t="s">
        <v>5196</v>
      </c>
      <c r="D3372" s="957" t="s">
        <v>5195</v>
      </c>
      <c r="E3372" s="956">
        <v>5874</v>
      </c>
      <c r="F3372" s="955"/>
      <c r="L3372" s="954"/>
      <c r="M3372" s="952"/>
      <c r="N3372" s="952"/>
    </row>
    <row r="3373" spans="1:14">
      <c r="A3373" s="958" t="s">
        <v>354</v>
      </c>
      <c r="B3373" s="958">
        <v>35</v>
      </c>
      <c r="C3373" s="958" t="s">
        <v>5194</v>
      </c>
      <c r="D3373" s="957" t="s">
        <v>5193</v>
      </c>
      <c r="E3373" s="956">
        <v>76801</v>
      </c>
      <c r="F3373" s="955"/>
      <c r="L3373" s="954"/>
      <c r="M3373" s="952"/>
      <c r="N3373" s="952"/>
    </row>
    <row r="3374" spans="1:14">
      <c r="A3374" s="958" t="s">
        <v>354</v>
      </c>
      <c r="B3374" s="958">
        <v>35</v>
      </c>
      <c r="C3374" s="958" t="s">
        <v>5192</v>
      </c>
      <c r="D3374" s="957" t="s">
        <v>5191</v>
      </c>
      <c r="E3374" s="956">
        <v>28549</v>
      </c>
      <c r="F3374" s="955"/>
      <c r="L3374" s="954"/>
      <c r="M3374" s="952"/>
      <c r="N3374" s="952"/>
    </row>
    <row r="3375" spans="1:14">
      <c r="A3375" s="958" t="s">
        <v>354</v>
      </c>
      <c r="B3375" s="958">
        <v>35</v>
      </c>
      <c r="C3375" s="958" t="s">
        <v>5190</v>
      </c>
      <c r="D3375" s="957" t="s">
        <v>5189</v>
      </c>
      <c r="E3375" s="956">
        <v>10542</v>
      </c>
      <c r="F3375" s="955"/>
      <c r="L3375" s="954"/>
      <c r="M3375" s="952"/>
      <c r="N3375" s="952"/>
    </row>
    <row r="3376" spans="1:14">
      <c r="A3376" s="958" t="s">
        <v>354</v>
      </c>
      <c r="B3376" s="958">
        <v>35</v>
      </c>
      <c r="C3376" s="958" t="s">
        <v>5188</v>
      </c>
      <c r="D3376" s="957" t="s">
        <v>5187</v>
      </c>
      <c r="E3376" s="956">
        <v>26167</v>
      </c>
      <c r="F3376" s="955"/>
      <c r="L3376" s="954"/>
      <c r="M3376" s="952"/>
      <c r="N3376" s="952"/>
    </row>
    <row r="3377" spans="1:14">
      <c r="A3377" s="958" t="s">
        <v>354</v>
      </c>
      <c r="B3377" s="958">
        <v>35</v>
      </c>
      <c r="C3377" s="958" t="s">
        <v>5186</v>
      </c>
      <c r="D3377" s="957" t="s">
        <v>5185</v>
      </c>
      <c r="E3377" s="956">
        <v>6024</v>
      </c>
      <c r="F3377" s="955"/>
      <c r="L3377" s="954"/>
      <c r="M3377" s="952"/>
      <c r="N3377" s="952"/>
    </row>
    <row r="3378" spans="1:14">
      <c r="A3378" s="958" t="s">
        <v>354</v>
      </c>
      <c r="B3378" s="958">
        <v>35</v>
      </c>
      <c r="C3378" s="958" t="s">
        <v>5184</v>
      </c>
      <c r="D3378" s="957" t="s">
        <v>5183</v>
      </c>
      <c r="E3378" s="956">
        <v>1204073</v>
      </c>
      <c r="F3378" s="955"/>
      <c r="L3378" s="954"/>
      <c r="M3378" s="952"/>
      <c r="N3378" s="952"/>
    </row>
    <row r="3379" spans="1:14">
      <c r="A3379" s="958" t="s">
        <v>354</v>
      </c>
      <c r="B3379" s="958">
        <v>35</v>
      </c>
      <c r="C3379" s="958" t="s">
        <v>5182</v>
      </c>
      <c r="D3379" s="957" t="s">
        <v>5181</v>
      </c>
      <c r="E3379" s="956">
        <v>84650</v>
      </c>
      <c r="F3379" s="955"/>
      <c r="L3379" s="954"/>
      <c r="M3379" s="952"/>
      <c r="N3379" s="952"/>
    </row>
    <row r="3380" spans="1:14">
      <c r="A3380" s="958" t="s">
        <v>354</v>
      </c>
      <c r="B3380" s="958">
        <v>35</v>
      </c>
      <c r="C3380" s="958" t="s">
        <v>5180</v>
      </c>
      <c r="D3380" s="957" t="s">
        <v>5179</v>
      </c>
      <c r="E3380" s="956">
        <v>52088</v>
      </c>
      <c r="F3380" s="955"/>
      <c r="L3380" s="954"/>
      <c r="M3380" s="952"/>
      <c r="N3380" s="952"/>
    </row>
    <row r="3381" spans="1:14">
      <c r="A3381" s="958" t="s">
        <v>354</v>
      </c>
      <c r="B3381" s="958">
        <v>35</v>
      </c>
      <c r="C3381" s="958" t="s">
        <v>5178</v>
      </c>
      <c r="D3381" s="957" t="s">
        <v>5177</v>
      </c>
      <c r="E3381" s="956">
        <v>4965</v>
      </c>
      <c r="F3381" s="955"/>
      <c r="L3381" s="954"/>
      <c r="M3381" s="952"/>
      <c r="N3381" s="952"/>
    </row>
    <row r="3382" spans="1:14">
      <c r="A3382" s="958" t="s">
        <v>354</v>
      </c>
      <c r="B3382" s="958">
        <v>35</v>
      </c>
      <c r="C3382" s="958" t="s">
        <v>5176</v>
      </c>
      <c r="D3382" s="957" t="s">
        <v>5175</v>
      </c>
      <c r="E3382" s="956">
        <v>12540</v>
      </c>
      <c r="F3382" s="955"/>
      <c r="L3382" s="954"/>
      <c r="M3382" s="952"/>
      <c r="N3382" s="952"/>
    </row>
    <row r="3383" spans="1:14">
      <c r="A3383" s="958" t="s">
        <v>354</v>
      </c>
      <c r="B3383" s="958">
        <v>35</v>
      </c>
      <c r="C3383" s="958" t="s">
        <v>5174</v>
      </c>
      <c r="D3383" s="957" t="s">
        <v>5173</v>
      </c>
      <c r="E3383" s="956">
        <v>5138</v>
      </c>
      <c r="F3383" s="955"/>
      <c r="L3383" s="954"/>
      <c r="M3383" s="952"/>
      <c r="N3383" s="952"/>
    </row>
    <row r="3384" spans="1:14">
      <c r="A3384" s="958" t="s">
        <v>354</v>
      </c>
      <c r="B3384" s="958">
        <v>35</v>
      </c>
      <c r="C3384" s="958" t="s">
        <v>5172</v>
      </c>
      <c r="D3384" s="957" t="s">
        <v>5171</v>
      </c>
      <c r="E3384" s="956">
        <v>31280</v>
      </c>
      <c r="F3384" s="955"/>
      <c r="L3384" s="954"/>
      <c r="M3384" s="952"/>
      <c r="N3384" s="952"/>
    </row>
    <row r="3385" spans="1:14">
      <c r="A3385" s="958" t="s">
        <v>354</v>
      </c>
      <c r="B3385" s="958">
        <v>35</v>
      </c>
      <c r="C3385" s="958" t="s">
        <v>5170</v>
      </c>
      <c r="D3385" s="957" t="s">
        <v>5169</v>
      </c>
      <c r="E3385" s="956">
        <v>2793</v>
      </c>
      <c r="F3385" s="955"/>
      <c r="L3385" s="954"/>
      <c r="M3385" s="952"/>
      <c r="N3385" s="952"/>
    </row>
    <row r="3386" spans="1:14">
      <c r="A3386" s="958" t="s">
        <v>354</v>
      </c>
      <c r="B3386" s="958">
        <v>35</v>
      </c>
      <c r="C3386" s="958" t="s">
        <v>5168</v>
      </c>
      <c r="D3386" s="957" t="s">
        <v>5167</v>
      </c>
      <c r="E3386" s="956">
        <v>5216</v>
      </c>
      <c r="F3386" s="955"/>
      <c r="L3386" s="954"/>
      <c r="M3386" s="952"/>
      <c r="N3386" s="952"/>
    </row>
    <row r="3387" spans="1:14">
      <c r="A3387" s="958" t="s">
        <v>354</v>
      </c>
      <c r="B3387" s="958">
        <v>35</v>
      </c>
      <c r="C3387" s="958" t="s">
        <v>5166</v>
      </c>
      <c r="D3387" s="957" t="s">
        <v>5165</v>
      </c>
      <c r="E3387" s="956">
        <v>47138</v>
      </c>
      <c r="F3387" s="955"/>
      <c r="L3387" s="954"/>
      <c r="M3387" s="952"/>
      <c r="N3387" s="952"/>
    </row>
    <row r="3388" spans="1:14">
      <c r="A3388" s="958" t="s">
        <v>354</v>
      </c>
      <c r="B3388" s="958">
        <v>35</v>
      </c>
      <c r="C3388" s="958" t="s">
        <v>5164</v>
      </c>
      <c r="D3388" s="957" t="s">
        <v>5163</v>
      </c>
      <c r="E3388" s="956">
        <v>20706</v>
      </c>
      <c r="F3388" s="955"/>
      <c r="L3388" s="954"/>
      <c r="M3388" s="952"/>
      <c r="N3388" s="952"/>
    </row>
    <row r="3389" spans="1:14">
      <c r="A3389" s="958" t="s">
        <v>354</v>
      </c>
      <c r="B3389" s="958">
        <v>35</v>
      </c>
      <c r="C3389" s="958" t="s">
        <v>5162</v>
      </c>
      <c r="D3389" s="957" t="s">
        <v>5161</v>
      </c>
      <c r="E3389" s="956">
        <v>55768</v>
      </c>
      <c r="F3389" s="955"/>
      <c r="L3389" s="954"/>
      <c r="M3389" s="952"/>
      <c r="N3389" s="952"/>
    </row>
    <row r="3390" spans="1:14">
      <c r="A3390" s="958" t="s">
        <v>354</v>
      </c>
      <c r="B3390" s="958">
        <v>35</v>
      </c>
      <c r="C3390" s="958" t="s">
        <v>5160</v>
      </c>
      <c r="D3390" s="957" t="s">
        <v>5159</v>
      </c>
      <c r="E3390" s="956">
        <v>121532</v>
      </c>
      <c r="F3390" s="955"/>
      <c r="L3390" s="954"/>
      <c r="M3390" s="952"/>
      <c r="N3390" s="952"/>
    </row>
    <row r="3391" spans="1:14">
      <c r="A3391" s="958" t="s">
        <v>354</v>
      </c>
      <c r="B3391" s="958">
        <v>35</v>
      </c>
      <c r="C3391" s="958" t="s">
        <v>5158</v>
      </c>
      <c r="D3391" s="957" t="s">
        <v>5157</v>
      </c>
      <c r="E3391" s="956">
        <v>400927</v>
      </c>
      <c r="F3391" s="955"/>
      <c r="L3391" s="954"/>
      <c r="M3391" s="952"/>
      <c r="N3391" s="952"/>
    </row>
    <row r="3392" spans="1:14">
      <c r="A3392" s="958" t="s">
        <v>354</v>
      </c>
      <c r="B3392" s="958">
        <v>35</v>
      </c>
      <c r="C3392" s="958" t="s">
        <v>5156</v>
      </c>
      <c r="D3392" s="957" t="s">
        <v>5155</v>
      </c>
      <c r="E3392" s="956">
        <v>12326</v>
      </c>
      <c r="F3392" s="955"/>
      <c r="L3392" s="954"/>
      <c r="M3392" s="952"/>
      <c r="N3392" s="952"/>
    </row>
    <row r="3393" spans="1:14">
      <c r="A3393" s="958" t="s">
        <v>354</v>
      </c>
      <c r="B3393" s="958">
        <v>35</v>
      </c>
      <c r="C3393" s="958" t="s">
        <v>5154</v>
      </c>
      <c r="D3393" s="957" t="s">
        <v>5153</v>
      </c>
      <c r="E3393" s="956">
        <v>30380</v>
      </c>
      <c r="F3393" s="955"/>
      <c r="L3393" s="954"/>
      <c r="M3393" s="952"/>
      <c r="N3393" s="952"/>
    </row>
    <row r="3394" spans="1:14">
      <c r="A3394" s="958" t="s">
        <v>354</v>
      </c>
      <c r="B3394" s="958">
        <v>35</v>
      </c>
      <c r="C3394" s="958" t="s">
        <v>5152</v>
      </c>
      <c r="D3394" s="957" t="s">
        <v>5151</v>
      </c>
      <c r="E3394" s="956">
        <v>2523</v>
      </c>
      <c r="F3394" s="955"/>
      <c r="L3394" s="954"/>
      <c r="M3394" s="952"/>
      <c r="N3394" s="952"/>
    </row>
    <row r="3395" spans="1:14">
      <c r="A3395" s="958" t="s">
        <v>354</v>
      </c>
      <c r="B3395" s="958">
        <v>35</v>
      </c>
      <c r="C3395" s="958" t="s">
        <v>5150</v>
      </c>
      <c r="D3395" s="957" t="s">
        <v>5149</v>
      </c>
      <c r="E3395" s="956">
        <v>21006</v>
      </c>
      <c r="F3395" s="955"/>
      <c r="L3395" s="954"/>
      <c r="M3395" s="952"/>
      <c r="N3395" s="952"/>
    </row>
    <row r="3396" spans="1:14">
      <c r="A3396" s="958" t="s">
        <v>354</v>
      </c>
      <c r="B3396" s="958">
        <v>35</v>
      </c>
      <c r="C3396" s="958" t="s">
        <v>5148</v>
      </c>
      <c r="D3396" s="957" t="s">
        <v>5147</v>
      </c>
      <c r="E3396" s="956">
        <v>121862</v>
      </c>
      <c r="F3396" s="955"/>
      <c r="L3396" s="954"/>
      <c r="M3396" s="952"/>
      <c r="N3396" s="952"/>
    </row>
    <row r="3397" spans="1:14">
      <c r="A3397" s="958" t="s">
        <v>354</v>
      </c>
      <c r="B3397" s="958">
        <v>35</v>
      </c>
      <c r="C3397" s="958" t="s">
        <v>5146</v>
      </c>
      <c r="D3397" s="957" t="s">
        <v>5145</v>
      </c>
      <c r="E3397" s="956">
        <v>7804</v>
      </c>
      <c r="F3397" s="955"/>
      <c r="L3397" s="954"/>
      <c r="M3397" s="952"/>
      <c r="N3397" s="952"/>
    </row>
    <row r="3398" spans="1:14">
      <c r="A3398" s="958" t="s">
        <v>354</v>
      </c>
      <c r="B3398" s="958">
        <v>35</v>
      </c>
      <c r="C3398" s="958" t="s">
        <v>5144</v>
      </c>
      <c r="D3398" s="957" t="s">
        <v>5143</v>
      </c>
      <c r="E3398" s="956">
        <v>9237</v>
      </c>
      <c r="F3398" s="955"/>
      <c r="L3398" s="954"/>
      <c r="M3398" s="952"/>
      <c r="N3398" s="952"/>
    </row>
    <row r="3399" spans="1:14">
      <c r="A3399" s="958" t="s">
        <v>354</v>
      </c>
      <c r="B3399" s="958">
        <v>35</v>
      </c>
      <c r="C3399" s="958" t="s">
        <v>5142</v>
      </c>
      <c r="D3399" s="957" t="s">
        <v>5141</v>
      </c>
      <c r="E3399" s="956">
        <v>19985</v>
      </c>
      <c r="F3399" s="955"/>
      <c r="L3399" s="954"/>
      <c r="M3399" s="952"/>
      <c r="N3399" s="952"/>
    </row>
    <row r="3400" spans="1:14">
      <c r="A3400" s="958" t="s">
        <v>354</v>
      </c>
      <c r="B3400" s="958">
        <v>35</v>
      </c>
      <c r="C3400" s="958" t="s">
        <v>5140</v>
      </c>
      <c r="D3400" s="957" t="s">
        <v>5139</v>
      </c>
      <c r="E3400" s="956">
        <v>48949</v>
      </c>
      <c r="F3400" s="955"/>
      <c r="L3400" s="954"/>
      <c r="M3400" s="952"/>
      <c r="N3400" s="952"/>
    </row>
    <row r="3401" spans="1:14">
      <c r="A3401" s="958" t="s">
        <v>354</v>
      </c>
      <c r="B3401" s="958">
        <v>35</v>
      </c>
      <c r="C3401" s="958" t="s">
        <v>5138</v>
      </c>
      <c r="D3401" s="957" t="s">
        <v>5137</v>
      </c>
      <c r="E3401" s="956">
        <v>18148</v>
      </c>
      <c r="F3401" s="955"/>
      <c r="L3401" s="954"/>
      <c r="M3401" s="952"/>
      <c r="N3401" s="952"/>
    </row>
    <row r="3402" spans="1:14">
      <c r="A3402" s="958" t="s">
        <v>354</v>
      </c>
      <c r="B3402" s="958">
        <v>35</v>
      </c>
      <c r="C3402" s="958" t="s">
        <v>5136</v>
      </c>
      <c r="D3402" s="957" t="s">
        <v>5135</v>
      </c>
      <c r="E3402" s="956">
        <v>17190</v>
      </c>
      <c r="F3402" s="955"/>
      <c r="L3402" s="954"/>
      <c r="M3402" s="952"/>
      <c r="N3402" s="952"/>
    </row>
    <row r="3403" spans="1:14">
      <c r="A3403" s="958" t="s">
        <v>354</v>
      </c>
      <c r="B3403" s="958">
        <v>35</v>
      </c>
      <c r="C3403" s="958" t="s">
        <v>5134</v>
      </c>
      <c r="D3403" s="957" t="s">
        <v>5133</v>
      </c>
      <c r="E3403" s="956">
        <v>8617</v>
      </c>
      <c r="F3403" s="955"/>
      <c r="L3403" s="954"/>
      <c r="M3403" s="952"/>
      <c r="N3403" s="952"/>
    </row>
    <row r="3404" spans="1:14">
      <c r="A3404" s="958" t="s">
        <v>354</v>
      </c>
      <c r="B3404" s="958">
        <v>35</v>
      </c>
      <c r="C3404" s="958" t="s">
        <v>5132</v>
      </c>
      <c r="D3404" s="957" t="s">
        <v>5131</v>
      </c>
      <c r="E3404" s="956">
        <v>18468</v>
      </c>
      <c r="F3404" s="955"/>
      <c r="L3404" s="954"/>
      <c r="M3404" s="952"/>
      <c r="N3404" s="952"/>
    </row>
    <row r="3405" spans="1:14">
      <c r="A3405" s="958" t="s">
        <v>354</v>
      </c>
      <c r="B3405" s="958">
        <v>35</v>
      </c>
      <c r="C3405" s="958" t="s">
        <v>5130</v>
      </c>
      <c r="D3405" s="957" t="s">
        <v>5129</v>
      </c>
      <c r="E3405" s="956">
        <v>6210</v>
      </c>
      <c r="F3405" s="955"/>
      <c r="L3405" s="954"/>
      <c r="M3405" s="952"/>
      <c r="N3405" s="952"/>
    </row>
    <row r="3406" spans="1:14">
      <c r="A3406" s="958" t="s">
        <v>354</v>
      </c>
      <c r="B3406" s="958">
        <v>35</v>
      </c>
      <c r="C3406" s="958" t="s">
        <v>5128</v>
      </c>
      <c r="D3406" s="957" t="s">
        <v>5127</v>
      </c>
      <c r="E3406" s="956">
        <v>28050</v>
      </c>
      <c r="F3406" s="955"/>
      <c r="L3406" s="954"/>
      <c r="M3406" s="952"/>
      <c r="N3406" s="952"/>
    </row>
    <row r="3407" spans="1:14">
      <c r="A3407" s="958" t="s">
        <v>354</v>
      </c>
      <c r="B3407" s="958">
        <v>35</v>
      </c>
      <c r="C3407" s="958" t="s">
        <v>5126</v>
      </c>
      <c r="D3407" s="957" t="s">
        <v>5125</v>
      </c>
      <c r="E3407" s="956">
        <v>17896</v>
      </c>
      <c r="F3407" s="955"/>
      <c r="L3407" s="954"/>
      <c r="M3407" s="952"/>
      <c r="N3407" s="952"/>
    </row>
    <row r="3408" spans="1:14">
      <c r="A3408" s="958" t="s">
        <v>354</v>
      </c>
      <c r="B3408" s="958">
        <v>35</v>
      </c>
      <c r="C3408" s="958" t="s">
        <v>5124</v>
      </c>
      <c r="D3408" s="957" t="s">
        <v>5123</v>
      </c>
      <c r="E3408" s="956">
        <v>24528</v>
      </c>
      <c r="F3408" s="955"/>
      <c r="L3408" s="954"/>
      <c r="M3408" s="952"/>
      <c r="N3408" s="952"/>
    </row>
    <row r="3409" spans="1:14">
      <c r="A3409" s="958" t="s">
        <v>354</v>
      </c>
      <c r="B3409" s="958">
        <v>35</v>
      </c>
      <c r="C3409" s="958" t="s">
        <v>5122</v>
      </c>
      <c r="D3409" s="957" t="s">
        <v>5121</v>
      </c>
      <c r="E3409" s="956">
        <v>6058</v>
      </c>
      <c r="F3409" s="955"/>
      <c r="L3409" s="954"/>
      <c r="M3409" s="952"/>
      <c r="N3409" s="952"/>
    </row>
    <row r="3410" spans="1:14">
      <c r="A3410" s="958" t="s">
        <v>354</v>
      </c>
      <c r="B3410" s="958">
        <v>35</v>
      </c>
      <c r="C3410" s="958" t="s">
        <v>5120</v>
      </c>
      <c r="D3410" s="957" t="s">
        <v>5119</v>
      </c>
      <c r="E3410" s="956">
        <v>4681</v>
      </c>
      <c r="F3410" s="955"/>
      <c r="L3410" s="954"/>
      <c r="M3410" s="952"/>
      <c r="N3410" s="952"/>
    </row>
    <row r="3411" spans="1:14">
      <c r="A3411" s="958" t="s">
        <v>354</v>
      </c>
      <c r="B3411" s="958">
        <v>35</v>
      </c>
      <c r="C3411" s="958" t="s">
        <v>5118</v>
      </c>
      <c r="D3411" s="957" t="s">
        <v>5117</v>
      </c>
      <c r="E3411" s="956">
        <v>4055</v>
      </c>
      <c r="F3411" s="955"/>
      <c r="L3411" s="954"/>
      <c r="M3411" s="952"/>
      <c r="N3411" s="952"/>
    </row>
    <row r="3412" spans="1:14">
      <c r="A3412" s="958" t="s">
        <v>354</v>
      </c>
      <c r="B3412" s="958">
        <v>35</v>
      </c>
      <c r="C3412" s="958" t="s">
        <v>5116</v>
      </c>
      <c r="D3412" s="957" t="s">
        <v>5115</v>
      </c>
      <c r="E3412" s="956">
        <v>72252</v>
      </c>
      <c r="F3412" s="955"/>
      <c r="L3412" s="954"/>
      <c r="M3412" s="952"/>
      <c r="N3412" s="952"/>
    </row>
    <row r="3413" spans="1:14">
      <c r="A3413" s="958" t="s">
        <v>354</v>
      </c>
      <c r="B3413" s="958">
        <v>35</v>
      </c>
      <c r="C3413" s="958" t="s">
        <v>5114</v>
      </c>
      <c r="D3413" s="957" t="s">
        <v>5113</v>
      </c>
      <c r="E3413" s="956">
        <v>7307</v>
      </c>
      <c r="F3413" s="955"/>
      <c r="L3413" s="954"/>
      <c r="M3413" s="952"/>
      <c r="N3413" s="952"/>
    </row>
    <row r="3414" spans="1:14">
      <c r="A3414" s="958" t="s">
        <v>354</v>
      </c>
      <c r="B3414" s="958">
        <v>35</v>
      </c>
      <c r="C3414" s="958" t="s">
        <v>5112</v>
      </c>
      <c r="D3414" s="957" t="s">
        <v>5111</v>
      </c>
      <c r="E3414" s="956">
        <v>249210</v>
      </c>
      <c r="F3414" s="955"/>
      <c r="L3414" s="954"/>
      <c r="M3414" s="952"/>
      <c r="N3414" s="952"/>
    </row>
    <row r="3415" spans="1:14">
      <c r="A3415" s="958" t="s">
        <v>354</v>
      </c>
      <c r="B3415" s="958">
        <v>35</v>
      </c>
      <c r="C3415" s="958" t="s">
        <v>5110</v>
      </c>
      <c r="D3415" s="957" t="s">
        <v>5109</v>
      </c>
      <c r="E3415" s="956">
        <v>35292</v>
      </c>
      <c r="F3415" s="955"/>
      <c r="L3415" s="954"/>
      <c r="M3415" s="952"/>
      <c r="N3415" s="952"/>
    </row>
    <row r="3416" spans="1:14">
      <c r="A3416" s="958" t="s">
        <v>354</v>
      </c>
      <c r="B3416" s="958">
        <v>35</v>
      </c>
      <c r="C3416" s="958" t="s">
        <v>5108</v>
      </c>
      <c r="D3416" s="957" t="s">
        <v>5107</v>
      </c>
      <c r="E3416" s="956">
        <v>8631</v>
      </c>
      <c r="F3416" s="955"/>
      <c r="L3416" s="954"/>
      <c r="M3416" s="952"/>
      <c r="N3416" s="952"/>
    </row>
    <row r="3417" spans="1:14">
      <c r="A3417" s="958" t="s">
        <v>354</v>
      </c>
      <c r="B3417" s="958">
        <v>35</v>
      </c>
      <c r="C3417" s="958" t="s">
        <v>5106</v>
      </c>
      <c r="D3417" s="957" t="s">
        <v>5105</v>
      </c>
      <c r="E3417" s="956">
        <v>2073</v>
      </c>
      <c r="F3417" s="955"/>
      <c r="L3417" s="954"/>
      <c r="M3417" s="952"/>
      <c r="N3417" s="952"/>
    </row>
    <row r="3418" spans="1:14">
      <c r="A3418" s="958" t="s">
        <v>354</v>
      </c>
      <c r="B3418" s="958">
        <v>35</v>
      </c>
      <c r="C3418" s="958" t="s">
        <v>5104</v>
      </c>
      <c r="D3418" s="957" t="s">
        <v>5103</v>
      </c>
      <c r="E3418" s="956">
        <v>82238</v>
      </c>
      <c r="F3418" s="955"/>
      <c r="L3418" s="954"/>
      <c r="M3418" s="952"/>
      <c r="N3418" s="952"/>
    </row>
    <row r="3419" spans="1:14">
      <c r="A3419" s="958" t="s">
        <v>354</v>
      </c>
      <c r="B3419" s="958">
        <v>35</v>
      </c>
      <c r="C3419" s="958" t="s">
        <v>5102</v>
      </c>
      <c r="D3419" s="957" t="s">
        <v>5101</v>
      </c>
      <c r="E3419" s="956">
        <v>130705</v>
      </c>
      <c r="F3419" s="955"/>
      <c r="L3419" s="954"/>
      <c r="M3419" s="952"/>
      <c r="N3419" s="952"/>
    </row>
    <row r="3420" spans="1:14">
      <c r="A3420" s="958" t="s">
        <v>354</v>
      </c>
      <c r="B3420" s="958">
        <v>35</v>
      </c>
      <c r="C3420" s="958" t="s">
        <v>5100</v>
      </c>
      <c r="D3420" s="957" t="s">
        <v>5099</v>
      </c>
      <c r="E3420" s="956">
        <v>21547</v>
      </c>
      <c r="F3420" s="955"/>
      <c r="L3420" s="954"/>
      <c r="M3420" s="952"/>
      <c r="N3420" s="952"/>
    </row>
    <row r="3421" spans="1:14">
      <c r="A3421" s="958" t="s">
        <v>354</v>
      </c>
      <c r="B3421" s="958">
        <v>35</v>
      </c>
      <c r="C3421" s="958" t="s">
        <v>5098</v>
      </c>
      <c r="D3421" s="957" t="s">
        <v>5097</v>
      </c>
      <c r="E3421" s="956">
        <v>33718</v>
      </c>
      <c r="F3421" s="955"/>
      <c r="L3421" s="954"/>
      <c r="M3421" s="952"/>
      <c r="N3421" s="952"/>
    </row>
    <row r="3422" spans="1:14">
      <c r="A3422" s="958" t="s">
        <v>354</v>
      </c>
      <c r="B3422" s="958">
        <v>35</v>
      </c>
      <c r="C3422" s="958" t="s">
        <v>5096</v>
      </c>
      <c r="D3422" s="957" t="s">
        <v>5095</v>
      </c>
      <c r="E3422" s="956">
        <v>423884</v>
      </c>
      <c r="F3422" s="955"/>
      <c r="L3422" s="954"/>
      <c r="M3422" s="952"/>
      <c r="N3422" s="952"/>
    </row>
    <row r="3423" spans="1:14">
      <c r="A3423" s="958" t="s">
        <v>354</v>
      </c>
      <c r="B3423" s="958">
        <v>35</v>
      </c>
      <c r="C3423" s="958" t="s">
        <v>5094</v>
      </c>
      <c r="D3423" s="957" t="s">
        <v>5093</v>
      </c>
      <c r="E3423" s="956">
        <v>1793</v>
      </c>
      <c r="F3423" s="955"/>
      <c r="L3423" s="954"/>
      <c r="M3423" s="952"/>
      <c r="N3423" s="952"/>
    </row>
    <row r="3424" spans="1:14">
      <c r="A3424" s="958" t="s">
        <v>354</v>
      </c>
      <c r="B3424" s="958">
        <v>35</v>
      </c>
      <c r="C3424" s="958" t="s">
        <v>5092</v>
      </c>
      <c r="D3424" s="957" t="s">
        <v>5091</v>
      </c>
      <c r="E3424" s="956">
        <v>11146</v>
      </c>
      <c r="F3424" s="955"/>
      <c r="L3424" s="954"/>
      <c r="M3424" s="952"/>
      <c r="N3424" s="952"/>
    </row>
    <row r="3425" spans="1:14">
      <c r="A3425" s="958" t="s">
        <v>354</v>
      </c>
      <c r="B3425" s="958">
        <v>35</v>
      </c>
      <c r="C3425" s="958" t="s">
        <v>5090</v>
      </c>
      <c r="D3425" s="957" t="s">
        <v>5089</v>
      </c>
      <c r="E3425" s="956">
        <v>8929</v>
      </c>
      <c r="F3425" s="955"/>
      <c r="L3425" s="954"/>
      <c r="M3425" s="952"/>
      <c r="N3425" s="952"/>
    </row>
    <row r="3426" spans="1:14">
      <c r="A3426" s="958" t="s">
        <v>354</v>
      </c>
      <c r="B3426" s="958">
        <v>35</v>
      </c>
      <c r="C3426" s="958" t="s">
        <v>5088</v>
      </c>
      <c r="D3426" s="957" t="s">
        <v>5087</v>
      </c>
      <c r="E3426" s="956">
        <v>27315</v>
      </c>
      <c r="F3426" s="955"/>
      <c r="L3426" s="954"/>
      <c r="M3426" s="952"/>
      <c r="N3426" s="952"/>
    </row>
    <row r="3427" spans="1:14">
      <c r="A3427" s="958" t="s">
        <v>354</v>
      </c>
      <c r="B3427" s="958">
        <v>35</v>
      </c>
      <c r="C3427" s="958" t="s">
        <v>5086</v>
      </c>
      <c r="D3427" s="957" t="s">
        <v>5085</v>
      </c>
      <c r="E3427" s="956">
        <v>2115</v>
      </c>
      <c r="F3427" s="955"/>
      <c r="L3427" s="954"/>
      <c r="M3427" s="952"/>
      <c r="N3427" s="952"/>
    </row>
    <row r="3428" spans="1:14">
      <c r="A3428" s="958" t="s">
        <v>354</v>
      </c>
      <c r="B3428" s="958">
        <v>35</v>
      </c>
      <c r="C3428" s="958" t="s">
        <v>5084</v>
      </c>
      <c r="D3428" s="957" t="s">
        <v>5083</v>
      </c>
      <c r="E3428" s="956">
        <v>8873</v>
      </c>
      <c r="F3428" s="955"/>
      <c r="L3428" s="954"/>
      <c r="M3428" s="952"/>
      <c r="N3428" s="952"/>
    </row>
    <row r="3429" spans="1:14">
      <c r="A3429" s="958" t="s">
        <v>354</v>
      </c>
      <c r="B3429" s="958">
        <v>35</v>
      </c>
      <c r="C3429" s="958" t="s">
        <v>5082</v>
      </c>
      <c r="D3429" s="957" t="s">
        <v>5081</v>
      </c>
      <c r="E3429" s="956">
        <v>46793</v>
      </c>
      <c r="F3429" s="955"/>
      <c r="L3429" s="954"/>
      <c r="M3429" s="952"/>
      <c r="N3429" s="952"/>
    </row>
    <row r="3430" spans="1:14">
      <c r="A3430" s="958" t="s">
        <v>354</v>
      </c>
      <c r="B3430" s="958">
        <v>35</v>
      </c>
      <c r="C3430" s="958" t="s">
        <v>5080</v>
      </c>
      <c r="D3430" s="957" t="s">
        <v>5079</v>
      </c>
      <c r="E3430" s="956">
        <v>12445</v>
      </c>
      <c r="F3430" s="955"/>
      <c r="L3430" s="954"/>
      <c r="M3430" s="952"/>
      <c r="N3430" s="952"/>
    </row>
    <row r="3431" spans="1:14">
      <c r="A3431" s="958" t="s">
        <v>354</v>
      </c>
      <c r="B3431" s="958">
        <v>35</v>
      </c>
      <c r="C3431" s="958" t="s">
        <v>5078</v>
      </c>
      <c r="D3431" s="957" t="s">
        <v>5077</v>
      </c>
      <c r="E3431" s="956">
        <v>9868</v>
      </c>
      <c r="F3431" s="955"/>
      <c r="L3431" s="954"/>
      <c r="M3431" s="952"/>
      <c r="N3431" s="952"/>
    </row>
    <row r="3432" spans="1:14">
      <c r="A3432" s="958" t="s">
        <v>354</v>
      </c>
      <c r="B3432" s="958">
        <v>35</v>
      </c>
      <c r="C3432" s="958" t="s">
        <v>5076</v>
      </c>
      <c r="D3432" s="957" t="s">
        <v>5075</v>
      </c>
      <c r="E3432" s="956">
        <v>6102</v>
      </c>
      <c r="F3432" s="955"/>
      <c r="L3432" s="954"/>
      <c r="M3432" s="952"/>
      <c r="N3432" s="952"/>
    </row>
    <row r="3433" spans="1:14">
      <c r="A3433" s="958" t="s">
        <v>354</v>
      </c>
      <c r="B3433" s="958">
        <v>35</v>
      </c>
      <c r="C3433" s="958" t="s">
        <v>5074</v>
      </c>
      <c r="D3433" s="957" t="s">
        <v>1709</v>
      </c>
      <c r="E3433" s="956">
        <v>15494</v>
      </c>
      <c r="F3433" s="955"/>
      <c r="L3433" s="954"/>
      <c r="M3433" s="952"/>
      <c r="N3433" s="952"/>
    </row>
    <row r="3434" spans="1:14">
      <c r="A3434" s="958" t="s">
        <v>354</v>
      </c>
      <c r="B3434" s="958">
        <v>35</v>
      </c>
      <c r="C3434" s="958" t="s">
        <v>5073</v>
      </c>
      <c r="D3434" s="957" t="s">
        <v>5072</v>
      </c>
      <c r="E3434" s="956">
        <v>17772</v>
      </c>
      <c r="F3434" s="955"/>
      <c r="L3434" s="954"/>
      <c r="M3434" s="952"/>
      <c r="N3434" s="952"/>
    </row>
    <row r="3435" spans="1:14">
      <c r="A3435" s="958" t="s">
        <v>354</v>
      </c>
      <c r="B3435" s="958">
        <v>35</v>
      </c>
      <c r="C3435" s="958" t="s">
        <v>5071</v>
      </c>
      <c r="D3435" s="957" t="s">
        <v>5070</v>
      </c>
      <c r="E3435" s="956">
        <v>3651</v>
      </c>
      <c r="F3435" s="955"/>
      <c r="L3435" s="954"/>
      <c r="M3435" s="952"/>
      <c r="N3435" s="952"/>
    </row>
    <row r="3436" spans="1:14">
      <c r="A3436" s="958" t="s">
        <v>354</v>
      </c>
      <c r="B3436" s="958">
        <v>35</v>
      </c>
      <c r="C3436" s="958" t="s">
        <v>5069</v>
      </c>
      <c r="D3436" s="957" t="s">
        <v>5068</v>
      </c>
      <c r="E3436" s="956">
        <v>2452</v>
      </c>
      <c r="F3436" s="955"/>
      <c r="L3436" s="954"/>
      <c r="M3436" s="952"/>
      <c r="N3436" s="952"/>
    </row>
    <row r="3437" spans="1:14">
      <c r="A3437" s="958" t="s">
        <v>354</v>
      </c>
      <c r="B3437" s="958">
        <v>35</v>
      </c>
      <c r="C3437" s="958" t="s">
        <v>5067</v>
      </c>
      <c r="D3437" s="957" t="s">
        <v>5066</v>
      </c>
      <c r="E3437" s="956">
        <v>273726</v>
      </c>
      <c r="F3437" s="955"/>
      <c r="L3437" s="954"/>
      <c r="M3437" s="952"/>
      <c r="N3437" s="952"/>
    </row>
    <row r="3438" spans="1:14">
      <c r="A3438" s="958" t="s">
        <v>354</v>
      </c>
      <c r="B3438" s="958">
        <v>35</v>
      </c>
      <c r="C3438" s="958" t="s">
        <v>5065</v>
      </c>
      <c r="D3438" s="957" t="s">
        <v>5064</v>
      </c>
      <c r="E3438" s="956">
        <v>69385</v>
      </c>
      <c r="F3438" s="955"/>
      <c r="L3438" s="954"/>
      <c r="M3438" s="952"/>
      <c r="N3438" s="952"/>
    </row>
    <row r="3439" spans="1:14">
      <c r="A3439" s="958" t="s">
        <v>354</v>
      </c>
      <c r="B3439" s="958">
        <v>35</v>
      </c>
      <c r="C3439" s="958" t="s">
        <v>5063</v>
      </c>
      <c r="D3439" s="957" t="s">
        <v>5062</v>
      </c>
      <c r="E3439" s="956">
        <v>3214</v>
      </c>
      <c r="F3439" s="955"/>
      <c r="L3439" s="954"/>
      <c r="M3439" s="952"/>
      <c r="N3439" s="952"/>
    </row>
    <row r="3440" spans="1:14">
      <c r="A3440" s="958" t="s">
        <v>354</v>
      </c>
      <c r="B3440" s="958">
        <v>35</v>
      </c>
      <c r="C3440" s="958" t="s">
        <v>5061</v>
      </c>
      <c r="D3440" s="957" t="s">
        <v>5060</v>
      </c>
      <c r="E3440" s="956">
        <v>20773</v>
      </c>
      <c r="F3440" s="955"/>
      <c r="L3440" s="954"/>
      <c r="M3440" s="952"/>
      <c r="N3440" s="952"/>
    </row>
    <row r="3441" spans="1:14">
      <c r="A3441" s="958" t="s">
        <v>354</v>
      </c>
      <c r="B3441" s="958">
        <v>35</v>
      </c>
      <c r="C3441" s="958" t="s">
        <v>5059</v>
      </c>
      <c r="D3441" s="957" t="s">
        <v>5058</v>
      </c>
      <c r="E3441" s="956">
        <v>44330</v>
      </c>
      <c r="F3441" s="955"/>
      <c r="L3441" s="954"/>
      <c r="M3441" s="952"/>
      <c r="N3441" s="952"/>
    </row>
    <row r="3442" spans="1:14">
      <c r="A3442" s="958" t="s">
        <v>354</v>
      </c>
      <c r="B3442" s="958">
        <v>35</v>
      </c>
      <c r="C3442" s="958" t="s">
        <v>5057</v>
      </c>
      <c r="D3442" s="957" t="s">
        <v>5056</v>
      </c>
      <c r="E3442" s="956">
        <v>4829</v>
      </c>
      <c r="F3442" s="955"/>
      <c r="L3442" s="954"/>
      <c r="M3442" s="952"/>
      <c r="N3442" s="952"/>
    </row>
    <row r="3443" spans="1:14">
      <c r="A3443" s="958" t="s">
        <v>354</v>
      </c>
      <c r="B3443" s="958">
        <v>35</v>
      </c>
      <c r="C3443" s="958" t="s">
        <v>5055</v>
      </c>
      <c r="D3443" s="957" t="s">
        <v>5054</v>
      </c>
      <c r="E3443" s="956">
        <v>8419</v>
      </c>
      <c r="F3443" s="955"/>
      <c r="L3443" s="954"/>
      <c r="M3443" s="952"/>
      <c r="N3443" s="952"/>
    </row>
    <row r="3444" spans="1:14">
      <c r="A3444" s="958" t="s">
        <v>354</v>
      </c>
      <c r="B3444" s="958">
        <v>35</v>
      </c>
      <c r="C3444" s="958" t="s">
        <v>5053</v>
      </c>
      <c r="D3444" s="957" t="s">
        <v>1169</v>
      </c>
      <c r="E3444" s="956">
        <v>2766</v>
      </c>
      <c r="F3444" s="955"/>
      <c r="L3444" s="954"/>
      <c r="M3444" s="952"/>
      <c r="N3444" s="952"/>
    </row>
    <row r="3445" spans="1:14">
      <c r="A3445" s="958" t="s">
        <v>354</v>
      </c>
      <c r="B3445" s="958">
        <v>35</v>
      </c>
      <c r="C3445" s="958" t="s">
        <v>5052</v>
      </c>
      <c r="D3445" s="957" t="s">
        <v>5051</v>
      </c>
      <c r="E3445" s="956">
        <v>9371</v>
      </c>
      <c r="F3445" s="955"/>
      <c r="L3445" s="954"/>
      <c r="M3445" s="952"/>
      <c r="N3445" s="952"/>
    </row>
    <row r="3446" spans="1:14">
      <c r="A3446" s="958" t="s">
        <v>354</v>
      </c>
      <c r="B3446" s="958">
        <v>35</v>
      </c>
      <c r="C3446" s="958" t="s">
        <v>5050</v>
      </c>
      <c r="D3446" s="957" t="s">
        <v>5049</v>
      </c>
      <c r="E3446" s="956">
        <v>16036</v>
      </c>
      <c r="F3446" s="955"/>
      <c r="L3446" s="954"/>
      <c r="M3446" s="952"/>
      <c r="N3446" s="952"/>
    </row>
    <row r="3447" spans="1:14">
      <c r="A3447" s="958" t="s">
        <v>354</v>
      </c>
      <c r="B3447" s="958">
        <v>35</v>
      </c>
      <c r="C3447" s="958" t="s">
        <v>5048</v>
      </c>
      <c r="D3447" s="957" t="s">
        <v>5047</v>
      </c>
      <c r="E3447" s="956">
        <v>69116</v>
      </c>
      <c r="F3447" s="955"/>
      <c r="L3447" s="954"/>
      <c r="M3447" s="952"/>
      <c r="N3447" s="952"/>
    </row>
    <row r="3448" spans="1:14">
      <c r="A3448" s="958" t="s">
        <v>354</v>
      </c>
      <c r="B3448" s="958">
        <v>35</v>
      </c>
      <c r="C3448" s="958" t="s">
        <v>5046</v>
      </c>
      <c r="D3448" s="957" t="s">
        <v>5045</v>
      </c>
      <c r="E3448" s="956">
        <v>5783</v>
      </c>
      <c r="F3448" s="955"/>
      <c r="L3448" s="954"/>
      <c r="M3448" s="952"/>
      <c r="N3448" s="952"/>
    </row>
    <row r="3449" spans="1:14">
      <c r="A3449" s="958" t="s">
        <v>354</v>
      </c>
      <c r="B3449" s="958">
        <v>35</v>
      </c>
      <c r="C3449" s="958" t="s">
        <v>5044</v>
      </c>
      <c r="D3449" s="957" t="s">
        <v>5043</v>
      </c>
      <c r="E3449" s="956">
        <v>1716</v>
      </c>
      <c r="F3449" s="955"/>
      <c r="L3449" s="954"/>
      <c r="M3449" s="952"/>
      <c r="N3449" s="952"/>
    </row>
    <row r="3450" spans="1:14">
      <c r="A3450" s="958" t="s">
        <v>354</v>
      </c>
      <c r="B3450" s="958">
        <v>35</v>
      </c>
      <c r="C3450" s="958" t="s">
        <v>5042</v>
      </c>
      <c r="D3450" s="957" t="s">
        <v>5041</v>
      </c>
      <c r="E3450" s="956">
        <v>194276</v>
      </c>
      <c r="F3450" s="955"/>
      <c r="L3450" s="954"/>
      <c r="M3450" s="952"/>
      <c r="N3450" s="952"/>
    </row>
    <row r="3451" spans="1:14">
      <c r="A3451" s="958" t="s">
        <v>354</v>
      </c>
      <c r="B3451" s="958">
        <v>35</v>
      </c>
      <c r="C3451" s="958" t="s">
        <v>5040</v>
      </c>
      <c r="D3451" s="957" t="s">
        <v>5039</v>
      </c>
      <c r="E3451" s="956">
        <v>1464</v>
      </c>
      <c r="F3451" s="955"/>
      <c r="L3451" s="954"/>
      <c r="M3451" s="952"/>
      <c r="N3451" s="952"/>
    </row>
    <row r="3452" spans="1:14">
      <c r="A3452" s="958" t="s">
        <v>354</v>
      </c>
      <c r="B3452" s="958">
        <v>35</v>
      </c>
      <c r="C3452" s="958" t="s">
        <v>5038</v>
      </c>
      <c r="D3452" s="957" t="s">
        <v>5037</v>
      </c>
      <c r="E3452" s="956">
        <v>2917</v>
      </c>
      <c r="F3452" s="955"/>
      <c r="L3452" s="954"/>
      <c r="M3452" s="952"/>
      <c r="N3452" s="952"/>
    </row>
    <row r="3453" spans="1:14">
      <c r="A3453" s="958" t="s">
        <v>354</v>
      </c>
      <c r="B3453" s="958">
        <v>35</v>
      </c>
      <c r="C3453" s="958" t="s">
        <v>5036</v>
      </c>
      <c r="D3453" s="957" t="s">
        <v>5035</v>
      </c>
      <c r="E3453" s="956">
        <v>14640</v>
      </c>
      <c r="F3453" s="955"/>
      <c r="L3453" s="954"/>
      <c r="M3453" s="952"/>
      <c r="N3453" s="952"/>
    </row>
    <row r="3454" spans="1:14">
      <c r="A3454" s="958" t="s">
        <v>354</v>
      </c>
      <c r="B3454" s="958">
        <v>35</v>
      </c>
      <c r="C3454" s="958" t="s">
        <v>5034</v>
      </c>
      <c r="D3454" s="957" t="s">
        <v>5033</v>
      </c>
      <c r="E3454" s="956">
        <v>2676</v>
      </c>
      <c r="F3454" s="955"/>
      <c r="L3454" s="954"/>
      <c r="M3454" s="952"/>
      <c r="N3454" s="952"/>
    </row>
    <row r="3455" spans="1:14">
      <c r="A3455" s="958" t="s">
        <v>354</v>
      </c>
      <c r="B3455" s="958">
        <v>35</v>
      </c>
      <c r="C3455" s="958" t="s">
        <v>5032</v>
      </c>
      <c r="D3455" s="957" t="s">
        <v>5031</v>
      </c>
      <c r="E3455" s="956">
        <v>353187</v>
      </c>
      <c r="F3455" s="955"/>
      <c r="L3455" s="954"/>
      <c r="M3455" s="952"/>
      <c r="N3455" s="952"/>
    </row>
    <row r="3456" spans="1:14">
      <c r="A3456" s="958" t="s">
        <v>354</v>
      </c>
      <c r="B3456" s="958">
        <v>35</v>
      </c>
      <c r="C3456" s="958" t="s">
        <v>5030</v>
      </c>
      <c r="D3456" s="957" t="s">
        <v>5029</v>
      </c>
      <c r="E3456" s="956">
        <v>175844</v>
      </c>
      <c r="F3456" s="955"/>
      <c r="L3456" s="954"/>
      <c r="M3456" s="952"/>
      <c r="N3456" s="952"/>
    </row>
    <row r="3457" spans="1:14">
      <c r="A3457" s="958" t="s">
        <v>354</v>
      </c>
      <c r="B3457" s="958">
        <v>35</v>
      </c>
      <c r="C3457" s="958" t="s">
        <v>5028</v>
      </c>
      <c r="D3457" s="957" t="s">
        <v>5027</v>
      </c>
      <c r="E3457" s="956">
        <v>154489</v>
      </c>
      <c r="F3457" s="955"/>
      <c r="L3457" s="954"/>
      <c r="M3457" s="952"/>
      <c r="N3457" s="952"/>
    </row>
    <row r="3458" spans="1:14">
      <c r="A3458" s="958" t="s">
        <v>354</v>
      </c>
      <c r="B3458" s="958">
        <v>35</v>
      </c>
      <c r="C3458" s="958" t="s">
        <v>5026</v>
      </c>
      <c r="D3458" s="957" t="s">
        <v>5025</v>
      </c>
      <c r="E3458" s="956">
        <v>2776</v>
      </c>
      <c r="F3458" s="955"/>
      <c r="L3458" s="954"/>
      <c r="M3458" s="952"/>
      <c r="N3458" s="952"/>
    </row>
    <row r="3459" spans="1:14">
      <c r="A3459" s="958" t="s">
        <v>354</v>
      </c>
      <c r="B3459" s="958">
        <v>35</v>
      </c>
      <c r="C3459" s="958" t="s">
        <v>5024</v>
      </c>
      <c r="D3459" s="957" t="s">
        <v>5023</v>
      </c>
      <c r="E3459" s="956">
        <v>6548</v>
      </c>
      <c r="F3459" s="955"/>
      <c r="L3459" s="954"/>
      <c r="M3459" s="952"/>
      <c r="N3459" s="952"/>
    </row>
    <row r="3460" spans="1:14">
      <c r="A3460" s="958" t="s">
        <v>354</v>
      </c>
      <c r="B3460" s="958">
        <v>35</v>
      </c>
      <c r="C3460" s="958" t="s">
        <v>5022</v>
      </c>
      <c r="D3460" s="957" t="s">
        <v>5021</v>
      </c>
      <c r="E3460" s="956">
        <v>44390</v>
      </c>
      <c r="F3460" s="955"/>
      <c r="L3460" s="954"/>
      <c r="M3460" s="952"/>
      <c r="N3460" s="952"/>
    </row>
    <row r="3461" spans="1:14">
      <c r="A3461" s="958" t="s">
        <v>354</v>
      </c>
      <c r="B3461" s="958">
        <v>35</v>
      </c>
      <c r="C3461" s="958" t="s">
        <v>5020</v>
      </c>
      <c r="D3461" s="957" t="s">
        <v>5019</v>
      </c>
      <c r="E3461" s="956">
        <v>4808</v>
      </c>
      <c r="F3461" s="955"/>
      <c r="L3461" s="954"/>
      <c r="M3461" s="952"/>
      <c r="N3461" s="952"/>
    </row>
    <row r="3462" spans="1:14">
      <c r="A3462" s="958" t="s">
        <v>354</v>
      </c>
      <c r="B3462" s="958">
        <v>35</v>
      </c>
      <c r="C3462" s="958" t="s">
        <v>5018</v>
      </c>
      <c r="D3462" s="957" t="s">
        <v>5017</v>
      </c>
      <c r="E3462" s="956">
        <v>4789</v>
      </c>
      <c r="F3462" s="955"/>
      <c r="L3462" s="954"/>
      <c r="M3462" s="952"/>
      <c r="N3462" s="952"/>
    </row>
    <row r="3463" spans="1:14">
      <c r="A3463" s="958" t="s">
        <v>354</v>
      </c>
      <c r="B3463" s="958">
        <v>35</v>
      </c>
      <c r="C3463" s="958" t="s">
        <v>5016</v>
      </c>
      <c r="D3463" s="957" t="s">
        <v>5015</v>
      </c>
      <c r="E3463" s="956">
        <v>10869</v>
      </c>
      <c r="F3463" s="955"/>
      <c r="L3463" s="954"/>
      <c r="M3463" s="952"/>
      <c r="N3463" s="952"/>
    </row>
    <row r="3464" spans="1:14">
      <c r="A3464" s="958" t="s">
        <v>354</v>
      </c>
      <c r="B3464" s="958">
        <v>35</v>
      </c>
      <c r="C3464" s="958" t="s">
        <v>5014</v>
      </c>
      <c r="D3464" s="957" t="s">
        <v>5013</v>
      </c>
      <c r="E3464" s="956">
        <v>11409</v>
      </c>
      <c r="F3464" s="955"/>
      <c r="L3464" s="954"/>
      <c r="M3464" s="952"/>
      <c r="N3464" s="952"/>
    </row>
    <row r="3465" spans="1:14">
      <c r="A3465" s="958" t="s">
        <v>354</v>
      </c>
      <c r="B3465" s="958">
        <v>35</v>
      </c>
      <c r="C3465" s="958" t="s">
        <v>5012</v>
      </c>
      <c r="D3465" s="957" t="s">
        <v>5011</v>
      </c>
      <c r="E3465" s="956">
        <v>4815</v>
      </c>
      <c r="F3465" s="955"/>
      <c r="L3465" s="954"/>
      <c r="M3465" s="952"/>
      <c r="N3465" s="952"/>
    </row>
    <row r="3466" spans="1:14">
      <c r="A3466" s="958" t="s">
        <v>354</v>
      </c>
      <c r="B3466" s="958">
        <v>35</v>
      </c>
      <c r="C3466" s="958" t="s">
        <v>5010</v>
      </c>
      <c r="D3466" s="957" t="s">
        <v>5009</v>
      </c>
      <c r="E3466" s="956">
        <v>12168</v>
      </c>
      <c r="F3466" s="955"/>
      <c r="L3466" s="954"/>
      <c r="M3466" s="952"/>
      <c r="N3466" s="952"/>
    </row>
    <row r="3467" spans="1:14">
      <c r="A3467" s="958" t="s">
        <v>354</v>
      </c>
      <c r="B3467" s="958">
        <v>35</v>
      </c>
      <c r="C3467" s="958" t="s">
        <v>5008</v>
      </c>
      <c r="D3467" s="957" t="s">
        <v>5007</v>
      </c>
      <c r="E3467" s="956">
        <v>5765</v>
      </c>
      <c r="F3467" s="955"/>
      <c r="L3467" s="954"/>
      <c r="M3467" s="952"/>
      <c r="N3467" s="952"/>
    </row>
    <row r="3468" spans="1:14">
      <c r="A3468" s="958" t="s">
        <v>354</v>
      </c>
      <c r="B3468" s="958">
        <v>35</v>
      </c>
      <c r="C3468" s="958" t="s">
        <v>5006</v>
      </c>
      <c r="D3468" s="957" t="s">
        <v>3886</v>
      </c>
      <c r="E3468" s="956">
        <v>40790</v>
      </c>
      <c r="F3468" s="955"/>
      <c r="L3468" s="954"/>
      <c r="M3468" s="952"/>
      <c r="N3468" s="952"/>
    </row>
    <row r="3469" spans="1:14">
      <c r="A3469" s="958" t="s">
        <v>354</v>
      </c>
      <c r="B3469" s="958">
        <v>35</v>
      </c>
      <c r="C3469" s="958" t="s">
        <v>5005</v>
      </c>
      <c r="D3469" s="957" t="s">
        <v>5004</v>
      </c>
      <c r="E3469" s="956">
        <v>21454</v>
      </c>
      <c r="F3469" s="955"/>
      <c r="L3469" s="954"/>
      <c r="M3469" s="952"/>
      <c r="N3469" s="952"/>
    </row>
    <row r="3470" spans="1:14">
      <c r="A3470" s="958" t="s">
        <v>354</v>
      </c>
      <c r="B3470" s="958">
        <v>35</v>
      </c>
      <c r="C3470" s="958" t="s">
        <v>5003</v>
      </c>
      <c r="D3470" s="957" t="s">
        <v>5002</v>
      </c>
      <c r="E3470" s="956">
        <v>17157</v>
      </c>
      <c r="F3470" s="955"/>
      <c r="L3470" s="954"/>
      <c r="M3470" s="952"/>
      <c r="N3470" s="952"/>
    </row>
    <row r="3471" spans="1:14">
      <c r="A3471" s="958" t="s">
        <v>354</v>
      </c>
      <c r="B3471" s="958">
        <v>35</v>
      </c>
      <c r="C3471" s="958" t="s">
        <v>5001</v>
      </c>
      <c r="D3471" s="957" t="s">
        <v>5000</v>
      </c>
      <c r="E3471" s="956">
        <v>21220</v>
      </c>
      <c r="F3471" s="955"/>
      <c r="L3471" s="954"/>
      <c r="M3471" s="952"/>
      <c r="N3471" s="952"/>
    </row>
    <row r="3472" spans="1:14">
      <c r="A3472" s="958" t="s">
        <v>354</v>
      </c>
      <c r="B3472" s="958">
        <v>35</v>
      </c>
      <c r="C3472" s="958" t="s">
        <v>4999</v>
      </c>
      <c r="D3472" s="957" t="s">
        <v>4998</v>
      </c>
      <c r="E3472" s="956">
        <v>8323</v>
      </c>
      <c r="F3472" s="955"/>
      <c r="L3472" s="954"/>
      <c r="M3472" s="952"/>
      <c r="N3472" s="952"/>
    </row>
    <row r="3473" spans="1:14">
      <c r="A3473" s="958" t="s">
        <v>354</v>
      </c>
      <c r="B3473" s="958">
        <v>35</v>
      </c>
      <c r="C3473" s="958" t="s">
        <v>4997</v>
      </c>
      <c r="D3473" s="957" t="s">
        <v>3876</v>
      </c>
      <c r="E3473" s="956">
        <v>11188</v>
      </c>
      <c r="F3473" s="955"/>
      <c r="L3473" s="954"/>
      <c r="M3473" s="952"/>
      <c r="N3473" s="952"/>
    </row>
    <row r="3474" spans="1:14">
      <c r="A3474" s="958" t="s">
        <v>354</v>
      </c>
      <c r="B3474" s="958">
        <v>35</v>
      </c>
      <c r="C3474" s="958" t="s">
        <v>4996</v>
      </c>
      <c r="D3474" s="957" t="s">
        <v>4995</v>
      </c>
      <c r="E3474" s="956">
        <v>2000</v>
      </c>
      <c r="F3474" s="955"/>
      <c r="L3474" s="954"/>
      <c r="M3474" s="952"/>
      <c r="N3474" s="952"/>
    </row>
    <row r="3475" spans="1:14">
      <c r="A3475" s="958" t="s">
        <v>354</v>
      </c>
      <c r="B3475" s="958">
        <v>35</v>
      </c>
      <c r="C3475" s="958" t="s">
        <v>4994</v>
      </c>
      <c r="D3475" s="957" t="s">
        <v>4993</v>
      </c>
      <c r="E3475" s="956">
        <v>6664</v>
      </c>
      <c r="F3475" s="955"/>
      <c r="L3475" s="954"/>
      <c r="M3475" s="952"/>
      <c r="N3475" s="952"/>
    </row>
    <row r="3476" spans="1:14">
      <c r="A3476" s="958" t="s">
        <v>354</v>
      </c>
      <c r="B3476" s="958">
        <v>35</v>
      </c>
      <c r="C3476" s="958" t="s">
        <v>4992</v>
      </c>
      <c r="D3476" s="957" t="s">
        <v>4991</v>
      </c>
      <c r="E3476" s="956">
        <v>32939</v>
      </c>
      <c r="F3476" s="955"/>
      <c r="L3476" s="954"/>
      <c r="M3476" s="952"/>
      <c r="N3476" s="952"/>
    </row>
    <row r="3477" spans="1:14">
      <c r="A3477" s="958" t="s">
        <v>354</v>
      </c>
      <c r="B3477" s="958">
        <v>35</v>
      </c>
      <c r="C3477" s="958" t="s">
        <v>4990</v>
      </c>
      <c r="D3477" s="957" t="s">
        <v>4989</v>
      </c>
      <c r="E3477" s="956">
        <v>29798</v>
      </c>
      <c r="F3477" s="955"/>
      <c r="L3477" s="954"/>
      <c r="M3477" s="952"/>
      <c r="N3477" s="952"/>
    </row>
    <row r="3478" spans="1:14">
      <c r="A3478" s="958" t="s">
        <v>354</v>
      </c>
      <c r="B3478" s="958">
        <v>35</v>
      </c>
      <c r="C3478" s="958" t="s">
        <v>4988</v>
      </c>
      <c r="D3478" s="957" t="s">
        <v>4987</v>
      </c>
      <c r="E3478" s="956">
        <v>121798</v>
      </c>
      <c r="F3478" s="955"/>
      <c r="L3478" s="954"/>
      <c r="M3478" s="952"/>
      <c r="N3478" s="952"/>
    </row>
    <row r="3479" spans="1:14">
      <c r="A3479" s="958" t="s">
        <v>354</v>
      </c>
      <c r="B3479" s="958">
        <v>35</v>
      </c>
      <c r="C3479" s="958" t="s">
        <v>4986</v>
      </c>
      <c r="D3479" s="957" t="s">
        <v>4985</v>
      </c>
      <c r="E3479" s="956">
        <v>18520</v>
      </c>
      <c r="F3479" s="955"/>
      <c r="L3479" s="954"/>
      <c r="M3479" s="952"/>
      <c r="N3479" s="952"/>
    </row>
    <row r="3480" spans="1:14">
      <c r="A3480" s="958" t="s">
        <v>354</v>
      </c>
      <c r="B3480" s="958">
        <v>35</v>
      </c>
      <c r="C3480" s="958" t="s">
        <v>4984</v>
      </c>
      <c r="D3480" s="957" t="s">
        <v>4983</v>
      </c>
      <c r="E3480" s="956">
        <v>40105</v>
      </c>
      <c r="F3480" s="955"/>
      <c r="L3480" s="954"/>
      <c r="M3480" s="952"/>
      <c r="N3480" s="952"/>
    </row>
    <row r="3481" spans="1:14">
      <c r="A3481" s="958" t="s">
        <v>354</v>
      </c>
      <c r="B3481" s="958">
        <v>35</v>
      </c>
      <c r="C3481" s="958" t="s">
        <v>4982</v>
      </c>
      <c r="D3481" s="957" t="s">
        <v>4981</v>
      </c>
      <c r="E3481" s="956">
        <v>320459</v>
      </c>
      <c r="F3481" s="955"/>
      <c r="L3481" s="954"/>
      <c r="M3481" s="952"/>
      <c r="N3481" s="952"/>
    </row>
    <row r="3482" spans="1:14">
      <c r="A3482" s="958" t="s">
        <v>354</v>
      </c>
      <c r="B3482" s="958">
        <v>35</v>
      </c>
      <c r="C3482" s="958" t="s">
        <v>4980</v>
      </c>
      <c r="D3482" s="957" t="s">
        <v>4979</v>
      </c>
      <c r="E3482" s="956">
        <v>1379182</v>
      </c>
      <c r="F3482" s="955"/>
      <c r="L3482" s="954"/>
      <c r="M3482" s="952"/>
      <c r="N3482" s="952"/>
    </row>
    <row r="3483" spans="1:14">
      <c r="A3483" s="958" t="s">
        <v>354</v>
      </c>
      <c r="B3483" s="958">
        <v>35</v>
      </c>
      <c r="C3483" s="958" t="s">
        <v>4978</v>
      </c>
      <c r="D3483" s="957" t="s">
        <v>4977</v>
      </c>
      <c r="E3483" s="956">
        <v>7656</v>
      </c>
      <c r="F3483" s="955"/>
      <c r="L3483" s="954"/>
      <c r="M3483" s="952"/>
      <c r="N3483" s="952"/>
    </row>
    <row r="3484" spans="1:14">
      <c r="A3484" s="958" t="s">
        <v>354</v>
      </c>
      <c r="B3484" s="958">
        <v>35</v>
      </c>
      <c r="C3484" s="958" t="s">
        <v>4976</v>
      </c>
      <c r="D3484" s="957" t="s">
        <v>4975</v>
      </c>
      <c r="E3484" s="956">
        <v>5267</v>
      </c>
      <c r="F3484" s="955"/>
      <c r="L3484" s="954"/>
      <c r="M3484" s="952"/>
      <c r="N3484" s="952"/>
    </row>
    <row r="3485" spans="1:14">
      <c r="A3485" s="958" t="s">
        <v>354</v>
      </c>
      <c r="B3485" s="958">
        <v>35</v>
      </c>
      <c r="C3485" s="958" t="s">
        <v>4974</v>
      </c>
      <c r="D3485" s="957" t="s">
        <v>4973</v>
      </c>
      <c r="E3485" s="956">
        <v>9526</v>
      </c>
      <c r="F3485" s="955"/>
      <c r="L3485" s="954"/>
      <c r="M3485" s="952"/>
      <c r="N3485" s="952"/>
    </row>
    <row r="3486" spans="1:14">
      <c r="A3486" s="958" t="s">
        <v>354</v>
      </c>
      <c r="B3486" s="958">
        <v>35</v>
      </c>
      <c r="C3486" s="958" t="s">
        <v>4972</v>
      </c>
      <c r="D3486" s="957" t="s">
        <v>4971</v>
      </c>
      <c r="E3486" s="956">
        <v>14930</v>
      </c>
      <c r="F3486" s="955"/>
      <c r="L3486" s="954"/>
      <c r="M3486" s="952"/>
      <c r="N3486" s="952"/>
    </row>
    <row r="3487" spans="1:14">
      <c r="A3487" s="958" t="s">
        <v>354</v>
      </c>
      <c r="B3487" s="958">
        <v>35</v>
      </c>
      <c r="C3487" s="958" t="s">
        <v>4970</v>
      </c>
      <c r="D3487" s="957" t="s">
        <v>4969</v>
      </c>
      <c r="E3487" s="956">
        <v>230851</v>
      </c>
      <c r="F3487" s="955"/>
      <c r="L3487" s="954"/>
      <c r="M3487" s="952"/>
      <c r="N3487" s="952"/>
    </row>
    <row r="3488" spans="1:14">
      <c r="A3488" s="958" t="s">
        <v>354</v>
      </c>
      <c r="B3488" s="958">
        <v>35</v>
      </c>
      <c r="C3488" s="958" t="s">
        <v>4968</v>
      </c>
      <c r="D3488" s="957" t="s">
        <v>4967</v>
      </c>
      <c r="E3488" s="956">
        <v>11710</v>
      </c>
      <c r="F3488" s="955"/>
      <c r="L3488" s="954"/>
      <c r="M3488" s="952"/>
      <c r="N3488" s="952"/>
    </row>
    <row r="3489" spans="1:14">
      <c r="A3489" s="958" t="s">
        <v>354</v>
      </c>
      <c r="B3489" s="958">
        <v>35</v>
      </c>
      <c r="C3489" s="958" t="s">
        <v>4966</v>
      </c>
      <c r="D3489" s="957" t="s">
        <v>4965</v>
      </c>
      <c r="E3489" s="956">
        <v>6321</v>
      </c>
      <c r="F3489" s="955"/>
      <c r="L3489" s="954"/>
      <c r="M3489" s="952"/>
      <c r="N3489" s="952"/>
    </row>
    <row r="3490" spans="1:14">
      <c r="A3490" s="958" t="s">
        <v>354</v>
      </c>
      <c r="B3490" s="958">
        <v>35</v>
      </c>
      <c r="C3490" s="958" t="s">
        <v>4964</v>
      </c>
      <c r="D3490" s="957" t="s">
        <v>4963</v>
      </c>
      <c r="E3490" s="956">
        <v>9240</v>
      </c>
      <c r="F3490" s="955"/>
      <c r="L3490" s="954"/>
      <c r="M3490" s="952"/>
      <c r="N3490" s="952"/>
    </row>
    <row r="3491" spans="1:14">
      <c r="A3491" s="958" t="s">
        <v>354</v>
      </c>
      <c r="B3491" s="958">
        <v>35</v>
      </c>
      <c r="C3491" s="958" t="s">
        <v>4962</v>
      </c>
      <c r="D3491" s="957" t="s">
        <v>4961</v>
      </c>
      <c r="E3491" s="956">
        <v>35104</v>
      </c>
      <c r="F3491" s="955"/>
      <c r="L3491" s="954"/>
      <c r="M3491" s="952"/>
      <c r="N3491" s="952"/>
    </row>
    <row r="3492" spans="1:14">
      <c r="A3492" s="958" t="s">
        <v>354</v>
      </c>
      <c r="B3492" s="958">
        <v>35</v>
      </c>
      <c r="C3492" s="958" t="s">
        <v>4960</v>
      </c>
      <c r="D3492" s="957" t="s">
        <v>4959</v>
      </c>
      <c r="E3492" s="956">
        <v>12393</v>
      </c>
      <c r="F3492" s="955"/>
      <c r="L3492" s="954"/>
      <c r="M3492" s="952"/>
      <c r="N3492" s="952"/>
    </row>
    <row r="3493" spans="1:14">
      <c r="A3493" s="958" t="s">
        <v>354</v>
      </c>
      <c r="B3493" s="958">
        <v>35</v>
      </c>
      <c r="C3493" s="958" t="s">
        <v>4958</v>
      </c>
      <c r="D3493" s="957" t="s">
        <v>4957</v>
      </c>
      <c r="E3493" s="956">
        <v>7753</v>
      </c>
      <c r="F3493" s="955"/>
      <c r="L3493" s="954"/>
      <c r="M3493" s="952"/>
      <c r="N3493" s="952"/>
    </row>
    <row r="3494" spans="1:14">
      <c r="A3494" s="958" t="s">
        <v>354</v>
      </c>
      <c r="B3494" s="958">
        <v>35</v>
      </c>
      <c r="C3494" s="958" t="s">
        <v>4956</v>
      </c>
      <c r="D3494" s="957" t="s">
        <v>4955</v>
      </c>
      <c r="E3494" s="956">
        <v>60033</v>
      </c>
      <c r="F3494" s="955"/>
      <c r="L3494" s="954"/>
      <c r="M3494" s="952"/>
      <c r="N3494" s="952"/>
    </row>
    <row r="3495" spans="1:14">
      <c r="A3495" s="958" t="s">
        <v>354</v>
      </c>
      <c r="B3495" s="958">
        <v>35</v>
      </c>
      <c r="C3495" s="958" t="s">
        <v>4954</v>
      </c>
      <c r="D3495" s="957" t="s">
        <v>4953</v>
      </c>
      <c r="E3495" s="956">
        <v>78878</v>
      </c>
      <c r="F3495" s="955"/>
      <c r="L3495" s="954"/>
      <c r="M3495" s="952"/>
      <c r="N3495" s="952"/>
    </row>
    <row r="3496" spans="1:14">
      <c r="A3496" s="958" t="s">
        <v>354</v>
      </c>
      <c r="B3496" s="958">
        <v>35</v>
      </c>
      <c r="C3496" s="958" t="s">
        <v>4952</v>
      </c>
      <c r="D3496" s="957" t="s">
        <v>4951</v>
      </c>
      <c r="E3496" s="956">
        <v>8243</v>
      </c>
      <c r="F3496" s="955"/>
      <c r="L3496" s="954"/>
      <c r="M3496" s="952"/>
      <c r="N3496" s="952"/>
    </row>
    <row r="3497" spans="1:14">
      <c r="A3497" s="958" t="s">
        <v>354</v>
      </c>
      <c r="B3497" s="958">
        <v>35</v>
      </c>
      <c r="C3497" s="958" t="s">
        <v>4950</v>
      </c>
      <c r="D3497" s="957" t="s">
        <v>4949</v>
      </c>
      <c r="E3497" s="956">
        <v>8159</v>
      </c>
      <c r="F3497" s="955"/>
      <c r="L3497" s="954"/>
      <c r="M3497" s="952"/>
      <c r="N3497" s="952"/>
    </row>
    <row r="3498" spans="1:14">
      <c r="A3498" s="958" t="s">
        <v>354</v>
      </c>
      <c r="B3498" s="958">
        <v>35</v>
      </c>
      <c r="C3498" s="958" t="s">
        <v>4948</v>
      </c>
      <c r="D3498" s="957" t="s">
        <v>4947</v>
      </c>
      <c r="E3498" s="956">
        <v>24674</v>
      </c>
      <c r="F3498" s="955"/>
      <c r="L3498" s="954"/>
      <c r="M3498" s="952"/>
      <c r="N3498" s="952"/>
    </row>
    <row r="3499" spans="1:14">
      <c r="A3499" s="958" t="s">
        <v>354</v>
      </c>
      <c r="B3499" s="958">
        <v>35</v>
      </c>
      <c r="C3499" s="958" t="s">
        <v>4946</v>
      </c>
      <c r="D3499" s="957" t="s">
        <v>4945</v>
      </c>
      <c r="E3499" s="956">
        <v>30432</v>
      </c>
      <c r="F3499" s="955"/>
      <c r="L3499" s="954"/>
      <c r="M3499" s="952"/>
      <c r="N3499" s="952"/>
    </row>
    <row r="3500" spans="1:14">
      <c r="A3500" s="958" t="s">
        <v>354</v>
      </c>
      <c r="B3500" s="958">
        <v>35</v>
      </c>
      <c r="C3500" s="958" t="s">
        <v>4944</v>
      </c>
      <c r="D3500" s="957" t="s">
        <v>4943</v>
      </c>
      <c r="E3500" s="956">
        <v>9534</v>
      </c>
      <c r="F3500" s="955"/>
      <c r="L3500" s="954"/>
      <c r="M3500" s="952"/>
      <c r="N3500" s="952"/>
    </row>
    <row r="3501" spans="1:14">
      <c r="A3501" s="958" t="s">
        <v>354</v>
      </c>
      <c r="B3501" s="958">
        <v>35</v>
      </c>
      <c r="C3501" s="958" t="s">
        <v>4942</v>
      </c>
      <c r="D3501" s="957" t="s">
        <v>4941</v>
      </c>
      <c r="E3501" s="956">
        <v>30857</v>
      </c>
      <c r="F3501" s="955"/>
      <c r="L3501" s="954"/>
      <c r="M3501" s="952"/>
      <c r="N3501" s="952"/>
    </row>
    <row r="3502" spans="1:14">
      <c r="A3502" s="958" t="s">
        <v>354</v>
      </c>
      <c r="B3502" s="958">
        <v>35</v>
      </c>
      <c r="C3502" s="958" t="s">
        <v>4940</v>
      </c>
      <c r="D3502" s="957" t="s">
        <v>4939</v>
      </c>
      <c r="E3502" s="956">
        <v>34970</v>
      </c>
      <c r="F3502" s="955"/>
      <c r="L3502" s="954"/>
      <c r="M3502" s="952"/>
      <c r="N3502" s="952"/>
    </row>
    <row r="3503" spans="1:14">
      <c r="A3503" s="958" t="s">
        <v>354</v>
      </c>
      <c r="B3503" s="958">
        <v>35</v>
      </c>
      <c r="C3503" s="958" t="s">
        <v>4938</v>
      </c>
      <c r="D3503" s="957" t="s">
        <v>4937</v>
      </c>
      <c r="E3503" s="956">
        <v>11166</v>
      </c>
      <c r="F3503" s="955"/>
      <c r="L3503" s="954"/>
      <c r="M3503" s="952"/>
      <c r="N3503" s="952"/>
    </row>
    <row r="3504" spans="1:14">
      <c r="A3504" s="958" t="s">
        <v>354</v>
      </c>
      <c r="B3504" s="958">
        <v>35</v>
      </c>
      <c r="C3504" s="958" t="s">
        <v>4936</v>
      </c>
      <c r="D3504" s="957" t="s">
        <v>4935</v>
      </c>
      <c r="E3504" s="956">
        <v>26686</v>
      </c>
      <c r="F3504" s="955"/>
      <c r="L3504" s="954"/>
      <c r="M3504" s="952"/>
      <c r="N3504" s="952"/>
    </row>
    <row r="3505" spans="1:14">
      <c r="A3505" s="958" t="s">
        <v>354</v>
      </c>
      <c r="B3505" s="958">
        <v>35</v>
      </c>
      <c r="C3505" s="958" t="s">
        <v>4934</v>
      </c>
      <c r="D3505" s="957" t="s">
        <v>4933</v>
      </c>
      <c r="E3505" s="956">
        <v>251627</v>
      </c>
      <c r="F3505" s="955"/>
      <c r="L3505" s="954"/>
      <c r="M3505" s="952"/>
      <c r="N3505" s="952"/>
    </row>
    <row r="3506" spans="1:14">
      <c r="A3506" s="958" t="s">
        <v>354</v>
      </c>
      <c r="B3506" s="958">
        <v>35</v>
      </c>
      <c r="C3506" s="958" t="s">
        <v>4932</v>
      </c>
      <c r="D3506" s="957" t="s">
        <v>4931</v>
      </c>
      <c r="E3506" s="956">
        <v>4885</v>
      </c>
      <c r="F3506" s="955"/>
      <c r="L3506" s="954"/>
      <c r="M3506" s="952"/>
      <c r="N3506" s="952"/>
    </row>
    <row r="3507" spans="1:14">
      <c r="A3507" s="958" t="s">
        <v>354</v>
      </c>
      <c r="B3507" s="958">
        <v>35</v>
      </c>
      <c r="C3507" s="958" t="s">
        <v>4930</v>
      </c>
      <c r="D3507" s="957" t="s">
        <v>4929</v>
      </c>
      <c r="E3507" s="956">
        <v>3897</v>
      </c>
      <c r="F3507" s="955"/>
      <c r="L3507" s="954"/>
      <c r="M3507" s="952"/>
      <c r="N3507" s="952"/>
    </row>
    <row r="3508" spans="1:14">
      <c r="A3508" s="958" t="s">
        <v>354</v>
      </c>
      <c r="B3508" s="958">
        <v>35</v>
      </c>
      <c r="C3508" s="958" t="s">
        <v>4928</v>
      </c>
      <c r="D3508" s="957" t="s">
        <v>4927</v>
      </c>
      <c r="E3508" s="956">
        <v>3991</v>
      </c>
      <c r="F3508" s="955"/>
      <c r="L3508" s="954"/>
      <c r="M3508" s="952"/>
      <c r="N3508" s="952"/>
    </row>
    <row r="3509" spans="1:14">
      <c r="A3509" s="958" t="s">
        <v>354</v>
      </c>
      <c r="B3509" s="958">
        <v>35</v>
      </c>
      <c r="C3509" s="958" t="s">
        <v>4926</v>
      </c>
      <c r="D3509" s="957" t="s">
        <v>4925</v>
      </c>
      <c r="E3509" s="956">
        <v>14971</v>
      </c>
      <c r="F3509" s="955"/>
      <c r="L3509" s="954"/>
      <c r="M3509" s="952"/>
      <c r="N3509" s="952"/>
    </row>
    <row r="3510" spans="1:14">
      <c r="A3510" s="958" t="s">
        <v>354</v>
      </c>
      <c r="B3510" s="958">
        <v>35</v>
      </c>
      <c r="C3510" s="958" t="s">
        <v>4924</v>
      </c>
      <c r="D3510" s="957" t="s">
        <v>4923</v>
      </c>
      <c r="E3510" s="956">
        <v>37133</v>
      </c>
      <c r="F3510" s="955"/>
      <c r="L3510" s="954"/>
      <c r="M3510" s="952"/>
      <c r="N3510" s="952"/>
    </row>
    <row r="3511" spans="1:14">
      <c r="A3511" s="958" t="s">
        <v>354</v>
      </c>
      <c r="B3511" s="958">
        <v>35</v>
      </c>
      <c r="C3511" s="958" t="s">
        <v>4922</v>
      </c>
      <c r="D3511" s="957" t="s">
        <v>4921</v>
      </c>
      <c r="E3511" s="956">
        <v>7546</v>
      </c>
      <c r="F3511" s="955"/>
      <c r="L3511" s="954"/>
      <c r="M3511" s="952"/>
      <c r="N3511" s="952"/>
    </row>
    <row r="3512" spans="1:14">
      <c r="A3512" s="958" t="s">
        <v>354</v>
      </c>
      <c r="B3512" s="958">
        <v>35</v>
      </c>
      <c r="C3512" s="958" t="s">
        <v>4920</v>
      </c>
      <c r="D3512" s="957" t="s">
        <v>4919</v>
      </c>
      <c r="E3512" s="956">
        <v>5392</v>
      </c>
      <c r="F3512" s="955"/>
      <c r="L3512" s="954"/>
      <c r="M3512" s="952"/>
      <c r="N3512" s="952"/>
    </row>
    <row r="3513" spans="1:14">
      <c r="A3513" s="958" t="s">
        <v>354</v>
      </c>
      <c r="B3513" s="958">
        <v>35</v>
      </c>
      <c r="C3513" s="958" t="s">
        <v>4918</v>
      </c>
      <c r="D3513" s="957" t="s">
        <v>4917</v>
      </c>
      <c r="E3513" s="956">
        <v>4218</v>
      </c>
      <c r="F3513" s="955"/>
      <c r="L3513" s="954"/>
      <c r="M3513" s="952"/>
      <c r="N3513" s="952"/>
    </row>
    <row r="3514" spans="1:14">
      <c r="A3514" s="958" t="s">
        <v>354</v>
      </c>
      <c r="B3514" s="958">
        <v>35</v>
      </c>
      <c r="C3514" s="958" t="s">
        <v>4916</v>
      </c>
      <c r="D3514" s="957" t="s">
        <v>4915</v>
      </c>
      <c r="E3514" s="956">
        <v>16409</v>
      </c>
      <c r="F3514" s="955"/>
      <c r="L3514" s="954"/>
      <c r="M3514" s="952"/>
      <c r="N3514" s="952"/>
    </row>
    <row r="3515" spans="1:14">
      <c r="A3515" s="958" t="s">
        <v>354</v>
      </c>
      <c r="B3515" s="958">
        <v>35</v>
      </c>
      <c r="C3515" s="958" t="s">
        <v>4914</v>
      </c>
      <c r="D3515" s="957" t="s">
        <v>4913</v>
      </c>
      <c r="E3515" s="956">
        <v>24235</v>
      </c>
      <c r="F3515" s="955"/>
      <c r="L3515" s="954"/>
      <c r="M3515" s="952"/>
      <c r="N3515" s="952"/>
    </row>
    <row r="3516" spans="1:14">
      <c r="A3516" s="958" t="s">
        <v>354</v>
      </c>
      <c r="B3516" s="958">
        <v>35</v>
      </c>
      <c r="C3516" s="958" t="s">
        <v>4912</v>
      </c>
      <c r="D3516" s="957" t="s">
        <v>4911</v>
      </c>
      <c r="E3516" s="956">
        <v>7993</v>
      </c>
      <c r="F3516" s="955"/>
      <c r="L3516" s="954"/>
      <c r="M3516" s="952"/>
      <c r="N3516" s="952"/>
    </row>
    <row r="3517" spans="1:14">
      <c r="A3517" s="958" t="s">
        <v>354</v>
      </c>
      <c r="B3517" s="958">
        <v>35</v>
      </c>
      <c r="C3517" s="958" t="s">
        <v>4910</v>
      </c>
      <c r="D3517" s="957" t="s">
        <v>4909</v>
      </c>
      <c r="E3517" s="956">
        <v>8294</v>
      </c>
      <c r="F3517" s="955"/>
      <c r="L3517" s="954"/>
      <c r="M3517" s="952"/>
      <c r="N3517" s="952"/>
    </row>
    <row r="3518" spans="1:14">
      <c r="A3518" s="958" t="s">
        <v>354</v>
      </c>
      <c r="B3518" s="958">
        <v>35</v>
      </c>
      <c r="C3518" s="958" t="s">
        <v>4908</v>
      </c>
      <c r="D3518" s="957" t="s">
        <v>4907</v>
      </c>
      <c r="E3518" s="956">
        <v>17556</v>
      </c>
      <c r="F3518" s="955"/>
      <c r="L3518" s="954"/>
      <c r="M3518" s="952"/>
      <c r="N3518" s="952"/>
    </row>
    <row r="3519" spans="1:14">
      <c r="A3519" s="958" t="s">
        <v>354</v>
      </c>
      <c r="B3519" s="958">
        <v>35</v>
      </c>
      <c r="C3519" s="958" t="s">
        <v>4906</v>
      </c>
      <c r="D3519" s="957" t="s">
        <v>4905</v>
      </c>
      <c r="E3519" s="956">
        <v>27125</v>
      </c>
      <c r="F3519" s="955"/>
      <c r="L3519" s="954"/>
      <c r="M3519" s="952"/>
      <c r="N3519" s="952"/>
    </row>
    <row r="3520" spans="1:14">
      <c r="A3520" s="958" t="s">
        <v>354</v>
      </c>
      <c r="B3520" s="958">
        <v>35</v>
      </c>
      <c r="C3520" s="958" t="s">
        <v>4904</v>
      </c>
      <c r="D3520" s="957" t="s">
        <v>4903</v>
      </c>
      <c r="E3520" s="956">
        <v>15262</v>
      </c>
      <c r="F3520" s="955"/>
      <c r="L3520" s="954"/>
      <c r="M3520" s="952"/>
      <c r="N3520" s="952"/>
    </row>
    <row r="3521" spans="1:14">
      <c r="A3521" s="958" t="s">
        <v>354</v>
      </c>
      <c r="B3521" s="958">
        <v>35</v>
      </c>
      <c r="C3521" s="958" t="s">
        <v>4902</v>
      </c>
      <c r="D3521" s="957" t="s">
        <v>4901</v>
      </c>
      <c r="E3521" s="956">
        <v>3835</v>
      </c>
      <c r="F3521" s="955"/>
      <c r="L3521" s="954"/>
      <c r="M3521" s="952"/>
      <c r="N3521" s="952"/>
    </row>
    <row r="3522" spans="1:14">
      <c r="A3522" s="958" t="s">
        <v>354</v>
      </c>
      <c r="B3522" s="958">
        <v>35</v>
      </c>
      <c r="C3522" s="958" t="s">
        <v>4900</v>
      </c>
      <c r="D3522" s="957" t="s">
        <v>4899</v>
      </c>
      <c r="E3522" s="956">
        <v>101816</v>
      </c>
      <c r="F3522" s="955"/>
      <c r="L3522" s="954"/>
      <c r="M3522" s="952"/>
      <c r="N3522" s="952"/>
    </row>
    <row r="3523" spans="1:14">
      <c r="A3523" s="958" t="s">
        <v>354</v>
      </c>
      <c r="B3523" s="958">
        <v>35</v>
      </c>
      <c r="C3523" s="958" t="s">
        <v>4898</v>
      </c>
      <c r="D3523" s="957" t="s">
        <v>4897</v>
      </c>
      <c r="E3523" s="956">
        <v>3328</v>
      </c>
      <c r="F3523" s="955"/>
      <c r="L3523" s="954"/>
      <c r="M3523" s="952"/>
      <c r="N3523" s="952"/>
    </row>
    <row r="3524" spans="1:14">
      <c r="A3524" s="958" t="s">
        <v>354</v>
      </c>
      <c r="B3524" s="958">
        <v>35</v>
      </c>
      <c r="C3524" s="958" t="s">
        <v>4896</v>
      </c>
      <c r="D3524" s="957" t="s">
        <v>4895</v>
      </c>
      <c r="E3524" s="956">
        <v>175693</v>
      </c>
      <c r="F3524" s="955"/>
      <c r="L3524" s="954"/>
      <c r="M3524" s="952"/>
      <c r="N3524" s="952"/>
    </row>
    <row r="3525" spans="1:14">
      <c r="A3525" s="958" t="s">
        <v>354</v>
      </c>
      <c r="B3525" s="958">
        <v>35</v>
      </c>
      <c r="C3525" s="958" t="s">
        <v>4894</v>
      </c>
      <c r="D3525" s="957" t="s">
        <v>4893</v>
      </c>
      <c r="E3525" s="956">
        <v>163901</v>
      </c>
      <c r="F3525" s="955"/>
      <c r="L3525" s="954"/>
      <c r="M3525" s="952"/>
      <c r="N3525" s="952"/>
    </row>
    <row r="3526" spans="1:14">
      <c r="A3526" s="958" t="s">
        <v>354</v>
      </c>
      <c r="B3526" s="958">
        <v>35</v>
      </c>
      <c r="C3526" s="958" t="s">
        <v>4892</v>
      </c>
      <c r="D3526" s="957" t="s">
        <v>4891</v>
      </c>
      <c r="E3526" s="956">
        <v>94354</v>
      </c>
      <c r="F3526" s="955"/>
      <c r="L3526" s="954"/>
      <c r="M3526" s="952"/>
      <c r="N3526" s="952"/>
    </row>
    <row r="3527" spans="1:14">
      <c r="A3527" s="958" t="s">
        <v>354</v>
      </c>
      <c r="B3527" s="958">
        <v>35</v>
      </c>
      <c r="C3527" s="958" t="s">
        <v>4890</v>
      </c>
      <c r="D3527" s="957" t="s">
        <v>4889</v>
      </c>
      <c r="E3527" s="956">
        <v>237700</v>
      </c>
      <c r="F3527" s="955"/>
      <c r="L3527" s="954"/>
      <c r="M3527" s="952"/>
      <c r="N3527" s="952"/>
    </row>
    <row r="3528" spans="1:14">
      <c r="A3528" s="958" t="s">
        <v>354</v>
      </c>
      <c r="B3528" s="958">
        <v>35</v>
      </c>
      <c r="C3528" s="958" t="s">
        <v>4888</v>
      </c>
      <c r="D3528" s="957" t="s">
        <v>4887</v>
      </c>
      <c r="E3528" s="956">
        <v>74773</v>
      </c>
      <c r="F3528" s="955"/>
      <c r="L3528" s="954"/>
      <c r="M3528" s="952"/>
      <c r="N3528" s="952"/>
    </row>
    <row r="3529" spans="1:14">
      <c r="A3529" s="958" t="s">
        <v>354</v>
      </c>
      <c r="B3529" s="958">
        <v>35</v>
      </c>
      <c r="C3529" s="958" t="s">
        <v>4886</v>
      </c>
      <c r="D3529" s="957" t="s">
        <v>4885</v>
      </c>
      <c r="E3529" s="956">
        <v>4241</v>
      </c>
      <c r="F3529" s="955"/>
      <c r="L3529" s="954"/>
      <c r="M3529" s="952"/>
      <c r="N3529" s="952"/>
    </row>
    <row r="3530" spans="1:14">
      <c r="A3530" s="958" t="s">
        <v>354</v>
      </c>
      <c r="B3530" s="958">
        <v>35</v>
      </c>
      <c r="C3530" s="958" t="s">
        <v>4884</v>
      </c>
      <c r="D3530" s="957" t="s">
        <v>4883</v>
      </c>
      <c r="E3530" s="956">
        <v>43120</v>
      </c>
      <c r="F3530" s="955"/>
      <c r="L3530" s="954"/>
      <c r="M3530" s="952"/>
      <c r="N3530" s="952"/>
    </row>
    <row r="3531" spans="1:14">
      <c r="A3531" s="958" t="s">
        <v>354</v>
      </c>
      <c r="B3531" s="958">
        <v>35</v>
      </c>
      <c r="C3531" s="958" t="s">
        <v>4882</v>
      </c>
      <c r="D3531" s="957" t="s">
        <v>4881</v>
      </c>
      <c r="E3531" s="956">
        <v>15149</v>
      </c>
      <c r="F3531" s="955"/>
      <c r="L3531" s="954"/>
      <c r="M3531" s="952"/>
      <c r="N3531" s="952"/>
    </row>
    <row r="3532" spans="1:14">
      <c r="A3532" s="958" t="s">
        <v>354</v>
      </c>
      <c r="B3532" s="958">
        <v>35</v>
      </c>
      <c r="C3532" s="958" t="s">
        <v>4880</v>
      </c>
      <c r="D3532" s="957" t="s">
        <v>4879</v>
      </c>
      <c r="E3532" s="956">
        <v>13992</v>
      </c>
      <c r="F3532" s="955"/>
      <c r="L3532" s="954"/>
      <c r="M3532" s="952"/>
      <c r="N3532" s="952"/>
    </row>
    <row r="3533" spans="1:14">
      <c r="A3533" s="958" t="s">
        <v>354</v>
      </c>
      <c r="B3533" s="958">
        <v>35</v>
      </c>
      <c r="C3533" s="958" t="s">
        <v>4878</v>
      </c>
      <c r="D3533" s="957" t="s">
        <v>4877</v>
      </c>
      <c r="E3533" s="956">
        <v>4906</v>
      </c>
      <c r="F3533" s="955"/>
      <c r="L3533" s="954"/>
      <c r="M3533" s="952"/>
      <c r="N3533" s="952"/>
    </row>
    <row r="3534" spans="1:14">
      <c r="A3534" s="958" t="s">
        <v>354</v>
      </c>
      <c r="B3534" s="958">
        <v>35</v>
      </c>
      <c r="C3534" s="958" t="s">
        <v>4876</v>
      </c>
      <c r="D3534" s="957" t="s">
        <v>4875</v>
      </c>
      <c r="E3534" s="956">
        <v>370821</v>
      </c>
      <c r="F3534" s="955"/>
      <c r="L3534" s="954"/>
      <c r="M3534" s="952"/>
      <c r="N3534" s="952"/>
    </row>
    <row r="3535" spans="1:14">
      <c r="A3535" s="958" t="s">
        <v>354</v>
      </c>
      <c r="B3535" s="958">
        <v>35</v>
      </c>
      <c r="C3535" s="958" t="s">
        <v>4874</v>
      </c>
      <c r="D3535" s="957" t="s">
        <v>4873</v>
      </c>
      <c r="E3535" s="956">
        <v>50503</v>
      </c>
      <c r="F3535" s="955"/>
      <c r="L3535" s="954"/>
      <c r="M3535" s="952"/>
      <c r="N3535" s="952"/>
    </row>
    <row r="3536" spans="1:14">
      <c r="A3536" s="958" t="s">
        <v>354</v>
      </c>
      <c r="B3536" s="958">
        <v>35</v>
      </c>
      <c r="C3536" s="958" t="s">
        <v>4872</v>
      </c>
      <c r="D3536" s="957" t="s">
        <v>4871</v>
      </c>
      <c r="E3536" s="956">
        <v>17436</v>
      </c>
      <c r="F3536" s="955"/>
      <c r="L3536" s="954"/>
      <c r="M3536" s="952"/>
      <c r="N3536" s="952"/>
    </row>
    <row r="3537" spans="1:14">
      <c r="A3537" s="958" t="s">
        <v>354</v>
      </c>
      <c r="B3537" s="958">
        <v>35</v>
      </c>
      <c r="C3537" s="958" t="s">
        <v>4870</v>
      </c>
      <c r="D3537" s="957" t="s">
        <v>4869</v>
      </c>
      <c r="E3537" s="956">
        <v>120858</v>
      </c>
      <c r="F3537" s="955"/>
      <c r="L3537" s="954"/>
      <c r="M3537" s="952"/>
      <c r="N3537" s="952"/>
    </row>
    <row r="3538" spans="1:14">
      <c r="A3538" s="958" t="s">
        <v>354</v>
      </c>
      <c r="B3538" s="958">
        <v>35</v>
      </c>
      <c r="C3538" s="958" t="s">
        <v>4868</v>
      </c>
      <c r="D3538" s="957" t="s">
        <v>4867</v>
      </c>
      <c r="E3538" s="956">
        <v>20697</v>
      </c>
      <c r="F3538" s="955"/>
      <c r="L3538" s="954"/>
      <c r="M3538" s="952"/>
      <c r="N3538" s="952"/>
    </row>
    <row r="3539" spans="1:14">
      <c r="A3539" s="958" t="s">
        <v>354</v>
      </c>
      <c r="B3539" s="958">
        <v>35</v>
      </c>
      <c r="C3539" s="958" t="s">
        <v>4866</v>
      </c>
      <c r="D3539" s="957" t="s">
        <v>4865</v>
      </c>
      <c r="E3539" s="956">
        <v>18157</v>
      </c>
      <c r="F3539" s="955"/>
      <c r="L3539" s="954"/>
      <c r="M3539" s="952"/>
      <c r="N3539" s="952"/>
    </row>
    <row r="3540" spans="1:14">
      <c r="A3540" s="958" t="s">
        <v>354</v>
      </c>
      <c r="B3540" s="958">
        <v>35</v>
      </c>
      <c r="C3540" s="958" t="s">
        <v>4864</v>
      </c>
      <c r="D3540" s="957" t="s">
        <v>4863</v>
      </c>
      <c r="E3540" s="956">
        <v>6499</v>
      </c>
      <c r="F3540" s="955"/>
      <c r="L3540" s="954"/>
      <c r="M3540" s="952"/>
      <c r="N3540" s="952"/>
    </row>
    <row r="3541" spans="1:14">
      <c r="A3541" s="958" t="s">
        <v>354</v>
      </c>
      <c r="B3541" s="958">
        <v>35</v>
      </c>
      <c r="C3541" s="958" t="s">
        <v>4862</v>
      </c>
      <c r="D3541" s="957" t="s">
        <v>4861</v>
      </c>
      <c r="E3541" s="956">
        <v>7841</v>
      </c>
      <c r="F3541" s="955"/>
      <c r="L3541" s="954"/>
      <c r="M3541" s="952"/>
      <c r="N3541" s="952"/>
    </row>
    <row r="3542" spans="1:14">
      <c r="A3542" s="958" t="s">
        <v>354</v>
      </c>
      <c r="B3542" s="958">
        <v>35</v>
      </c>
      <c r="C3542" s="958" t="s">
        <v>4860</v>
      </c>
      <c r="D3542" s="957" t="s">
        <v>4859</v>
      </c>
      <c r="E3542" s="956">
        <v>173939</v>
      </c>
      <c r="F3542" s="955"/>
      <c r="L3542" s="954"/>
      <c r="M3542" s="952"/>
      <c r="N3542" s="952"/>
    </row>
    <row r="3543" spans="1:14">
      <c r="A3543" s="958" t="s">
        <v>354</v>
      </c>
      <c r="B3543" s="958">
        <v>35</v>
      </c>
      <c r="C3543" s="958" t="s">
        <v>4858</v>
      </c>
      <c r="D3543" s="957" t="s">
        <v>4857</v>
      </c>
      <c r="E3543" s="956">
        <v>61252</v>
      </c>
      <c r="F3543" s="955"/>
      <c r="L3543" s="954"/>
      <c r="M3543" s="952"/>
      <c r="N3543" s="952"/>
    </row>
    <row r="3544" spans="1:14">
      <c r="A3544" s="958" t="s">
        <v>354</v>
      </c>
      <c r="B3544" s="958">
        <v>35</v>
      </c>
      <c r="C3544" s="958" t="s">
        <v>4856</v>
      </c>
      <c r="D3544" s="957" t="s">
        <v>4855</v>
      </c>
      <c r="E3544" s="956">
        <v>41824</v>
      </c>
      <c r="F3544" s="955"/>
      <c r="L3544" s="954"/>
      <c r="M3544" s="952"/>
      <c r="N3544" s="952"/>
    </row>
    <row r="3545" spans="1:14">
      <c r="A3545" s="958" t="s">
        <v>354</v>
      </c>
      <c r="B3545" s="958">
        <v>35</v>
      </c>
      <c r="C3545" s="958" t="s">
        <v>4854</v>
      </c>
      <c r="D3545" s="957" t="s">
        <v>4853</v>
      </c>
      <c r="E3545" s="956">
        <v>6929</v>
      </c>
      <c r="F3545" s="955"/>
      <c r="L3545" s="954"/>
      <c r="M3545" s="952"/>
      <c r="N3545" s="952"/>
    </row>
    <row r="3546" spans="1:14">
      <c r="A3546" s="958" t="s">
        <v>354</v>
      </c>
      <c r="B3546" s="958">
        <v>35</v>
      </c>
      <c r="C3546" s="958" t="s">
        <v>4852</v>
      </c>
      <c r="D3546" s="957" t="s">
        <v>4851</v>
      </c>
      <c r="E3546" s="956">
        <v>77263</v>
      </c>
      <c r="F3546" s="955"/>
      <c r="L3546" s="954"/>
      <c r="M3546" s="952"/>
      <c r="N3546" s="952"/>
    </row>
    <row r="3547" spans="1:14">
      <c r="A3547" s="958" t="s">
        <v>354</v>
      </c>
      <c r="B3547" s="958">
        <v>35</v>
      </c>
      <c r="C3547" s="958" t="s">
        <v>4850</v>
      </c>
      <c r="D3547" s="957" t="s">
        <v>4849</v>
      </c>
      <c r="E3547" s="956">
        <v>233662</v>
      </c>
      <c r="F3547" s="955"/>
      <c r="L3547" s="954"/>
      <c r="M3547" s="952"/>
      <c r="N3547" s="952"/>
    </row>
    <row r="3548" spans="1:14">
      <c r="A3548" s="958" t="s">
        <v>354</v>
      </c>
      <c r="B3548" s="958">
        <v>35</v>
      </c>
      <c r="C3548" s="958" t="s">
        <v>4848</v>
      </c>
      <c r="D3548" s="957" t="s">
        <v>4847</v>
      </c>
      <c r="E3548" s="956">
        <v>7067</v>
      </c>
      <c r="F3548" s="955"/>
      <c r="L3548" s="954"/>
      <c r="M3548" s="952"/>
      <c r="N3548" s="952"/>
    </row>
    <row r="3549" spans="1:14">
      <c r="A3549" s="958" t="s">
        <v>354</v>
      </c>
      <c r="B3549" s="958">
        <v>35</v>
      </c>
      <c r="C3549" s="958" t="s">
        <v>4846</v>
      </c>
      <c r="D3549" s="957" t="s">
        <v>4845</v>
      </c>
      <c r="E3549" s="956">
        <v>17866</v>
      </c>
      <c r="F3549" s="955"/>
      <c r="L3549" s="954"/>
      <c r="M3549" s="952"/>
      <c r="N3549" s="952"/>
    </row>
    <row r="3550" spans="1:14">
      <c r="A3550" s="958" t="s">
        <v>354</v>
      </c>
      <c r="B3550" s="958">
        <v>35</v>
      </c>
      <c r="C3550" s="958" t="s">
        <v>4844</v>
      </c>
      <c r="D3550" s="957" t="s">
        <v>4843</v>
      </c>
      <c r="E3550" s="956">
        <v>57488</v>
      </c>
      <c r="F3550" s="955"/>
      <c r="L3550" s="954"/>
      <c r="M3550" s="952"/>
      <c r="N3550" s="952"/>
    </row>
    <row r="3551" spans="1:14">
      <c r="A3551" s="958" t="s">
        <v>354</v>
      </c>
      <c r="B3551" s="958">
        <v>35</v>
      </c>
      <c r="C3551" s="958" t="s">
        <v>4842</v>
      </c>
      <c r="D3551" s="957" t="s">
        <v>4841</v>
      </c>
      <c r="E3551" s="956">
        <v>49107</v>
      </c>
      <c r="F3551" s="955"/>
      <c r="L3551" s="954"/>
      <c r="M3551" s="952"/>
      <c r="N3551" s="952"/>
    </row>
    <row r="3552" spans="1:14">
      <c r="A3552" s="958" t="s">
        <v>354</v>
      </c>
      <c r="B3552" s="958">
        <v>35</v>
      </c>
      <c r="C3552" s="958" t="s">
        <v>4840</v>
      </c>
      <c r="D3552" s="957" t="s">
        <v>4839</v>
      </c>
      <c r="E3552" s="956">
        <v>6602</v>
      </c>
      <c r="F3552" s="955"/>
      <c r="L3552" s="954"/>
      <c r="M3552" s="952"/>
      <c r="N3552" s="952"/>
    </row>
    <row r="3553" spans="1:14">
      <c r="A3553" s="958" t="s">
        <v>354</v>
      </c>
      <c r="B3553" s="958">
        <v>35</v>
      </c>
      <c r="C3553" s="958" t="s">
        <v>4838</v>
      </c>
      <c r="D3553" s="957" t="s">
        <v>4837</v>
      </c>
      <c r="E3553" s="956">
        <v>124937</v>
      </c>
      <c r="F3553" s="955"/>
      <c r="L3553" s="954"/>
      <c r="M3553" s="952"/>
      <c r="N3553" s="952"/>
    </row>
    <row r="3554" spans="1:14">
      <c r="A3554" s="958" t="s">
        <v>354</v>
      </c>
      <c r="B3554" s="958">
        <v>35</v>
      </c>
      <c r="C3554" s="958" t="s">
        <v>4836</v>
      </c>
      <c r="D3554" s="957" t="s">
        <v>3085</v>
      </c>
      <c r="E3554" s="956">
        <v>44380</v>
      </c>
      <c r="F3554" s="955"/>
      <c r="L3554" s="954"/>
      <c r="M3554" s="952"/>
      <c r="N3554" s="952"/>
    </row>
    <row r="3555" spans="1:14">
      <c r="A3555" s="958" t="s">
        <v>354</v>
      </c>
      <c r="B3555" s="958">
        <v>35</v>
      </c>
      <c r="C3555" s="958" t="s">
        <v>4835</v>
      </c>
      <c r="D3555" s="957" t="s">
        <v>4834</v>
      </c>
      <c r="E3555" s="956">
        <v>30044</v>
      </c>
      <c r="F3555" s="955"/>
      <c r="L3555" s="954"/>
      <c r="M3555" s="952"/>
      <c r="N3555" s="952"/>
    </row>
    <row r="3556" spans="1:14">
      <c r="A3556" s="958" t="s">
        <v>354</v>
      </c>
      <c r="B3556" s="958">
        <v>35</v>
      </c>
      <c r="C3556" s="958" t="s">
        <v>4833</v>
      </c>
      <c r="D3556" s="957" t="s">
        <v>4832</v>
      </c>
      <c r="E3556" s="956">
        <v>150252</v>
      </c>
      <c r="F3556" s="955"/>
      <c r="L3556" s="954"/>
      <c r="M3556" s="952"/>
      <c r="N3556" s="952"/>
    </row>
    <row r="3557" spans="1:14">
      <c r="A3557" s="958" t="s">
        <v>354</v>
      </c>
      <c r="B3557" s="958">
        <v>35</v>
      </c>
      <c r="C3557" s="958" t="s">
        <v>4831</v>
      </c>
      <c r="D3557" s="957" t="s">
        <v>4830</v>
      </c>
      <c r="E3557" s="956">
        <v>3159</v>
      </c>
      <c r="F3557" s="955"/>
      <c r="L3557" s="954"/>
      <c r="M3557" s="952"/>
      <c r="N3557" s="952"/>
    </row>
    <row r="3558" spans="1:14">
      <c r="A3558" s="958" t="s">
        <v>354</v>
      </c>
      <c r="B3558" s="958">
        <v>35</v>
      </c>
      <c r="C3558" s="958" t="s">
        <v>4829</v>
      </c>
      <c r="D3558" s="957" t="s">
        <v>4828</v>
      </c>
      <c r="E3558" s="956">
        <v>13220</v>
      </c>
      <c r="F3558" s="955"/>
      <c r="L3558" s="954"/>
      <c r="M3558" s="952"/>
      <c r="N3558" s="952"/>
    </row>
    <row r="3559" spans="1:14">
      <c r="A3559" s="958" t="s">
        <v>354</v>
      </c>
      <c r="B3559" s="958">
        <v>35</v>
      </c>
      <c r="C3559" s="958" t="s">
        <v>4827</v>
      </c>
      <c r="D3559" s="957" t="s">
        <v>4826</v>
      </c>
      <c r="E3559" s="956">
        <v>4523</v>
      </c>
      <c r="F3559" s="955"/>
      <c r="L3559" s="954"/>
      <c r="M3559" s="952"/>
      <c r="N3559" s="952"/>
    </row>
    <row r="3560" spans="1:14">
      <c r="A3560" s="958" t="s">
        <v>354</v>
      </c>
      <c r="B3560" s="958">
        <v>35</v>
      </c>
      <c r="C3560" s="958" t="s">
        <v>4825</v>
      </c>
      <c r="D3560" s="957" t="s">
        <v>4824</v>
      </c>
      <c r="E3560" s="956">
        <v>37015</v>
      </c>
      <c r="F3560" s="955"/>
      <c r="L3560" s="954"/>
      <c r="M3560" s="952"/>
      <c r="N3560" s="952"/>
    </row>
    <row r="3561" spans="1:14">
      <c r="A3561" s="958" t="s">
        <v>354</v>
      </c>
      <c r="B3561" s="958">
        <v>35</v>
      </c>
      <c r="C3561" s="958" t="s">
        <v>4823</v>
      </c>
      <c r="D3561" s="957" t="s">
        <v>4822</v>
      </c>
      <c r="E3561" s="956">
        <v>4776</v>
      </c>
      <c r="F3561" s="955"/>
      <c r="L3561" s="954"/>
      <c r="M3561" s="952"/>
      <c r="N3561" s="952"/>
    </row>
    <row r="3562" spans="1:14">
      <c r="A3562" s="958" t="s">
        <v>354</v>
      </c>
      <c r="B3562" s="958">
        <v>35</v>
      </c>
      <c r="C3562" s="958" t="s">
        <v>4821</v>
      </c>
      <c r="D3562" s="957" t="s">
        <v>4820</v>
      </c>
      <c r="E3562" s="956">
        <v>3367</v>
      </c>
      <c r="F3562" s="955"/>
      <c r="L3562" s="954"/>
      <c r="M3562" s="952"/>
      <c r="N3562" s="952"/>
    </row>
    <row r="3563" spans="1:14">
      <c r="A3563" s="958" t="s">
        <v>354</v>
      </c>
      <c r="B3563" s="958">
        <v>35</v>
      </c>
      <c r="C3563" s="958" t="s">
        <v>4819</v>
      </c>
      <c r="D3563" s="957" t="s">
        <v>4818</v>
      </c>
      <c r="E3563" s="956">
        <v>418962</v>
      </c>
      <c r="F3563" s="955"/>
      <c r="L3563" s="954"/>
      <c r="M3563" s="952"/>
      <c r="N3563" s="952"/>
    </row>
    <row r="3564" spans="1:14">
      <c r="A3564" s="958" t="s">
        <v>354</v>
      </c>
      <c r="B3564" s="958">
        <v>35</v>
      </c>
      <c r="C3564" s="958" t="s">
        <v>4817</v>
      </c>
      <c r="D3564" s="957" t="s">
        <v>4816</v>
      </c>
      <c r="E3564" s="956">
        <v>20679</v>
      </c>
      <c r="F3564" s="955"/>
      <c r="L3564" s="954"/>
      <c r="M3564" s="952"/>
      <c r="N3564" s="952"/>
    </row>
    <row r="3565" spans="1:14">
      <c r="A3565" s="958" t="s">
        <v>354</v>
      </c>
      <c r="B3565" s="958">
        <v>35</v>
      </c>
      <c r="C3565" s="958" t="s">
        <v>4815</v>
      </c>
      <c r="D3565" s="957" t="s">
        <v>4814</v>
      </c>
      <c r="E3565" s="956">
        <v>18812</v>
      </c>
      <c r="F3565" s="955"/>
      <c r="L3565" s="954"/>
      <c r="M3565" s="952"/>
      <c r="N3565" s="952"/>
    </row>
    <row r="3566" spans="1:14">
      <c r="A3566" s="958" t="s">
        <v>354</v>
      </c>
      <c r="B3566" s="958">
        <v>35</v>
      </c>
      <c r="C3566" s="958" t="s">
        <v>4813</v>
      </c>
      <c r="D3566" s="957" t="s">
        <v>4812</v>
      </c>
      <c r="E3566" s="956">
        <v>31444</v>
      </c>
      <c r="F3566" s="955"/>
      <c r="L3566" s="954"/>
      <c r="M3566" s="952"/>
      <c r="N3566" s="952"/>
    </row>
    <row r="3567" spans="1:14">
      <c r="A3567" s="958" t="s">
        <v>354</v>
      </c>
      <c r="B3567" s="958">
        <v>35</v>
      </c>
      <c r="C3567" s="958" t="s">
        <v>4811</v>
      </c>
      <c r="D3567" s="957" t="s">
        <v>4810</v>
      </c>
      <c r="E3567" s="956">
        <v>4896</v>
      </c>
      <c r="F3567" s="955"/>
      <c r="L3567" s="954"/>
      <c r="M3567" s="952"/>
      <c r="N3567" s="952"/>
    </row>
    <row r="3568" spans="1:14">
      <c r="A3568" s="958" t="s">
        <v>354</v>
      </c>
      <c r="B3568" s="958">
        <v>35</v>
      </c>
      <c r="C3568" s="958" t="s">
        <v>4809</v>
      </c>
      <c r="D3568" s="957" t="s">
        <v>4808</v>
      </c>
      <c r="E3568" s="956">
        <v>28516</v>
      </c>
      <c r="F3568" s="955"/>
      <c r="L3568" s="954"/>
      <c r="M3568" s="952"/>
      <c r="N3568" s="952"/>
    </row>
    <row r="3569" spans="1:14">
      <c r="A3569" s="958" t="s">
        <v>354</v>
      </c>
      <c r="B3569" s="958">
        <v>35</v>
      </c>
      <c r="C3569" s="958" t="s">
        <v>4807</v>
      </c>
      <c r="D3569" s="957" t="s">
        <v>4806</v>
      </c>
      <c r="E3569" s="956">
        <v>11980</v>
      </c>
      <c r="F3569" s="955"/>
      <c r="L3569" s="954"/>
      <c r="M3569" s="952"/>
      <c r="N3569" s="952"/>
    </row>
    <row r="3570" spans="1:14">
      <c r="A3570" s="958" t="s">
        <v>354</v>
      </c>
      <c r="B3570" s="958">
        <v>35</v>
      </c>
      <c r="C3570" s="958" t="s">
        <v>4805</v>
      </c>
      <c r="D3570" s="957" t="s">
        <v>4804</v>
      </c>
      <c r="E3570" s="956">
        <v>7260</v>
      </c>
      <c r="F3570" s="955"/>
      <c r="L3570" s="954"/>
      <c r="M3570" s="952"/>
      <c r="N3570" s="952"/>
    </row>
    <row r="3571" spans="1:14">
      <c r="A3571" s="958" t="s">
        <v>354</v>
      </c>
      <c r="B3571" s="958">
        <v>35</v>
      </c>
      <c r="C3571" s="958" t="s">
        <v>4803</v>
      </c>
      <c r="D3571" s="957" t="s">
        <v>4802</v>
      </c>
      <c r="E3571" s="956">
        <v>103391</v>
      </c>
      <c r="F3571" s="955"/>
      <c r="L3571" s="954"/>
      <c r="M3571" s="952"/>
      <c r="N3571" s="952"/>
    </row>
    <row r="3572" spans="1:14">
      <c r="A3572" s="958" t="s">
        <v>354</v>
      </c>
      <c r="B3572" s="958">
        <v>35</v>
      </c>
      <c r="C3572" s="958" t="s">
        <v>4801</v>
      </c>
      <c r="D3572" s="957" t="s">
        <v>4800</v>
      </c>
      <c r="E3572" s="956">
        <v>68432</v>
      </c>
      <c r="F3572" s="955"/>
      <c r="L3572" s="954"/>
      <c r="M3572" s="952"/>
      <c r="N3572" s="952"/>
    </row>
    <row r="3573" spans="1:14">
      <c r="A3573" s="958" t="s">
        <v>354</v>
      </c>
      <c r="B3573" s="958">
        <v>35</v>
      </c>
      <c r="C3573" s="958" t="s">
        <v>4799</v>
      </c>
      <c r="D3573" s="957" t="s">
        <v>4798</v>
      </c>
      <c r="E3573" s="956">
        <v>306114</v>
      </c>
      <c r="F3573" s="955"/>
      <c r="L3573" s="954"/>
      <c r="M3573" s="952"/>
      <c r="N3573" s="952"/>
    </row>
    <row r="3574" spans="1:14">
      <c r="A3574" s="958" t="s">
        <v>354</v>
      </c>
      <c r="B3574" s="958">
        <v>35</v>
      </c>
      <c r="C3574" s="958" t="s">
        <v>4797</v>
      </c>
      <c r="D3574" s="957" t="s">
        <v>4796</v>
      </c>
      <c r="E3574" s="956">
        <v>7980</v>
      </c>
      <c r="F3574" s="955"/>
      <c r="L3574" s="954"/>
      <c r="M3574" s="952"/>
      <c r="N3574" s="952"/>
    </row>
    <row r="3575" spans="1:14">
      <c r="A3575" s="958" t="s">
        <v>354</v>
      </c>
      <c r="B3575" s="958">
        <v>35</v>
      </c>
      <c r="C3575" s="958" t="s">
        <v>4795</v>
      </c>
      <c r="D3575" s="957" t="s">
        <v>4794</v>
      </c>
      <c r="E3575" s="956">
        <v>78013</v>
      </c>
      <c r="F3575" s="955"/>
      <c r="L3575" s="954"/>
      <c r="M3575" s="952"/>
      <c r="N3575" s="952"/>
    </row>
    <row r="3576" spans="1:14">
      <c r="A3576" s="958" t="s">
        <v>354</v>
      </c>
      <c r="B3576" s="958">
        <v>35</v>
      </c>
      <c r="C3576" s="958" t="s">
        <v>4793</v>
      </c>
      <c r="D3576" s="957" t="s">
        <v>4792</v>
      </c>
      <c r="E3576" s="956">
        <v>88706</v>
      </c>
      <c r="F3576" s="955"/>
      <c r="L3576" s="954"/>
      <c r="M3576" s="952"/>
      <c r="N3576" s="952"/>
    </row>
    <row r="3577" spans="1:14">
      <c r="A3577" s="958" t="s">
        <v>354</v>
      </c>
      <c r="B3577" s="958">
        <v>35</v>
      </c>
      <c r="C3577" s="958" t="s">
        <v>4791</v>
      </c>
      <c r="D3577" s="957" t="s">
        <v>4790</v>
      </c>
      <c r="E3577" s="956">
        <v>2289</v>
      </c>
      <c r="F3577" s="955"/>
      <c r="L3577" s="954"/>
      <c r="M3577" s="952"/>
      <c r="N3577" s="952"/>
    </row>
    <row r="3578" spans="1:14">
      <c r="A3578" s="958" t="s">
        <v>354</v>
      </c>
      <c r="B3578" s="958">
        <v>35</v>
      </c>
      <c r="C3578" s="958" t="s">
        <v>4789</v>
      </c>
      <c r="D3578" s="957" t="s">
        <v>4788</v>
      </c>
      <c r="E3578" s="956">
        <v>48885</v>
      </c>
      <c r="F3578" s="955"/>
      <c r="L3578" s="954"/>
      <c r="M3578" s="952"/>
      <c r="N3578" s="952"/>
    </row>
    <row r="3579" spans="1:14">
      <c r="A3579" s="958" t="s">
        <v>354</v>
      </c>
      <c r="B3579" s="958">
        <v>35</v>
      </c>
      <c r="C3579" s="958" t="s">
        <v>4787</v>
      </c>
      <c r="D3579" s="957" t="s">
        <v>4786</v>
      </c>
      <c r="E3579" s="956">
        <v>21747</v>
      </c>
      <c r="F3579" s="955"/>
      <c r="L3579" s="954"/>
      <c r="M3579" s="952"/>
      <c r="N3579" s="952"/>
    </row>
    <row r="3580" spans="1:14">
      <c r="A3580" s="958" t="s">
        <v>354</v>
      </c>
      <c r="B3580" s="958">
        <v>35</v>
      </c>
      <c r="C3580" s="958" t="s">
        <v>4785</v>
      </c>
      <c r="D3580" s="957" t="s">
        <v>4784</v>
      </c>
      <c r="E3580" s="956">
        <v>2394</v>
      </c>
      <c r="F3580" s="955"/>
      <c r="L3580" s="954"/>
      <c r="M3580" s="952"/>
      <c r="N3580" s="952"/>
    </row>
    <row r="3581" spans="1:14">
      <c r="A3581" s="958" t="s">
        <v>354</v>
      </c>
      <c r="B3581" s="958">
        <v>35</v>
      </c>
      <c r="C3581" s="958" t="s">
        <v>4783</v>
      </c>
      <c r="D3581" s="957" t="s">
        <v>4782</v>
      </c>
      <c r="E3581" s="956">
        <v>14947</v>
      </c>
      <c r="F3581" s="955"/>
      <c r="L3581" s="954"/>
      <c r="M3581" s="952"/>
      <c r="N3581" s="952"/>
    </row>
    <row r="3582" spans="1:14">
      <c r="A3582" s="958" t="s">
        <v>354</v>
      </c>
      <c r="B3582" s="958">
        <v>35</v>
      </c>
      <c r="C3582" s="958" t="s">
        <v>4781</v>
      </c>
      <c r="D3582" s="957" t="s">
        <v>4780</v>
      </c>
      <c r="E3582" s="956">
        <v>5790</v>
      </c>
      <c r="F3582" s="955"/>
      <c r="L3582" s="954"/>
      <c r="M3582" s="952"/>
      <c r="N3582" s="952"/>
    </row>
    <row r="3583" spans="1:14">
      <c r="A3583" s="958" t="s">
        <v>354</v>
      </c>
      <c r="B3583" s="958">
        <v>35</v>
      </c>
      <c r="C3583" s="958" t="s">
        <v>4779</v>
      </c>
      <c r="D3583" s="957" t="s">
        <v>4778</v>
      </c>
      <c r="E3583" s="956">
        <v>4584</v>
      </c>
      <c r="F3583" s="955"/>
      <c r="L3583" s="954"/>
      <c r="M3583" s="952"/>
      <c r="N3583" s="952"/>
    </row>
    <row r="3584" spans="1:14">
      <c r="A3584" s="958" t="s">
        <v>354</v>
      </c>
      <c r="B3584" s="958">
        <v>35</v>
      </c>
      <c r="C3584" s="958" t="s">
        <v>4777</v>
      </c>
      <c r="D3584" s="957" t="s">
        <v>4776</v>
      </c>
      <c r="E3584" s="956">
        <v>2649</v>
      </c>
      <c r="F3584" s="955"/>
      <c r="L3584" s="954"/>
      <c r="M3584" s="952"/>
      <c r="N3584" s="952"/>
    </row>
    <row r="3585" spans="1:14">
      <c r="A3585" s="958" t="s">
        <v>354</v>
      </c>
      <c r="B3585" s="958">
        <v>35</v>
      </c>
      <c r="C3585" s="958" t="s">
        <v>4775</v>
      </c>
      <c r="D3585" s="957" t="s">
        <v>4774</v>
      </c>
      <c r="E3585" s="956">
        <v>17163</v>
      </c>
      <c r="F3585" s="955"/>
      <c r="L3585" s="954"/>
      <c r="M3585" s="952"/>
      <c r="N3585" s="952"/>
    </row>
    <row r="3586" spans="1:14">
      <c r="A3586" s="958" t="s">
        <v>354</v>
      </c>
      <c r="B3586" s="958">
        <v>35</v>
      </c>
      <c r="C3586" s="958" t="s">
        <v>4773</v>
      </c>
      <c r="D3586" s="957" t="s">
        <v>4772</v>
      </c>
      <c r="E3586" s="956">
        <v>8120</v>
      </c>
      <c r="F3586" s="955"/>
      <c r="L3586" s="954"/>
      <c r="M3586" s="952"/>
      <c r="N3586" s="952"/>
    </row>
    <row r="3587" spans="1:14">
      <c r="A3587" s="958" t="s">
        <v>354</v>
      </c>
      <c r="B3587" s="958">
        <v>35</v>
      </c>
      <c r="C3587" s="958" t="s">
        <v>4771</v>
      </c>
      <c r="D3587" s="957" t="s">
        <v>4770</v>
      </c>
      <c r="E3587" s="956">
        <v>3698</v>
      </c>
      <c r="F3587" s="955"/>
      <c r="L3587" s="954"/>
      <c r="M3587" s="952"/>
      <c r="N3587" s="952"/>
    </row>
    <row r="3588" spans="1:14">
      <c r="A3588" s="958" t="s">
        <v>354</v>
      </c>
      <c r="B3588" s="958">
        <v>35</v>
      </c>
      <c r="C3588" s="958" t="s">
        <v>4769</v>
      </c>
      <c r="D3588" s="957" t="s">
        <v>4768</v>
      </c>
      <c r="E3588" s="956">
        <v>3119</v>
      </c>
      <c r="F3588" s="955"/>
      <c r="L3588" s="954"/>
      <c r="M3588" s="952"/>
      <c r="N3588" s="952"/>
    </row>
    <row r="3589" spans="1:14">
      <c r="A3589" s="958" t="s">
        <v>354</v>
      </c>
      <c r="B3589" s="958">
        <v>35</v>
      </c>
      <c r="C3589" s="958" t="s">
        <v>4767</v>
      </c>
      <c r="D3589" s="957" t="s">
        <v>4766</v>
      </c>
      <c r="E3589" s="956">
        <v>47150</v>
      </c>
      <c r="F3589" s="955"/>
      <c r="L3589" s="954"/>
      <c r="M3589" s="952"/>
      <c r="N3589" s="952"/>
    </row>
    <row r="3590" spans="1:14">
      <c r="A3590" s="958" t="s">
        <v>354</v>
      </c>
      <c r="B3590" s="958">
        <v>35</v>
      </c>
      <c r="C3590" s="958" t="s">
        <v>4765</v>
      </c>
      <c r="D3590" s="957" t="s">
        <v>4764</v>
      </c>
      <c r="E3590" s="956">
        <v>100179</v>
      </c>
      <c r="F3590" s="955"/>
      <c r="L3590" s="954"/>
      <c r="M3590" s="952"/>
      <c r="N3590" s="952"/>
    </row>
    <row r="3591" spans="1:14">
      <c r="A3591" s="958" t="s">
        <v>354</v>
      </c>
      <c r="B3591" s="958">
        <v>35</v>
      </c>
      <c r="C3591" s="958" t="s">
        <v>4763</v>
      </c>
      <c r="D3591" s="957" t="s">
        <v>4762</v>
      </c>
      <c r="E3591" s="956">
        <v>9846</v>
      </c>
      <c r="F3591" s="955"/>
      <c r="L3591" s="954"/>
      <c r="M3591" s="952"/>
      <c r="N3591" s="952"/>
    </row>
    <row r="3592" spans="1:14">
      <c r="A3592" s="958" t="s">
        <v>354</v>
      </c>
      <c r="B3592" s="958">
        <v>35</v>
      </c>
      <c r="C3592" s="958" t="s">
        <v>4761</v>
      </c>
      <c r="D3592" s="957" t="s">
        <v>4760</v>
      </c>
      <c r="E3592" s="956">
        <v>5853</v>
      </c>
      <c r="F3592" s="955"/>
      <c r="L3592" s="954"/>
      <c r="M3592" s="952"/>
      <c r="N3592" s="952"/>
    </row>
    <row r="3593" spans="1:14">
      <c r="A3593" s="958" t="s">
        <v>354</v>
      </c>
      <c r="B3593" s="958">
        <v>35</v>
      </c>
      <c r="C3593" s="958" t="s">
        <v>4759</v>
      </c>
      <c r="D3593" s="957" t="s">
        <v>4758</v>
      </c>
      <c r="E3593" s="956">
        <v>14002</v>
      </c>
      <c r="F3593" s="955"/>
      <c r="L3593" s="954"/>
      <c r="M3593" s="952"/>
      <c r="N3593" s="952"/>
    </row>
    <row r="3594" spans="1:14">
      <c r="A3594" s="958" t="s">
        <v>354</v>
      </c>
      <c r="B3594" s="958">
        <v>35</v>
      </c>
      <c r="C3594" s="958" t="s">
        <v>4757</v>
      </c>
      <c r="D3594" s="957" t="s">
        <v>4756</v>
      </c>
      <c r="E3594" s="956">
        <v>3031</v>
      </c>
      <c r="F3594" s="955"/>
      <c r="L3594" s="954"/>
      <c r="M3594" s="952"/>
      <c r="N3594" s="952"/>
    </row>
    <row r="3595" spans="1:14">
      <c r="A3595" s="958" t="s">
        <v>354</v>
      </c>
      <c r="B3595" s="958">
        <v>35</v>
      </c>
      <c r="C3595" s="958" t="s">
        <v>4755</v>
      </c>
      <c r="D3595" s="957" t="s">
        <v>4754</v>
      </c>
      <c r="E3595" s="956">
        <v>4084</v>
      </c>
      <c r="F3595" s="955"/>
      <c r="L3595" s="954"/>
      <c r="M3595" s="952"/>
      <c r="N3595" s="952"/>
    </row>
    <row r="3596" spans="1:14">
      <c r="A3596" s="958" t="s">
        <v>354</v>
      </c>
      <c r="B3596" s="958">
        <v>35</v>
      </c>
      <c r="C3596" s="958" t="s">
        <v>4753</v>
      </c>
      <c r="D3596" s="957" t="s">
        <v>4752</v>
      </c>
      <c r="E3596" s="956">
        <v>238882</v>
      </c>
      <c r="F3596" s="955"/>
      <c r="L3596" s="954"/>
      <c r="M3596" s="952"/>
      <c r="N3596" s="952"/>
    </row>
    <row r="3597" spans="1:14">
      <c r="A3597" s="958" t="s">
        <v>354</v>
      </c>
      <c r="B3597" s="958">
        <v>35</v>
      </c>
      <c r="C3597" s="958" t="s">
        <v>4751</v>
      </c>
      <c r="D3597" s="957" t="s">
        <v>4750</v>
      </c>
      <c r="E3597" s="956">
        <v>2112</v>
      </c>
      <c r="F3597" s="955"/>
      <c r="L3597" s="954"/>
      <c r="M3597" s="952"/>
      <c r="N3597" s="952"/>
    </row>
    <row r="3598" spans="1:14">
      <c r="A3598" s="958" t="s">
        <v>354</v>
      </c>
      <c r="B3598" s="958">
        <v>35</v>
      </c>
      <c r="C3598" s="958" t="s">
        <v>4749</v>
      </c>
      <c r="D3598" s="957" t="s">
        <v>4748</v>
      </c>
      <c r="E3598" s="956">
        <v>26461</v>
      </c>
      <c r="F3598" s="955"/>
      <c r="L3598" s="954"/>
      <c r="M3598" s="952"/>
      <c r="N3598" s="952"/>
    </row>
    <row r="3599" spans="1:14">
      <c r="A3599" s="958" t="s">
        <v>354</v>
      </c>
      <c r="B3599" s="958">
        <v>35</v>
      </c>
      <c r="C3599" s="958" t="s">
        <v>4747</v>
      </c>
      <c r="D3599" s="957" t="s">
        <v>4746</v>
      </c>
      <c r="E3599" s="956">
        <v>83170</v>
      </c>
      <c r="F3599" s="955"/>
      <c r="L3599" s="954"/>
      <c r="M3599" s="952"/>
      <c r="N3599" s="952"/>
    </row>
    <row r="3600" spans="1:14">
      <c r="A3600" s="958" t="s">
        <v>354</v>
      </c>
      <c r="B3600" s="958">
        <v>35</v>
      </c>
      <c r="C3600" s="958" t="s">
        <v>4745</v>
      </c>
      <c r="D3600" s="957" t="s">
        <v>4744</v>
      </c>
      <c r="E3600" s="956">
        <v>472912</v>
      </c>
      <c r="F3600" s="955"/>
      <c r="L3600" s="954"/>
      <c r="M3600" s="952"/>
      <c r="N3600" s="952"/>
    </row>
    <row r="3601" spans="1:14">
      <c r="A3601" s="958" t="s">
        <v>354</v>
      </c>
      <c r="B3601" s="958">
        <v>35</v>
      </c>
      <c r="C3601" s="958" t="s">
        <v>4743</v>
      </c>
      <c r="D3601" s="957" t="s">
        <v>4742</v>
      </c>
      <c r="E3601" s="956">
        <v>5490</v>
      </c>
      <c r="F3601" s="955"/>
      <c r="L3601" s="954"/>
      <c r="M3601" s="952"/>
      <c r="N3601" s="952"/>
    </row>
    <row r="3602" spans="1:14">
      <c r="A3602" s="958" t="s">
        <v>354</v>
      </c>
      <c r="B3602" s="958">
        <v>35</v>
      </c>
      <c r="C3602" s="958" t="s">
        <v>4741</v>
      </c>
      <c r="D3602" s="957" t="s">
        <v>4740</v>
      </c>
      <c r="E3602" s="956">
        <v>3836</v>
      </c>
      <c r="F3602" s="955"/>
      <c r="L3602" s="954"/>
      <c r="M3602" s="952"/>
      <c r="N3602" s="952"/>
    </row>
    <row r="3603" spans="1:14">
      <c r="A3603" s="958" t="s">
        <v>354</v>
      </c>
      <c r="B3603" s="958">
        <v>35</v>
      </c>
      <c r="C3603" s="958" t="s">
        <v>4739</v>
      </c>
      <c r="D3603" s="957" t="s">
        <v>4738</v>
      </c>
      <c r="E3603" s="956">
        <v>1908</v>
      </c>
      <c r="F3603" s="955"/>
      <c r="L3603" s="954"/>
      <c r="M3603" s="952"/>
      <c r="N3603" s="952"/>
    </row>
    <row r="3604" spans="1:14">
      <c r="A3604" s="958" t="s">
        <v>354</v>
      </c>
      <c r="B3604" s="958">
        <v>35</v>
      </c>
      <c r="C3604" s="958" t="s">
        <v>4737</v>
      </c>
      <c r="D3604" s="957" t="s">
        <v>4736</v>
      </c>
      <c r="E3604" s="956">
        <v>22226</v>
      </c>
      <c r="F3604" s="955"/>
      <c r="L3604" s="954"/>
      <c r="M3604" s="952"/>
      <c r="N3604" s="952"/>
    </row>
    <row r="3605" spans="1:14">
      <c r="A3605" s="958" t="s">
        <v>354</v>
      </c>
      <c r="B3605" s="958">
        <v>35</v>
      </c>
      <c r="C3605" s="958" t="s">
        <v>4735</v>
      </c>
      <c r="D3605" s="957" t="s">
        <v>4734</v>
      </c>
      <c r="E3605" s="956">
        <v>12908</v>
      </c>
      <c r="F3605" s="955"/>
      <c r="L3605" s="954"/>
      <c r="M3605" s="952"/>
      <c r="N3605" s="952"/>
    </row>
    <row r="3606" spans="1:14">
      <c r="A3606" s="958" t="s">
        <v>354</v>
      </c>
      <c r="B3606" s="958">
        <v>35</v>
      </c>
      <c r="C3606" s="958" t="s">
        <v>4733</v>
      </c>
      <c r="D3606" s="957" t="s">
        <v>4732</v>
      </c>
      <c r="E3606" s="956">
        <v>19779</v>
      </c>
      <c r="F3606" s="955"/>
      <c r="L3606" s="954"/>
      <c r="M3606" s="952"/>
      <c r="N3606" s="952"/>
    </row>
    <row r="3607" spans="1:14">
      <c r="A3607" s="958" t="s">
        <v>354</v>
      </c>
      <c r="B3607" s="958">
        <v>35</v>
      </c>
      <c r="C3607" s="958" t="s">
        <v>4731</v>
      </c>
      <c r="D3607" s="957" t="s">
        <v>4730</v>
      </c>
      <c r="E3607" s="956">
        <v>3086</v>
      </c>
      <c r="F3607" s="955"/>
      <c r="L3607" s="954"/>
      <c r="M3607" s="952"/>
      <c r="N3607" s="952"/>
    </row>
    <row r="3608" spans="1:14">
      <c r="A3608" s="958" t="s">
        <v>354</v>
      </c>
      <c r="B3608" s="958">
        <v>35</v>
      </c>
      <c r="C3608" s="958" t="s">
        <v>4729</v>
      </c>
      <c r="D3608" s="957" t="s">
        <v>4728</v>
      </c>
      <c r="E3608" s="956">
        <v>29564</v>
      </c>
      <c r="F3608" s="955"/>
      <c r="L3608" s="954"/>
      <c r="M3608" s="952"/>
      <c r="N3608" s="952"/>
    </row>
    <row r="3609" spans="1:14">
      <c r="A3609" s="958" t="s">
        <v>354</v>
      </c>
      <c r="B3609" s="958">
        <v>35</v>
      </c>
      <c r="C3609" s="958" t="s">
        <v>4727</v>
      </c>
      <c r="D3609" s="957" t="s">
        <v>4726</v>
      </c>
      <c r="E3609" s="956">
        <v>18259</v>
      </c>
      <c r="F3609" s="955"/>
      <c r="L3609" s="954"/>
      <c r="M3609" s="952"/>
      <c r="N3609" s="952"/>
    </row>
    <row r="3610" spans="1:14">
      <c r="A3610" s="958" t="s">
        <v>354</v>
      </c>
      <c r="B3610" s="958">
        <v>35</v>
      </c>
      <c r="C3610" s="958" t="s">
        <v>4725</v>
      </c>
      <c r="D3610" s="957" t="s">
        <v>4724</v>
      </c>
      <c r="E3610" s="956">
        <v>59824</v>
      </c>
      <c r="F3610" s="955"/>
      <c r="L3610" s="954"/>
      <c r="M3610" s="952"/>
      <c r="N3610" s="952"/>
    </row>
    <row r="3611" spans="1:14">
      <c r="A3611" s="958" t="s">
        <v>354</v>
      </c>
      <c r="B3611" s="958">
        <v>35</v>
      </c>
      <c r="C3611" s="958" t="s">
        <v>4723</v>
      </c>
      <c r="D3611" s="957" t="s">
        <v>4722</v>
      </c>
      <c r="E3611" s="956">
        <v>4871</v>
      </c>
      <c r="F3611" s="955"/>
      <c r="L3611" s="954"/>
      <c r="M3611" s="952"/>
      <c r="N3611" s="952"/>
    </row>
    <row r="3612" spans="1:14">
      <c r="A3612" s="958" t="s">
        <v>354</v>
      </c>
      <c r="B3612" s="958">
        <v>35</v>
      </c>
      <c r="C3612" s="958" t="s">
        <v>4721</v>
      </c>
      <c r="D3612" s="957" t="s">
        <v>4720</v>
      </c>
      <c r="E3612" s="956">
        <v>68885</v>
      </c>
      <c r="F3612" s="955"/>
      <c r="L3612" s="954"/>
      <c r="M3612" s="952"/>
      <c r="N3612" s="952"/>
    </row>
    <row r="3613" spans="1:14">
      <c r="A3613" s="958" t="s">
        <v>354</v>
      </c>
      <c r="B3613" s="958">
        <v>35</v>
      </c>
      <c r="C3613" s="958" t="s">
        <v>4719</v>
      </c>
      <c r="D3613" s="957" t="s">
        <v>4718</v>
      </c>
      <c r="E3613" s="956">
        <v>445842</v>
      </c>
      <c r="F3613" s="955"/>
      <c r="L3613" s="954"/>
      <c r="M3613" s="952"/>
      <c r="N3613" s="952"/>
    </row>
    <row r="3614" spans="1:14">
      <c r="A3614" s="958" t="s">
        <v>354</v>
      </c>
      <c r="B3614" s="958">
        <v>35</v>
      </c>
      <c r="C3614" s="958" t="s">
        <v>4717</v>
      </c>
      <c r="D3614" s="957" t="s">
        <v>4716</v>
      </c>
      <c r="E3614" s="956">
        <v>151888</v>
      </c>
      <c r="F3614" s="955"/>
      <c r="L3614" s="954"/>
      <c r="M3614" s="952"/>
      <c r="N3614" s="952"/>
    </row>
    <row r="3615" spans="1:14">
      <c r="A3615" s="958" t="s">
        <v>354</v>
      </c>
      <c r="B3615" s="958">
        <v>35</v>
      </c>
      <c r="C3615" s="958" t="s">
        <v>4715</v>
      </c>
      <c r="D3615" s="957" t="s">
        <v>4714</v>
      </c>
      <c r="E3615" s="956">
        <v>93189</v>
      </c>
      <c r="F3615" s="955"/>
      <c r="L3615" s="954"/>
      <c r="M3615" s="952"/>
      <c r="N3615" s="952"/>
    </row>
    <row r="3616" spans="1:14">
      <c r="A3616" s="958" t="s">
        <v>354</v>
      </c>
      <c r="B3616" s="958">
        <v>35</v>
      </c>
      <c r="C3616" s="958" t="s">
        <v>4713</v>
      </c>
      <c r="D3616" s="957" t="s">
        <v>4712</v>
      </c>
      <c r="E3616" s="956">
        <v>3493</v>
      </c>
      <c r="F3616" s="955"/>
      <c r="L3616" s="954"/>
      <c r="M3616" s="952"/>
      <c r="N3616" s="952"/>
    </row>
    <row r="3617" spans="1:14">
      <c r="A3617" s="958" t="s">
        <v>354</v>
      </c>
      <c r="B3617" s="958">
        <v>35</v>
      </c>
      <c r="C3617" s="958" t="s">
        <v>4711</v>
      </c>
      <c r="D3617" s="957" t="s">
        <v>4710</v>
      </c>
      <c r="E3617" s="956">
        <v>2259</v>
      </c>
      <c r="F3617" s="955"/>
      <c r="L3617" s="954"/>
      <c r="M3617" s="952"/>
      <c r="N3617" s="952"/>
    </row>
    <row r="3618" spans="1:14">
      <c r="A3618" s="958" t="s">
        <v>354</v>
      </c>
      <c r="B3618" s="958">
        <v>35</v>
      </c>
      <c r="C3618" s="958" t="s">
        <v>4709</v>
      </c>
      <c r="D3618" s="957" t="s">
        <v>4708</v>
      </c>
      <c r="E3618" s="956">
        <v>56702</v>
      </c>
      <c r="F3618" s="955"/>
      <c r="L3618" s="954"/>
      <c r="M3618" s="952"/>
      <c r="N3618" s="952"/>
    </row>
    <row r="3619" spans="1:14">
      <c r="A3619" s="958" t="s">
        <v>354</v>
      </c>
      <c r="B3619" s="958">
        <v>35</v>
      </c>
      <c r="C3619" s="958" t="s">
        <v>4707</v>
      </c>
      <c r="D3619" s="957" t="s">
        <v>4706</v>
      </c>
      <c r="E3619" s="956">
        <v>8038</v>
      </c>
      <c r="F3619" s="955"/>
      <c r="L3619" s="954"/>
      <c r="M3619" s="952"/>
      <c r="N3619" s="952"/>
    </row>
    <row r="3620" spans="1:14">
      <c r="A3620" s="958" t="s">
        <v>354</v>
      </c>
      <c r="B3620" s="958">
        <v>35</v>
      </c>
      <c r="C3620" s="958" t="s">
        <v>4705</v>
      </c>
      <c r="D3620" s="957" t="s">
        <v>4704</v>
      </c>
      <c r="E3620" s="956">
        <v>50498</v>
      </c>
      <c r="F3620" s="955"/>
      <c r="L3620" s="954"/>
      <c r="M3620" s="952"/>
      <c r="N3620" s="952"/>
    </row>
    <row r="3621" spans="1:14">
      <c r="A3621" s="958" t="s">
        <v>354</v>
      </c>
      <c r="B3621" s="958">
        <v>35</v>
      </c>
      <c r="C3621" s="958" t="s">
        <v>4703</v>
      </c>
      <c r="D3621" s="957" t="s">
        <v>4702</v>
      </c>
      <c r="E3621" s="956">
        <v>25087</v>
      </c>
      <c r="F3621" s="955"/>
      <c r="L3621" s="954"/>
      <c r="M3621" s="952"/>
      <c r="N3621" s="952"/>
    </row>
    <row r="3622" spans="1:14">
      <c r="A3622" s="958" t="s">
        <v>354</v>
      </c>
      <c r="B3622" s="958">
        <v>35</v>
      </c>
      <c r="C3622" s="958" t="s">
        <v>4701</v>
      </c>
      <c r="D3622" s="957" t="s">
        <v>4700</v>
      </c>
      <c r="E3622" s="956">
        <v>19008</v>
      </c>
      <c r="F3622" s="955"/>
      <c r="L3622" s="954"/>
      <c r="M3622" s="952"/>
      <c r="N3622" s="952"/>
    </row>
    <row r="3623" spans="1:14">
      <c r="A3623" s="958" t="s">
        <v>354</v>
      </c>
      <c r="B3623" s="958">
        <v>35</v>
      </c>
      <c r="C3623" s="958" t="s">
        <v>4699</v>
      </c>
      <c r="D3623" s="957" t="s">
        <v>3023</v>
      </c>
      <c r="E3623" s="956">
        <v>4166</v>
      </c>
      <c r="F3623" s="955"/>
      <c r="L3623" s="954"/>
      <c r="M3623" s="952"/>
      <c r="N3623" s="952"/>
    </row>
    <row r="3624" spans="1:14">
      <c r="A3624" s="958" t="s">
        <v>354</v>
      </c>
      <c r="B3624" s="958">
        <v>35</v>
      </c>
      <c r="C3624" s="958" t="s">
        <v>4698</v>
      </c>
      <c r="D3624" s="957" t="s">
        <v>4697</v>
      </c>
      <c r="E3624" s="956">
        <v>4653</v>
      </c>
      <c r="F3624" s="955"/>
      <c r="L3624" s="954"/>
      <c r="M3624" s="952"/>
      <c r="N3624" s="952"/>
    </row>
    <row r="3625" spans="1:14">
      <c r="A3625" s="958" t="s">
        <v>354</v>
      </c>
      <c r="B3625" s="958">
        <v>35</v>
      </c>
      <c r="C3625" s="958" t="s">
        <v>4696</v>
      </c>
      <c r="D3625" s="957" t="s">
        <v>4695</v>
      </c>
      <c r="E3625" s="956">
        <v>59772</v>
      </c>
      <c r="F3625" s="955"/>
      <c r="L3625" s="954"/>
      <c r="M3625" s="952"/>
      <c r="N3625" s="952"/>
    </row>
    <row r="3626" spans="1:14">
      <c r="A3626" s="958" t="s">
        <v>354</v>
      </c>
      <c r="B3626" s="958">
        <v>35</v>
      </c>
      <c r="C3626" s="958" t="s">
        <v>4694</v>
      </c>
      <c r="D3626" s="957" t="s">
        <v>4693</v>
      </c>
      <c r="E3626" s="956">
        <v>32968</v>
      </c>
      <c r="F3626" s="955"/>
      <c r="L3626" s="954"/>
      <c r="M3626" s="952"/>
      <c r="N3626" s="952"/>
    </row>
    <row r="3627" spans="1:14">
      <c r="A3627" s="958" t="s">
        <v>354</v>
      </c>
      <c r="B3627" s="958">
        <v>35</v>
      </c>
      <c r="C3627" s="958" t="s">
        <v>4692</v>
      </c>
      <c r="D3627" s="957" t="s">
        <v>4691</v>
      </c>
      <c r="E3627" s="956">
        <v>13622</v>
      </c>
      <c r="F3627" s="955"/>
      <c r="L3627" s="954"/>
      <c r="M3627" s="952"/>
      <c r="N3627" s="952"/>
    </row>
    <row r="3628" spans="1:14">
      <c r="A3628" s="958" t="s">
        <v>354</v>
      </c>
      <c r="B3628" s="958">
        <v>35</v>
      </c>
      <c r="C3628" s="958" t="s">
        <v>4690</v>
      </c>
      <c r="D3628" s="957" t="s">
        <v>4689</v>
      </c>
      <c r="E3628" s="956">
        <v>4758</v>
      </c>
      <c r="F3628" s="955"/>
      <c r="L3628" s="954"/>
      <c r="M3628" s="952"/>
      <c r="N3628" s="952"/>
    </row>
    <row r="3629" spans="1:14">
      <c r="A3629" s="958" t="s">
        <v>354</v>
      </c>
      <c r="B3629" s="958">
        <v>35</v>
      </c>
      <c r="C3629" s="958" t="s">
        <v>4688</v>
      </c>
      <c r="D3629" s="957" t="s">
        <v>4687</v>
      </c>
      <c r="E3629" s="956">
        <v>4486</v>
      </c>
      <c r="F3629" s="955"/>
      <c r="L3629" s="954"/>
      <c r="M3629" s="952"/>
      <c r="N3629" s="952"/>
    </row>
    <row r="3630" spans="1:14">
      <c r="A3630" s="958" t="s">
        <v>354</v>
      </c>
      <c r="B3630" s="958">
        <v>35</v>
      </c>
      <c r="C3630" s="958" t="s">
        <v>4686</v>
      </c>
      <c r="D3630" s="957" t="s">
        <v>4685</v>
      </c>
      <c r="E3630" s="956">
        <v>3141</v>
      </c>
      <c r="F3630" s="955"/>
      <c r="L3630" s="954"/>
      <c r="M3630" s="952"/>
      <c r="N3630" s="952"/>
    </row>
    <row r="3631" spans="1:14">
      <c r="A3631" s="958" t="s">
        <v>354</v>
      </c>
      <c r="B3631" s="958">
        <v>35</v>
      </c>
      <c r="C3631" s="958" t="s">
        <v>4684</v>
      </c>
      <c r="D3631" s="957" t="s">
        <v>4683</v>
      </c>
      <c r="E3631" s="956">
        <v>4857</v>
      </c>
      <c r="F3631" s="955"/>
      <c r="L3631" s="954"/>
      <c r="M3631" s="952"/>
      <c r="N3631" s="952"/>
    </row>
    <row r="3632" spans="1:14">
      <c r="A3632" s="958" t="s">
        <v>354</v>
      </c>
      <c r="B3632" s="958">
        <v>35</v>
      </c>
      <c r="C3632" s="958" t="s">
        <v>4682</v>
      </c>
      <c r="D3632" s="957" t="s">
        <v>4681</v>
      </c>
      <c r="E3632" s="956">
        <v>6661</v>
      </c>
      <c r="F3632" s="955"/>
      <c r="L3632" s="954"/>
      <c r="M3632" s="952"/>
      <c r="N3632" s="952"/>
    </row>
    <row r="3633" spans="1:14">
      <c r="A3633" s="958" t="s">
        <v>354</v>
      </c>
      <c r="B3633" s="958">
        <v>35</v>
      </c>
      <c r="C3633" s="958" t="s">
        <v>4680</v>
      </c>
      <c r="D3633" s="957" t="s">
        <v>4679</v>
      </c>
      <c r="E3633" s="956">
        <v>18524</v>
      </c>
      <c r="F3633" s="955"/>
      <c r="L3633" s="954"/>
      <c r="M3633" s="952"/>
      <c r="N3633" s="952"/>
    </row>
    <row r="3634" spans="1:14">
      <c r="A3634" s="958" t="s">
        <v>354</v>
      </c>
      <c r="B3634" s="958">
        <v>35</v>
      </c>
      <c r="C3634" s="958" t="s">
        <v>4678</v>
      </c>
      <c r="D3634" s="957" t="s">
        <v>4677</v>
      </c>
      <c r="E3634" s="956">
        <v>8930</v>
      </c>
      <c r="F3634" s="955"/>
      <c r="L3634" s="954"/>
      <c r="M3634" s="952"/>
      <c r="N3634" s="952"/>
    </row>
    <row r="3635" spans="1:14">
      <c r="A3635" s="958" t="s">
        <v>354</v>
      </c>
      <c r="B3635" s="958">
        <v>35</v>
      </c>
      <c r="C3635" s="958" t="s">
        <v>4676</v>
      </c>
      <c r="D3635" s="957" t="s">
        <v>4675</v>
      </c>
      <c r="E3635" s="956">
        <v>11478</v>
      </c>
      <c r="F3635" s="955"/>
      <c r="L3635" s="954"/>
      <c r="M3635" s="952"/>
      <c r="N3635" s="952"/>
    </row>
    <row r="3636" spans="1:14">
      <c r="A3636" s="958" t="s">
        <v>354</v>
      </c>
      <c r="B3636" s="958">
        <v>35</v>
      </c>
      <c r="C3636" s="958" t="s">
        <v>4674</v>
      </c>
      <c r="D3636" s="957" t="s">
        <v>4673</v>
      </c>
      <c r="E3636" s="956">
        <v>5213</v>
      </c>
      <c r="F3636" s="955"/>
      <c r="L3636" s="954"/>
      <c r="M3636" s="952"/>
      <c r="N3636" s="952"/>
    </row>
    <row r="3637" spans="1:14">
      <c r="A3637" s="958" t="s">
        <v>354</v>
      </c>
      <c r="B3637" s="958">
        <v>35</v>
      </c>
      <c r="C3637" s="958" t="s">
        <v>4672</v>
      </c>
      <c r="D3637" s="957" t="s">
        <v>4671</v>
      </c>
      <c r="E3637" s="956">
        <v>6973</v>
      </c>
      <c r="F3637" s="955"/>
      <c r="L3637" s="954"/>
      <c r="M3637" s="952"/>
      <c r="N3637" s="952"/>
    </row>
    <row r="3638" spans="1:14">
      <c r="A3638" s="958" t="s">
        <v>354</v>
      </c>
      <c r="B3638" s="958">
        <v>35</v>
      </c>
      <c r="C3638" s="958" t="s">
        <v>4670</v>
      </c>
      <c r="D3638" s="957" t="s">
        <v>4669</v>
      </c>
      <c r="E3638" s="956">
        <v>9755</v>
      </c>
      <c r="F3638" s="955"/>
      <c r="L3638" s="954"/>
      <c r="M3638" s="952"/>
      <c r="N3638" s="952"/>
    </row>
    <row r="3639" spans="1:14">
      <c r="A3639" s="958" t="s">
        <v>354</v>
      </c>
      <c r="B3639" s="958">
        <v>35</v>
      </c>
      <c r="C3639" s="958" t="s">
        <v>4668</v>
      </c>
      <c r="D3639" s="957" t="s">
        <v>4667</v>
      </c>
      <c r="E3639" s="956">
        <v>1881</v>
      </c>
      <c r="F3639" s="955"/>
      <c r="L3639" s="954"/>
      <c r="M3639" s="952"/>
      <c r="N3639" s="952"/>
    </row>
    <row r="3640" spans="1:14">
      <c r="A3640" s="958" t="s">
        <v>354</v>
      </c>
      <c r="B3640" s="958">
        <v>35</v>
      </c>
      <c r="C3640" s="958" t="s">
        <v>4666</v>
      </c>
      <c r="D3640" s="957" t="s">
        <v>4665</v>
      </c>
      <c r="E3640" s="956">
        <v>1267</v>
      </c>
      <c r="F3640" s="955"/>
      <c r="L3640" s="954"/>
      <c r="M3640" s="952"/>
      <c r="N3640" s="952"/>
    </row>
    <row r="3641" spans="1:14">
      <c r="A3641" s="958" t="s">
        <v>354</v>
      </c>
      <c r="B3641" s="958">
        <v>35</v>
      </c>
      <c r="C3641" s="958" t="s">
        <v>4664</v>
      </c>
      <c r="D3641" s="957" t="s">
        <v>4663</v>
      </c>
      <c r="E3641" s="956">
        <v>11186</v>
      </c>
      <c r="F3641" s="955"/>
      <c r="L3641" s="954"/>
      <c r="M3641" s="952"/>
      <c r="N3641" s="952"/>
    </row>
    <row r="3642" spans="1:14">
      <c r="A3642" s="958" t="s">
        <v>354</v>
      </c>
      <c r="B3642" s="958">
        <v>35</v>
      </c>
      <c r="C3642" s="958" t="s">
        <v>4662</v>
      </c>
      <c r="D3642" s="957" t="s">
        <v>4661</v>
      </c>
      <c r="E3642" s="956">
        <v>21500</v>
      </c>
      <c r="F3642" s="955"/>
      <c r="L3642" s="954"/>
      <c r="M3642" s="952"/>
      <c r="N3642" s="952"/>
    </row>
    <row r="3643" spans="1:14">
      <c r="A3643" s="958" t="s">
        <v>354</v>
      </c>
      <c r="B3643" s="958">
        <v>35</v>
      </c>
      <c r="C3643" s="958" t="s">
        <v>4660</v>
      </c>
      <c r="D3643" s="957" t="s">
        <v>4659</v>
      </c>
      <c r="E3643" s="956">
        <v>2316</v>
      </c>
      <c r="F3643" s="955"/>
      <c r="L3643" s="954"/>
      <c r="M3643" s="952"/>
      <c r="N3643" s="952"/>
    </row>
    <row r="3644" spans="1:14">
      <c r="A3644" s="958" t="s">
        <v>354</v>
      </c>
      <c r="B3644" s="958">
        <v>35</v>
      </c>
      <c r="C3644" s="958" t="s">
        <v>4658</v>
      </c>
      <c r="D3644" s="957" t="s">
        <v>4657</v>
      </c>
      <c r="E3644" s="956">
        <v>3969</v>
      </c>
      <c r="F3644" s="955"/>
      <c r="L3644" s="954"/>
      <c r="M3644" s="952"/>
      <c r="N3644" s="952"/>
    </row>
    <row r="3645" spans="1:14">
      <c r="A3645" s="958" t="s">
        <v>354</v>
      </c>
      <c r="B3645" s="958">
        <v>35</v>
      </c>
      <c r="C3645" s="958" t="s">
        <v>4656</v>
      </c>
      <c r="D3645" s="957" t="s">
        <v>4655</v>
      </c>
      <c r="E3645" s="956">
        <v>5830</v>
      </c>
      <c r="F3645" s="955"/>
      <c r="L3645" s="954"/>
      <c r="M3645" s="952"/>
      <c r="N3645" s="952"/>
    </row>
    <row r="3646" spans="1:14">
      <c r="A3646" s="958" t="s">
        <v>354</v>
      </c>
      <c r="B3646" s="958">
        <v>35</v>
      </c>
      <c r="C3646" s="958" t="s">
        <v>4654</v>
      </c>
      <c r="D3646" s="957" t="s">
        <v>4653</v>
      </c>
      <c r="E3646" s="956">
        <v>4101</v>
      </c>
      <c r="F3646" s="955"/>
      <c r="L3646" s="954"/>
      <c r="M3646" s="952"/>
      <c r="N3646" s="952"/>
    </row>
    <row r="3647" spans="1:14">
      <c r="A3647" s="958" t="s">
        <v>354</v>
      </c>
      <c r="B3647" s="958">
        <v>35</v>
      </c>
      <c r="C3647" s="958" t="s">
        <v>4652</v>
      </c>
      <c r="D3647" s="957" t="s">
        <v>4651</v>
      </c>
      <c r="E3647" s="956">
        <v>60174</v>
      </c>
      <c r="F3647" s="955"/>
      <c r="L3647" s="954"/>
      <c r="M3647" s="952"/>
      <c r="N3647" s="952"/>
    </row>
    <row r="3648" spans="1:14">
      <c r="A3648" s="958" t="s">
        <v>354</v>
      </c>
      <c r="B3648" s="958">
        <v>35</v>
      </c>
      <c r="C3648" s="958" t="s">
        <v>4650</v>
      </c>
      <c r="D3648" s="957" t="s">
        <v>3008</v>
      </c>
      <c r="E3648" s="956">
        <v>41052</v>
      </c>
      <c r="F3648" s="955"/>
      <c r="L3648" s="954"/>
      <c r="M3648" s="952"/>
      <c r="N3648" s="952"/>
    </row>
    <row r="3649" spans="1:14">
      <c r="A3649" s="958" t="s">
        <v>354</v>
      </c>
      <c r="B3649" s="958">
        <v>35</v>
      </c>
      <c r="C3649" s="958" t="s">
        <v>4649</v>
      </c>
      <c r="D3649" s="957" t="s">
        <v>4648</v>
      </c>
      <c r="E3649" s="956">
        <v>7432</v>
      </c>
      <c r="F3649" s="955"/>
      <c r="L3649" s="954"/>
      <c r="M3649" s="952"/>
      <c r="N3649" s="952"/>
    </row>
    <row r="3650" spans="1:14">
      <c r="A3650" s="958" t="s">
        <v>354</v>
      </c>
      <c r="B3650" s="958">
        <v>35</v>
      </c>
      <c r="C3650" s="958" t="s">
        <v>4647</v>
      </c>
      <c r="D3650" s="957" t="s">
        <v>4646</v>
      </c>
      <c r="E3650" s="956">
        <v>4289</v>
      </c>
      <c r="F3650" s="955"/>
      <c r="L3650" s="954"/>
      <c r="M3650" s="952"/>
      <c r="N3650" s="952"/>
    </row>
    <row r="3651" spans="1:14">
      <c r="A3651" s="958" t="s">
        <v>354</v>
      </c>
      <c r="B3651" s="958">
        <v>35</v>
      </c>
      <c r="C3651" s="958" t="s">
        <v>4645</v>
      </c>
      <c r="D3651" s="957" t="s">
        <v>4644</v>
      </c>
      <c r="E3651" s="956">
        <v>2496</v>
      </c>
      <c r="F3651" s="955"/>
      <c r="L3651" s="954"/>
      <c r="M3651" s="952"/>
      <c r="N3651" s="952"/>
    </row>
    <row r="3652" spans="1:14">
      <c r="A3652" s="958" t="s">
        <v>354</v>
      </c>
      <c r="B3652" s="958">
        <v>35</v>
      </c>
      <c r="C3652" s="958" t="s">
        <v>4643</v>
      </c>
      <c r="D3652" s="957" t="s">
        <v>4642</v>
      </c>
      <c r="E3652" s="956">
        <v>54772</v>
      </c>
      <c r="F3652" s="955"/>
      <c r="L3652" s="954"/>
      <c r="M3652" s="952"/>
      <c r="N3652" s="952"/>
    </row>
    <row r="3653" spans="1:14">
      <c r="A3653" s="958" t="s">
        <v>354</v>
      </c>
      <c r="B3653" s="958">
        <v>35</v>
      </c>
      <c r="C3653" s="958" t="s">
        <v>4641</v>
      </c>
      <c r="D3653" s="957" t="s">
        <v>4640</v>
      </c>
      <c r="E3653" s="956">
        <v>4381</v>
      </c>
      <c r="F3653" s="955"/>
      <c r="L3653" s="954"/>
      <c r="M3653" s="952"/>
      <c r="N3653" s="952"/>
    </row>
    <row r="3654" spans="1:14">
      <c r="A3654" s="958" t="s">
        <v>354</v>
      </c>
      <c r="B3654" s="958">
        <v>35</v>
      </c>
      <c r="C3654" s="958" t="s">
        <v>4639</v>
      </c>
      <c r="D3654" s="957" t="s">
        <v>4638</v>
      </c>
      <c r="E3654" s="956">
        <v>6515</v>
      </c>
      <c r="F3654" s="955"/>
      <c r="L3654" s="954"/>
      <c r="M3654" s="952"/>
      <c r="N3654" s="952"/>
    </row>
    <row r="3655" spans="1:14">
      <c r="A3655" s="958" t="s">
        <v>354</v>
      </c>
      <c r="B3655" s="958">
        <v>35</v>
      </c>
      <c r="C3655" s="958" t="s">
        <v>4637</v>
      </c>
      <c r="D3655" s="957" t="s">
        <v>4636</v>
      </c>
      <c r="E3655" s="956">
        <v>7066</v>
      </c>
      <c r="F3655" s="955"/>
      <c r="L3655" s="954"/>
      <c r="M3655" s="952"/>
      <c r="N3655" s="952"/>
    </row>
    <row r="3656" spans="1:14">
      <c r="A3656" s="958" t="s">
        <v>354</v>
      </c>
      <c r="B3656" s="958">
        <v>35</v>
      </c>
      <c r="C3656" s="958" t="s">
        <v>4635</v>
      </c>
      <c r="D3656" s="957" t="s">
        <v>4634</v>
      </c>
      <c r="E3656" s="956">
        <v>44028</v>
      </c>
      <c r="F3656" s="955"/>
      <c r="L3656" s="954"/>
      <c r="M3656" s="952"/>
      <c r="N3656" s="952"/>
    </row>
    <row r="3657" spans="1:14">
      <c r="A3657" s="958" t="s">
        <v>354</v>
      </c>
      <c r="B3657" s="958">
        <v>35</v>
      </c>
      <c r="C3657" s="958" t="s">
        <v>4633</v>
      </c>
      <c r="D3657" s="957" t="s">
        <v>4632</v>
      </c>
      <c r="E3657" s="956">
        <v>698418</v>
      </c>
      <c r="F3657" s="955"/>
      <c r="L3657" s="954"/>
      <c r="M3657" s="952"/>
      <c r="N3657" s="952"/>
    </row>
    <row r="3658" spans="1:14">
      <c r="A3658" s="958" t="s">
        <v>354</v>
      </c>
      <c r="B3658" s="958">
        <v>35</v>
      </c>
      <c r="C3658" s="958" t="s">
        <v>4631</v>
      </c>
      <c r="D3658" s="957" t="s">
        <v>4630</v>
      </c>
      <c r="E3658" s="956">
        <v>2603</v>
      </c>
      <c r="F3658" s="955"/>
      <c r="L3658" s="954"/>
      <c r="M3658" s="952"/>
      <c r="N3658" s="952"/>
    </row>
    <row r="3659" spans="1:14">
      <c r="A3659" s="958" t="s">
        <v>354</v>
      </c>
      <c r="B3659" s="958">
        <v>35</v>
      </c>
      <c r="C3659" s="958" t="s">
        <v>4629</v>
      </c>
      <c r="D3659" s="957" t="s">
        <v>4628</v>
      </c>
      <c r="E3659" s="956">
        <v>32879</v>
      </c>
      <c r="F3659" s="955"/>
      <c r="L3659" s="954"/>
      <c r="M3659" s="952"/>
      <c r="N3659" s="952"/>
    </row>
    <row r="3660" spans="1:14">
      <c r="A3660" s="958" t="s">
        <v>354</v>
      </c>
      <c r="B3660" s="958">
        <v>35</v>
      </c>
      <c r="C3660" s="958" t="s">
        <v>4627</v>
      </c>
      <c r="D3660" s="957" t="s">
        <v>4626</v>
      </c>
      <c r="E3660" s="956">
        <v>113542</v>
      </c>
      <c r="F3660" s="955"/>
      <c r="L3660" s="954"/>
      <c r="M3660" s="952"/>
      <c r="N3660" s="952"/>
    </row>
    <row r="3661" spans="1:14">
      <c r="A3661" s="958" t="s">
        <v>354</v>
      </c>
      <c r="B3661" s="958">
        <v>35</v>
      </c>
      <c r="C3661" s="958" t="s">
        <v>4625</v>
      </c>
      <c r="D3661" s="957" t="s">
        <v>4624</v>
      </c>
      <c r="E3661" s="956">
        <v>10361</v>
      </c>
      <c r="F3661" s="955"/>
      <c r="L3661" s="954"/>
      <c r="M3661" s="952"/>
      <c r="N3661" s="952"/>
    </row>
    <row r="3662" spans="1:14">
      <c r="A3662" s="958" t="s">
        <v>354</v>
      </c>
      <c r="B3662" s="958">
        <v>35</v>
      </c>
      <c r="C3662" s="958" t="s">
        <v>4623</v>
      </c>
      <c r="D3662" s="957" t="s">
        <v>3000</v>
      </c>
      <c r="E3662" s="956">
        <v>8562</v>
      </c>
      <c r="F3662" s="955"/>
      <c r="L3662" s="954"/>
      <c r="M3662" s="952"/>
      <c r="N3662" s="952"/>
    </row>
    <row r="3663" spans="1:14">
      <c r="A3663" s="958" t="s">
        <v>354</v>
      </c>
      <c r="B3663" s="958">
        <v>35</v>
      </c>
      <c r="C3663" s="958" t="s">
        <v>4622</v>
      </c>
      <c r="D3663" s="957" t="s">
        <v>4621</v>
      </c>
      <c r="E3663" s="956">
        <v>14197</v>
      </c>
      <c r="F3663" s="955"/>
      <c r="L3663" s="954"/>
      <c r="M3663" s="952"/>
      <c r="N3663" s="952"/>
    </row>
    <row r="3664" spans="1:14">
      <c r="A3664" s="958" t="s">
        <v>354</v>
      </c>
      <c r="B3664" s="958">
        <v>35</v>
      </c>
      <c r="C3664" s="958" t="s">
        <v>4620</v>
      </c>
      <c r="D3664" s="957" t="s">
        <v>4619</v>
      </c>
      <c r="E3664" s="956">
        <v>12957</v>
      </c>
      <c r="F3664" s="955"/>
      <c r="L3664" s="954"/>
      <c r="M3664" s="952"/>
      <c r="N3664" s="952"/>
    </row>
    <row r="3665" spans="1:14">
      <c r="A3665" s="958" t="s">
        <v>354</v>
      </c>
      <c r="B3665" s="958">
        <v>35</v>
      </c>
      <c r="C3665" s="958" t="s">
        <v>4618</v>
      </c>
      <c r="D3665" s="957" t="s">
        <v>4617</v>
      </c>
      <c r="E3665" s="956">
        <v>13275</v>
      </c>
      <c r="F3665" s="955"/>
      <c r="L3665" s="954"/>
      <c r="M3665" s="952"/>
      <c r="N3665" s="952"/>
    </row>
    <row r="3666" spans="1:14">
      <c r="A3666" s="958" t="s">
        <v>354</v>
      </c>
      <c r="B3666" s="958">
        <v>35</v>
      </c>
      <c r="C3666" s="958" t="s">
        <v>4616</v>
      </c>
      <c r="D3666" s="957" t="s">
        <v>4615</v>
      </c>
      <c r="E3666" s="956">
        <v>9283</v>
      </c>
      <c r="F3666" s="955"/>
      <c r="L3666" s="954"/>
      <c r="M3666" s="952"/>
      <c r="N3666" s="952"/>
    </row>
    <row r="3667" spans="1:14">
      <c r="A3667" s="958" t="s">
        <v>354</v>
      </c>
      <c r="B3667" s="958">
        <v>35</v>
      </c>
      <c r="C3667" s="958" t="s">
        <v>4614</v>
      </c>
      <c r="D3667" s="957" t="s">
        <v>3649</v>
      </c>
      <c r="E3667" s="956">
        <v>22221</v>
      </c>
      <c r="F3667" s="955"/>
      <c r="L3667" s="954"/>
      <c r="M3667" s="952"/>
      <c r="N3667" s="952"/>
    </row>
    <row r="3668" spans="1:14">
      <c r="A3668" s="958" t="s">
        <v>354</v>
      </c>
      <c r="B3668" s="958">
        <v>35</v>
      </c>
      <c r="C3668" s="958" t="s">
        <v>4613</v>
      </c>
      <c r="D3668" s="957" t="s">
        <v>4612</v>
      </c>
      <c r="E3668" s="956">
        <v>15777</v>
      </c>
      <c r="F3668" s="955"/>
      <c r="L3668" s="954"/>
      <c r="M3668" s="952"/>
      <c r="N3668" s="952"/>
    </row>
    <row r="3669" spans="1:14">
      <c r="A3669" s="958" t="s">
        <v>354</v>
      </c>
      <c r="B3669" s="958">
        <v>35</v>
      </c>
      <c r="C3669" s="958" t="s">
        <v>4611</v>
      </c>
      <c r="D3669" s="957" t="s">
        <v>4610</v>
      </c>
      <c r="E3669" s="956">
        <v>45703</v>
      </c>
      <c r="F3669" s="955"/>
      <c r="L3669" s="954"/>
      <c r="M3669" s="952"/>
      <c r="N3669" s="952"/>
    </row>
    <row r="3670" spans="1:14">
      <c r="A3670" s="958" t="s">
        <v>354</v>
      </c>
      <c r="B3670" s="958">
        <v>35</v>
      </c>
      <c r="C3670" s="958" t="s">
        <v>4609</v>
      </c>
      <c r="D3670" s="957" t="s">
        <v>4608</v>
      </c>
      <c r="E3670" s="956">
        <v>18222</v>
      </c>
      <c r="F3670" s="955"/>
      <c r="L3670" s="954"/>
      <c r="M3670" s="952"/>
      <c r="N3670" s="952"/>
    </row>
    <row r="3671" spans="1:14">
      <c r="A3671" s="958" t="s">
        <v>354</v>
      </c>
      <c r="B3671" s="958">
        <v>35</v>
      </c>
      <c r="C3671" s="958" t="s">
        <v>4607</v>
      </c>
      <c r="D3671" s="957" t="s">
        <v>2984</v>
      </c>
      <c r="E3671" s="956">
        <v>6454</v>
      </c>
      <c r="F3671" s="955"/>
      <c r="L3671" s="954"/>
      <c r="M3671" s="952"/>
      <c r="N3671" s="952"/>
    </row>
    <row r="3672" spans="1:14">
      <c r="A3672" s="958" t="s">
        <v>354</v>
      </c>
      <c r="B3672" s="958">
        <v>35</v>
      </c>
      <c r="C3672" s="958" t="s">
        <v>4606</v>
      </c>
      <c r="D3672" s="957" t="s">
        <v>4605</v>
      </c>
      <c r="E3672" s="956">
        <v>20197</v>
      </c>
      <c r="F3672" s="955"/>
      <c r="L3672" s="954"/>
      <c r="M3672" s="952"/>
      <c r="N3672" s="952"/>
    </row>
    <row r="3673" spans="1:14">
      <c r="A3673" s="958" t="s">
        <v>354</v>
      </c>
      <c r="B3673" s="958">
        <v>35</v>
      </c>
      <c r="C3673" s="958" t="s">
        <v>4604</v>
      </c>
      <c r="D3673" s="957" t="s">
        <v>4603</v>
      </c>
      <c r="E3673" s="956">
        <v>4078</v>
      </c>
      <c r="F3673" s="955"/>
      <c r="L3673" s="954"/>
      <c r="M3673" s="952"/>
      <c r="N3673" s="952"/>
    </row>
    <row r="3674" spans="1:14">
      <c r="A3674" s="958" t="s">
        <v>354</v>
      </c>
      <c r="B3674" s="958">
        <v>35</v>
      </c>
      <c r="C3674" s="958" t="s">
        <v>4602</v>
      </c>
      <c r="D3674" s="957" t="s">
        <v>4601</v>
      </c>
      <c r="E3674" s="956">
        <v>10964</v>
      </c>
      <c r="F3674" s="955"/>
      <c r="L3674" s="954"/>
      <c r="M3674" s="952"/>
      <c r="N3674" s="952"/>
    </row>
    <row r="3675" spans="1:14">
      <c r="A3675" s="958" t="s">
        <v>354</v>
      </c>
      <c r="B3675" s="958">
        <v>35</v>
      </c>
      <c r="C3675" s="958" t="s">
        <v>4600</v>
      </c>
      <c r="D3675" s="957" t="s">
        <v>4599</v>
      </c>
      <c r="E3675" s="956">
        <v>6435</v>
      </c>
      <c r="F3675" s="955"/>
      <c r="L3675" s="954"/>
      <c r="M3675" s="952"/>
      <c r="N3675" s="952"/>
    </row>
    <row r="3676" spans="1:14">
      <c r="A3676" s="958" t="s">
        <v>354</v>
      </c>
      <c r="B3676" s="958">
        <v>35</v>
      </c>
      <c r="C3676" s="958" t="s">
        <v>4598</v>
      </c>
      <c r="D3676" s="957" t="s">
        <v>4597</v>
      </c>
      <c r="E3676" s="956">
        <v>19648</v>
      </c>
      <c r="F3676" s="955"/>
      <c r="L3676" s="954"/>
      <c r="M3676" s="952"/>
      <c r="N3676" s="952"/>
    </row>
    <row r="3677" spans="1:14">
      <c r="A3677" s="958" t="s">
        <v>354</v>
      </c>
      <c r="B3677" s="958">
        <v>35</v>
      </c>
      <c r="C3677" s="958" t="s">
        <v>4596</v>
      </c>
      <c r="D3677" s="957" t="s">
        <v>4595</v>
      </c>
      <c r="E3677" s="956">
        <v>2161</v>
      </c>
      <c r="F3677" s="955"/>
      <c r="L3677" s="954"/>
      <c r="M3677" s="952"/>
      <c r="N3677" s="952"/>
    </row>
    <row r="3678" spans="1:14">
      <c r="A3678" s="958" t="s">
        <v>354</v>
      </c>
      <c r="B3678" s="958">
        <v>35</v>
      </c>
      <c r="C3678" s="958" t="s">
        <v>4594</v>
      </c>
      <c r="D3678" s="957" t="s">
        <v>4593</v>
      </c>
      <c r="E3678" s="956">
        <v>14670</v>
      </c>
      <c r="F3678" s="955"/>
      <c r="L3678" s="954"/>
      <c r="M3678" s="952"/>
      <c r="N3678" s="952"/>
    </row>
    <row r="3679" spans="1:14">
      <c r="A3679" s="958" t="s">
        <v>354</v>
      </c>
      <c r="B3679" s="958">
        <v>35</v>
      </c>
      <c r="C3679" s="958" t="s">
        <v>4592</v>
      </c>
      <c r="D3679" s="957" t="s">
        <v>4591</v>
      </c>
      <c r="E3679" s="956">
        <v>7366</v>
      </c>
      <c r="F3679" s="955"/>
      <c r="L3679" s="954"/>
      <c r="M3679" s="952"/>
      <c r="N3679" s="952"/>
    </row>
    <row r="3680" spans="1:14">
      <c r="A3680" s="958" t="s">
        <v>354</v>
      </c>
      <c r="B3680" s="958">
        <v>35</v>
      </c>
      <c r="C3680" s="958" t="s">
        <v>4590</v>
      </c>
      <c r="D3680" s="957" t="s">
        <v>4589</v>
      </c>
      <c r="E3680" s="956">
        <v>109424</v>
      </c>
      <c r="F3680" s="955"/>
      <c r="L3680" s="954"/>
      <c r="M3680" s="952"/>
      <c r="N3680" s="952"/>
    </row>
    <row r="3681" spans="1:14">
      <c r="A3681" s="958" t="s">
        <v>354</v>
      </c>
      <c r="B3681" s="958">
        <v>35</v>
      </c>
      <c r="C3681" s="958" t="s">
        <v>4588</v>
      </c>
      <c r="D3681" s="957" t="s">
        <v>4587</v>
      </c>
      <c r="E3681" s="956">
        <v>1833</v>
      </c>
      <c r="F3681" s="955"/>
      <c r="L3681" s="954"/>
      <c r="M3681" s="952"/>
      <c r="N3681" s="952"/>
    </row>
    <row r="3682" spans="1:14">
      <c r="A3682" s="958" t="s">
        <v>354</v>
      </c>
      <c r="B3682" s="958">
        <v>35</v>
      </c>
      <c r="C3682" s="958" t="s">
        <v>4586</v>
      </c>
      <c r="D3682" s="957" t="s">
        <v>4585</v>
      </c>
      <c r="E3682" s="956">
        <v>8945</v>
      </c>
      <c r="F3682" s="955"/>
      <c r="L3682" s="954"/>
      <c r="M3682" s="952"/>
      <c r="N3682" s="952"/>
    </row>
    <row r="3683" spans="1:14">
      <c r="A3683" s="958" t="s">
        <v>354</v>
      </c>
      <c r="B3683" s="958">
        <v>35</v>
      </c>
      <c r="C3683" s="958" t="s">
        <v>4584</v>
      </c>
      <c r="D3683" s="957" t="s">
        <v>4583</v>
      </c>
      <c r="E3683" s="956">
        <v>46687</v>
      </c>
      <c r="F3683" s="955"/>
      <c r="L3683" s="954"/>
      <c r="M3683" s="952"/>
      <c r="N3683" s="952"/>
    </row>
    <row r="3684" spans="1:14">
      <c r="A3684" s="958" t="s">
        <v>354</v>
      </c>
      <c r="B3684" s="958">
        <v>35</v>
      </c>
      <c r="C3684" s="958" t="s">
        <v>4582</v>
      </c>
      <c r="D3684" s="957" t="s">
        <v>4581</v>
      </c>
      <c r="E3684" s="956">
        <v>6093</v>
      </c>
      <c r="F3684" s="955"/>
      <c r="L3684" s="954"/>
      <c r="M3684" s="952"/>
      <c r="N3684" s="952"/>
    </row>
    <row r="3685" spans="1:14">
      <c r="A3685" s="958" t="s">
        <v>354</v>
      </c>
      <c r="B3685" s="958">
        <v>35</v>
      </c>
      <c r="C3685" s="958" t="s">
        <v>4580</v>
      </c>
      <c r="D3685" s="957" t="s">
        <v>4579</v>
      </c>
      <c r="E3685" s="956">
        <v>2494</v>
      </c>
      <c r="F3685" s="955"/>
      <c r="L3685" s="954"/>
      <c r="M3685" s="952"/>
      <c r="N3685" s="952"/>
    </row>
    <row r="3686" spans="1:14">
      <c r="A3686" s="958" t="s">
        <v>354</v>
      </c>
      <c r="B3686" s="958">
        <v>35</v>
      </c>
      <c r="C3686" s="958" t="s">
        <v>4578</v>
      </c>
      <c r="D3686" s="957" t="s">
        <v>4577</v>
      </c>
      <c r="E3686" s="956">
        <v>16744</v>
      </c>
      <c r="F3686" s="955"/>
      <c r="L3686" s="954"/>
      <c r="M3686" s="952"/>
      <c r="N3686" s="952"/>
    </row>
    <row r="3687" spans="1:14">
      <c r="A3687" s="958" t="s">
        <v>354</v>
      </c>
      <c r="B3687" s="958">
        <v>35</v>
      </c>
      <c r="C3687" s="958" t="s">
        <v>4576</v>
      </c>
      <c r="D3687" s="957" t="s">
        <v>4575</v>
      </c>
      <c r="E3687" s="956">
        <v>47919</v>
      </c>
      <c r="F3687" s="955"/>
      <c r="L3687" s="954"/>
      <c r="M3687" s="952"/>
      <c r="N3687" s="952"/>
    </row>
    <row r="3688" spans="1:14">
      <c r="A3688" s="958" t="s">
        <v>354</v>
      </c>
      <c r="B3688" s="958">
        <v>35</v>
      </c>
      <c r="C3688" s="958" t="s">
        <v>4574</v>
      </c>
      <c r="D3688" s="957" t="s">
        <v>4573</v>
      </c>
      <c r="E3688" s="956">
        <v>3093</v>
      </c>
      <c r="F3688" s="955"/>
      <c r="L3688" s="954"/>
      <c r="M3688" s="952"/>
      <c r="N3688" s="952"/>
    </row>
    <row r="3689" spans="1:14">
      <c r="A3689" s="958" t="s">
        <v>354</v>
      </c>
      <c r="B3689" s="958">
        <v>35</v>
      </c>
      <c r="C3689" s="958" t="s">
        <v>4572</v>
      </c>
      <c r="D3689" s="957" t="s">
        <v>4571</v>
      </c>
      <c r="E3689" s="956">
        <v>11331</v>
      </c>
      <c r="F3689" s="955"/>
      <c r="L3689" s="954"/>
      <c r="M3689" s="952"/>
      <c r="N3689" s="952"/>
    </row>
    <row r="3690" spans="1:14">
      <c r="A3690" s="958" t="s">
        <v>354</v>
      </c>
      <c r="B3690" s="958">
        <v>35</v>
      </c>
      <c r="C3690" s="958" t="s">
        <v>4570</v>
      </c>
      <c r="D3690" s="957" t="s">
        <v>4569</v>
      </c>
      <c r="E3690" s="956">
        <v>63407</v>
      </c>
      <c r="F3690" s="955"/>
      <c r="L3690" s="954"/>
      <c r="M3690" s="952"/>
      <c r="N3690" s="952"/>
    </row>
    <row r="3691" spans="1:14">
      <c r="A3691" s="958" t="s">
        <v>354</v>
      </c>
      <c r="B3691" s="958">
        <v>35</v>
      </c>
      <c r="C3691" s="958" t="s">
        <v>4568</v>
      </c>
      <c r="D3691" s="957" t="s">
        <v>4567</v>
      </c>
      <c r="E3691" s="956">
        <v>25669</v>
      </c>
      <c r="F3691" s="955"/>
      <c r="L3691" s="954"/>
      <c r="M3691" s="952"/>
      <c r="N3691" s="952"/>
    </row>
    <row r="3692" spans="1:14">
      <c r="A3692" s="958" t="s">
        <v>354</v>
      </c>
      <c r="B3692" s="958">
        <v>35</v>
      </c>
      <c r="C3692" s="958" t="s">
        <v>4566</v>
      </c>
      <c r="D3692" s="957" t="s">
        <v>4565</v>
      </c>
      <c r="E3692" s="956">
        <v>8668</v>
      </c>
      <c r="F3692" s="955"/>
      <c r="L3692" s="954"/>
      <c r="M3692" s="952"/>
      <c r="N3692" s="952"/>
    </row>
    <row r="3693" spans="1:14">
      <c r="A3693" s="958" t="s">
        <v>354</v>
      </c>
      <c r="B3693" s="958">
        <v>35</v>
      </c>
      <c r="C3693" s="958" t="s">
        <v>4564</v>
      </c>
      <c r="D3693" s="957" t="s">
        <v>4563</v>
      </c>
      <c r="E3693" s="956">
        <v>68284</v>
      </c>
      <c r="F3693" s="955"/>
      <c r="L3693" s="954"/>
      <c r="M3693" s="952"/>
      <c r="N3693" s="952"/>
    </row>
    <row r="3694" spans="1:14">
      <c r="A3694" s="958" t="s">
        <v>354</v>
      </c>
      <c r="B3694" s="958">
        <v>35</v>
      </c>
      <c r="C3694" s="958" t="s">
        <v>4562</v>
      </c>
      <c r="D3694" s="957" t="s">
        <v>4561</v>
      </c>
      <c r="E3694" s="956">
        <v>5980</v>
      </c>
      <c r="F3694" s="955"/>
      <c r="L3694" s="954"/>
      <c r="M3694" s="952"/>
      <c r="N3694" s="952"/>
    </row>
    <row r="3695" spans="1:14">
      <c r="A3695" s="958" t="s">
        <v>354</v>
      </c>
      <c r="B3695" s="958">
        <v>35</v>
      </c>
      <c r="C3695" s="958" t="s">
        <v>4560</v>
      </c>
      <c r="D3695" s="957" t="s">
        <v>4559</v>
      </c>
      <c r="E3695" s="956">
        <v>55348</v>
      </c>
      <c r="F3695" s="955"/>
      <c r="L3695" s="954"/>
      <c r="M3695" s="952"/>
      <c r="N3695" s="952"/>
    </row>
    <row r="3696" spans="1:14">
      <c r="A3696" s="958" t="s">
        <v>354</v>
      </c>
      <c r="B3696" s="958">
        <v>35</v>
      </c>
      <c r="C3696" s="958" t="s">
        <v>4558</v>
      </c>
      <c r="D3696" s="957" t="s">
        <v>4557</v>
      </c>
      <c r="E3696" s="956">
        <v>29185</v>
      </c>
      <c r="F3696" s="955"/>
      <c r="L3696" s="954"/>
      <c r="M3696" s="952"/>
      <c r="N3696" s="952"/>
    </row>
    <row r="3697" spans="1:14">
      <c r="A3697" s="958" t="s">
        <v>354</v>
      </c>
      <c r="B3697" s="958">
        <v>35</v>
      </c>
      <c r="C3697" s="958" t="s">
        <v>4556</v>
      </c>
      <c r="D3697" s="957" t="s">
        <v>4555</v>
      </c>
      <c r="E3697" s="956">
        <v>168328</v>
      </c>
      <c r="F3697" s="955"/>
      <c r="L3697" s="954"/>
      <c r="M3697" s="952"/>
      <c r="N3697" s="952"/>
    </row>
    <row r="3698" spans="1:14">
      <c r="A3698" s="958" t="s">
        <v>354</v>
      </c>
      <c r="B3698" s="958">
        <v>35</v>
      </c>
      <c r="C3698" s="958" t="s">
        <v>4554</v>
      </c>
      <c r="D3698" s="957" t="s">
        <v>4553</v>
      </c>
      <c r="E3698" s="956">
        <v>17049</v>
      </c>
      <c r="F3698" s="955"/>
      <c r="L3698" s="954"/>
      <c r="M3698" s="952"/>
      <c r="N3698" s="952"/>
    </row>
    <row r="3699" spans="1:14">
      <c r="A3699" s="958" t="s">
        <v>354</v>
      </c>
      <c r="B3699" s="958">
        <v>35</v>
      </c>
      <c r="C3699" s="958" t="s">
        <v>4552</v>
      </c>
      <c r="D3699" s="957" t="s">
        <v>2964</v>
      </c>
      <c r="E3699" s="956">
        <v>15207</v>
      </c>
      <c r="F3699" s="955"/>
      <c r="L3699" s="954"/>
      <c r="M3699" s="952"/>
      <c r="N3699" s="952"/>
    </row>
    <row r="3700" spans="1:14">
      <c r="A3700" s="958" t="s">
        <v>354</v>
      </c>
      <c r="B3700" s="958">
        <v>35</v>
      </c>
      <c r="C3700" s="958" t="s">
        <v>4551</v>
      </c>
      <c r="D3700" s="957" t="s">
        <v>4550</v>
      </c>
      <c r="E3700" s="956">
        <v>3692</v>
      </c>
      <c r="F3700" s="955"/>
      <c r="L3700" s="954"/>
      <c r="M3700" s="952"/>
      <c r="N3700" s="952"/>
    </row>
    <row r="3701" spans="1:14">
      <c r="A3701" s="958" t="s">
        <v>354</v>
      </c>
      <c r="B3701" s="958">
        <v>35</v>
      </c>
      <c r="C3701" s="958" t="s">
        <v>4549</v>
      </c>
      <c r="D3701" s="957" t="s">
        <v>4548</v>
      </c>
      <c r="E3701" s="956">
        <v>13657</v>
      </c>
      <c r="F3701" s="955"/>
      <c r="L3701" s="954"/>
      <c r="M3701" s="952"/>
      <c r="N3701" s="952"/>
    </row>
    <row r="3702" spans="1:14">
      <c r="A3702" s="958" t="s">
        <v>354</v>
      </c>
      <c r="B3702" s="958">
        <v>35</v>
      </c>
      <c r="C3702" s="958" t="s">
        <v>4547</v>
      </c>
      <c r="D3702" s="957" t="s">
        <v>4546</v>
      </c>
      <c r="E3702" s="956">
        <v>27303</v>
      </c>
      <c r="F3702" s="955"/>
      <c r="L3702" s="954"/>
      <c r="M3702" s="952"/>
      <c r="N3702" s="952"/>
    </row>
    <row r="3703" spans="1:14">
      <c r="A3703" s="958" t="s">
        <v>354</v>
      </c>
      <c r="B3703" s="958">
        <v>35</v>
      </c>
      <c r="C3703" s="958" t="s">
        <v>4545</v>
      </c>
      <c r="D3703" s="957" t="s">
        <v>4544</v>
      </c>
      <c r="E3703" s="956">
        <v>404142</v>
      </c>
      <c r="F3703" s="955"/>
      <c r="L3703" s="954"/>
      <c r="M3703" s="952"/>
      <c r="N3703" s="952"/>
    </row>
    <row r="3704" spans="1:14">
      <c r="A3704" s="958" t="s">
        <v>354</v>
      </c>
      <c r="B3704" s="958">
        <v>35</v>
      </c>
      <c r="C3704" s="958" t="s">
        <v>4543</v>
      </c>
      <c r="D3704" s="957" t="s">
        <v>4542</v>
      </c>
      <c r="E3704" s="956">
        <v>29806</v>
      </c>
      <c r="F3704" s="955"/>
      <c r="L3704" s="954"/>
      <c r="M3704" s="952"/>
      <c r="N3704" s="952"/>
    </row>
    <row r="3705" spans="1:14">
      <c r="A3705" s="958" t="s">
        <v>354</v>
      </c>
      <c r="B3705" s="958">
        <v>35</v>
      </c>
      <c r="C3705" s="958" t="s">
        <v>4541</v>
      </c>
      <c r="D3705" s="957" t="s">
        <v>4540</v>
      </c>
      <c r="E3705" s="956">
        <v>25492</v>
      </c>
      <c r="F3705" s="955"/>
      <c r="L3705" s="954"/>
      <c r="M3705" s="952"/>
      <c r="N3705" s="952"/>
    </row>
    <row r="3706" spans="1:14">
      <c r="A3706" s="958" t="s">
        <v>354</v>
      </c>
      <c r="B3706" s="958">
        <v>35</v>
      </c>
      <c r="C3706" s="958" t="s">
        <v>4539</v>
      </c>
      <c r="D3706" s="957" t="s">
        <v>4538</v>
      </c>
      <c r="E3706" s="956">
        <v>11417</v>
      </c>
      <c r="F3706" s="955"/>
      <c r="L3706" s="954"/>
      <c r="M3706" s="952"/>
      <c r="N3706" s="952"/>
    </row>
    <row r="3707" spans="1:14">
      <c r="A3707" s="958" t="s">
        <v>354</v>
      </c>
      <c r="B3707" s="958">
        <v>35</v>
      </c>
      <c r="C3707" s="958" t="s">
        <v>4537</v>
      </c>
      <c r="D3707" s="957" t="s">
        <v>4536</v>
      </c>
      <c r="E3707" s="956">
        <v>18895</v>
      </c>
      <c r="F3707" s="955"/>
      <c r="L3707" s="954"/>
      <c r="M3707" s="952"/>
      <c r="N3707" s="952"/>
    </row>
    <row r="3708" spans="1:14">
      <c r="A3708" s="958" t="s">
        <v>354</v>
      </c>
      <c r="B3708" s="958">
        <v>35</v>
      </c>
      <c r="C3708" s="958" t="s">
        <v>4535</v>
      </c>
      <c r="D3708" s="957" t="s">
        <v>4534</v>
      </c>
      <c r="E3708" s="956">
        <v>27527</v>
      </c>
      <c r="F3708" s="955"/>
      <c r="L3708" s="954"/>
      <c r="M3708" s="952"/>
      <c r="N3708" s="952"/>
    </row>
    <row r="3709" spans="1:14">
      <c r="A3709" s="958" t="s">
        <v>354</v>
      </c>
      <c r="B3709" s="958">
        <v>35</v>
      </c>
      <c r="C3709" s="958" t="s">
        <v>4533</v>
      </c>
      <c r="D3709" s="957" t="s">
        <v>4532</v>
      </c>
      <c r="E3709" s="956">
        <v>76409</v>
      </c>
      <c r="F3709" s="955"/>
      <c r="L3709" s="954"/>
      <c r="M3709" s="952"/>
      <c r="N3709" s="952"/>
    </row>
    <row r="3710" spans="1:14">
      <c r="A3710" s="958" t="s">
        <v>354</v>
      </c>
      <c r="B3710" s="958">
        <v>35</v>
      </c>
      <c r="C3710" s="958" t="s">
        <v>4531</v>
      </c>
      <c r="D3710" s="957" t="s">
        <v>4530</v>
      </c>
      <c r="E3710" s="956">
        <v>13636</v>
      </c>
      <c r="F3710" s="955"/>
      <c r="L3710" s="954"/>
      <c r="M3710" s="952"/>
      <c r="N3710" s="952"/>
    </row>
    <row r="3711" spans="1:14">
      <c r="A3711" s="958" t="s">
        <v>354</v>
      </c>
      <c r="B3711" s="958">
        <v>35</v>
      </c>
      <c r="C3711" s="958" t="s">
        <v>4529</v>
      </c>
      <c r="D3711" s="957" t="s">
        <v>3603</v>
      </c>
      <c r="E3711" s="956">
        <v>39719</v>
      </c>
      <c r="F3711" s="955"/>
      <c r="L3711" s="954"/>
      <c r="M3711" s="952"/>
      <c r="N3711" s="952"/>
    </row>
    <row r="3712" spans="1:14">
      <c r="A3712" s="958" t="s">
        <v>354</v>
      </c>
      <c r="B3712" s="958">
        <v>35</v>
      </c>
      <c r="C3712" s="958" t="s">
        <v>4528</v>
      </c>
      <c r="D3712" s="957" t="s">
        <v>2127</v>
      </c>
      <c r="E3712" s="956">
        <v>5237</v>
      </c>
      <c r="F3712" s="955"/>
      <c r="L3712" s="954"/>
      <c r="M3712" s="952"/>
      <c r="N3712" s="952"/>
    </row>
    <row r="3713" spans="1:14">
      <c r="A3713" s="958" t="s">
        <v>354</v>
      </c>
      <c r="B3713" s="958">
        <v>35</v>
      </c>
      <c r="C3713" s="958" t="s">
        <v>4527</v>
      </c>
      <c r="D3713" s="957" t="s">
        <v>4526</v>
      </c>
      <c r="E3713" s="956">
        <v>3550</v>
      </c>
      <c r="F3713" s="955"/>
      <c r="L3713" s="954"/>
      <c r="M3713" s="952"/>
      <c r="N3713" s="952"/>
    </row>
    <row r="3714" spans="1:14">
      <c r="A3714" s="958" t="s">
        <v>354</v>
      </c>
      <c r="B3714" s="958">
        <v>35</v>
      </c>
      <c r="C3714" s="958" t="s">
        <v>4525</v>
      </c>
      <c r="D3714" s="957" t="s">
        <v>4524</v>
      </c>
      <c r="E3714" s="956">
        <v>117452</v>
      </c>
      <c r="F3714" s="955"/>
      <c r="L3714" s="954"/>
      <c r="M3714" s="952"/>
      <c r="N3714" s="952"/>
    </row>
    <row r="3715" spans="1:14">
      <c r="A3715" s="958" t="s">
        <v>354</v>
      </c>
      <c r="B3715" s="958">
        <v>35</v>
      </c>
      <c r="C3715" s="958" t="s">
        <v>4523</v>
      </c>
      <c r="D3715" s="957" t="s">
        <v>4522</v>
      </c>
      <c r="E3715" s="956">
        <v>6059</v>
      </c>
      <c r="F3715" s="955"/>
      <c r="L3715" s="954"/>
      <c r="M3715" s="952"/>
      <c r="N3715" s="952"/>
    </row>
    <row r="3716" spans="1:14">
      <c r="A3716" s="958" t="s">
        <v>354</v>
      </c>
      <c r="B3716" s="958">
        <v>35</v>
      </c>
      <c r="C3716" s="958" t="s">
        <v>4521</v>
      </c>
      <c r="D3716" s="957" t="s">
        <v>4520</v>
      </c>
      <c r="E3716" s="956">
        <v>22014</v>
      </c>
      <c r="F3716" s="955"/>
      <c r="L3716" s="954"/>
      <c r="M3716" s="952"/>
      <c r="N3716" s="952"/>
    </row>
    <row r="3717" spans="1:14">
      <c r="A3717" s="958" t="s">
        <v>354</v>
      </c>
      <c r="B3717" s="958">
        <v>35</v>
      </c>
      <c r="C3717" s="958" t="s">
        <v>4519</v>
      </c>
      <c r="D3717" s="957" t="s">
        <v>4518</v>
      </c>
      <c r="E3717" s="956">
        <v>3416</v>
      </c>
      <c r="F3717" s="955"/>
      <c r="L3717" s="954"/>
      <c r="M3717" s="952"/>
      <c r="N3717" s="952"/>
    </row>
    <row r="3718" spans="1:14">
      <c r="A3718" s="958" t="s">
        <v>354</v>
      </c>
      <c r="B3718" s="958">
        <v>35</v>
      </c>
      <c r="C3718" s="958" t="s">
        <v>4517</v>
      </c>
      <c r="D3718" s="957" t="s">
        <v>4516</v>
      </c>
      <c r="E3718" s="956">
        <v>49961</v>
      </c>
      <c r="F3718" s="955"/>
      <c r="L3718" s="954"/>
      <c r="M3718" s="952"/>
      <c r="N3718" s="952"/>
    </row>
    <row r="3719" spans="1:14">
      <c r="A3719" s="958" t="s">
        <v>354</v>
      </c>
      <c r="B3719" s="958">
        <v>35</v>
      </c>
      <c r="C3719" s="958" t="s">
        <v>4515</v>
      </c>
      <c r="D3719" s="957" t="s">
        <v>4514</v>
      </c>
      <c r="E3719" s="956">
        <v>4628</v>
      </c>
      <c r="F3719" s="955"/>
      <c r="L3719" s="954"/>
      <c r="M3719" s="952"/>
      <c r="N3719" s="952"/>
    </row>
    <row r="3720" spans="1:14">
      <c r="A3720" s="958" t="s">
        <v>354</v>
      </c>
      <c r="B3720" s="958">
        <v>35</v>
      </c>
      <c r="C3720" s="958" t="s">
        <v>4513</v>
      </c>
      <c r="D3720" s="957" t="s">
        <v>4512</v>
      </c>
      <c r="E3720" s="956">
        <v>2577</v>
      </c>
      <c r="F3720" s="955"/>
      <c r="L3720" s="954"/>
      <c r="M3720" s="952"/>
      <c r="N3720" s="952"/>
    </row>
    <row r="3721" spans="1:14">
      <c r="A3721" s="958" t="s">
        <v>354</v>
      </c>
      <c r="B3721" s="958">
        <v>35</v>
      </c>
      <c r="C3721" s="958" t="s">
        <v>4511</v>
      </c>
      <c r="D3721" s="957" t="s">
        <v>4510</v>
      </c>
      <c r="E3721" s="956">
        <v>4169</v>
      </c>
      <c r="F3721" s="955"/>
      <c r="L3721" s="954"/>
      <c r="M3721" s="952"/>
      <c r="N3721" s="952"/>
    </row>
    <row r="3722" spans="1:14">
      <c r="A3722" s="958" t="s">
        <v>354</v>
      </c>
      <c r="B3722" s="958">
        <v>35</v>
      </c>
      <c r="C3722" s="958" t="s">
        <v>4509</v>
      </c>
      <c r="D3722" s="957" t="s">
        <v>4508</v>
      </c>
      <c r="E3722" s="956">
        <v>9925</v>
      </c>
      <c r="F3722" s="955"/>
      <c r="L3722" s="954"/>
      <c r="M3722" s="952"/>
      <c r="N3722" s="952"/>
    </row>
    <row r="3723" spans="1:14">
      <c r="A3723" s="958" t="s">
        <v>354</v>
      </c>
      <c r="B3723" s="958">
        <v>35</v>
      </c>
      <c r="C3723" s="958" t="s">
        <v>4507</v>
      </c>
      <c r="D3723" s="957" t="s">
        <v>4506</v>
      </c>
      <c r="E3723" s="956">
        <v>53098</v>
      </c>
      <c r="F3723" s="955"/>
      <c r="L3723" s="954"/>
      <c r="M3723" s="952"/>
      <c r="N3723" s="952"/>
    </row>
    <row r="3724" spans="1:14">
      <c r="A3724" s="958" t="s">
        <v>354</v>
      </c>
      <c r="B3724" s="958">
        <v>35</v>
      </c>
      <c r="C3724" s="958" t="s">
        <v>4505</v>
      </c>
      <c r="D3724" s="957" t="s">
        <v>4504</v>
      </c>
      <c r="E3724" s="956">
        <v>56150</v>
      </c>
      <c r="F3724" s="955"/>
      <c r="L3724" s="954"/>
      <c r="M3724" s="952"/>
      <c r="N3724" s="952"/>
    </row>
    <row r="3725" spans="1:14">
      <c r="A3725" s="958" t="s">
        <v>354</v>
      </c>
      <c r="B3725" s="958">
        <v>35</v>
      </c>
      <c r="C3725" s="958" t="s">
        <v>4503</v>
      </c>
      <c r="D3725" s="957" t="s">
        <v>4502</v>
      </c>
      <c r="E3725" s="956">
        <v>24643</v>
      </c>
      <c r="F3725" s="955"/>
      <c r="L3725" s="954"/>
      <c r="M3725" s="952"/>
      <c r="N3725" s="952"/>
    </row>
    <row r="3726" spans="1:14">
      <c r="A3726" s="958" t="s">
        <v>354</v>
      </c>
      <c r="B3726" s="958">
        <v>35</v>
      </c>
      <c r="C3726" s="958" t="s">
        <v>4501</v>
      </c>
      <c r="D3726" s="957" t="s">
        <v>4500</v>
      </c>
      <c r="E3726" s="956">
        <v>17361</v>
      </c>
      <c r="F3726" s="955"/>
      <c r="L3726" s="954"/>
      <c r="M3726" s="952"/>
      <c r="N3726" s="952"/>
    </row>
    <row r="3727" spans="1:14">
      <c r="A3727" s="958" t="s">
        <v>354</v>
      </c>
      <c r="B3727" s="958">
        <v>35</v>
      </c>
      <c r="C3727" s="958" t="s">
        <v>4499</v>
      </c>
      <c r="D3727" s="957" t="s">
        <v>4498</v>
      </c>
      <c r="E3727" s="956">
        <v>4093</v>
      </c>
      <c r="F3727" s="955"/>
      <c r="L3727" s="954"/>
      <c r="M3727" s="952"/>
      <c r="N3727" s="952"/>
    </row>
    <row r="3728" spans="1:14">
      <c r="A3728" s="958" t="s">
        <v>354</v>
      </c>
      <c r="B3728" s="958">
        <v>35</v>
      </c>
      <c r="C3728" s="958" t="s">
        <v>4497</v>
      </c>
      <c r="D3728" s="957" t="s">
        <v>4496</v>
      </c>
      <c r="E3728" s="956">
        <v>21496</v>
      </c>
      <c r="F3728" s="955"/>
      <c r="L3728" s="954"/>
      <c r="M3728" s="952"/>
      <c r="N3728" s="952"/>
    </row>
    <row r="3729" spans="1:14">
      <c r="A3729" s="958" t="s">
        <v>354</v>
      </c>
      <c r="B3729" s="958">
        <v>35</v>
      </c>
      <c r="C3729" s="958" t="s">
        <v>4495</v>
      </c>
      <c r="D3729" s="957" t="s">
        <v>2942</v>
      </c>
      <c r="E3729" s="956">
        <v>325073</v>
      </c>
      <c r="F3729" s="955"/>
      <c r="L3729" s="954"/>
      <c r="M3729" s="952"/>
      <c r="N3729" s="952"/>
    </row>
    <row r="3730" spans="1:14">
      <c r="A3730" s="958" t="s">
        <v>354</v>
      </c>
      <c r="B3730" s="958">
        <v>35</v>
      </c>
      <c r="C3730" s="958" t="s">
        <v>4494</v>
      </c>
      <c r="D3730" s="957" t="s">
        <v>4493</v>
      </c>
      <c r="E3730" s="956">
        <v>5261</v>
      </c>
      <c r="F3730" s="955"/>
      <c r="L3730" s="954"/>
      <c r="M3730" s="952"/>
      <c r="N3730" s="952"/>
    </row>
    <row r="3731" spans="1:14">
      <c r="A3731" s="958" t="s">
        <v>354</v>
      </c>
      <c r="B3731" s="958">
        <v>35</v>
      </c>
      <c r="C3731" s="958" t="s">
        <v>4492</v>
      </c>
      <c r="D3731" s="957" t="s">
        <v>4491</v>
      </c>
      <c r="E3731" s="956">
        <v>4094</v>
      </c>
      <c r="F3731" s="955"/>
      <c r="L3731" s="954"/>
      <c r="M3731" s="952"/>
      <c r="N3731" s="952"/>
    </row>
    <row r="3732" spans="1:14">
      <c r="A3732" s="958" t="s">
        <v>354</v>
      </c>
      <c r="B3732" s="958">
        <v>35</v>
      </c>
      <c r="C3732" s="958" t="s">
        <v>4490</v>
      </c>
      <c r="D3732" s="957" t="s">
        <v>4489</v>
      </c>
      <c r="E3732" s="956">
        <v>13106</v>
      </c>
      <c r="F3732" s="955"/>
      <c r="L3732" s="954"/>
      <c r="M3732" s="952"/>
      <c r="N3732" s="952"/>
    </row>
    <row r="3733" spans="1:14">
      <c r="A3733" s="958" t="s">
        <v>354</v>
      </c>
      <c r="B3733" s="958">
        <v>35</v>
      </c>
      <c r="C3733" s="958" t="s">
        <v>4488</v>
      </c>
      <c r="D3733" s="957" t="s">
        <v>4487</v>
      </c>
      <c r="E3733" s="956">
        <v>44200</v>
      </c>
      <c r="F3733" s="955"/>
      <c r="L3733" s="954"/>
      <c r="M3733" s="952"/>
      <c r="N3733" s="952"/>
    </row>
    <row r="3734" spans="1:14">
      <c r="A3734" s="958" t="s">
        <v>354</v>
      </c>
      <c r="B3734" s="958">
        <v>35</v>
      </c>
      <c r="C3734" s="958" t="s">
        <v>4486</v>
      </c>
      <c r="D3734" s="957" t="s">
        <v>4485</v>
      </c>
      <c r="E3734" s="956">
        <v>228743</v>
      </c>
      <c r="F3734" s="955"/>
      <c r="L3734" s="954"/>
      <c r="M3734" s="952"/>
      <c r="N3734" s="952"/>
    </row>
    <row r="3735" spans="1:14">
      <c r="A3735" s="958" t="s">
        <v>354</v>
      </c>
      <c r="B3735" s="958">
        <v>35</v>
      </c>
      <c r="C3735" s="958" t="s">
        <v>4484</v>
      </c>
      <c r="D3735" s="957" t="s">
        <v>4483</v>
      </c>
      <c r="E3735" s="956">
        <v>39516</v>
      </c>
      <c r="F3735" s="955"/>
      <c r="L3735" s="954"/>
      <c r="M3735" s="952"/>
      <c r="N3735" s="952"/>
    </row>
    <row r="3736" spans="1:14">
      <c r="A3736" s="958" t="s">
        <v>354</v>
      </c>
      <c r="B3736" s="958">
        <v>35</v>
      </c>
      <c r="C3736" s="958" t="s">
        <v>4482</v>
      </c>
      <c r="D3736" s="957" t="s">
        <v>4481</v>
      </c>
      <c r="E3736" s="956">
        <v>40432</v>
      </c>
      <c r="F3736" s="955"/>
      <c r="L3736" s="954"/>
      <c r="M3736" s="952"/>
      <c r="N3736" s="952"/>
    </row>
    <row r="3737" spans="1:14">
      <c r="A3737" s="958" t="s">
        <v>354</v>
      </c>
      <c r="B3737" s="958">
        <v>35</v>
      </c>
      <c r="C3737" s="958" t="s">
        <v>4480</v>
      </c>
      <c r="D3737" s="957" t="s">
        <v>4479</v>
      </c>
      <c r="E3737" s="956">
        <v>3804</v>
      </c>
      <c r="F3737" s="955"/>
      <c r="L3737" s="954"/>
      <c r="M3737" s="952"/>
      <c r="N3737" s="952"/>
    </row>
    <row r="3738" spans="1:14">
      <c r="A3738" s="958" t="s">
        <v>354</v>
      </c>
      <c r="B3738" s="958">
        <v>35</v>
      </c>
      <c r="C3738" s="958" t="s">
        <v>4478</v>
      </c>
      <c r="D3738" s="957" t="s">
        <v>4477</v>
      </c>
      <c r="E3738" s="956">
        <v>14109</v>
      </c>
      <c r="F3738" s="955"/>
      <c r="L3738" s="954"/>
      <c r="M3738" s="952"/>
      <c r="N3738" s="952"/>
    </row>
    <row r="3739" spans="1:14">
      <c r="A3739" s="958" t="s">
        <v>354</v>
      </c>
      <c r="B3739" s="958">
        <v>35</v>
      </c>
      <c r="C3739" s="958" t="s">
        <v>4476</v>
      </c>
      <c r="D3739" s="957" t="s">
        <v>4475</v>
      </c>
      <c r="E3739" s="956">
        <v>3406</v>
      </c>
      <c r="F3739" s="955"/>
      <c r="L3739" s="954"/>
      <c r="M3739" s="952"/>
      <c r="N3739" s="952"/>
    </row>
    <row r="3740" spans="1:14">
      <c r="A3740" s="958" t="s">
        <v>354</v>
      </c>
      <c r="B3740" s="958">
        <v>35</v>
      </c>
      <c r="C3740" s="958" t="s">
        <v>4474</v>
      </c>
      <c r="D3740" s="957" t="s">
        <v>4473</v>
      </c>
      <c r="E3740" s="956">
        <v>13420</v>
      </c>
      <c r="F3740" s="955"/>
      <c r="L3740" s="954"/>
      <c r="M3740" s="952"/>
      <c r="N3740" s="952"/>
    </row>
    <row r="3741" spans="1:14">
      <c r="A3741" s="958" t="s">
        <v>354</v>
      </c>
      <c r="B3741" s="958">
        <v>35</v>
      </c>
      <c r="C3741" s="958" t="s">
        <v>4472</v>
      </c>
      <c r="D3741" s="957" t="s">
        <v>4471</v>
      </c>
      <c r="E3741" s="956">
        <v>6638</v>
      </c>
      <c r="F3741" s="955"/>
      <c r="L3741" s="954"/>
      <c r="M3741" s="952"/>
      <c r="N3741" s="952"/>
    </row>
    <row r="3742" spans="1:14">
      <c r="A3742" s="958" t="s">
        <v>354</v>
      </c>
      <c r="B3742" s="958">
        <v>35</v>
      </c>
      <c r="C3742" s="958" t="s">
        <v>4470</v>
      </c>
      <c r="D3742" s="957" t="s">
        <v>4469</v>
      </c>
      <c r="E3742" s="956">
        <v>9076</v>
      </c>
      <c r="F3742" s="955"/>
      <c r="L3742" s="954"/>
      <c r="M3742" s="952"/>
      <c r="N3742" s="952"/>
    </row>
    <row r="3743" spans="1:14">
      <c r="A3743" s="958" t="s">
        <v>354</v>
      </c>
      <c r="B3743" s="958">
        <v>35</v>
      </c>
      <c r="C3743" s="958" t="s">
        <v>4468</v>
      </c>
      <c r="D3743" s="957" t="s">
        <v>4467</v>
      </c>
      <c r="E3743" s="956">
        <v>29707</v>
      </c>
      <c r="F3743" s="955"/>
      <c r="L3743" s="954"/>
      <c r="M3743" s="952"/>
      <c r="N3743" s="952"/>
    </row>
    <row r="3744" spans="1:14">
      <c r="A3744" s="958" t="s">
        <v>354</v>
      </c>
      <c r="B3744" s="958">
        <v>35</v>
      </c>
      <c r="C3744" s="958" t="s">
        <v>4466</v>
      </c>
      <c r="D3744" s="957" t="s">
        <v>4465</v>
      </c>
      <c r="E3744" s="956">
        <v>3851</v>
      </c>
      <c r="F3744" s="955"/>
      <c r="L3744" s="954"/>
      <c r="M3744" s="952"/>
      <c r="N3744" s="952"/>
    </row>
    <row r="3745" spans="1:14">
      <c r="A3745" s="958" t="s">
        <v>354</v>
      </c>
      <c r="B3745" s="958">
        <v>35</v>
      </c>
      <c r="C3745" s="958" t="s">
        <v>4464</v>
      </c>
      <c r="D3745" s="957" t="s">
        <v>4463</v>
      </c>
      <c r="E3745" s="956">
        <v>20261</v>
      </c>
      <c r="F3745" s="955"/>
      <c r="L3745" s="954"/>
      <c r="M3745" s="952"/>
      <c r="N3745" s="952"/>
    </row>
    <row r="3746" spans="1:14">
      <c r="A3746" s="958" t="s">
        <v>354</v>
      </c>
      <c r="B3746" s="958">
        <v>35</v>
      </c>
      <c r="C3746" s="958" t="s">
        <v>4462</v>
      </c>
      <c r="D3746" s="957" t="s">
        <v>4461</v>
      </c>
      <c r="E3746" s="956">
        <v>9621</v>
      </c>
      <c r="F3746" s="955"/>
      <c r="L3746" s="954"/>
      <c r="M3746" s="952"/>
      <c r="N3746" s="952"/>
    </row>
    <row r="3747" spans="1:14">
      <c r="A3747" s="958" t="s">
        <v>354</v>
      </c>
      <c r="B3747" s="958">
        <v>35</v>
      </c>
      <c r="C3747" s="958" t="s">
        <v>4460</v>
      </c>
      <c r="D3747" s="957" t="s">
        <v>5</v>
      </c>
      <c r="E3747" s="956">
        <v>56322</v>
      </c>
      <c r="F3747" s="955"/>
      <c r="L3747" s="954"/>
      <c r="M3747" s="952"/>
      <c r="N3747" s="952"/>
    </row>
    <row r="3748" spans="1:14">
      <c r="A3748" s="958" t="s">
        <v>354</v>
      </c>
      <c r="B3748" s="958">
        <v>35</v>
      </c>
      <c r="C3748" s="958" t="s">
        <v>4459</v>
      </c>
      <c r="D3748" s="957" t="s">
        <v>4458</v>
      </c>
      <c r="E3748" s="956">
        <v>7593</v>
      </c>
      <c r="F3748" s="955"/>
      <c r="L3748" s="954"/>
      <c r="M3748" s="952"/>
      <c r="N3748" s="952"/>
    </row>
    <row r="3749" spans="1:14">
      <c r="A3749" s="958" t="s">
        <v>354</v>
      </c>
      <c r="B3749" s="958">
        <v>35</v>
      </c>
      <c r="C3749" s="958" t="s">
        <v>4457</v>
      </c>
      <c r="D3749" s="957" t="s">
        <v>4456</v>
      </c>
      <c r="E3749" s="956">
        <v>3340</v>
      </c>
      <c r="F3749" s="955"/>
      <c r="L3749" s="954"/>
      <c r="M3749" s="952"/>
      <c r="N3749" s="952"/>
    </row>
    <row r="3750" spans="1:14">
      <c r="A3750" s="958" t="s">
        <v>354</v>
      </c>
      <c r="B3750" s="958">
        <v>35</v>
      </c>
      <c r="C3750" s="958" t="s">
        <v>4455</v>
      </c>
      <c r="D3750" s="957" t="s">
        <v>4454</v>
      </c>
      <c r="E3750" s="956">
        <v>13219</v>
      </c>
      <c r="F3750" s="955"/>
      <c r="L3750" s="954"/>
      <c r="M3750" s="952"/>
      <c r="N3750" s="952"/>
    </row>
    <row r="3751" spans="1:14">
      <c r="A3751" s="958" t="s">
        <v>354</v>
      </c>
      <c r="B3751" s="958">
        <v>35</v>
      </c>
      <c r="C3751" s="958" t="s">
        <v>4453</v>
      </c>
      <c r="D3751" s="957" t="s">
        <v>4452</v>
      </c>
      <c r="E3751" s="956">
        <v>16444</v>
      </c>
      <c r="F3751" s="955"/>
      <c r="L3751" s="954"/>
      <c r="M3751" s="952"/>
      <c r="N3751" s="952"/>
    </row>
    <row r="3752" spans="1:14">
      <c r="A3752" s="958" t="s">
        <v>354</v>
      </c>
      <c r="B3752" s="958">
        <v>35</v>
      </c>
      <c r="C3752" s="958" t="s">
        <v>4451</v>
      </c>
      <c r="D3752" s="957" t="s">
        <v>4450</v>
      </c>
      <c r="E3752" s="956">
        <v>4718</v>
      </c>
      <c r="F3752" s="955"/>
      <c r="L3752" s="954"/>
      <c r="M3752" s="952"/>
      <c r="N3752" s="952"/>
    </row>
    <row r="3753" spans="1:14">
      <c r="A3753" s="958" t="s">
        <v>354</v>
      </c>
      <c r="B3753" s="958">
        <v>35</v>
      </c>
      <c r="C3753" s="958" t="s">
        <v>4449</v>
      </c>
      <c r="D3753" s="957" t="s">
        <v>4448</v>
      </c>
      <c r="E3753" s="956">
        <v>4541</v>
      </c>
      <c r="F3753" s="955"/>
      <c r="L3753" s="954"/>
      <c r="M3753" s="952"/>
      <c r="N3753" s="952"/>
    </row>
    <row r="3754" spans="1:14">
      <c r="A3754" s="958" t="s">
        <v>354</v>
      </c>
      <c r="B3754" s="958">
        <v>35</v>
      </c>
      <c r="C3754" s="958" t="s">
        <v>4447</v>
      </c>
      <c r="D3754" s="957" t="s">
        <v>4446</v>
      </c>
      <c r="E3754" s="956">
        <v>2225</v>
      </c>
      <c r="F3754" s="955"/>
      <c r="L3754" s="954"/>
      <c r="M3754" s="952"/>
      <c r="N3754" s="952"/>
    </row>
    <row r="3755" spans="1:14">
      <c r="A3755" s="958" t="s">
        <v>354</v>
      </c>
      <c r="B3755" s="958">
        <v>35</v>
      </c>
      <c r="C3755" s="958" t="s">
        <v>4445</v>
      </c>
      <c r="D3755" s="957" t="s">
        <v>4444</v>
      </c>
      <c r="E3755" s="956">
        <v>7673</v>
      </c>
      <c r="F3755" s="955"/>
      <c r="L3755" s="954"/>
      <c r="M3755" s="952"/>
      <c r="N3755" s="952"/>
    </row>
    <row r="3756" spans="1:14">
      <c r="A3756" s="958" t="s">
        <v>354</v>
      </c>
      <c r="B3756" s="958">
        <v>35</v>
      </c>
      <c r="C3756" s="958" t="s">
        <v>4443</v>
      </c>
      <c r="D3756" s="957" t="s">
        <v>4442</v>
      </c>
      <c r="E3756" s="956">
        <v>123393</v>
      </c>
      <c r="F3756" s="955"/>
      <c r="L3756" s="954"/>
      <c r="M3756" s="952"/>
      <c r="N3756" s="952"/>
    </row>
    <row r="3757" spans="1:14">
      <c r="A3757" s="958" t="s">
        <v>354</v>
      </c>
      <c r="B3757" s="958">
        <v>35</v>
      </c>
      <c r="C3757" s="958" t="s">
        <v>4441</v>
      </c>
      <c r="D3757" s="957" t="s">
        <v>4440</v>
      </c>
      <c r="E3757" s="956">
        <v>703293</v>
      </c>
      <c r="F3757" s="955"/>
      <c r="L3757" s="954"/>
      <c r="M3757" s="952"/>
      <c r="N3757" s="952"/>
    </row>
    <row r="3758" spans="1:14">
      <c r="A3758" s="958" t="s">
        <v>354</v>
      </c>
      <c r="B3758" s="958">
        <v>35</v>
      </c>
      <c r="C3758" s="958" t="s">
        <v>4439</v>
      </c>
      <c r="D3758" s="957" t="s">
        <v>4438</v>
      </c>
      <c r="E3758" s="956">
        <v>5524</v>
      </c>
      <c r="F3758" s="955"/>
      <c r="L3758" s="954"/>
      <c r="M3758" s="952"/>
      <c r="N3758" s="952"/>
    </row>
    <row r="3759" spans="1:14">
      <c r="A3759" s="958" t="s">
        <v>354</v>
      </c>
      <c r="B3759" s="958">
        <v>35</v>
      </c>
      <c r="C3759" s="958" t="s">
        <v>4437</v>
      </c>
      <c r="D3759" s="957" t="s">
        <v>4436</v>
      </c>
      <c r="E3759" s="956">
        <v>3629</v>
      </c>
      <c r="F3759" s="955"/>
      <c r="L3759" s="954"/>
      <c r="M3759" s="952"/>
      <c r="N3759" s="952"/>
    </row>
    <row r="3760" spans="1:14">
      <c r="A3760" s="958" t="s">
        <v>354</v>
      </c>
      <c r="B3760" s="958">
        <v>35</v>
      </c>
      <c r="C3760" s="958" t="s">
        <v>4435</v>
      </c>
      <c r="D3760" s="957" t="s">
        <v>4434</v>
      </c>
      <c r="E3760" s="956">
        <v>10799</v>
      </c>
      <c r="F3760" s="955"/>
      <c r="L3760" s="954"/>
      <c r="M3760" s="952"/>
      <c r="N3760" s="952"/>
    </row>
    <row r="3761" spans="1:14">
      <c r="A3761" s="958" t="s">
        <v>354</v>
      </c>
      <c r="B3761" s="958">
        <v>35</v>
      </c>
      <c r="C3761" s="958" t="s">
        <v>4433</v>
      </c>
      <c r="D3761" s="957" t="s">
        <v>4432</v>
      </c>
      <c r="E3761" s="956">
        <v>9981</v>
      </c>
      <c r="F3761" s="955"/>
      <c r="L3761" s="954"/>
      <c r="M3761" s="952"/>
      <c r="N3761" s="952"/>
    </row>
    <row r="3762" spans="1:14">
      <c r="A3762" s="958" t="s">
        <v>354</v>
      </c>
      <c r="B3762" s="958">
        <v>35</v>
      </c>
      <c r="C3762" s="958" t="s">
        <v>4431</v>
      </c>
      <c r="D3762" s="957" t="s">
        <v>4430</v>
      </c>
      <c r="E3762" s="956">
        <v>206424</v>
      </c>
      <c r="F3762" s="955"/>
      <c r="L3762" s="954"/>
      <c r="M3762" s="952"/>
      <c r="N3762" s="952"/>
    </row>
    <row r="3763" spans="1:14">
      <c r="A3763" s="958" t="s">
        <v>354</v>
      </c>
      <c r="B3763" s="958">
        <v>35</v>
      </c>
      <c r="C3763" s="958" t="s">
        <v>4429</v>
      </c>
      <c r="D3763" s="957" t="s">
        <v>4428</v>
      </c>
      <c r="E3763" s="956">
        <v>35228</v>
      </c>
      <c r="F3763" s="955"/>
      <c r="L3763" s="954"/>
      <c r="M3763" s="952"/>
      <c r="N3763" s="952"/>
    </row>
    <row r="3764" spans="1:14">
      <c r="A3764" s="958" t="s">
        <v>354</v>
      </c>
      <c r="B3764" s="958">
        <v>35</v>
      </c>
      <c r="C3764" s="958" t="s">
        <v>4427</v>
      </c>
      <c r="D3764" s="957" t="s">
        <v>4426</v>
      </c>
      <c r="E3764" s="956">
        <v>50846</v>
      </c>
      <c r="F3764" s="955"/>
      <c r="L3764" s="954"/>
      <c r="M3764" s="952"/>
      <c r="N3764" s="952"/>
    </row>
    <row r="3765" spans="1:14">
      <c r="A3765" s="958" t="s">
        <v>354</v>
      </c>
      <c r="B3765" s="958">
        <v>35</v>
      </c>
      <c r="C3765" s="958" t="s">
        <v>4425</v>
      </c>
      <c r="D3765" s="957" t="s">
        <v>4424</v>
      </c>
      <c r="E3765" s="956">
        <v>12518</v>
      </c>
      <c r="F3765" s="955"/>
      <c r="L3765" s="954"/>
      <c r="M3765" s="952"/>
      <c r="N3765" s="952"/>
    </row>
    <row r="3766" spans="1:14">
      <c r="A3766" s="958" t="s">
        <v>354</v>
      </c>
      <c r="B3766" s="958">
        <v>35</v>
      </c>
      <c r="C3766" s="958" t="s">
        <v>4423</v>
      </c>
      <c r="D3766" s="957" t="s">
        <v>4422</v>
      </c>
      <c r="E3766" s="956">
        <v>16643</v>
      </c>
      <c r="F3766" s="955"/>
      <c r="L3766" s="954"/>
      <c r="M3766" s="952"/>
      <c r="N3766" s="952"/>
    </row>
    <row r="3767" spans="1:14">
      <c r="A3767" s="958" t="s">
        <v>354</v>
      </c>
      <c r="B3767" s="958">
        <v>35</v>
      </c>
      <c r="C3767" s="958" t="s">
        <v>4421</v>
      </c>
      <c r="D3767" s="957" t="s">
        <v>4420</v>
      </c>
      <c r="E3767" s="956">
        <v>10712</v>
      </c>
      <c r="F3767" s="955"/>
      <c r="L3767" s="954"/>
      <c r="M3767" s="952"/>
      <c r="N3767" s="952"/>
    </row>
    <row r="3768" spans="1:14">
      <c r="A3768" s="958" t="s">
        <v>354</v>
      </c>
      <c r="B3768" s="958">
        <v>35</v>
      </c>
      <c r="C3768" s="958" t="s">
        <v>4419</v>
      </c>
      <c r="D3768" s="957" t="s">
        <v>4418</v>
      </c>
      <c r="E3768" s="956">
        <v>3128</v>
      </c>
      <c r="F3768" s="955"/>
      <c r="L3768" s="954"/>
      <c r="M3768" s="952"/>
      <c r="N3768" s="952"/>
    </row>
    <row r="3769" spans="1:14">
      <c r="A3769" s="958" t="s">
        <v>354</v>
      </c>
      <c r="B3769" s="958">
        <v>35</v>
      </c>
      <c r="C3769" s="958" t="s">
        <v>4417</v>
      </c>
      <c r="D3769" s="957" t="s">
        <v>4416</v>
      </c>
      <c r="E3769" s="956">
        <v>3148</v>
      </c>
      <c r="F3769" s="955"/>
      <c r="L3769" s="954"/>
      <c r="M3769" s="952"/>
      <c r="N3769" s="952"/>
    </row>
    <row r="3770" spans="1:14">
      <c r="A3770" s="958" t="s">
        <v>354</v>
      </c>
      <c r="B3770" s="958">
        <v>35</v>
      </c>
      <c r="C3770" s="958" t="s">
        <v>4415</v>
      </c>
      <c r="D3770" s="957" t="s">
        <v>4414</v>
      </c>
      <c r="E3770" s="956">
        <v>5590</v>
      </c>
      <c r="F3770" s="955"/>
      <c r="L3770" s="954"/>
      <c r="M3770" s="952"/>
      <c r="N3770" s="952"/>
    </row>
    <row r="3771" spans="1:14">
      <c r="A3771" s="958" t="s">
        <v>354</v>
      </c>
      <c r="B3771" s="958">
        <v>35</v>
      </c>
      <c r="C3771" s="958" t="s">
        <v>4413</v>
      </c>
      <c r="D3771" s="957" t="s">
        <v>4412</v>
      </c>
      <c r="E3771" s="956">
        <v>2432</v>
      </c>
      <c r="F3771" s="955"/>
      <c r="L3771" s="954"/>
      <c r="M3771" s="952"/>
      <c r="N3771" s="952"/>
    </row>
    <row r="3772" spans="1:14">
      <c r="A3772" s="958" t="s">
        <v>354</v>
      </c>
      <c r="B3772" s="958">
        <v>35</v>
      </c>
      <c r="C3772" s="958" t="s">
        <v>4411</v>
      </c>
      <c r="D3772" s="957" t="s">
        <v>4410</v>
      </c>
      <c r="E3772" s="956">
        <v>6331</v>
      </c>
      <c r="F3772" s="955"/>
      <c r="L3772" s="954"/>
      <c r="M3772" s="952"/>
      <c r="N3772" s="952"/>
    </row>
    <row r="3773" spans="1:14">
      <c r="A3773" s="958" t="s">
        <v>354</v>
      </c>
      <c r="B3773" s="958">
        <v>35</v>
      </c>
      <c r="C3773" s="958" t="s">
        <v>4409</v>
      </c>
      <c r="D3773" s="957" t="s">
        <v>4408</v>
      </c>
      <c r="E3773" s="956">
        <v>11890</v>
      </c>
      <c r="F3773" s="955"/>
      <c r="L3773" s="954"/>
      <c r="M3773" s="952"/>
      <c r="N3773" s="952"/>
    </row>
    <row r="3774" spans="1:14">
      <c r="A3774" s="958" t="s">
        <v>354</v>
      </c>
      <c r="B3774" s="958">
        <v>35</v>
      </c>
      <c r="C3774" s="958" t="s">
        <v>4407</v>
      </c>
      <c r="D3774" s="957" t="s">
        <v>4406</v>
      </c>
      <c r="E3774" s="956">
        <v>17139</v>
      </c>
      <c r="F3774" s="955"/>
      <c r="L3774" s="954"/>
      <c r="M3774" s="952"/>
      <c r="N3774" s="952"/>
    </row>
    <row r="3775" spans="1:14">
      <c r="A3775" s="958" t="s">
        <v>354</v>
      </c>
      <c r="B3775" s="958">
        <v>35</v>
      </c>
      <c r="C3775" s="958" t="s">
        <v>4405</v>
      </c>
      <c r="D3775" s="957" t="s">
        <v>4404</v>
      </c>
      <c r="E3775" s="956">
        <v>5300</v>
      </c>
      <c r="F3775" s="955"/>
      <c r="L3775" s="954"/>
      <c r="M3775" s="952"/>
      <c r="N3775" s="952"/>
    </row>
    <row r="3776" spans="1:14">
      <c r="A3776" s="958" t="s">
        <v>354</v>
      </c>
      <c r="B3776" s="958">
        <v>35</v>
      </c>
      <c r="C3776" s="958" t="s">
        <v>4403</v>
      </c>
      <c r="D3776" s="957" t="s">
        <v>2904</v>
      </c>
      <c r="E3776" s="956">
        <v>8286</v>
      </c>
      <c r="F3776" s="955"/>
      <c r="L3776" s="954"/>
      <c r="M3776" s="952"/>
      <c r="N3776" s="952"/>
    </row>
    <row r="3777" spans="1:14">
      <c r="A3777" s="958" t="s">
        <v>354</v>
      </c>
      <c r="B3777" s="958">
        <v>35</v>
      </c>
      <c r="C3777" s="958" t="s">
        <v>4402</v>
      </c>
      <c r="D3777" s="957" t="s">
        <v>4401</v>
      </c>
      <c r="E3777" s="956">
        <v>118663</v>
      </c>
      <c r="F3777" s="955"/>
      <c r="L3777" s="954"/>
      <c r="M3777" s="952"/>
      <c r="N3777" s="952"/>
    </row>
    <row r="3778" spans="1:14">
      <c r="A3778" s="958" t="s">
        <v>354</v>
      </c>
      <c r="B3778" s="958">
        <v>35</v>
      </c>
      <c r="C3778" s="958" t="s">
        <v>4400</v>
      </c>
      <c r="D3778" s="957" t="s">
        <v>4399</v>
      </c>
      <c r="E3778" s="956">
        <v>45422</v>
      </c>
      <c r="F3778" s="955"/>
      <c r="L3778" s="954"/>
      <c r="M3778" s="952"/>
      <c r="N3778" s="952"/>
    </row>
    <row r="3779" spans="1:14">
      <c r="A3779" s="958" t="s">
        <v>354</v>
      </c>
      <c r="B3779" s="958">
        <v>35</v>
      </c>
      <c r="C3779" s="958" t="s">
        <v>4398</v>
      </c>
      <c r="D3779" s="957" t="s">
        <v>4397</v>
      </c>
      <c r="E3779" s="956">
        <v>9331</v>
      </c>
      <c r="F3779" s="955"/>
      <c r="L3779" s="954"/>
      <c r="M3779" s="952"/>
      <c r="N3779" s="952"/>
    </row>
    <row r="3780" spans="1:14">
      <c r="A3780" s="958" t="s">
        <v>354</v>
      </c>
      <c r="B3780" s="958">
        <v>35</v>
      </c>
      <c r="C3780" s="958" t="s">
        <v>4396</v>
      </c>
      <c r="D3780" s="957" t="s">
        <v>4395</v>
      </c>
      <c r="E3780" s="956">
        <v>4302</v>
      </c>
      <c r="F3780" s="955"/>
      <c r="L3780" s="954"/>
      <c r="M3780" s="952"/>
      <c r="N3780" s="952"/>
    </row>
    <row r="3781" spans="1:14">
      <c r="A3781" s="958" t="s">
        <v>354</v>
      </c>
      <c r="B3781" s="958">
        <v>35</v>
      </c>
      <c r="C3781" s="958" t="s">
        <v>4394</v>
      </c>
      <c r="D3781" s="957" t="s">
        <v>4393</v>
      </c>
      <c r="E3781" s="956">
        <v>15480</v>
      </c>
      <c r="F3781" s="955"/>
      <c r="L3781" s="954"/>
      <c r="M3781" s="952"/>
      <c r="N3781" s="952"/>
    </row>
    <row r="3782" spans="1:14">
      <c r="A3782" s="958" t="s">
        <v>354</v>
      </c>
      <c r="B3782" s="958">
        <v>35</v>
      </c>
      <c r="C3782" s="958" t="s">
        <v>4392</v>
      </c>
      <c r="D3782" s="957" t="s">
        <v>4391</v>
      </c>
      <c r="E3782" s="956">
        <v>6008</v>
      </c>
      <c r="F3782" s="955"/>
      <c r="L3782" s="954"/>
      <c r="M3782" s="952"/>
      <c r="N3782" s="952"/>
    </row>
    <row r="3783" spans="1:14">
      <c r="A3783" s="958" t="s">
        <v>354</v>
      </c>
      <c r="B3783" s="958">
        <v>35</v>
      </c>
      <c r="C3783" s="958" t="s">
        <v>4390</v>
      </c>
      <c r="D3783" s="957" t="s">
        <v>4389</v>
      </c>
      <c r="E3783" s="956">
        <v>193475</v>
      </c>
      <c r="F3783" s="955"/>
      <c r="L3783" s="954"/>
      <c r="M3783" s="952"/>
      <c r="N3783" s="952"/>
    </row>
    <row r="3784" spans="1:14">
      <c r="A3784" s="958" t="s">
        <v>354</v>
      </c>
      <c r="B3784" s="958">
        <v>35</v>
      </c>
      <c r="C3784" s="958" t="s">
        <v>4388</v>
      </c>
      <c r="D3784" s="957" t="s">
        <v>4387</v>
      </c>
      <c r="E3784" s="956">
        <v>14788</v>
      </c>
      <c r="F3784" s="955"/>
      <c r="L3784" s="954"/>
      <c r="M3784" s="952"/>
      <c r="N3784" s="952"/>
    </row>
    <row r="3785" spans="1:14">
      <c r="A3785" s="958" t="s">
        <v>354</v>
      </c>
      <c r="B3785" s="958">
        <v>35</v>
      </c>
      <c r="C3785" s="958" t="s">
        <v>4386</v>
      </c>
      <c r="D3785" s="957" t="s">
        <v>4385</v>
      </c>
      <c r="E3785" s="956">
        <v>2115</v>
      </c>
      <c r="F3785" s="955"/>
      <c r="L3785" s="954"/>
      <c r="M3785" s="952"/>
      <c r="N3785" s="952"/>
    </row>
    <row r="3786" spans="1:14">
      <c r="A3786" s="958" t="s">
        <v>354</v>
      </c>
      <c r="B3786" s="958">
        <v>35</v>
      </c>
      <c r="C3786" s="958" t="s">
        <v>4384</v>
      </c>
      <c r="D3786" s="957" t="s">
        <v>4383</v>
      </c>
      <c r="E3786" s="956">
        <v>4503</v>
      </c>
      <c r="F3786" s="955"/>
      <c r="L3786" s="954"/>
      <c r="M3786" s="952"/>
      <c r="N3786" s="952"/>
    </row>
    <row r="3787" spans="1:14">
      <c r="A3787" s="958" t="s">
        <v>354</v>
      </c>
      <c r="B3787" s="958">
        <v>35</v>
      </c>
      <c r="C3787" s="958" t="s">
        <v>4382</v>
      </c>
      <c r="D3787" s="957" t="s">
        <v>4381</v>
      </c>
      <c r="E3787" s="956">
        <v>2139</v>
      </c>
      <c r="F3787" s="955"/>
      <c r="L3787" s="954"/>
      <c r="M3787" s="952"/>
      <c r="N3787" s="952"/>
    </row>
    <row r="3788" spans="1:14">
      <c r="A3788" s="958" t="s">
        <v>354</v>
      </c>
      <c r="B3788" s="958">
        <v>35</v>
      </c>
      <c r="C3788" s="958" t="s">
        <v>4380</v>
      </c>
      <c r="D3788" s="957" t="s">
        <v>4379</v>
      </c>
      <c r="E3788" s="956">
        <v>34361</v>
      </c>
      <c r="F3788" s="955"/>
      <c r="L3788" s="954"/>
      <c r="M3788" s="952"/>
      <c r="N3788" s="952"/>
    </row>
    <row r="3789" spans="1:14">
      <c r="A3789" s="958" t="s">
        <v>354</v>
      </c>
      <c r="B3789" s="958">
        <v>35</v>
      </c>
      <c r="C3789" s="958" t="s">
        <v>4378</v>
      </c>
      <c r="D3789" s="957" t="s">
        <v>4377</v>
      </c>
      <c r="E3789" s="956">
        <v>47673</v>
      </c>
      <c r="F3789" s="955"/>
      <c r="L3789" s="954"/>
      <c r="M3789" s="952"/>
      <c r="N3789" s="952"/>
    </row>
    <row r="3790" spans="1:14">
      <c r="A3790" s="958" t="s">
        <v>354</v>
      </c>
      <c r="B3790" s="958">
        <v>35</v>
      </c>
      <c r="C3790" s="958" t="s">
        <v>4376</v>
      </c>
      <c r="D3790" s="957" t="s">
        <v>4375</v>
      </c>
      <c r="E3790" s="956">
        <v>5599</v>
      </c>
      <c r="F3790" s="955"/>
      <c r="L3790" s="954"/>
      <c r="M3790" s="952"/>
      <c r="N3790" s="952"/>
    </row>
    <row r="3791" spans="1:14">
      <c r="A3791" s="958" t="s">
        <v>354</v>
      </c>
      <c r="B3791" s="958">
        <v>35</v>
      </c>
      <c r="C3791" s="958" t="s">
        <v>4374</v>
      </c>
      <c r="D3791" s="957" t="s">
        <v>4373</v>
      </c>
      <c r="E3791" s="956">
        <v>32322</v>
      </c>
      <c r="F3791" s="955"/>
      <c r="L3791" s="954"/>
      <c r="M3791" s="952"/>
      <c r="N3791" s="952"/>
    </row>
    <row r="3792" spans="1:14">
      <c r="A3792" s="958" t="s">
        <v>354</v>
      </c>
      <c r="B3792" s="958">
        <v>35</v>
      </c>
      <c r="C3792" s="958" t="s">
        <v>4372</v>
      </c>
      <c r="D3792" s="957" t="s">
        <v>4371</v>
      </c>
      <c r="E3792" s="956">
        <v>26898</v>
      </c>
      <c r="F3792" s="955"/>
      <c r="L3792" s="954"/>
      <c r="M3792" s="952"/>
      <c r="N3792" s="952"/>
    </row>
    <row r="3793" spans="1:14">
      <c r="A3793" s="958" t="s">
        <v>354</v>
      </c>
      <c r="B3793" s="958">
        <v>35</v>
      </c>
      <c r="C3793" s="958" t="s">
        <v>4370</v>
      </c>
      <c r="D3793" s="957" t="s">
        <v>925</v>
      </c>
      <c r="E3793" s="956">
        <v>57386</v>
      </c>
      <c r="F3793" s="955"/>
      <c r="L3793" s="954"/>
      <c r="M3793" s="952"/>
      <c r="N3793" s="952"/>
    </row>
    <row r="3794" spans="1:14">
      <c r="A3794" s="958" t="s">
        <v>354</v>
      </c>
      <c r="B3794" s="958">
        <v>35</v>
      </c>
      <c r="C3794" s="958" t="s">
        <v>4369</v>
      </c>
      <c r="D3794" s="957" t="s">
        <v>3496</v>
      </c>
      <c r="E3794" s="956">
        <v>8817</v>
      </c>
      <c r="F3794" s="955"/>
      <c r="L3794" s="954"/>
      <c r="M3794" s="952"/>
      <c r="N3794" s="952"/>
    </row>
    <row r="3795" spans="1:14">
      <c r="A3795" s="958" t="s">
        <v>354</v>
      </c>
      <c r="B3795" s="958">
        <v>35</v>
      </c>
      <c r="C3795" s="958" t="s">
        <v>4368</v>
      </c>
      <c r="D3795" s="957" t="s">
        <v>4367</v>
      </c>
      <c r="E3795" s="956">
        <v>6173</v>
      </c>
      <c r="F3795" s="955"/>
      <c r="L3795" s="954"/>
      <c r="M3795" s="952"/>
      <c r="N3795" s="952"/>
    </row>
    <row r="3796" spans="1:14">
      <c r="A3796" s="958" t="s">
        <v>354</v>
      </c>
      <c r="B3796" s="958">
        <v>35</v>
      </c>
      <c r="C3796" s="958" t="s">
        <v>4366</v>
      </c>
      <c r="D3796" s="957" t="s">
        <v>4365</v>
      </c>
      <c r="E3796" s="956">
        <v>2939</v>
      </c>
      <c r="F3796" s="955"/>
      <c r="L3796" s="954"/>
      <c r="M3796" s="952"/>
      <c r="N3796" s="952"/>
    </row>
    <row r="3797" spans="1:14">
      <c r="A3797" s="958" t="s">
        <v>354</v>
      </c>
      <c r="B3797" s="958">
        <v>35</v>
      </c>
      <c r="C3797" s="958" t="s">
        <v>4364</v>
      </c>
      <c r="D3797" s="957" t="s">
        <v>4363</v>
      </c>
      <c r="E3797" s="956">
        <v>1487</v>
      </c>
      <c r="F3797" s="955"/>
      <c r="L3797" s="954"/>
      <c r="M3797" s="952"/>
      <c r="N3797" s="952"/>
    </row>
    <row r="3798" spans="1:14">
      <c r="A3798" s="958" t="s">
        <v>354</v>
      </c>
      <c r="B3798" s="958">
        <v>35</v>
      </c>
      <c r="C3798" s="958" t="s">
        <v>4362</v>
      </c>
      <c r="D3798" s="957" t="s">
        <v>4361</v>
      </c>
      <c r="E3798" s="956">
        <v>139447</v>
      </c>
      <c r="F3798" s="955"/>
      <c r="L3798" s="954"/>
      <c r="M3798" s="952"/>
      <c r="N3798" s="952"/>
    </row>
    <row r="3799" spans="1:14">
      <c r="A3799" s="958" t="s">
        <v>354</v>
      </c>
      <c r="B3799" s="958">
        <v>35</v>
      </c>
      <c r="C3799" s="958" t="s">
        <v>4360</v>
      </c>
      <c r="D3799" s="957" t="s">
        <v>4359</v>
      </c>
      <c r="E3799" s="956">
        <v>2498</v>
      </c>
      <c r="F3799" s="955"/>
      <c r="L3799" s="954"/>
      <c r="M3799" s="952"/>
      <c r="N3799" s="952"/>
    </row>
    <row r="3800" spans="1:14">
      <c r="A3800" s="958" t="s">
        <v>354</v>
      </c>
      <c r="B3800" s="958">
        <v>35</v>
      </c>
      <c r="C3800" s="958" t="s">
        <v>4358</v>
      </c>
      <c r="D3800" s="957" t="s">
        <v>4357</v>
      </c>
      <c r="E3800" s="956">
        <v>27557</v>
      </c>
      <c r="F3800" s="955"/>
      <c r="L3800" s="954"/>
      <c r="M3800" s="952"/>
      <c r="N3800" s="952"/>
    </row>
    <row r="3801" spans="1:14">
      <c r="A3801" s="958" t="s">
        <v>354</v>
      </c>
      <c r="B3801" s="958">
        <v>35</v>
      </c>
      <c r="C3801" s="958" t="s">
        <v>4356</v>
      </c>
      <c r="D3801" s="957" t="s">
        <v>4355</v>
      </c>
      <c r="E3801" s="956">
        <v>26540</v>
      </c>
      <c r="F3801" s="955"/>
      <c r="L3801" s="954"/>
      <c r="M3801" s="952"/>
      <c r="N3801" s="952"/>
    </row>
    <row r="3802" spans="1:14">
      <c r="A3802" s="958" t="s">
        <v>354</v>
      </c>
      <c r="B3802" s="958">
        <v>35</v>
      </c>
      <c r="C3802" s="958" t="s">
        <v>4354</v>
      </c>
      <c r="D3802" s="957" t="s">
        <v>4353</v>
      </c>
      <c r="E3802" s="956">
        <v>1545</v>
      </c>
      <c r="F3802" s="955"/>
      <c r="L3802" s="954"/>
      <c r="M3802" s="952"/>
      <c r="N3802" s="952"/>
    </row>
    <row r="3803" spans="1:14">
      <c r="A3803" s="958" t="s">
        <v>354</v>
      </c>
      <c r="B3803" s="958">
        <v>35</v>
      </c>
      <c r="C3803" s="958" t="s">
        <v>4352</v>
      </c>
      <c r="D3803" s="957" t="s">
        <v>4351</v>
      </c>
      <c r="E3803" s="956">
        <v>20878</v>
      </c>
      <c r="F3803" s="955"/>
      <c r="L3803" s="954"/>
      <c r="M3803" s="952"/>
      <c r="N3803" s="952"/>
    </row>
    <row r="3804" spans="1:14">
      <c r="A3804" s="958" t="s">
        <v>354</v>
      </c>
      <c r="B3804" s="958">
        <v>35</v>
      </c>
      <c r="C3804" s="958" t="s">
        <v>4350</v>
      </c>
      <c r="D3804" s="957" t="s">
        <v>4349</v>
      </c>
      <c r="E3804" s="956">
        <v>718773</v>
      </c>
      <c r="F3804" s="955"/>
      <c r="L3804" s="954"/>
      <c r="M3804" s="952"/>
      <c r="N3804" s="952"/>
    </row>
    <row r="3805" spans="1:14">
      <c r="A3805" s="958" t="s">
        <v>354</v>
      </c>
      <c r="B3805" s="958">
        <v>35</v>
      </c>
      <c r="C3805" s="958" t="s">
        <v>4348</v>
      </c>
      <c r="D3805" s="957" t="s">
        <v>4347</v>
      </c>
      <c r="E3805" s="956">
        <v>6929</v>
      </c>
      <c r="F3805" s="955"/>
      <c r="L3805" s="954"/>
      <c r="M3805" s="952"/>
      <c r="N3805" s="952"/>
    </row>
    <row r="3806" spans="1:14">
      <c r="A3806" s="958" t="s">
        <v>354</v>
      </c>
      <c r="B3806" s="958">
        <v>35</v>
      </c>
      <c r="C3806" s="958" t="s">
        <v>4346</v>
      </c>
      <c r="D3806" s="957" t="s">
        <v>4345</v>
      </c>
      <c r="E3806" s="956">
        <v>23310</v>
      </c>
      <c r="F3806" s="955"/>
      <c r="L3806" s="954"/>
      <c r="M3806" s="952"/>
      <c r="N3806" s="952"/>
    </row>
    <row r="3807" spans="1:14">
      <c r="A3807" s="958" t="s">
        <v>354</v>
      </c>
      <c r="B3807" s="958">
        <v>35</v>
      </c>
      <c r="C3807" s="958" t="s">
        <v>4344</v>
      </c>
      <c r="D3807" s="957" t="s">
        <v>4343</v>
      </c>
      <c r="E3807" s="956">
        <v>8420</v>
      </c>
      <c r="F3807" s="955"/>
      <c r="L3807" s="954"/>
      <c r="M3807" s="952"/>
      <c r="N3807" s="952"/>
    </row>
    <row r="3808" spans="1:14">
      <c r="A3808" s="958" t="s">
        <v>354</v>
      </c>
      <c r="B3808" s="958">
        <v>35</v>
      </c>
      <c r="C3808" s="958" t="s">
        <v>4342</v>
      </c>
      <c r="D3808" s="957" t="s">
        <v>4341</v>
      </c>
      <c r="E3808" s="956">
        <v>5954</v>
      </c>
      <c r="F3808" s="955"/>
      <c r="L3808" s="954"/>
      <c r="M3808" s="952"/>
      <c r="N3808" s="952"/>
    </row>
    <row r="3809" spans="1:14">
      <c r="A3809" s="958" t="s">
        <v>354</v>
      </c>
      <c r="B3809" s="958">
        <v>35</v>
      </c>
      <c r="C3809" s="958" t="s">
        <v>4340</v>
      </c>
      <c r="D3809" s="957" t="s">
        <v>4339</v>
      </c>
      <c r="E3809" s="956">
        <v>6811</v>
      </c>
      <c r="F3809" s="955"/>
      <c r="L3809" s="954"/>
      <c r="M3809" s="952"/>
      <c r="N3809" s="952"/>
    </row>
    <row r="3810" spans="1:14">
      <c r="A3810" s="958" t="s">
        <v>354</v>
      </c>
      <c r="B3810" s="958">
        <v>35</v>
      </c>
      <c r="C3810" s="958" t="s">
        <v>4338</v>
      </c>
      <c r="D3810" s="957" t="s">
        <v>4337</v>
      </c>
      <c r="E3810" s="956">
        <v>3111</v>
      </c>
      <c r="F3810" s="955"/>
      <c r="L3810" s="954"/>
      <c r="M3810" s="952"/>
      <c r="N3810" s="952"/>
    </row>
    <row r="3811" spans="1:14">
      <c r="A3811" s="958" t="s">
        <v>354</v>
      </c>
      <c r="B3811" s="958">
        <v>35</v>
      </c>
      <c r="C3811" s="958" t="s">
        <v>4336</v>
      </c>
      <c r="D3811" s="957" t="s">
        <v>4335</v>
      </c>
      <c r="E3811" s="956">
        <v>4777</v>
      </c>
      <c r="F3811" s="955"/>
      <c r="L3811" s="954"/>
      <c r="M3811" s="952"/>
      <c r="N3811" s="952"/>
    </row>
    <row r="3812" spans="1:14">
      <c r="A3812" s="958" t="s">
        <v>354</v>
      </c>
      <c r="B3812" s="958">
        <v>35</v>
      </c>
      <c r="C3812" s="958" t="s">
        <v>4334</v>
      </c>
      <c r="D3812" s="957" t="s">
        <v>4333</v>
      </c>
      <c r="E3812" s="956">
        <v>433311</v>
      </c>
      <c r="F3812" s="955"/>
      <c r="L3812" s="954"/>
      <c r="M3812" s="952"/>
      <c r="N3812" s="952"/>
    </row>
    <row r="3813" spans="1:14">
      <c r="A3813" s="958" t="s">
        <v>354</v>
      </c>
      <c r="B3813" s="958">
        <v>35</v>
      </c>
      <c r="C3813" s="958" t="s">
        <v>4332</v>
      </c>
      <c r="D3813" s="957" t="s">
        <v>4331</v>
      </c>
      <c r="E3813" s="956">
        <v>10878</v>
      </c>
      <c r="F3813" s="955"/>
      <c r="L3813" s="954"/>
      <c r="M3813" s="952"/>
      <c r="N3813" s="952"/>
    </row>
    <row r="3814" spans="1:14">
      <c r="A3814" s="958" t="s">
        <v>354</v>
      </c>
      <c r="B3814" s="958">
        <v>35</v>
      </c>
      <c r="C3814" s="958" t="s">
        <v>4330</v>
      </c>
      <c r="D3814" s="957" t="s">
        <v>4329</v>
      </c>
      <c r="E3814" s="956">
        <v>838936</v>
      </c>
      <c r="F3814" s="955"/>
      <c r="L3814" s="954"/>
      <c r="M3814" s="952"/>
      <c r="N3814" s="952"/>
    </row>
    <row r="3815" spans="1:14">
      <c r="A3815" s="958" t="s">
        <v>354</v>
      </c>
      <c r="B3815" s="958">
        <v>35</v>
      </c>
      <c r="C3815" s="958" t="s">
        <v>4328</v>
      </c>
      <c r="D3815" s="957" t="s">
        <v>4327</v>
      </c>
      <c r="E3815" s="956">
        <v>161127</v>
      </c>
      <c r="F3815" s="955"/>
      <c r="L3815" s="954"/>
      <c r="M3815" s="952"/>
      <c r="N3815" s="952"/>
    </row>
    <row r="3816" spans="1:14">
      <c r="A3816" s="958" t="s">
        <v>354</v>
      </c>
      <c r="B3816" s="958">
        <v>35</v>
      </c>
      <c r="C3816" s="958" t="s">
        <v>4326</v>
      </c>
      <c r="D3816" s="957" t="s">
        <v>2877</v>
      </c>
      <c r="E3816" s="956">
        <v>251983</v>
      </c>
      <c r="F3816" s="955"/>
      <c r="L3816" s="954"/>
      <c r="M3816" s="952"/>
      <c r="N3816" s="952"/>
    </row>
    <row r="3817" spans="1:14">
      <c r="A3817" s="958" t="s">
        <v>354</v>
      </c>
      <c r="B3817" s="958">
        <v>35</v>
      </c>
      <c r="C3817" s="958" t="s">
        <v>4325</v>
      </c>
      <c r="D3817" s="957" t="s">
        <v>4324</v>
      </c>
      <c r="E3817" s="956">
        <v>2821</v>
      </c>
      <c r="F3817" s="955"/>
      <c r="L3817" s="954"/>
      <c r="M3817" s="952"/>
      <c r="N3817" s="952"/>
    </row>
    <row r="3818" spans="1:14">
      <c r="A3818" s="958" t="s">
        <v>354</v>
      </c>
      <c r="B3818" s="958">
        <v>35</v>
      </c>
      <c r="C3818" s="958" t="s">
        <v>4323</v>
      </c>
      <c r="D3818" s="957" t="s">
        <v>4322</v>
      </c>
      <c r="E3818" s="956">
        <v>91211</v>
      </c>
      <c r="F3818" s="955"/>
      <c r="L3818" s="954"/>
      <c r="M3818" s="952"/>
      <c r="N3818" s="952"/>
    </row>
    <row r="3819" spans="1:14">
      <c r="A3819" s="958" t="s">
        <v>354</v>
      </c>
      <c r="B3819" s="958">
        <v>35</v>
      </c>
      <c r="C3819" s="958" t="s">
        <v>4321</v>
      </c>
      <c r="D3819" s="957" t="s">
        <v>4320</v>
      </c>
      <c r="E3819" s="956">
        <v>2568</v>
      </c>
      <c r="F3819" s="955"/>
      <c r="L3819" s="954"/>
      <c r="M3819" s="952"/>
      <c r="N3819" s="952"/>
    </row>
    <row r="3820" spans="1:14">
      <c r="A3820" s="958" t="s">
        <v>354</v>
      </c>
      <c r="B3820" s="958">
        <v>35</v>
      </c>
      <c r="C3820" s="958" t="s">
        <v>4319</v>
      </c>
      <c r="D3820" s="957" t="s">
        <v>4318</v>
      </c>
      <c r="E3820" s="956">
        <v>1922</v>
      </c>
      <c r="F3820" s="955"/>
      <c r="L3820" s="954"/>
      <c r="M3820" s="952"/>
      <c r="N3820" s="952"/>
    </row>
    <row r="3821" spans="1:14">
      <c r="A3821" s="958" t="s">
        <v>354</v>
      </c>
      <c r="B3821" s="958">
        <v>35</v>
      </c>
      <c r="C3821" s="958" t="s">
        <v>4317</v>
      </c>
      <c r="D3821" s="957" t="s">
        <v>4316</v>
      </c>
      <c r="E3821" s="956">
        <v>2105</v>
      </c>
      <c r="F3821" s="955"/>
      <c r="L3821" s="954"/>
      <c r="M3821" s="952"/>
      <c r="N3821" s="952"/>
    </row>
    <row r="3822" spans="1:14">
      <c r="A3822" s="958" t="s">
        <v>354</v>
      </c>
      <c r="B3822" s="958">
        <v>35</v>
      </c>
      <c r="C3822" s="958" t="s">
        <v>4315</v>
      </c>
      <c r="D3822" s="957" t="s">
        <v>4314</v>
      </c>
      <c r="E3822" s="956">
        <v>51888</v>
      </c>
      <c r="F3822" s="955"/>
      <c r="L3822" s="954"/>
      <c r="M3822" s="952"/>
      <c r="N3822" s="952"/>
    </row>
    <row r="3823" spans="1:14">
      <c r="A3823" s="958" t="s">
        <v>354</v>
      </c>
      <c r="B3823" s="958">
        <v>35</v>
      </c>
      <c r="C3823" s="958" t="s">
        <v>4313</v>
      </c>
      <c r="D3823" s="957" t="s">
        <v>4312</v>
      </c>
      <c r="E3823" s="956">
        <v>8928</v>
      </c>
      <c r="F3823" s="955"/>
      <c r="L3823" s="954"/>
      <c r="M3823" s="952"/>
      <c r="N3823" s="952"/>
    </row>
    <row r="3824" spans="1:14">
      <c r="A3824" s="958" t="s">
        <v>354</v>
      </c>
      <c r="B3824" s="958">
        <v>35</v>
      </c>
      <c r="C3824" s="958" t="s">
        <v>4311</v>
      </c>
      <c r="D3824" s="957" t="s">
        <v>4310</v>
      </c>
      <c r="E3824" s="956">
        <v>4147</v>
      </c>
      <c r="F3824" s="955"/>
      <c r="L3824" s="954"/>
      <c r="M3824" s="952"/>
      <c r="N3824" s="952"/>
    </row>
    <row r="3825" spans="1:14">
      <c r="A3825" s="958" t="s">
        <v>354</v>
      </c>
      <c r="B3825" s="958">
        <v>35</v>
      </c>
      <c r="C3825" s="958" t="s">
        <v>4309</v>
      </c>
      <c r="D3825" s="957" t="s">
        <v>4308</v>
      </c>
      <c r="E3825" s="956">
        <v>54946</v>
      </c>
      <c r="F3825" s="955"/>
      <c r="L3825" s="954"/>
      <c r="M3825" s="952"/>
      <c r="N3825" s="952"/>
    </row>
    <row r="3826" spans="1:14">
      <c r="A3826" s="958" t="s">
        <v>354</v>
      </c>
      <c r="B3826" s="958">
        <v>35</v>
      </c>
      <c r="C3826" s="958" t="s">
        <v>4307</v>
      </c>
      <c r="D3826" s="957" t="s">
        <v>4306</v>
      </c>
      <c r="E3826" s="956">
        <v>460671</v>
      </c>
      <c r="F3826" s="955"/>
      <c r="L3826" s="954"/>
      <c r="M3826" s="952"/>
      <c r="N3826" s="952"/>
    </row>
    <row r="3827" spans="1:14">
      <c r="A3827" s="958" t="s">
        <v>354</v>
      </c>
      <c r="B3827" s="958">
        <v>35</v>
      </c>
      <c r="C3827" s="958" t="s">
        <v>4305</v>
      </c>
      <c r="D3827" s="957" t="s">
        <v>4304</v>
      </c>
      <c r="E3827" s="956">
        <v>721944</v>
      </c>
      <c r="F3827" s="955"/>
      <c r="L3827" s="954"/>
      <c r="M3827" s="952"/>
      <c r="N3827" s="952"/>
    </row>
    <row r="3828" spans="1:14">
      <c r="A3828" s="958" t="s">
        <v>354</v>
      </c>
      <c r="B3828" s="958">
        <v>35</v>
      </c>
      <c r="C3828" s="958" t="s">
        <v>4303</v>
      </c>
      <c r="D3828" s="957" t="s">
        <v>4302</v>
      </c>
      <c r="E3828" s="956">
        <v>15825</v>
      </c>
      <c r="F3828" s="955"/>
      <c r="L3828" s="954"/>
      <c r="M3828" s="952"/>
      <c r="N3828" s="952"/>
    </row>
    <row r="3829" spans="1:14">
      <c r="A3829" s="958" t="s">
        <v>354</v>
      </c>
      <c r="B3829" s="958">
        <v>35</v>
      </c>
      <c r="C3829" s="958" t="s">
        <v>4301</v>
      </c>
      <c r="D3829" s="957" t="s">
        <v>4300</v>
      </c>
      <c r="E3829" s="956">
        <v>10687</v>
      </c>
      <c r="F3829" s="955"/>
      <c r="L3829" s="954"/>
      <c r="M3829" s="952"/>
      <c r="N3829" s="952"/>
    </row>
    <row r="3830" spans="1:14">
      <c r="A3830" s="958" t="s">
        <v>354</v>
      </c>
      <c r="B3830" s="958">
        <v>35</v>
      </c>
      <c r="C3830" s="958" t="s">
        <v>4299</v>
      </c>
      <c r="D3830" s="957" t="s">
        <v>4298</v>
      </c>
      <c r="E3830" s="956">
        <v>40954</v>
      </c>
      <c r="F3830" s="955"/>
      <c r="L3830" s="954"/>
      <c r="M3830" s="952"/>
      <c r="N3830" s="952"/>
    </row>
    <row r="3831" spans="1:14">
      <c r="A3831" s="958" t="s">
        <v>354</v>
      </c>
      <c r="B3831" s="958">
        <v>35</v>
      </c>
      <c r="C3831" s="958" t="s">
        <v>4297</v>
      </c>
      <c r="D3831" s="957" t="s">
        <v>4296</v>
      </c>
      <c r="E3831" s="956">
        <v>32931</v>
      </c>
      <c r="F3831" s="955"/>
      <c r="L3831" s="954"/>
      <c r="M3831" s="952"/>
      <c r="N3831" s="952"/>
    </row>
    <row r="3832" spans="1:14">
      <c r="A3832" s="958" t="s">
        <v>354</v>
      </c>
      <c r="B3832" s="958">
        <v>35</v>
      </c>
      <c r="C3832" s="958" t="s">
        <v>4295</v>
      </c>
      <c r="D3832" s="957" t="s">
        <v>450</v>
      </c>
      <c r="E3832" s="956">
        <v>12252023</v>
      </c>
      <c r="F3832" s="955"/>
      <c r="L3832" s="954"/>
      <c r="M3832" s="952"/>
      <c r="N3832" s="952"/>
    </row>
    <row r="3833" spans="1:14">
      <c r="A3833" s="958" t="s">
        <v>354</v>
      </c>
      <c r="B3833" s="958">
        <v>35</v>
      </c>
      <c r="C3833" s="958" t="s">
        <v>4294</v>
      </c>
      <c r="D3833" s="957" t="s">
        <v>4293</v>
      </c>
      <c r="E3833" s="956">
        <v>35653</v>
      </c>
      <c r="F3833" s="955"/>
      <c r="L3833" s="954"/>
      <c r="M3833" s="952"/>
      <c r="N3833" s="952"/>
    </row>
    <row r="3834" spans="1:14">
      <c r="A3834" s="958" t="s">
        <v>354</v>
      </c>
      <c r="B3834" s="958">
        <v>35</v>
      </c>
      <c r="C3834" s="958" t="s">
        <v>4292</v>
      </c>
      <c r="D3834" s="957" t="s">
        <v>4291</v>
      </c>
      <c r="E3834" s="956">
        <v>7666</v>
      </c>
      <c r="F3834" s="955"/>
      <c r="L3834" s="954"/>
      <c r="M3834" s="952"/>
      <c r="N3834" s="952"/>
    </row>
    <row r="3835" spans="1:14">
      <c r="A3835" s="958" t="s">
        <v>354</v>
      </c>
      <c r="B3835" s="958">
        <v>35</v>
      </c>
      <c r="C3835" s="958" t="s">
        <v>4290</v>
      </c>
      <c r="D3835" s="957" t="s">
        <v>4289</v>
      </c>
      <c r="E3835" s="956">
        <v>91016</v>
      </c>
      <c r="F3835" s="955"/>
      <c r="L3835" s="954"/>
      <c r="M3835" s="952"/>
      <c r="N3835" s="952"/>
    </row>
    <row r="3836" spans="1:14">
      <c r="A3836" s="958" t="s">
        <v>354</v>
      </c>
      <c r="B3836" s="958">
        <v>35</v>
      </c>
      <c r="C3836" s="958" t="s">
        <v>4288</v>
      </c>
      <c r="D3836" s="957" t="s">
        <v>4287</v>
      </c>
      <c r="E3836" s="956">
        <v>88980</v>
      </c>
      <c r="F3836" s="955"/>
      <c r="L3836" s="954"/>
      <c r="M3836" s="952"/>
      <c r="N3836" s="952"/>
    </row>
    <row r="3837" spans="1:14">
      <c r="A3837" s="958" t="s">
        <v>354</v>
      </c>
      <c r="B3837" s="958">
        <v>35</v>
      </c>
      <c r="C3837" s="958" t="s">
        <v>4286</v>
      </c>
      <c r="D3837" s="957" t="s">
        <v>4285</v>
      </c>
      <c r="E3837" s="956">
        <v>12182</v>
      </c>
      <c r="F3837" s="955"/>
      <c r="L3837" s="954"/>
      <c r="M3837" s="952"/>
      <c r="N3837" s="952"/>
    </row>
    <row r="3838" spans="1:14">
      <c r="A3838" s="958" t="s">
        <v>354</v>
      </c>
      <c r="B3838" s="958">
        <v>35</v>
      </c>
      <c r="C3838" s="958" t="s">
        <v>4284</v>
      </c>
      <c r="D3838" s="957" t="s">
        <v>889</v>
      </c>
      <c r="E3838" s="956">
        <v>15322</v>
      </c>
      <c r="F3838" s="955"/>
      <c r="L3838" s="954"/>
      <c r="M3838" s="952"/>
      <c r="N3838" s="952"/>
    </row>
    <row r="3839" spans="1:14">
      <c r="A3839" s="958" t="s">
        <v>354</v>
      </c>
      <c r="B3839" s="958">
        <v>35</v>
      </c>
      <c r="C3839" s="958" t="s">
        <v>4283</v>
      </c>
      <c r="D3839" s="957" t="s">
        <v>4282</v>
      </c>
      <c r="E3839" s="956">
        <v>365798</v>
      </c>
      <c r="F3839" s="955"/>
      <c r="L3839" s="954"/>
      <c r="M3839" s="952"/>
      <c r="N3839" s="952"/>
    </row>
    <row r="3840" spans="1:14">
      <c r="A3840" s="958" t="s">
        <v>354</v>
      </c>
      <c r="B3840" s="958">
        <v>35</v>
      </c>
      <c r="C3840" s="958" t="s">
        <v>4281</v>
      </c>
      <c r="D3840" s="957" t="s">
        <v>4280</v>
      </c>
      <c r="E3840" s="956">
        <v>10285</v>
      </c>
      <c r="F3840" s="955"/>
      <c r="L3840" s="954"/>
      <c r="M3840" s="952"/>
      <c r="N3840" s="952"/>
    </row>
    <row r="3841" spans="1:14">
      <c r="A3841" s="958" t="s">
        <v>354</v>
      </c>
      <c r="B3841" s="958">
        <v>35</v>
      </c>
      <c r="C3841" s="958" t="s">
        <v>4279</v>
      </c>
      <c r="D3841" s="957" t="s">
        <v>4278</v>
      </c>
      <c r="E3841" s="956">
        <v>3638</v>
      </c>
      <c r="F3841" s="955"/>
      <c r="L3841" s="954"/>
      <c r="M3841" s="952"/>
      <c r="N3841" s="952"/>
    </row>
    <row r="3842" spans="1:14">
      <c r="A3842" s="958" t="s">
        <v>354</v>
      </c>
      <c r="B3842" s="958">
        <v>35</v>
      </c>
      <c r="C3842" s="958" t="s">
        <v>4277</v>
      </c>
      <c r="D3842" s="957" t="s">
        <v>4276</v>
      </c>
      <c r="E3842" s="956">
        <v>3513</v>
      </c>
      <c r="F3842" s="955"/>
      <c r="L3842" s="954"/>
      <c r="M3842" s="952"/>
      <c r="N3842" s="952"/>
    </row>
    <row r="3843" spans="1:14">
      <c r="A3843" s="958" t="s">
        <v>354</v>
      </c>
      <c r="B3843" s="958">
        <v>35</v>
      </c>
      <c r="C3843" s="958" t="s">
        <v>4275</v>
      </c>
      <c r="D3843" s="957" t="s">
        <v>4274</v>
      </c>
      <c r="E3843" s="956">
        <v>14662</v>
      </c>
      <c r="F3843" s="955"/>
      <c r="L3843" s="954"/>
      <c r="M3843" s="952"/>
      <c r="N3843" s="952"/>
    </row>
    <row r="3844" spans="1:14">
      <c r="A3844" s="958" t="s">
        <v>354</v>
      </c>
      <c r="B3844" s="958">
        <v>35</v>
      </c>
      <c r="C3844" s="958" t="s">
        <v>4273</v>
      </c>
      <c r="D3844" s="957" t="s">
        <v>4272</v>
      </c>
      <c r="E3844" s="956">
        <v>45107</v>
      </c>
      <c r="F3844" s="955"/>
      <c r="L3844" s="954"/>
      <c r="M3844" s="952"/>
      <c r="N3844" s="952"/>
    </row>
    <row r="3845" spans="1:14">
      <c r="A3845" s="958" t="s">
        <v>354</v>
      </c>
      <c r="B3845" s="958">
        <v>35</v>
      </c>
      <c r="C3845" s="958" t="s">
        <v>4271</v>
      </c>
      <c r="D3845" s="957" t="s">
        <v>4270</v>
      </c>
      <c r="E3845" s="956">
        <v>29229</v>
      </c>
      <c r="F3845" s="955"/>
      <c r="L3845" s="954"/>
      <c r="M3845" s="952"/>
      <c r="N3845" s="952"/>
    </row>
    <row r="3846" spans="1:14">
      <c r="A3846" s="958" t="s">
        <v>354</v>
      </c>
      <c r="B3846" s="958">
        <v>35</v>
      </c>
      <c r="C3846" s="958" t="s">
        <v>4269</v>
      </c>
      <c r="D3846" s="957" t="s">
        <v>4268</v>
      </c>
      <c r="E3846" s="956">
        <v>125815</v>
      </c>
      <c r="F3846" s="955"/>
      <c r="L3846" s="954"/>
      <c r="M3846" s="952"/>
      <c r="N3846" s="952"/>
    </row>
    <row r="3847" spans="1:14">
      <c r="A3847" s="958" t="s">
        <v>354</v>
      </c>
      <c r="B3847" s="958">
        <v>35</v>
      </c>
      <c r="C3847" s="958" t="s">
        <v>4267</v>
      </c>
      <c r="D3847" s="957" t="s">
        <v>4266</v>
      </c>
      <c r="E3847" s="956">
        <v>12832</v>
      </c>
      <c r="F3847" s="955"/>
      <c r="L3847" s="954"/>
      <c r="M3847" s="952"/>
      <c r="N3847" s="952"/>
    </row>
    <row r="3848" spans="1:14">
      <c r="A3848" s="958" t="s">
        <v>354</v>
      </c>
      <c r="B3848" s="958">
        <v>35</v>
      </c>
      <c r="C3848" s="958" t="s">
        <v>4265</v>
      </c>
      <c r="D3848" s="957" t="s">
        <v>4264</v>
      </c>
      <c r="E3848" s="956">
        <v>17496</v>
      </c>
      <c r="F3848" s="955"/>
      <c r="L3848" s="954"/>
      <c r="M3848" s="952"/>
      <c r="N3848" s="952"/>
    </row>
    <row r="3849" spans="1:14">
      <c r="A3849" s="958" t="s">
        <v>354</v>
      </c>
      <c r="B3849" s="958">
        <v>35</v>
      </c>
      <c r="C3849" s="958" t="s">
        <v>4263</v>
      </c>
      <c r="D3849" s="957" t="s">
        <v>4262</v>
      </c>
      <c r="E3849" s="956">
        <v>6302</v>
      </c>
      <c r="F3849" s="955"/>
      <c r="L3849" s="954"/>
      <c r="M3849" s="952"/>
      <c r="N3849" s="952"/>
    </row>
    <row r="3850" spans="1:14">
      <c r="A3850" s="958" t="s">
        <v>354</v>
      </c>
      <c r="B3850" s="958">
        <v>35</v>
      </c>
      <c r="C3850" s="958" t="s">
        <v>4261</v>
      </c>
      <c r="D3850" s="957" t="s">
        <v>4260</v>
      </c>
      <c r="E3850" s="956">
        <v>41005</v>
      </c>
      <c r="F3850" s="955"/>
      <c r="L3850" s="954"/>
      <c r="M3850" s="952"/>
      <c r="N3850" s="952"/>
    </row>
    <row r="3851" spans="1:14">
      <c r="A3851" s="958" t="s">
        <v>354</v>
      </c>
      <c r="B3851" s="958">
        <v>35</v>
      </c>
      <c r="C3851" s="958" t="s">
        <v>4259</v>
      </c>
      <c r="D3851" s="957" t="s">
        <v>4258</v>
      </c>
      <c r="E3851" s="956">
        <v>679378</v>
      </c>
      <c r="F3851" s="955"/>
      <c r="L3851" s="954"/>
      <c r="M3851" s="952"/>
      <c r="N3851" s="952"/>
    </row>
    <row r="3852" spans="1:14">
      <c r="A3852" s="958" t="s">
        <v>354</v>
      </c>
      <c r="B3852" s="958">
        <v>35</v>
      </c>
      <c r="C3852" s="958" t="s">
        <v>4257</v>
      </c>
      <c r="D3852" s="957" t="s">
        <v>4256</v>
      </c>
      <c r="E3852" s="956">
        <v>7718</v>
      </c>
      <c r="F3852" s="955"/>
      <c r="L3852" s="954"/>
      <c r="M3852" s="952"/>
      <c r="N3852" s="952"/>
    </row>
    <row r="3853" spans="1:14">
      <c r="A3853" s="958" t="s">
        <v>354</v>
      </c>
      <c r="B3853" s="958">
        <v>35</v>
      </c>
      <c r="C3853" s="958" t="s">
        <v>4255</v>
      </c>
      <c r="D3853" s="957" t="s">
        <v>4254</v>
      </c>
      <c r="E3853" s="956">
        <v>282441</v>
      </c>
      <c r="F3853" s="955"/>
      <c r="L3853" s="954"/>
      <c r="M3853" s="952"/>
      <c r="N3853" s="952"/>
    </row>
    <row r="3854" spans="1:14">
      <c r="A3854" s="958" t="s">
        <v>354</v>
      </c>
      <c r="B3854" s="958">
        <v>35</v>
      </c>
      <c r="C3854" s="958" t="s">
        <v>4253</v>
      </c>
      <c r="D3854" s="957" t="s">
        <v>4252</v>
      </c>
      <c r="E3854" s="956">
        <v>297637</v>
      </c>
      <c r="F3854" s="955"/>
      <c r="L3854" s="954"/>
      <c r="M3854" s="952"/>
      <c r="N3854" s="952"/>
    </row>
    <row r="3855" spans="1:14">
      <c r="A3855" s="958" t="s">
        <v>354</v>
      </c>
      <c r="B3855" s="958">
        <v>35</v>
      </c>
      <c r="C3855" s="958" t="s">
        <v>4251</v>
      </c>
      <c r="D3855" s="957" t="s">
        <v>4250</v>
      </c>
      <c r="E3855" s="956">
        <v>3963</v>
      </c>
      <c r="F3855" s="955"/>
      <c r="L3855" s="954"/>
      <c r="M3855" s="952"/>
      <c r="N3855" s="952"/>
    </row>
    <row r="3856" spans="1:14">
      <c r="A3856" s="958" t="s">
        <v>354</v>
      </c>
      <c r="B3856" s="958">
        <v>35</v>
      </c>
      <c r="C3856" s="958" t="s">
        <v>4249</v>
      </c>
      <c r="D3856" s="957" t="s">
        <v>4248</v>
      </c>
      <c r="E3856" s="956">
        <v>12407</v>
      </c>
      <c r="F3856" s="955"/>
      <c r="L3856" s="954"/>
      <c r="M3856" s="952"/>
      <c r="N3856" s="952"/>
    </row>
    <row r="3857" spans="1:14">
      <c r="A3857" s="958" t="s">
        <v>354</v>
      </c>
      <c r="B3857" s="958">
        <v>35</v>
      </c>
      <c r="C3857" s="958" t="s">
        <v>4247</v>
      </c>
      <c r="D3857" s="957" t="s">
        <v>4246</v>
      </c>
      <c r="E3857" s="956">
        <v>16496</v>
      </c>
      <c r="F3857" s="955"/>
      <c r="L3857" s="954"/>
      <c r="M3857" s="952"/>
      <c r="N3857" s="952"/>
    </row>
    <row r="3858" spans="1:14">
      <c r="A3858" s="958" t="s">
        <v>354</v>
      </c>
      <c r="B3858" s="958">
        <v>35</v>
      </c>
      <c r="C3858" s="958" t="s">
        <v>4245</v>
      </c>
      <c r="D3858" s="957" t="s">
        <v>4244</v>
      </c>
      <c r="E3858" s="956">
        <v>289664</v>
      </c>
      <c r="F3858" s="955"/>
      <c r="L3858" s="954"/>
      <c r="M3858" s="952"/>
      <c r="N3858" s="952"/>
    </row>
    <row r="3859" spans="1:14">
      <c r="A3859" s="958" t="s">
        <v>354</v>
      </c>
      <c r="B3859" s="958">
        <v>35</v>
      </c>
      <c r="C3859" s="958" t="s">
        <v>4243</v>
      </c>
      <c r="D3859" s="957" t="s">
        <v>4242</v>
      </c>
      <c r="E3859" s="956">
        <v>6285</v>
      </c>
      <c r="F3859" s="955"/>
      <c r="L3859" s="954"/>
      <c r="M3859" s="952"/>
      <c r="N3859" s="952"/>
    </row>
    <row r="3860" spans="1:14">
      <c r="A3860" s="958" t="s">
        <v>354</v>
      </c>
      <c r="B3860" s="958">
        <v>35</v>
      </c>
      <c r="C3860" s="958" t="s">
        <v>4241</v>
      </c>
      <c r="D3860" s="957" t="s">
        <v>4240</v>
      </c>
      <c r="E3860" s="956">
        <v>13859</v>
      </c>
      <c r="F3860" s="955"/>
      <c r="L3860" s="954"/>
      <c r="M3860" s="952"/>
      <c r="N3860" s="952"/>
    </row>
    <row r="3861" spans="1:14">
      <c r="A3861" s="958" t="s">
        <v>354</v>
      </c>
      <c r="B3861" s="958">
        <v>35</v>
      </c>
      <c r="C3861" s="958" t="s">
        <v>4239</v>
      </c>
      <c r="D3861" s="957" t="s">
        <v>4238</v>
      </c>
      <c r="E3861" s="956">
        <v>6295</v>
      </c>
      <c r="F3861" s="955"/>
      <c r="L3861" s="954"/>
      <c r="M3861" s="952"/>
      <c r="N3861" s="952"/>
    </row>
    <row r="3862" spans="1:14">
      <c r="A3862" s="958" t="s">
        <v>354</v>
      </c>
      <c r="B3862" s="958">
        <v>35</v>
      </c>
      <c r="C3862" s="958" t="s">
        <v>4237</v>
      </c>
      <c r="D3862" s="957" t="s">
        <v>4236</v>
      </c>
      <c r="E3862" s="956">
        <v>5566</v>
      </c>
      <c r="F3862" s="955"/>
      <c r="L3862" s="954"/>
      <c r="M3862" s="952"/>
      <c r="N3862" s="952"/>
    </row>
    <row r="3863" spans="1:14">
      <c r="A3863" s="958" t="s">
        <v>354</v>
      </c>
      <c r="B3863" s="958">
        <v>35</v>
      </c>
      <c r="C3863" s="958" t="s">
        <v>4235</v>
      </c>
      <c r="D3863" s="957" t="s">
        <v>4234</v>
      </c>
      <c r="E3863" s="956">
        <v>23207</v>
      </c>
      <c r="F3863" s="955"/>
      <c r="L3863" s="954"/>
      <c r="M3863" s="952"/>
      <c r="N3863" s="952"/>
    </row>
    <row r="3864" spans="1:14">
      <c r="A3864" s="958" t="s">
        <v>354</v>
      </c>
      <c r="B3864" s="958">
        <v>35</v>
      </c>
      <c r="C3864" s="958" t="s">
        <v>4233</v>
      </c>
      <c r="D3864" s="957" t="s">
        <v>4232</v>
      </c>
      <c r="E3864" s="956">
        <v>25967</v>
      </c>
      <c r="F3864" s="955"/>
      <c r="L3864" s="954"/>
      <c r="M3864" s="952"/>
      <c r="N3864" s="952"/>
    </row>
    <row r="3865" spans="1:14">
      <c r="A3865" s="958" t="s">
        <v>354</v>
      </c>
      <c r="B3865" s="958">
        <v>35</v>
      </c>
      <c r="C3865" s="958" t="s">
        <v>4231</v>
      </c>
      <c r="D3865" s="957" t="s">
        <v>4230</v>
      </c>
      <c r="E3865" s="956">
        <v>7807</v>
      </c>
      <c r="F3865" s="955"/>
      <c r="L3865" s="954"/>
      <c r="M3865" s="952"/>
      <c r="N3865" s="952"/>
    </row>
    <row r="3866" spans="1:14">
      <c r="A3866" s="958" t="s">
        <v>354</v>
      </c>
      <c r="B3866" s="958">
        <v>35</v>
      </c>
      <c r="C3866" s="958" t="s">
        <v>4229</v>
      </c>
      <c r="D3866" s="957" t="s">
        <v>4228</v>
      </c>
      <c r="E3866" s="956">
        <v>12960</v>
      </c>
      <c r="F3866" s="955"/>
      <c r="L3866" s="954"/>
      <c r="M3866" s="952"/>
      <c r="N3866" s="952"/>
    </row>
    <row r="3867" spans="1:14">
      <c r="A3867" s="958" t="s">
        <v>354</v>
      </c>
      <c r="B3867" s="958">
        <v>35</v>
      </c>
      <c r="C3867" s="958" t="s">
        <v>4227</v>
      </c>
      <c r="D3867" s="957" t="s">
        <v>4226</v>
      </c>
      <c r="E3867" s="956">
        <v>2811</v>
      </c>
      <c r="F3867" s="955"/>
      <c r="L3867" s="954"/>
      <c r="M3867" s="952"/>
      <c r="N3867" s="952"/>
    </row>
    <row r="3868" spans="1:14">
      <c r="A3868" s="958" t="s">
        <v>354</v>
      </c>
      <c r="B3868" s="958">
        <v>35</v>
      </c>
      <c r="C3868" s="958" t="s">
        <v>4225</v>
      </c>
      <c r="D3868" s="957" t="s">
        <v>4224</v>
      </c>
      <c r="E3868" s="956">
        <v>57177</v>
      </c>
      <c r="F3868" s="955"/>
      <c r="L3868" s="954"/>
      <c r="M3868" s="952"/>
      <c r="N3868" s="952"/>
    </row>
    <row r="3869" spans="1:14">
      <c r="A3869" s="958" t="s">
        <v>354</v>
      </c>
      <c r="B3869" s="958">
        <v>35</v>
      </c>
      <c r="C3869" s="958" t="s">
        <v>4223</v>
      </c>
      <c r="D3869" s="957" t="s">
        <v>4222</v>
      </c>
      <c r="E3869" s="956">
        <v>23218</v>
      </c>
      <c r="F3869" s="955"/>
      <c r="L3869" s="954"/>
      <c r="M3869" s="952"/>
      <c r="N3869" s="952"/>
    </row>
    <row r="3870" spans="1:14">
      <c r="A3870" s="958" t="s">
        <v>354</v>
      </c>
      <c r="B3870" s="958">
        <v>35</v>
      </c>
      <c r="C3870" s="958" t="s">
        <v>4221</v>
      </c>
      <c r="D3870" s="957" t="s">
        <v>4220</v>
      </c>
      <c r="E3870" s="956">
        <v>5852</v>
      </c>
      <c r="F3870" s="955"/>
      <c r="L3870" s="954"/>
      <c r="M3870" s="952"/>
      <c r="N3870" s="952"/>
    </row>
    <row r="3871" spans="1:14">
      <c r="A3871" s="958" t="s">
        <v>354</v>
      </c>
      <c r="B3871" s="958">
        <v>35</v>
      </c>
      <c r="C3871" s="958" t="s">
        <v>4219</v>
      </c>
      <c r="D3871" s="957" t="s">
        <v>4218</v>
      </c>
      <c r="E3871" s="956">
        <v>7468</v>
      </c>
      <c r="F3871" s="955"/>
      <c r="L3871" s="954"/>
      <c r="M3871" s="952"/>
      <c r="N3871" s="952"/>
    </row>
    <row r="3872" spans="1:14">
      <c r="A3872" s="958" t="s">
        <v>354</v>
      </c>
      <c r="B3872" s="958">
        <v>35</v>
      </c>
      <c r="C3872" s="958" t="s">
        <v>4217</v>
      </c>
      <c r="D3872" s="957" t="s">
        <v>4216</v>
      </c>
      <c r="E3872" s="956">
        <v>15000</v>
      </c>
      <c r="F3872" s="955"/>
      <c r="L3872" s="954"/>
      <c r="M3872" s="952"/>
      <c r="N3872" s="952"/>
    </row>
    <row r="3873" spans="1:14">
      <c r="A3873" s="958" t="s">
        <v>354</v>
      </c>
      <c r="B3873" s="958">
        <v>35</v>
      </c>
      <c r="C3873" s="958" t="s">
        <v>4215</v>
      </c>
      <c r="D3873" s="957" t="s">
        <v>4214</v>
      </c>
      <c r="E3873" s="956">
        <v>121766</v>
      </c>
      <c r="F3873" s="955"/>
      <c r="L3873" s="954"/>
      <c r="M3873" s="952"/>
      <c r="N3873" s="952"/>
    </row>
    <row r="3874" spans="1:14">
      <c r="A3874" s="958" t="s">
        <v>354</v>
      </c>
      <c r="B3874" s="958">
        <v>35</v>
      </c>
      <c r="C3874" s="958" t="s">
        <v>4213</v>
      </c>
      <c r="D3874" s="957" t="s">
        <v>4212</v>
      </c>
      <c r="E3874" s="956">
        <v>314924</v>
      </c>
      <c r="F3874" s="955"/>
      <c r="L3874" s="954"/>
      <c r="M3874" s="952"/>
      <c r="N3874" s="952"/>
    </row>
    <row r="3875" spans="1:14">
      <c r="A3875" s="958" t="s">
        <v>354</v>
      </c>
      <c r="B3875" s="958">
        <v>35</v>
      </c>
      <c r="C3875" s="958" t="s">
        <v>4211</v>
      </c>
      <c r="D3875" s="957" t="s">
        <v>4210</v>
      </c>
      <c r="E3875" s="956">
        <v>4532</v>
      </c>
      <c r="F3875" s="955"/>
      <c r="L3875" s="954"/>
      <c r="M3875" s="952"/>
      <c r="N3875" s="952"/>
    </row>
    <row r="3876" spans="1:14">
      <c r="A3876" s="958" t="s">
        <v>354</v>
      </c>
      <c r="B3876" s="958">
        <v>35</v>
      </c>
      <c r="C3876" s="958" t="s">
        <v>4209</v>
      </c>
      <c r="D3876" s="957" t="s">
        <v>4208</v>
      </c>
      <c r="E3876" s="956">
        <v>23148</v>
      </c>
      <c r="F3876" s="955"/>
      <c r="L3876" s="954"/>
      <c r="M3876" s="952"/>
      <c r="N3876" s="952"/>
    </row>
    <row r="3877" spans="1:14">
      <c r="A3877" s="958" t="s">
        <v>354</v>
      </c>
      <c r="B3877" s="958">
        <v>35</v>
      </c>
      <c r="C3877" s="958" t="s">
        <v>4207</v>
      </c>
      <c r="D3877" s="957" t="s">
        <v>3399</v>
      </c>
      <c r="E3877" s="956">
        <v>9370</v>
      </c>
      <c r="F3877" s="955"/>
      <c r="L3877" s="954"/>
      <c r="M3877" s="952"/>
      <c r="N3877" s="952"/>
    </row>
    <row r="3878" spans="1:14">
      <c r="A3878" s="958" t="s">
        <v>354</v>
      </c>
      <c r="B3878" s="958">
        <v>35</v>
      </c>
      <c r="C3878" s="958" t="s">
        <v>4206</v>
      </c>
      <c r="D3878" s="957" t="s">
        <v>4205</v>
      </c>
      <c r="E3878" s="956">
        <v>42076</v>
      </c>
      <c r="F3878" s="955"/>
      <c r="L3878" s="954"/>
      <c r="M3878" s="952"/>
      <c r="N3878" s="952"/>
    </row>
    <row r="3879" spans="1:14">
      <c r="A3879" s="958" t="s">
        <v>354</v>
      </c>
      <c r="B3879" s="958">
        <v>35</v>
      </c>
      <c r="C3879" s="958" t="s">
        <v>4204</v>
      </c>
      <c r="D3879" s="957" t="s">
        <v>4203</v>
      </c>
      <c r="E3879" s="956">
        <v>2658</v>
      </c>
      <c r="F3879" s="955"/>
      <c r="L3879" s="954"/>
      <c r="M3879" s="952"/>
      <c r="N3879" s="952"/>
    </row>
    <row r="3880" spans="1:14">
      <c r="A3880" s="958" t="s">
        <v>354</v>
      </c>
      <c r="B3880" s="958">
        <v>35</v>
      </c>
      <c r="C3880" s="958" t="s">
        <v>4202</v>
      </c>
      <c r="D3880" s="957" t="s">
        <v>4201</v>
      </c>
      <c r="E3880" s="956">
        <v>2412</v>
      </c>
      <c r="F3880" s="955"/>
      <c r="L3880" s="954"/>
      <c r="M3880" s="952"/>
      <c r="N3880" s="952"/>
    </row>
    <row r="3881" spans="1:14">
      <c r="A3881" s="958" t="s">
        <v>354</v>
      </c>
      <c r="B3881" s="958">
        <v>35</v>
      </c>
      <c r="C3881" s="958" t="s">
        <v>4200</v>
      </c>
      <c r="D3881" s="957" t="s">
        <v>4199</v>
      </c>
      <c r="E3881" s="956">
        <v>10010</v>
      </c>
      <c r="F3881" s="955"/>
      <c r="L3881" s="954"/>
      <c r="M3881" s="952"/>
      <c r="N3881" s="952"/>
    </row>
    <row r="3882" spans="1:14">
      <c r="A3882" s="958" t="s">
        <v>354</v>
      </c>
      <c r="B3882" s="958">
        <v>35</v>
      </c>
      <c r="C3882" s="958" t="s">
        <v>4198</v>
      </c>
      <c r="D3882" s="957" t="s">
        <v>4197</v>
      </c>
      <c r="E3882" s="956">
        <v>1724</v>
      </c>
      <c r="F3882" s="955"/>
      <c r="L3882" s="954"/>
      <c r="M3882" s="952"/>
      <c r="N3882" s="952"/>
    </row>
    <row r="3883" spans="1:14">
      <c r="A3883" s="958" t="s">
        <v>354</v>
      </c>
      <c r="B3883" s="958">
        <v>35</v>
      </c>
      <c r="C3883" s="958" t="s">
        <v>4196</v>
      </c>
      <c r="D3883" s="957" t="s">
        <v>4195</v>
      </c>
      <c r="E3883" s="956">
        <v>47185</v>
      </c>
      <c r="F3883" s="955"/>
      <c r="L3883" s="954"/>
      <c r="M3883" s="952"/>
      <c r="N3883" s="952"/>
    </row>
    <row r="3884" spans="1:14">
      <c r="A3884" s="958" t="s">
        <v>354</v>
      </c>
      <c r="B3884" s="958">
        <v>35</v>
      </c>
      <c r="C3884" s="958" t="s">
        <v>4194</v>
      </c>
      <c r="D3884" s="957" t="s">
        <v>4193</v>
      </c>
      <c r="E3884" s="956">
        <v>5807</v>
      </c>
      <c r="F3884" s="955"/>
      <c r="L3884" s="954"/>
      <c r="M3884" s="952"/>
      <c r="N3884" s="952"/>
    </row>
    <row r="3885" spans="1:14">
      <c r="A3885" s="958" t="s">
        <v>354</v>
      </c>
      <c r="B3885" s="958">
        <v>35</v>
      </c>
      <c r="C3885" s="958" t="s">
        <v>4192</v>
      </c>
      <c r="D3885" s="957" t="s">
        <v>4191</v>
      </c>
      <c r="E3885" s="956">
        <v>6894</v>
      </c>
      <c r="F3885" s="955"/>
      <c r="L3885" s="954"/>
      <c r="M3885" s="952"/>
      <c r="N3885" s="952"/>
    </row>
    <row r="3886" spans="1:14">
      <c r="A3886" s="958" t="s">
        <v>354</v>
      </c>
      <c r="B3886" s="958">
        <v>35</v>
      </c>
      <c r="C3886" s="958" t="s">
        <v>4190</v>
      </c>
      <c r="D3886" s="957" t="s">
        <v>4189</v>
      </c>
      <c r="E3886" s="956">
        <v>65524</v>
      </c>
      <c r="F3886" s="955"/>
      <c r="L3886" s="954"/>
      <c r="M3886" s="952"/>
      <c r="N3886" s="952"/>
    </row>
    <row r="3887" spans="1:14">
      <c r="A3887" s="958" t="s">
        <v>354</v>
      </c>
      <c r="B3887" s="958">
        <v>35</v>
      </c>
      <c r="C3887" s="958" t="s">
        <v>4188</v>
      </c>
      <c r="D3887" s="957" t="s">
        <v>4187</v>
      </c>
      <c r="E3887" s="956">
        <v>15495</v>
      </c>
      <c r="F3887" s="955"/>
      <c r="L3887" s="954"/>
      <c r="M3887" s="952"/>
      <c r="N3887" s="952"/>
    </row>
    <row r="3888" spans="1:14">
      <c r="A3888" s="958" t="s">
        <v>354</v>
      </c>
      <c r="B3888" s="958">
        <v>35</v>
      </c>
      <c r="C3888" s="958" t="s">
        <v>4186</v>
      </c>
      <c r="D3888" s="957" t="s">
        <v>4185</v>
      </c>
      <c r="E3888" s="956">
        <v>2016</v>
      </c>
      <c r="F3888" s="955"/>
      <c r="L3888" s="954"/>
      <c r="M3888" s="952"/>
      <c r="N3888" s="952"/>
    </row>
    <row r="3889" spans="1:14">
      <c r="A3889" s="958" t="s">
        <v>354</v>
      </c>
      <c r="B3889" s="958">
        <v>35</v>
      </c>
      <c r="C3889" s="958" t="s">
        <v>4184</v>
      </c>
      <c r="D3889" s="957" t="s">
        <v>4183</v>
      </c>
      <c r="E3889" s="956">
        <v>1727</v>
      </c>
      <c r="F3889" s="955"/>
      <c r="L3889" s="954"/>
      <c r="M3889" s="952"/>
      <c r="N3889" s="952"/>
    </row>
    <row r="3890" spans="1:14">
      <c r="A3890" s="958" t="s">
        <v>354</v>
      </c>
      <c r="B3890" s="958">
        <v>35</v>
      </c>
      <c r="C3890" s="958" t="s">
        <v>4182</v>
      </c>
      <c r="D3890" s="957" t="s">
        <v>4181</v>
      </c>
      <c r="E3890" s="956">
        <v>6309</v>
      </c>
      <c r="F3890" s="955"/>
      <c r="L3890" s="954"/>
      <c r="M3890" s="952"/>
      <c r="N3890" s="952"/>
    </row>
    <row r="3891" spans="1:14">
      <c r="A3891" s="958" t="s">
        <v>354</v>
      </c>
      <c r="B3891" s="958">
        <v>35</v>
      </c>
      <c r="C3891" s="958" t="s">
        <v>4180</v>
      </c>
      <c r="D3891" s="957" t="s">
        <v>4179</v>
      </c>
      <c r="E3891" s="956">
        <v>90799</v>
      </c>
      <c r="F3891" s="955"/>
      <c r="L3891" s="954"/>
      <c r="M3891" s="952"/>
      <c r="N3891" s="952"/>
    </row>
    <row r="3892" spans="1:14">
      <c r="A3892" s="958" t="s">
        <v>354</v>
      </c>
      <c r="B3892" s="958">
        <v>35</v>
      </c>
      <c r="C3892" s="958" t="s">
        <v>4178</v>
      </c>
      <c r="D3892" s="957" t="s">
        <v>4177</v>
      </c>
      <c r="E3892" s="956">
        <v>4780</v>
      </c>
      <c r="F3892" s="955"/>
      <c r="L3892" s="954"/>
      <c r="M3892" s="952"/>
      <c r="N3892" s="952"/>
    </row>
    <row r="3893" spans="1:14">
      <c r="A3893" s="958" t="s">
        <v>354</v>
      </c>
      <c r="B3893" s="958">
        <v>35</v>
      </c>
      <c r="C3893" s="958" t="s">
        <v>4176</v>
      </c>
      <c r="D3893" s="957" t="s">
        <v>4175</v>
      </c>
      <c r="E3893" s="956">
        <v>10110</v>
      </c>
      <c r="F3893" s="955"/>
      <c r="L3893" s="954"/>
      <c r="M3893" s="952"/>
      <c r="N3893" s="952"/>
    </row>
    <row r="3894" spans="1:14">
      <c r="A3894" s="958" t="s">
        <v>354</v>
      </c>
      <c r="B3894" s="958">
        <v>35</v>
      </c>
      <c r="C3894" s="958" t="s">
        <v>4174</v>
      </c>
      <c r="D3894" s="957" t="s">
        <v>4173</v>
      </c>
      <c r="E3894" s="956">
        <v>1844</v>
      </c>
      <c r="F3894" s="955"/>
      <c r="L3894" s="954"/>
      <c r="M3894" s="952"/>
      <c r="N3894" s="952"/>
    </row>
    <row r="3895" spans="1:14">
      <c r="A3895" s="958" t="s">
        <v>354</v>
      </c>
      <c r="B3895" s="958">
        <v>35</v>
      </c>
      <c r="C3895" s="958" t="s">
        <v>4172</v>
      </c>
      <c r="D3895" s="957" t="s">
        <v>4171</v>
      </c>
      <c r="E3895" s="956">
        <v>9114</v>
      </c>
      <c r="F3895" s="955"/>
      <c r="L3895" s="954"/>
      <c r="M3895" s="952"/>
      <c r="N3895" s="952"/>
    </row>
    <row r="3896" spans="1:14">
      <c r="A3896" s="958" t="s">
        <v>354</v>
      </c>
      <c r="B3896" s="958">
        <v>35</v>
      </c>
      <c r="C3896" s="958" t="s">
        <v>4170</v>
      </c>
      <c r="D3896" s="957" t="s">
        <v>4169</v>
      </c>
      <c r="E3896" s="956">
        <v>1165</v>
      </c>
      <c r="F3896" s="955"/>
      <c r="L3896" s="954"/>
      <c r="M3896" s="952"/>
      <c r="N3896" s="952"/>
    </row>
    <row r="3897" spans="1:14">
      <c r="A3897" s="958" t="s">
        <v>354</v>
      </c>
      <c r="B3897" s="958">
        <v>35</v>
      </c>
      <c r="C3897" s="958" t="s">
        <v>4168</v>
      </c>
      <c r="D3897" s="957" t="s">
        <v>4167</v>
      </c>
      <c r="E3897" s="956">
        <v>13809</v>
      </c>
      <c r="F3897" s="955"/>
      <c r="L3897" s="954"/>
      <c r="M3897" s="952"/>
      <c r="N3897" s="952"/>
    </row>
    <row r="3898" spans="1:14">
      <c r="A3898" s="958" t="s">
        <v>354</v>
      </c>
      <c r="B3898" s="958">
        <v>35</v>
      </c>
      <c r="C3898" s="958" t="s">
        <v>4166</v>
      </c>
      <c r="D3898" s="957" t="s">
        <v>4165</v>
      </c>
      <c r="E3898" s="956">
        <v>13326</v>
      </c>
      <c r="F3898" s="955"/>
      <c r="L3898" s="954"/>
      <c r="M3898" s="952"/>
      <c r="N3898" s="952"/>
    </row>
    <row r="3899" spans="1:14">
      <c r="A3899" s="958" t="s">
        <v>354</v>
      </c>
      <c r="B3899" s="958">
        <v>35</v>
      </c>
      <c r="C3899" s="958" t="s">
        <v>4164</v>
      </c>
      <c r="D3899" s="957" t="s">
        <v>4163</v>
      </c>
      <c r="E3899" s="956">
        <v>129193</v>
      </c>
      <c r="F3899" s="955"/>
      <c r="L3899" s="954"/>
      <c r="M3899" s="952"/>
      <c r="N3899" s="952"/>
    </row>
    <row r="3900" spans="1:14">
      <c r="A3900" s="958" t="s">
        <v>354</v>
      </c>
      <c r="B3900" s="958">
        <v>35</v>
      </c>
      <c r="C3900" s="958" t="s">
        <v>4162</v>
      </c>
      <c r="D3900" s="957" t="s">
        <v>4161</v>
      </c>
      <c r="E3900" s="956">
        <v>26480</v>
      </c>
      <c r="F3900" s="955"/>
      <c r="L3900" s="954"/>
      <c r="M3900" s="952"/>
      <c r="N3900" s="952"/>
    </row>
    <row r="3901" spans="1:14">
      <c r="A3901" s="958" t="s">
        <v>354</v>
      </c>
      <c r="B3901" s="958">
        <v>35</v>
      </c>
      <c r="C3901" s="958" t="s">
        <v>4160</v>
      </c>
      <c r="D3901" s="957" t="s">
        <v>2789</v>
      </c>
      <c r="E3901" s="956">
        <v>10537</v>
      </c>
      <c r="F3901" s="955"/>
      <c r="L3901" s="954"/>
      <c r="M3901" s="952"/>
      <c r="N3901" s="952"/>
    </row>
    <row r="3902" spans="1:14">
      <c r="A3902" s="958" t="s">
        <v>354</v>
      </c>
      <c r="B3902" s="958">
        <v>35</v>
      </c>
      <c r="C3902" s="958" t="s">
        <v>4159</v>
      </c>
      <c r="D3902" s="957" t="s">
        <v>4158</v>
      </c>
      <c r="E3902" s="956">
        <v>42845</v>
      </c>
      <c r="F3902" s="955"/>
      <c r="L3902" s="954"/>
      <c r="M3902" s="952"/>
      <c r="N3902" s="952"/>
    </row>
    <row r="3903" spans="1:14">
      <c r="A3903" s="958" t="s">
        <v>354</v>
      </c>
      <c r="B3903" s="958">
        <v>35</v>
      </c>
      <c r="C3903" s="958" t="s">
        <v>4157</v>
      </c>
      <c r="D3903" s="957" t="s">
        <v>4156</v>
      </c>
      <c r="E3903" s="956">
        <v>52597</v>
      </c>
      <c r="F3903" s="955"/>
      <c r="L3903" s="954"/>
      <c r="M3903" s="952"/>
      <c r="N3903" s="952"/>
    </row>
    <row r="3904" spans="1:14">
      <c r="A3904" s="958" t="s">
        <v>354</v>
      </c>
      <c r="B3904" s="958">
        <v>35</v>
      </c>
      <c r="C3904" s="958" t="s">
        <v>4155</v>
      </c>
      <c r="D3904" s="957" t="s">
        <v>4154</v>
      </c>
      <c r="E3904" s="956">
        <v>121838</v>
      </c>
      <c r="F3904" s="955"/>
      <c r="L3904" s="954"/>
      <c r="M3904" s="952"/>
      <c r="N3904" s="952"/>
    </row>
    <row r="3905" spans="1:14">
      <c r="A3905" s="958" t="s">
        <v>354</v>
      </c>
      <c r="B3905" s="958">
        <v>35</v>
      </c>
      <c r="C3905" s="958" t="s">
        <v>4153</v>
      </c>
      <c r="D3905" s="957" t="s">
        <v>1807</v>
      </c>
      <c r="E3905" s="956">
        <v>10843</v>
      </c>
      <c r="F3905" s="955"/>
      <c r="L3905" s="954"/>
      <c r="M3905" s="952"/>
      <c r="N3905" s="952"/>
    </row>
    <row r="3906" spans="1:14">
      <c r="A3906" s="958" t="s">
        <v>354</v>
      </c>
      <c r="B3906" s="958">
        <v>35</v>
      </c>
      <c r="C3906" s="958" t="s">
        <v>4152</v>
      </c>
      <c r="D3906" s="957" t="s">
        <v>4151</v>
      </c>
      <c r="E3906" s="956">
        <v>78728</v>
      </c>
      <c r="F3906" s="955"/>
      <c r="L3906" s="954"/>
      <c r="M3906" s="952"/>
      <c r="N3906" s="952"/>
    </row>
    <row r="3907" spans="1:14">
      <c r="A3907" s="958" t="s">
        <v>354</v>
      </c>
      <c r="B3907" s="958">
        <v>35</v>
      </c>
      <c r="C3907" s="958" t="s">
        <v>4150</v>
      </c>
      <c r="D3907" s="957" t="s">
        <v>4149</v>
      </c>
      <c r="E3907" s="956">
        <v>18898</v>
      </c>
      <c r="F3907" s="955"/>
      <c r="L3907" s="954"/>
      <c r="M3907" s="952"/>
      <c r="N3907" s="952"/>
    </row>
    <row r="3908" spans="1:14">
      <c r="A3908" s="958" t="s">
        <v>354</v>
      </c>
      <c r="B3908" s="958">
        <v>35</v>
      </c>
      <c r="C3908" s="958" t="s">
        <v>4148</v>
      </c>
      <c r="D3908" s="957" t="s">
        <v>4147</v>
      </c>
      <c r="E3908" s="956">
        <v>8810</v>
      </c>
      <c r="F3908" s="955"/>
      <c r="L3908" s="954"/>
      <c r="M3908" s="952"/>
      <c r="N3908" s="952"/>
    </row>
    <row r="3909" spans="1:14">
      <c r="A3909" s="958" t="s">
        <v>354</v>
      </c>
      <c r="B3909" s="958">
        <v>35</v>
      </c>
      <c r="C3909" s="958" t="s">
        <v>4146</v>
      </c>
      <c r="D3909" s="957" t="s">
        <v>4145</v>
      </c>
      <c r="E3909" s="956">
        <v>1840</v>
      </c>
      <c r="F3909" s="955"/>
      <c r="L3909" s="954"/>
      <c r="M3909" s="952"/>
      <c r="N3909" s="952"/>
    </row>
    <row r="3910" spans="1:14">
      <c r="A3910" s="958" t="s">
        <v>354</v>
      </c>
      <c r="B3910" s="958">
        <v>35</v>
      </c>
      <c r="C3910" s="958" t="s">
        <v>4144</v>
      </c>
      <c r="D3910" s="957" t="s">
        <v>4143</v>
      </c>
      <c r="E3910" s="956">
        <v>122480</v>
      </c>
      <c r="F3910" s="955"/>
      <c r="L3910" s="954"/>
      <c r="M3910" s="952"/>
      <c r="N3910" s="952"/>
    </row>
    <row r="3911" spans="1:14">
      <c r="A3911" s="958" t="s">
        <v>354</v>
      </c>
      <c r="B3911" s="958">
        <v>35</v>
      </c>
      <c r="C3911" s="958" t="s">
        <v>4142</v>
      </c>
      <c r="D3911" s="957" t="s">
        <v>4141</v>
      </c>
      <c r="E3911" s="956">
        <v>94547</v>
      </c>
      <c r="F3911" s="955"/>
      <c r="L3911" s="954"/>
      <c r="M3911" s="952"/>
      <c r="N3911" s="952"/>
    </row>
    <row r="3912" spans="1:14">
      <c r="A3912" s="958" t="s">
        <v>354</v>
      </c>
      <c r="B3912" s="958">
        <v>35</v>
      </c>
      <c r="C3912" s="958" t="s">
        <v>4140</v>
      </c>
      <c r="D3912" s="957" t="s">
        <v>4139</v>
      </c>
      <c r="E3912" s="956">
        <v>2718</v>
      </c>
      <c r="F3912" s="955"/>
      <c r="L3912" s="954"/>
      <c r="M3912" s="952"/>
      <c r="N3912" s="952"/>
    </row>
    <row r="3913" spans="1:14">
      <c r="A3913" s="958" t="s">
        <v>354</v>
      </c>
      <c r="B3913" s="958">
        <v>35</v>
      </c>
      <c r="C3913" s="958" t="s">
        <v>4138</v>
      </c>
      <c r="D3913" s="957" t="s">
        <v>4137</v>
      </c>
      <c r="E3913" s="956">
        <v>12418</v>
      </c>
      <c r="F3913" s="955"/>
      <c r="L3913" s="954"/>
      <c r="M3913" s="952"/>
      <c r="N3913" s="952"/>
    </row>
    <row r="3914" spans="1:14">
      <c r="A3914" s="958" t="s">
        <v>354</v>
      </c>
      <c r="B3914" s="958">
        <v>35</v>
      </c>
      <c r="C3914" s="958" t="s">
        <v>4136</v>
      </c>
      <c r="D3914" s="957" t="s">
        <v>4135</v>
      </c>
      <c r="E3914" s="956">
        <v>11304</v>
      </c>
      <c r="F3914" s="955"/>
      <c r="L3914" s="954"/>
      <c r="M3914" s="952"/>
      <c r="N3914" s="952"/>
    </row>
    <row r="3915" spans="1:14">
      <c r="A3915" s="958" t="s">
        <v>363</v>
      </c>
      <c r="B3915" s="958">
        <v>41</v>
      </c>
      <c r="C3915" s="958" t="s">
        <v>4134</v>
      </c>
      <c r="D3915" s="957" t="s">
        <v>4133</v>
      </c>
      <c r="E3915" s="956">
        <v>7457</v>
      </c>
      <c r="F3915" s="955"/>
      <c r="L3915" s="954"/>
      <c r="M3915" s="952"/>
      <c r="N3915" s="952"/>
    </row>
    <row r="3916" spans="1:14">
      <c r="A3916" s="958" t="s">
        <v>363</v>
      </c>
      <c r="B3916" s="958">
        <v>41</v>
      </c>
      <c r="C3916" s="958" t="s">
        <v>4132</v>
      </c>
      <c r="D3916" s="957" t="s">
        <v>4131</v>
      </c>
      <c r="E3916" s="956">
        <v>5919</v>
      </c>
      <c r="F3916" s="955"/>
      <c r="L3916" s="954"/>
      <c r="M3916" s="952"/>
      <c r="N3916" s="952"/>
    </row>
    <row r="3917" spans="1:14">
      <c r="A3917" s="958" t="s">
        <v>363</v>
      </c>
      <c r="B3917" s="958">
        <v>41</v>
      </c>
      <c r="C3917" s="958" t="s">
        <v>4130</v>
      </c>
      <c r="D3917" s="957" t="s">
        <v>4129</v>
      </c>
      <c r="E3917" s="956">
        <v>9371</v>
      </c>
      <c r="F3917" s="955"/>
      <c r="L3917" s="954"/>
      <c r="M3917" s="952"/>
      <c r="N3917" s="952"/>
    </row>
    <row r="3918" spans="1:14">
      <c r="A3918" s="958" t="s">
        <v>363</v>
      </c>
      <c r="B3918" s="958">
        <v>41</v>
      </c>
      <c r="C3918" s="958" t="s">
        <v>4128</v>
      </c>
      <c r="D3918" s="957" t="s">
        <v>4127</v>
      </c>
      <c r="E3918" s="956">
        <v>118623</v>
      </c>
      <c r="F3918" s="955"/>
      <c r="L3918" s="954"/>
      <c r="M3918" s="952"/>
      <c r="N3918" s="952"/>
    </row>
    <row r="3919" spans="1:14">
      <c r="A3919" s="958" t="s">
        <v>363</v>
      </c>
      <c r="B3919" s="958">
        <v>41</v>
      </c>
      <c r="C3919" s="958" t="s">
        <v>4126</v>
      </c>
      <c r="D3919" s="957" t="s">
        <v>4125</v>
      </c>
      <c r="E3919" s="956">
        <v>1942</v>
      </c>
      <c r="F3919" s="955"/>
      <c r="L3919" s="954"/>
      <c r="M3919" s="952"/>
      <c r="N3919" s="952"/>
    </row>
    <row r="3920" spans="1:14">
      <c r="A3920" s="958" t="s">
        <v>363</v>
      </c>
      <c r="B3920" s="958">
        <v>41</v>
      </c>
      <c r="C3920" s="958" t="s">
        <v>4124</v>
      </c>
      <c r="D3920" s="957" t="s">
        <v>4123</v>
      </c>
      <c r="E3920" s="956">
        <v>22056</v>
      </c>
      <c r="F3920" s="955"/>
      <c r="L3920" s="954"/>
      <c r="M3920" s="952"/>
      <c r="N3920" s="952"/>
    </row>
    <row r="3921" spans="1:14">
      <c r="A3921" s="958" t="s">
        <v>363</v>
      </c>
      <c r="B3921" s="958">
        <v>41</v>
      </c>
      <c r="C3921" s="958" t="s">
        <v>4122</v>
      </c>
      <c r="D3921" s="957" t="s">
        <v>4121</v>
      </c>
      <c r="E3921" s="956">
        <v>14770</v>
      </c>
      <c r="F3921" s="955"/>
      <c r="L3921" s="954"/>
      <c r="M3921" s="952"/>
      <c r="N3921" s="952"/>
    </row>
    <row r="3922" spans="1:14">
      <c r="A3922" s="958" t="s">
        <v>363</v>
      </c>
      <c r="B3922" s="958">
        <v>41</v>
      </c>
      <c r="C3922" s="958" t="s">
        <v>4120</v>
      </c>
      <c r="D3922" s="957" t="s">
        <v>4119</v>
      </c>
      <c r="E3922" s="956">
        <v>9836</v>
      </c>
      <c r="F3922" s="955"/>
      <c r="L3922" s="954"/>
      <c r="M3922" s="952"/>
      <c r="N3922" s="952"/>
    </row>
    <row r="3923" spans="1:14">
      <c r="A3923" s="958" t="s">
        <v>363</v>
      </c>
      <c r="B3923" s="958">
        <v>41</v>
      </c>
      <c r="C3923" s="958" t="s">
        <v>4118</v>
      </c>
      <c r="D3923" s="957" t="s">
        <v>4117</v>
      </c>
      <c r="E3923" s="956">
        <v>11406</v>
      </c>
      <c r="F3923" s="955"/>
      <c r="L3923" s="954"/>
      <c r="M3923" s="952"/>
      <c r="N3923" s="952"/>
    </row>
    <row r="3924" spans="1:14">
      <c r="A3924" s="958" t="s">
        <v>363</v>
      </c>
      <c r="B3924" s="958">
        <v>41</v>
      </c>
      <c r="C3924" s="958" t="s">
        <v>4116</v>
      </c>
      <c r="D3924" s="957" t="s">
        <v>4115</v>
      </c>
      <c r="E3924" s="956">
        <v>6257</v>
      </c>
      <c r="F3924" s="955"/>
      <c r="L3924" s="954"/>
      <c r="M3924" s="952"/>
      <c r="N3924" s="952"/>
    </row>
    <row r="3925" spans="1:14">
      <c r="A3925" s="958" t="s">
        <v>363</v>
      </c>
      <c r="B3925" s="958">
        <v>41</v>
      </c>
      <c r="C3925" s="958" t="s">
        <v>4114</v>
      </c>
      <c r="D3925" s="957" t="s">
        <v>4113</v>
      </c>
      <c r="E3925" s="956">
        <v>19152</v>
      </c>
      <c r="F3925" s="955"/>
      <c r="L3925" s="954"/>
      <c r="M3925" s="952"/>
      <c r="N3925" s="952"/>
    </row>
    <row r="3926" spans="1:14">
      <c r="A3926" s="958" t="s">
        <v>363</v>
      </c>
      <c r="B3926" s="958">
        <v>41</v>
      </c>
      <c r="C3926" s="958" t="s">
        <v>4112</v>
      </c>
      <c r="D3926" s="957" t="s">
        <v>4111</v>
      </c>
      <c r="E3926" s="956">
        <v>2801</v>
      </c>
      <c r="F3926" s="955"/>
      <c r="L3926" s="954"/>
      <c r="M3926" s="952"/>
      <c r="N3926" s="952"/>
    </row>
    <row r="3927" spans="1:14">
      <c r="A3927" s="958" t="s">
        <v>363</v>
      </c>
      <c r="B3927" s="958">
        <v>41</v>
      </c>
      <c r="C3927" s="958" t="s">
        <v>4110</v>
      </c>
      <c r="D3927" s="957" t="s">
        <v>4109</v>
      </c>
      <c r="E3927" s="956">
        <v>20031</v>
      </c>
      <c r="F3927" s="955"/>
      <c r="L3927" s="954"/>
      <c r="M3927" s="952"/>
      <c r="N3927" s="952"/>
    </row>
    <row r="3928" spans="1:14">
      <c r="A3928" s="958" t="s">
        <v>363</v>
      </c>
      <c r="B3928" s="958">
        <v>41</v>
      </c>
      <c r="C3928" s="958" t="s">
        <v>4108</v>
      </c>
      <c r="D3928" s="957" t="s">
        <v>4107</v>
      </c>
      <c r="E3928" s="956">
        <v>2928</v>
      </c>
      <c r="F3928" s="955"/>
      <c r="L3928" s="954"/>
      <c r="M3928" s="952"/>
      <c r="N3928" s="952"/>
    </row>
    <row r="3929" spans="1:14">
      <c r="A3929" s="958" t="s">
        <v>363</v>
      </c>
      <c r="B3929" s="958">
        <v>41</v>
      </c>
      <c r="C3929" s="958" t="s">
        <v>4106</v>
      </c>
      <c r="D3929" s="957" t="s">
        <v>4105</v>
      </c>
      <c r="E3929" s="956">
        <v>18980</v>
      </c>
      <c r="F3929" s="955"/>
      <c r="L3929" s="954"/>
      <c r="M3929" s="952"/>
      <c r="N3929" s="952"/>
    </row>
    <row r="3930" spans="1:14">
      <c r="A3930" s="958" t="s">
        <v>363</v>
      </c>
      <c r="B3930" s="958">
        <v>41</v>
      </c>
      <c r="C3930" s="958" t="s">
        <v>4104</v>
      </c>
      <c r="D3930" s="957" t="s">
        <v>4103</v>
      </c>
      <c r="E3930" s="956">
        <v>7434</v>
      </c>
      <c r="F3930" s="955"/>
      <c r="L3930" s="954"/>
      <c r="M3930" s="952"/>
      <c r="N3930" s="952"/>
    </row>
    <row r="3931" spans="1:14">
      <c r="A3931" s="958" t="s">
        <v>363</v>
      </c>
      <c r="B3931" s="958">
        <v>41</v>
      </c>
      <c r="C3931" s="958" t="s">
        <v>4102</v>
      </c>
      <c r="D3931" s="957" t="s">
        <v>4101</v>
      </c>
      <c r="E3931" s="956">
        <v>134996</v>
      </c>
      <c r="F3931" s="955"/>
      <c r="L3931" s="954"/>
      <c r="M3931" s="952"/>
      <c r="N3931" s="952"/>
    </row>
    <row r="3932" spans="1:14">
      <c r="A3932" s="958" t="s">
        <v>363</v>
      </c>
      <c r="B3932" s="958">
        <v>41</v>
      </c>
      <c r="C3932" s="958" t="s">
        <v>4100</v>
      </c>
      <c r="D3932" s="957" t="s">
        <v>4099</v>
      </c>
      <c r="E3932" s="956">
        <v>123027</v>
      </c>
      <c r="F3932" s="955"/>
      <c r="L3932" s="954"/>
      <c r="M3932" s="952"/>
      <c r="N3932" s="952"/>
    </row>
    <row r="3933" spans="1:14">
      <c r="A3933" s="958" t="s">
        <v>363</v>
      </c>
      <c r="B3933" s="958">
        <v>41</v>
      </c>
      <c r="C3933" s="958" t="s">
        <v>4098</v>
      </c>
      <c r="D3933" s="957" t="s">
        <v>4097</v>
      </c>
      <c r="E3933" s="956">
        <v>28115</v>
      </c>
      <c r="F3933" s="955"/>
      <c r="L3933" s="954"/>
      <c r="M3933" s="952"/>
      <c r="N3933" s="952"/>
    </row>
    <row r="3934" spans="1:14">
      <c r="A3934" s="958" t="s">
        <v>363</v>
      </c>
      <c r="B3934" s="958">
        <v>41</v>
      </c>
      <c r="C3934" s="958" t="s">
        <v>4096</v>
      </c>
      <c r="D3934" s="957" t="s">
        <v>4095</v>
      </c>
      <c r="E3934" s="956">
        <v>3068</v>
      </c>
      <c r="F3934" s="955"/>
      <c r="L3934" s="954"/>
      <c r="M3934" s="952"/>
      <c r="N3934" s="952"/>
    </row>
    <row r="3935" spans="1:14">
      <c r="A3935" s="958" t="s">
        <v>363</v>
      </c>
      <c r="B3935" s="958">
        <v>41</v>
      </c>
      <c r="C3935" s="958" t="s">
        <v>4094</v>
      </c>
      <c r="D3935" s="957" t="s">
        <v>4093</v>
      </c>
      <c r="E3935" s="956">
        <v>13970</v>
      </c>
      <c r="F3935" s="955"/>
      <c r="L3935" s="954"/>
      <c r="M3935" s="952"/>
      <c r="N3935" s="952"/>
    </row>
    <row r="3936" spans="1:14">
      <c r="A3936" s="958" t="s">
        <v>363</v>
      </c>
      <c r="B3936" s="958">
        <v>41</v>
      </c>
      <c r="C3936" s="958" t="s">
        <v>4092</v>
      </c>
      <c r="D3936" s="957" t="s">
        <v>4091</v>
      </c>
      <c r="E3936" s="956">
        <v>143843</v>
      </c>
      <c r="F3936" s="955"/>
      <c r="L3936" s="954"/>
      <c r="M3936" s="952"/>
      <c r="N3936" s="952"/>
    </row>
    <row r="3937" spans="1:14">
      <c r="A3937" s="958" t="s">
        <v>363</v>
      </c>
      <c r="B3937" s="958">
        <v>41</v>
      </c>
      <c r="C3937" s="958" t="s">
        <v>4090</v>
      </c>
      <c r="D3937" s="957" t="s">
        <v>4089</v>
      </c>
      <c r="E3937" s="956">
        <v>2108</v>
      </c>
      <c r="F3937" s="955"/>
      <c r="L3937" s="954"/>
      <c r="M3937" s="952"/>
      <c r="N3937" s="952"/>
    </row>
    <row r="3938" spans="1:14">
      <c r="A3938" s="958" t="s">
        <v>363</v>
      </c>
      <c r="B3938" s="958">
        <v>41</v>
      </c>
      <c r="C3938" s="958" t="s">
        <v>4088</v>
      </c>
      <c r="D3938" s="957" t="s">
        <v>4087</v>
      </c>
      <c r="E3938" s="956">
        <v>15119</v>
      </c>
      <c r="F3938" s="955"/>
      <c r="L3938" s="954"/>
      <c r="M3938" s="952"/>
      <c r="N3938" s="952"/>
    </row>
    <row r="3939" spans="1:14">
      <c r="A3939" s="958" t="s">
        <v>363</v>
      </c>
      <c r="B3939" s="958">
        <v>41</v>
      </c>
      <c r="C3939" s="958" t="s">
        <v>4086</v>
      </c>
      <c r="D3939" s="957" t="s">
        <v>4085</v>
      </c>
      <c r="E3939" s="956">
        <v>33362</v>
      </c>
      <c r="F3939" s="955"/>
      <c r="L3939" s="954"/>
      <c r="M3939" s="952"/>
      <c r="N3939" s="952"/>
    </row>
    <row r="3940" spans="1:14">
      <c r="A3940" s="958" t="s">
        <v>363</v>
      </c>
      <c r="B3940" s="958">
        <v>41</v>
      </c>
      <c r="C3940" s="958" t="s">
        <v>4084</v>
      </c>
      <c r="D3940" s="957" t="s">
        <v>4083</v>
      </c>
      <c r="E3940" s="956">
        <v>26111</v>
      </c>
      <c r="F3940" s="955"/>
      <c r="L3940" s="954"/>
      <c r="M3940" s="952"/>
      <c r="N3940" s="952"/>
    </row>
    <row r="3941" spans="1:14">
      <c r="A3941" s="958" t="s">
        <v>363</v>
      </c>
      <c r="B3941" s="958">
        <v>41</v>
      </c>
      <c r="C3941" s="958" t="s">
        <v>4082</v>
      </c>
      <c r="D3941" s="957" t="s">
        <v>4081</v>
      </c>
      <c r="E3941" s="956">
        <v>3892</v>
      </c>
      <c r="F3941" s="955"/>
      <c r="L3941" s="954"/>
      <c r="M3941" s="952"/>
      <c r="N3941" s="952"/>
    </row>
    <row r="3942" spans="1:14">
      <c r="A3942" s="958" t="s">
        <v>363</v>
      </c>
      <c r="B3942" s="958">
        <v>41</v>
      </c>
      <c r="C3942" s="958" t="s">
        <v>4080</v>
      </c>
      <c r="D3942" s="957" t="s">
        <v>4079</v>
      </c>
      <c r="E3942" s="956">
        <v>12941</v>
      </c>
      <c r="F3942" s="955"/>
      <c r="L3942" s="954"/>
      <c r="M3942" s="952"/>
      <c r="N3942" s="952"/>
    </row>
    <row r="3943" spans="1:14">
      <c r="A3943" s="958" t="s">
        <v>363</v>
      </c>
      <c r="B3943" s="958">
        <v>41</v>
      </c>
      <c r="C3943" s="958" t="s">
        <v>4078</v>
      </c>
      <c r="D3943" s="957" t="s">
        <v>1753</v>
      </c>
      <c r="E3943" s="956">
        <v>31367</v>
      </c>
      <c r="F3943" s="955"/>
      <c r="L3943" s="954"/>
      <c r="M3943" s="952"/>
      <c r="N3943" s="952"/>
    </row>
    <row r="3944" spans="1:14">
      <c r="A3944" s="958" t="s">
        <v>363</v>
      </c>
      <c r="B3944" s="958">
        <v>41</v>
      </c>
      <c r="C3944" s="958" t="s">
        <v>4077</v>
      </c>
      <c r="D3944" s="957" t="s">
        <v>4076</v>
      </c>
      <c r="E3944" s="956">
        <v>11568</v>
      </c>
      <c r="F3944" s="955"/>
      <c r="L3944" s="954"/>
      <c r="M3944" s="952"/>
      <c r="N3944" s="952"/>
    </row>
    <row r="3945" spans="1:14">
      <c r="A3945" s="958" t="s">
        <v>363</v>
      </c>
      <c r="B3945" s="958">
        <v>41</v>
      </c>
      <c r="C3945" s="958" t="s">
        <v>4075</v>
      </c>
      <c r="D3945" s="957" t="s">
        <v>2699</v>
      </c>
      <c r="E3945" s="956">
        <v>10275</v>
      </c>
      <c r="F3945" s="955"/>
      <c r="L3945" s="954"/>
      <c r="M3945" s="952"/>
      <c r="N3945" s="952"/>
    </row>
    <row r="3946" spans="1:14">
      <c r="A3946" s="958" t="s">
        <v>363</v>
      </c>
      <c r="B3946" s="958">
        <v>41</v>
      </c>
      <c r="C3946" s="958" t="s">
        <v>4074</v>
      </c>
      <c r="D3946" s="957" t="s">
        <v>4073</v>
      </c>
      <c r="E3946" s="956">
        <v>2781</v>
      </c>
      <c r="F3946" s="955"/>
      <c r="L3946" s="954"/>
      <c r="M3946" s="952"/>
      <c r="N3946" s="952"/>
    </row>
    <row r="3947" spans="1:14">
      <c r="A3947" s="958" t="s">
        <v>363</v>
      </c>
      <c r="B3947" s="958">
        <v>41</v>
      </c>
      <c r="C3947" s="958" t="s">
        <v>4072</v>
      </c>
      <c r="D3947" s="957" t="s">
        <v>4071</v>
      </c>
      <c r="E3947" s="956">
        <v>3511</v>
      </c>
      <c r="F3947" s="955"/>
      <c r="L3947" s="954"/>
      <c r="M3947" s="952"/>
      <c r="N3947" s="952"/>
    </row>
    <row r="3948" spans="1:14">
      <c r="A3948" s="958" t="s">
        <v>363</v>
      </c>
      <c r="B3948" s="958">
        <v>41</v>
      </c>
      <c r="C3948" s="958" t="s">
        <v>4070</v>
      </c>
      <c r="D3948" s="957" t="s">
        <v>4069</v>
      </c>
      <c r="E3948" s="956">
        <v>15397</v>
      </c>
      <c r="F3948" s="955"/>
      <c r="L3948" s="954"/>
      <c r="M3948" s="952"/>
      <c r="N3948" s="952"/>
    </row>
    <row r="3949" spans="1:14">
      <c r="A3949" s="958" t="s">
        <v>363</v>
      </c>
      <c r="B3949" s="958">
        <v>41</v>
      </c>
      <c r="C3949" s="958" t="s">
        <v>4068</v>
      </c>
      <c r="D3949" s="957" t="s">
        <v>4067</v>
      </c>
      <c r="E3949" s="956">
        <v>16389</v>
      </c>
      <c r="F3949" s="955"/>
      <c r="L3949" s="954"/>
      <c r="M3949" s="952"/>
      <c r="N3949" s="952"/>
    </row>
    <row r="3950" spans="1:14">
      <c r="A3950" s="958" t="s">
        <v>363</v>
      </c>
      <c r="B3950" s="958">
        <v>41</v>
      </c>
      <c r="C3950" s="958" t="s">
        <v>4066</v>
      </c>
      <c r="D3950" s="957" t="s">
        <v>4065</v>
      </c>
      <c r="E3950" s="956">
        <v>4105</v>
      </c>
      <c r="F3950" s="955"/>
      <c r="L3950" s="954"/>
      <c r="M3950" s="952"/>
      <c r="N3950" s="952"/>
    </row>
    <row r="3951" spans="1:14">
      <c r="A3951" s="958" t="s">
        <v>363</v>
      </c>
      <c r="B3951" s="958">
        <v>41</v>
      </c>
      <c r="C3951" s="958" t="s">
        <v>4064</v>
      </c>
      <c r="D3951" s="957" t="s">
        <v>4063</v>
      </c>
      <c r="E3951" s="956">
        <v>2503</v>
      </c>
      <c r="F3951" s="955"/>
      <c r="L3951" s="954"/>
      <c r="M3951" s="952"/>
      <c r="N3951" s="952"/>
    </row>
    <row r="3952" spans="1:14">
      <c r="A3952" s="958" t="s">
        <v>363</v>
      </c>
      <c r="B3952" s="958">
        <v>41</v>
      </c>
      <c r="C3952" s="958" t="s">
        <v>4062</v>
      </c>
      <c r="D3952" s="957" t="s">
        <v>4061</v>
      </c>
      <c r="E3952" s="956">
        <v>6387</v>
      </c>
      <c r="F3952" s="955"/>
      <c r="L3952" s="954"/>
      <c r="M3952" s="952"/>
      <c r="N3952" s="952"/>
    </row>
    <row r="3953" spans="1:14">
      <c r="A3953" s="958" t="s">
        <v>363</v>
      </c>
      <c r="B3953" s="958">
        <v>41</v>
      </c>
      <c r="C3953" s="958" t="s">
        <v>4060</v>
      </c>
      <c r="D3953" s="957" t="s">
        <v>4059</v>
      </c>
      <c r="E3953" s="956">
        <v>7591</v>
      </c>
      <c r="F3953" s="955"/>
      <c r="L3953" s="954"/>
      <c r="M3953" s="952"/>
      <c r="N3953" s="952"/>
    </row>
    <row r="3954" spans="1:14">
      <c r="A3954" s="958" t="s">
        <v>363</v>
      </c>
      <c r="B3954" s="958">
        <v>41</v>
      </c>
      <c r="C3954" s="958" t="s">
        <v>4058</v>
      </c>
      <c r="D3954" s="957" t="s">
        <v>4057</v>
      </c>
      <c r="E3954" s="956">
        <v>12944</v>
      </c>
      <c r="F3954" s="955"/>
      <c r="L3954" s="954"/>
      <c r="M3954" s="952"/>
      <c r="N3954" s="952"/>
    </row>
    <row r="3955" spans="1:14">
      <c r="A3955" s="958" t="s">
        <v>363</v>
      </c>
      <c r="B3955" s="958">
        <v>41</v>
      </c>
      <c r="C3955" s="958" t="s">
        <v>4056</v>
      </c>
      <c r="D3955" s="957" t="s">
        <v>4055</v>
      </c>
      <c r="E3955" s="956">
        <v>3541</v>
      </c>
      <c r="F3955" s="955"/>
      <c r="L3955" s="954"/>
      <c r="M3955" s="952"/>
      <c r="N3955" s="952"/>
    </row>
    <row r="3956" spans="1:14">
      <c r="A3956" s="958" t="s">
        <v>363</v>
      </c>
      <c r="B3956" s="958">
        <v>41</v>
      </c>
      <c r="C3956" s="958" t="s">
        <v>4054</v>
      </c>
      <c r="D3956" s="957" t="s">
        <v>4053</v>
      </c>
      <c r="E3956" s="956">
        <v>7032</v>
      </c>
      <c r="F3956" s="955"/>
      <c r="L3956" s="954"/>
      <c r="M3956" s="952"/>
      <c r="N3956" s="952"/>
    </row>
    <row r="3957" spans="1:14">
      <c r="A3957" s="958" t="s">
        <v>363</v>
      </c>
      <c r="B3957" s="958">
        <v>41</v>
      </c>
      <c r="C3957" s="958" t="s">
        <v>4052</v>
      </c>
      <c r="D3957" s="957" t="s">
        <v>4051</v>
      </c>
      <c r="E3957" s="956">
        <v>3264</v>
      </c>
      <c r="F3957" s="955"/>
      <c r="L3957" s="954"/>
      <c r="M3957" s="952"/>
      <c r="N3957" s="952"/>
    </row>
    <row r="3958" spans="1:14">
      <c r="A3958" s="958" t="s">
        <v>363</v>
      </c>
      <c r="B3958" s="958">
        <v>41</v>
      </c>
      <c r="C3958" s="958" t="s">
        <v>4050</v>
      </c>
      <c r="D3958" s="957" t="s">
        <v>4049</v>
      </c>
      <c r="E3958" s="956">
        <v>6592</v>
      </c>
      <c r="F3958" s="955"/>
      <c r="L3958" s="954"/>
      <c r="M3958" s="952"/>
      <c r="N3958" s="952"/>
    </row>
    <row r="3959" spans="1:14">
      <c r="A3959" s="958" t="s">
        <v>363</v>
      </c>
      <c r="B3959" s="958">
        <v>41</v>
      </c>
      <c r="C3959" s="958" t="s">
        <v>4048</v>
      </c>
      <c r="D3959" s="957" t="s">
        <v>4047</v>
      </c>
      <c r="E3959" s="956">
        <v>5427</v>
      </c>
      <c r="F3959" s="955"/>
      <c r="L3959" s="954"/>
      <c r="M3959" s="952"/>
      <c r="N3959" s="952"/>
    </row>
    <row r="3960" spans="1:14">
      <c r="A3960" s="958" t="s">
        <v>363</v>
      </c>
      <c r="B3960" s="958">
        <v>41</v>
      </c>
      <c r="C3960" s="958" t="s">
        <v>4046</v>
      </c>
      <c r="D3960" s="957" t="s">
        <v>4045</v>
      </c>
      <c r="E3960" s="956">
        <v>2651</v>
      </c>
      <c r="F3960" s="955"/>
      <c r="L3960" s="954"/>
      <c r="M3960" s="952"/>
      <c r="N3960" s="952"/>
    </row>
    <row r="3961" spans="1:14">
      <c r="A3961" s="958" t="s">
        <v>363</v>
      </c>
      <c r="B3961" s="958">
        <v>41</v>
      </c>
      <c r="C3961" s="958" t="s">
        <v>4044</v>
      </c>
      <c r="D3961" s="957" t="s">
        <v>4043</v>
      </c>
      <c r="E3961" s="956">
        <v>2934</v>
      </c>
      <c r="F3961" s="955"/>
      <c r="L3961" s="954"/>
      <c r="M3961" s="952"/>
      <c r="N3961" s="952"/>
    </row>
    <row r="3962" spans="1:14">
      <c r="A3962" s="958" t="s">
        <v>363</v>
      </c>
      <c r="B3962" s="958">
        <v>41</v>
      </c>
      <c r="C3962" s="958" t="s">
        <v>4042</v>
      </c>
      <c r="D3962" s="957" t="s">
        <v>4041</v>
      </c>
      <c r="E3962" s="956">
        <v>18120</v>
      </c>
      <c r="F3962" s="955"/>
      <c r="L3962" s="954"/>
      <c r="M3962" s="952"/>
      <c r="N3962" s="952"/>
    </row>
    <row r="3963" spans="1:14">
      <c r="A3963" s="958" t="s">
        <v>363</v>
      </c>
      <c r="B3963" s="958">
        <v>41</v>
      </c>
      <c r="C3963" s="958" t="s">
        <v>4040</v>
      </c>
      <c r="D3963" s="957" t="s">
        <v>4039</v>
      </c>
      <c r="E3963" s="956">
        <v>4044</v>
      </c>
      <c r="F3963" s="955"/>
      <c r="L3963" s="954"/>
      <c r="M3963" s="952"/>
      <c r="N3963" s="952"/>
    </row>
    <row r="3964" spans="1:14">
      <c r="A3964" s="958" t="s">
        <v>363</v>
      </c>
      <c r="B3964" s="958">
        <v>41</v>
      </c>
      <c r="C3964" s="958" t="s">
        <v>4038</v>
      </c>
      <c r="D3964" s="957" t="s">
        <v>4037</v>
      </c>
      <c r="E3964" s="956">
        <v>8570</v>
      </c>
      <c r="F3964" s="955"/>
      <c r="L3964" s="954"/>
      <c r="M3964" s="952"/>
      <c r="N3964" s="952"/>
    </row>
    <row r="3965" spans="1:14">
      <c r="A3965" s="958" t="s">
        <v>363</v>
      </c>
      <c r="B3965" s="958">
        <v>41</v>
      </c>
      <c r="C3965" s="958" t="s">
        <v>4036</v>
      </c>
      <c r="D3965" s="957" t="s">
        <v>4035</v>
      </c>
      <c r="E3965" s="956">
        <v>25360</v>
      </c>
      <c r="F3965" s="955"/>
      <c r="L3965" s="954"/>
      <c r="M3965" s="952"/>
      <c r="N3965" s="952"/>
    </row>
    <row r="3966" spans="1:14">
      <c r="A3966" s="958" t="s">
        <v>363</v>
      </c>
      <c r="B3966" s="958">
        <v>41</v>
      </c>
      <c r="C3966" s="958" t="s">
        <v>4034</v>
      </c>
      <c r="D3966" s="957" t="s">
        <v>4033</v>
      </c>
      <c r="E3966" s="956">
        <v>106533</v>
      </c>
      <c r="F3966" s="955"/>
      <c r="L3966" s="954"/>
      <c r="M3966" s="952"/>
      <c r="N3966" s="952"/>
    </row>
    <row r="3967" spans="1:14">
      <c r="A3967" s="958" t="s">
        <v>363</v>
      </c>
      <c r="B3967" s="958">
        <v>41</v>
      </c>
      <c r="C3967" s="958" t="s">
        <v>4032</v>
      </c>
      <c r="D3967" s="957" t="s">
        <v>4031</v>
      </c>
      <c r="E3967" s="956">
        <v>7865</v>
      </c>
      <c r="F3967" s="955"/>
      <c r="L3967" s="954"/>
      <c r="M3967" s="952"/>
      <c r="N3967" s="952"/>
    </row>
    <row r="3968" spans="1:14">
      <c r="A3968" s="958" t="s">
        <v>363</v>
      </c>
      <c r="B3968" s="958">
        <v>41</v>
      </c>
      <c r="C3968" s="958" t="s">
        <v>4030</v>
      </c>
      <c r="D3968" s="957" t="s">
        <v>4029</v>
      </c>
      <c r="E3968" s="956">
        <v>14202</v>
      </c>
      <c r="F3968" s="955"/>
      <c r="L3968" s="954"/>
      <c r="M3968" s="952"/>
      <c r="N3968" s="952"/>
    </row>
    <row r="3969" spans="1:14">
      <c r="A3969" s="958" t="s">
        <v>363</v>
      </c>
      <c r="B3969" s="958">
        <v>41</v>
      </c>
      <c r="C3969" s="958" t="s">
        <v>4028</v>
      </c>
      <c r="D3969" s="957" t="s">
        <v>4027</v>
      </c>
      <c r="E3969" s="956">
        <v>3887</v>
      </c>
      <c r="F3969" s="955"/>
      <c r="L3969" s="954"/>
      <c r="M3969" s="952"/>
      <c r="N3969" s="952"/>
    </row>
    <row r="3970" spans="1:14">
      <c r="A3970" s="958" t="s">
        <v>363</v>
      </c>
      <c r="B3970" s="958">
        <v>41</v>
      </c>
      <c r="C3970" s="958" t="s">
        <v>4026</v>
      </c>
      <c r="D3970" s="957" t="s">
        <v>4025</v>
      </c>
      <c r="E3970" s="956">
        <v>43288</v>
      </c>
      <c r="F3970" s="955"/>
      <c r="L3970" s="954"/>
      <c r="M3970" s="952"/>
      <c r="N3970" s="952"/>
    </row>
    <row r="3971" spans="1:14">
      <c r="A3971" s="958" t="s">
        <v>363</v>
      </c>
      <c r="B3971" s="958">
        <v>41</v>
      </c>
      <c r="C3971" s="958" t="s">
        <v>4024</v>
      </c>
      <c r="D3971" s="957" t="s">
        <v>4023</v>
      </c>
      <c r="E3971" s="956">
        <v>3833</v>
      </c>
      <c r="F3971" s="955"/>
      <c r="L3971" s="954"/>
      <c r="M3971" s="952"/>
      <c r="N3971" s="952"/>
    </row>
    <row r="3972" spans="1:14">
      <c r="A3972" s="958" t="s">
        <v>363</v>
      </c>
      <c r="B3972" s="958">
        <v>41</v>
      </c>
      <c r="C3972" s="958" t="s">
        <v>4022</v>
      </c>
      <c r="D3972" s="957" t="s">
        <v>4021</v>
      </c>
      <c r="E3972" s="956">
        <v>7971</v>
      </c>
      <c r="F3972" s="955"/>
      <c r="L3972" s="954"/>
      <c r="M3972" s="952"/>
      <c r="N3972" s="952"/>
    </row>
    <row r="3973" spans="1:14">
      <c r="A3973" s="958" t="s">
        <v>363</v>
      </c>
      <c r="B3973" s="958">
        <v>41</v>
      </c>
      <c r="C3973" s="958" t="s">
        <v>4020</v>
      </c>
      <c r="D3973" s="957" t="s">
        <v>4019</v>
      </c>
      <c r="E3973" s="956">
        <v>132002</v>
      </c>
      <c r="F3973" s="955"/>
      <c r="L3973" s="954"/>
      <c r="M3973" s="952"/>
      <c r="N3973" s="952"/>
    </row>
    <row r="3974" spans="1:14">
      <c r="A3974" s="958" t="s">
        <v>363</v>
      </c>
      <c r="B3974" s="958">
        <v>41</v>
      </c>
      <c r="C3974" s="958" t="s">
        <v>4018</v>
      </c>
      <c r="D3974" s="957" t="s">
        <v>4017</v>
      </c>
      <c r="E3974" s="956">
        <v>29318</v>
      </c>
      <c r="F3974" s="955"/>
      <c r="L3974" s="954"/>
      <c r="M3974" s="952"/>
      <c r="N3974" s="952"/>
    </row>
    <row r="3975" spans="1:14">
      <c r="A3975" s="958" t="s">
        <v>363</v>
      </c>
      <c r="B3975" s="958">
        <v>41</v>
      </c>
      <c r="C3975" s="958" t="s">
        <v>4016</v>
      </c>
      <c r="D3975" s="957" t="s">
        <v>4015</v>
      </c>
      <c r="E3975" s="956">
        <v>94859</v>
      </c>
      <c r="F3975" s="955"/>
      <c r="L3975" s="954"/>
      <c r="M3975" s="952"/>
      <c r="N3975" s="952"/>
    </row>
    <row r="3976" spans="1:14">
      <c r="A3976" s="958" t="s">
        <v>363</v>
      </c>
      <c r="B3976" s="958">
        <v>41</v>
      </c>
      <c r="C3976" s="958" t="s">
        <v>4014</v>
      </c>
      <c r="D3976" s="957" t="s">
        <v>4013</v>
      </c>
      <c r="E3976" s="956">
        <v>15018</v>
      </c>
      <c r="F3976" s="955"/>
      <c r="L3976" s="954"/>
      <c r="M3976" s="952"/>
      <c r="N3976" s="952"/>
    </row>
    <row r="3977" spans="1:14">
      <c r="A3977" s="958" t="s">
        <v>363</v>
      </c>
      <c r="B3977" s="958">
        <v>41</v>
      </c>
      <c r="C3977" s="958" t="s">
        <v>4012</v>
      </c>
      <c r="D3977" s="957" t="s">
        <v>4011</v>
      </c>
      <c r="E3977" s="956">
        <v>15979</v>
      </c>
      <c r="F3977" s="955"/>
      <c r="L3977" s="954"/>
      <c r="M3977" s="952"/>
      <c r="N3977" s="952"/>
    </row>
    <row r="3978" spans="1:14">
      <c r="A3978" s="958" t="s">
        <v>363</v>
      </c>
      <c r="B3978" s="958">
        <v>41</v>
      </c>
      <c r="C3978" s="958" t="s">
        <v>4010</v>
      </c>
      <c r="D3978" s="957" t="s">
        <v>4009</v>
      </c>
      <c r="E3978" s="956">
        <v>13317</v>
      </c>
      <c r="F3978" s="955"/>
      <c r="L3978" s="954"/>
      <c r="M3978" s="952"/>
      <c r="N3978" s="952"/>
    </row>
    <row r="3979" spans="1:14">
      <c r="A3979" s="958" t="s">
        <v>363</v>
      </c>
      <c r="B3979" s="958">
        <v>41</v>
      </c>
      <c r="C3979" s="958" t="s">
        <v>4008</v>
      </c>
      <c r="D3979" s="957" t="s">
        <v>4007</v>
      </c>
      <c r="E3979" s="956">
        <v>19124</v>
      </c>
      <c r="F3979" s="955"/>
      <c r="L3979" s="954"/>
      <c r="M3979" s="952"/>
      <c r="N3979" s="952"/>
    </row>
    <row r="3980" spans="1:14">
      <c r="A3980" s="958" t="s">
        <v>363</v>
      </c>
      <c r="B3980" s="958">
        <v>41</v>
      </c>
      <c r="C3980" s="958" t="s">
        <v>4006</v>
      </c>
      <c r="D3980" s="957" t="s">
        <v>4005</v>
      </c>
      <c r="E3980" s="956">
        <v>15780</v>
      </c>
      <c r="F3980" s="955"/>
      <c r="L3980" s="954"/>
      <c r="M3980" s="952"/>
      <c r="N3980" s="952"/>
    </row>
    <row r="3981" spans="1:14">
      <c r="A3981" s="958" t="s">
        <v>363</v>
      </c>
      <c r="B3981" s="958">
        <v>41</v>
      </c>
      <c r="C3981" s="958" t="s">
        <v>4004</v>
      </c>
      <c r="D3981" s="957" t="s">
        <v>4003</v>
      </c>
      <c r="E3981" s="956">
        <v>23415</v>
      </c>
      <c r="F3981" s="955"/>
      <c r="L3981" s="954"/>
      <c r="M3981" s="952"/>
      <c r="N3981" s="952"/>
    </row>
    <row r="3982" spans="1:14">
      <c r="A3982" s="958" t="s">
        <v>363</v>
      </c>
      <c r="B3982" s="958">
        <v>41</v>
      </c>
      <c r="C3982" s="958" t="s">
        <v>4002</v>
      </c>
      <c r="D3982" s="957" t="s">
        <v>4001</v>
      </c>
      <c r="E3982" s="956">
        <v>14320</v>
      </c>
      <c r="F3982" s="955"/>
      <c r="L3982" s="954"/>
      <c r="M3982" s="952"/>
      <c r="N3982" s="952"/>
    </row>
    <row r="3983" spans="1:14">
      <c r="A3983" s="958" t="s">
        <v>363</v>
      </c>
      <c r="B3983" s="958">
        <v>41</v>
      </c>
      <c r="C3983" s="958" t="s">
        <v>4000</v>
      </c>
      <c r="D3983" s="957" t="s">
        <v>3999</v>
      </c>
      <c r="E3983" s="956">
        <v>328454</v>
      </c>
      <c r="F3983" s="955"/>
      <c r="L3983" s="954"/>
      <c r="M3983" s="952"/>
      <c r="N3983" s="952"/>
    </row>
    <row r="3984" spans="1:14">
      <c r="A3984" s="958" t="s">
        <v>363</v>
      </c>
      <c r="B3984" s="958">
        <v>41</v>
      </c>
      <c r="C3984" s="958" t="s">
        <v>3998</v>
      </c>
      <c r="D3984" s="957" t="s">
        <v>3997</v>
      </c>
      <c r="E3984" s="956">
        <v>71484</v>
      </c>
      <c r="F3984" s="955"/>
      <c r="L3984" s="954"/>
      <c r="M3984" s="952"/>
      <c r="N3984" s="952"/>
    </row>
    <row r="3985" spans="1:14">
      <c r="A3985" s="958" t="s">
        <v>363</v>
      </c>
      <c r="B3985" s="958">
        <v>41</v>
      </c>
      <c r="C3985" s="958" t="s">
        <v>3996</v>
      </c>
      <c r="D3985" s="957" t="s">
        <v>3231</v>
      </c>
      <c r="E3985" s="956">
        <v>10189</v>
      </c>
      <c r="F3985" s="955"/>
      <c r="L3985" s="954"/>
      <c r="M3985" s="952"/>
      <c r="N3985" s="952"/>
    </row>
    <row r="3986" spans="1:14">
      <c r="A3986" s="958" t="s">
        <v>363</v>
      </c>
      <c r="B3986" s="958">
        <v>41</v>
      </c>
      <c r="C3986" s="958" t="s">
        <v>3995</v>
      </c>
      <c r="D3986" s="957" t="s">
        <v>3994</v>
      </c>
      <c r="E3986" s="956">
        <v>10827</v>
      </c>
      <c r="F3986" s="955"/>
      <c r="L3986" s="954"/>
      <c r="M3986" s="952"/>
      <c r="N3986" s="952"/>
    </row>
    <row r="3987" spans="1:14">
      <c r="A3987" s="958" t="s">
        <v>363</v>
      </c>
      <c r="B3987" s="958">
        <v>41</v>
      </c>
      <c r="C3987" s="958" t="s">
        <v>3993</v>
      </c>
      <c r="D3987" s="957" t="s">
        <v>3992</v>
      </c>
      <c r="E3987" s="956">
        <v>17779</v>
      </c>
      <c r="F3987" s="955"/>
      <c r="L3987" s="954"/>
      <c r="M3987" s="952"/>
      <c r="N3987" s="952"/>
    </row>
    <row r="3988" spans="1:14">
      <c r="A3988" s="958" t="s">
        <v>363</v>
      </c>
      <c r="B3988" s="958">
        <v>41</v>
      </c>
      <c r="C3988" s="958" t="s">
        <v>3991</v>
      </c>
      <c r="D3988" s="957" t="s">
        <v>3990</v>
      </c>
      <c r="E3988" s="956">
        <v>11765</v>
      </c>
      <c r="F3988" s="955"/>
      <c r="L3988" s="954"/>
      <c r="M3988" s="952"/>
      <c r="N3988" s="952"/>
    </row>
    <row r="3989" spans="1:14">
      <c r="A3989" s="958" t="s">
        <v>363</v>
      </c>
      <c r="B3989" s="958">
        <v>41</v>
      </c>
      <c r="C3989" s="958" t="s">
        <v>3989</v>
      </c>
      <c r="D3989" s="957" t="s">
        <v>3988</v>
      </c>
      <c r="E3989" s="956">
        <v>19254</v>
      </c>
      <c r="F3989" s="955"/>
      <c r="L3989" s="954"/>
      <c r="M3989" s="952"/>
      <c r="N3989" s="952"/>
    </row>
    <row r="3990" spans="1:14">
      <c r="A3990" s="958" t="s">
        <v>363</v>
      </c>
      <c r="B3990" s="958">
        <v>41</v>
      </c>
      <c r="C3990" s="958" t="s">
        <v>3987</v>
      </c>
      <c r="D3990" s="957" t="s">
        <v>3986</v>
      </c>
      <c r="E3990" s="956">
        <v>82620</v>
      </c>
      <c r="F3990" s="955"/>
      <c r="L3990" s="954"/>
      <c r="M3990" s="952"/>
      <c r="N3990" s="952"/>
    </row>
    <row r="3991" spans="1:14">
      <c r="A3991" s="958" t="s">
        <v>363</v>
      </c>
      <c r="B3991" s="958">
        <v>41</v>
      </c>
      <c r="C3991" s="958" t="s">
        <v>3985</v>
      </c>
      <c r="D3991" s="957" t="s">
        <v>3984</v>
      </c>
      <c r="E3991" s="956">
        <v>12652</v>
      </c>
      <c r="F3991" s="955"/>
      <c r="L3991" s="954"/>
      <c r="M3991" s="952"/>
      <c r="N3991" s="952"/>
    </row>
    <row r="3992" spans="1:14">
      <c r="A3992" s="958" t="s">
        <v>363</v>
      </c>
      <c r="B3992" s="958">
        <v>41</v>
      </c>
      <c r="C3992" s="958" t="s">
        <v>3983</v>
      </c>
      <c r="D3992" s="957" t="s">
        <v>3982</v>
      </c>
      <c r="E3992" s="956">
        <v>16559</v>
      </c>
      <c r="F3992" s="955"/>
      <c r="L3992" s="954"/>
      <c r="M3992" s="952"/>
      <c r="N3992" s="952"/>
    </row>
    <row r="3993" spans="1:14">
      <c r="A3993" s="958" t="s">
        <v>363</v>
      </c>
      <c r="B3993" s="958">
        <v>41</v>
      </c>
      <c r="C3993" s="958" t="s">
        <v>3981</v>
      </c>
      <c r="D3993" s="957" t="s">
        <v>3980</v>
      </c>
      <c r="E3993" s="956">
        <v>243726</v>
      </c>
      <c r="F3993" s="955"/>
      <c r="L3993" s="954"/>
      <c r="M3993" s="952"/>
      <c r="N3993" s="952"/>
    </row>
    <row r="3994" spans="1:14">
      <c r="A3994" s="958" t="s">
        <v>363</v>
      </c>
      <c r="B3994" s="958">
        <v>41</v>
      </c>
      <c r="C3994" s="958" t="s">
        <v>3979</v>
      </c>
      <c r="D3994" s="957" t="s">
        <v>2545</v>
      </c>
      <c r="E3994" s="956">
        <v>24012</v>
      </c>
      <c r="F3994" s="955"/>
      <c r="L3994" s="954"/>
      <c r="M3994" s="952"/>
      <c r="N3994" s="952"/>
    </row>
    <row r="3995" spans="1:14">
      <c r="A3995" s="958" t="s">
        <v>363</v>
      </c>
      <c r="B3995" s="958">
        <v>41</v>
      </c>
      <c r="C3995" s="958" t="s">
        <v>3978</v>
      </c>
      <c r="D3995" s="957" t="s">
        <v>3977</v>
      </c>
      <c r="E3995" s="956">
        <v>8818</v>
      </c>
      <c r="F3995" s="955"/>
      <c r="L3995" s="954"/>
      <c r="M3995" s="952"/>
      <c r="N3995" s="952"/>
    </row>
    <row r="3996" spans="1:14">
      <c r="A3996" s="958" t="s">
        <v>363</v>
      </c>
      <c r="B3996" s="958">
        <v>41</v>
      </c>
      <c r="C3996" s="958" t="s">
        <v>3976</v>
      </c>
      <c r="D3996" s="957" t="s">
        <v>3975</v>
      </c>
      <c r="E3996" s="956">
        <v>3860</v>
      </c>
      <c r="F3996" s="955"/>
      <c r="L3996" s="954"/>
      <c r="M3996" s="952"/>
      <c r="N3996" s="952"/>
    </row>
    <row r="3997" spans="1:14">
      <c r="A3997" s="958" t="s">
        <v>363</v>
      </c>
      <c r="B3997" s="958">
        <v>41</v>
      </c>
      <c r="C3997" s="958" t="s">
        <v>3974</v>
      </c>
      <c r="D3997" s="957" t="s">
        <v>3973</v>
      </c>
      <c r="E3997" s="956">
        <v>18584</v>
      </c>
      <c r="F3997" s="955"/>
      <c r="L3997" s="954"/>
      <c r="M3997" s="952"/>
      <c r="N3997" s="952"/>
    </row>
    <row r="3998" spans="1:14">
      <c r="A3998" s="958" t="s">
        <v>363</v>
      </c>
      <c r="B3998" s="958">
        <v>41</v>
      </c>
      <c r="C3998" s="958" t="s">
        <v>3972</v>
      </c>
      <c r="D3998" s="957" t="s">
        <v>3971</v>
      </c>
      <c r="E3998" s="956">
        <v>17071</v>
      </c>
      <c r="F3998" s="955"/>
      <c r="L3998" s="954"/>
      <c r="M3998" s="952"/>
      <c r="N3998" s="952"/>
    </row>
    <row r="3999" spans="1:14">
      <c r="A3999" s="958" t="s">
        <v>363</v>
      </c>
      <c r="B3999" s="958">
        <v>41</v>
      </c>
      <c r="C3999" s="958" t="s">
        <v>3970</v>
      </c>
      <c r="D3999" s="957" t="s">
        <v>3969</v>
      </c>
      <c r="E3999" s="956">
        <v>47845</v>
      </c>
      <c r="F3999" s="955"/>
      <c r="L3999" s="954"/>
      <c r="M3999" s="952"/>
      <c r="N3999" s="952"/>
    </row>
    <row r="4000" spans="1:14">
      <c r="A4000" s="958" t="s">
        <v>363</v>
      </c>
      <c r="B4000" s="958">
        <v>41</v>
      </c>
      <c r="C4000" s="958" t="s">
        <v>3968</v>
      </c>
      <c r="D4000" s="957" t="s">
        <v>3967</v>
      </c>
      <c r="E4000" s="956">
        <v>7497</v>
      </c>
      <c r="F4000" s="955"/>
      <c r="L4000" s="954"/>
      <c r="M4000" s="952"/>
      <c r="N4000" s="952"/>
    </row>
    <row r="4001" spans="1:14">
      <c r="A4001" s="958" t="s">
        <v>363</v>
      </c>
      <c r="B4001" s="958">
        <v>41</v>
      </c>
      <c r="C4001" s="958" t="s">
        <v>3966</v>
      </c>
      <c r="D4001" s="957" t="s">
        <v>3965</v>
      </c>
      <c r="E4001" s="956">
        <v>20734</v>
      </c>
      <c r="F4001" s="955"/>
      <c r="L4001" s="954"/>
      <c r="M4001" s="952"/>
      <c r="N4001" s="952"/>
    </row>
    <row r="4002" spans="1:14">
      <c r="A4002" s="958" t="s">
        <v>363</v>
      </c>
      <c r="B4002" s="958">
        <v>41</v>
      </c>
      <c r="C4002" s="958" t="s">
        <v>3964</v>
      </c>
      <c r="D4002" s="957" t="s">
        <v>3963</v>
      </c>
      <c r="E4002" s="956">
        <v>3219</v>
      </c>
      <c r="F4002" s="955"/>
      <c r="L4002" s="954"/>
      <c r="M4002" s="952"/>
      <c r="N4002" s="952"/>
    </row>
    <row r="4003" spans="1:14">
      <c r="A4003" s="958" t="s">
        <v>363</v>
      </c>
      <c r="B4003" s="958">
        <v>41</v>
      </c>
      <c r="C4003" s="958" t="s">
        <v>3962</v>
      </c>
      <c r="D4003" s="957" t="s">
        <v>3961</v>
      </c>
      <c r="E4003" s="956">
        <v>4252</v>
      </c>
      <c r="F4003" s="955"/>
      <c r="L4003" s="954"/>
      <c r="M4003" s="952"/>
      <c r="N4003" s="952"/>
    </row>
    <row r="4004" spans="1:14">
      <c r="A4004" s="958" t="s">
        <v>363</v>
      </c>
      <c r="B4004" s="958">
        <v>41</v>
      </c>
      <c r="C4004" s="958" t="s">
        <v>3960</v>
      </c>
      <c r="D4004" s="957" t="s">
        <v>3959</v>
      </c>
      <c r="E4004" s="956">
        <v>20932</v>
      </c>
      <c r="F4004" s="955"/>
      <c r="L4004" s="954"/>
      <c r="M4004" s="952"/>
      <c r="N4004" s="952"/>
    </row>
    <row r="4005" spans="1:14">
      <c r="A4005" s="958" t="s">
        <v>363</v>
      </c>
      <c r="B4005" s="958">
        <v>41</v>
      </c>
      <c r="C4005" s="958" t="s">
        <v>3958</v>
      </c>
      <c r="D4005" s="957" t="s">
        <v>2515</v>
      </c>
      <c r="E4005" s="956">
        <v>4469</v>
      </c>
      <c r="F4005" s="955"/>
      <c r="L4005" s="954"/>
      <c r="M4005" s="952"/>
      <c r="N4005" s="952"/>
    </row>
    <row r="4006" spans="1:14">
      <c r="A4006" s="958" t="s">
        <v>363</v>
      </c>
      <c r="B4006" s="958">
        <v>41</v>
      </c>
      <c r="C4006" s="958" t="s">
        <v>3957</v>
      </c>
      <c r="D4006" s="957" t="s">
        <v>3956</v>
      </c>
      <c r="E4006" s="956">
        <v>18708</v>
      </c>
      <c r="F4006" s="955"/>
      <c r="L4006" s="954"/>
      <c r="M4006" s="952"/>
      <c r="N4006" s="952"/>
    </row>
    <row r="4007" spans="1:14">
      <c r="A4007" s="958" t="s">
        <v>363</v>
      </c>
      <c r="B4007" s="958">
        <v>41</v>
      </c>
      <c r="C4007" s="958" t="s">
        <v>3955</v>
      </c>
      <c r="D4007" s="957" t="s">
        <v>3954</v>
      </c>
      <c r="E4007" s="956">
        <v>2950</v>
      </c>
      <c r="F4007" s="955"/>
      <c r="L4007" s="954"/>
      <c r="M4007" s="952"/>
      <c r="N4007" s="952"/>
    </row>
    <row r="4008" spans="1:14">
      <c r="A4008" s="958" t="s">
        <v>363</v>
      </c>
      <c r="B4008" s="958">
        <v>41</v>
      </c>
      <c r="C4008" s="958" t="s">
        <v>3953</v>
      </c>
      <c r="D4008" s="957" t="s">
        <v>3952</v>
      </c>
      <c r="E4008" s="956">
        <v>1933105</v>
      </c>
      <c r="F4008" s="955"/>
      <c r="L4008" s="954"/>
      <c r="M4008" s="952"/>
      <c r="N4008" s="952"/>
    </row>
    <row r="4009" spans="1:14">
      <c r="A4009" s="958" t="s">
        <v>363</v>
      </c>
      <c r="B4009" s="958">
        <v>41</v>
      </c>
      <c r="C4009" s="958" t="s">
        <v>3951</v>
      </c>
      <c r="D4009" s="957" t="s">
        <v>3950</v>
      </c>
      <c r="E4009" s="956">
        <v>15101</v>
      </c>
      <c r="F4009" s="955"/>
      <c r="L4009" s="954"/>
      <c r="M4009" s="952"/>
      <c r="N4009" s="952"/>
    </row>
    <row r="4010" spans="1:14">
      <c r="A4010" s="958" t="s">
        <v>363</v>
      </c>
      <c r="B4010" s="958">
        <v>41</v>
      </c>
      <c r="C4010" s="958" t="s">
        <v>3949</v>
      </c>
      <c r="D4010" s="957" t="s">
        <v>3948</v>
      </c>
      <c r="E4010" s="956">
        <v>5087</v>
      </c>
      <c r="F4010" s="955"/>
      <c r="L4010" s="954"/>
      <c r="M4010" s="952"/>
      <c r="N4010" s="952"/>
    </row>
    <row r="4011" spans="1:14">
      <c r="A4011" s="958" t="s">
        <v>363</v>
      </c>
      <c r="B4011" s="958">
        <v>41</v>
      </c>
      <c r="C4011" s="958" t="s">
        <v>3947</v>
      </c>
      <c r="D4011" s="957" t="s">
        <v>3946</v>
      </c>
      <c r="E4011" s="956">
        <v>3439</v>
      </c>
      <c r="F4011" s="955"/>
      <c r="L4011" s="954"/>
      <c r="M4011" s="952"/>
      <c r="N4011" s="952"/>
    </row>
    <row r="4012" spans="1:14">
      <c r="A4012" s="958" t="s">
        <v>363</v>
      </c>
      <c r="B4012" s="958">
        <v>41</v>
      </c>
      <c r="C4012" s="958" t="s">
        <v>3945</v>
      </c>
      <c r="D4012" s="957" t="s">
        <v>3944</v>
      </c>
      <c r="E4012" s="956">
        <v>5253</v>
      </c>
      <c r="F4012" s="955"/>
      <c r="L4012" s="954"/>
      <c r="M4012" s="952"/>
      <c r="N4012" s="952"/>
    </row>
    <row r="4013" spans="1:14">
      <c r="A4013" s="958" t="s">
        <v>363</v>
      </c>
      <c r="B4013" s="958">
        <v>41</v>
      </c>
      <c r="C4013" s="958" t="s">
        <v>3943</v>
      </c>
      <c r="D4013" s="957" t="s">
        <v>3942</v>
      </c>
      <c r="E4013" s="956">
        <v>40641</v>
      </c>
      <c r="F4013" s="955"/>
      <c r="L4013" s="954"/>
      <c r="M4013" s="952"/>
      <c r="N4013" s="952"/>
    </row>
    <row r="4014" spans="1:14">
      <c r="A4014" s="958" t="s">
        <v>363</v>
      </c>
      <c r="B4014" s="958">
        <v>41</v>
      </c>
      <c r="C4014" s="958" t="s">
        <v>3941</v>
      </c>
      <c r="D4014" s="957" t="s">
        <v>1713</v>
      </c>
      <c r="E4014" s="956">
        <v>8747</v>
      </c>
      <c r="F4014" s="955"/>
      <c r="L4014" s="954"/>
      <c r="M4014" s="952"/>
      <c r="N4014" s="952"/>
    </row>
    <row r="4015" spans="1:14">
      <c r="A4015" s="958" t="s">
        <v>363</v>
      </c>
      <c r="B4015" s="958">
        <v>41</v>
      </c>
      <c r="C4015" s="958" t="s">
        <v>3940</v>
      </c>
      <c r="D4015" s="957" t="s">
        <v>3939</v>
      </c>
      <c r="E4015" s="956">
        <v>5979</v>
      </c>
      <c r="F4015" s="955"/>
      <c r="L4015" s="954"/>
      <c r="M4015" s="952"/>
      <c r="N4015" s="952"/>
    </row>
    <row r="4016" spans="1:14">
      <c r="A4016" s="958" t="s">
        <v>363</v>
      </c>
      <c r="B4016" s="958">
        <v>41</v>
      </c>
      <c r="C4016" s="958" t="s">
        <v>3938</v>
      </c>
      <c r="D4016" s="957" t="s">
        <v>3937</v>
      </c>
      <c r="E4016" s="956">
        <v>5961</v>
      </c>
      <c r="F4016" s="955"/>
      <c r="L4016" s="954"/>
      <c r="M4016" s="952"/>
      <c r="N4016" s="952"/>
    </row>
    <row r="4017" spans="1:14">
      <c r="A4017" s="958" t="s">
        <v>363</v>
      </c>
      <c r="B4017" s="958">
        <v>41</v>
      </c>
      <c r="C4017" s="958" t="s">
        <v>3936</v>
      </c>
      <c r="D4017" s="957" t="s">
        <v>3935</v>
      </c>
      <c r="E4017" s="956">
        <v>14000</v>
      </c>
      <c r="F4017" s="955"/>
      <c r="L4017" s="954"/>
      <c r="M4017" s="952"/>
      <c r="N4017" s="952"/>
    </row>
    <row r="4018" spans="1:14">
      <c r="A4018" s="958" t="s">
        <v>363</v>
      </c>
      <c r="B4018" s="958">
        <v>41</v>
      </c>
      <c r="C4018" s="958" t="s">
        <v>3934</v>
      </c>
      <c r="D4018" s="957" t="s">
        <v>3933</v>
      </c>
      <c r="E4018" s="956">
        <v>1698</v>
      </c>
      <c r="F4018" s="955"/>
      <c r="L4018" s="954"/>
      <c r="M4018" s="952"/>
      <c r="N4018" s="952"/>
    </row>
    <row r="4019" spans="1:14">
      <c r="A4019" s="958" t="s">
        <v>363</v>
      </c>
      <c r="B4019" s="958">
        <v>41</v>
      </c>
      <c r="C4019" s="958" t="s">
        <v>3932</v>
      </c>
      <c r="D4019" s="957" t="s">
        <v>3931</v>
      </c>
      <c r="E4019" s="956">
        <v>4539</v>
      </c>
      <c r="F4019" s="955"/>
      <c r="L4019" s="954"/>
      <c r="M4019" s="952"/>
      <c r="N4019" s="952"/>
    </row>
    <row r="4020" spans="1:14">
      <c r="A4020" s="958" t="s">
        <v>363</v>
      </c>
      <c r="B4020" s="958">
        <v>41</v>
      </c>
      <c r="C4020" s="958" t="s">
        <v>3930</v>
      </c>
      <c r="D4020" s="957" t="s">
        <v>3929</v>
      </c>
      <c r="E4020" s="956">
        <v>4117</v>
      </c>
      <c r="F4020" s="955"/>
      <c r="L4020" s="954"/>
      <c r="M4020" s="952"/>
      <c r="N4020" s="952"/>
    </row>
    <row r="4021" spans="1:14">
      <c r="A4021" s="958" t="s">
        <v>363</v>
      </c>
      <c r="B4021" s="958">
        <v>41</v>
      </c>
      <c r="C4021" s="958" t="s">
        <v>3928</v>
      </c>
      <c r="D4021" s="957" t="s">
        <v>3927</v>
      </c>
      <c r="E4021" s="956">
        <v>3089</v>
      </c>
      <c r="F4021" s="955"/>
      <c r="L4021" s="954"/>
      <c r="M4021" s="952"/>
      <c r="N4021" s="952"/>
    </row>
    <row r="4022" spans="1:14">
      <c r="A4022" s="958" t="s">
        <v>363</v>
      </c>
      <c r="B4022" s="958">
        <v>41</v>
      </c>
      <c r="C4022" s="958" t="s">
        <v>3926</v>
      </c>
      <c r="D4022" s="957" t="s">
        <v>3925</v>
      </c>
      <c r="E4022" s="956">
        <v>17251</v>
      </c>
      <c r="F4022" s="955"/>
      <c r="L4022" s="954"/>
      <c r="M4022" s="952"/>
      <c r="N4022" s="952"/>
    </row>
    <row r="4023" spans="1:14">
      <c r="A4023" s="958" t="s">
        <v>363</v>
      </c>
      <c r="B4023" s="958">
        <v>41</v>
      </c>
      <c r="C4023" s="958" t="s">
        <v>3924</v>
      </c>
      <c r="D4023" s="957" t="s">
        <v>3923</v>
      </c>
      <c r="E4023" s="956">
        <v>100209</v>
      </c>
      <c r="F4023" s="955"/>
      <c r="L4023" s="954"/>
      <c r="M4023" s="952"/>
      <c r="N4023" s="952"/>
    </row>
    <row r="4024" spans="1:14">
      <c r="A4024" s="958" t="s">
        <v>363</v>
      </c>
      <c r="B4024" s="958">
        <v>41</v>
      </c>
      <c r="C4024" s="958" t="s">
        <v>3922</v>
      </c>
      <c r="D4024" s="957" t="s">
        <v>3921</v>
      </c>
      <c r="E4024" s="956">
        <v>4762</v>
      </c>
      <c r="F4024" s="955"/>
      <c r="L4024" s="954"/>
      <c r="M4024" s="952"/>
      <c r="N4024" s="952"/>
    </row>
    <row r="4025" spans="1:14">
      <c r="A4025" s="958" t="s">
        <v>363</v>
      </c>
      <c r="B4025" s="958">
        <v>41</v>
      </c>
      <c r="C4025" s="958" t="s">
        <v>3920</v>
      </c>
      <c r="D4025" s="957" t="s">
        <v>3919</v>
      </c>
      <c r="E4025" s="956">
        <v>5646</v>
      </c>
      <c r="F4025" s="955"/>
      <c r="L4025" s="954"/>
      <c r="M4025" s="952"/>
      <c r="N4025" s="952"/>
    </row>
    <row r="4026" spans="1:14">
      <c r="A4026" s="958" t="s">
        <v>363</v>
      </c>
      <c r="B4026" s="958">
        <v>41</v>
      </c>
      <c r="C4026" s="958" t="s">
        <v>3918</v>
      </c>
      <c r="D4026" s="957" t="s">
        <v>3917</v>
      </c>
      <c r="E4026" s="956">
        <v>7770</v>
      </c>
      <c r="F4026" s="955"/>
      <c r="L4026" s="954"/>
      <c r="M4026" s="952"/>
      <c r="N4026" s="952"/>
    </row>
    <row r="4027" spans="1:14">
      <c r="A4027" s="958" t="s">
        <v>363</v>
      </c>
      <c r="B4027" s="958">
        <v>41</v>
      </c>
      <c r="C4027" s="958" t="s">
        <v>3916</v>
      </c>
      <c r="D4027" s="957" t="s">
        <v>3915</v>
      </c>
      <c r="E4027" s="956">
        <v>4929</v>
      </c>
      <c r="F4027" s="955"/>
      <c r="L4027" s="954"/>
      <c r="M4027" s="952"/>
      <c r="N4027" s="952"/>
    </row>
    <row r="4028" spans="1:14">
      <c r="A4028" s="958" t="s">
        <v>363</v>
      </c>
      <c r="B4028" s="958">
        <v>41</v>
      </c>
      <c r="C4028" s="958" t="s">
        <v>3914</v>
      </c>
      <c r="D4028" s="957" t="s">
        <v>3913</v>
      </c>
      <c r="E4028" s="956">
        <v>4624</v>
      </c>
      <c r="F4028" s="955"/>
      <c r="L4028" s="954"/>
      <c r="M4028" s="952"/>
      <c r="N4028" s="952"/>
    </row>
    <row r="4029" spans="1:14">
      <c r="A4029" s="958" t="s">
        <v>363</v>
      </c>
      <c r="B4029" s="958">
        <v>41</v>
      </c>
      <c r="C4029" s="958" t="s">
        <v>3912</v>
      </c>
      <c r="D4029" s="957" t="s">
        <v>3911</v>
      </c>
      <c r="E4029" s="956">
        <v>6774</v>
      </c>
      <c r="F4029" s="955"/>
      <c r="L4029" s="954"/>
      <c r="M4029" s="952"/>
      <c r="N4029" s="952"/>
    </row>
    <row r="4030" spans="1:14">
      <c r="A4030" s="958" t="s">
        <v>363</v>
      </c>
      <c r="B4030" s="958">
        <v>41</v>
      </c>
      <c r="C4030" s="958" t="s">
        <v>3910</v>
      </c>
      <c r="D4030" s="957" t="s">
        <v>3909</v>
      </c>
      <c r="E4030" s="956">
        <v>10548</v>
      </c>
      <c r="F4030" s="955"/>
      <c r="L4030" s="954"/>
      <c r="M4030" s="952"/>
      <c r="N4030" s="952"/>
    </row>
    <row r="4031" spans="1:14">
      <c r="A4031" s="958" t="s">
        <v>363</v>
      </c>
      <c r="B4031" s="958">
        <v>41</v>
      </c>
      <c r="C4031" s="958" t="s">
        <v>3908</v>
      </c>
      <c r="D4031" s="957" t="s">
        <v>3907</v>
      </c>
      <c r="E4031" s="956">
        <v>2689</v>
      </c>
      <c r="F4031" s="955"/>
      <c r="L4031" s="954"/>
      <c r="M4031" s="952"/>
      <c r="N4031" s="952"/>
    </row>
    <row r="4032" spans="1:14">
      <c r="A4032" s="958" t="s">
        <v>363</v>
      </c>
      <c r="B4032" s="958">
        <v>41</v>
      </c>
      <c r="C4032" s="958" t="s">
        <v>3906</v>
      </c>
      <c r="D4032" s="957" t="s">
        <v>3905</v>
      </c>
      <c r="E4032" s="956">
        <v>6578</v>
      </c>
      <c r="F4032" s="955"/>
      <c r="L4032" s="954"/>
      <c r="M4032" s="952"/>
      <c r="N4032" s="952"/>
    </row>
    <row r="4033" spans="1:14">
      <c r="A4033" s="958" t="s">
        <v>363</v>
      </c>
      <c r="B4033" s="958">
        <v>41</v>
      </c>
      <c r="C4033" s="958" t="s">
        <v>3904</v>
      </c>
      <c r="D4033" s="957" t="s">
        <v>3903</v>
      </c>
      <c r="E4033" s="956">
        <v>258532</v>
      </c>
      <c r="F4033" s="955"/>
      <c r="L4033" s="954"/>
      <c r="M4033" s="952"/>
      <c r="N4033" s="952"/>
    </row>
    <row r="4034" spans="1:14">
      <c r="A4034" s="958" t="s">
        <v>363</v>
      </c>
      <c r="B4034" s="958">
        <v>41</v>
      </c>
      <c r="C4034" s="958" t="s">
        <v>3902</v>
      </c>
      <c r="D4034" s="957" t="s">
        <v>3901</v>
      </c>
      <c r="E4034" s="956">
        <v>6046</v>
      </c>
      <c r="F4034" s="955"/>
      <c r="L4034" s="954"/>
      <c r="M4034" s="952"/>
      <c r="N4034" s="952"/>
    </row>
    <row r="4035" spans="1:14">
      <c r="A4035" s="958" t="s">
        <v>363</v>
      </c>
      <c r="B4035" s="958">
        <v>41</v>
      </c>
      <c r="C4035" s="958" t="s">
        <v>3900</v>
      </c>
      <c r="D4035" s="957" t="s">
        <v>3899</v>
      </c>
      <c r="E4035" s="956">
        <v>91093</v>
      </c>
      <c r="F4035" s="955"/>
      <c r="L4035" s="954"/>
      <c r="M4035" s="952"/>
      <c r="N4035" s="952"/>
    </row>
    <row r="4036" spans="1:14">
      <c r="A4036" s="958" t="s">
        <v>363</v>
      </c>
      <c r="B4036" s="958">
        <v>41</v>
      </c>
      <c r="C4036" s="958" t="s">
        <v>3898</v>
      </c>
      <c r="D4036" s="957" t="s">
        <v>3897</v>
      </c>
      <c r="E4036" s="956">
        <v>4650</v>
      </c>
      <c r="F4036" s="955"/>
      <c r="L4036" s="954"/>
      <c r="M4036" s="952"/>
      <c r="N4036" s="952"/>
    </row>
    <row r="4037" spans="1:14">
      <c r="A4037" s="958" t="s">
        <v>363</v>
      </c>
      <c r="B4037" s="958">
        <v>41</v>
      </c>
      <c r="C4037" s="958" t="s">
        <v>3896</v>
      </c>
      <c r="D4037" s="957" t="s">
        <v>1526</v>
      </c>
      <c r="E4037" s="956">
        <v>13710</v>
      </c>
      <c r="F4037" s="955"/>
      <c r="L4037" s="954"/>
      <c r="M4037" s="952"/>
      <c r="N4037" s="952"/>
    </row>
    <row r="4038" spans="1:14">
      <c r="A4038" s="958" t="s">
        <v>363</v>
      </c>
      <c r="B4038" s="958">
        <v>41</v>
      </c>
      <c r="C4038" s="958" t="s">
        <v>3895</v>
      </c>
      <c r="D4038" s="957" t="s">
        <v>3894</v>
      </c>
      <c r="E4038" s="956">
        <v>2946</v>
      </c>
      <c r="F4038" s="955"/>
      <c r="L4038" s="954"/>
      <c r="M4038" s="952"/>
      <c r="N4038" s="952"/>
    </row>
    <row r="4039" spans="1:14">
      <c r="A4039" s="958" t="s">
        <v>363</v>
      </c>
      <c r="B4039" s="958">
        <v>41</v>
      </c>
      <c r="C4039" s="958" t="s">
        <v>3893</v>
      </c>
      <c r="D4039" s="957" t="s">
        <v>3892</v>
      </c>
      <c r="E4039" s="956">
        <v>28884</v>
      </c>
      <c r="F4039" s="955"/>
      <c r="L4039" s="954"/>
      <c r="M4039" s="952"/>
      <c r="N4039" s="952"/>
    </row>
    <row r="4040" spans="1:14">
      <c r="A4040" s="958" t="s">
        <v>363</v>
      </c>
      <c r="B4040" s="958">
        <v>41</v>
      </c>
      <c r="C4040" s="958" t="s">
        <v>3891</v>
      </c>
      <c r="D4040" s="957" t="s">
        <v>3890</v>
      </c>
      <c r="E4040" s="956">
        <v>7111</v>
      </c>
      <c r="F4040" s="955"/>
      <c r="L4040" s="954"/>
      <c r="M4040" s="952"/>
      <c r="N4040" s="952"/>
    </row>
    <row r="4041" spans="1:14">
      <c r="A4041" s="958" t="s">
        <v>363</v>
      </c>
      <c r="B4041" s="958">
        <v>41</v>
      </c>
      <c r="C4041" s="958" t="s">
        <v>3889</v>
      </c>
      <c r="D4041" s="957" t="s">
        <v>3888</v>
      </c>
      <c r="E4041" s="956">
        <v>5618</v>
      </c>
      <c r="F4041" s="955"/>
      <c r="L4041" s="954"/>
      <c r="M4041" s="952"/>
      <c r="N4041" s="952"/>
    </row>
    <row r="4042" spans="1:14">
      <c r="A4042" s="958" t="s">
        <v>363</v>
      </c>
      <c r="B4042" s="958">
        <v>41</v>
      </c>
      <c r="C4042" s="958" t="s">
        <v>3887</v>
      </c>
      <c r="D4042" s="957" t="s">
        <v>3886</v>
      </c>
      <c r="E4042" s="956">
        <v>33119</v>
      </c>
      <c r="F4042" s="955"/>
      <c r="L4042" s="954"/>
      <c r="M4042" s="952"/>
      <c r="N4042" s="952"/>
    </row>
    <row r="4043" spans="1:14">
      <c r="A4043" s="958" t="s">
        <v>363</v>
      </c>
      <c r="B4043" s="958">
        <v>41</v>
      </c>
      <c r="C4043" s="958" t="s">
        <v>3885</v>
      </c>
      <c r="D4043" s="957" t="s">
        <v>3884</v>
      </c>
      <c r="E4043" s="956">
        <v>6581</v>
      </c>
      <c r="F4043" s="955"/>
      <c r="L4043" s="954"/>
      <c r="M4043" s="952"/>
      <c r="N4043" s="952"/>
    </row>
    <row r="4044" spans="1:14">
      <c r="A4044" s="958" t="s">
        <v>363</v>
      </c>
      <c r="B4044" s="958">
        <v>41</v>
      </c>
      <c r="C4044" s="958" t="s">
        <v>3883</v>
      </c>
      <c r="D4044" s="957" t="s">
        <v>3882</v>
      </c>
      <c r="E4044" s="956">
        <v>8739</v>
      </c>
      <c r="F4044" s="955"/>
      <c r="L4044" s="954"/>
      <c r="M4044" s="952"/>
      <c r="N4044" s="952"/>
    </row>
    <row r="4045" spans="1:14">
      <c r="A4045" s="958" t="s">
        <v>363</v>
      </c>
      <c r="B4045" s="958">
        <v>41</v>
      </c>
      <c r="C4045" s="958" t="s">
        <v>3881</v>
      </c>
      <c r="D4045" s="957" t="s">
        <v>3880</v>
      </c>
      <c r="E4045" s="956">
        <v>3802</v>
      </c>
      <c r="F4045" s="955"/>
      <c r="L4045" s="954"/>
      <c r="M4045" s="952"/>
      <c r="N4045" s="952"/>
    </row>
    <row r="4046" spans="1:14">
      <c r="A4046" s="958" t="s">
        <v>363</v>
      </c>
      <c r="B4046" s="958">
        <v>41</v>
      </c>
      <c r="C4046" s="958" t="s">
        <v>3879</v>
      </c>
      <c r="D4046" s="957" t="s">
        <v>3878</v>
      </c>
      <c r="E4046" s="956">
        <v>2243</v>
      </c>
      <c r="F4046" s="955"/>
      <c r="L4046" s="954"/>
      <c r="M4046" s="952"/>
      <c r="N4046" s="952"/>
    </row>
    <row r="4047" spans="1:14">
      <c r="A4047" s="958" t="s">
        <v>363</v>
      </c>
      <c r="B4047" s="958">
        <v>41</v>
      </c>
      <c r="C4047" s="958" t="s">
        <v>3877</v>
      </c>
      <c r="D4047" s="957" t="s">
        <v>3876</v>
      </c>
      <c r="E4047" s="956">
        <v>5502</v>
      </c>
      <c r="F4047" s="955"/>
      <c r="L4047" s="954"/>
      <c r="M4047" s="952"/>
      <c r="N4047" s="952"/>
    </row>
    <row r="4048" spans="1:14">
      <c r="A4048" s="958" t="s">
        <v>363</v>
      </c>
      <c r="B4048" s="958">
        <v>41</v>
      </c>
      <c r="C4048" s="958" t="s">
        <v>3875</v>
      </c>
      <c r="D4048" s="957" t="s">
        <v>3874</v>
      </c>
      <c r="E4048" s="956">
        <v>12472</v>
      </c>
      <c r="F4048" s="955"/>
      <c r="L4048" s="954"/>
      <c r="M4048" s="952"/>
      <c r="N4048" s="952"/>
    </row>
    <row r="4049" spans="1:14">
      <c r="A4049" s="958" t="s">
        <v>363</v>
      </c>
      <c r="B4049" s="958">
        <v>41</v>
      </c>
      <c r="C4049" s="958" t="s">
        <v>3873</v>
      </c>
      <c r="D4049" s="957" t="s">
        <v>3872</v>
      </c>
      <c r="E4049" s="956">
        <v>181504</v>
      </c>
      <c r="F4049" s="955"/>
      <c r="L4049" s="954"/>
      <c r="M4049" s="952"/>
      <c r="N4049" s="952"/>
    </row>
    <row r="4050" spans="1:14">
      <c r="A4050" s="958" t="s">
        <v>363</v>
      </c>
      <c r="B4050" s="958">
        <v>41</v>
      </c>
      <c r="C4050" s="958" t="s">
        <v>3871</v>
      </c>
      <c r="D4050" s="957" t="s">
        <v>3870</v>
      </c>
      <c r="E4050" s="956">
        <v>7636</v>
      </c>
      <c r="F4050" s="955"/>
      <c r="L4050" s="954"/>
      <c r="M4050" s="952"/>
      <c r="N4050" s="952"/>
    </row>
    <row r="4051" spans="1:14">
      <c r="A4051" s="958" t="s">
        <v>363</v>
      </c>
      <c r="B4051" s="958">
        <v>41</v>
      </c>
      <c r="C4051" s="958" t="s">
        <v>3869</v>
      </c>
      <c r="D4051" s="957" t="s">
        <v>3868</v>
      </c>
      <c r="E4051" s="956">
        <v>37067</v>
      </c>
      <c r="F4051" s="955"/>
      <c r="L4051" s="954"/>
      <c r="M4051" s="952"/>
      <c r="N4051" s="952"/>
    </row>
    <row r="4052" spans="1:14">
      <c r="A4052" s="958" t="s">
        <v>363</v>
      </c>
      <c r="B4052" s="958">
        <v>41</v>
      </c>
      <c r="C4052" s="958" t="s">
        <v>3867</v>
      </c>
      <c r="D4052" s="957" t="s">
        <v>3866</v>
      </c>
      <c r="E4052" s="956">
        <v>5211</v>
      </c>
      <c r="F4052" s="955"/>
      <c r="L4052" s="954"/>
      <c r="M4052" s="952"/>
      <c r="N4052" s="952"/>
    </row>
    <row r="4053" spans="1:14">
      <c r="A4053" s="958" t="s">
        <v>363</v>
      </c>
      <c r="B4053" s="958">
        <v>41</v>
      </c>
      <c r="C4053" s="958" t="s">
        <v>3865</v>
      </c>
      <c r="D4053" s="957" t="s">
        <v>3864</v>
      </c>
      <c r="E4053" s="956">
        <v>31364</v>
      </c>
      <c r="F4053" s="955"/>
      <c r="L4053" s="954"/>
      <c r="M4053" s="952"/>
      <c r="N4053" s="952"/>
    </row>
    <row r="4054" spans="1:14">
      <c r="A4054" s="958" t="s">
        <v>363</v>
      </c>
      <c r="B4054" s="958">
        <v>41</v>
      </c>
      <c r="C4054" s="958" t="s">
        <v>3863</v>
      </c>
      <c r="D4054" s="957" t="s">
        <v>3862</v>
      </c>
      <c r="E4054" s="956">
        <v>6352</v>
      </c>
      <c r="F4054" s="955"/>
      <c r="L4054" s="954"/>
      <c r="M4054" s="952"/>
      <c r="N4054" s="952"/>
    </row>
    <row r="4055" spans="1:14">
      <c r="A4055" s="958" t="s">
        <v>363</v>
      </c>
      <c r="B4055" s="958">
        <v>41</v>
      </c>
      <c r="C4055" s="958" t="s">
        <v>3861</v>
      </c>
      <c r="D4055" s="957" t="s">
        <v>3860</v>
      </c>
      <c r="E4055" s="956">
        <v>54558</v>
      </c>
      <c r="F4055" s="955"/>
      <c r="L4055" s="954"/>
      <c r="M4055" s="952"/>
      <c r="N4055" s="952"/>
    </row>
    <row r="4056" spans="1:14">
      <c r="A4056" s="958" t="s">
        <v>363</v>
      </c>
      <c r="B4056" s="958">
        <v>41</v>
      </c>
      <c r="C4056" s="958" t="s">
        <v>3859</v>
      </c>
      <c r="D4056" s="957" t="s">
        <v>3858</v>
      </c>
      <c r="E4056" s="956">
        <v>7904</v>
      </c>
      <c r="F4056" s="955"/>
      <c r="L4056" s="954"/>
      <c r="M4056" s="952"/>
      <c r="N4056" s="952"/>
    </row>
    <row r="4057" spans="1:14">
      <c r="A4057" s="958" t="s">
        <v>363</v>
      </c>
      <c r="B4057" s="958">
        <v>41</v>
      </c>
      <c r="C4057" s="958" t="s">
        <v>3857</v>
      </c>
      <c r="D4057" s="957" t="s">
        <v>3856</v>
      </c>
      <c r="E4057" s="956">
        <v>4404</v>
      </c>
      <c r="F4057" s="955"/>
      <c r="L4057" s="954"/>
      <c r="M4057" s="952"/>
      <c r="N4057" s="952"/>
    </row>
    <row r="4058" spans="1:14">
      <c r="A4058" s="958" t="s">
        <v>363</v>
      </c>
      <c r="B4058" s="958">
        <v>41</v>
      </c>
      <c r="C4058" s="958" t="s">
        <v>3855</v>
      </c>
      <c r="D4058" s="957" t="s">
        <v>3854</v>
      </c>
      <c r="E4058" s="956">
        <v>2256</v>
      </c>
      <c r="F4058" s="955"/>
      <c r="L4058" s="954"/>
      <c r="M4058" s="952"/>
      <c r="N4058" s="952"/>
    </row>
    <row r="4059" spans="1:14">
      <c r="A4059" s="958" t="s">
        <v>363</v>
      </c>
      <c r="B4059" s="958">
        <v>41</v>
      </c>
      <c r="C4059" s="958" t="s">
        <v>3853</v>
      </c>
      <c r="D4059" s="957" t="s">
        <v>3852</v>
      </c>
      <c r="E4059" s="956">
        <v>13111</v>
      </c>
      <c r="F4059" s="955"/>
      <c r="L4059" s="954"/>
      <c r="M4059" s="952"/>
      <c r="N4059" s="952"/>
    </row>
    <row r="4060" spans="1:14">
      <c r="A4060" s="958" t="s">
        <v>363</v>
      </c>
      <c r="B4060" s="958">
        <v>41</v>
      </c>
      <c r="C4060" s="958" t="s">
        <v>3851</v>
      </c>
      <c r="D4060" s="957" t="s">
        <v>3850</v>
      </c>
      <c r="E4060" s="956">
        <v>32564</v>
      </c>
      <c r="F4060" s="955"/>
      <c r="L4060" s="954"/>
      <c r="M4060" s="952"/>
      <c r="N4060" s="952"/>
    </row>
    <row r="4061" spans="1:14">
      <c r="A4061" s="958" t="s">
        <v>363</v>
      </c>
      <c r="B4061" s="958">
        <v>41</v>
      </c>
      <c r="C4061" s="958" t="s">
        <v>3849</v>
      </c>
      <c r="D4061" s="957" t="s">
        <v>3848</v>
      </c>
      <c r="E4061" s="956">
        <v>11125</v>
      </c>
      <c r="F4061" s="955"/>
      <c r="L4061" s="954"/>
      <c r="M4061" s="952"/>
      <c r="N4061" s="952"/>
    </row>
    <row r="4062" spans="1:14">
      <c r="A4062" s="958" t="s">
        <v>363</v>
      </c>
      <c r="B4062" s="958">
        <v>41</v>
      </c>
      <c r="C4062" s="958" t="s">
        <v>3847</v>
      </c>
      <c r="D4062" s="957" t="s">
        <v>3846</v>
      </c>
      <c r="E4062" s="956">
        <v>3109</v>
      </c>
      <c r="F4062" s="955"/>
      <c r="L4062" s="954"/>
      <c r="M4062" s="952"/>
      <c r="N4062" s="952"/>
    </row>
    <row r="4063" spans="1:14">
      <c r="A4063" s="958" t="s">
        <v>363</v>
      </c>
      <c r="B4063" s="958">
        <v>41</v>
      </c>
      <c r="C4063" s="958" t="s">
        <v>3845</v>
      </c>
      <c r="D4063" s="957" t="s">
        <v>3844</v>
      </c>
      <c r="E4063" s="956">
        <v>4457</v>
      </c>
      <c r="F4063" s="955"/>
      <c r="L4063" s="954"/>
      <c r="M4063" s="952"/>
      <c r="N4063" s="952"/>
    </row>
    <row r="4064" spans="1:14">
      <c r="A4064" s="958" t="s">
        <v>363</v>
      </c>
      <c r="B4064" s="958">
        <v>41</v>
      </c>
      <c r="C4064" s="958" t="s">
        <v>3843</v>
      </c>
      <c r="D4064" s="957" t="s">
        <v>3842</v>
      </c>
      <c r="E4064" s="956">
        <v>15172</v>
      </c>
      <c r="F4064" s="955"/>
      <c r="L4064" s="954"/>
      <c r="M4064" s="952"/>
      <c r="N4064" s="952"/>
    </row>
    <row r="4065" spans="1:14">
      <c r="A4065" s="958" t="s">
        <v>363</v>
      </c>
      <c r="B4065" s="958">
        <v>41</v>
      </c>
      <c r="C4065" s="958" t="s">
        <v>3841</v>
      </c>
      <c r="D4065" s="957" t="s">
        <v>3840</v>
      </c>
      <c r="E4065" s="956">
        <v>13926</v>
      </c>
      <c r="F4065" s="955"/>
      <c r="L4065" s="954"/>
      <c r="M4065" s="952"/>
      <c r="N4065" s="952"/>
    </row>
    <row r="4066" spans="1:14">
      <c r="A4066" s="958" t="s">
        <v>363</v>
      </c>
      <c r="B4066" s="958">
        <v>41</v>
      </c>
      <c r="C4066" s="958" t="s">
        <v>3839</v>
      </c>
      <c r="D4066" s="957" t="s">
        <v>3838</v>
      </c>
      <c r="E4066" s="956">
        <v>2288</v>
      </c>
      <c r="F4066" s="955"/>
      <c r="L4066" s="954"/>
      <c r="M4066" s="952"/>
      <c r="N4066" s="952"/>
    </row>
    <row r="4067" spans="1:14">
      <c r="A4067" s="958" t="s">
        <v>363</v>
      </c>
      <c r="B4067" s="958">
        <v>41</v>
      </c>
      <c r="C4067" s="958" t="s">
        <v>3837</v>
      </c>
      <c r="D4067" s="957" t="s">
        <v>3111</v>
      </c>
      <c r="E4067" s="956">
        <v>60727</v>
      </c>
      <c r="F4067" s="955"/>
      <c r="L4067" s="954"/>
      <c r="M4067" s="952"/>
      <c r="N4067" s="952"/>
    </row>
    <row r="4068" spans="1:14">
      <c r="A4068" s="958" t="s">
        <v>363</v>
      </c>
      <c r="B4068" s="958">
        <v>41</v>
      </c>
      <c r="C4068" s="958" t="s">
        <v>3836</v>
      </c>
      <c r="D4068" s="957" t="s">
        <v>3835</v>
      </c>
      <c r="E4068" s="956">
        <v>10169</v>
      </c>
      <c r="F4068" s="955"/>
      <c r="L4068" s="954"/>
      <c r="M4068" s="952"/>
      <c r="N4068" s="952"/>
    </row>
    <row r="4069" spans="1:14">
      <c r="A4069" s="958" t="s">
        <v>363</v>
      </c>
      <c r="B4069" s="958">
        <v>41</v>
      </c>
      <c r="C4069" s="958" t="s">
        <v>3834</v>
      </c>
      <c r="D4069" s="957" t="s">
        <v>3833</v>
      </c>
      <c r="E4069" s="956">
        <v>4466</v>
      </c>
      <c r="F4069" s="955"/>
      <c r="L4069" s="954"/>
      <c r="M4069" s="952"/>
      <c r="N4069" s="952"/>
    </row>
    <row r="4070" spans="1:14">
      <c r="A4070" s="958" t="s">
        <v>363</v>
      </c>
      <c r="B4070" s="958">
        <v>41</v>
      </c>
      <c r="C4070" s="958" t="s">
        <v>3832</v>
      </c>
      <c r="D4070" s="957" t="s">
        <v>3831</v>
      </c>
      <c r="E4070" s="956">
        <v>11176</v>
      </c>
      <c r="F4070" s="955"/>
      <c r="L4070" s="954"/>
      <c r="M4070" s="952"/>
      <c r="N4070" s="952"/>
    </row>
    <row r="4071" spans="1:14">
      <c r="A4071" s="958" t="s">
        <v>363</v>
      </c>
      <c r="B4071" s="958">
        <v>41</v>
      </c>
      <c r="C4071" s="958" t="s">
        <v>3830</v>
      </c>
      <c r="D4071" s="957" t="s">
        <v>3829</v>
      </c>
      <c r="E4071" s="956">
        <v>6582</v>
      </c>
      <c r="F4071" s="955"/>
      <c r="L4071" s="954"/>
      <c r="M4071" s="952"/>
      <c r="N4071" s="952"/>
    </row>
    <row r="4072" spans="1:14">
      <c r="A4072" s="958" t="s">
        <v>363</v>
      </c>
      <c r="B4072" s="958">
        <v>41</v>
      </c>
      <c r="C4072" s="958" t="s">
        <v>3828</v>
      </c>
      <c r="D4072" s="957" t="s">
        <v>3827</v>
      </c>
      <c r="E4072" s="956">
        <v>6108</v>
      </c>
      <c r="F4072" s="955"/>
      <c r="L4072" s="954"/>
      <c r="M4072" s="952"/>
      <c r="N4072" s="952"/>
    </row>
    <row r="4073" spans="1:14">
      <c r="A4073" s="958" t="s">
        <v>363</v>
      </c>
      <c r="B4073" s="958">
        <v>41</v>
      </c>
      <c r="C4073" s="958" t="s">
        <v>3826</v>
      </c>
      <c r="D4073" s="957" t="s">
        <v>3825</v>
      </c>
      <c r="E4073" s="956">
        <v>11964</v>
      </c>
      <c r="F4073" s="955"/>
      <c r="L4073" s="954"/>
      <c r="M4073" s="952"/>
      <c r="N4073" s="952"/>
    </row>
    <row r="4074" spans="1:14">
      <c r="A4074" s="958" t="s">
        <v>363</v>
      </c>
      <c r="B4074" s="958">
        <v>41</v>
      </c>
      <c r="C4074" s="958" t="s">
        <v>3824</v>
      </c>
      <c r="D4074" s="957" t="s">
        <v>3823</v>
      </c>
      <c r="E4074" s="956">
        <v>28634</v>
      </c>
      <c r="F4074" s="955"/>
      <c r="L4074" s="954"/>
      <c r="M4074" s="952"/>
      <c r="N4074" s="952"/>
    </row>
    <row r="4075" spans="1:14">
      <c r="A4075" s="958" t="s">
        <v>363</v>
      </c>
      <c r="B4075" s="958">
        <v>41</v>
      </c>
      <c r="C4075" s="958" t="s">
        <v>3822</v>
      </c>
      <c r="D4075" s="957" t="s">
        <v>3821</v>
      </c>
      <c r="E4075" s="956">
        <v>2865</v>
      </c>
      <c r="F4075" s="955"/>
      <c r="L4075" s="954"/>
      <c r="M4075" s="952"/>
      <c r="N4075" s="952"/>
    </row>
    <row r="4076" spans="1:14">
      <c r="A4076" s="958" t="s">
        <v>363</v>
      </c>
      <c r="B4076" s="958">
        <v>41</v>
      </c>
      <c r="C4076" s="958" t="s">
        <v>3820</v>
      </c>
      <c r="D4076" s="957" t="s">
        <v>3819</v>
      </c>
      <c r="E4076" s="956">
        <v>13879</v>
      </c>
      <c r="F4076" s="955"/>
      <c r="L4076" s="954"/>
      <c r="M4076" s="952"/>
      <c r="N4076" s="952"/>
    </row>
    <row r="4077" spans="1:14">
      <c r="A4077" s="958" t="s">
        <v>363</v>
      </c>
      <c r="B4077" s="958">
        <v>41</v>
      </c>
      <c r="C4077" s="958" t="s">
        <v>3818</v>
      </c>
      <c r="D4077" s="957" t="s">
        <v>3817</v>
      </c>
      <c r="E4077" s="956">
        <v>31984</v>
      </c>
      <c r="F4077" s="955"/>
      <c r="L4077" s="954"/>
      <c r="M4077" s="952"/>
      <c r="N4077" s="952"/>
    </row>
    <row r="4078" spans="1:14">
      <c r="A4078" s="958" t="s">
        <v>363</v>
      </c>
      <c r="B4078" s="958">
        <v>41</v>
      </c>
      <c r="C4078" s="958" t="s">
        <v>3816</v>
      </c>
      <c r="D4078" s="957" t="s">
        <v>3815</v>
      </c>
      <c r="E4078" s="956">
        <v>8185</v>
      </c>
      <c r="F4078" s="955"/>
      <c r="L4078" s="954"/>
      <c r="M4078" s="952"/>
      <c r="N4078" s="952"/>
    </row>
    <row r="4079" spans="1:14">
      <c r="A4079" s="958" t="s">
        <v>363</v>
      </c>
      <c r="B4079" s="958">
        <v>41</v>
      </c>
      <c r="C4079" s="958" t="s">
        <v>3814</v>
      </c>
      <c r="D4079" s="957" t="s">
        <v>3813</v>
      </c>
      <c r="E4079" s="956">
        <v>3259</v>
      </c>
      <c r="F4079" s="955"/>
      <c r="L4079" s="954"/>
      <c r="M4079" s="952"/>
      <c r="N4079" s="952"/>
    </row>
    <row r="4080" spans="1:14">
      <c r="A4080" s="958" t="s">
        <v>363</v>
      </c>
      <c r="B4080" s="958">
        <v>41</v>
      </c>
      <c r="C4080" s="958" t="s">
        <v>3812</v>
      </c>
      <c r="D4080" s="957" t="s">
        <v>3811</v>
      </c>
      <c r="E4080" s="956">
        <v>5274</v>
      </c>
      <c r="F4080" s="955"/>
      <c r="L4080" s="954"/>
      <c r="M4080" s="952"/>
      <c r="N4080" s="952"/>
    </row>
    <row r="4081" spans="1:14">
      <c r="A4081" s="958" t="s">
        <v>363</v>
      </c>
      <c r="B4081" s="958">
        <v>41</v>
      </c>
      <c r="C4081" s="958" t="s">
        <v>3810</v>
      </c>
      <c r="D4081" s="957" t="s">
        <v>3809</v>
      </c>
      <c r="E4081" s="956">
        <v>39378</v>
      </c>
      <c r="F4081" s="955"/>
      <c r="L4081" s="954"/>
      <c r="M4081" s="952"/>
      <c r="N4081" s="952"/>
    </row>
    <row r="4082" spans="1:14">
      <c r="A4082" s="958" t="s">
        <v>363</v>
      </c>
      <c r="B4082" s="958">
        <v>41</v>
      </c>
      <c r="C4082" s="958" t="s">
        <v>3808</v>
      </c>
      <c r="D4082" s="957" t="s">
        <v>3807</v>
      </c>
      <c r="E4082" s="956">
        <v>13620</v>
      </c>
      <c r="F4082" s="955"/>
      <c r="L4082" s="954"/>
      <c r="M4082" s="952"/>
      <c r="N4082" s="952"/>
    </row>
    <row r="4083" spans="1:14">
      <c r="A4083" s="958" t="s">
        <v>363</v>
      </c>
      <c r="B4083" s="958">
        <v>41</v>
      </c>
      <c r="C4083" s="958" t="s">
        <v>3806</v>
      </c>
      <c r="D4083" s="957" t="s">
        <v>3805</v>
      </c>
      <c r="E4083" s="956">
        <v>34857</v>
      </c>
      <c r="F4083" s="955"/>
      <c r="L4083" s="954"/>
      <c r="M4083" s="952"/>
      <c r="N4083" s="952"/>
    </row>
    <row r="4084" spans="1:14">
      <c r="A4084" s="958" t="s">
        <v>363</v>
      </c>
      <c r="B4084" s="958">
        <v>41</v>
      </c>
      <c r="C4084" s="958" t="s">
        <v>3804</v>
      </c>
      <c r="D4084" s="957" t="s">
        <v>3803</v>
      </c>
      <c r="E4084" s="956">
        <v>21176</v>
      </c>
      <c r="F4084" s="955"/>
      <c r="L4084" s="954"/>
      <c r="M4084" s="952"/>
      <c r="N4084" s="952"/>
    </row>
    <row r="4085" spans="1:14">
      <c r="A4085" s="958" t="s">
        <v>363</v>
      </c>
      <c r="B4085" s="958">
        <v>41</v>
      </c>
      <c r="C4085" s="958" t="s">
        <v>3802</v>
      </c>
      <c r="D4085" s="957" t="s">
        <v>3801</v>
      </c>
      <c r="E4085" s="956">
        <v>5245</v>
      </c>
      <c r="F4085" s="955"/>
      <c r="L4085" s="954"/>
      <c r="M4085" s="952"/>
      <c r="N4085" s="952"/>
    </row>
    <row r="4086" spans="1:14">
      <c r="A4086" s="958" t="s">
        <v>363</v>
      </c>
      <c r="B4086" s="958">
        <v>41</v>
      </c>
      <c r="C4086" s="958" t="s">
        <v>3800</v>
      </c>
      <c r="D4086" s="957" t="s">
        <v>3799</v>
      </c>
      <c r="E4086" s="956">
        <v>4994</v>
      </c>
      <c r="F4086" s="955"/>
      <c r="L4086" s="954"/>
      <c r="M4086" s="952"/>
      <c r="N4086" s="952"/>
    </row>
    <row r="4087" spans="1:14">
      <c r="A4087" s="958" t="s">
        <v>363</v>
      </c>
      <c r="B4087" s="958">
        <v>41</v>
      </c>
      <c r="C4087" s="958" t="s">
        <v>3798</v>
      </c>
      <c r="D4087" s="957" t="s">
        <v>3797</v>
      </c>
      <c r="E4087" s="956">
        <v>9425</v>
      </c>
      <c r="F4087" s="955"/>
      <c r="L4087" s="954"/>
      <c r="M4087" s="952"/>
      <c r="N4087" s="952"/>
    </row>
    <row r="4088" spans="1:14">
      <c r="A4088" s="958" t="s">
        <v>363</v>
      </c>
      <c r="B4088" s="958">
        <v>41</v>
      </c>
      <c r="C4088" s="958" t="s">
        <v>3796</v>
      </c>
      <c r="D4088" s="957" t="s">
        <v>3795</v>
      </c>
      <c r="E4088" s="956">
        <v>11328</v>
      </c>
      <c r="F4088" s="955"/>
      <c r="L4088" s="954"/>
      <c r="M4088" s="952"/>
      <c r="N4088" s="952"/>
    </row>
    <row r="4089" spans="1:14">
      <c r="A4089" s="958" t="s">
        <v>363</v>
      </c>
      <c r="B4089" s="958">
        <v>41</v>
      </c>
      <c r="C4089" s="958" t="s">
        <v>3794</v>
      </c>
      <c r="D4089" s="957" t="s">
        <v>3793</v>
      </c>
      <c r="E4089" s="956">
        <v>1331</v>
      </c>
      <c r="F4089" s="955"/>
      <c r="L4089" s="954"/>
      <c r="M4089" s="952"/>
      <c r="N4089" s="952"/>
    </row>
    <row r="4090" spans="1:14">
      <c r="A4090" s="958" t="s">
        <v>363</v>
      </c>
      <c r="B4090" s="958">
        <v>41</v>
      </c>
      <c r="C4090" s="958" t="s">
        <v>3792</v>
      </c>
      <c r="D4090" s="957" t="s">
        <v>3791</v>
      </c>
      <c r="E4090" s="956">
        <v>12588</v>
      </c>
      <c r="F4090" s="955"/>
      <c r="L4090" s="954"/>
      <c r="M4090" s="952"/>
      <c r="N4090" s="952"/>
    </row>
    <row r="4091" spans="1:14">
      <c r="A4091" s="958" t="s">
        <v>363</v>
      </c>
      <c r="B4091" s="958">
        <v>41</v>
      </c>
      <c r="C4091" s="958" t="s">
        <v>3790</v>
      </c>
      <c r="D4091" s="957" t="s">
        <v>3789</v>
      </c>
      <c r="E4091" s="956">
        <v>8412</v>
      </c>
      <c r="F4091" s="955"/>
      <c r="L4091" s="954"/>
      <c r="M4091" s="952"/>
      <c r="N4091" s="952"/>
    </row>
    <row r="4092" spans="1:14">
      <c r="A4092" s="958" t="s">
        <v>363</v>
      </c>
      <c r="B4092" s="958">
        <v>41</v>
      </c>
      <c r="C4092" s="958" t="s">
        <v>3788</v>
      </c>
      <c r="D4092" s="957" t="s">
        <v>3787</v>
      </c>
      <c r="E4092" s="956">
        <v>11908</v>
      </c>
      <c r="F4092" s="955"/>
      <c r="L4092" s="954"/>
      <c r="M4092" s="952"/>
      <c r="N4092" s="952"/>
    </row>
    <row r="4093" spans="1:14">
      <c r="A4093" s="958" t="s">
        <v>363</v>
      </c>
      <c r="B4093" s="958">
        <v>41</v>
      </c>
      <c r="C4093" s="958" t="s">
        <v>3786</v>
      </c>
      <c r="D4093" s="957" t="s">
        <v>3785</v>
      </c>
      <c r="E4093" s="956">
        <v>3292</v>
      </c>
      <c r="F4093" s="955"/>
      <c r="L4093" s="954"/>
      <c r="M4093" s="952"/>
      <c r="N4093" s="952"/>
    </row>
    <row r="4094" spans="1:14">
      <c r="A4094" s="958" t="s">
        <v>363</v>
      </c>
      <c r="B4094" s="958">
        <v>41</v>
      </c>
      <c r="C4094" s="958" t="s">
        <v>3784</v>
      </c>
      <c r="D4094" s="957" t="s">
        <v>3783</v>
      </c>
      <c r="E4094" s="956">
        <v>7340</v>
      </c>
      <c r="F4094" s="955"/>
      <c r="L4094" s="954"/>
      <c r="M4094" s="952"/>
      <c r="N4094" s="952"/>
    </row>
    <row r="4095" spans="1:14">
      <c r="A4095" s="958" t="s">
        <v>363</v>
      </c>
      <c r="B4095" s="958">
        <v>41</v>
      </c>
      <c r="C4095" s="958" t="s">
        <v>3782</v>
      </c>
      <c r="D4095" s="957" t="s">
        <v>1071</v>
      </c>
      <c r="E4095" s="956">
        <v>7013</v>
      </c>
      <c r="F4095" s="955"/>
      <c r="L4095" s="954"/>
      <c r="M4095" s="952"/>
      <c r="N4095" s="952"/>
    </row>
    <row r="4096" spans="1:14">
      <c r="A4096" s="958" t="s">
        <v>363</v>
      </c>
      <c r="B4096" s="958">
        <v>41</v>
      </c>
      <c r="C4096" s="958" t="s">
        <v>3781</v>
      </c>
      <c r="D4096" s="957" t="s">
        <v>3780</v>
      </c>
      <c r="E4096" s="956">
        <v>4100</v>
      </c>
      <c r="F4096" s="955"/>
      <c r="L4096" s="954"/>
      <c r="M4096" s="952"/>
      <c r="N4096" s="952"/>
    </row>
    <row r="4097" spans="1:14">
      <c r="A4097" s="958" t="s">
        <v>363</v>
      </c>
      <c r="B4097" s="958">
        <v>41</v>
      </c>
      <c r="C4097" s="958" t="s">
        <v>3779</v>
      </c>
      <c r="D4097" s="957" t="s">
        <v>3778</v>
      </c>
      <c r="E4097" s="956">
        <v>48163</v>
      </c>
      <c r="F4097" s="955"/>
      <c r="L4097" s="954"/>
      <c r="M4097" s="952"/>
      <c r="N4097" s="952"/>
    </row>
    <row r="4098" spans="1:14">
      <c r="A4098" s="958" t="s">
        <v>363</v>
      </c>
      <c r="B4098" s="958">
        <v>41</v>
      </c>
      <c r="C4098" s="958" t="s">
        <v>3777</v>
      </c>
      <c r="D4098" s="957" t="s">
        <v>3776</v>
      </c>
      <c r="E4098" s="956">
        <v>5852</v>
      </c>
      <c r="F4098" s="955"/>
      <c r="L4098" s="954"/>
      <c r="M4098" s="952"/>
      <c r="N4098" s="952"/>
    </row>
    <row r="4099" spans="1:14">
      <c r="A4099" s="958" t="s">
        <v>363</v>
      </c>
      <c r="B4099" s="958">
        <v>41</v>
      </c>
      <c r="C4099" s="958" t="s">
        <v>3775</v>
      </c>
      <c r="D4099" s="957" t="s">
        <v>3774</v>
      </c>
      <c r="E4099" s="956">
        <v>32073</v>
      </c>
      <c r="F4099" s="955"/>
      <c r="L4099" s="954"/>
      <c r="M4099" s="952"/>
      <c r="N4099" s="952"/>
    </row>
    <row r="4100" spans="1:14">
      <c r="A4100" s="958" t="s">
        <v>363</v>
      </c>
      <c r="B4100" s="958">
        <v>41</v>
      </c>
      <c r="C4100" s="958" t="s">
        <v>3773</v>
      </c>
      <c r="D4100" s="957" t="s">
        <v>3772</v>
      </c>
      <c r="E4100" s="956">
        <v>3954</v>
      </c>
      <c r="F4100" s="955"/>
      <c r="L4100" s="954"/>
      <c r="M4100" s="952"/>
      <c r="N4100" s="952"/>
    </row>
    <row r="4101" spans="1:14">
      <c r="A4101" s="958" t="s">
        <v>363</v>
      </c>
      <c r="B4101" s="958">
        <v>41</v>
      </c>
      <c r="C4101" s="958" t="s">
        <v>3771</v>
      </c>
      <c r="D4101" s="957" t="s">
        <v>3770</v>
      </c>
      <c r="E4101" s="956">
        <v>3310</v>
      </c>
      <c r="F4101" s="955"/>
      <c r="L4101" s="954"/>
      <c r="M4101" s="952"/>
      <c r="N4101" s="952"/>
    </row>
    <row r="4102" spans="1:14">
      <c r="A4102" s="958" t="s">
        <v>363</v>
      </c>
      <c r="B4102" s="958">
        <v>41</v>
      </c>
      <c r="C4102" s="958" t="s">
        <v>3769</v>
      </c>
      <c r="D4102" s="957" t="s">
        <v>3768</v>
      </c>
      <c r="E4102" s="956">
        <v>4676</v>
      </c>
      <c r="F4102" s="955"/>
      <c r="L4102" s="954"/>
      <c r="M4102" s="952"/>
      <c r="N4102" s="952"/>
    </row>
    <row r="4103" spans="1:14">
      <c r="A4103" s="958" t="s">
        <v>363</v>
      </c>
      <c r="B4103" s="958">
        <v>41</v>
      </c>
      <c r="C4103" s="958" t="s">
        <v>3767</v>
      </c>
      <c r="D4103" s="957" t="s">
        <v>3766</v>
      </c>
      <c r="E4103" s="956">
        <v>23086</v>
      </c>
      <c r="F4103" s="955"/>
      <c r="L4103" s="954"/>
      <c r="M4103" s="952"/>
      <c r="N4103" s="952"/>
    </row>
    <row r="4104" spans="1:14">
      <c r="A4104" s="958" t="s">
        <v>363</v>
      </c>
      <c r="B4104" s="958">
        <v>41</v>
      </c>
      <c r="C4104" s="958" t="s">
        <v>3765</v>
      </c>
      <c r="D4104" s="957" t="s">
        <v>3764</v>
      </c>
      <c r="E4104" s="956">
        <v>4787</v>
      </c>
      <c r="F4104" s="955"/>
      <c r="L4104" s="954"/>
      <c r="M4104" s="952"/>
      <c r="N4104" s="952"/>
    </row>
    <row r="4105" spans="1:14">
      <c r="A4105" s="958" t="s">
        <v>363</v>
      </c>
      <c r="B4105" s="958">
        <v>41</v>
      </c>
      <c r="C4105" s="958" t="s">
        <v>3763</v>
      </c>
      <c r="D4105" s="957" t="s">
        <v>3762</v>
      </c>
      <c r="E4105" s="956">
        <v>569733</v>
      </c>
      <c r="F4105" s="955"/>
      <c r="L4105" s="954"/>
      <c r="M4105" s="952"/>
      <c r="N4105" s="952"/>
    </row>
    <row r="4106" spans="1:14">
      <c r="A4106" s="958" t="s">
        <v>363</v>
      </c>
      <c r="B4106" s="958">
        <v>41</v>
      </c>
      <c r="C4106" s="958" t="s">
        <v>3761</v>
      </c>
      <c r="D4106" s="957" t="s">
        <v>3760</v>
      </c>
      <c r="E4106" s="956">
        <v>7262</v>
      </c>
      <c r="F4106" s="955"/>
      <c r="L4106" s="954"/>
      <c r="M4106" s="952"/>
      <c r="N4106" s="952"/>
    </row>
    <row r="4107" spans="1:14">
      <c r="A4107" s="958" t="s">
        <v>363</v>
      </c>
      <c r="B4107" s="958">
        <v>41</v>
      </c>
      <c r="C4107" s="958" t="s">
        <v>3759</v>
      </c>
      <c r="D4107" s="957" t="s">
        <v>3758</v>
      </c>
      <c r="E4107" s="956">
        <v>4794</v>
      </c>
      <c r="F4107" s="955"/>
      <c r="L4107" s="954"/>
      <c r="M4107" s="952"/>
      <c r="N4107" s="952"/>
    </row>
    <row r="4108" spans="1:14">
      <c r="A4108" s="958" t="s">
        <v>363</v>
      </c>
      <c r="B4108" s="958">
        <v>41</v>
      </c>
      <c r="C4108" s="958" t="s">
        <v>3757</v>
      </c>
      <c r="D4108" s="957" t="s">
        <v>3756</v>
      </c>
      <c r="E4108" s="956">
        <v>4920</v>
      </c>
      <c r="F4108" s="955"/>
      <c r="L4108" s="954"/>
      <c r="M4108" s="952"/>
      <c r="N4108" s="952"/>
    </row>
    <row r="4109" spans="1:14">
      <c r="A4109" s="958" t="s">
        <v>363</v>
      </c>
      <c r="B4109" s="958">
        <v>41</v>
      </c>
      <c r="C4109" s="958" t="s">
        <v>3755</v>
      </c>
      <c r="D4109" s="957" t="s">
        <v>3754</v>
      </c>
      <c r="E4109" s="956">
        <v>13630</v>
      </c>
      <c r="F4109" s="955"/>
      <c r="L4109" s="954"/>
      <c r="M4109" s="952"/>
      <c r="N4109" s="952"/>
    </row>
    <row r="4110" spans="1:14">
      <c r="A4110" s="958" t="s">
        <v>363</v>
      </c>
      <c r="B4110" s="958">
        <v>41</v>
      </c>
      <c r="C4110" s="958" t="s">
        <v>3753</v>
      </c>
      <c r="D4110" s="957" t="s">
        <v>3752</v>
      </c>
      <c r="E4110" s="956">
        <v>13132</v>
      </c>
      <c r="F4110" s="955"/>
      <c r="L4110" s="954"/>
      <c r="M4110" s="952"/>
      <c r="N4110" s="952"/>
    </row>
    <row r="4111" spans="1:14">
      <c r="A4111" s="958" t="s">
        <v>363</v>
      </c>
      <c r="B4111" s="958">
        <v>41</v>
      </c>
      <c r="C4111" s="958" t="s">
        <v>3751</v>
      </c>
      <c r="D4111" s="957" t="s">
        <v>3750</v>
      </c>
      <c r="E4111" s="956">
        <v>22819</v>
      </c>
      <c r="F4111" s="955"/>
      <c r="L4111" s="954"/>
      <c r="M4111" s="952"/>
      <c r="N4111" s="952"/>
    </row>
    <row r="4112" spans="1:14">
      <c r="A4112" s="958" t="s">
        <v>363</v>
      </c>
      <c r="B4112" s="958">
        <v>41</v>
      </c>
      <c r="C4112" s="958" t="s">
        <v>3749</v>
      </c>
      <c r="D4112" s="957" t="s">
        <v>3748</v>
      </c>
      <c r="E4112" s="956">
        <v>34400</v>
      </c>
      <c r="F4112" s="955"/>
      <c r="L4112" s="954"/>
      <c r="M4112" s="952"/>
      <c r="N4112" s="952"/>
    </row>
    <row r="4113" spans="1:14">
      <c r="A4113" s="958" t="s">
        <v>363</v>
      </c>
      <c r="B4113" s="958">
        <v>41</v>
      </c>
      <c r="C4113" s="958" t="s">
        <v>3747</v>
      </c>
      <c r="D4113" s="957" t="s">
        <v>3746</v>
      </c>
      <c r="E4113" s="956">
        <v>26869</v>
      </c>
      <c r="F4113" s="955"/>
      <c r="L4113" s="954"/>
      <c r="M4113" s="952"/>
      <c r="N4113" s="952"/>
    </row>
    <row r="4114" spans="1:14">
      <c r="A4114" s="958" t="s">
        <v>363</v>
      </c>
      <c r="B4114" s="958">
        <v>41</v>
      </c>
      <c r="C4114" s="958" t="s">
        <v>3745</v>
      </c>
      <c r="D4114" s="957" t="s">
        <v>3744</v>
      </c>
      <c r="E4114" s="956">
        <v>2571</v>
      </c>
      <c r="F4114" s="955"/>
      <c r="L4114" s="954"/>
      <c r="M4114" s="952"/>
      <c r="N4114" s="952"/>
    </row>
    <row r="4115" spans="1:14">
      <c r="A4115" s="958" t="s">
        <v>363</v>
      </c>
      <c r="B4115" s="958">
        <v>41</v>
      </c>
      <c r="C4115" s="958" t="s">
        <v>3743</v>
      </c>
      <c r="D4115" s="957" t="s">
        <v>3742</v>
      </c>
      <c r="E4115" s="956">
        <v>16714</v>
      </c>
      <c r="F4115" s="955"/>
      <c r="L4115" s="954"/>
      <c r="M4115" s="952"/>
      <c r="N4115" s="952"/>
    </row>
    <row r="4116" spans="1:14">
      <c r="A4116" s="958" t="s">
        <v>363</v>
      </c>
      <c r="B4116" s="958">
        <v>41</v>
      </c>
      <c r="C4116" s="958" t="s">
        <v>3741</v>
      </c>
      <c r="D4116" s="957" t="s">
        <v>3740</v>
      </c>
      <c r="E4116" s="956">
        <v>13502</v>
      </c>
      <c r="F4116" s="955"/>
      <c r="L4116" s="954"/>
      <c r="M4116" s="952"/>
      <c r="N4116" s="952"/>
    </row>
    <row r="4117" spans="1:14">
      <c r="A4117" s="958" t="s">
        <v>363</v>
      </c>
      <c r="B4117" s="958">
        <v>41</v>
      </c>
      <c r="C4117" s="958" t="s">
        <v>3739</v>
      </c>
      <c r="D4117" s="957" t="s">
        <v>3738</v>
      </c>
      <c r="E4117" s="956">
        <v>52944</v>
      </c>
      <c r="F4117" s="955"/>
      <c r="L4117" s="954"/>
      <c r="M4117" s="952"/>
      <c r="N4117" s="952"/>
    </row>
    <row r="4118" spans="1:14">
      <c r="A4118" s="958" t="s">
        <v>363</v>
      </c>
      <c r="B4118" s="958">
        <v>41</v>
      </c>
      <c r="C4118" s="958" t="s">
        <v>3737</v>
      </c>
      <c r="D4118" s="957" t="s">
        <v>3736</v>
      </c>
      <c r="E4118" s="956">
        <v>5677</v>
      </c>
      <c r="F4118" s="955"/>
      <c r="L4118" s="954"/>
      <c r="M4118" s="952"/>
      <c r="N4118" s="952"/>
    </row>
    <row r="4119" spans="1:14">
      <c r="A4119" s="958" t="s">
        <v>363</v>
      </c>
      <c r="B4119" s="958">
        <v>41</v>
      </c>
      <c r="C4119" s="958" t="s">
        <v>3735</v>
      </c>
      <c r="D4119" s="957" t="s">
        <v>3734</v>
      </c>
      <c r="E4119" s="956">
        <v>35496</v>
      </c>
      <c r="F4119" s="955"/>
      <c r="L4119" s="954"/>
      <c r="M4119" s="952"/>
      <c r="N4119" s="952"/>
    </row>
    <row r="4120" spans="1:14">
      <c r="A4120" s="958" t="s">
        <v>363</v>
      </c>
      <c r="B4120" s="958">
        <v>41</v>
      </c>
      <c r="C4120" s="958" t="s">
        <v>3733</v>
      </c>
      <c r="D4120" s="957" t="s">
        <v>3732</v>
      </c>
      <c r="E4120" s="956">
        <v>8836</v>
      </c>
      <c r="F4120" s="955"/>
      <c r="L4120" s="954"/>
      <c r="M4120" s="952"/>
      <c r="N4120" s="952"/>
    </row>
    <row r="4121" spans="1:14">
      <c r="A4121" s="958" t="s">
        <v>363</v>
      </c>
      <c r="B4121" s="958">
        <v>41</v>
      </c>
      <c r="C4121" s="958" t="s">
        <v>3731</v>
      </c>
      <c r="D4121" s="957" t="s">
        <v>3730</v>
      </c>
      <c r="E4121" s="956">
        <v>7076</v>
      </c>
      <c r="F4121" s="955"/>
      <c r="L4121" s="954"/>
      <c r="M4121" s="952"/>
      <c r="N4121" s="952"/>
    </row>
    <row r="4122" spans="1:14">
      <c r="A4122" s="958" t="s">
        <v>363</v>
      </c>
      <c r="B4122" s="958">
        <v>41</v>
      </c>
      <c r="C4122" s="958" t="s">
        <v>3729</v>
      </c>
      <c r="D4122" s="957" t="s">
        <v>3728</v>
      </c>
      <c r="E4122" s="956">
        <v>10345</v>
      </c>
      <c r="F4122" s="955"/>
      <c r="L4122" s="954"/>
      <c r="M4122" s="952"/>
      <c r="N4122" s="952"/>
    </row>
    <row r="4123" spans="1:14">
      <c r="A4123" s="958" t="s">
        <v>363</v>
      </c>
      <c r="B4123" s="958">
        <v>41</v>
      </c>
      <c r="C4123" s="958" t="s">
        <v>3727</v>
      </c>
      <c r="D4123" s="957" t="s">
        <v>3726</v>
      </c>
      <c r="E4123" s="956">
        <v>423666</v>
      </c>
      <c r="F4123" s="955"/>
      <c r="L4123" s="954"/>
      <c r="M4123" s="952"/>
      <c r="N4123" s="952"/>
    </row>
    <row r="4124" spans="1:14">
      <c r="A4124" s="958" t="s">
        <v>363</v>
      </c>
      <c r="B4124" s="958">
        <v>41</v>
      </c>
      <c r="C4124" s="958" t="s">
        <v>3725</v>
      </c>
      <c r="D4124" s="957" t="s">
        <v>3724</v>
      </c>
      <c r="E4124" s="956">
        <v>6610</v>
      </c>
      <c r="F4124" s="955"/>
      <c r="L4124" s="954"/>
      <c r="M4124" s="952"/>
      <c r="N4124" s="952"/>
    </row>
    <row r="4125" spans="1:14">
      <c r="A4125" s="958" t="s">
        <v>363</v>
      </c>
      <c r="B4125" s="958">
        <v>41</v>
      </c>
      <c r="C4125" s="958" t="s">
        <v>3723</v>
      </c>
      <c r="D4125" s="957" t="s">
        <v>3722</v>
      </c>
      <c r="E4125" s="956">
        <v>5603</v>
      </c>
      <c r="F4125" s="955"/>
      <c r="L4125" s="954"/>
      <c r="M4125" s="952"/>
      <c r="N4125" s="952"/>
    </row>
    <row r="4126" spans="1:14">
      <c r="A4126" s="958" t="s">
        <v>363</v>
      </c>
      <c r="B4126" s="958">
        <v>41</v>
      </c>
      <c r="C4126" s="958" t="s">
        <v>3721</v>
      </c>
      <c r="D4126" s="957" t="s">
        <v>3720</v>
      </c>
      <c r="E4126" s="956">
        <v>14367</v>
      </c>
      <c r="F4126" s="955"/>
      <c r="L4126" s="954"/>
      <c r="M4126" s="952"/>
      <c r="N4126" s="952"/>
    </row>
    <row r="4127" spans="1:14">
      <c r="A4127" s="958" t="s">
        <v>363</v>
      </c>
      <c r="B4127" s="958">
        <v>41</v>
      </c>
      <c r="C4127" s="958" t="s">
        <v>3719</v>
      </c>
      <c r="D4127" s="957" t="s">
        <v>3718</v>
      </c>
      <c r="E4127" s="956">
        <v>4405</v>
      </c>
      <c r="F4127" s="955"/>
      <c r="L4127" s="954"/>
      <c r="M4127" s="952"/>
      <c r="N4127" s="952"/>
    </row>
    <row r="4128" spans="1:14">
      <c r="A4128" s="958" t="s">
        <v>363</v>
      </c>
      <c r="B4128" s="958">
        <v>41</v>
      </c>
      <c r="C4128" s="958" t="s">
        <v>3717</v>
      </c>
      <c r="D4128" s="957" t="s">
        <v>3716</v>
      </c>
      <c r="E4128" s="956">
        <v>4679</v>
      </c>
      <c r="F4128" s="955"/>
      <c r="L4128" s="954"/>
      <c r="M4128" s="952"/>
      <c r="N4128" s="952"/>
    </row>
    <row r="4129" spans="1:14">
      <c r="A4129" s="958" t="s">
        <v>363</v>
      </c>
      <c r="B4129" s="958">
        <v>41</v>
      </c>
      <c r="C4129" s="958" t="s">
        <v>3715</v>
      </c>
      <c r="D4129" s="957" t="s">
        <v>3714</v>
      </c>
      <c r="E4129" s="956">
        <v>17943</v>
      </c>
      <c r="F4129" s="955"/>
      <c r="L4129" s="954"/>
      <c r="M4129" s="952"/>
      <c r="N4129" s="952"/>
    </row>
    <row r="4130" spans="1:14">
      <c r="A4130" s="958" t="s">
        <v>363</v>
      </c>
      <c r="B4130" s="958">
        <v>41</v>
      </c>
      <c r="C4130" s="958" t="s">
        <v>3713</v>
      </c>
      <c r="D4130" s="957" t="s">
        <v>3712</v>
      </c>
      <c r="E4130" s="956">
        <v>34720</v>
      </c>
      <c r="F4130" s="955"/>
      <c r="L4130" s="954"/>
      <c r="M4130" s="952"/>
      <c r="N4130" s="952"/>
    </row>
    <row r="4131" spans="1:14">
      <c r="A4131" s="958" t="s">
        <v>363</v>
      </c>
      <c r="B4131" s="958">
        <v>41</v>
      </c>
      <c r="C4131" s="958" t="s">
        <v>3711</v>
      </c>
      <c r="D4131" s="957" t="s">
        <v>3710</v>
      </c>
      <c r="E4131" s="956">
        <v>3272</v>
      </c>
      <c r="F4131" s="955"/>
      <c r="L4131" s="954"/>
      <c r="M4131" s="952"/>
      <c r="N4131" s="952"/>
    </row>
    <row r="4132" spans="1:14">
      <c r="A4132" s="958" t="s">
        <v>363</v>
      </c>
      <c r="B4132" s="958">
        <v>41</v>
      </c>
      <c r="C4132" s="958" t="s">
        <v>3709</v>
      </c>
      <c r="D4132" s="957" t="s">
        <v>3708</v>
      </c>
      <c r="E4132" s="956">
        <v>10601</v>
      </c>
      <c r="F4132" s="955"/>
      <c r="L4132" s="954"/>
      <c r="M4132" s="952"/>
      <c r="N4132" s="952"/>
    </row>
    <row r="4133" spans="1:14">
      <c r="A4133" s="958" t="s">
        <v>363</v>
      </c>
      <c r="B4133" s="958">
        <v>41</v>
      </c>
      <c r="C4133" s="958" t="s">
        <v>3707</v>
      </c>
      <c r="D4133" s="957" t="s">
        <v>3706</v>
      </c>
      <c r="E4133" s="956">
        <v>46198</v>
      </c>
      <c r="F4133" s="955"/>
      <c r="L4133" s="954"/>
      <c r="M4133" s="952"/>
      <c r="N4133" s="952"/>
    </row>
    <row r="4134" spans="1:14">
      <c r="A4134" s="958" t="s">
        <v>363</v>
      </c>
      <c r="B4134" s="958">
        <v>41</v>
      </c>
      <c r="C4134" s="958" t="s">
        <v>3705</v>
      </c>
      <c r="D4134" s="957" t="s">
        <v>3704</v>
      </c>
      <c r="E4134" s="956">
        <v>5536</v>
      </c>
      <c r="F4134" s="955"/>
      <c r="L4134" s="954"/>
      <c r="M4134" s="952"/>
      <c r="N4134" s="952"/>
    </row>
    <row r="4135" spans="1:14">
      <c r="A4135" s="958" t="s">
        <v>363</v>
      </c>
      <c r="B4135" s="958">
        <v>41</v>
      </c>
      <c r="C4135" s="958" t="s">
        <v>3703</v>
      </c>
      <c r="D4135" s="957" t="s">
        <v>3702</v>
      </c>
      <c r="E4135" s="956">
        <v>2213</v>
      </c>
      <c r="F4135" s="955"/>
      <c r="L4135" s="954"/>
      <c r="M4135" s="952"/>
      <c r="N4135" s="952"/>
    </row>
    <row r="4136" spans="1:14">
      <c r="A4136" s="958" t="s">
        <v>363</v>
      </c>
      <c r="B4136" s="958">
        <v>41</v>
      </c>
      <c r="C4136" s="958" t="s">
        <v>3701</v>
      </c>
      <c r="D4136" s="957" t="s">
        <v>3700</v>
      </c>
      <c r="E4136" s="956">
        <v>1806</v>
      </c>
      <c r="F4136" s="955"/>
      <c r="L4136" s="954"/>
      <c r="M4136" s="952"/>
      <c r="N4136" s="952"/>
    </row>
    <row r="4137" spans="1:14">
      <c r="A4137" s="958" t="s">
        <v>363</v>
      </c>
      <c r="B4137" s="958">
        <v>41</v>
      </c>
      <c r="C4137" s="958" t="s">
        <v>3699</v>
      </c>
      <c r="D4137" s="957" t="s">
        <v>3698</v>
      </c>
      <c r="E4137" s="956">
        <v>10702</v>
      </c>
      <c r="F4137" s="955"/>
      <c r="L4137" s="954"/>
      <c r="M4137" s="952"/>
      <c r="N4137" s="952"/>
    </row>
    <row r="4138" spans="1:14">
      <c r="A4138" s="958" t="s">
        <v>363</v>
      </c>
      <c r="B4138" s="958">
        <v>41</v>
      </c>
      <c r="C4138" s="958" t="s">
        <v>3697</v>
      </c>
      <c r="D4138" s="957" t="s">
        <v>3696</v>
      </c>
      <c r="E4138" s="956">
        <v>12121</v>
      </c>
      <c r="F4138" s="955"/>
      <c r="L4138" s="954"/>
      <c r="M4138" s="952"/>
      <c r="N4138" s="952"/>
    </row>
    <row r="4139" spans="1:14">
      <c r="A4139" s="958" t="s">
        <v>363</v>
      </c>
      <c r="B4139" s="958">
        <v>41</v>
      </c>
      <c r="C4139" s="958" t="s">
        <v>3695</v>
      </c>
      <c r="D4139" s="957" t="s">
        <v>3694</v>
      </c>
      <c r="E4139" s="956">
        <v>16406</v>
      </c>
      <c r="F4139" s="955"/>
      <c r="L4139" s="954"/>
      <c r="M4139" s="952"/>
      <c r="N4139" s="952"/>
    </row>
    <row r="4140" spans="1:14">
      <c r="A4140" s="958" t="s">
        <v>363</v>
      </c>
      <c r="B4140" s="958">
        <v>41</v>
      </c>
      <c r="C4140" s="958" t="s">
        <v>3693</v>
      </c>
      <c r="D4140" s="957" t="s">
        <v>3692</v>
      </c>
      <c r="E4140" s="956">
        <v>3984</v>
      </c>
      <c r="F4140" s="955"/>
      <c r="L4140" s="954"/>
      <c r="M4140" s="952"/>
      <c r="N4140" s="952"/>
    </row>
    <row r="4141" spans="1:14">
      <c r="A4141" s="958" t="s">
        <v>363</v>
      </c>
      <c r="B4141" s="958">
        <v>41</v>
      </c>
      <c r="C4141" s="958" t="s">
        <v>3691</v>
      </c>
      <c r="D4141" s="957" t="s">
        <v>3690</v>
      </c>
      <c r="E4141" s="956">
        <v>4008</v>
      </c>
      <c r="F4141" s="955"/>
      <c r="L4141" s="954"/>
      <c r="M4141" s="952"/>
      <c r="N4141" s="952"/>
    </row>
    <row r="4142" spans="1:14">
      <c r="A4142" s="958" t="s">
        <v>363</v>
      </c>
      <c r="B4142" s="958">
        <v>41</v>
      </c>
      <c r="C4142" s="958" t="s">
        <v>3689</v>
      </c>
      <c r="D4142" s="957" t="s">
        <v>3688</v>
      </c>
      <c r="E4142" s="956">
        <v>1543</v>
      </c>
      <c r="F4142" s="955"/>
      <c r="L4142" s="954"/>
      <c r="M4142" s="952"/>
      <c r="N4142" s="952"/>
    </row>
    <row r="4143" spans="1:14">
      <c r="A4143" s="958" t="s">
        <v>363</v>
      </c>
      <c r="B4143" s="958">
        <v>41</v>
      </c>
      <c r="C4143" s="958" t="s">
        <v>3687</v>
      </c>
      <c r="D4143" s="957" t="s">
        <v>3686</v>
      </c>
      <c r="E4143" s="956">
        <v>3445</v>
      </c>
      <c r="F4143" s="955"/>
      <c r="L4143" s="954"/>
      <c r="M4143" s="952"/>
      <c r="N4143" s="952"/>
    </row>
    <row r="4144" spans="1:14">
      <c r="A4144" s="958" t="s">
        <v>363</v>
      </c>
      <c r="B4144" s="958">
        <v>41</v>
      </c>
      <c r="C4144" s="958" t="s">
        <v>3685</v>
      </c>
      <c r="D4144" s="957" t="s">
        <v>1015</v>
      </c>
      <c r="E4144" s="956">
        <v>10472</v>
      </c>
      <c r="F4144" s="955"/>
      <c r="L4144" s="954"/>
      <c r="M4144" s="952"/>
      <c r="N4144" s="952"/>
    </row>
    <row r="4145" spans="1:14">
      <c r="A4145" s="958" t="s">
        <v>363</v>
      </c>
      <c r="B4145" s="958">
        <v>41</v>
      </c>
      <c r="C4145" s="958" t="s">
        <v>3684</v>
      </c>
      <c r="D4145" s="957" t="s">
        <v>3683</v>
      </c>
      <c r="E4145" s="956">
        <v>5302</v>
      </c>
      <c r="F4145" s="955"/>
      <c r="L4145" s="954"/>
      <c r="M4145" s="952"/>
      <c r="N4145" s="952"/>
    </row>
    <row r="4146" spans="1:14">
      <c r="A4146" s="958" t="s">
        <v>363</v>
      </c>
      <c r="B4146" s="958">
        <v>41</v>
      </c>
      <c r="C4146" s="958" t="s">
        <v>3682</v>
      </c>
      <c r="D4146" s="957" t="s">
        <v>3681</v>
      </c>
      <c r="E4146" s="956">
        <v>27904</v>
      </c>
      <c r="F4146" s="955"/>
      <c r="L4146" s="954"/>
      <c r="M4146" s="952"/>
      <c r="N4146" s="952"/>
    </row>
    <row r="4147" spans="1:14">
      <c r="A4147" s="958" t="s">
        <v>363</v>
      </c>
      <c r="B4147" s="958">
        <v>41</v>
      </c>
      <c r="C4147" s="958" t="s">
        <v>3680</v>
      </c>
      <c r="D4147" s="957" t="s">
        <v>3679</v>
      </c>
      <c r="E4147" s="956">
        <v>5046</v>
      </c>
      <c r="F4147" s="955"/>
      <c r="L4147" s="954"/>
      <c r="M4147" s="952"/>
      <c r="N4147" s="952"/>
    </row>
    <row r="4148" spans="1:14">
      <c r="A4148" s="958" t="s">
        <v>363</v>
      </c>
      <c r="B4148" s="958">
        <v>41</v>
      </c>
      <c r="C4148" s="958" t="s">
        <v>3678</v>
      </c>
      <c r="D4148" s="957" t="s">
        <v>3677</v>
      </c>
      <c r="E4148" s="956">
        <v>8153</v>
      </c>
      <c r="F4148" s="955"/>
      <c r="L4148" s="954"/>
      <c r="M4148" s="952"/>
      <c r="N4148" s="952"/>
    </row>
    <row r="4149" spans="1:14">
      <c r="A4149" s="958" t="s">
        <v>363</v>
      </c>
      <c r="B4149" s="958">
        <v>41</v>
      </c>
      <c r="C4149" s="958" t="s">
        <v>3676</v>
      </c>
      <c r="D4149" s="957" t="s">
        <v>3675</v>
      </c>
      <c r="E4149" s="956">
        <v>11554</v>
      </c>
      <c r="F4149" s="955"/>
      <c r="L4149" s="954"/>
      <c r="M4149" s="952"/>
      <c r="N4149" s="952"/>
    </row>
    <row r="4150" spans="1:14">
      <c r="A4150" s="958" t="s">
        <v>363</v>
      </c>
      <c r="B4150" s="958">
        <v>41</v>
      </c>
      <c r="C4150" s="958" t="s">
        <v>3674</v>
      </c>
      <c r="D4150" s="957" t="s">
        <v>3673</v>
      </c>
      <c r="E4150" s="956">
        <v>13213</v>
      </c>
      <c r="F4150" s="955"/>
      <c r="L4150" s="954"/>
      <c r="M4150" s="952"/>
      <c r="N4150" s="952"/>
    </row>
    <row r="4151" spans="1:14">
      <c r="A4151" s="958" t="s">
        <v>363</v>
      </c>
      <c r="B4151" s="958">
        <v>41</v>
      </c>
      <c r="C4151" s="958" t="s">
        <v>3672</v>
      </c>
      <c r="D4151" s="957" t="s">
        <v>1460</v>
      </c>
      <c r="E4151" s="956">
        <v>5806</v>
      </c>
      <c r="F4151" s="955"/>
      <c r="L4151" s="954"/>
      <c r="M4151" s="952"/>
      <c r="N4151" s="952"/>
    </row>
    <row r="4152" spans="1:14">
      <c r="A4152" s="958" t="s">
        <v>363</v>
      </c>
      <c r="B4152" s="958">
        <v>41</v>
      </c>
      <c r="C4152" s="958" t="s">
        <v>3671</v>
      </c>
      <c r="D4152" s="957" t="s">
        <v>3670</v>
      </c>
      <c r="E4152" s="956">
        <v>4249</v>
      </c>
      <c r="F4152" s="955"/>
      <c r="L4152" s="954"/>
      <c r="M4152" s="952"/>
      <c r="N4152" s="952"/>
    </row>
    <row r="4153" spans="1:14">
      <c r="A4153" s="958" t="s">
        <v>363</v>
      </c>
      <c r="B4153" s="958">
        <v>41</v>
      </c>
      <c r="C4153" s="958" t="s">
        <v>3669</v>
      </c>
      <c r="D4153" s="957" t="s">
        <v>3668</v>
      </c>
      <c r="E4153" s="956">
        <v>8219</v>
      </c>
      <c r="F4153" s="955"/>
      <c r="L4153" s="954"/>
      <c r="M4153" s="952"/>
      <c r="N4153" s="952"/>
    </row>
    <row r="4154" spans="1:14">
      <c r="A4154" s="958" t="s">
        <v>363</v>
      </c>
      <c r="B4154" s="958">
        <v>41</v>
      </c>
      <c r="C4154" s="958" t="s">
        <v>3667</v>
      </c>
      <c r="D4154" s="957" t="s">
        <v>3666</v>
      </c>
      <c r="E4154" s="956">
        <v>10548</v>
      </c>
      <c r="F4154" s="955"/>
      <c r="L4154" s="954"/>
      <c r="M4154" s="952"/>
      <c r="N4154" s="952"/>
    </row>
    <row r="4155" spans="1:14">
      <c r="A4155" s="958" t="s">
        <v>363</v>
      </c>
      <c r="B4155" s="958">
        <v>41</v>
      </c>
      <c r="C4155" s="958" t="s">
        <v>3665</v>
      </c>
      <c r="D4155" s="957" t="s">
        <v>3664</v>
      </c>
      <c r="E4155" s="956">
        <v>5649</v>
      </c>
      <c r="F4155" s="955"/>
      <c r="L4155" s="954"/>
      <c r="M4155" s="952"/>
      <c r="N4155" s="952"/>
    </row>
    <row r="4156" spans="1:14">
      <c r="A4156" s="958" t="s">
        <v>363</v>
      </c>
      <c r="B4156" s="958">
        <v>41</v>
      </c>
      <c r="C4156" s="958" t="s">
        <v>3663</v>
      </c>
      <c r="D4156" s="957" t="s">
        <v>3662</v>
      </c>
      <c r="E4156" s="956">
        <v>2844</v>
      </c>
      <c r="F4156" s="955"/>
      <c r="L4156" s="954"/>
      <c r="M4156" s="952"/>
      <c r="N4156" s="952"/>
    </row>
    <row r="4157" spans="1:14">
      <c r="A4157" s="958" t="s">
        <v>363</v>
      </c>
      <c r="B4157" s="958">
        <v>41</v>
      </c>
      <c r="C4157" s="958" t="s">
        <v>3661</v>
      </c>
      <c r="D4157" s="957" t="s">
        <v>3660</v>
      </c>
      <c r="E4157" s="956">
        <v>22141</v>
      </c>
      <c r="F4157" s="955"/>
      <c r="L4157" s="954"/>
      <c r="M4157" s="952"/>
      <c r="N4157" s="952"/>
    </row>
    <row r="4158" spans="1:14">
      <c r="A4158" s="958" t="s">
        <v>363</v>
      </c>
      <c r="B4158" s="958">
        <v>41</v>
      </c>
      <c r="C4158" s="958" t="s">
        <v>3659</v>
      </c>
      <c r="D4158" s="957" t="s">
        <v>3658</v>
      </c>
      <c r="E4158" s="956">
        <v>3428</v>
      </c>
      <c r="F4158" s="955"/>
      <c r="L4158" s="954"/>
      <c r="M4158" s="952"/>
      <c r="N4158" s="952"/>
    </row>
    <row r="4159" spans="1:14">
      <c r="A4159" s="958" t="s">
        <v>363</v>
      </c>
      <c r="B4159" s="958">
        <v>41</v>
      </c>
      <c r="C4159" s="958" t="s">
        <v>3657</v>
      </c>
      <c r="D4159" s="957" t="s">
        <v>3656</v>
      </c>
      <c r="E4159" s="956">
        <v>5996</v>
      </c>
      <c r="F4159" s="955"/>
      <c r="L4159" s="954"/>
      <c r="M4159" s="952"/>
      <c r="N4159" s="952"/>
    </row>
    <row r="4160" spans="1:14">
      <c r="A4160" s="958" t="s">
        <v>363</v>
      </c>
      <c r="B4160" s="958">
        <v>41</v>
      </c>
      <c r="C4160" s="958" t="s">
        <v>3655</v>
      </c>
      <c r="D4160" s="957" t="s">
        <v>3654</v>
      </c>
      <c r="E4160" s="956">
        <v>41281</v>
      </c>
      <c r="F4160" s="955"/>
      <c r="L4160" s="954"/>
      <c r="M4160" s="952"/>
      <c r="N4160" s="952"/>
    </row>
    <row r="4161" spans="1:14">
      <c r="A4161" s="958" t="s">
        <v>363</v>
      </c>
      <c r="B4161" s="958">
        <v>41</v>
      </c>
      <c r="C4161" s="958" t="s">
        <v>3653</v>
      </c>
      <c r="D4161" s="957" t="s">
        <v>3652</v>
      </c>
      <c r="E4161" s="956">
        <v>50986</v>
      </c>
      <c r="F4161" s="955"/>
      <c r="L4161" s="954"/>
      <c r="M4161" s="952"/>
      <c r="N4161" s="952"/>
    </row>
    <row r="4162" spans="1:14">
      <c r="A4162" s="958" t="s">
        <v>363</v>
      </c>
      <c r="B4162" s="958">
        <v>41</v>
      </c>
      <c r="C4162" s="958" t="s">
        <v>3651</v>
      </c>
      <c r="D4162" s="957" t="s">
        <v>2990</v>
      </c>
      <c r="E4162" s="956">
        <v>33877</v>
      </c>
      <c r="F4162" s="955"/>
      <c r="L4162" s="954"/>
      <c r="M4162" s="952"/>
      <c r="N4162" s="952"/>
    </row>
    <row r="4163" spans="1:14">
      <c r="A4163" s="958" t="s">
        <v>363</v>
      </c>
      <c r="B4163" s="958">
        <v>41</v>
      </c>
      <c r="C4163" s="958" t="s">
        <v>3650</v>
      </c>
      <c r="D4163" s="957" t="s">
        <v>3649</v>
      </c>
      <c r="E4163" s="956">
        <v>13172</v>
      </c>
      <c r="F4163" s="955"/>
      <c r="L4163" s="954"/>
      <c r="M4163" s="952"/>
      <c r="N4163" s="952"/>
    </row>
    <row r="4164" spans="1:14">
      <c r="A4164" s="958" t="s">
        <v>363</v>
      </c>
      <c r="B4164" s="958">
        <v>41</v>
      </c>
      <c r="C4164" s="958" t="s">
        <v>3648</v>
      </c>
      <c r="D4164" s="957" t="s">
        <v>3647</v>
      </c>
      <c r="E4164" s="956">
        <v>31846</v>
      </c>
      <c r="F4164" s="955"/>
      <c r="L4164" s="954"/>
      <c r="M4164" s="952"/>
      <c r="N4164" s="952"/>
    </row>
    <row r="4165" spans="1:14">
      <c r="A4165" s="958" t="s">
        <v>363</v>
      </c>
      <c r="B4165" s="958">
        <v>41</v>
      </c>
      <c r="C4165" s="958" t="s">
        <v>3646</v>
      </c>
      <c r="D4165" s="957" t="s">
        <v>3645</v>
      </c>
      <c r="E4165" s="956">
        <v>13830</v>
      </c>
      <c r="F4165" s="955"/>
      <c r="L4165" s="954"/>
      <c r="M4165" s="952"/>
      <c r="N4165" s="952"/>
    </row>
    <row r="4166" spans="1:14">
      <c r="A4166" s="958" t="s">
        <v>363</v>
      </c>
      <c r="B4166" s="958">
        <v>41</v>
      </c>
      <c r="C4166" s="958" t="s">
        <v>3644</v>
      </c>
      <c r="D4166" s="957" t="s">
        <v>3643</v>
      </c>
      <c r="E4166" s="956">
        <v>11472</v>
      </c>
      <c r="F4166" s="955"/>
      <c r="L4166" s="954"/>
      <c r="M4166" s="952"/>
      <c r="N4166" s="952"/>
    </row>
    <row r="4167" spans="1:14">
      <c r="A4167" s="958" t="s">
        <v>363</v>
      </c>
      <c r="B4167" s="958">
        <v>41</v>
      </c>
      <c r="C4167" s="958" t="s">
        <v>3642</v>
      </c>
      <c r="D4167" s="957" t="s">
        <v>3641</v>
      </c>
      <c r="E4167" s="956">
        <v>154936</v>
      </c>
      <c r="F4167" s="955"/>
      <c r="L4167" s="954"/>
      <c r="M4167" s="952"/>
      <c r="N4167" s="952"/>
    </row>
    <row r="4168" spans="1:14">
      <c r="A4168" s="958" t="s">
        <v>363</v>
      </c>
      <c r="B4168" s="958">
        <v>41</v>
      </c>
      <c r="C4168" s="958" t="s">
        <v>3640</v>
      </c>
      <c r="D4168" s="957" t="s">
        <v>3639</v>
      </c>
      <c r="E4168" s="956">
        <v>3203</v>
      </c>
      <c r="F4168" s="955"/>
      <c r="L4168" s="954"/>
      <c r="M4168" s="952"/>
      <c r="N4168" s="952"/>
    </row>
    <row r="4169" spans="1:14">
      <c r="A4169" s="958" t="s">
        <v>363</v>
      </c>
      <c r="B4169" s="958">
        <v>41</v>
      </c>
      <c r="C4169" s="958" t="s">
        <v>3638</v>
      </c>
      <c r="D4169" s="957" t="s">
        <v>3637</v>
      </c>
      <c r="E4169" s="956">
        <v>88374</v>
      </c>
      <c r="F4169" s="955"/>
      <c r="L4169" s="954"/>
      <c r="M4169" s="952"/>
      <c r="N4169" s="952"/>
    </row>
    <row r="4170" spans="1:14">
      <c r="A4170" s="958" t="s">
        <v>363</v>
      </c>
      <c r="B4170" s="958">
        <v>41</v>
      </c>
      <c r="C4170" s="958" t="s">
        <v>3636</v>
      </c>
      <c r="D4170" s="957" t="s">
        <v>3635</v>
      </c>
      <c r="E4170" s="956">
        <v>5610</v>
      </c>
      <c r="F4170" s="955"/>
      <c r="L4170" s="954"/>
      <c r="M4170" s="952"/>
      <c r="N4170" s="952"/>
    </row>
    <row r="4171" spans="1:14">
      <c r="A4171" s="958" t="s">
        <v>363</v>
      </c>
      <c r="B4171" s="958">
        <v>41</v>
      </c>
      <c r="C4171" s="958" t="s">
        <v>3634</v>
      </c>
      <c r="D4171" s="957" t="s">
        <v>3633</v>
      </c>
      <c r="E4171" s="956">
        <v>82881</v>
      </c>
      <c r="F4171" s="955"/>
      <c r="L4171" s="954"/>
      <c r="M4171" s="952"/>
      <c r="N4171" s="952"/>
    </row>
    <row r="4172" spans="1:14">
      <c r="A4172" s="958" t="s">
        <v>363</v>
      </c>
      <c r="B4172" s="958">
        <v>41</v>
      </c>
      <c r="C4172" s="958" t="s">
        <v>3632</v>
      </c>
      <c r="D4172" s="957" t="s">
        <v>3631</v>
      </c>
      <c r="E4172" s="956">
        <v>5873</v>
      </c>
      <c r="F4172" s="955"/>
      <c r="L4172" s="954"/>
      <c r="M4172" s="952"/>
      <c r="N4172" s="952"/>
    </row>
    <row r="4173" spans="1:14">
      <c r="A4173" s="958" t="s">
        <v>363</v>
      </c>
      <c r="B4173" s="958">
        <v>41</v>
      </c>
      <c r="C4173" s="958" t="s">
        <v>3630</v>
      </c>
      <c r="D4173" s="957" t="s">
        <v>3629</v>
      </c>
      <c r="E4173" s="956">
        <v>7354</v>
      </c>
      <c r="F4173" s="955"/>
      <c r="L4173" s="954"/>
      <c r="M4173" s="952"/>
      <c r="N4173" s="952"/>
    </row>
    <row r="4174" spans="1:14">
      <c r="A4174" s="958" t="s">
        <v>363</v>
      </c>
      <c r="B4174" s="958">
        <v>41</v>
      </c>
      <c r="C4174" s="958" t="s">
        <v>3628</v>
      </c>
      <c r="D4174" s="957" t="s">
        <v>3627</v>
      </c>
      <c r="E4174" s="956">
        <v>13996</v>
      </c>
      <c r="F4174" s="955"/>
      <c r="L4174" s="954"/>
      <c r="M4174" s="952"/>
      <c r="N4174" s="952"/>
    </row>
    <row r="4175" spans="1:14">
      <c r="A4175" s="958" t="s">
        <v>363</v>
      </c>
      <c r="B4175" s="958">
        <v>41</v>
      </c>
      <c r="C4175" s="958" t="s">
        <v>3626</v>
      </c>
      <c r="D4175" s="957" t="s">
        <v>3625</v>
      </c>
      <c r="E4175" s="956">
        <v>6127</v>
      </c>
      <c r="F4175" s="955"/>
      <c r="L4175" s="954"/>
      <c r="M4175" s="952"/>
      <c r="N4175" s="952"/>
    </row>
    <row r="4176" spans="1:14">
      <c r="A4176" s="958" t="s">
        <v>363</v>
      </c>
      <c r="B4176" s="958">
        <v>41</v>
      </c>
      <c r="C4176" s="958" t="s">
        <v>3624</v>
      </c>
      <c r="D4176" s="957" t="s">
        <v>3623</v>
      </c>
      <c r="E4176" s="956">
        <v>11234</v>
      </c>
      <c r="F4176" s="955"/>
      <c r="L4176" s="954"/>
      <c r="M4176" s="952"/>
      <c r="N4176" s="952"/>
    </row>
    <row r="4177" spans="1:14">
      <c r="A4177" s="958" t="s">
        <v>363</v>
      </c>
      <c r="B4177" s="958">
        <v>41</v>
      </c>
      <c r="C4177" s="958" t="s">
        <v>3622</v>
      </c>
      <c r="D4177" s="957" t="s">
        <v>3621</v>
      </c>
      <c r="E4177" s="956">
        <v>6347</v>
      </c>
      <c r="F4177" s="955"/>
      <c r="L4177" s="954"/>
      <c r="M4177" s="952"/>
      <c r="N4177" s="952"/>
    </row>
    <row r="4178" spans="1:14">
      <c r="A4178" s="958" t="s">
        <v>363</v>
      </c>
      <c r="B4178" s="958">
        <v>41</v>
      </c>
      <c r="C4178" s="958" t="s">
        <v>3620</v>
      </c>
      <c r="D4178" s="957" t="s">
        <v>3619</v>
      </c>
      <c r="E4178" s="956">
        <v>12746</v>
      </c>
      <c r="F4178" s="955"/>
      <c r="L4178" s="954"/>
      <c r="M4178" s="952"/>
      <c r="N4178" s="952"/>
    </row>
    <row r="4179" spans="1:14">
      <c r="A4179" s="958" t="s">
        <v>363</v>
      </c>
      <c r="B4179" s="958">
        <v>41</v>
      </c>
      <c r="C4179" s="958" t="s">
        <v>3618</v>
      </c>
      <c r="D4179" s="957" t="s">
        <v>3617</v>
      </c>
      <c r="E4179" s="956">
        <v>132157</v>
      </c>
      <c r="F4179" s="955"/>
      <c r="L4179" s="954"/>
      <c r="M4179" s="952"/>
      <c r="N4179" s="952"/>
    </row>
    <row r="4180" spans="1:14">
      <c r="A4180" s="958" t="s">
        <v>363</v>
      </c>
      <c r="B4180" s="958">
        <v>41</v>
      </c>
      <c r="C4180" s="958" t="s">
        <v>3616</v>
      </c>
      <c r="D4180" s="957" t="s">
        <v>3615</v>
      </c>
      <c r="E4180" s="956">
        <v>6326</v>
      </c>
      <c r="F4180" s="955"/>
      <c r="L4180" s="954"/>
      <c r="M4180" s="952"/>
      <c r="N4180" s="952"/>
    </row>
    <row r="4181" spans="1:14">
      <c r="A4181" s="958" t="s">
        <v>363</v>
      </c>
      <c r="B4181" s="958">
        <v>41</v>
      </c>
      <c r="C4181" s="958" t="s">
        <v>3614</v>
      </c>
      <c r="D4181" s="957" t="s">
        <v>3613</v>
      </c>
      <c r="E4181" s="956">
        <v>2731</v>
      </c>
      <c r="F4181" s="955"/>
      <c r="L4181" s="954"/>
      <c r="M4181" s="952"/>
      <c r="N4181" s="952"/>
    </row>
    <row r="4182" spans="1:14">
      <c r="A4182" s="958" t="s">
        <v>363</v>
      </c>
      <c r="B4182" s="958">
        <v>41</v>
      </c>
      <c r="C4182" s="958" t="s">
        <v>3612</v>
      </c>
      <c r="D4182" s="957" t="s">
        <v>3611</v>
      </c>
      <c r="E4182" s="956">
        <v>32391</v>
      </c>
      <c r="F4182" s="955"/>
      <c r="L4182" s="954"/>
      <c r="M4182" s="952"/>
      <c r="N4182" s="952"/>
    </row>
    <row r="4183" spans="1:14">
      <c r="A4183" s="958" t="s">
        <v>363</v>
      </c>
      <c r="B4183" s="958">
        <v>41</v>
      </c>
      <c r="C4183" s="958" t="s">
        <v>3610</v>
      </c>
      <c r="D4183" s="957" t="s">
        <v>3609</v>
      </c>
      <c r="E4183" s="956">
        <v>25463</v>
      </c>
      <c r="F4183" s="955"/>
      <c r="L4183" s="954"/>
      <c r="M4183" s="952"/>
      <c r="N4183" s="952"/>
    </row>
    <row r="4184" spans="1:14">
      <c r="A4184" s="958" t="s">
        <v>363</v>
      </c>
      <c r="B4184" s="958">
        <v>41</v>
      </c>
      <c r="C4184" s="958" t="s">
        <v>3608</v>
      </c>
      <c r="D4184" s="957" t="s">
        <v>3607</v>
      </c>
      <c r="E4184" s="956">
        <v>113036</v>
      </c>
      <c r="F4184" s="955"/>
      <c r="L4184" s="954"/>
      <c r="M4184" s="952"/>
      <c r="N4184" s="952"/>
    </row>
    <row r="4185" spans="1:14">
      <c r="A4185" s="958" t="s">
        <v>363</v>
      </c>
      <c r="B4185" s="958">
        <v>41</v>
      </c>
      <c r="C4185" s="958" t="s">
        <v>3606</v>
      </c>
      <c r="D4185" s="957" t="s">
        <v>3605</v>
      </c>
      <c r="E4185" s="956">
        <v>30310</v>
      </c>
      <c r="F4185" s="955"/>
      <c r="L4185" s="954"/>
      <c r="M4185" s="952"/>
      <c r="N4185" s="952"/>
    </row>
    <row r="4186" spans="1:14">
      <c r="A4186" s="958" t="s">
        <v>363</v>
      </c>
      <c r="B4186" s="958">
        <v>41</v>
      </c>
      <c r="C4186" s="958" t="s">
        <v>3604</v>
      </c>
      <c r="D4186" s="957" t="s">
        <v>3603</v>
      </c>
      <c r="E4186" s="956">
        <v>3224</v>
      </c>
      <c r="F4186" s="955"/>
      <c r="L4186" s="954"/>
      <c r="M4186" s="952"/>
      <c r="N4186" s="952"/>
    </row>
    <row r="4187" spans="1:14">
      <c r="A4187" s="958" t="s">
        <v>363</v>
      </c>
      <c r="B4187" s="958">
        <v>41</v>
      </c>
      <c r="C4187" s="958" t="s">
        <v>3602</v>
      </c>
      <c r="D4187" s="957" t="s">
        <v>3601</v>
      </c>
      <c r="E4187" s="956">
        <v>4263</v>
      </c>
      <c r="F4187" s="955"/>
      <c r="L4187" s="954"/>
      <c r="M4187" s="952"/>
      <c r="N4187" s="952"/>
    </row>
    <row r="4188" spans="1:14">
      <c r="A4188" s="958" t="s">
        <v>363</v>
      </c>
      <c r="B4188" s="958">
        <v>41</v>
      </c>
      <c r="C4188" s="958" t="s">
        <v>3600</v>
      </c>
      <c r="D4188" s="957" t="s">
        <v>2127</v>
      </c>
      <c r="E4188" s="956">
        <v>13479</v>
      </c>
      <c r="F4188" s="955"/>
      <c r="L4188" s="954"/>
      <c r="M4188" s="952"/>
      <c r="N4188" s="952"/>
    </row>
    <row r="4189" spans="1:14">
      <c r="A4189" s="958" t="s">
        <v>363</v>
      </c>
      <c r="B4189" s="958">
        <v>41</v>
      </c>
      <c r="C4189" s="958" t="s">
        <v>3599</v>
      </c>
      <c r="D4189" s="957" t="s">
        <v>3598</v>
      </c>
      <c r="E4189" s="956">
        <v>351736</v>
      </c>
      <c r="F4189" s="955"/>
      <c r="L4189" s="954"/>
      <c r="M4189" s="952"/>
      <c r="N4189" s="952"/>
    </row>
    <row r="4190" spans="1:14">
      <c r="A4190" s="958" t="s">
        <v>363</v>
      </c>
      <c r="B4190" s="958">
        <v>41</v>
      </c>
      <c r="C4190" s="958" t="s">
        <v>3597</v>
      </c>
      <c r="D4190" s="957" t="s">
        <v>3596</v>
      </c>
      <c r="E4190" s="956">
        <v>27284</v>
      </c>
      <c r="F4190" s="955"/>
      <c r="L4190" s="954"/>
      <c r="M4190" s="952"/>
      <c r="N4190" s="952"/>
    </row>
    <row r="4191" spans="1:14">
      <c r="A4191" s="958" t="s">
        <v>363</v>
      </c>
      <c r="B4191" s="958">
        <v>41</v>
      </c>
      <c r="C4191" s="958" t="s">
        <v>3595</v>
      </c>
      <c r="D4191" s="957" t="s">
        <v>3594</v>
      </c>
      <c r="E4191" s="956">
        <v>12914</v>
      </c>
      <c r="F4191" s="955"/>
      <c r="L4191" s="954"/>
      <c r="M4191" s="952"/>
      <c r="N4191" s="952"/>
    </row>
    <row r="4192" spans="1:14">
      <c r="A4192" s="958" t="s">
        <v>363</v>
      </c>
      <c r="B4192" s="958">
        <v>41</v>
      </c>
      <c r="C4192" s="958" t="s">
        <v>3593</v>
      </c>
      <c r="D4192" s="957" t="s">
        <v>3592</v>
      </c>
      <c r="E4192" s="956">
        <v>4848</v>
      </c>
      <c r="F4192" s="955"/>
      <c r="L4192" s="954"/>
      <c r="M4192" s="952"/>
      <c r="N4192" s="952"/>
    </row>
    <row r="4193" spans="1:14">
      <c r="A4193" s="958" t="s">
        <v>363</v>
      </c>
      <c r="B4193" s="958">
        <v>41</v>
      </c>
      <c r="C4193" s="958" t="s">
        <v>3591</v>
      </c>
      <c r="D4193" s="957" t="s">
        <v>3590</v>
      </c>
      <c r="E4193" s="956">
        <v>3237</v>
      </c>
      <c r="F4193" s="955"/>
      <c r="L4193" s="954"/>
      <c r="M4193" s="952"/>
      <c r="N4193" s="952"/>
    </row>
    <row r="4194" spans="1:14">
      <c r="A4194" s="958" t="s">
        <v>363</v>
      </c>
      <c r="B4194" s="958">
        <v>41</v>
      </c>
      <c r="C4194" s="958" t="s">
        <v>3589</v>
      </c>
      <c r="D4194" s="957" t="s">
        <v>3588</v>
      </c>
      <c r="E4194" s="956">
        <v>2559</v>
      </c>
      <c r="F4194" s="955"/>
      <c r="L4194" s="954"/>
      <c r="M4194" s="952"/>
      <c r="N4194" s="952"/>
    </row>
    <row r="4195" spans="1:14">
      <c r="A4195" s="958" t="s">
        <v>363</v>
      </c>
      <c r="B4195" s="958">
        <v>41</v>
      </c>
      <c r="C4195" s="958" t="s">
        <v>3587</v>
      </c>
      <c r="D4195" s="957" t="s">
        <v>3586</v>
      </c>
      <c r="E4195" s="956">
        <v>4065</v>
      </c>
      <c r="F4195" s="955"/>
      <c r="L4195" s="954"/>
      <c r="M4195" s="952"/>
      <c r="N4195" s="952"/>
    </row>
    <row r="4196" spans="1:14">
      <c r="A4196" s="958" t="s">
        <v>363</v>
      </c>
      <c r="B4196" s="958">
        <v>41</v>
      </c>
      <c r="C4196" s="958" t="s">
        <v>3585</v>
      </c>
      <c r="D4196" s="957" t="s">
        <v>3584</v>
      </c>
      <c r="E4196" s="956">
        <v>3753</v>
      </c>
      <c r="F4196" s="955"/>
      <c r="L4196" s="954"/>
      <c r="M4196" s="952"/>
      <c r="N4196" s="952"/>
    </row>
    <row r="4197" spans="1:14">
      <c r="A4197" s="958" t="s">
        <v>363</v>
      </c>
      <c r="B4197" s="958">
        <v>41</v>
      </c>
      <c r="C4197" s="958" t="s">
        <v>3583</v>
      </c>
      <c r="D4197" s="957" t="s">
        <v>3582</v>
      </c>
      <c r="E4197" s="956">
        <v>5157</v>
      </c>
      <c r="F4197" s="955"/>
      <c r="L4197" s="954"/>
      <c r="M4197" s="952"/>
      <c r="N4197" s="952"/>
    </row>
    <row r="4198" spans="1:14">
      <c r="A4198" s="958" t="s">
        <v>363</v>
      </c>
      <c r="B4198" s="958">
        <v>41</v>
      </c>
      <c r="C4198" s="958" t="s">
        <v>3581</v>
      </c>
      <c r="D4198" s="957" t="s">
        <v>3580</v>
      </c>
      <c r="E4198" s="956">
        <v>5306</v>
      </c>
      <c r="F4198" s="955"/>
      <c r="L4198" s="954"/>
      <c r="M4198" s="952"/>
      <c r="N4198" s="952"/>
    </row>
    <row r="4199" spans="1:14">
      <c r="A4199" s="958" t="s">
        <v>363</v>
      </c>
      <c r="B4199" s="958">
        <v>41</v>
      </c>
      <c r="C4199" s="958" t="s">
        <v>3579</v>
      </c>
      <c r="D4199" s="957" t="s">
        <v>3578</v>
      </c>
      <c r="E4199" s="956">
        <v>11123</v>
      </c>
      <c r="F4199" s="955"/>
      <c r="L4199" s="954"/>
      <c r="M4199" s="952"/>
      <c r="N4199" s="952"/>
    </row>
    <row r="4200" spans="1:14">
      <c r="A4200" s="958" t="s">
        <v>363</v>
      </c>
      <c r="B4200" s="958">
        <v>41</v>
      </c>
      <c r="C4200" s="958" t="s">
        <v>3577</v>
      </c>
      <c r="D4200" s="957" t="s">
        <v>3576</v>
      </c>
      <c r="E4200" s="956">
        <v>52241</v>
      </c>
      <c r="F4200" s="955"/>
      <c r="L4200" s="954"/>
      <c r="M4200" s="952"/>
      <c r="N4200" s="952"/>
    </row>
    <row r="4201" spans="1:14">
      <c r="A4201" s="958" t="s">
        <v>363</v>
      </c>
      <c r="B4201" s="958">
        <v>41</v>
      </c>
      <c r="C4201" s="958" t="s">
        <v>3575</v>
      </c>
      <c r="D4201" s="957" t="s">
        <v>3574</v>
      </c>
      <c r="E4201" s="956">
        <v>4512</v>
      </c>
      <c r="F4201" s="955"/>
      <c r="L4201" s="954"/>
      <c r="M4201" s="952"/>
      <c r="N4201" s="952"/>
    </row>
    <row r="4202" spans="1:14">
      <c r="A4202" s="958" t="s">
        <v>363</v>
      </c>
      <c r="B4202" s="958">
        <v>41</v>
      </c>
      <c r="C4202" s="958" t="s">
        <v>3573</v>
      </c>
      <c r="D4202" s="957" t="s">
        <v>3572</v>
      </c>
      <c r="E4202" s="956">
        <v>7449</v>
      </c>
      <c r="F4202" s="955"/>
      <c r="L4202" s="954"/>
      <c r="M4202" s="952"/>
      <c r="N4202" s="952"/>
    </row>
    <row r="4203" spans="1:14">
      <c r="A4203" s="958" t="s">
        <v>363</v>
      </c>
      <c r="B4203" s="958">
        <v>41</v>
      </c>
      <c r="C4203" s="958" t="s">
        <v>3571</v>
      </c>
      <c r="D4203" s="957" t="s">
        <v>3570</v>
      </c>
      <c r="E4203" s="956">
        <v>23559</v>
      </c>
      <c r="F4203" s="955"/>
      <c r="L4203" s="954"/>
      <c r="M4203" s="952"/>
      <c r="N4203" s="952"/>
    </row>
    <row r="4204" spans="1:14">
      <c r="A4204" s="958" t="s">
        <v>363</v>
      </c>
      <c r="B4204" s="958">
        <v>41</v>
      </c>
      <c r="C4204" s="958" t="s">
        <v>3569</v>
      </c>
      <c r="D4204" s="957" t="s">
        <v>3568</v>
      </c>
      <c r="E4204" s="956">
        <v>4015</v>
      </c>
      <c r="F4204" s="955"/>
      <c r="L4204" s="954"/>
      <c r="M4204" s="952"/>
      <c r="N4204" s="952"/>
    </row>
    <row r="4205" spans="1:14">
      <c r="A4205" s="958" t="s">
        <v>363</v>
      </c>
      <c r="B4205" s="958">
        <v>41</v>
      </c>
      <c r="C4205" s="958" t="s">
        <v>3567</v>
      </c>
      <c r="D4205" s="957" t="s">
        <v>3566</v>
      </c>
      <c r="E4205" s="956">
        <v>34103</v>
      </c>
      <c r="F4205" s="955"/>
      <c r="L4205" s="954"/>
      <c r="M4205" s="952"/>
      <c r="N4205" s="952"/>
    </row>
    <row r="4206" spans="1:14">
      <c r="A4206" s="958" t="s">
        <v>363</v>
      </c>
      <c r="B4206" s="958">
        <v>41</v>
      </c>
      <c r="C4206" s="958" t="s">
        <v>3565</v>
      </c>
      <c r="D4206" s="957" t="s">
        <v>3564</v>
      </c>
      <c r="E4206" s="956">
        <v>12206</v>
      </c>
      <c r="F4206" s="955"/>
      <c r="L4206" s="954"/>
      <c r="M4206" s="952"/>
      <c r="N4206" s="952"/>
    </row>
    <row r="4207" spans="1:14">
      <c r="A4207" s="958" t="s">
        <v>363</v>
      </c>
      <c r="B4207" s="958">
        <v>41</v>
      </c>
      <c r="C4207" s="958" t="s">
        <v>3563</v>
      </c>
      <c r="D4207" s="957" t="s">
        <v>3562</v>
      </c>
      <c r="E4207" s="956">
        <v>4573</v>
      </c>
      <c r="F4207" s="955"/>
      <c r="L4207" s="954"/>
      <c r="M4207" s="952"/>
      <c r="N4207" s="952"/>
    </row>
    <row r="4208" spans="1:14">
      <c r="A4208" s="958" t="s">
        <v>363</v>
      </c>
      <c r="B4208" s="958">
        <v>41</v>
      </c>
      <c r="C4208" s="958" t="s">
        <v>3561</v>
      </c>
      <c r="D4208" s="957" t="s">
        <v>3560</v>
      </c>
      <c r="E4208" s="956">
        <v>19049</v>
      </c>
      <c r="F4208" s="955"/>
      <c r="L4208" s="954"/>
      <c r="M4208" s="952"/>
      <c r="N4208" s="952"/>
    </row>
    <row r="4209" spans="1:14">
      <c r="A4209" s="958" t="s">
        <v>363</v>
      </c>
      <c r="B4209" s="958">
        <v>41</v>
      </c>
      <c r="C4209" s="958" t="s">
        <v>3559</v>
      </c>
      <c r="D4209" s="957" t="s">
        <v>3558</v>
      </c>
      <c r="E4209" s="956">
        <v>4451</v>
      </c>
      <c r="F4209" s="955"/>
      <c r="L4209" s="954"/>
      <c r="M4209" s="952"/>
      <c r="N4209" s="952"/>
    </row>
    <row r="4210" spans="1:14">
      <c r="A4210" s="958" t="s">
        <v>363</v>
      </c>
      <c r="B4210" s="958">
        <v>41</v>
      </c>
      <c r="C4210" s="958" t="s">
        <v>3557</v>
      </c>
      <c r="D4210" s="957" t="s">
        <v>3556</v>
      </c>
      <c r="E4210" s="956">
        <v>3808</v>
      </c>
      <c r="F4210" s="955"/>
      <c r="L4210" s="954"/>
      <c r="M4210" s="952"/>
      <c r="N4210" s="952"/>
    </row>
    <row r="4211" spans="1:14">
      <c r="A4211" s="958" t="s">
        <v>363</v>
      </c>
      <c r="B4211" s="958">
        <v>41</v>
      </c>
      <c r="C4211" s="958" t="s">
        <v>3555</v>
      </c>
      <c r="D4211" s="957" t="s">
        <v>3554</v>
      </c>
      <c r="E4211" s="956">
        <v>2655</v>
      </c>
      <c r="F4211" s="955"/>
      <c r="L4211" s="954"/>
      <c r="M4211" s="952"/>
      <c r="N4211" s="952"/>
    </row>
    <row r="4212" spans="1:14">
      <c r="A4212" s="958" t="s">
        <v>363</v>
      </c>
      <c r="B4212" s="958">
        <v>41</v>
      </c>
      <c r="C4212" s="958" t="s">
        <v>3553</v>
      </c>
      <c r="D4212" s="957" t="s">
        <v>3552</v>
      </c>
      <c r="E4212" s="956">
        <v>16922</v>
      </c>
      <c r="F4212" s="955"/>
      <c r="L4212" s="954"/>
      <c r="M4212" s="952"/>
      <c r="N4212" s="952"/>
    </row>
    <row r="4213" spans="1:14">
      <c r="A4213" s="958" t="s">
        <v>363</v>
      </c>
      <c r="B4213" s="958">
        <v>41</v>
      </c>
      <c r="C4213" s="958" t="s">
        <v>3551</v>
      </c>
      <c r="D4213" s="957" t="s">
        <v>3550</v>
      </c>
      <c r="E4213" s="956">
        <v>14899</v>
      </c>
      <c r="F4213" s="955"/>
      <c r="L4213" s="954"/>
      <c r="M4213" s="952"/>
      <c r="N4213" s="952"/>
    </row>
    <row r="4214" spans="1:14">
      <c r="A4214" s="958" t="s">
        <v>363</v>
      </c>
      <c r="B4214" s="958">
        <v>41</v>
      </c>
      <c r="C4214" s="958" t="s">
        <v>3549</v>
      </c>
      <c r="D4214" s="957" t="s">
        <v>3548</v>
      </c>
      <c r="E4214" s="956">
        <v>6802</v>
      </c>
      <c r="F4214" s="955"/>
      <c r="L4214" s="954"/>
      <c r="M4214" s="952"/>
      <c r="N4214" s="952"/>
    </row>
    <row r="4215" spans="1:14">
      <c r="A4215" s="958" t="s">
        <v>363</v>
      </c>
      <c r="B4215" s="958">
        <v>41</v>
      </c>
      <c r="C4215" s="958" t="s">
        <v>3547</v>
      </c>
      <c r="D4215" s="957" t="s">
        <v>3546</v>
      </c>
      <c r="E4215" s="956">
        <v>26715</v>
      </c>
      <c r="F4215" s="955"/>
      <c r="L4215" s="954"/>
      <c r="M4215" s="952"/>
      <c r="N4215" s="952"/>
    </row>
    <row r="4216" spans="1:14">
      <c r="A4216" s="958" t="s">
        <v>363</v>
      </c>
      <c r="B4216" s="958">
        <v>41</v>
      </c>
      <c r="C4216" s="958" t="s">
        <v>3545</v>
      </c>
      <c r="D4216" s="957" t="s">
        <v>3544</v>
      </c>
      <c r="E4216" s="956">
        <v>8010</v>
      </c>
      <c r="F4216" s="955"/>
      <c r="L4216" s="954"/>
      <c r="M4216" s="952"/>
      <c r="N4216" s="952"/>
    </row>
    <row r="4217" spans="1:14">
      <c r="A4217" s="958" t="s">
        <v>363</v>
      </c>
      <c r="B4217" s="958">
        <v>41</v>
      </c>
      <c r="C4217" s="958" t="s">
        <v>3543</v>
      </c>
      <c r="D4217" s="957" t="s">
        <v>3542</v>
      </c>
      <c r="E4217" s="956">
        <v>10668</v>
      </c>
      <c r="F4217" s="955"/>
      <c r="L4217" s="954"/>
      <c r="M4217" s="952"/>
      <c r="N4217" s="952"/>
    </row>
    <row r="4218" spans="1:14">
      <c r="A4218" s="958" t="s">
        <v>363</v>
      </c>
      <c r="B4218" s="958">
        <v>41</v>
      </c>
      <c r="C4218" s="958" t="s">
        <v>3541</v>
      </c>
      <c r="D4218" s="957" t="s">
        <v>3540</v>
      </c>
      <c r="E4218" s="956">
        <v>13029</v>
      </c>
      <c r="F4218" s="955"/>
      <c r="L4218" s="954"/>
      <c r="M4218" s="952"/>
      <c r="N4218" s="952"/>
    </row>
    <row r="4219" spans="1:14">
      <c r="A4219" s="958" t="s">
        <v>363</v>
      </c>
      <c r="B4219" s="958">
        <v>41</v>
      </c>
      <c r="C4219" s="958" t="s">
        <v>3539</v>
      </c>
      <c r="D4219" s="957" t="s">
        <v>3538</v>
      </c>
      <c r="E4219" s="956">
        <v>15236</v>
      </c>
      <c r="F4219" s="955"/>
      <c r="L4219" s="954"/>
      <c r="M4219" s="952"/>
      <c r="N4219" s="952"/>
    </row>
    <row r="4220" spans="1:14">
      <c r="A4220" s="958" t="s">
        <v>363</v>
      </c>
      <c r="B4220" s="958">
        <v>41</v>
      </c>
      <c r="C4220" s="958" t="s">
        <v>3537</v>
      </c>
      <c r="D4220" s="957" t="s">
        <v>3536</v>
      </c>
      <c r="E4220" s="956">
        <v>3203</v>
      </c>
      <c r="F4220" s="955"/>
      <c r="L4220" s="954"/>
      <c r="M4220" s="952"/>
      <c r="N4220" s="952"/>
    </row>
    <row r="4221" spans="1:14">
      <c r="A4221" s="958" t="s">
        <v>363</v>
      </c>
      <c r="B4221" s="958">
        <v>41</v>
      </c>
      <c r="C4221" s="958" t="s">
        <v>3535</v>
      </c>
      <c r="D4221" s="957" t="s">
        <v>3534</v>
      </c>
      <c r="E4221" s="956">
        <v>13269</v>
      </c>
      <c r="F4221" s="955"/>
      <c r="L4221" s="954"/>
      <c r="M4221" s="952"/>
      <c r="N4221" s="952"/>
    </row>
    <row r="4222" spans="1:14">
      <c r="A4222" s="958" t="s">
        <v>363</v>
      </c>
      <c r="B4222" s="958">
        <v>41</v>
      </c>
      <c r="C4222" s="958" t="s">
        <v>3533</v>
      </c>
      <c r="D4222" s="957" t="s">
        <v>3532</v>
      </c>
      <c r="E4222" s="956">
        <v>4096</v>
      </c>
      <c r="F4222" s="955"/>
      <c r="L4222" s="954"/>
      <c r="M4222" s="952"/>
      <c r="N4222" s="952"/>
    </row>
    <row r="4223" spans="1:14">
      <c r="A4223" s="958" t="s">
        <v>363</v>
      </c>
      <c r="B4223" s="958">
        <v>41</v>
      </c>
      <c r="C4223" s="958" t="s">
        <v>3531</v>
      </c>
      <c r="D4223" s="957" t="s">
        <v>3530</v>
      </c>
      <c r="E4223" s="956">
        <v>32397</v>
      </c>
      <c r="F4223" s="955"/>
      <c r="L4223" s="954"/>
      <c r="M4223" s="952"/>
      <c r="N4223" s="952"/>
    </row>
    <row r="4224" spans="1:14">
      <c r="A4224" s="958" t="s">
        <v>363</v>
      </c>
      <c r="B4224" s="958">
        <v>41</v>
      </c>
      <c r="C4224" s="958" t="s">
        <v>3529</v>
      </c>
      <c r="D4224" s="957" t="s">
        <v>1644</v>
      </c>
      <c r="E4224" s="956">
        <v>34170</v>
      </c>
      <c r="F4224" s="955"/>
      <c r="L4224" s="954"/>
      <c r="M4224" s="952"/>
      <c r="N4224" s="952"/>
    </row>
    <row r="4225" spans="1:14">
      <c r="A4225" s="958" t="s">
        <v>363</v>
      </c>
      <c r="B4225" s="958">
        <v>41</v>
      </c>
      <c r="C4225" s="958" t="s">
        <v>3528</v>
      </c>
      <c r="D4225" s="957" t="s">
        <v>3527</v>
      </c>
      <c r="E4225" s="956">
        <v>66580</v>
      </c>
      <c r="F4225" s="955"/>
      <c r="L4225" s="954"/>
      <c r="M4225" s="952"/>
      <c r="N4225" s="952"/>
    </row>
    <row r="4226" spans="1:14">
      <c r="A4226" s="958" t="s">
        <v>363</v>
      </c>
      <c r="B4226" s="958">
        <v>41</v>
      </c>
      <c r="C4226" s="958" t="s">
        <v>3526</v>
      </c>
      <c r="D4226" s="957" t="s">
        <v>3525</v>
      </c>
      <c r="E4226" s="956">
        <v>9849</v>
      </c>
      <c r="F4226" s="955"/>
      <c r="L4226" s="954"/>
      <c r="M4226" s="952"/>
      <c r="N4226" s="952"/>
    </row>
    <row r="4227" spans="1:14">
      <c r="A4227" s="958" t="s">
        <v>363</v>
      </c>
      <c r="B4227" s="958">
        <v>41</v>
      </c>
      <c r="C4227" s="958" t="s">
        <v>3524</v>
      </c>
      <c r="D4227" s="957" t="s">
        <v>3523</v>
      </c>
      <c r="E4227" s="956">
        <v>9579</v>
      </c>
      <c r="F4227" s="955"/>
      <c r="L4227" s="954"/>
      <c r="M4227" s="952"/>
      <c r="N4227" s="952"/>
    </row>
    <row r="4228" spans="1:14">
      <c r="A4228" s="958" t="s">
        <v>363</v>
      </c>
      <c r="B4228" s="958">
        <v>41</v>
      </c>
      <c r="C4228" s="958" t="s">
        <v>3522</v>
      </c>
      <c r="D4228" s="957" t="s">
        <v>3521</v>
      </c>
      <c r="E4228" s="956">
        <v>4786</v>
      </c>
      <c r="F4228" s="955"/>
      <c r="L4228" s="954"/>
      <c r="M4228" s="952"/>
      <c r="N4228" s="952"/>
    </row>
    <row r="4229" spans="1:14">
      <c r="A4229" s="958" t="s">
        <v>363</v>
      </c>
      <c r="B4229" s="958">
        <v>41</v>
      </c>
      <c r="C4229" s="958" t="s">
        <v>3520</v>
      </c>
      <c r="D4229" s="957" t="s">
        <v>3519</v>
      </c>
      <c r="E4229" s="956">
        <v>6827</v>
      </c>
      <c r="F4229" s="955"/>
      <c r="L4229" s="954"/>
      <c r="M4229" s="952"/>
      <c r="N4229" s="952"/>
    </row>
    <row r="4230" spans="1:14">
      <c r="A4230" s="958" t="s">
        <v>363</v>
      </c>
      <c r="B4230" s="958">
        <v>41</v>
      </c>
      <c r="C4230" s="958" t="s">
        <v>3518</v>
      </c>
      <c r="D4230" s="957" t="s">
        <v>3517</v>
      </c>
      <c r="E4230" s="956">
        <v>3580</v>
      </c>
      <c r="F4230" s="955"/>
      <c r="L4230" s="954"/>
      <c r="M4230" s="952"/>
      <c r="N4230" s="952"/>
    </row>
    <row r="4231" spans="1:14">
      <c r="A4231" s="958" t="s">
        <v>363</v>
      </c>
      <c r="B4231" s="958">
        <v>41</v>
      </c>
      <c r="C4231" s="958" t="s">
        <v>3516</v>
      </c>
      <c r="D4231" s="957" t="s">
        <v>3515</v>
      </c>
      <c r="E4231" s="956">
        <v>4935</v>
      </c>
      <c r="F4231" s="955"/>
      <c r="L4231" s="954"/>
      <c r="M4231" s="952"/>
      <c r="N4231" s="952"/>
    </row>
    <row r="4232" spans="1:14">
      <c r="A4232" s="958" t="s">
        <v>363</v>
      </c>
      <c r="B4232" s="958">
        <v>41</v>
      </c>
      <c r="C4232" s="958" t="s">
        <v>3514</v>
      </c>
      <c r="D4232" s="957" t="s">
        <v>3513</v>
      </c>
      <c r="E4232" s="956">
        <v>14785</v>
      </c>
      <c r="F4232" s="955"/>
      <c r="L4232" s="954"/>
      <c r="M4232" s="952"/>
      <c r="N4232" s="952"/>
    </row>
    <row r="4233" spans="1:14">
      <c r="A4233" s="958" t="s">
        <v>363</v>
      </c>
      <c r="B4233" s="958">
        <v>41</v>
      </c>
      <c r="C4233" s="958" t="s">
        <v>3512</v>
      </c>
      <c r="D4233" s="957" t="s">
        <v>3511</v>
      </c>
      <c r="E4233" s="956">
        <v>3324</v>
      </c>
      <c r="F4233" s="955"/>
      <c r="L4233" s="954"/>
      <c r="M4233" s="952"/>
      <c r="N4233" s="952"/>
    </row>
    <row r="4234" spans="1:14">
      <c r="A4234" s="958" t="s">
        <v>363</v>
      </c>
      <c r="B4234" s="958">
        <v>41</v>
      </c>
      <c r="C4234" s="958" t="s">
        <v>3510</v>
      </c>
      <c r="D4234" s="957" t="s">
        <v>3509</v>
      </c>
      <c r="E4234" s="956">
        <v>3334</v>
      </c>
      <c r="F4234" s="955"/>
      <c r="L4234" s="954"/>
      <c r="M4234" s="952"/>
      <c r="N4234" s="952"/>
    </row>
    <row r="4235" spans="1:14">
      <c r="A4235" s="958" t="s">
        <v>363</v>
      </c>
      <c r="B4235" s="958">
        <v>41</v>
      </c>
      <c r="C4235" s="958" t="s">
        <v>3508</v>
      </c>
      <c r="D4235" s="957" t="s">
        <v>3507</v>
      </c>
      <c r="E4235" s="956">
        <v>7800</v>
      </c>
      <c r="F4235" s="955"/>
      <c r="L4235" s="954"/>
      <c r="M4235" s="952"/>
      <c r="N4235" s="952"/>
    </row>
    <row r="4236" spans="1:14">
      <c r="A4236" s="958" t="s">
        <v>363</v>
      </c>
      <c r="B4236" s="958">
        <v>41</v>
      </c>
      <c r="C4236" s="958" t="s">
        <v>3506</v>
      </c>
      <c r="D4236" s="957" t="s">
        <v>3505</v>
      </c>
      <c r="E4236" s="956">
        <v>12037</v>
      </c>
      <c r="F4236" s="955"/>
      <c r="L4236" s="954"/>
      <c r="M4236" s="952"/>
      <c r="N4236" s="952"/>
    </row>
    <row r="4237" spans="1:14">
      <c r="A4237" s="958" t="s">
        <v>363</v>
      </c>
      <c r="B4237" s="958">
        <v>41</v>
      </c>
      <c r="C4237" s="958" t="s">
        <v>3504</v>
      </c>
      <c r="D4237" s="957" t="s">
        <v>2896</v>
      </c>
      <c r="E4237" s="956">
        <v>26490</v>
      </c>
      <c r="F4237" s="955"/>
      <c r="L4237" s="954"/>
      <c r="M4237" s="952"/>
      <c r="N4237" s="952"/>
    </row>
    <row r="4238" spans="1:14">
      <c r="A4238" s="958" t="s">
        <v>363</v>
      </c>
      <c r="B4238" s="958">
        <v>41</v>
      </c>
      <c r="C4238" s="958" t="s">
        <v>3503</v>
      </c>
      <c r="D4238" s="957" t="s">
        <v>3502</v>
      </c>
      <c r="E4238" s="956">
        <v>1596</v>
      </c>
      <c r="F4238" s="955"/>
      <c r="L4238" s="954"/>
      <c r="M4238" s="952"/>
      <c r="N4238" s="952"/>
    </row>
    <row r="4239" spans="1:14">
      <c r="A4239" s="958" t="s">
        <v>363</v>
      </c>
      <c r="B4239" s="958">
        <v>41</v>
      </c>
      <c r="C4239" s="958" t="s">
        <v>3501</v>
      </c>
      <c r="D4239" s="957" t="s">
        <v>3500</v>
      </c>
      <c r="E4239" s="956">
        <v>8562</v>
      </c>
      <c r="F4239" s="955"/>
      <c r="L4239" s="954"/>
      <c r="M4239" s="952"/>
      <c r="N4239" s="952"/>
    </row>
    <row r="4240" spans="1:14">
      <c r="A4240" s="958" t="s">
        <v>363</v>
      </c>
      <c r="B4240" s="958">
        <v>41</v>
      </c>
      <c r="C4240" s="958" t="s">
        <v>3499</v>
      </c>
      <c r="D4240" s="957" t="s">
        <v>3498</v>
      </c>
      <c r="E4240" s="956">
        <v>14659</v>
      </c>
      <c r="F4240" s="955"/>
      <c r="L4240" s="954"/>
      <c r="M4240" s="952"/>
      <c r="N4240" s="952"/>
    </row>
    <row r="4241" spans="1:14">
      <c r="A4241" s="958" t="s">
        <v>363</v>
      </c>
      <c r="B4241" s="958">
        <v>41</v>
      </c>
      <c r="C4241" s="958" t="s">
        <v>3497</v>
      </c>
      <c r="D4241" s="957" t="s">
        <v>3496</v>
      </c>
      <c r="E4241" s="956">
        <v>3813</v>
      </c>
      <c r="F4241" s="955"/>
      <c r="L4241" s="954"/>
      <c r="M4241" s="952"/>
      <c r="N4241" s="952"/>
    </row>
    <row r="4242" spans="1:14">
      <c r="A4242" s="958" t="s">
        <v>363</v>
      </c>
      <c r="B4242" s="958">
        <v>41</v>
      </c>
      <c r="C4242" s="958" t="s">
        <v>3495</v>
      </c>
      <c r="D4242" s="957" t="s">
        <v>3494</v>
      </c>
      <c r="E4242" s="956">
        <v>9615</v>
      </c>
      <c r="F4242" s="955"/>
      <c r="L4242" s="954"/>
      <c r="M4242" s="952"/>
      <c r="N4242" s="952"/>
    </row>
    <row r="4243" spans="1:14">
      <c r="A4243" s="958" t="s">
        <v>363</v>
      </c>
      <c r="B4243" s="958">
        <v>41</v>
      </c>
      <c r="C4243" s="958" t="s">
        <v>3493</v>
      </c>
      <c r="D4243" s="957" t="s">
        <v>3492</v>
      </c>
      <c r="E4243" s="956">
        <v>11724</v>
      </c>
      <c r="F4243" s="955"/>
      <c r="L4243" s="954"/>
      <c r="M4243" s="952"/>
      <c r="N4243" s="952"/>
    </row>
    <row r="4244" spans="1:14">
      <c r="A4244" s="958" t="s">
        <v>363</v>
      </c>
      <c r="B4244" s="958">
        <v>41</v>
      </c>
      <c r="C4244" s="958" t="s">
        <v>3491</v>
      </c>
      <c r="D4244" s="957" t="s">
        <v>3490</v>
      </c>
      <c r="E4244" s="956">
        <v>3981</v>
      </c>
      <c r="F4244" s="955"/>
      <c r="L4244" s="954"/>
      <c r="M4244" s="952"/>
      <c r="N4244" s="952"/>
    </row>
    <row r="4245" spans="1:14">
      <c r="A4245" s="958" t="s">
        <v>363</v>
      </c>
      <c r="B4245" s="958">
        <v>41</v>
      </c>
      <c r="C4245" s="958" t="s">
        <v>3489</v>
      </c>
      <c r="D4245" s="957" t="s">
        <v>3488</v>
      </c>
      <c r="E4245" s="956">
        <v>4992</v>
      </c>
      <c r="F4245" s="955"/>
      <c r="L4245" s="954"/>
      <c r="M4245" s="952"/>
      <c r="N4245" s="952"/>
    </row>
    <row r="4246" spans="1:14" ht="17.25">
      <c r="A4246" s="958" t="s">
        <v>363</v>
      </c>
      <c r="B4246" s="958">
        <v>41</v>
      </c>
      <c r="C4246" s="958" t="s">
        <v>3487</v>
      </c>
      <c r="D4246" s="957" t="s">
        <v>3486</v>
      </c>
      <c r="E4246" s="956" t="s">
        <v>3485</v>
      </c>
      <c r="F4246" s="955"/>
      <c r="L4246" s="954"/>
      <c r="M4246" s="952"/>
      <c r="N4246" s="952"/>
    </row>
    <row r="4247" spans="1:14">
      <c r="A4247" s="958" t="s">
        <v>363</v>
      </c>
      <c r="B4247" s="958">
        <v>41</v>
      </c>
      <c r="C4247" s="958" t="s">
        <v>3484</v>
      </c>
      <c r="D4247" s="957" t="s">
        <v>3483</v>
      </c>
      <c r="E4247" s="956">
        <v>23465</v>
      </c>
      <c r="F4247" s="955"/>
      <c r="L4247" s="954"/>
      <c r="M4247" s="952"/>
      <c r="N4247" s="952"/>
    </row>
    <row r="4248" spans="1:14">
      <c r="A4248" s="958" t="s">
        <v>363</v>
      </c>
      <c r="B4248" s="958">
        <v>41</v>
      </c>
      <c r="C4248" s="958" t="s">
        <v>3482</v>
      </c>
      <c r="D4248" s="957" t="s">
        <v>3481</v>
      </c>
      <c r="E4248" s="956">
        <v>45993</v>
      </c>
      <c r="F4248" s="955"/>
      <c r="L4248" s="954"/>
      <c r="M4248" s="952"/>
      <c r="N4248" s="952"/>
    </row>
    <row r="4249" spans="1:14">
      <c r="A4249" s="958" t="s">
        <v>363</v>
      </c>
      <c r="B4249" s="958">
        <v>41</v>
      </c>
      <c r="C4249" s="958" t="s">
        <v>3480</v>
      </c>
      <c r="D4249" s="957" t="s">
        <v>3479</v>
      </c>
      <c r="E4249" s="956">
        <v>2641</v>
      </c>
      <c r="F4249" s="955"/>
      <c r="L4249" s="954"/>
      <c r="M4249" s="952"/>
      <c r="N4249" s="952"/>
    </row>
    <row r="4250" spans="1:14">
      <c r="A4250" s="958" t="s">
        <v>363</v>
      </c>
      <c r="B4250" s="958">
        <v>41</v>
      </c>
      <c r="C4250" s="958" t="s">
        <v>3478</v>
      </c>
      <c r="D4250" s="957" t="s">
        <v>3477</v>
      </c>
      <c r="E4250" s="956">
        <v>2106</v>
      </c>
      <c r="F4250" s="955"/>
      <c r="L4250" s="954"/>
      <c r="M4250" s="952"/>
      <c r="N4250" s="952"/>
    </row>
    <row r="4251" spans="1:14">
      <c r="A4251" s="958" t="s">
        <v>363</v>
      </c>
      <c r="B4251" s="958">
        <v>41</v>
      </c>
      <c r="C4251" s="958" t="s">
        <v>3476</v>
      </c>
      <c r="D4251" s="957" t="s">
        <v>3475</v>
      </c>
      <c r="E4251" s="956">
        <v>20166</v>
      </c>
      <c r="F4251" s="955"/>
      <c r="L4251" s="954"/>
      <c r="M4251" s="952"/>
      <c r="N4251" s="952"/>
    </row>
    <row r="4252" spans="1:14">
      <c r="A4252" s="958" t="s">
        <v>363</v>
      </c>
      <c r="B4252" s="958">
        <v>41</v>
      </c>
      <c r="C4252" s="958" t="s">
        <v>3474</v>
      </c>
      <c r="D4252" s="957" t="s">
        <v>3473</v>
      </c>
      <c r="E4252" s="956">
        <v>5438</v>
      </c>
      <c r="F4252" s="955"/>
      <c r="L4252" s="954"/>
      <c r="M4252" s="952"/>
      <c r="N4252" s="952"/>
    </row>
    <row r="4253" spans="1:14">
      <c r="A4253" s="958" t="s">
        <v>363</v>
      </c>
      <c r="B4253" s="958">
        <v>41</v>
      </c>
      <c r="C4253" s="958" t="s">
        <v>3472</v>
      </c>
      <c r="D4253" s="957" t="s">
        <v>3471</v>
      </c>
      <c r="E4253" s="956">
        <v>6878</v>
      </c>
      <c r="F4253" s="955"/>
      <c r="L4253" s="954"/>
      <c r="M4253" s="952"/>
      <c r="N4253" s="952"/>
    </row>
    <row r="4254" spans="1:14">
      <c r="A4254" s="958" t="s">
        <v>363</v>
      </c>
      <c r="B4254" s="958">
        <v>41</v>
      </c>
      <c r="C4254" s="958" t="s">
        <v>3470</v>
      </c>
      <c r="D4254" s="957" t="s">
        <v>3469</v>
      </c>
      <c r="E4254" s="956">
        <v>11170</v>
      </c>
      <c r="F4254" s="955"/>
      <c r="L4254" s="954"/>
      <c r="M4254" s="952"/>
      <c r="N4254" s="952"/>
    </row>
    <row r="4255" spans="1:14">
      <c r="A4255" s="958" t="s">
        <v>363</v>
      </c>
      <c r="B4255" s="958">
        <v>41</v>
      </c>
      <c r="C4255" s="958" t="s">
        <v>3468</v>
      </c>
      <c r="D4255" s="957" t="s">
        <v>3467</v>
      </c>
      <c r="E4255" s="956">
        <v>10241</v>
      </c>
      <c r="F4255" s="955"/>
      <c r="L4255" s="954"/>
      <c r="M4255" s="952"/>
      <c r="N4255" s="952"/>
    </row>
    <row r="4256" spans="1:14">
      <c r="A4256" s="958" t="s">
        <v>363</v>
      </c>
      <c r="B4256" s="958">
        <v>41</v>
      </c>
      <c r="C4256" s="958" t="s">
        <v>3466</v>
      </c>
      <c r="D4256" s="957" t="s">
        <v>3465</v>
      </c>
      <c r="E4256" s="956">
        <v>5855</v>
      </c>
      <c r="F4256" s="955"/>
      <c r="L4256" s="954"/>
      <c r="M4256" s="952"/>
      <c r="N4256" s="952"/>
    </row>
    <row r="4257" spans="1:14">
      <c r="A4257" s="958" t="s">
        <v>363</v>
      </c>
      <c r="B4257" s="958">
        <v>41</v>
      </c>
      <c r="C4257" s="958" t="s">
        <v>3464</v>
      </c>
      <c r="D4257" s="957" t="s">
        <v>3463</v>
      </c>
      <c r="E4257" s="956">
        <v>10219</v>
      </c>
      <c r="F4257" s="955"/>
      <c r="L4257" s="954"/>
      <c r="M4257" s="952"/>
      <c r="N4257" s="952"/>
    </row>
    <row r="4258" spans="1:14">
      <c r="A4258" s="958" t="s">
        <v>363</v>
      </c>
      <c r="B4258" s="958">
        <v>41</v>
      </c>
      <c r="C4258" s="958" t="s">
        <v>3462</v>
      </c>
      <c r="D4258" s="957" t="s">
        <v>3461</v>
      </c>
      <c r="E4258" s="956">
        <v>15120</v>
      </c>
      <c r="F4258" s="955"/>
      <c r="L4258" s="954"/>
      <c r="M4258" s="952"/>
      <c r="N4258" s="952"/>
    </row>
    <row r="4259" spans="1:14">
      <c r="A4259" s="958" t="s">
        <v>363</v>
      </c>
      <c r="B4259" s="958">
        <v>41</v>
      </c>
      <c r="C4259" s="958" t="s">
        <v>3460</v>
      </c>
      <c r="D4259" s="957" t="s">
        <v>3459</v>
      </c>
      <c r="E4259" s="956">
        <v>9050</v>
      </c>
      <c r="F4259" s="955"/>
      <c r="L4259" s="954"/>
      <c r="M4259" s="952"/>
      <c r="N4259" s="952"/>
    </row>
    <row r="4260" spans="1:14">
      <c r="A4260" s="958" t="s">
        <v>363</v>
      </c>
      <c r="B4260" s="958">
        <v>41</v>
      </c>
      <c r="C4260" s="958" t="s">
        <v>3458</v>
      </c>
      <c r="D4260" s="957" t="s">
        <v>3457</v>
      </c>
      <c r="E4260" s="956">
        <v>5551</v>
      </c>
      <c r="F4260" s="955"/>
      <c r="L4260" s="954"/>
      <c r="M4260" s="952"/>
      <c r="N4260" s="952"/>
    </row>
    <row r="4261" spans="1:14">
      <c r="A4261" s="958" t="s">
        <v>363</v>
      </c>
      <c r="B4261" s="958">
        <v>41</v>
      </c>
      <c r="C4261" s="958" t="s">
        <v>3456</v>
      </c>
      <c r="D4261" s="957" t="s">
        <v>3455</v>
      </c>
      <c r="E4261" s="956">
        <v>5641</v>
      </c>
      <c r="F4261" s="955"/>
      <c r="L4261" s="954"/>
      <c r="M4261" s="952"/>
      <c r="N4261" s="952"/>
    </row>
    <row r="4262" spans="1:14">
      <c r="A4262" s="958" t="s">
        <v>363</v>
      </c>
      <c r="B4262" s="958">
        <v>41</v>
      </c>
      <c r="C4262" s="958" t="s">
        <v>3454</v>
      </c>
      <c r="D4262" s="957" t="s">
        <v>3453</v>
      </c>
      <c r="E4262" s="956">
        <v>6206</v>
      </c>
      <c r="F4262" s="955"/>
      <c r="L4262" s="954"/>
      <c r="M4262" s="952"/>
      <c r="N4262" s="952"/>
    </row>
    <row r="4263" spans="1:14">
      <c r="A4263" s="958" t="s">
        <v>363</v>
      </c>
      <c r="B4263" s="958">
        <v>41</v>
      </c>
      <c r="C4263" s="958" t="s">
        <v>3452</v>
      </c>
      <c r="D4263" s="957" t="s">
        <v>3451</v>
      </c>
      <c r="E4263" s="956">
        <v>3654</v>
      </c>
      <c r="F4263" s="955"/>
      <c r="L4263" s="954"/>
      <c r="M4263" s="952"/>
      <c r="N4263" s="952"/>
    </row>
    <row r="4264" spans="1:14">
      <c r="A4264" s="958" t="s">
        <v>363</v>
      </c>
      <c r="B4264" s="958">
        <v>41</v>
      </c>
      <c r="C4264" s="958" t="s">
        <v>3450</v>
      </c>
      <c r="D4264" s="957" t="s">
        <v>3449</v>
      </c>
      <c r="E4264" s="956">
        <v>323340</v>
      </c>
      <c r="F4264" s="955"/>
      <c r="L4264" s="954"/>
      <c r="M4264" s="952"/>
      <c r="N4264" s="952"/>
    </row>
    <row r="4265" spans="1:14">
      <c r="A4265" s="958" t="s">
        <v>363</v>
      </c>
      <c r="B4265" s="958">
        <v>41</v>
      </c>
      <c r="C4265" s="958" t="s">
        <v>3448</v>
      </c>
      <c r="D4265" s="957" t="s">
        <v>3447</v>
      </c>
      <c r="E4265" s="956">
        <v>2160</v>
      </c>
      <c r="F4265" s="955"/>
      <c r="L4265" s="954"/>
      <c r="M4265" s="952"/>
      <c r="N4265" s="952"/>
    </row>
    <row r="4266" spans="1:14">
      <c r="A4266" s="958" t="s">
        <v>363</v>
      </c>
      <c r="B4266" s="958">
        <v>41</v>
      </c>
      <c r="C4266" s="958" t="s">
        <v>3446</v>
      </c>
      <c r="D4266" s="957" t="s">
        <v>3445</v>
      </c>
      <c r="E4266" s="956">
        <v>46261</v>
      </c>
      <c r="F4266" s="955"/>
      <c r="L4266" s="954"/>
      <c r="M4266" s="952"/>
      <c r="N4266" s="952"/>
    </row>
    <row r="4267" spans="1:14">
      <c r="A4267" s="958" t="s">
        <v>363</v>
      </c>
      <c r="B4267" s="958">
        <v>41</v>
      </c>
      <c r="C4267" s="958" t="s">
        <v>3444</v>
      </c>
      <c r="D4267" s="957" t="s">
        <v>3443</v>
      </c>
      <c r="E4267" s="956">
        <v>27452</v>
      </c>
      <c r="F4267" s="955"/>
      <c r="L4267" s="954"/>
      <c r="M4267" s="952"/>
      <c r="N4267" s="952"/>
    </row>
    <row r="4268" spans="1:14">
      <c r="A4268" s="958" t="s">
        <v>363</v>
      </c>
      <c r="B4268" s="958">
        <v>41</v>
      </c>
      <c r="C4268" s="958" t="s">
        <v>3442</v>
      </c>
      <c r="D4268" s="957" t="s">
        <v>3441</v>
      </c>
      <c r="E4268" s="956">
        <v>5897</v>
      </c>
      <c r="F4268" s="955"/>
      <c r="L4268" s="954"/>
      <c r="M4268" s="952"/>
      <c r="N4268" s="952"/>
    </row>
    <row r="4269" spans="1:14">
      <c r="A4269" s="958" t="s">
        <v>363</v>
      </c>
      <c r="B4269" s="958">
        <v>41</v>
      </c>
      <c r="C4269" s="958" t="s">
        <v>3440</v>
      </c>
      <c r="D4269" s="957" t="s">
        <v>3439</v>
      </c>
      <c r="E4269" s="956">
        <v>10981</v>
      </c>
      <c r="F4269" s="955"/>
      <c r="L4269" s="954"/>
      <c r="M4269" s="952"/>
      <c r="N4269" s="952"/>
    </row>
    <row r="4270" spans="1:14">
      <c r="A4270" s="958" t="s">
        <v>363</v>
      </c>
      <c r="B4270" s="958">
        <v>41</v>
      </c>
      <c r="C4270" s="958" t="s">
        <v>3438</v>
      </c>
      <c r="D4270" s="957" t="s">
        <v>3437</v>
      </c>
      <c r="E4270" s="956">
        <v>2313</v>
      </c>
      <c r="F4270" s="955"/>
      <c r="L4270" s="954"/>
      <c r="M4270" s="952"/>
      <c r="N4270" s="952"/>
    </row>
    <row r="4271" spans="1:14">
      <c r="A4271" s="958" t="s">
        <v>363</v>
      </c>
      <c r="B4271" s="958">
        <v>41</v>
      </c>
      <c r="C4271" s="958" t="s">
        <v>3436</v>
      </c>
      <c r="D4271" s="957" t="s">
        <v>3435</v>
      </c>
      <c r="E4271" s="956">
        <v>8853</v>
      </c>
      <c r="F4271" s="955"/>
      <c r="L4271" s="954"/>
      <c r="M4271" s="952"/>
      <c r="N4271" s="952"/>
    </row>
    <row r="4272" spans="1:14">
      <c r="A4272" s="958" t="s">
        <v>363</v>
      </c>
      <c r="B4272" s="958">
        <v>41</v>
      </c>
      <c r="C4272" s="958" t="s">
        <v>3434</v>
      </c>
      <c r="D4272" s="957" t="s">
        <v>3433</v>
      </c>
      <c r="E4272" s="956">
        <v>5722</v>
      </c>
      <c r="F4272" s="955"/>
      <c r="L4272" s="954"/>
      <c r="M4272" s="952"/>
      <c r="N4272" s="952"/>
    </row>
    <row r="4273" spans="1:14">
      <c r="A4273" s="958" t="s">
        <v>363</v>
      </c>
      <c r="B4273" s="958">
        <v>41</v>
      </c>
      <c r="C4273" s="958" t="s">
        <v>3432</v>
      </c>
      <c r="D4273" s="957" t="s">
        <v>3431</v>
      </c>
      <c r="E4273" s="956">
        <v>6736</v>
      </c>
      <c r="F4273" s="955"/>
      <c r="L4273" s="954"/>
      <c r="M4273" s="952"/>
      <c r="N4273" s="952"/>
    </row>
    <row r="4274" spans="1:14">
      <c r="A4274" s="958" t="s">
        <v>363</v>
      </c>
      <c r="B4274" s="958">
        <v>41</v>
      </c>
      <c r="C4274" s="958" t="s">
        <v>3430</v>
      </c>
      <c r="D4274" s="957" t="s">
        <v>1927</v>
      </c>
      <c r="E4274" s="956">
        <v>96688</v>
      </c>
      <c r="F4274" s="955"/>
      <c r="L4274" s="954"/>
      <c r="M4274" s="952"/>
      <c r="N4274" s="952"/>
    </row>
    <row r="4275" spans="1:14">
      <c r="A4275" s="958" t="s">
        <v>363</v>
      </c>
      <c r="B4275" s="958">
        <v>41</v>
      </c>
      <c r="C4275" s="958" t="s">
        <v>3429</v>
      </c>
      <c r="D4275" s="957" t="s">
        <v>3428</v>
      </c>
      <c r="E4275" s="956">
        <v>5500</v>
      </c>
      <c r="F4275" s="955"/>
      <c r="L4275" s="954"/>
      <c r="M4275" s="952"/>
      <c r="N4275" s="952"/>
    </row>
    <row r="4276" spans="1:14">
      <c r="A4276" s="958" t="s">
        <v>363</v>
      </c>
      <c r="B4276" s="958">
        <v>41</v>
      </c>
      <c r="C4276" s="958" t="s">
        <v>3427</v>
      </c>
      <c r="D4276" s="957" t="s">
        <v>3426</v>
      </c>
      <c r="E4276" s="956">
        <v>19327</v>
      </c>
      <c r="F4276" s="955"/>
      <c r="L4276" s="954"/>
      <c r="M4276" s="952"/>
      <c r="N4276" s="952"/>
    </row>
    <row r="4277" spans="1:14">
      <c r="A4277" s="958" t="s">
        <v>363</v>
      </c>
      <c r="B4277" s="958">
        <v>41</v>
      </c>
      <c r="C4277" s="958" t="s">
        <v>3425</v>
      </c>
      <c r="D4277" s="957" t="s">
        <v>3424</v>
      </c>
      <c r="E4277" s="956">
        <v>4495</v>
      </c>
      <c r="F4277" s="955"/>
      <c r="L4277" s="954"/>
      <c r="M4277" s="952"/>
      <c r="N4277" s="952"/>
    </row>
    <row r="4278" spans="1:14">
      <c r="A4278" s="958" t="s">
        <v>363</v>
      </c>
      <c r="B4278" s="958">
        <v>41</v>
      </c>
      <c r="C4278" s="958" t="s">
        <v>3423</v>
      </c>
      <c r="D4278" s="957" t="s">
        <v>3422</v>
      </c>
      <c r="E4278" s="956">
        <v>5284</v>
      </c>
      <c r="F4278" s="955"/>
      <c r="L4278" s="954"/>
      <c r="M4278" s="952"/>
      <c r="N4278" s="952"/>
    </row>
    <row r="4279" spans="1:14">
      <c r="A4279" s="958" t="s">
        <v>363</v>
      </c>
      <c r="B4279" s="958">
        <v>41</v>
      </c>
      <c r="C4279" s="958" t="s">
        <v>3421</v>
      </c>
      <c r="D4279" s="957" t="s">
        <v>3420</v>
      </c>
      <c r="E4279" s="956">
        <v>16369</v>
      </c>
      <c r="F4279" s="955"/>
      <c r="L4279" s="954"/>
      <c r="M4279" s="952"/>
      <c r="N4279" s="952"/>
    </row>
    <row r="4280" spans="1:14">
      <c r="A4280" s="958" t="s">
        <v>363</v>
      </c>
      <c r="B4280" s="958">
        <v>41</v>
      </c>
      <c r="C4280" s="958" t="s">
        <v>3419</v>
      </c>
      <c r="D4280" s="957" t="s">
        <v>3418</v>
      </c>
      <c r="E4280" s="956">
        <v>21016</v>
      </c>
      <c r="F4280" s="955"/>
      <c r="L4280" s="954"/>
      <c r="M4280" s="952"/>
      <c r="N4280" s="952"/>
    </row>
    <row r="4281" spans="1:14">
      <c r="A4281" s="958" t="s">
        <v>363</v>
      </c>
      <c r="B4281" s="958">
        <v>41</v>
      </c>
      <c r="C4281" s="958" t="s">
        <v>3417</v>
      </c>
      <c r="D4281" s="957" t="s">
        <v>3416</v>
      </c>
      <c r="E4281" s="956">
        <v>2981</v>
      </c>
      <c r="F4281" s="955"/>
      <c r="L4281" s="954"/>
      <c r="M4281" s="952"/>
      <c r="N4281" s="952"/>
    </row>
    <row r="4282" spans="1:14">
      <c r="A4282" s="958" t="s">
        <v>363</v>
      </c>
      <c r="B4282" s="958">
        <v>41</v>
      </c>
      <c r="C4282" s="958" t="s">
        <v>3415</v>
      </c>
      <c r="D4282" s="957" t="s">
        <v>3414</v>
      </c>
      <c r="E4282" s="956">
        <v>14797</v>
      </c>
      <c r="F4282" s="955"/>
      <c r="L4282" s="954"/>
      <c r="M4282" s="952"/>
      <c r="N4282" s="952"/>
    </row>
    <row r="4283" spans="1:14">
      <c r="A4283" s="958" t="s">
        <v>363</v>
      </c>
      <c r="B4283" s="958">
        <v>41</v>
      </c>
      <c r="C4283" s="958" t="s">
        <v>3413</v>
      </c>
      <c r="D4283" s="957" t="s">
        <v>3412</v>
      </c>
      <c r="E4283" s="956">
        <v>5120</v>
      </c>
      <c r="F4283" s="955"/>
      <c r="L4283" s="954"/>
      <c r="M4283" s="952"/>
      <c r="N4283" s="952"/>
    </row>
    <row r="4284" spans="1:14">
      <c r="A4284" s="958" t="s">
        <v>363</v>
      </c>
      <c r="B4284" s="958">
        <v>41</v>
      </c>
      <c r="C4284" s="958" t="s">
        <v>3411</v>
      </c>
      <c r="D4284" s="957" t="s">
        <v>1891</v>
      </c>
      <c r="E4284" s="956">
        <v>16205</v>
      </c>
      <c r="F4284" s="955"/>
      <c r="L4284" s="954"/>
      <c r="M4284" s="952"/>
      <c r="N4284" s="952"/>
    </row>
    <row r="4285" spans="1:14">
      <c r="A4285" s="958" t="s">
        <v>363</v>
      </c>
      <c r="B4285" s="958">
        <v>41</v>
      </c>
      <c r="C4285" s="958" t="s">
        <v>3410</v>
      </c>
      <c r="D4285" s="957" t="s">
        <v>3409</v>
      </c>
      <c r="E4285" s="956">
        <v>5539</v>
      </c>
      <c r="F4285" s="955"/>
      <c r="L4285" s="954"/>
      <c r="M4285" s="952"/>
      <c r="N4285" s="952"/>
    </row>
    <row r="4286" spans="1:14">
      <c r="A4286" s="958" t="s">
        <v>363</v>
      </c>
      <c r="B4286" s="958">
        <v>41</v>
      </c>
      <c r="C4286" s="958" t="s">
        <v>3408</v>
      </c>
      <c r="D4286" s="957" t="s">
        <v>3407</v>
      </c>
      <c r="E4286" s="956">
        <v>12367</v>
      </c>
      <c r="F4286" s="955"/>
      <c r="L4286" s="954"/>
      <c r="M4286" s="952"/>
      <c r="N4286" s="952"/>
    </row>
    <row r="4287" spans="1:14">
      <c r="A4287" s="958" t="s">
        <v>363</v>
      </c>
      <c r="B4287" s="958">
        <v>41</v>
      </c>
      <c r="C4287" s="958" t="s">
        <v>3406</v>
      </c>
      <c r="D4287" s="957" t="s">
        <v>3405</v>
      </c>
      <c r="E4287" s="956">
        <v>78974</v>
      </c>
      <c r="F4287" s="955"/>
      <c r="L4287" s="954"/>
      <c r="M4287" s="952"/>
      <c r="N4287" s="952"/>
    </row>
    <row r="4288" spans="1:14">
      <c r="A4288" s="958" t="s">
        <v>363</v>
      </c>
      <c r="B4288" s="958">
        <v>41</v>
      </c>
      <c r="C4288" s="958" t="s">
        <v>3404</v>
      </c>
      <c r="D4288" s="957" t="s">
        <v>3403</v>
      </c>
      <c r="E4288" s="956">
        <v>17094</v>
      </c>
      <c r="F4288" s="955"/>
      <c r="L4288" s="954"/>
      <c r="M4288" s="952"/>
      <c r="N4288" s="952"/>
    </row>
    <row r="4289" spans="1:14">
      <c r="A4289" s="958" t="s">
        <v>363</v>
      </c>
      <c r="B4289" s="958">
        <v>41</v>
      </c>
      <c r="C4289" s="958" t="s">
        <v>3402</v>
      </c>
      <c r="D4289" s="957" t="s">
        <v>3401</v>
      </c>
      <c r="E4289" s="956">
        <v>16789</v>
      </c>
      <c r="F4289" s="955"/>
      <c r="L4289" s="954"/>
      <c r="M4289" s="952"/>
      <c r="N4289" s="952"/>
    </row>
    <row r="4290" spans="1:14">
      <c r="A4290" s="958" t="s">
        <v>363</v>
      </c>
      <c r="B4290" s="958">
        <v>41</v>
      </c>
      <c r="C4290" s="958" t="s">
        <v>3400</v>
      </c>
      <c r="D4290" s="957" t="s">
        <v>3399</v>
      </c>
      <c r="E4290" s="956">
        <v>17481</v>
      </c>
      <c r="F4290" s="955"/>
      <c r="L4290" s="954"/>
      <c r="M4290" s="952"/>
      <c r="N4290" s="952"/>
    </row>
    <row r="4291" spans="1:14">
      <c r="A4291" s="958" t="s">
        <v>363</v>
      </c>
      <c r="B4291" s="958">
        <v>41</v>
      </c>
      <c r="C4291" s="958" t="s">
        <v>3398</v>
      </c>
      <c r="D4291" s="957" t="s">
        <v>3397</v>
      </c>
      <c r="E4291" s="956">
        <v>20522</v>
      </c>
      <c r="F4291" s="955"/>
      <c r="L4291" s="954"/>
      <c r="M4291" s="952"/>
      <c r="N4291" s="952"/>
    </row>
    <row r="4292" spans="1:14">
      <c r="A4292" s="958" t="s">
        <v>363</v>
      </c>
      <c r="B4292" s="958">
        <v>41</v>
      </c>
      <c r="C4292" s="958" t="s">
        <v>3396</v>
      </c>
      <c r="D4292" s="957" t="s">
        <v>3395</v>
      </c>
      <c r="E4292" s="956">
        <v>16868</v>
      </c>
      <c r="F4292" s="955"/>
      <c r="L4292" s="954"/>
      <c r="M4292" s="952"/>
      <c r="N4292" s="952"/>
    </row>
    <row r="4293" spans="1:14">
      <c r="A4293" s="958" t="s">
        <v>363</v>
      </c>
      <c r="B4293" s="958">
        <v>41</v>
      </c>
      <c r="C4293" s="958" t="s">
        <v>3394</v>
      </c>
      <c r="D4293" s="957" t="s">
        <v>3393</v>
      </c>
      <c r="E4293" s="956">
        <v>140635</v>
      </c>
      <c r="F4293" s="955"/>
      <c r="L4293" s="954"/>
      <c r="M4293" s="952"/>
      <c r="N4293" s="952"/>
    </row>
    <row r="4294" spans="1:14">
      <c r="A4294" s="958" t="s">
        <v>363</v>
      </c>
      <c r="B4294" s="958">
        <v>41</v>
      </c>
      <c r="C4294" s="958" t="s">
        <v>3392</v>
      </c>
      <c r="D4294" s="957" t="s">
        <v>3391</v>
      </c>
      <c r="E4294" s="956">
        <v>7918</v>
      </c>
      <c r="F4294" s="955"/>
      <c r="L4294" s="954"/>
      <c r="M4294" s="952"/>
      <c r="N4294" s="952"/>
    </row>
    <row r="4295" spans="1:14">
      <c r="A4295" s="958" t="s">
        <v>363</v>
      </c>
      <c r="B4295" s="958">
        <v>41</v>
      </c>
      <c r="C4295" s="958" t="s">
        <v>3390</v>
      </c>
      <c r="D4295" s="957" t="s">
        <v>3389</v>
      </c>
      <c r="E4295" s="956">
        <v>12040</v>
      </c>
      <c r="F4295" s="955"/>
      <c r="L4295" s="954"/>
      <c r="M4295" s="952"/>
      <c r="N4295" s="952"/>
    </row>
    <row r="4296" spans="1:14">
      <c r="A4296" s="958" t="s">
        <v>363</v>
      </c>
      <c r="B4296" s="958">
        <v>41</v>
      </c>
      <c r="C4296" s="958" t="s">
        <v>3388</v>
      </c>
      <c r="D4296" s="957" t="s">
        <v>3387</v>
      </c>
      <c r="E4296" s="956">
        <v>8769</v>
      </c>
      <c r="F4296" s="955"/>
      <c r="L4296" s="954"/>
      <c r="M4296" s="952"/>
      <c r="N4296" s="952"/>
    </row>
    <row r="4297" spans="1:14">
      <c r="A4297" s="958" t="s">
        <v>363</v>
      </c>
      <c r="B4297" s="958">
        <v>41</v>
      </c>
      <c r="C4297" s="958" t="s">
        <v>3386</v>
      </c>
      <c r="D4297" s="957" t="s">
        <v>3385</v>
      </c>
      <c r="E4297" s="956">
        <v>8566</v>
      </c>
      <c r="F4297" s="955"/>
      <c r="L4297" s="954"/>
      <c r="M4297" s="952"/>
      <c r="N4297" s="952"/>
    </row>
    <row r="4298" spans="1:14">
      <c r="A4298" s="958" t="s">
        <v>363</v>
      </c>
      <c r="B4298" s="958">
        <v>41</v>
      </c>
      <c r="C4298" s="958" t="s">
        <v>3384</v>
      </c>
      <c r="D4298" s="957" t="s">
        <v>3383</v>
      </c>
      <c r="E4298" s="956">
        <v>8124</v>
      </c>
      <c r="F4298" s="955"/>
      <c r="L4298" s="954"/>
      <c r="M4298" s="952"/>
      <c r="N4298" s="952"/>
    </row>
    <row r="4299" spans="1:14">
      <c r="A4299" s="958" t="s">
        <v>363</v>
      </c>
      <c r="B4299" s="958">
        <v>41</v>
      </c>
      <c r="C4299" s="958" t="s">
        <v>3382</v>
      </c>
      <c r="D4299" s="957" t="s">
        <v>2801</v>
      </c>
      <c r="E4299" s="956">
        <v>13215</v>
      </c>
      <c r="F4299" s="955"/>
      <c r="L4299" s="954"/>
      <c r="M4299" s="952"/>
      <c r="N4299" s="952"/>
    </row>
    <row r="4300" spans="1:14">
      <c r="A4300" s="958" t="s">
        <v>363</v>
      </c>
      <c r="B4300" s="958">
        <v>41</v>
      </c>
      <c r="C4300" s="958" t="s">
        <v>3381</v>
      </c>
      <c r="D4300" s="957" t="s">
        <v>3380</v>
      </c>
      <c r="E4300" s="956">
        <v>21013</v>
      </c>
      <c r="F4300" s="955"/>
      <c r="L4300" s="954"/>
      <c r="M4300" s="952"/>
      <c r="N4300" s="952"/>
    </row>
    <row r="4301" spans="1:14">
      <c r="A4301" s="958" t="s">
        <v>363</v>
      </c>
      <c r="B4301" s="958">
        <v>41</v>
      </c>
      <c r="C4301" s="958" t="s">
        <v>3379</v>
      </c>
      <c r="D4301" s="957" t="s">
        <v>3378</v>
      </c>
      <c r="E4301" s="956">
        <v>111557</v>
      </c>
      <c r="F4301" s="955"/>
      <c r="L4301" s="954"/>
      <c r="M4301" s="952"/>
      <c r="N4301" s="952"/>
    </row>
    <row r="4302" spans="1:14">
      <c r="A4302" s="958" t="s">
        <v>363</v>
      </c>
      <c r="B4302" s="958">
        <v>41</v>
      </c>
      <c r="C4302" s="958" t="s">
        <v>3377</v>
      </c>
      <c r="D4302" s="957" t="s">
        <v>3376</v>
      </c>
      <c r="E4302" s="956">
        <v>57517</v>
      </c>
      <c r="F4302" s="955"/>
      <c r="L4302" s="954"/>
      <c r="M4302" s="952"/>
      <c r="N4302" s="952"/>
    </row>
    <row r="4303" spans="1:14">
      <c r="A4303" s="958" t="s">
        <v>363</v>
      </c>
      <c r="B4303" s="958">
        <v>41</v>
      </c>
      <c r="C4303" s="958" t="s">
        <v>3375</v>
      </c>
      <c r="D4303" s="957" t="s">
        <v>3374</v>
      </c>
      <c r="E4303" s="956">
        <v>2605</v>
      </c>
      <c r="F4303" s="955"/>
      <c r="L4303" s="954"/>
      <c r="M4303" s="952"/>
      <c r="N4303" s="952"/>
    </row>
    <row r="4304" spans="1:14">
      <c r="A4304" s="958" t="s">
        <v>363</v>
      </c>
      <c r="B4304" s="958">
        <v>41</v>
      </c>
      <c r="C4304" s="958" t="s">
        <v>3373</v>
      </c>
      <c r="D4304" s="957" t="s">
        <v>3372</v>
      </c>
      <c r="E4304" s="956">
        <v>11314</v>
      </c>
      <c r="F4304" s="955"/>
      <c r="L4304" s="954"/>
      <c r="M4304" s="952"/>
      <c r="N4304" s="952"/>
    </row>
    <row r="4305" spans="1:14">
      <c r="A4305" s="958" t="s">
        <v>363</v>
      </c>
      <c r="B4305" s="958">
        <v>41</v>
      </c>
      <c r="C4305" s="958" t="s">
        <v>3371</v>
      </c>
      <c r="D4305" s="957" t="s">
        <v>3370</v>
      </c>
      <c r="E4305" s="956">
        <v>19414</v>
      </c>
      <c r="F4305" s="955"/>
      <c r="L4305" s="954"/>
      <c r="M4305" s="952"/>
      <c r="N4305" s="952"/>
    </row>
    <row r="4306" spans="1:14">
      <c r="A4306" s="958" t="s">
        <v>363</v>
      </c>
      <c r="B4306" s="958">
        <v>41</v>
      </c>
      <c r="C4306" s="958" t="s">
        <v>3369</v>
      </c>
      <c r="D4306" s="957" t="s">
        <v>3368</v>
      </c>
      <c r="E4306" s="956">
        <v>11892</v>
      </c>
      <c r="F4306" s="955"/>
      <c r="L4306" s="954"/>
      <c r="M4306" s="952"/>
      <c r="N4306" s="952"/>
    </row>
    <row r="4307" spans="1:14">
      <c r="A4307" s="958" t="s">
        <v>363</v>
      </c>
      <c r="B4307" s="958">
        <v>41</v>
      </c>
      <c r="C4307" s="958" t="s">
        <v>3367</v>
      </c>
      <c r="D4307" s="957" t="s">
        <v>3366</v>
      </c>
      <c r="E4307" s="956">
        <v>8521</v>
      </c>
      <c r="F4307" s="955"/>
      <c r="L4307" s="954"/>
      <c r="M4307" s="952"/>
      <c r="N4307" s="952"/>
    </row>
    <row r="4308" spans="1:14">
      <c r="A4308" s="958" t="s">
        <v>363</v>
      </c>
      <c r="B4308" s="958">
        <v>41</v>
      </c>
      <c r="C4308" s="958" t="s">
        <v>3365</v>
      </c>
      <c r="D4308" s="957" t="s">
        <v>3364</v>
      </c>
      <c r="E4308" s="956">
        <v>7257</v>
      </c>
      <c r="F4308" s="955"/>
      <c r="L4308" s="954"/>
      <c r="M4308" s="952"/>
      <c r="N4308" s="952"/>
    </row>
    <row r="4309" spans="1:14">
      <c r="A4309" s="958" t="s">
        <v>363</v>
      </c>
      <c r="B4309" s="958">
        <v>41</v>
      </c>
      <c r="C4309" s="958" t="s">
        <v>3363</v>
      </c>
      <c r="D4309" s="957" t="s">
        <v>3362</v>
      </c>
      <c r="E4309" s="956">
        <v>2741</v>
      </c>
      <c r="F4309" s="955"/>
      <c r="L4309" s="954"/>
      <c r="M4309" s="952"/>
      <c r="N4309" s="952"/>
    </row>
    <row r="4310" spans="1:14">
      <c r="A4310" s="958" t="s">
        <v>363</v>
      </c>
      <c r="B4310" s="958">
        <v>41</v>
      </c>
      <c r="C4310" s="958" t="s">
        <v>3361</v>
      </c>
      <c r="D4310" s="957" t="s">
        <v>3360</v>
      </c>
      <c r="E4310" s="956">
        <v>5580</v>
      </c>
      <c r="F4310" s="955"/>
      <c r="L4310" s="954"/>
      <c r="M4310" s="952"/>
      <c r="N4310" s="952"/>
    </row>
    <row r="4311" spans="1:14">
      <c r="A4311" s="958" t="s">
        <v>363</v>
      </c>
      <c r="B4311" s="958">
        <v>41</v>
      </c>
      <c r="C4311" s="958" t="s">
        <v>3359</v>
      </c>
      <c r="D4311" s="957" t="s">
        <v>3358</v>
      </c>
      <c r="E4311" s="956">
        <v>4023</v>
      </c>
      <c r="F4311" s="955"/>
      <c r="L4311" s="954"/>
      <c r="M4311" s="952"/>
      <c r="N4311" s="952"/>
    </row>
    <row r="4312" spans="1:14">
      <c r="A4312" s="958" t="s">
        <v>363</v>
      </c>
      <c r="B4312" s="958">
        <v>41</v>
      </c>
      <c r="C4312" s="958" t="s">
        <v>3357</v>
      </c>
      <c r="D4312" s="957" t="s">
        <v>3356</v>
      </c>
      <c r="E4312" s="956">
        <v>6838</v>
      </c>
      <c r="F4312" s="955"/>
      <c r="L4312" s="954"/>
      <c r="M4312" s="952"/>
      <c r="N4312" s="952"/>
    </row>
    <row r="4313" spans="1:14">
      <c r="A4313" s="958" t="s">
        <v>363</v>
      </c>
      <c r="B4313" s="958">
        <v>41</v>
      </c>
      <c r="C4313" s="958" t="s">
        <v>3355</v>
      </c>
      <c r="D4313" s="957" t="s">
        <v>3354</v>
      </c>
      <c r="E4313" s="956">
        <v>5679</v>
      </c>
      <c r="F4313" s="955"/>
      <c r="L4313" s="954"/>
      <c r="M4313" s="952"/>
      <c r="N4313" s="952"/>
    </row>
    <row r="4314" spans="1:14">
      <c r="A4314" s="958" t="s">
        <v>355</v>
      </c>
      <c r="B4314" s="958">
        <v>42</v>
      </c>
      <c r="C4314" s="958" t="s">
        <v>3353</v>
      </c>
      <c r="D4314" s="957" t="s">
        <v>3352</v>
      </c>
      <c r="E4314" s="956">
        <v>2563</v>
      </c>
      <c r="F4314" s="955"/>
      <c r="L4314" s="954"/>
      <c r="M4314" s="952"/>
      <c r="N4314" s="952"/>
    </row>
    <row r="4315" spans="1:14">
      <c r="A4315" s="958" t="s">
        <v>355</v>
      </c>
      <c r="B4315" s="958">
        <v>42</v>
      </c>
      <c r="C4315" s="958" t="s">
        <v>3351</v>
      </c>
      <c r="D4315" s="957" t="s">
        <v>3350</v>
      </c>
      <c r="E4315" s="956">
        <v>17904</v>
      </c>
      <c r="F4315" s="955"/>
      <c r="L4315" s="954"/>
      <c r="M4315" s="952"/>
      <c r="N4315" s="952"/>
    </row>
    <row r="4316" spans="1:14">
      <c r="A4316" s="958" t="s">
        <v>355</v>
      </c>
      <c r="B4316" s="958">
        <v>42</v>
      </c>
      <c r="C4316" s="958" t="s">
        <v>3349</v>
      </c>
      <c r="D4316" s="957" t="s">
        <v>3348</v>
      </c>
      <c r="E4316" s="956">
        <v>10864</v>
      </c>
      <c r="F4316" s="955"/>
      <c r="L4316" s="954"/>
      <c r="M4316" s="952"/>
      <c r="N4316" s="952"/>
    </row>
    <row r="4317" spans="1:14">
      <c r="A4317" s="958" t="s">
        <v>355</v>
      </c>
      <c r="B4317" s="958">
        <v>42</v>
      </c>
      <c r="C4317" s="958" t="s">
        <v>3347</v>
      </c>
      <c r="D4317" s="957" t="s">
        <v>3346</v>
      </c>
      <c r="E4317" s="956">
        <v>5448</v>
      </c>
      <c r="F4317" s="955"/>
      <c r="L4317" s="954"/>
      <c r="M4317" s="952"/>
      <c r="N4317" s="952"/>
    </row>
    <row r="4318" spans="1:14">
      <c r="A4318" s="958" t="s">
        <v>355</v>
      </c>
      <c r="B4318" s="958">
        <v>42</v>
      </c>
      <c r="C4318" s="958" t="s">
        <v>3345</v>
      </c>
      <c r="D4318" s="957" t="s">
        <v>3344</v>
      </c>
      <c r="E4318" s="956">
        <v>7145</v>
      </c>
      <c r="F4318" s="955"/>
      <c r="L4318" s="954"/>
      <c r="M4318" s="952"/>
      <c r="N4318" s="952"/>
    </row>
    <row r="4319" spans="1:14">
      <c r="A4319" s="958" t="s">
        <v>355</v>
      </c>
      <c r="B4319" s="958">
        <v>42</v>
      </c>
      <c r="C4319" s="958" t="s">
        <v>3343</v>
      </c>
      <c r="D4319" s="957" t="s">
        <v>3342</v>
      </c>
      <c r="E4319" s="956">
        <v>6486</v>
      </c>
      <c r="F4319" s="955"/>
      <c r="L4319" s="954"/>
      <c r="M4319" s="952"/>
      <c r="N4319" s="952"/>
    </row>
    <row r="4320" spans="1:14">
      <c r="A4320" s="958" t="s">
        <v>355</v>
      </c>
      <c r="B4320" s="958">
        <v>42</v>
      </c>
      <c r="C4320" s="958" t="s">
        <v>3341</v>
      </c>
      <c r="D4320" s="957" t="s">
        <v>3340</v>
      </c>
      <c r="E4320" s="956">
        <v>2366</v>
      </c>
      <c r="F4320" s="955"/>
      <c r="L4320" s="954"/>
      <c r="M4320" s="952"/>
      <c r="N4320" s="952"/>
    </row>
    <row r="4321" spans="1:14">
      <c r="A4321" s="958" t="s">
        <v>355</v>
      </c>
      <c r="B4321" s="958">
        <v>42</v>
      </c>
      <c r="C4321" s="958" t="s">
        <v>3339</v>
      </c>
      <c r="D4321" s="957" t="s">
        <v>3338</v>
      </c>
      <c r="E4321" s="956">
        <v>6469</v>
      </c>
      <c r="F4321" s="955"/>
      <c r="L4321" s="954"/>
      <c r="M4321" s="952"/>
      <c r="N4321" s="952"/>
    </row>
    <row r="4322" spans="1:14">
      <c r="A4322" s="958" t="s">
        <v>355</v>
      </c>
      <c r="B4322" s="958">
        <v>42</v>
      </c>
      <c r="C4322" s="958" t="s">
        <v>3337</v>
      </c>
      <c r="D4322" s="957" t="s">
        <v>3336</v>
      </c>
      <c r="E4322" s="956">
        <v>10036</v>
      </c>
      <c r="F4322" s="955"/>
      <c r="L4322" s="954"/>
      <c r="M4322" s="952"/>
      <c r="N4322" s="952"/>
    </row>
    <row r="4323" spans="1:14">
      <c r="A4323" s="958" t="s">
        <v>355</v>
      </c>
      <c r="B4323" s="958">
        <v>42</v>
      </c>
      <c r="C4323" s="958" t="s">
        <v>3335</v>
      </c>
      <c r="D4323" s="957" t="s">
        <v>3334</v>
      </c>
      <c r="E4323" s="956">
        <v>1937</v>
      </c>
      <c r="F4323" s="955"/>
      <c r="L4323" s="954"/>
      <c r="M4323" s="952"/>
      <c r="N4323" s="952"/>
    </row>
    <row r="4324" spans="1:14">
      <c r="A4324" s="958" t="s">
        <v>355</v>
      </c>
      <c r="B4324" s="958">
        <v>42</v>
      </c>
      <c r="C4324" s="958" t="s">
        <v>3333</v>
      </c>
      <c r="D4324" s="957" t="s">
        <v>3332</v>
      </c>
      <c r="E4324" s="956">
        <v>5638</v>
      </c>
      <c r="F4324" s="955"/>
      <c r="L4324" s="954"/>
      <c r="M4324" s="952"/>
      <c r="N4324" s="952"/>
    </row>
    <row r="4325" spans="1:14">
      <c r="A4325" s="958" t="s">
        <v>355</v>
      </c>
      <c r="B4325" s="958">
        <v>42</v>
      </c>
      <c r="C4325" s="958" t="s">
        <v>3331</v>
      </c>
      <c r="D4325" s="957" t="s">
        <v>3330</v>
      </c>
      <c r="E4325" s="956">
        <v>4801</v>
      </c>
      <c r="F4325" s="955"/>
      <c r="L4325" s="954"/>
      <c r="M4325" s="952"/>
      <c r="N4325" s="952"/>
    </row>
    <row r="4326" spans="1:14">
      <c r="A4326" s="958" t="s">
        <v>355</v>
      </c>
      <c r="B4326" s="958">
        <v>42</v>
      </c>
      <c r="C4326" s="958" t="s">
        <v>3329</v>
      </c>
      <c r="D4326" s="957" t="s">
        <v>3328</v>
      </c>
      <c r="E4326" s="956">
        <v>7133</v>
      </c>
      <c r="F4326" s="955"/>
      <c r="L4326" s="954"/>
      <c r="M4326" s="952"/>
      <c r="N4326" s="952"/>
    </row>
    <row r="4327" spans="1:14">
      <c r="A4327" s="958" t="s">
        <v>355</v>
      </c>
      <c r="B4327" s="958">
        <v>42</v>
      </c>
      <c r="C4327" s="958" t="s">
        <v>3327</v>
      </c>
      <c r="D4327" s="957" t="s">
        <v>3326</v>
      </c>
      <c r="E4327" s="956">
        <v>3232</v>
      </c>
      <c r="F4327" s="955"/>
      <c r="L4327" s="954"/>
      <c r="M4327" s="952"/>
      <c r="N4327" s="952"/>
    </row>
    <row r="4328" spans="1:14">
      <c r="A4328" s="958" t="s">
        <v>355</v>
      </c>
      <c r="B4328" s="958">
        <v>42</v>
      </c>
      <c r="C4328" s="958" t="s">
        <v>3325</v>
      </c>
      <c r="D4328" s="957" t="s">
        <v>3324</v>
      </c>
      <c r="E4328" s="956">
        <v>8513</v>
      </c>
      <c r="F4328" s="955"/>
      <c r="L4328" s="954"/>
      <c r="M4328" s="952"/>
      <c r="N4328" s="952"/>
    </row>
    <row r="4329" spans="1:14">
      <c r="A4329" s="958" t="s">
        <v>355</v>
      </c>
      <c r="B4329" s="958">
        <v>42</v>
      </c>
      <c r="C4329" s="958" t="s">
        <v>3323</v>
      </c>
      <c r="D4329" s="957" t="s">
        <v>3322</v>
      </c>
      <c r="E4329" s="956">
        <v>10743</v>
      </c>
      <c r="F4329" s="955"/>
      <c r="L4329" s="954"/>
      <c r="M4329" s="952"/>
      <c r="N4329" s="952"/>
    </row>
    <row r="4330" spans="1:14">
      <c r="A4330" s="958" t="s">
        <v>355</v>
      </c>
      <c r="B4330" s="958">
        <v>42</v>
      </c>
      <c r="C4330" s="958" t="s">
        <v>3321</v>
      </c>
      <c r="D4330" s="957" t="s">
        <v>3320</v>
      </c>
      <c r="E4330" s="956">
        <v>4267</v>
      </c>
      <c r="F4330" s="955"/>
      <c r="L4330" s="954"/>
      <c r="M4330" s="952"/>
      <c r="N4330" s="952"/>
    </row>
    <row r="4331" spans="1:14">
      <c r="A4331" s="958" t="s">
        <v>355</v>
      </c>
      <c r="B4331" s="958">
        <v>42</v>
      </c>
      <c r="C4331" s="958" t="s">
        <v>3319</v>
      </c>
      <c r="D4331" s="957" t="s">
        <v>3318</v>
      </c>
      <c r="E4331" s="956">
        <v>38129</v>
      </c>
      <c r="F4331" s="955"/>
      <c r="L4331" s="954"/>
      <c r="M4331" s="952"/>
      <c r="N4331" s="952"/>
    </row>
    <row r="4332" spans="1:14">
      <c r="A4332" s="958" t="s">
        <v>355</v>
      </c>
      <c r="B4332" s="958">
        <v>42</v>
      </c>
      <c r="C4332" s="958" t="s">
        <v>3317</v>
      </c>
      <c r="D4332" s="957" t="s">
        <v>3316</v>
      </c>
      <c r="E4332" s="956">
        <v>68228</v>
      </c>
      <c r="F4332" s="955"/>
      <c r="L4332" s="954"/>
      <c r="M4332" s="952"/>
      <c r="N4332" s="952"/>
    </row>
    <row r="4333" spans="1:14">
      <c r="A4333" s="958" t="s">
        <v>355</v>
      </c>
      <c r="B4333" s="958">
        <v>42</v>
      </c>
      <c r="C4333" s="958" t="s">
        <v>3315</v>
      </c>
      <c r="D4333" s="957" t="s">
        <v>3314</v>
      </c>
      <c r="E4333" s="956">
        <v>8674</v>
      </c>
      <c r="F4333" s="955"/>
      <c r="L4333" s="954"/>
      <c r="M4333" s="952"/>
      <c r="N4333" s="952"/>
    </row>
    <row r="4334" spans="1:14">
      <c r="A4334" s="958" t="s">
        <v>355</v>
      </c>
      <c r="B4334" s="958">
        <v>42</v>
      </c>
      <c r="C4334" s="958" t="s">
        <v>3313</v>
      </c>
      <c r="D4334" s="957" t="s">
        <v>3312</v>
      </c>
      <c r="E4334" s="956">
        <v>3550</v>
      </c>
      <c r="F4334" s="955"/>
      <c r="L4334" s="954"/>
      <c r="M4334" s="952"/>
      <c r="N4334" s="952"/>
    </row>
    <row r="4335" spans="1:14">
      <c r="A4335" s="958" t="s">
        <v>355</v>
      </c>
      <c r="B4335" s="958">
        <v>42</v>
      </c>
      <c r="C4335" s="958" t="s">
        <v>3311</v>
      </c>
      <c r="D4335" s="957" t="s">
        <v>3310</v>
      </c>
      <c r="E4335" s="956">
        <v>2240</v>
      </c>
      <c r="F4335" s="955"/>
      <c r="L4335" s="954"/>
      <c r="M4335" s="952"/>
      <c r="N4335" s="952"/>
    </row>
    <row r="4336" spans="1:14">
      <c r="A4336" s="958" t="s">
        <v>355</v>
      </c>
      <c r="B4336" s="958">
        <v>42</v>
      </c>
      <c r="C4336" s="958" t="s">
        <v>3309</v>
      </c>
      <c r="D4336" s="957" t="s">
        <v>3308</v>
      </c>
      <c r="E4336" s="956">
        <v>7934</v>
      </c>
      <c r="F4336" s="955"/>
      <c r="L4336" s="954"/>
      <c r="M4336" s="952"/>
      <c r="N4336" s="952"/>
    </row>
    <row r="4337" spans="1:14">
      <c r="A4337" s="958" t="s">
        <v>355</v>
      </c>
      <c r="B4337" s="958">
        <v>42</v>
      </c>
      <c r="C4337" s="958" t="s">
        <v>3307</v>
      </c>
      <c r="D4337" s="957" t="s">
        <v>3306</v>
      </c>
      <c r="E4337" s="956">
        <v>3210</v>
      </c>
      <c r="F4337" s="955"/>
      <c r="L4337" s="954"/>
      <c r="M4337" s="952"/>
      <c r="N4337" s="952"/>
    </row>
    <row r="4338" spans="1:14">
      <c r="A4338" s="958" t="s">
        <v>355</v>
      </c>
      <c r="B4338" s="958">
        <v>42</v>
      </c>
      <c r="C4338" s="958" t="s">
        <v>3305</v>
      </c>
      <c r="D4338" s="957" t="s">
        <v>3304</v>
      </c>
      <c r="E4338" s="956">
        <v>5679</v>
      </c>
      <c r="F4338" s="955"/>
      <c r="L4338" s="954"/>
      <c r="M4338" s="952"/>
      <c r="N4338" s="952"/>
    </row>
    <row r="4339" spans="1:14">
      <c r="A4339" s="958" t="s">
        <v>355</v>
      </c>
      <c r="B4339" s="958">
        <v>42</v>
      </c>
      <c r="C4339" s="958" t="s">
        <v>3303</v>
      </c>
      <c r="D4339" s="957" t="s">
        <v>3302</v>
      </c>
      <c r="E4339" s="956">
        <v>13071</v>
      </c>
      <c r="F4339" s="955"/>
      <c r="L4339" s="954"/>
      <c r="M4339" s="952"/>
      <c r="N4339" s="952"/>
    </row>
    <row r="4340" spans="1:14">
      <c r="A4340" s="958" t="s">
        <v>355</v>
      </c>
      <c r="B4340" s="958">
        <v>42</v>
      </c>
      <c r="C4340" s="958" t="s">
        <v>3301</v>
      </c>
      <c r="D4340" s="957" t="s">
        <v>3300</v>
      </c>
      <c r="E4340" s="956">
        <v>142295</v>
      </c>
      <c r="F4340" s="955"/>
      <c r="L4340" s="954"/>
      <c r="M4340" s="952"/>
      <c r="N4340" s="952"/>
    </row>
    <row r="4341" spans="1:14">
      <c r="A4341" s="958" t="s">
        <v>355</v>
      </c>
      <c r="B4341" s="958">
        <v>42</v>
      </c>
      <c r="C4341" s="958" t="s">
        <v>3299</v>
      </c>
      <c r="D4341" s="957" t="s">
        <v>3298</v>
      </c>
      <c r="E4341" s="956">
        <v>10795</v>
      </c>
      <c r="F4341" s="955"/>
      <c r="L4341" s="954"/>
      <c r="M4341" s="952"/>
      <c r="N4341" s="952"/>
    </row>
    <row r="4342" spans="1:14">
      <c r="A4342" s="958" t="s">
        <v>355</v>
      </c>
      <c r="B4342" s="958">
        <v>42</v>
      </c>
      <c r="C4342" s="958" t="s">
        <v>3297</v>
      </c>
      <c r="D4342" s="957" t="s">
        <v>3296</v>
      </c>
      <c r="E4342" s="956">
        <v>10979</v>
      </c>
      <c r="F4342" s="955"/>
      <c r="L4342" s="954"/>
      <c r="M4342" s="952"/>
      <c r="N4342" s="952"/>
    </row>
    <row r="4343" spans="1:14">
      <c r="A4343" s="958" t="s">
        <v>355</v>
      </c>
      <c r="B4343" s="958">
        <v>42</v>
      </c>
      <c r="C4343" s="958" t="s">
        <v>3295</v>
      </c>
      <c r="D4343" s="957" t="s">
        <v>3294</v>
      </c>
      <c r="E4343" s="956">
        <v>2678</v>
      </c>
      <c r="F4343" s="955"/>
      <c r="L4343" s="954"/>
      <c r="M4343" s="952"/>
      <c r="N4343" s="952"/>
    </row>
    <row r="4344" spans="1:14">
      <c r="A4344" s="958" t="s">
        <v>355</v>
      </c>
      <c r="B4344" s="958">
        <v>42</v>
      </c>
      <c r="C4344" s="958" t="s">
        <v>3293</v>
      </c>
      <c r="D4344" s="957" t="s">
        <v>3292</v>
      </c>
      <c r="E4344" s="956">
        <v>1677</v>
      </c>
      <c r="F4344" s="955"/>
      <c r="L4344" s="954"/>
      <c r="M4344" s="952"/>
      <c r="N4344" s="952"/>
    </row>
    <row r="4345" spans="1:14">
      <c r="A4345" s="958" t="s">
        <v>355</v>
      </c>
      <c r="B4345" s="958">
        <v>42</v>
      </c>
      <c r="C4345" s="958" t="s">
        <v>3291</v>
      </c>
      <c r="D4345" s="957" t="s">
        <v>3290</v>
      </c>
      <c r="E4345" s="956">
        <v>29168</v>
      </c>
      <c r="F4345" s="955"/>
      <c r="L4345" s="954"/>
      <c r="M4345" s="952"/>
      <c r="N4345" s="952"/>
    </row>
    <row r="4346" spans="1:14">
      <c r="A4346" s="958" t="s">
        <v>355</v>
      </c>
      <c r="B4346" s="958">
        <v>42</v>
      </c>
      <c r="C4346" s="958" t="s">
        <v>3289</v>
      </c>
      <c r="D4346" s="957" t="s">
        <v>3288</v>
      </c>
      <c r="E4346" s="956">
        <v>6337</v>
      </c>
      <c r="F4346" s="955"/>
      <c r="L4346" s="954"/>
      <c r="M4346" s="952"/>
      <c r="N4346" s="952"/>
    </row>
    <row r="4347" spans="1:14">
      <c r="A4347" s="958" t="s">
        <v>355</v>
      </c>
      <c r="B4347" s="958">
        <v>42</v>
      </c>
      <c r="C4347" s="958" t="s">
        <v>3287</v>
      </c>
      <c r="D4347" s="957" t="s">
        <v>3286</v>
      </c>
      <c r="E4347" s="956">
        <v>2706</v>
      </c>
      <c r="F4347" s="955"/>
      <c r="L4347" s="954"/>
      <c r="M4347" s="952"/>
      <c r="N4347" s="952"/>
    </row>
    <row r="4348" spans="1:14">
      <c r="A4348" s="958" t="s">
        <v>355</v>
      </c>
      <c r="B4348" s="958">
        <v>42</v>
      </c>
      <c r="C4348" s="958" t="s">
        <v>3285</v>
      </c>
      <c r="D4348" s="957" t="s">
        <v>3284</v>
      </c>
      <c r="E4348" s="956">
        <v>11652</v>
      </c>
      <c r="F4348" s="955"/>
      <c r="L4348" s="954"/>
      <c r="M4348" s="952"/>
      <c r="N4348" s="952"/>
    </row>
    <row r="4349" spans="1:14">
      <c r="A4349" s="958" t="s">
        <v>355</v>
      </c>
      <c r="B4349" s="958">
        <v>42</v>
      </c>
      <c r="C4349" s="958" t="s">
        <v>3283</v>
      </c>
      <c r="D4349" s="957" t="s">
        <v>3282</v>
      </c>
      <c r="E4349" s="956">
        <v>68481</v>
      </c>
      <c r="F4349" s="955"/>
      <c r="L4349" s="954"/>
      <c r="M4349" s="952"/>
      <c r="N4349" s="952"/>
    </row>
    <row r="4350" spans="1:14">
      <c r="A4350" s="958" t="s">
        <v>355</v>
      </c>
      <c r="B4350" s="958">
        <v>42</v>
      </c>
      <c r="C4350" s="958" t="s">
        <v>3281</v>
      </c>
      <c r="D4350" s="957" t="s">
        <v>3280</v>
      </c>
      <c r="E4350" s="956">
        <v>357199</v>
      </c>
      <c r="F4350" s="955"/>
      <c r="L4350" s="954"/>
      <c r="M4350" s="952"/>
      <c r="N4350" s="952"/>
    </row>
    <row r="4351" spans="1:14">
      <c r="A4351" s="958" t="s">
        <v>355</v>
      </c>
      <c r="B4351" s="958">
        <v>42</v>
      </c>
      <c r="C4351" s="958" t="s">
        <v>3279</v>
      </c>
      <c r="D4351" s="957" t="s">
        <v>3278</v>
      </c>
      <c r="E4351" s="956">
        <v>3474</v>
      </c>
      <c r="F4351" s="955"/>
      <c r="L4351" s="954"/>
      <c r="M4351" s="952"/>
      <c r="N4351" s="952"/>
    </row>
    <row r="4352" spans="1:14">
      <c r="A4352" s="958" t="s">
        <v>355</v>
      </c>
      <c r="B4352" s="958">
        <v>42</v>
      </c>
      <c r="C4352" s="958" t="s">
        <v>3277</v>
      </c>
      <c r="D4352" s="957" t="s">
        <v>3276</v>
      </c>
      <c r="E4352" s="956">
        <v>19769</v>
      </c>
      <c r="F4352" s="955"/>
      <c r="L4352" s="954"/>
      <c r="M4352" s="952"/>
      <c r="N4352" s="952"/>
    </row>
    <row r="4353" spans="1:14">
      <c r="A4353" s="958" t="s">
        <v>355</v>
      </c>
      <c r="B4353" s="958">
        <v>42</v>
      </c>
      <c r="C4353" s="958" t="s">
        <v>3275</v>
      </c>
      <c r="D4353" s="957" t="s">
        <v>3274</v>
      </c>
      <c r="E4353" s="956">
        <v>4743</v>
      </c>
      <c r="F4353" s="955"/>
      <c r="L4353" s="954"/>
      <c r="M4353" s="952"/>
      <c r="N4353" s="952"/>
    </row>
    <row r="4354" spans="1:14">
      <c r="A4354" s="958" t="s">
        <v>355</v>
      </c>
      <c r="B4354" s="958">
        <v>42</v>
      </c>
      <c r="C4354" s="958" t="s">
        <v>3273</v>
      </c>
      <c r="D4354" s="957" t="s">
        <v>2671</v>
      </c>
      <c r="E4354" s="956">
        <v>3010</v>
      </c>
      <c r="F4354" s="955"/>
      <c r="L4354" s="954"/>
      <c r="M4354" s="952"/>
      <c r="N4354" s="952"/>
    </row>
    <row r="4355" spans="1:14">
      <c r="A4355" s="958" t="s">
        <v>355</v>
      </c>
      <c r="B4355" s="958">
        <v>42</v>
      </c>
      <c r="C4355" s="958" t="s">
        <v>3272</v>
      </c>
      <c r="D4355" s="957" t="s">
        <v>3271</v>
      </c>
      <c r="E4355" s="956">
        <v>2142</v>
      </c>
      <c r="F4355" s="955"/>
      <c r="L4355" s="954"/>
      <c r="M4355" s="952"/>
      <c r="N4355" s="952"/>
    </row>
    <row r="4356" spans="1:14">
      <c r="A4356" s="958" t="s">
        <v>355</v>
      </c>
      <c r="B4356" s="958">
        <v>42</v>
      </c>
      <c r="C4356" s="958" t="s">
        <v>3270</v>
      </c>
      <c r="D4356" s="957" t="s">
        <v>3269</v>
      </c>
      <c r="E4356" s="956">
        <v>9966</v>
      </c>
      <c r="F4356" s="955"/>
      <c r="L4356" s="954"/>
      <c r="M4356" s="952"/>
      <c r="N4356" s="952"/>
    </row>
    <row r="4357" spans="1:14">
      <c r="A4357" s="958" t="s">
        <v>355</v>
      </c>
      <c r="B4357" s="958">
        <v>42</v>
      </c>
      <c r="C4357" s="958" t="s">
        <v>3268</v>
      </c>
      <c r="D4357" s="957" t="s">
        <v>3267</v>
      </c>
      <c r="E4357" s="956">
        <v>5246</v>
      </c>
      <c r="F4357" s="955"/>
      <c r="L4357" s="954"/>
      <c r="M4357" s="952"/>
      <c r="N4357" s="952"/>
    </row>
    <row r="4358" spans="1:14">
      <c r="A4358" s="958" t="s">
        <v>355</v>
      </c>
      <c r="B4358" s="958">
        <v>42</v>
      </c>
      <c r="C4358" s="958" t="s">
        <v>3266</v>
      </c>
      <c r="D4358" s="957" t="s">
        <v>3265</v>
      </c>
      <c r="E4358" s="956">
        <v>33450</v>
      </c>
      <c r="F4358" s="955"/>
      <c r="L4358" s="954"/>
      <c r="M4358" s="952"/>
      <c r="N4358" s="952"/>
    </row>
    <row r="4359" spans="1:14">
      <c r="A4359" s="958" t="s">
        <v>355</v>
      </c>
      <c r="B4359" s="958">
        <v>42</v>
      </c>
      <c r="C4359" s="958" t="s">
        <v>3264</v>
      </c>
      <c r="D4359" s="957" t="s">
        <v>3263</v>
      </c>
      <c r="E4359" s="956">
        <v>3743</v>
      </c>
      <c r="F4359" s="955"/>
      <c r="L4359" s="954"/>
      <c r="M4359" s="952"/>
      <c r="N4359" s="952"/>
    </row>
    <row r="4360" spans="1:14">
      <c r="A4360" s="958" t="s">
        <v>355</v>
      </c>
      <c r="B4360" s="958">
        <v>42</v>
      </c>
      <c r="C4360" s="958" t="s">
        <v>3262</v>
      </c>
      <c r="D4360" s="957" t="s">
        <v>3261</v>
      </c>
      <c r="E4360" s="956">
        <v>2420</v>
      </c>
      <c r="F4360" s="955"/>
      <c r="L4360" s="954"/>
      <c r="M4360" s="952"/>
      <c r="N4360" s="952"/>
    </row>
    <row r="4361" spans="1:14">
      <c r="A4361" s="958" t="s">
        <v>355</v>
      </c>
      <c r="B4361" s="958">
        <v>42</v>
      </c>
      <c r="C4361" s="958" t="s">
        <v>3260</v>
      </c>
      <c r="D4361" s="957" t="s">
        <v>3259</v>
      </c>
      <c r="E4361" s="956">
        <v>134723</v>
      </c>
      <c r="F4361" s="955"/>
      <c r="L4361" s="954"/>
      <c r="M4361" s="952"/>
      <c r="N4361" s="952"/>
    </row>
    <row r="4362" spans="1:14">
      <c r="A4362" s="958" t="s">
        <v>355</v>
      </c>
      <c r="B4362" s="958">
        <v>42</v>
      </c>
      <c r="C4362" s="958" t="s">
        <v>3258</v>
      </c>
      <c r="D4362" s="957" t="s">
        <v>3257</v>
      </c>
      <c r="E4362" s="956">
        <v>78595</v>
      </c>
      <c r="F4362" s="955"/>
      <c r="L4362" s="954"/>
      <c r="M4362" s="952"/>
      <c r="N4362" s="952"/>
    </row>
    <row r="4363" spans="1:14">
      <c r="A4363" s="958" t="s">
        <v>355</v>
      </c>
      <c r="B4363" s="958">
        <v>42</v>
      </c>
      <c r="C4363" s="958" t="s">
        <v>3256</v>
      </c>
      <c r="D4363" s="957" t="s">
        <v>3255</v>
      </c>
      <c r="E4363" s="956">
        <v>6148</v>
      </c>
      <c r="F4363" s="955"/>
      <c r="L4363" s="954"/>
      <c r="M4363" s="952"/>
      <c r="N4363" s="952"/>
    </row>
    <row r="4364" spans="1:14">
      <c r="A4364" s="958" t="s">
        <v>355</v>
      </c>
      <c r="B4364" s="958">
        <v>42</v>
      </c>
      <c r="C4364" s="958" t="s">
        <v>3254</v>
      </c>
      <c r="D4364" s="957" t="s">
        <v>3253</v>
      </c>
      <c r="E4364" s="956">
        <v>3346</v>
      </c>
      <c r="F4364" s="955"/>
      <c r="L4364" s="954"/>
      <c r="M4364" s="952"/>
      <c r="N4364" s="952"/>
    </row>
    <row r="4365" spans="1:14">
      <c r="A4365" s="958" t="s">
        <v>355</v>
      </c>
      <c r="B4365" s="958">
        <v>42</v>
      </c>
      <c r="C4365" s="958" t="s">
        <v>3252</v>
      </c>
      <c r="D4365" s="957" t="s">
        <v>3251</v>
      </c>
      <c r="E4365" s="956">
        <v>82989</v>
      </c>
      <c r="F4365" s="955"/>
      <c r="L4365" s="954"/>
      <c r="M4365" s="952"/>
      <c r="N4365" s="952"/>
    </row>
    <row r="4366" spans="1:14">
      <c r="A4366" s="958" t="s">
        <v>355</v>
      </c>
      <c r="B4366" s="958">
        <v>42</v>
      </c>
      <c r="C4366" s="958" t="s">
        <v>3250</v>
      </c>
      <c r="D4366" s="957" t="s">
        <v>3249</v>
      </c>
      <c r="E4366" s="956">
        <v>2525</v>
      </c>
      <c r="F4366" s="955"/>
      <c r="L4366" s="954"/>
      <c r="M4366" s="952"/>
      <c r="N4366" s="952"/>
    </row>
    <row r="4367" spans="1:14">
      <c r="A4367" s="958" t="s">
        <v>355</v>
      </c>
      <c r="B4367" s="958">
        <v>42</v>
      </c>
      <c r="C4367" s="958" t="s">
        <v>3248</v>
      </c>
      <c r="D4367" s="957" t="s">
        <v>3247</v>
      </c>
      <c r="E4367" s="956">
        <v>11978</v>
      </c>
      <c r="F4367" s="955"/>
      <c r="L4367" s="954"/>
      <c r="M4367" s="952"/>
      <c r="N4367" s="952"/>
    </row>
    <row r="4368" spans="1:14">
      <c r="A4368" s="958" t="s">
        <v>355</v>
      </c>
      <c r="B4368" s="958">
        <v>42</v>
      </c>
      <c r="C4368" s="958" t="s">
        <v>3246</v>
      </c>
      <c r="D4368" s="957" t="s">
        <v>3245</v>
      </c>
      <c r="E4368" s="956">
        <v>7016</v>
      </c>
      <c r="F4368" s="955"/>
      <c r="L4368" s="954"/>
      <c r="M4368" s="952"/>
      <c r="N4368" s="952"/>
    </row>
    <row r="4369" spans="1:14">
      <c r="A4369" s="958" t="s">
        <v>355</v>
      </c>
      <c r="B4369" s="958">
        <v>42</v>
      </c>
      <c r="C4369" s="958" t="s">
        <v>3244</v>
      </c>
      <c r="D4369" s="957" t="s">
        <v>3243</v>
      </c>
      <c r="E4369" s="956">
        <v>8526</v>
      </c>
      <c r="F4369" s="955"/>
      <c r="L4369" s="954"/>
      <c r="M4369" s="952"/>
      <c r="N4369" s="952"/>
    </row>
    <row r="4370" spans="1:14">
      <c r="A4370" s="958" t="s">
        <v>355</v>
      </c>
      <c r="B4370" s="958">
        <v>42</v>
      </c>
      <c r="C4370" s="958" t="s">
        <v>3242</v>
      </c>
      <c r="D4370" s="957" t="s">
        <v>3241</v>
      </c>
      <c r="E4370" s="956">
        <v>36244</v>
      </c>
      <c r="F4370" s="955"/>
      <c r="L4370" s="954"/>
      <c r="M4370" s="952"/>
      <c r="N4370" s="952"/>
    </row>
    <row r="4371" spans="1:14">
      <c r="A4371" s="958" t="s">
        <v>355</v>
      </c>
      <c r="B4371" s="958">
        <v>42</v>
      </c>
      <c r="C4371" s="958" t="s">
        <v>3240</v>
      </c>
      <c r="D4371" s="957" t="s">
        <v>3239</v>
      </c>
      <c r="E4371" s="956">
        <v>12240</v>
      </c>
      <c r="F4371" s="955"/>
      <c r="L4371" s="954"/>
      <c r="M4371" s="952"/>
      <c r="N4371" s="952"/>
    </row>
    <row r="4372" spans="1:14">
      <c r="A4372" s="958" t="s">
        <v>355</v>
      </c>
      <c r="B4372" s="958">
        <v>42</v>
      </c>
      <c r="C4372" s="958" t="s">
        <v>3238</v>
      </c>
      <c r="D4372" s="957" t="s">
        <v>3237</v>
      </c>
      <c r="E4372" s="956">
        <v>54401</v>
      </c>
      <c r="F4372" s="955"/>
      <c r="L4372" s="954"/>
      <c r="M4372" s="952"/>
      <c r="N4372" s="952"/>
    </row>
    <row r="4373" spans="1:14">
      <c r="A4373" s="958" t="s">
        <v>355</v>
      </c>
      <c r="B4373" s="958">
        <v>42</v>
      </c>
      <c r="C4373" s="958" t="s">
        <v>3236</v>
      </c>
      <c r="D4373" s="957" t="s">
        <v>3235</v>
      </c>
      <c r="E4373" s="956">
        <v>22848</v>
      </c>
      <c r="F4373" s="955"/>
      <c r="L4373" s="954"/>
      <c r="M4373" s="952"/>
      <c r="N4373" s="952"/>
    </row>
    <row r="4374" spans="1:14">
      <c r="A4374" s="958" t="s">
        <v>355</v>
      </c>
      <c r="B4374" s="958">
        <v>42</v>
      </c>
      <c r="C4374" s="958" t="s">
        <v>3234</v>
      </c>
      <c r="D4374" s="957" t="s">
        <v>3233</v>
      </c>
      <c r="E4374" s="956">
        <v>24871</v>
      </c>
      <c r="F4374" s="955"/>
      <c r="L4374" s="954"/>
      <c r="M4374" s="952"/>
      <c r="N4374" s="952"/>
    </row>
    <row r="4375" spans="1:14">
      <c r="A4375" s="958" t="s">
        <v>355</v>
      </c>
      <c r="B4375" s="958">
        <v>42</v>
      </c>
      <c r="C4375" s="958" t="s">
        <v>3232</v>
      </c>
      <c r="D4375" s="957" t="s">
        <v>3231</v>
      </c>
      <c r="E4375" s="956">
        <v>10861</v>
      </c>
      <c r="F4375" s="955"/>
      <c r="L4375" s="954"/>
      <c r="M4375" s="952"/>
      <c r="N4375" s="952"/>
    </row>
    <row r="4376" spans="1:14">
      <c r="A4376" s="958" t="s">
        <v>355</v>
      </c>
      <c r="B4376" s="958">
        <v>42</v>
      </c>
      <c r="C4376" s="958" t="s">
        <v>3230</v>
      </c>
      <c r="D4376" s="957" t="s">
        <v>3229</v>
      </c>
      <c r="E4376" s="956">
        <v>3642</v>
      </c>
      <c r="F4376" s="955"/>
      <c r="L4376" s="954"/>
      <c r="M4376" s="952"/>
      <c r="N4376" s="952"/>
    </row>
    <row r="4377" spans="1:14">
      <c r="A4377" s="958" t="s">
        <v>355</v>
      </c>
      <c r="B4377" s="958">
        <v>42</v>
      </c>
      <c r="C4377" s="958" t="s">
        <v>3228</v>
      </c>
      <c r="D4377" s="957" t="s">
        <v>3227</v>
      </c>
      <c r="E4377" s="956">
        <v>2728</v>
      </c>
      <c r="F4377" s="955"/>
      <c r="L4377" s="954"/>
      <c r="M4377" s="952"/>
      <c r="N4377" s="952"/>
    </row>
    <row r="4378" spans="1:14">
      <c r="A4378" s="958" t="s">
        <v>355</v>
      </c>
      <c r="B4378" s="958">
        <v>42</v>
      </c>
      <c r="C4378" s="958" t="s">
        <v>3226</v>
      </c>
      <c r="D4378" s="957" t="s">
        <v>3225</v>
      </c>
      <c r="E4378" s="956">
        <v>3124</v>
      </c>
      <c r="F4378" s="955"/>
      <c r="L4378" s="954"/>
      <c r="M4378" s="952"/>
      <c r="N4378" s="952"/>
    </row>
    <row r="4379" spans="1:14">
      <c r="A4379" s="958" t="s">
        <v>355</v>
      </c>
      <c r="B4379" s="958">
        <v>42</v>
      </c>
      <c r="C4379" s="958" t="s">
        <v>3224</v>
      </c>
      <c r="D4379" s="957" t="s">
        <v>3223</v>
      </c>
      <c r="E4379" s="956">
        <v>2988</v>
      </c>
      <c r="F4379" s="955"/>
      <c r="L4379" s="954"/>
      <c r="M4379" s="952"/>
      <c r="N4379" s="952"/>
    </row>
    <row r="4380" spans="1:14">
      <c r="A4380" s="958" t="s">
        <v>355</v>
      </c>
      <c r="B4380" s="958">
        <v>42</v>
      </c>
      <c r="C4380" s="958" t="s">
        <v>3222</v>
      </c>
      <c r="D4380" s="957" t="s">
        <v>3221</v>
      </c>
      <c r="E4380" s="956">
        <v>220367</v>
      </c>
      <c r="F4380" s="955"/>
      <c r="L4380" s="954"/>
      <c r="M4380" s="952"/>
      <c r="N4380" s="952"/>
    </row>
    <row r="4381" spans="1:14">
      <c r="A4381" s="958" t="s">
        <v>355</v>
      </c>
      <c r="B4381" s="958">
        <v>42</v>
      </c>
      <c r="C4381" s="958" t="s">
        <v>3220</v>
      </c>
      <c r="D4381" s="957" t="s">
        <v>3219</v>
      </c>
      <c r="E4381" s="956">
        <v>16684</v>
      </c>
      <c r="F4381" s="955"/>
      <c r="L4381" s="954"/>
      <c r="M4381" s="952"/>
      <c r="N4381" s="952"/>
    </row>
    <row r="4382" spans="1:14">
      <c r="A4382" s="958" t="s">
        <v>355</v>
      </c>
      <c r="B4382" s="958">
        <v>42</v>
      </c>
      <c r="C4382" s="958" t="s">
        <v>3218</v>
      </c>
      <c r="D4382" s="957" t="s">
        <v>3217</v>
      </c>
      <c r="E4382" s="956">
        <v>74641</v>
      </c>
      <c r="F4382" s="955"/>
      <c r="L4382" s="954"/>
      <c r="M4382" s="952"/>
      <c r="N4382" s="952"/>
    </row>
    <row r="4383" spans="1:14">
      <c r="A4383" s="958" t="s">
        <v>355</v>
      </c>
      <c r="B4383" s="958">
        <v>42</v>
      </c>
      <c r="C4383" s="958" t="s">
        <v>3216</v>
      </c>
      <c r="D4383" s="957" t="s">
        <v>3215</v>
      </c>
      <c r="E4383" s="956">
        <v>4453</v>
      </c>
      <c r="F4383" s="955"/>
      <c r="L4383" s="954"/>
      <c r="M4383" s="952"/>
      <c r="N4383" s="952"/>
    </row>
    <row r="4384" spans="1:14">
      <c r="A4384" s="958" t="s">
        <v>355</v>
      </c>
      <c r="B4384" s="958">
        <v>42</v>
      </c>
      <c r="C4384" s="958" t="s">
        <v>3214</v>
      </c>
      <c r="D4384" s="957" t="s">
        <v>3213</v>
      </c>
      <c r="E4384" s="956">
        <v>9981</v>
      </c>
      <c r="F4384" s="955"/>
      <c r="L4384" s="954"/>
      <c r="M4384" s="952"/>
      <c r="N4384" s="952"/>
    </row>
    <row r="4385" spans="1:14">
      <c r="A4385" s="958" t="s">
        <v>355</v>
      </c>
      <c r="B4385" s="958">
        <v>42</v>
      </c>
      <c r="C4385" s="958" t="s">
        <v>3212</v>
      </c>
      <c r="D4385" s="957" t="s">
        <v>3211</v>
      </c>
      <c r="E4385" s="956">
        <v>2549</v>
      </c>
      <c r="F4385" s="955"/>
      <c r="L4385" s="954"/>
      <c r="M4385" s="952"/>
      <c r="N4385" s="952"/>
    </row>
    <row r="4386" spans="1:14">
      <c r="A4386" s="958" t="s">
        <v>355</v>
      </c>
      <c r="B4386" s="958">
        <v>42</v>
      </c>
      <c r="C4386" s="958" t="s">
        <v>3210</v>
      </c>
      <c r="D4386" s="957" t="s">
        <v>3209</v>
      </c>
      <c r="E4386" s="956">
        <v>15909</v>
      </c>
      <c r="F4386" s="955"/>
      <c r="L4386" s="954"/>
      <c r="M4386" s="952"/>
      <c r="N4386" s="952"/>
    </row>
    <row r="4387" spans="1:14">
      <c r="A4387" s="958" t="s">
        <v>355</v>
      </c>
      <c r="B4387" s="958">
        <v>42</v>
      </c>
      <c r="C4387" s="958" t="s">
        <v>3208</v>
      </c>
      <c r="D4387" s="957" t="s">
        <v>3207</v>
      </c>
      <c r="E4387" s="956">
        <v>12795</v>
      </c>
      <c r="F4387" s="955"/>
      <c r="L4387" s="954"/>
      <c r="M4387" s="952"/>
      <c r="N4387" s="952"/>
    </row>
    <row r="4388" spans="1:14">
      <c r="A4388" s="958" t="s">
        <v>355</v>
      </c>
      <c r="B4388" s="958">
        <v>42</v>
      </c>
      <c r="C4388" s="958" t="s">
        <v>3206</v>
      </c>
      <c r="D4388" s="957" t="s">
        <v>3205</v>
      </c>
      <c r="E4388" s="956">
        <v>215186</v>
      </c>
      <c r="F4388" s="955"/>
      <c r="L4388" s="954"/>
      <c r="M4388" s="952"/>
      <c r="N4388" s="952"/>
    </row>
    <row r="4389" spans="1:14">
      <c r="A4389" s="958" t="s">
        <v>355</v>
      </c>
      <c r="B4389" s="958">
        <v>42</v>
      </c>
      <c r="C4389" s="958" t="s">
        <v>3204</v>
      </c>
      <c r="D4389" s="957" t="s">
        <v>3203</v>
      </c>
      <c r="E4389" s="956">
        <v>11086</v>
      </c>
      <c r="F4389" s="955"/>
      <c r="L4389" s="954"/>
      <c r="M4389" s="952"/>
      <c r="N4389" s="952"/>
    </row>
    <row r="4390" spans="1:14">
      <c r="A4390" s="958" t="s">
        <v>355</v>
      </c>
      <c r="B4390" s="958">
        <v>42</v>
      </c>
      <c r="C4390" s="958" t="s">
        <v>3202</v>
      </c>
      <c r="D4390" s="957" t="s">
        <v>3201</v>
      </c>
      <c r="E4390" s="956">
        <v>1962</v>
      </c>
      <c r="F4390" s="955"/>
      <c r="L4390" s="954"/>
      <c r="M4390" s="952"/>
      <c r="N4390" s="952"/>
    </row>
    <row r="4391" spans="1:14">
      <c r="A4391" s="958" t="s">
        <v>355</v>
      </c>
      <c r="B4391" s="958">
        <v>42</v>
      </c>
      <c r="C4391" s="958" t="s">
        <v>3200</v>
      </c>
      <c r="D4391" s="957" t="s">
        <v>3199</v>
      </c>
      <c r="E4391" s="956">
        <v>39745</v>
      </c>
      <c r="F4391" s="955"/>
      <c r="L4391" s="954"/>
      <c r="M4391" s="952"/>
      <c r="N4391" s="952"/>
    </row>
    <row r="4392" spans="1:14">
      <c r="A4392" s="958" t="s">
        <v>355</v>
      </c>
      <c r="B4392" s="958">
        <v>42</v>
      </c>
      <c r="C4392" s="958" t="s">
        <v>3198</v>
      </c>
      <c r="D4392" s="957" t="s">
        <v>3197</v>
      </c>
      <c r="E4392" s="956">
        <v>8250</v>
      </c>
      <c r="F4392" s="955"/>
      <c r="L4392" s="954"/>
      <c r="M4392" s="952"/>
      <c r="N4392" s="952"/>
    </row>
    <row r="4393" spans="1:14">
      <c r="A4393" s="958" t="s">
        <v>355</v>
      </c>
      <c r="B4393" s="958">
        <v>42</v>
      </c>
      <c r="C4393" s="958" t="s">
        <v>3196</v>
      </c>
      <c r="D4393" s="957" t="s">
        <v>3195</v>
      </c>
      <c r="E4393" s="956">
        <v>15498</v>
      </c>
      <c r="F4393" s="955"/>
      <c r="L4393" s="954"/>
      <c r="M4393" s="952"/>
      <c r="N4393" s="952"/>
    </row>
    <row r="4394" spans="1:14">
      <c r="A4394" s="958" t="s">
        <v>355</v>
      </c>
      <c r="B4394" s="958">
        <v>42</v>
      </c>
      <c r="C4394" s="958" t="s">
        <v>3194</v>
      </c>
      <c r="D4394" s="957" t="s">
        <v>3193</v>
      </c>
      <c r="E4394" s="956">
        <v>4146</v>
      </c>
      <c r="F4394" s="955"/>
      <c r="L4394" s="954"/>
      <c r="M4394" s="952"/>
      <c r="N4394" s="952"/>
    </row>
    <row r="4395" spans="1:14">
      <c r="A4395" s="958" t="s">
        <v>355</v>
      </c>
      <c r="B4395" s="958">
        <v>42</v>
      </c>
      <c r="C4395" s="958" t="s">
        <v>3192</v>
      </c>
      <c r="D4395" s="957" t="s">
        <v>3191</v>
      </c>
      <c r="E4395" s="956">
        <v>4064</v>
      </c>
      <c r="F4395" s="955"/>
      <c r="L4395" s="954"/>
      <c r="M4395" s="952"/>
      <c r="N4395" s="952"/>
    </row>
    <row r="4396" spans="1:14">
      <c r="A4396" s="958" t="s">
        <v>355</v>
      </c>
      <c r="B4396" s="958">
        <v>42</v>
      </c>
      <c r="C4396" s="958" t="s">
        <v>3190</v>
      </c>
      <c r="D4396" s="957" t="s">
        <v>3189</v>
      </c>
      <c r="E4396" s="956">
        <v>3203</v>
      </c>
      <c r="F4396" s="955"/>
      <c r="L4396" s="954"/>
      <c r="M4396" s="952"/>
      <c r="N4396" s="952"/>
    </row>
    <row r="4397" spans="1:14">
      <c r="A4397" s="958" t="s">
        <v>355</v>
      </c>
      <c r="B4397" s="958">
        <v>42</v>
      </c>
      <c r="C4397" s="958" t="s">
        <v>3188</v>
      </c>
      <c r="D4397" s="957" t="s">
        <v>3187</v>
      </c>
      <c r="E4397" s="956">
        <v>2063</v>
      </c>
      <c r="F4397" s="955"/>
      <c r="L4397" s="954"/>
      <c r="M4397" s="952"/>
      <c r="N4397" s="952"/>
    </row>
    <row r="4398" spans="1:14">
      <c r="A4398" s="958" t="s">
        <v>355</v>
      </c>
      <c r="B4398" s="958">
        <v>42</v>
      </c>
      <c r="C4398" s="958" t="s">
        <v>3186</v>
      </c>
      <c r="D4398" s="957" t="s">
        <v>3185</v>
      </c>
      <c r="E4398" s="956">
        <v>4412</v>
      </c>
      <c r="F4398" s="955"/>
      <c r="L4398" s="954"/>
      <c r="M4398" s="952"/>
      <c r="N4398" s="952"/>
    </row>
    <row r="4399" spans="1:14">
      <c r="A4399" s="958" t="s">
        <v>355</v>
      </c>
      <c r="B4399" s="958">
        <v>42</v>
      </c>
      <c r="C4399" s="958" t="s">
        <v>3184</v>
      </c>
      <c r="D4399" s="957" t="s">
        <v>3183</v>
      </c>
      <c r="E4399" s="956">
        <v>10667</v>
      </c>
      <c r="F4399" s="955"/>
      <c r="L4399" s="954"/>
      <c r="M4399" s="952"/>
      <c r="N4399" s="952"/>
    </row>
    <row r="4400" spans="1:14">
      <c r="A4400" s="958" t="s">
        <v>355</v>
      </c>
      <c r="B4400" s="958">
        <v>42</v>
      </c>
      <c r="C4400" s="958" t="s">
        <v>3182</v>
      </c>
      <c r="D4400" s="957" t="s">
        <v>3181</v>
      </c>
      <c r="E4400" s="956">
        <v>1582</v>
      </c>
      <c r="F4400" s="955"/>
      <c r="L4400" s="954"/>
      <c r="M4400" s="952"/>
      <c r="N4400" s="952"/>
    </row>
    <row r="4401" spans="1:14">
      <c r="A4401" s="958" t="s">
        <v>355</v>
      </c>
      <c r="B4401" s="958">
        <v>42</v>
      </c>
      <c r="C4401" s="958" t="s">
        <v>3180</v>
      </c>
      <c r="D4401" s="957" t="s">
        <v>3179</v>
      </c>
      <c r="E4401" s="956">
        <v>500973</v>
      </c>
      <c r="F4401" s="955"/>
      <c r="L4401" s="954"/>
      <c r="M4401" s="952"/>
      <c r="N4401" s="952"/>
    </row>
    <row r="4402" spans="1:14">
      <c r="A4402" s="958" t="s">
        <v>355</v>
      </c>
      <c r="B4402" s="958">
        <v>42</v>
      </c>
      <c r="C4402" s="958" t="s">
        <v>3178</v>
      </c>
      <c r="D4402" s="957" t="s">
        <v>3177</v>
      </c>
      <c r="E4402" s="956">
        <v>2510</v>
      </c>
      <c r="F4402" s="955"/>
      <c r="L4402" s="954"/>
      <c r="M4402" s="952"/>
      <c r="N4402" s="952"/>
    </row>
    <row r="4403" spans="1:14">
      <c r="A4403" s="958" t="s">
        <v>355</v>
      </c>
      <c r="B4403" s="958">
        <v>42</v>
      </c>
      <c r="C4403" s="958" t="s">
        <v>3176</v>
      </c>
      <c r="D4403" s="957" t="s">
        <v>3175</v>
      </c>
      <c r="E4403" s="956">
        <v>26793</v>
      </c>
      <c r="F4403" s="955"/>
      <c r="L4403" s="954"/>
      <c r="M4403" s="952"/>
      <c r="N4403" s="952"/>
    </row>
    <row r="4404" spans="1:14">
      <c r="A4404" s="958" t="s">
        <v>355</v>
      </c>
      <c r="B4404" s="958">
        <v>42</v>
      </c>
      <c r="C4404" s="958" t="s">
        <v>3174</v>
      </c>
      <c r="D4404" s="957" t="s">
        <v>3173</v>
      </c>
      <c r="E4404" s="956">
        <v>36443</v>
      </c>
      <c r="F4404" s="955"/>
      <c r="L4404" s="954"/>
      <c r="M4404" s="952"/>
      <c r="N4404" s="952"/>
    </row>
    <row r="4405" spans="1:14">
      <c r="A4405" s="958" t="s">
        <v>355</v>
      </c>
      <c r="B4405" s="958">
        <v>42</v>
      </c>
      <c r="C4405" s="958" t="s">
        <v>3172</v>
      </c>
      <c r="D4405" s="957" t="s">
        <v>3171</v>
      </c>
      <c r="E4405" s="956">
        <v>2023</v>
      </c>
      <c r="F4405" s="955"/>
      <c r="L4405" s="954"/>
      <c r="M4405" s="952"/>
      <c r="N4405" s="952"/>
    </row>
    <row r="4406" spans="1:14">
      <c r="A4406" s="958" t="s">
        <v>355</v>
      </c>
      <c r="B4406" s="958">
        <v>42</v>
      </c>
      <c r="C4406" s="958" t="s">
        <v>3170</v>
      </c>
      <c r="D4406" s="957" t="s">
        <v>3169</v>
      </c>
      <c r="E4406" s="956">
        <v>2873</v>
      </c>
      <c r="F4406" s="955"/>
      <c r="L4406" s="954"/>
      <c r="M4406" s="952"/>
      <c r="N4406" s="952"/>
    </row>
    <row r="4407" spans="1:14">
      <c r="A4407" s="958" t="s">
        <v>355</v>
      </c>
      <c r="B4407" s="958">
        <v>42</v>
      </c>
      <c r="C4407" s="958" t="s">
        <v>3168</v>
      </c>
      <c r="D4407" s="957" t="s">
        <v>3167</v>
      </c>
      <c r="E4407" s="956">
        <v>23078</v>
      </c>
      <c r="F4407" s="955"/>
      <c r="L4407" s="954"/>
      <c r="M4407" s="952"/>
      <c r="N4407" s="952"/>
    </row>
    <row r="4408" spans="1:14">
      <c r="A4408" s="958" t="s">
        <v>355</v>
      </c>
      <c r="B4408" s="958">
        <v>42</v>
      </c>
      <c r="C4408" s="958" t="s">
        <v>3166</v>
      </c>
      <c r="D4408" s="957" t="s">
        <v>3165</v>
      </c>
      <c r="E4408" s="956">
        <v>18145</v>
      </c>
      <c r="F4408" s="955"/>
      <c r="L4408" s="954"/>
      <c r="M4408" s="952"/>
      <c r="N4408" s="952"/>
    </row>
    <row r="4409" spans="1:14">
      <c r="A4409" s="958" t="s">
        <v>355</v>
      </c>
      <c r="B4409" s="958">
        <v>42</v>
      </c>
      <c r="C4409" s="958" t="s">
        <v>3164</v>
      </c>
      <c r="D4409" s="957" t="s">
        <v>3163</v>
      </c>
      <c r="E4409" s="956">
        <v>69639</v>
      </c>
      <c r="F4409" s="955"/>
      <c r="L4409" s="954"/>
      <c r="M4409" s="952"/>
      <c r="N4409" s="952"/>
    </row>
    <row r="4410" spans="1:14">
      <c r="A4410" s="958" t="s">
        <v>355</v>
      </c>
      <c r="B4410" s="958">
        <v>42</v>
      </c>
      <c r="C4410" s="958" t="s">
        <v>3162</v>
      </c>
      <c r="D4410" s="957" t="s">
        <v>3161</v>
      </c>
      <c r="E4410" s="956">
        <v>14471</v>
      </c>
      <c r="F4410" s="955"/>
      <c r="L4410" s="954"/>
      <c r="M4410" s="952"/>
      <c r="N4410" s="952"/>
    </row>
    <row r="4411" spans="1:14">
      <c r="A4411" s="958" t="s">
        <v>355</v>
      </c>
      <c r="B4411" s="958">
        <v>42</v>
      </c>
      <c r="C4411" s="958" t="s">
        <v>3160</v>
      </c>
      <c r="D4411" s="957" t="s">
        <v>3159</v>
      </c>
      <c r="E4411" s="956">
        <v>6569</v>
      </c>
      <c r="F4411" s="955"/>
      <c r="L4411" s="954"/>
      <c r="M4411" s="952"/>
      <c r="N4411" s="952"/>
    </row>
    <row r="4412" spans="1:14">
      <c r="A4412" s="958" t="s">
        <v>355</v>
      </c>
      <c r="B4412" s="958">
        <v>42</v>
      </c>
      <c r="C4412" s="958" t="s">
        <v>3158</v>
      </c>
      <c r="D4412" s="957" t="s">
        <v>3157</v>
      </c>
      <c r="E4412" s="956">
        <v>11501</v>
      </c>
      <c r="F4412" s="955"/>
      <c r="L4412" s="954"/>
      <c r="M4412" s="952"/>
      <c r="N4412" s="952"/>
    </row>
    <row r="4413" spans="1:14">
      <c r="A4413" s="958" t="s">
        <v>355</v>
      </c>
      <c r="B4413" s="958">
        <v>42</v>
      </c>
      <c r="C4413" s="958" t="s">
        <v>3156</v>
      </c>
      <c r="D4413" s="957" t="s">
        <v>3155</v>
      </c>
      <c r="E4413" s="956">
        <v>23832</v>
      </c>
      <c r="F4413" s="955"/>
      <c r="L4413" s="954"/>
      <c r="M4413" s="952"/>
      <c r="N4413" s="952"/>
    </row>
    <row r="4414" spans="1:14">
      <c r="A4414" s="958" t="s">
        <v>355</v>
      </c>
      <c r="B4414" s="958">
        <v>42</v>
      </c>
      <c r="C4414" s="958" t="s">
        <v>3154</v>
      </c>
      <c r="D4414" s="957" t="s">
        <v>3153</v>
      </c>
      <c r="E4414" s="956">
        <v>10090</v>
      </c>
      <c r="F4414" s="955"/>
      <c r="L4414" s="954"/>
      <c r="M4414" s="952"/>
      <c r="N4414" s="952"/>
    </row>
    <row r="4415" spans="1:14">
      <c r="A4415" s="958" t="s">
        <v>355</v>
      </c>
      <c r="B4415" s="958">
        <v>42</v>
      </c>
      <c r="C4415" s="958" t="s">
        <v>3152</v>
      </c>
      <c r="D4415" s="957" t="s">
        <v>3151</v>
      </c>
      <c r="E4415" s="956">
        <v>44819</v>
      </c>
      <c r="F4415" s="955"/>
      <c r="L4415" s="954"/>
      <c r="M4415" s="952"/>
      <c r="N4415" s="952"/>
    </row>
    <row r="4416" spans="1:14">
      <c r="A4416" s="958" t="s">
        <v>355</v>
      </c>
      <c r="B4416" s="958">
        <v>42</v>
      </c>
      <c r="C4416" s="958" t="s">
        <v>3150</v>
      </c>
      <c r="D4416" s="957" t="s">
        <v>3149</v>
      </c>
      <c r="E4416" s="956">
        <v>5160</v>
      </c>
      <c r="F4416" s="955"/>
      <c r="L4416" s="954"/>
      <c r="M4416" s="952"/>
      <c r="N4416" s="952"/>
    </row>
    <row r="4417" spans="1:14">
      <c r="A4417" s="958" t="s">
        <v>355</v>
      </c>
      <c r="B4417" s="958">
        <v>42</v>
      </c>
      <c r="C4417" s="958" t="s">
        <v>3148</v>
      </c>
      <c r="D4417" s="957" t="s">
        <v>3147</v>
      </c>
      <c r="E4417" s="956">
        <v>4704</v>
      </c>
      <c r="F4417" s="955"/>
      <c r="L4417" s="954"/>
      <c r="M4417" s="952"/>
      <c r="N4417" s="952"/>
    </row>
    <row r="4418" spans="1:14">
      <c r="A4418" s="958" t="s">
        <v>355</v>
      </c>
      <c r="B4418" s="958">
        <v>42</v>
      </c>
      <c r="C4418" s="958" t="s">
        <v>3146</v>
      </c>
      <c r="D4418" s="957" t="s">
        <v>3145</v>
      </c>
      <c r="E4418" s="956">
        <v>22606</v>
      </c>
      <c r="F4418" s="955"/>
      <c r="L4418" s="954"/>
      <c r="M4418" s="952"/>
      <c r="N4418" s="952"/>
    </row>
    <row r="4419" spans="1:14">
      <c r="A4419" s="958" t="s">
        <v>355</v>
      </c>
      <c r="B4419" s="958">
        <v>42</v>
      </c>
      <c r="C4419" s="958" t="s">
        <v>3144</v>
      </c>
      <c r="D4419" s="957" t="s">
        <v>3143</v>
      </c>
      <c r="E4419" s="956">
        <v>1957</v>
      </c>
      <c r="F4419" s="955"/>
      <c r="L4419" s="954"/>
      <c r="M4419" s="952"/>
      <c r="N4419" s="952"/>
    </row>
    <row r="4420" spans="1:14">
      <c r="A4420" s="958" t="s">
        <v>355</v>
      </c>
      <c r="B4420" s="958">
        <v>42</v>
      </c>
      <c r="C4420" s="958" t="s">
        <v>3142</v>
      </c>
      <c r="D4420" s="957" t="s">
        <v>3141</v>
      </c>
      <c r="E4420" s="956">
        <v>3202</v>
      </c>
      <c r="F4420" s="955"/>
      <c r="L4420" s="954"/>
      <c r="M4420" s="952"/>
      <c r="N4420" s="952"/>
    </row>
    <row r="4421" spans="1:14">
      <c r="A4421" s="958" t="s">
        <v>355</v>
      </c>
      <c r="B4421" s="958">
        <v>42</v>
      </c>
      <c r="C4421" s="958" t="s">
        <v>3140</v>
      </c>
      <c r="D4421" s="957" t="s">
        <v>3139</v>
      </c>
      <c r="E4421" s="956">
        <v>18950</v>
      </c>
      <c r="F4421" s="955"/>
      <c r="L4421" s="954"/>
      <c r="M4421" s="952"/>
      <c r="N4421" s="952"/>
    </row>
    <row r="4422" spans="1:14">
      <c r="A4422" s="958" t="s">
        <v>355</v>
      </c>
      <c r="B4422" s="958">
        <v>42</v>
      </c>
      <c r="C4422" s="958" t="s">
        <v>3138</v>
      </c>
      <c r="D4422" s="957" t="s">
        <v>3137</v>
      </c>
      <c r="E4422" s="956">
        <v>56421</v>
      </c>
      <c r="F4422" s="955"/>
      <c r="L4422" s="954"/>
      <c r="M4422" s="952"/>
      <c r="N4422" s="952"/>
    </row>
    <row r="4423" spans="1:14">
      <c r="A4423" s="958" t="s">
        <v>355</v>
      </c>
      <c r="B4423" s="958">
        <v>42</v>
      </c>
      <c r="C4423" s="958" t="s">
        <v>3136</v>
      </c>
      <c r="D4423" s="957" t="s">
        <v>3135</v>
      </c>
      <c r="E4423" s="956">
        <v>14184</v>
      </c>
      <c r="F4423" s="955"/>
      <c r="L4423" s="954"/>
      <c r="M4423" s="952"/>
      <c r="N4423" s="952"/>
    </row>
    <row r="4424" spans="1:14">
      <c r="A4424" s="958" t="s">
        <v>355</v>
      </c>
      <c r="B4424" s="958">
        <v>42</v>
      </c>
      <c r="C4424" s="958" t="s">
        <v>3134</v>
      </c>
      <c r="D4424" s="957" t="s">
        <v>3133</v>
      </c>
      <c r="E4424" s="956">
        <v>10135</v>
      </c>
      <c r="F4424" s="955"/>
      <c r="L4424" s="954"/>
      <c r="M4424" s="952"/>
      <c r="N4424" s="952"/>
    </row>
    <row r="4425" spans="1:14">
      <c r="A4425" s="958" t="s">
        <v>355</v>
      </c>
      <c r="B4425" s="958">
        <v>42</v>
      </c>
      <c r="C4425" s="958" t="s">
        <v>3132</v>
      </c>
      <c r="D4425" s="957" t="s">
        <v>3131</v>
      </c>
      <c r="E4425" s="956">
        <v>44853</v>
      </c>
      <c r="F4425" s="955"/>
      <c r="L4425" s="954"/>
      <c r="M4425" s="952"/>
      <c r="N4425" s="952"/>
    </row>
    <row r="4426" spans="1:14">
      <c r="A4426" s="958" t="s">
        <v>355</v>
      </c>
      <c r="B4426" s="958">
        <v>42</v>
      </c>
      <c r="C4426" s="958" t="s">
        <v>3130</v>
      </c>
      <c r="D4426" s="957" t="s">
        <v>3129</v>
      </c>
      <c r="E4426" s="956">
        <v>6197</v>
      </c>
      <c r="F4426" s="955"/>
      <c r="L4426" s="954"/>
      <c r="M4426" s="952"/>
      <c r="N4426" s="952"/>
    </row>
    <row r="4427" spans="1:14">
      <c r="A4427" s="958" t="s">
        <v>355</v>
      </c>
      <c r="B4427" s="958">
        <v>42</v>
      </c>
      <c r="C4427" s="958" t="s">
        <v>3128</v>
      </c>
      <c r="D4427" s="957" t="s">
        <v>3127</v>
      </c>
      <c r="E4427" s="956">
        <v>69425</v>
      </c>
      <c r="F4427" s="955"/>
      <c r="L4427" s="954"/>
      <c r="M4427" s="952"/>
      <c r="N4427" s="952"/>
    </row>
    <row r="4428" spans="1:14">
      <c r="A4428" s="958" t="s">
        <v>355</v>
      </c>
      <c r="B4428" s="958">
        <v>42</v>
      </c>
      <c r="C4428" s="958" t="s">
        <v>3126</v>
      </c>
      <c r="D4428" s="957" t="s">
        <v>3125</v>
      </c>
      <c r="E4428" s="956">
        <v>2945</v>
      </c>
      <c r="F4428" s="955"/>
      <c r="L4428" s="954"/>
      <c r="M4428" s="952"/>
      <c r="N4428" s="952"/>
    </row>
    <row r="4429" spans="1:14">
      <c r="A4429" s="958" t="s">
        <v>355</v>
      </c>
      <c r="B4429" s="958">
        <v>42</v>
      </c>
      <c r="C4429" s="958" t="s">
        <v>3124</v>
      </c>
      <c r="D4429" s="957" t="s">
        <v>3123</v>
      </c>
      <c r="E4429" s="956">
        <v>4446</v>
      </c>
      <c r="F4429" s="955"/>
      <c r="L4429" s="954"/>
      <c r="M4429" s="952"/>
      <c r="N4429" s="952"/>
    </row>
    <row r="4430" spans="1:14">
      <c r="A4430" s="958" t="s">
        <v>355</v>
      </c>
      <c r="B4430" s="958">
        <v>42</v>
      </c>
      <c r="C4430" s="958" t="s">
        <v>3122</v>
      </c>
      <c r="D4430" s="957" t="s">
        <v>3121</v>
      </c>
      <c r="E4430" s="956">
        <v>8996</v>
      </c>
      <c r="F4430" s="955"/>
      <c r="L4430" s="954"/>
      <c r="M4430" s="952"/>
      <c r="N4430" s="952"/>
    </row>
    <row r="4431" spans="1:14">
      <c r="A4431" s="958" t="s">
        <v>355</v>
      </c>
      <c r="B4431" s="958">
        <v>42</v>
      </c>
      <c r="C4431" s="958" t="s">
        <v>3120</v>
      </c>
      <c r="D4431" s="957" t="s">
        <v>3119</v>
      </c>
      <c r="E4431" s="956">
        <v>7514</v>
      </c>
      <c r="F4431" s="955"/>
      <c r="L4431" s="954"/>
      <c r="M4431" s="952"/>
      <c r="N4431" s="952"/>
    </row>
    <row r="4432" spans="1:14">
      <c r="A4432" s="958" t="s">
        <v>355</v>
      </c>
      <c r="B4432" s="958">
        <v>42</v>
      </c>
      <c r="C4432" s="958" t="s">
        <v>3118</v>
      </c>
      <c r="D4432" s="957" t="s">
        <v>3117</v>
      </c>
      <c r="E4432" s="956">
        <v>7593</v>
      </c>
      <c r="F4432" s="955"/>
      <c r="L4432" s="954"/>
      <c r="M4432" s="952"/>
      <c r="N4432" s="952"/>
    </row>
    <row r="4433" spans="1:14">
      <c r="A4433" s="958" t="s">
        <v>355</v>
      </c>
      <c r="B4433" s="958">
        <v>42</v>
      </c>
      <c r="C4433" s="958" t="s">
        <v>3116</v>
      </c>
      <c r="D4433" s="957" t="s">
        <v>3115</v>
      </c>
      <c r="E4433" s="956">
        <v>3976</v>
      </c>
      <c r="F4433" s="955"/>
      <c r="L4433" s="954"/>
      <c r="M4433" s="952"/>
      <c r="N4433" s="952"/>
    </row>
    <row r="4434" spans="1:14">
      <c r="A4434" s="958" t="s">
        <v>355</v>
      </c>
      <c r="B4434" s="958">
        <v>42</v>
      </c>
      <c r="C4434" s="958" t="s">
        <v>3114</v>
      </c>
      <c r="D4434" s="957" t="s">
        <v>3113</v>
      </c>
      <c r="E4434" s="956">
        <v>10419</v>
      </c>
      <c r="F4434" s="955"/>
      <c r="L4434" s="954"/>
      <c r="M4434" s="952"/>
      <c r="N4434" s="952"/>
    </row>
    <row r="4435" spans="1:14">
      <c r="A4435" s="958" t="s">
        <v>355</v>
      </c>
      <c r="B4435" s="958">
        <v>42</v>
      </c>
      <c r="C4435" s="958" t="s">
        <v>3112</v>
      </c>
      <c r="D4435" s="957" t="s">
        <v>3111</v>
      </c>
      <c r="E4435" s="956">
        <v>1930</v>
      </c>
      <c r="F4435" s="955"/>
      <c r="L4435" s="954"/>
      <c r="M4435" s="952"/>
      <c r="N4435" s="952"/>
    </row>
    <row r="4436" spans="1:14">
      <c r="A4436" s="958" t="s">
        <v>355</v>
      </c>
      <c r="B4436" s="958">
        <v>42</v>
      </c>
      <c r="C4436" s="958" t="s">
        <v>3110</v>
      </c>
      <c r="D4436" s="957" t="s">
        <v>3109</v>
      </c>
      <c r="E4436" s="956">
        <v>11222</v>
      </c>
      <c r="F4436" s="955"/>
      <c r="L4436" s="954"/>
      <c r="M4436" s="952"/>
      <c r="N4436" s="952"/>
    </row>
    <row r="4437" spans="1:14">
      <c r="A4437" s="958" t="s">
        <v>355</v>
      </c>
      <c r="B4437" s="958">
        <v>42</v>
      </c>
      <c r="C4437" s="958" t="s">
        <v>3108</v>
      </c>
      <c r="D4437" s="957" t="s">
        <v>3107</v>
      </c>
      <c r="E4437" s="956">
        <v>6169</v>
      </c>
      <c r="F4437" s="955"/>
      <c r="L4437" s="954"/>
      <c r="M4437" s="952"/>
      <c r="N4437" s="952"/>
    </row>
    <row r="4438" spans="1:14">
      <c r="A4438" s="958" t="s">
        <v>355</v>
      </c>
      <c r="B4438" s="958">
        <v>42</v>
      </c>
      <c r="C4438" s="958" t="s">
        <v>3106</v>
      </c>
      <c r="D4438" s="957" t="s">
        <v>3105</v>
      </c>
      <c r="E4438" s="956">
        <v>21669</v>
      </c>
      <c r="F4438" s="955"/>
      <c r="L4438" s="954"/>
      <c r="M4438" s="952"/>
      <c r="N4438" s="952"/>
    </row>
    <row r="4439" spans="1:14">
      <c r="A4439" s="958" t="s">
        <v>355</v>
      </c>
      <c r="B4439" s="958">
        <v>42</v>
      </c>
      <c r="C4439" s="958" t="s">
        <v>3104</v>
      </c>
      <c r="D4439" s="957" t="s">
        <v>3103</v>
      </c>
      <c r="E4439" s="956">
        <v>219536</v>
      </c>
      <c r="F4439" s="955"/>
      <c r="L4439" s="954"/>
      <c r="M4439" s="952"/>
      <c r="N4439" s="952"/>
    </row>
    <row r="4440" spans="1:14">
      <c r="A4440" s="958" t="s">
        <v>355</v>
      </c>
      <c r="B4440" s="958">
        <v>42</v>
      </c>
      <c r="C4440" s="958" t="s">
        <v>3102</v>
      </c>
      <c r="D4440" s="957" t="s">
        <v>3101</v>
      </c>
      <c r="E4440" s="956">
        <v>65312</v>
      </c>
      <c r="F4440" s="955"/>
      <c r="L4440" s="954"/>
      <c r="M4440" s="952"/>
      <c r="N4440" s="952"/>
    </row>
    <row r="4441" spans="1:14">
      <c r="A4441" s="958" t="s">
        <v>355</v>
      </c>
      <c r="B4441" s="958">
        <v>42</v>
      </c>
      <c r="C4441" s="958" t="s">
        <v>3100</v>
      </c>
      <c r="D4441" s="957" t="s">
        <v>3099</v>
      </c>
      <c r="E4441" s="956">
        <v>16872</v>
      </c>
      <c r="F4441" s="955"/>
      <c r="L4441" s="954"/>
      <c r="M4441" s="952"/>
      <c r="N4441" s="952"/>
    </row>
    <row r="4442" spans="1:14">
      <c r="A4442" s="958" t="s">
        <v>355</v>
      </c>
      <c r="B4442" s="958">
        <v>42</v>
      </c>
      <c r="C4442" s="958" t="s">
        <v>3098</v>
      </c>
      <c r="D4442" s="957" t="s">
        <v>3097</v>
      </c>
      <c r="E4442" s="956">
        <v>20576</v>
      </c>
      <c r="F4442" s="955"/>
      <c r="L4442" s="954"/>
      <c r="M4442" s="952"/>
      <c r="N4442" s="952"/>
    </row>
    <row r="4443" spans="1:14">
      <c r="A4443" s="958" t="s">
        <v>355</v>
      </c>
      <c r="B4443" s="958">
        <v>42</v>
      </c>
      <c r="C4443" s="958" t="s">
        <v>3096</v>
      </c>
      <c r="D4443" s="957" t="s">
        <v>3095</v>
      </c>
      <c r="E4443" s="956">
        <v>25086</v>
      </c>
      <c r="F4443" s="955"/>
      <c r="L4443" s="954"/>
      <c r="M4443" s="952"/>
      <c r="N4443" s="952"/>
    </row>
    <row r="4444" spans="1:14">
      <c r="A4444" s="958" t="s">
        <v>355</v>
      </c>
      <c r="B4444" s="958">
        <v>42</v>
      </c>
      <c r="C4444" s="958" t="s">
        <v>3094</v>
      </c>
      <c r="D4444" s="957" t="s">
        <v>3093</v>
      </c>
      <c r="E4444" s="956">
        <v>3936</v>
      </c>
      <c r="F4444" s="955"/>
      <c r="L4444" s="954"/>
      <c r="M4444" s="952"/>
      <c r="N4444" s="952"/>
    </row>
    <row r="4445" spans="1:14">
      <c r="A4445" s="958" t="s">
        <v>355</v>
      </c>
      <c r="B4445" s="958">
        <v>42</v>
      </c>
      <c r="C4445" s="958" t="s">
        <v>3092</v>
      </c>
      <c r="D4445" s="957" t="s">
        <v>3091</v>
      </c>
      <c r="E4445" s="956">
        <v>10416</v>
      </c>
      <c r="F4445" s="955"/>
      <c r="L4445" s="954"/>
      <c r="M4445" s="952"/>
      <c r="N4445" s="952"/>
    </row>
    <row r="4446" spans="1:14">
      <c r="A4446" s="958" t="s">
        <v>355</v>
      </c>
      <c r="B4446" s="958">
        <v>42</v>
      </c>
      <c r="C4446" s="958" t="s">
        <v>3090</v>
      </c>
      <c r="D4446" s="957" t="s">
        <v>3089</v>
      </c>
      <c r="E4446" s="956">
        <v>20024</v>
      </c>
      <c r="F4446" s="955"/>
      <c r="L4446" s="954"/>
      <c r="M4446" s="952"/>
      <c r="N4446" s="952"/>
    </row>
    <row r="4447" spans="1:14">
      <c r="A4447" s="958" t="s">
        <v>355</v>
      </c>
      <c r="B4447" s="958">
        <v>42</v>
      </c>
      <c r="C4447" s="958" t="s">
        <v>3088</v>
      </c>
      <c r="D4447" s="957" t="s">
        <v>3087</v>
      </c>
      <c r="E4447" s="956">
        <v>177697</v>
      </c>
      <c r="F4447" s="955"/>
      <c r="L4447" s="954"/>
      <c r="M4447" s="952"/>
      <c r="N4447" s="952"/>
    </row>
    <row r="4448" spans="1:14">
      <c r="A4448" s="958" t="s">
        <v>355</v>
      </c>
      <c r="B4448" s="958">
        <v>42</v>
      </c>
      <c r="C4448" s="958" t="s">
        <v>3086</v>
      </c>
      <c r="D4448" s="957" t="s">
        <v>3085</v>
      </c>
      <c r="E4448" s="956">
        <v>1570</v>
      </c>
      <c r="F4448" s="955"/>
      <c r="L4448" s="954"/>
      <c r="M4448" s="952"/>
      <c r="N4448" s="952"/>
    </row>
    <row r="4449" spans="1:14">
      <c r="A4449" s="958" t="s">
        <v>355</v>
      </c>
      <c r="B4449" s="958">
        <v>42</v>
      </c>
      <c r="C4449" s="958" t="s">
        <v>3084</v>
      </c>
      <c r="D4449" s="957" t="s">
        <v>3083</v>
      </c>
      <c r="E4449" s="956">
        <v>30118</v>
      </c>
      <c r="F4449" s="955"/>
      <c r="L4449" s="954"/>
      <c r="M4449" s="952"/>
      <c r="N4449" s="952"/>
    </row>
    <row r="4450" spans="1:14">
      <c r="A4450" s="958" t="s">
        <v>355</v>
      </c>
      <c r="B4450" s="958">
        <v>42</v>
      </c>
      <c r="C4450" s="958" t="s">
        <v>3082</v>
      </c>
      <c r="D4450" s="957" t="s">
        <v>3081</v>
      </c>
      <c r="E4450" s="956">
        <v>590466</v>
      </c>
      <c r="F4450" s="955"/>
      <c r="L4450" s="954"/>
      <c r="M4450" s="952"/>
      <c r="N4450" s="952"/>
    </row>
    <row r="4451" spans="1:14">
      <c r="A4451" s="958" t="s">
        <v>355</v>
      </c>
      <c r="B4451" s="958">
        <v>42</v>
      </c>
      <c r="C4451" s="958" t="s">
        <v>3080</v>
      </c>
      <c r="D4451" s="957" t="s">
        <v>3079</v>
      </c>
      <c r="E4451" s="956">
        <v>4997</v>
      </c>
      <c r="F4451" s="955"/>
      <c r="L4451" s="954"/>
      <c r="M4451" s="952"/>
      <c r="N4451" s="952"/>
    </row>
    <row r="4452" spans="1:14">
      <c r="A4452" s="958" t="s">
        <v>355</v>
      </c>
      <c r="B4452" s="958">
        <v>42</v>
      </c>
      <c r="C4452" s="958" t="s">
        <v>3078</v>
      </c>
      <c r="D4452" s="957" t="s">
        <v>3077</v>
      </c>
      <c r="E4452" s="956">
        <v>2101</v>
      </c>
      <c r="F4452" s="955"/>
      <c r="L4452" s="954"/>
      <c r="M4452" s="952"/>
      <c r="N4452" s="952"/>
    </row>
    <row r="4453" spans="1:14">
      <c r="A4453" s="958" t="s">
        <v>355</v>
      </c>
      <c r="B4453" s="958">
        <v>42</v>
      </c>
      <c r="C4453" s="958" t="s">
        <v>3076</v>
      </c>
      <c r="D4453" s="957" t="s">
        <v>3075</v>
      </c>
      <c r="E4453" s="956">
        <v>2246</v>
      </c>
      <c r="F4453" s="955"/>
      <c r="L4453" s="954"/>
      <c r="M4453" s="952"/>
      <c r="N4453" s="952"/>
    </row>
    <row r="4454" spans="1:14">
      <c r="A4454" s="958" t="s">
        <v>355</v>
      </c>
      <c r="B4454" s="958">
        <v>42</v>
      </c>
      <c r="C4454" s="958" t="s">
        <v>3074</v>
      </c>
      <c r="D4454" s="957" t="s">
        <v>3073</v>
      </c>
      <c r="E4454" s="956">
        <v>157544</v>
      </c>
      <c r="F4454" s="955"/>
      <c r="L4454" s="954"/>
      <c r="M4454" s="952"/>
      <c r="N4454" s="952"/>
    </row>
    <row r="4455" spans="1:14">
      <c r="A4455" s="958" t="s">
        <v>355</v>
      </c>
      <c r="B4455" s="958">
        <v>42</v>
      </c>
      <c r="C4455" s="958" t="s">
        <v>3072</v>
      </c>
      <c r="D4455" s="957" t="s">
        <v>3071</v>
      </c>
      <c r="E4455" s="956">
        <v>45814</v>
      </c>
      <c r="F4455" s="955"/>
      <c r="L4455" s="954"/>
      <c r="M4455" s="952"/>
      <c r="N4455" s="952"/>
    </row>
    <row r="4456" spans="1:14">
      <c r="A4456" s="958" t="s">
        <v>355</v>
      </c>
      <c r="B4456" s="958">
        <v>42</v>
      </c>
      <c r="C4456" s="958" t="s">
        <v>3070</v>
      </c>
      <c r="D4456" s="957" t="s">
        <v>3069</v>
      </c>
      <c r="E4456" s="956">
        <v>1427</v>
      </c>
      <c r="F4456" s="955"/>
      <c r="L4456" s="954"/>
      <c r="M4456" s="952"/>
      <c r="N4456" s="952"/>
    </row>
    <row r="4457" spans="1:14">
      <c r="A4457" s="958" t="s">
        <v>355</v>
      </c>
      <c r="B4457" s="958">
        <v>42</v>
      </c>
      <c r="C4457" s="958" t="s">
        <v>3068</v>
      </c>
      <c r="D4457" s="957" t="s">
        <v>3067</v>
      </c>
      <c r="E4457" s="956">
        <v>6970</v>
      </c>
      <c r="F4457" s="955"/>
      <c r="L4457" s="954"/>
      <c r="M4457" s="952"/>
      <c r="N4457" s="952"/>
    </row>
    <row r="4458" spans="1:14">
      <c r="A4458" s="958" t="s">
        <v>355</v>
      </c>
      <c r="B4458" s="958">
        <v>42</v>
      </c>
      <c r="C4458" s="958" t="s">
        <v>3066</v>
      </c>
      <c r="D4458" s="957" t="s">
        <v>3065</v>
      </c>
      <c r="E4458" s="956">
        <v>15244</v>
      </c>
      <c r="F4458" s="955"/>
      <c r="L4458" s="954"/>
      <c r="M4458" s="952"/>
      <c r="N4458" s="952"/>
    </row>
    <row r="4459" spans="1:14">
      <c r="A4459" s="958" t="s">
        <v>355</v>
      </c>
      <c r="B4459" s="958">
        <v>42</v>
      </c>
      <c r="C4459" s="958" t="s">
        <v>3064</v>
      </c>
      <c r="D4459" s="957" t="s">
        <v>3063</v>
      </c>
      <c r="E4459" s="956">
        <v>12107</v>
      </c>
      <c r="F4459" s="955"/>
      <c r="L4459" s="954"/>
      <c r="M4459" s="952"/>
      <c r="N4459" s="952"/>
    </row>
    <row r="4460" spans="1:14">
      <c r="A4460" s="958" t="s">
        <v>355</v>
      </c>
      <c r="B4460" s="958">
        <v>42</v>
      </c>
      <c r="C4460" s="958" t="s">
        <v>3062</v>
      </c>
      <c r="D4460" s="957" t="s">
        <v>3061</v>
      </c>
      <c r="E4460" s="956">
        <v>3041</v>
      </c>
      <c r="F4460" s="955"/>
      <c r="L4460" s="954"/>
      <c r="M4460" s="952"/>
      <c r="N4460" s="952"/>
    </row>
    <row r="4461" spans="1:14">
      <c r="A4461" s="958" t="s">
        <v>355</v>
      </c>
      <c r="B4461" s="958">
        <v>42</v>
      </c>
      <c r="C4461" s="958" t="s">
        <v>3060</v>
      </c>
      <c r="D4461" s="957" t="s">
        <v>3059</v>
      </c>
      <c r="E4461" s="956">
        <v>4563</v>
      </c>
      <c r="F4461" s="955"/>
      <c r="L4461" s="954"/>
      <c r="M4461" s="952"/>
      <c r="N4461" s="952"/>
    </row>
    <row r="4462" spans="1:14">
      <c r="A4462" s="958" t="s">
        <v>355</v>
      </c>
      <c r="B4462" s="958">
        <v>42</v>
      </c>
      <c r="C4462" s="958" t="s">
        <v>3058</v>
      </c>
      <c r="D4462" s="957" t="s">
        <v>3057</v>
      </c>
      <c r="E4462" s="956">
        <v>12130</v>
      </c>
      <c r="F4462" s="955"/>
      <c r="L4462" s="954"/>
      <c r="M4462" s="952"/>
      <c r="N4462" s="952"/>
    </row>
    <row r="4463" spans="1:14">
      <c r="A4463" s="958" t="s">
        <v>355</v>
      </c>
      <c r="B4463" s="958">
        <v>42</v>
      </c>
      <c r="C4463" s="958" t="s">
        <v>3056</v>
      </c>
      <c r="D4463" s="957" t="s">
        <v>3055</v>
      </c>
      <c r="E4463" s="956">
        <v>12859</v>
      </c>
      <c r="F4463" s="955"/>
      <c r="L4463" s="954"/>
      <c r="M4463" s="952"/>
      <c r="N4463" s="952"/>
    </row>
    <row r="4464" spans="1:14">
      <c r="A4464" s="958" t="s">
        <v>355</v>
      </c>
      <c r="B4464" s="958">
        <v>42</v>
      </c>
      <c r="C4464" s="958" t="s">
        <v>3054</v>
      </c>
      <c r="D4464" s="957" t="s">
        <v>3053</v>
      </c>
      <c r="E4464" s="956">
        <v>5685</v>
      </c>
      <c r="F4464" s="955"/>
      <c r="L4464" s="954"/>
      <c r="M4464" s="952"/>
      <c r="N4464" s="952"/>
    </row>
    <row r="4465" spans="1:14">
      <c r="A4465" s="958" t="s">
        <v>355</v>
      </c>
      <c r="B4465" s="958">
        <v>42</v>
      </c>
      <c r="C4465" s="958" t="s">
        <v>3052</v>
      </c>
      <c r="D4465" s="957" t="s">
        <v>3051</v>
      </c>
      <c r="E4465" s="956">
        <v>1775</v>
      </c>
      <c r="F4465" s="955"/>
      <c r="L4465" s="954"/>
      <c r="M4465" s="952"/>
      <c r="N4465" s="952"/>
    </row>
    <row r="4466" spans="1:14">
      <c r="A4466" s="958" t="s">
        <v>355</v>
      </c>
      <c r="B4466" s="958">
        <v>42</v>
      </c>
      <c r="C4466" s="958" t="s">
        <v>3050</v>
      </c>
      <c r="D4466" s="957" t="s">
        <v>3049</v>
      </c>
      <c r="E4466" s="956">
        <v>56292</v>
      </c>
      <c r="F4466" s="955"/>
      <c r="L4466" s="954"/>
      <c r="M4466" s="952"/>
      <c r="N4466" s="952"/>
    </row>
    <row r="4467" spans="1:14">
      <c r="A4467" s="958" t="s">
        <v>355</v>
      </c>
      <c r="B4467" s="958">
        <v>42</v>
      </c>
      <c r="C4467" s="958" t="s">
        <v>3048</v>
      </c>
      <c r="D4467" s="957" t="s">
        <v>3047</v>
      </c>
      <c r="E4467" s="956">
        <v>3442</v>
      </c>
      <c r="F4467" s="955"/>
      <c r="L4467" s="954"/>
      <c r="M4467" s="952"/>
      <c r="N4467" s="952"/>
    </row>
    <row r="4468" spans="1:14">
      <c r="A4468" s="958" t="s">
        <v>355</v>
      </c>
      <c r="B4468" s="958">
        <v>42</v>
      </c>
      <c r="C4468" s="958" t="s">
        <v>3046</v>
      </c>
      <c r="D4468" s="957" t="s">
        <v>3045</v>
      </c>
      <c r="E4468" s="956">
        <v>8103</v>
      </c>
      <c r="F4468" s="955"/>
      <c r="L4468" s="954"/>
      <c r="M4468" s="952"/>
      <c r="N4468" s="952"/>
    </row>
    <row r="4469" spans="1:14">
      <c r="A4469" s="958" t="s">
        <v>355</v>
      </c>
      <c r="B4469" s="958">
        <v>42</v>
      </c>
      <c r="C4469" s="958" t="s">
        <v>3044</v>
      </c>
      <c r="D4469" s="957" t="s">
        <v>3043</v>
      </c>
      <c r="E4469" s="956">
        <v>7293</v>
      </c>
      <c r="F4469" s="955"/>
      <c r="L4469" s="954"/>
      <c r="M4469" s="952"/>
      <c r="N4469" s="952"/>
    </row>
    <row r="4470" spans="1:14">
      <c r="A4470" s="958" t="s">
        <v>355</v>
      </c>
      <c r="B4470" s="958">
        <v>42</v>
      </c>
      <c r="C4470" s="958" t="s">
        <v>3042</v>
      </c>
      <c r="D4470" s="957" t="s">
        <v>3041</v>
      </c>
      <c r="E4470" s="956">
        <v>25762</v>
      </c>
      <c r="F4470" s="955"/>
      <c r="L4470" s="954"/>
      <c r="M4470" s="952"/>
      <c r="N4470" s="952"/>
    </row>
    <row r="4471" spans="1:14">
      <c r="A4471" s="958" t="s">
        <v>355</v>
      </c>
      <c r="B4471" s="958">
        <v>42</v>
      </c>
      <c r="C4471" s="958" t="s">
        <v>3040</v>
      </c>
      <c r="D4471" s="957" t="s">
        <v>3039</v>
      </c>
      <c r="E4471" s="956">
        <v>1797</v>
      </c>
      <c r="F4471" s="955"/>
      <c r="L4471" s="954"/>
      <c r="M4471" s="952"/>
      <c r="N4471" s="952"/>
    </row>
    <row r="4472" spans="1:14">
      <c r="A4472" s="958" t="s">
        <v>355</v>
      </c>
      <c r="B4472" s="958">
        <v>42</v>
      </c>
      <c r="C4472" s="958" t="s">
        <v>3038</v>
      </c>
      <c r="D4472" s="957" t="s">
        <v>3037</v>
      </c>
      <c r="E4472" s="956">
        <v>16916</v>
      </c>
      <c r="F4472" s="955"/>
      <c r="L4472" s="954"/>
      <c r="M4472" s="952"/>
      <c r="N4472" s="952"/>
    </row>
    <row r="4473" spans="1:14">
      <c r="A4473" s="958" t="s">
        <v>355</v>
      </c>
      <c r="B4473" s="958">
        <v>42</v>
      </c>
      <c r="C4473" s="958" t="s">
        <v>3036</v>
      </c>
      <c r="D4473" s="957" t="s">
        <v>3035</v>
      </c>
      <c r="E4473" s="956">
        <v>2520</v>
      </c>
      <c r="F4473" s="955"/>
      <c r="L4473" s="954"/>
      <c r="M4473" s="952"/>
      <c r="N4473" s="952"/>
    </row>
    <row r="4474" spans="1:14">
      <c r="A4474" s="958" t="s">
        <v>355</v>
      </c>
      <c r="B4474" s="958">
        <v>42</v>
      </c>
      <c r="C4474" s="958" t="s">
        <v>3034</v>
      </c>
      <c r="D4474" s="957" t="s">
        <v>3033</v>
      </c>
      <c r="E4474" s="956">
        <v>7015</v>
      </c>
      <c r="F4474" s="955"/>
      <c r="L4474" s="954"/>
      <c r="M4474" s="952"/>
      <c r="N4474" s="952"/>
    </row>
    <row r="4475" spans="1:14">
      <c r="A4475" s="958" t="s">
        <v>355</v>
      </c>
      <c r="B4475" s="958">
        <v>42</v>
      </c>
      <c r="C4475" s="958" t="s">
        <v>3032</v>
      </c>
      <c r="D4475" s="957" t="s">
        <v>3031</v>
      </c>
      <c r="E4475" s="956">
        <v>2309</v>
      </c>
      <c r="F4475" s="955"/>
      <c r="L4475" s="954"/>
      <c r="M4475" s="952"/>
      <c r="N4475" s="952"/>
    </row>
    <row r="4476" spans="1:14">
      <c r="A4476" s="958" t="s">
        <v>355</v>
      </c>
      <c r="B4476" s="958">
        <v>42</v>
      </c>
      <c r="C4476" s="958" t="s">
        <v>3030</v>
      </c>
      <c r="D4476" s="957" t="s">
        <v>3029</v>
      </c>
      <c r="E4476" s="956">
        <v>4209</v>
      </c>
      <c r="F4476" s="955"/>
      <c r="L4476" s="954"/>
      <c r="M4476" s="952"/>
      <c r="N4476" s="952"/>
    </row>
    <row r="4477" spans="1:14">
      <c r="A4477" s="958" t="s">
        <v>355</v>
      </c>
      <c r="B4477" s="958">
        <v>42</v>
      </c>
      <c r="C4477" s="958" t="s">
        <v>3028</v>
      </c>
      <c r="D4477" s="957" t="s">
        <v>3027</v>
      </c>
      <c r="E4477" s="956">
        <v>11742</v>
      </c>
      <c r="F4477" s="955"/>
      <c r="L4477" s="954"/>
      <c r="M4477" s="952"/>
      <c r="N4477" s="952"/>
    </row>
    <row r="4478" spans="1:14">
      <c r="A4478" s="958" t="s">
        <v>355</v>
      </c>
      <c r="B4478" s="958">
        <v>42</v>
      </c>
      <c r="C4478" s="958" t="s">
        <v>3026</v>
      </c>
      <c r="D4478" s="957" t="s">
        <v>3025</v>
      </c>
      <c r="E4478" s="956">
        <v>9866</v>
      </c>
      <c r="F4478" s="955"/>
      <c r="L4478" s="954"/>
      <c r="M4478" s="952"/>
      <c r="N4478" s="952"/>
    </row>
    <row r="4479" spans="1:14">
      <c r="A4479" s="958" t="s">
        <v>355</v>
      </c>
      <c r="B4479" s="958">
        <v>42</v>
      </c>
      <c r="C4479" s="958" t="s">
        <v>3024</v>
      </c>
      <c r="D4479" s="957" t="s">
        <v>3023</v>
      </c>
      <c r="E4479" s="956">
        <v>8275</v>
      </c>
      <c r="F4479" s="955"/>
      <c r="L4479" s="954"/>
      <c r="M4479" s="952"/>
      <c r="N4479" s="952"/>
    </row>
    <row r="4480" spans="1:14">
      <c r="A4480" s="958" t="s">
        <v>355</v>
      </c>
      <c r="B4480" s="958">
        <v>42</v>
      </c>
      <c r="C4480" s="958" t="s">
        <v>3022</v>
      </c>
      <c r="D4480" s="957" t="s">
        <v>3021</v>
      </c>
      <c r="E4480" s="956">
        <v>17796</v>
      </c>
      <c r="F4480" s="955"/>
      <c r="L4480" s="954"/>
      <c r="M4480" s="952"/>
      <c r="N4480" s="952"/>
    </row>
    <row r="4481" spans="1:14">
      <c r="A4481" s="958" t="s">
        <v>355</v>
      </c>
      <c r="B4481" s="958">
        <v>42</v>
      </c>
      <c r="C4481" s="958" t="s">
        <v>3020</v>
      </c>
      <c r="D4481" s="957" t="s">
        <v>3019</v>
      </c>
      <c r="E4481" s="956">
        <v>2893</v>
      </c>
      <c r="F4481" s="955"/>
      <c r="L4481" s="954"/>
      <c r="M4481" s="952"/>
      <c r="N4481" s="952"/>
    </row>
    <row r="4482" spans="1:14">
      <c r="A4482" s="958" t="s">
        <v>355</v>
      </c>
      <c r="B4482" s="958">
        <v>42</v>
      </c>
      <c r="C4482" s="958" t="s">
        <v>3018</v>
      </c>
      <c r="D4482" s="957" t="s">
        <v>3017</v>
      </c>
      <c r="E4482" s="956">
        <v>81475</v>
      </c>
      <c r="F4482" s="955"/>
      <c r="L4482" s="954"/>
      <c r="M4482" s="952"/>
      <c r="N4482" s="952"/>
    </row>
    <row r="4483" spans="1:14">
      <c r="A4483" s="958" t="s">
        <v>355</v>
      </c>
      <c r="B4483" s="958">
        <v>42</v>
      </c>
      <c r="C4483" s="958" t="s">
        <v>3016</v>
      </c>
      <c r="D4483" s="957" t="s">
        <v>3015</v>
      </c>
      <c r="E4483" s="956">
        <v>5019</v>
      </c>
      <c r="F4483" s="955"/>
      <c r="L4483" s="954"/>
      <c r="M4483" s="952"/>
      <c r="N4483" s="952"/>
    </row>
    <row r="4484" spans="1:14">
      <c r="A4484" s="958" t="s">
        <v>355</v>
      </c>
      <c r="B4484" s="958">
        <v>42</v>
      </c>
      <c r="C4484" s="958" t="s">
        <v>3014</v>
      </c>
      <c r="D4484" s="957" t="s">
        <v>3013</v>
      </c>
      <c r="E4484" s="956">
        <v>4331</v>
      </c>
      <c r="F4484" s="955"/>
      <c r="L4484" s="954"/>
      <c r="M4484" s="952"/>
      <c r="N4484" s="952"/>
    </row>
    <row r="4485" spans="1:14">
      <c r="A4485" s="958" t="s">
        <v>355</v>
      </c>
      <c r="B4485" s="958">
        <v>42</v>
      </c>
      <c r="C4485" s="958" t="s">
        <v>3012</v>
      </c>
      <c r="D4485" s="957" t="s">
        <v>3011</v>
      </c>
      <c r="E4485" s="956">
        <v>14549</v>
      </c>
      <c r="F4485" s="955"/>
      <c r="L4485" s="954"/>
      <c r="M4485" s="952"/>
      <c r="N4485" s="952"/>
    </row>
    <row r="4486" spans="1:14">
      <c r="A4486" s="958" t="s">
        <v>355</v>
      </c>
      <c r="B4486" s="958">
        <v>42</v>
      </c>
      <c r="C4486" s="958" t="s">
        <v>3010</v>
      </c>
      <c r="D4486" s="957" t="s">
        <v>1005</v>
      </c>
      <c r="E4486" s="956">
        <v>15166</v>
      </c>
      <c r="F4486" s="955"/>
      <c r="L4486" s="954"/>
      <c r="M4486" s="952"/>
      <c r="N4486" s="952"/>
    </row>
    <row r="4487" spans="1:14">
      <c r="A4487" s="958" t="s">
        <v>355</v>
      </c>
      <c r="B4487" s="958">
        <v>42</v>
      </c>
      <c r="C4487" s="958" t="s">
        <v>3009</v>
      </c>
      <c r="D4487" s="957" t="s">
        <v>3008</v>
      </c>
      <c r="E4487" s="956">
        <v>2442</v>
      </c>
      <c r="F4487" s="955"/>
      <c r="L4487" s="954"/>
      <c r="M4487" s="952"/>
      <c r="N4487" s="952"/>
    </row>
    <row r="4488" spans="1:14">
      <c r="A4488" s="958" t="s">
        <v>355</v>
      </c>
      <c r="B4488" s="958">
        <v>42</v>
      </c>
      <c r="C4488" s="958" t="s">
        <v>3007</v>
      </c>
      <c r="D4488" s="957" t="s">
        <v>3006</v>
      </c>
      <c r="E4488" s="956">
        <v>22912</v>
      </c>
      <c r="F4488" s="955"/>
      <c r="L4488" s="954"/>
      <c r="M4488" s="952"/>
      <c r="N4488" s="952"/>
    </row>
    <row r="4489" spans="1:14">
      <c r="A4489" s="958" t="s">
        <v>355</v>
      </c>
      <c r="B4489" s="958">
        <v>42</v>
      </c>
      <c r="C4489" s="958" t="s">
        <v>3005</v>
      </c>
      <c r="D4489" s="957" t="s">
        <v>3004</v>
      </c>
      <c r="E4489" s="956">
        <v>18744</v>
      </c>
      <c r="F4489" s="955"/>
      <c r="L4489" s="954"/>
      <c r="M4489" s="952"/>
      <c r="N4489" s="952"/>
    </row>
    <row r="4490" spans="1:14">
      <c r="A4490" s="958" t="s">
        <v>355</v>
      </c>
      <c r="B4490" s="958">
        <v>42</v>
      </c>
      <c r="C4490" s="958" t="s">
        <v>3003</v>
      </c>
      <c r="D4490" s="957" t="s">
        <v>3002</v>
      </c>
      <c r="E4490" s="956">
        <v>7295</v>
      </c>
      <c r="F4490" s="955"/>
      <c r="L4490" s="954"/>
      <c r="M4490" s="952"/>
      <c r="N4490" s="952"/>
    </row>
    <row r="4491" spans="1:14">
      <c r="A4491" s="958" t="s">
        <v>355</v>
      </c>
      <c r="B4491" s="958">
        <v>42</v>
      </c>
      <c r="C4491" s="958" t="s">
        <v>3001</v>
      </c>
      <c r="D4491" s="957" t="s">
        <v>3000</v>
      </c>
      <c r="E4491" s="956">
        <v>2217</v>
      </c>
      <c r="F4491" s="955"/>
      <c r="L4491" s="954"/>
      <c r="M4491" s="952"/>
      <c r="N4491" s="952"/>
    </row>
    <row r="4492" spans="1:14">
      <c r="A4492" s="958" t="s">
        <v>355</v>
      </c>
      <c r="B4492" s="958">
        <v>42</v>
      </c>
      <c r="C4492" s="958" t="s">
        <v>2999</v>
      </c>
      <c r="D4492" s="957" t="s">
        <v>2998</v>
      </c>
      <c r="E4492" s="956">
        <v>1505</v>
      </c>
      <c r="F4492" s="955"/>
      <c r="L4492" s="954"/>
      <c r="M4492" s="952"/>
      <c r="N4492" s="952"/>
    </row>
    <row r="4493" spans="1:14">
      <c r="A4493" s="958" t="s">
        <v>355</v>
      </c>
      <c r="B4493" s="958">
        <v>42</v>
      </c>
      <c r="C4493" s="958" t="s">
        <v>2997</v>
      </c>
      <c r="D4493" s="957" t="s">
        <v>2996</v>
      </c>
      <c r="E4493" s="956">
        <v>2359</v>
      </c>
      <c r="F4493" s="955"/>
      <c r="L4493" s="954"/>
      <c r="M4493" s="952"/>
      <c r="N4493" s="952"/>
    </row>
    <row r="4494" spans="1:14">
      <c r="A4494" s="958" t="s">
        <v>355</v>
      </c>
      <c r="B4494" s="958">
        <v>42</v>
      </c>
      <c r="C4494" s="958" t="s">
        <v>2995</v>
      </c>
      <c r="D4494" s="957" t="s">
        <v>2994</v>
      </c>
      <c r="E4494" s="956">
        <v>171797</v>
      </c>
      <c r="F4494" s="955"/>
      <c r="L4494" s="954"/>
      <c r="M4494" s="952"/>
      <c r="N4494" s="952"/>
    </row>
    <row r="4495" spans="1:14">
      <c r="A4495" s="958" t="s">
        <v>355</v>
      </c>
      <c r="B4495" s="958">
        <v>42</v>
      </c>
      <c r="C4495" s="958" t="s">
        <v>2993</v>
      </c>
      <c r="D4495" s="957" t="s">
        <v>2992</v>
      </c>
      <c r="E4495" s="956">
        <v>7423</v>
      </c>
      <c r="F4495" s="955"/>
      <c r="L4495" s="954"/>
      <c r="M4495" s="952"/>
      <c r="N4495" s="952"/>
    </row>
    <row r="4496" spans="1:14">
      <c r="A4496" s="958" t="s">
        <v>355</v>
      </c>
      <c r="B4496" s="958">
        <v>42</v>
      </c>
      <c r="C4496" s="958" t="s">
        <v>2991</v>
      </c>
      <c r="D4496" s="957" t="s">
        <v>2990</v>
      </c>
      <c r="E4496" s="956">
        <v>2627</v>
      </c>
      <c r="F4496" s="955"/>
      <c r="L4496" s="954"/>
      <c r="M4496" s="952"/>
      <c r="N4496" s="952"/>
    </row>
    <row r="4497" spans="1:14">
      <c r="A4497" s="958" t="s">
        <v>355</v>
      </c>
      <c r="B4497" s="958">
        <v>42</v>
      </c>
      <c r="C4497" s="958" t="s">
        <v>2989</v>
      </c>
      <c r="D4497" s="957" t="s">
        <v>2988</v>
      </c>
      <c r="E4497" s="956">
        <v>16169</v>
      </c>
      <c r="F4497" s="955"/>
      <c r="L4497" s="954"/>
      <c r="M4497" s="952"/>
      <c r="N4497" s="952"/>
    </row>
    <row r="4498" spans="1:14">
      <c r="A4498" s="958" t="s">
        <v>355</v>
      </c>
      <c r="B4498" s="958">
        <v>42</v>
      </c>
      <c r="C4498" s="958" t="s">
        <v>2987</v>
      </c>
      <c r="D4498" s="957" t="s">
        <v>2986</v>
      </c>
      <c r="E4498" s="956">
        <v>19320</v>
      </c>
      <c r="F4498" s="955"/>
      <c r="L4498" s="954"/>
      <c r="M4498" s="952"/>
      <c r="N4498" s="952"/>
    </row>
    <row r="4499" spans="1:14">
      <c r="A4499" s="958" t="s">
        <v>355</v>
      </c>
      <c r="B4499" s="958">
        <v>42</v>
      </c>
      <c r="C4499" s="958" t="s">
        <v>2985</v>
      </c>
      <c r="D4499" s="957" t="s">
        <v>2984</v>
      </c>
      <c r="E4499" s="956">
        <v>3437</v>
      </c>
      <c r="F4499" s="955"/>
      <c r="L4499" s="954"/>
      <c r="M4499" s="952"/>
      <c r="N4499" s="952"/>
    </row>
    <row r="4500" spans="1:14">
      <c r="A4500" s="958" t="s">
        <v>355</v>
      </c>
      <c r="B4500" s="958">
        <v>42</v>
      </c>
      <c r="C4500" s="958" t="s">
        <v>2983</v>
      </c>
      <c r="D4500" s="957" t="s">
        <v>2982</v>
      </c>
      <c r="E4500" s="956">
        <v>8823</v>
      </c>
      <c r="F4500" s="955"/>
      <c r="L4500" s="954"/>
      <c r="M4500" s="952"/>
      <c r="N4500" s="952"/>
    </row>
    <row r="4501" spans="1:14">
      <c r="A4501" s="958" t="s">
        <v>355</v>
      </c>
      <c r="B4501" s="958">
        <v>42</v>
      </c>
      <c r="C4501" s="958" t="s">
        <v>2981</v>
      </c>
      <c r="D4501" s="957" t="s">
        <v>2980</v>
      </c>
      <c r="E4501" s="956">
        <v>4147</v>
      </c>
      <c r="F4501" s="955"/>
      <c r="L4501" s="954"/>
      <c r="M4501" s="952"/>
      <c r="N4501" s="952"/>
    </row>
    <row r="4502" spans="1:14">
      <c r="A4502" s="958" t="s">
        <v>355</v>
      </c>
      <c r="B4502" s="958">
        <v>42</v>
      </c>
      <c r="C4502" s="958" t="s">
        <v>2979</v>
      </c>
      <c r="D4502" s="957" t="s">
        <v>2978</v>
      </c>
      <c r="E4502" s="956">
        <v>7494</v>
      </c>
      <c r="F4502" s="955"/>
      <c r="L4502" s="954"/>
      <c r="M4502" s="952"/>
      <c r="N4502" s="952"/>
    </row>
    <row r="4503" spans="1:14">
      <c r="A4503" s="958" t="s">
        <v>355</v>
      </c>
      <c r="B4503" s="958">
        <v>42</v>
      </c>
      <c r="C4503" s="958" t="s">
        <v>2977</v>
      </c>
      <c r="D4503" s="957" t="s">
        <v>2976</v>
      </c>
      <c r="E4503" s="956">
        <v>3976</v>
      </c>
      <c r="F4503" s="955"/>
      <c r="L4503" s="954"/>
      <c r="M4503" s="952"/>
      <c r="N4503" s="952"/>
    </row>
    <row r="4504" spans="1:14">
      <c r="A4504" s="958" t="s">
        <v>355</v>
      </c>
      <c r="B4504" s="958">
        <v>42</v>
      </c>
      <c r="C4504" s="958" t="s">
        <v>2975</v>
      </c>
      <c r="D4504" s="957" t="s">
        <v>2974</v>
      </c>
      <c r="E4504" s="956">
        <v>32531</v>
      </c>
      <c r="F4504" s="955"/>
      <c r="L4504" s="954"/>
      <c r="M4504" s="952"/>
      <c r="N4504" s="952"/>
    </row>
    <row r="4505" spans="1:14">
      <c r="A4505" s="958" t="s">
        <v>355</v>
      </c>
      <c r="B4505" s="958">
        <v>42</v>
      </c>
      <c r="C4505" s="958" t="s">
        <v>2973</v>
      </c>
      <c r="D4505" s="957" t="s">
        <v>2972</v>
      </c>
      <c r="E4505" s="956">
        <v>2787</v>
      </c>
      <c r="F4505" s="955"/>
      <c r="L4505" s="954"/>
      <c r="M4505" s="952"/>
      <c r="N4505" s="952"/>
    </row>
    <row r="4506" spans="1:14">
      <c r="A4506" s="958" t="s">
        <v>355</v>
      </c>
      <c r="B4506" s="958">
        <v>42</v>
      </c>
      <c r="C4506" s="958" t="s">
        <v>2971</v>
      </c>
      <c r="D4506" s="957" t="s">
        <v>2970</v>
      </c>
      <c r="E4506" s="956">
        <v>10091</v>
      </c>
      <c r="F4506" s="955"/>
      <c r="L4506" s="954"/>
      <c r="M4506" s="952"/>
      <c r="N4506" s="952"/>
    </row>
    <row r="4507" spans="1:14">
      <c r="A4507" s="958" t="s">
        <v>355</v>
      </c>
      <c r="B4507" s="958">
        <v>42</v>
      </c>
      <c r="C4507" s="958" t="s">
        <v>2969</v>
      </c>
      <c r="D4507" s="957" t="s">
        <v>2968</v>
      </c>
      <c r="E4507" s="956">
        <v>5937</v>
      </c>
      <c r="F4507" s="955"/>
      <c r="L4507" s="954"/>
      <c r="M4507" s="952"/>
      <c r="N4507" s="952"/>
    </row>
    <row r="4508" spans="1:14">
      <c r="A4508" s="958" t="s">
        <v>355</v>
      </c>
      <c r="B4508" s="958">
        <v>42</v>
      </c>
      <c r="C4508" s="958" t="s">
        <v>2967</v>
      </c>
      <c r="D4508" s="957" t="s">
        <v>2966</v>
      </c>
      <c r="E4508" s="956">
        <v>23147</v>
      </c>
      <c r="F4508" s="955"/>
      <c r="L4508" s="954"/>
      <c r="M4508" s="952"/>
      <c r="N4508" s="952"/>
    </row>
    <row r="4509" spans="1:14">
      <c r="A4509" s="958" t="s">
        <v>355</v>
      </c>
      <c r="B4509" s="958">
        <v>42</v>
      </c>
      <c r="C4509" s="958" t="s">
        <v>2965</v>
      </c>
      <c r="D4509" s="957" t="s">
        <v>2964</v>
      </c>
      <c r="E4509" s="956">
        <v>20313</v>
      </c>
      <c r="F4509" s="955"/>
      <c r="L4509" s="954"/>
      <c r="M4509" s="952"/>
      <c r="N4509" s="952"/>
    </row>
    <row r="4510" spans="1:14">
      <c r="A4510" s="958" t="s">
        <v>355</v>
      </c>
      <c r="B4510" s="958">
        <v>42</v>
      </c>
      <c r="C4510" s="958" t="s">
        <v>2963</v>
      </c>
      <c r="D4510" s="957" t="s">
        <v>2962</v>
      </c>
      <c r="E4510" s="956">
        <v>3555</v>
      </c>
      <c r="F4510" s="955"/>
      <c r="L4510" s="954"/>
      <c r="M4510" s="952"/>
      <c r="N4510" s="952"/>
    </row>
    <row r="4511" spans="1:14">
      <c r="A4511" s="958" t="s">
        <v>355</v>
      </c>
      <c r="B4511" s="958">
        <v>42</v>
      </c>
      <c r="C4511" s="958" t="s">
        <v>2961</v>
      </c>
      <c r="D4511" s="957" t="s">
        <v>2960</v>
      </c>
      <c r="E4511" s="956">
        <v>3854</v>
      </c>
      <c r="F4511" s="955"/>
      <c r="L4511" s="954"/>
      <c r="M4511" s="952"/>
      <c r="N4511" s="952"/>
    </row>
    <row r="4512" spans="1:14">
      <c r="A4512" s="958" t="s">
        <v>355</v>
      </c>
      <c r="B4512" s="958">
        <v>42</v>
      </c>
      <c r="C4512" s="958" t="s">
        <v>2959</v>
      </c>
      <c r="D4512" s="957" t="s">
        <v>2958</v>
      </c>
      <c r="E4512" s="956">
        <v>2870</v>
      </c>
      <c r="F4512" s="955"/>
      <c r="L4512" s="954"/>
      <c r="M4512" s="952"/>
      <c r="N4512" s="952"/>
    </row>
    <row r="4513" spans="1:14">
      <c r="A4513" s="958" t="s">
        <v>355</v>
      </c>
      <c r="B4513" s="958">
        <v>42</v>
      </c>
      <c r="C4513" s="958" t="s">
        <v>2957</v>
      </c>
      <c r="D4513" s="957" t="s">
        <v>2956</v>
      </c>
      <c r="E4513" s="956">
        <v>33447</v>
      </c>
      <c r="F4513" s="955"/>
      <c r="L4513" s="954"/>
      <c r="M4513" s="952"/>
      <c r="N4513" s="952"/>
    </row>
    <row r="4514" spans="1:14">
      <c r="A4514" s="958" t="s">
        <v>355</v>
      </c>
      <c r="B4514" s="958">
        <v>42</v>
      </c>
      <c r="C4514" s="958" t="s">
        <v>2955</v>
      </c>
      <c r="D4514" s="957" t="s">
        <v>2954</v>
      </c>
      <c r="E4514" s="956">
        <v>4682</v>
      </c>
      <c r="F4514" s="955"/>
      <c r="L4514" s="954"/>
      <c r="M4514" s="952"/>
      <c r="N4514" s="952"/>
    </row>
    <row r="4515" spans="1:14">
      <c r="A4515" s="958" t="s">
        <v>355</v>
      </c>
      <c r="B4515" s="958">
        <v>42</v>
      </c>
      <c r="C4515" s="958" t="s">
        <v>2953</v>
      </c>
      <c r="D4515" s="957" t="s">
        <v>2952</v>
      </c>
      <c r="E4515" s="956">
        <v>3414</v>
      </c>
      <c r="F4515" s="955"/>
      <c r="L4515" s="954"/>
      <c r="M4515" s="952"/>
      <c r="N4515" s="952"/>
    </row>
    <row r="4516" spans="1:14">
      <c r="A4516" s="958" t="s">
        <v>355</v>
      </c>
      <c r="B4516" s="958">
        <v>42</v>
      </c>
      <c r="C4516" s="958" t="s">
        <v>2951</v>
      </c>
      <c r="D4516" s="957" t="s">
        <v>2950</v>
      </c>
      <c r="E4516" s="956">
        <v>11593</v>
      </c>
      <c r="F4516" s="955"/>
      <c r="L4516" s="954"/>
      <c r="M4516" s="952"/>
      <c r="N4516" s="952"/>
    </row>
    <row r="4517" spans="1:14">
      <c r="A4517" s="958" t="s">
        <v>355</v>
      </c>
      <c r="B4517" s="958">
        <v>42</v>
      </c>
      <c r="C4517" s="958" t="s">
        <v>2949</v>
      </c>
      <c r="D4517" s="957" t="s">
        <v>2948</v>
      </c>
      <c r="E4517" s="956">
        <v>21388</v>
      </c>
      <c r="F4517" s="955"/>
      <c r="L4517" s="954"/>
      <c r="M4517" s="952"/>
      <c r="N4517" s="952"/>
    </row>
    <row r="4518" spans="1:14">
      <c r="A4518" s="958" t="s">
        <v>355</v>
      </c>
      <c r="B4518" s="958">
        <v>42</v>
      </c>
      <c r="C4518" s="958" t="s">
        <v>2947</v>
      </c>
      <c r="D4518" s="957" t="s">
        <v>2946</v>
      </c>
      <c r="E4518" s="956">
        <v>35398</v>
      </c>
      <c r="F4518" s="955"/>
      <c r="L4518" s="954"/>
      <c r="M4518" s="952"/>
      <c r="N4518" s="952"/>
    </row>
    <row r="4519" spans="1:14">
      <c r="A4519" s="958" t="s">
        <v>355</v>
      </c>
      <c r="B4519" s="958">
        <v>42</v>
      </c>
      <c r="C4519" s="958" t="s">
        <v>2945</v>
      </c>
      <c r="D4519" s="957" t="s">
        <v>2944</v>
      </c>
      <c r="E4519" s="956">
        <v>17453</v>
      </c>
      <c r="F4519" s="955"/>
      <c r="L4519" s="954"/>
      <c r="M4519" s="952"/>
      <c r="N4519" s="952"/>
    </row>
    <row r="4520" spans="1:14">
      <c r="A4520" s="958" t="s">
        <v>355</v>
      </c>
      <c r="B4520" s="958">
        <v>42</v>
      </c>
      <c r="C4520" s="958" t="s">
        <v>2943</v>
      </c>
      <c r="D4520" s="957" t="s">
        <v>2942</v>
      </c>
      <c r="E4520" s="956">
        <v>7319</v>
      </c>
      <c r="F4520" s="955"/>
      <c r="L4520" s="954"/>
      <c r="M4520" s="952"/>
      <c r="N4520" s="952"/>
    </row>
    <row r="4521" spans="1:14">
      <c r="A4521" s="958" t="s">
        <v>355</v>
      </c>
      <c r="B4521" s="958">
        <v>42</v>
      </c>
      <c r="C4521" s="958" t="s">
        <v>2941</v>
      </c>
      <c r="D4521" s="957" t="s">
        <v>2940</v>
      </c>
      <c r="E4521" s="956">
        <v>1568</v>
      </c>
      <c r="F4521" s="955"/>
      <c r="L4521" s="954"/>
      <c r="M4521" s="952"/>
      <c r="N4521" s="952"/>
    </row>
    <row r="4522" spans="1:14">
      <c r="A4522" s="958" t="s">
        <v>355</v>
      </c>
      <c r="B4522" s="958">
        <v>42</v>
      </c>
      <c r="C4522" s="958" t="s">
        <v>2939</v>
      </c>
      <c r="D4522" s="957" t="s">
        <v>2938</v>
      </c>
      <c r="E4522" s="956">
        <v>17471</v>
      </c>
      <c r="F4522" s="955"/>
      <c r="L4522" s="954"/>
      <c r="M4522" s="952"/>
      <c r="N4522" s="952"/>
    </row>
    <row r="4523" spans="1:14">
      <c r="A4523" s="958" t="s">
        <v>355</v>
      </c>
      <c r="B4523" s="958">
        <v>42</v>
      </c>
      <c r="C4523" s="958" t="s">
        <v>2937</v>
      </c>
      <c r="D4523" s="957" t="s">
        <v>2936</v>
      </c>
      <c r="E4523" s="956">
        <v>2287</v>
      </c>
      <c r="F4523" s="955"/>
      <c r="L4523" s="954"/>
      <c r="M4523" s="952"/>
      <c r="N4523" s="952"/>
    </row>
    <row r="4524" spans="1:14">
      <c r="A4524" s="958" t="s">
        <v>355</v>
      </c>
      <c r="B4524" s="958">
        <v>42</v>
      </c>
      <c r="C4524" s="958" t="s">
        <v>2935</v>
      </c>
      <c r="D4524" s="957" t="s">
        <v>2934</v>
      </c>
      <c r="E4524" s="956">
        <v>2924</v>
      </c>
      <c r="F4524" s="955"/>
      <c r="L4524" s="954"/>
      <c r="M4524" s="952"/>
      <c r="N4524" s="952"/>
    </row>
    <row r="4525" spans="1:14">
      <c r="A4525" s="958" t="s">
        <v>355</v>
      </c>
      <c r="B4525" s="958">
        <v>42</v>
      </c>
      <c r="C4525" s="958" t="s">
        <v>2933</v>
      </c>
      <c r="D4525" s="957" t="s">
        <v>2932</v>
      </c>
      <c r="E4525" s="956">
        <v>9887</v>
      </c>
      <c r="F4525" s="955"/>
      <c r="L4525" s="954"/>
      <c r="M4525" s="952"/>
      <c r="N4525" s="952"/>
    </row>
    <row r="4526" spans="1:14">
      <c r="A4526" s="958" t="s">
        <v>355</v>
      </c>
      <c r="B4526" s="958">
        <v>42</v>
      </c>
      <c r="C4526" s="958" t="s">
        <v>2931</v>
      </c>
      <c r="D4526" s="957" t="s">
        <v>2930</v>
      </c>
      <c r="E4526" s="956">
        <v>2878</v>
      </c>
      <c r="F4526" s="955"/>
      <c r="L4526" s="954"/>
      <c r="M4526" s="952"/>
      <c r="N4526" s="952"/>
    </row>
    <row r="4527" spans="1:14">
      <c r="A4527" s="958" t="s">
        <v>355</v>
      </c>
      <c r="B4527" s="958">
        <v>42</v>
      </c>
      <c r="C4527" s="958" t="s">
        <v>2929</v>
      </c>
      <c r="D4527" s="957" t="s">
        <v>2928</v>
      </c>
      <c r="E4527" s="956">
        <v>6205</v>
      </c>
      <c r="F4527" s="955"/>
      <c r="L4527" s="954"/>
      <c r="M4527" s="952"/>
      <c r="N4527" s="952"/>
    </row>
    <row r="4528" spans="1:14">
      <c r="A4528" s="958" t="s">
        <v>355</v>
      </c>
      <c r="B4528" s="958">
        <v>42</v>
      </c>
      <c r="C4528" s="958" t="s">
        <v>2927</v>
      </c>
      <c r="D4528" s="957" t="s">
        <v>2926</v>
      </c>
      <c r="E4528" s="956">
        <v>5940</v>
      </c>
      <c r="F4528" s="955"/>
      <c r="L4528" s="954"/>
      <c r="M4528" s="952"/>
      <c r="N4528" s="952"/>
    </row>
    <row r="4529" spans="1:14">
      <c r="A4529" s="958" t="s">
        <v>355</v>
      </c>
      <c r="B4529" s="958">
        <v>42</v>
      </c>
      <c r="C4529" s="958" t="s">
        <v>2925</v>
      </c>
      <c r="D4529" s="957" t="s">
        <v>2924</v>
      </c>
      <c r="E4529" s="956">
        <v>7489</v>
      </c>
      <c r="F4529" s="955"/>
      <c r="L4529" s="954"/>
      <c r="M4529" s="952"/>
      <c r="N4529" s="952"/>
    </row>
    <row r="4530" spans="1:14">
      <c r="A4530" s="958" t="s">
        <v>355</v>
      </c>
      <c r="B4530" s="958">
        <v>42</v>
      </c>
      <c r="C4530" s="958" t="s">
        <v>2923</v>
      </c>
      <c r="D4530" s="957" t="s">
        <v>2922</v>
      </c>
      <c r="E4530" s="956">
        <v>11676</v>
      </c>
      <c r="F4530" s="955"/>
      <c r="L4530" s="954"/>
      <c r="M4530" s="952"/>
      <c r="N4530" s="952"/>
    </row>
    <row r="4531" spans="1:14">
      <c r="A4531" s="958" t="s">
        <v>355</v>
      </c>
      <c r="B4531" s="958">
        <v>42</v>
      </c>
      <c r="C4531" s="958" t="s">
        <v>2921</v>
      </c>
      <c r="D4531" s="957" t="s">
        <v>2920</v>
      </c>
      <c r="E4531" s="956">
        <v>71061</v>
      </c>
      <c r="F4531" s="955"/>
      <c r="L4531" s="954"/>
      <c r="M4531" s="952"/>
      <c r="N4531" s="952"/>
    </row>
    <row r="4532" spans="1:14">
      <c r="A4532" s="958" t="s">
        <v>355</v>
      </c>
      <c r="B4532" s="958">
        <v>42</v>
      </c>
      <c r="C4532" s="958" t="s">
        <v>2919</v>
      </c>
      <c r="D4532" s="957" t="s">
        <v>2918</v>
      </c>
      <c r="E4532" s="956">
        <v>4611</v>
      </c>
      <c r="F4532" s="955"/>
      <c r="L4532" s="954"/>
      <c r="M4532" s="952"/>
      <c r="N4532" s="952"/>
    </row>
    <row r="4533" spans="1:14">
      <c r="A4533" s="958" t="s">
        <v>355</v>
      </c>
      <c r="B4533" s="958">
        <v>42</v>
      </c>
      <c r="C4533" s="958" t="s">
        <v>2917</v>
      </c>
      <c r="D4533" s="957" t="s">
        <v>2916</v>
      </c>
      <c r="E4533" s="956">
        <v>42302</v>
      </c>
      <c r="F4533" s="955"/>
      <c r="L4533" s="954"/>
      <c r="M4533" s="952"/>
      <c r="N4533" s="952"/>
    </row>
    <row r="4534" spans="1:14">
      <c r="A4534" s="958" t="s">
        <v>355</v>
      </c>
      <c r="B4534" s="958">
        <v>42</v>
      </c>
      <c r="C4534" s="958" t="s">
        <v>2915</v>
      </c>
      <c r="D4534" s="957" t="s">
        <v>2914</v>
      </c>
      <c r="E4534" s="956">
        <v>2483</v>
      </c>
      <c r="F4534" s="955"/>
      <c r="L4534" s="954"/>
      <c r="M4534" s="952"/>
      <c r="N4534" s="952"/>
    </row>
    <row r="4535" spans="1:14">
      <c r="A4535" s="958" t="s">
        <v>355</v>
      </c>
      <c r="B4535" s="958">
        <v>42</v>
      </c>
      <c r="C4535" s="958" t="s">
        <v>2913</v>
      </c>
      <c r="D4535" s="957" t="s">
        <v>2912</v>
      </c>
      <c r="E4535" s="956">
        <v>4598</v>
      </c>
      <c r="F4535" s="955"/>
      <c r="L4535" s="954"/>
      <c r="M4535" s="952"/>
      <c r="N4535" s="952"/>
    </row>
    <row r="4536" spans="1:14">
      <c r="A4536" s="958" t="s">
        <v>355</v>
      </c>
      <c r="B4536" s="958">
        <v>42</v>
      </c>
      <c r="C4536" s="958" t="s">
        <v>2911</v>
      </c>
      <c r="D4536" s="957" t="s">
        <v>2910</v>
      </c>
      <c r="E4536" s="956">
        <v>11551</v>
      </c>
      <c r="F4536" s="955"/>
      <c r="L4536" s="954"/>
      <c r="M4536" s="952"/>
      <c r="N4536" s="952"/>
    </row>
    <row r="4537" spans="1:14">
      <c r="A4537" s="958" t="s">
        <v>355</v>
      </c>
      <c r="B4537" s="958">
        <v>42</v>
      </c>
      <c r="C4537" s="958" t="s">
        <v>2909</v>
      </c>
      <c r="D4537" s="957" t="s">
        <v>2908</v>
      </c>
      <c r="E4537" s="956">
        <v>4786</v>
      </c>
      <c r="F4537" s="955"/>
      <c r="L4537" s="954"/>
      <c r="M4537" s="952"/>
      <c r="N4537" s="952"/>
    </row>
    <row r="4538" spans="1:14">
      <c r="A4538" s="958" t="s">
        <v>355</v>
      </c>
      <c r="B4538" s="958">
        <v>42</v>
      </c>
      <c r="C4538" s="958" t="s">
        <v>2907</v>
      </c>
      <c r="D4538" s="957" t="s">
        <v>2906</v>
      </c>
      <c r="E4538" s="956">
        <v>7642</v>
      </c>
      <c r="F4538" s="955"/>
      <c r="L4538" s="954"/>
      <c r="M4538" s="952"/>
      <c r="N4538" s="952"/>
    </row>
    <row r="4539" spans="1:14">
      <c r="A4539" s="958" t="s">
        <v>355</v>
      </c>
      <c r="B4539" s="958">
        <v>42</v>
      </c>
      <c r="C4539" s="958" t="s">
        <v>2905</v>
      </c>
      <c r="D4539" s="957" t="s">
        <v>2904</v>
      </c>
      <c r="E4539" s="956">
        <v>3781</v>
      </c>
      <c r="F4539" s="955"/>
      <c r="L4539" s="954"/>
      <c r="M4539" s="952"/>
      <c r="N4539" s="952"/>
    </row>
    <row r="4540" spans="1:14">
      <c r="A4540" s="958" t="s">
        <v>355</v>
      </c>
      <c r="B4540" s="958">
        <v>42</v>
      </c>
      <c r="C4540" s="958" t="s">
        <v>2903</v>
      </c>
      <c r="D4540" s="957" t="s">
        <v>2902</v>
      </c>
      <c r="E4540" s="956">
        <v>4718</v>
      </c>
      <c r="F4540" s="955"/>
      <c r="L4540" s="954"/>
      <c r="M4540" s="952"/>
      <c r="N4540" s="952"/>
    </row>
    <row r="4541" spans="1:14">
      <c r="A4541" s="958" t="s">
        <v>355</v>
      </c>
      <c r="B4541" s="958">
        <v>42</v>
      </c>
      <c r="C4541" s="958" t="s">
        <v>2901</v>
      </c>
      <c r="D4541" s="957" t="s">
        <v>2900</v>
      </c>
      <c r="E4541" s="956">
        <v>12678</v>
      </c>
      <c r="F4541" s="955"/>
      <c r="L4541" s="954"/>
      <c r="M4541" s="952"/>
      <c r="N4541" s="952"/>
    </row>
    <row r="4542" spans="1:14">
      <c r="A4542" s="958" t="s">
        <v>355</v>
      </c>
      <c r="B4542" s="958">
        <v>42</v>
      </c>
      <c r="C4542" s="958" t="s">
        <v>2899</v>
      </c>
      <c r="D4542" s="957" t="s">
        <v>2898</v>
      </c>
      <c r="E4542" s="956">
        <v>16830</v>
      </c>
      <c r="F4542" s="955"/>
      <c r="L4542" s="954"/>
      <c r="M4542" s="952"/>
      <c r="N4542" s="952"/>
    </row>
    <row r="4543" spans="1:14">
      <c r="A4543" s="958" t="s">
        <v>355</v>
      </c>
      <c r="B4543" s="958">
        <v>42</v>
      </c>
      <c r="C4543" s="958" t="s">
        <v>2897</v>
      </c>
      <c r="D4543" s="957" t="s">
        <v>2896</v>
      </c>
      <c r="E4543" s="956">
        <v>2223</v>
      </c>
      <c r="F4543" s="955"/>
      <c r="L4543" s="954"/>
      <c r="M4543" s="952"/>
      <c r="N4543" s="952"/>
    </row>
    <row r="4544" spans="1:14">
      <c r="A4544" s="958" t="s">
        <v>355</v>
      </c>
      <c r="B4544" s="958">
        <v>42</v>
      </c>
      <c r="C4544" s="958" t="s">
        <v>2895</v>
      </c>
      <c r="D4544" s="957" t="s">
        <v>2894</v>
      </c>
      <c r="E4544" s="956">
        <v>2142</v>
      </c>
      <c r="F4544" s="955"/>
      <c r="L4544" s="954"/>
      <c r="M4544" s="952"/>
      <c r="N4544" s="952"/>
    </row>
    <row r="4545" spans="1:14">
      <c r="A4545" s="958" t="s">
        <v>355</v>
      </c>
      <c r="B4545" s="958">
        <v>42</v>
      </c>
      <c r="C4545" s="958" t="s">
        <v>2893</v>
      </c>
      <c r="D4545" s="957" t="s">
        <v>2892</v>
      </c>
      <c r="E4545" s="956">
        <v>8358</v>
      </c>
      <c r="F4545" s="955"/>
      <c r="L4545" s="954"/>
      <c r="M4545" s="952"/>
      <c r="N4545" s="952"/>
    </row>
    <row r="4546" spans="1:14">
      <c r="A4546" s="958" t="s">
        <v>355</v>
      </c>
      <c r="B4546" s="958">
        <v>42</v>
      </c>
      <c r="C4546" s="958" t="s">
        <v>2891</v>
      </c>
      <c r="D4546" s="957" t="s">
        <v>1380</v>
      </c>
      <c r="E4546" s="956">
        <v>8787</v>
      </c>
      <c r="F4546" s="955"/>
      <c r="L4546" s="954"/>
      <c r="M4546" s="952"/>
      <c r="N4546" s="952"/>
    </row>
    <row r="4547" spans="1:14">
      <c r="A4547" s="958" t="s">
        <v>355</v>
      </c>
      <c r="B4547" s="958">
        <v>42</v>
      </c>
      <c r="C4547" s="958" t="s">
        <v>2890</v>
      </c>
      <c r="D4547" s="957" t="s">
        <v>2889</v>
      </c>
      <c r="E4547" s="956">
        <v>2428</v>
      </c>
      <c r="F4547" s="955"/>
      <c r="L4547" s="954"/>
      <c r="M4547" s="952"/>
      <c r="N4547" s="952"/>
    </row>
    <row r="4548" spans="1:14">
      <c r="A4548" s="958" t="s">
        <v>355</v>
      </c>
      <c r="B4548" s="958">
        <v>42</v>
      </c>
      <c r="C4548" s="958" t="s">
        <v>2888</v>
      </c>
      <c r="D4548" s="957" t="s">
        <v>2887</v>
      </c>
      <c r="E4548" s="956">
        <v>1260</v>
      </c>
      <c r="F4548" s="955"/>
      <c r="L4548" s="954"/>
      <c r="M4548" s="952"/>
      <c r="N4548" s="952"/>
    </row>
    <row r="4549" spans="1:14">
      <c r="A4549" s="958" t="s">
        <v>355</v>
      </c>
      <c r="B4549" s="958">
        <v>42</v>
      </c>
      <c r="C4549" s="958" t="s">
        <v>2886</v>
      </c>
      <c r="D4549" s="957" t="s">
        <v>2885</v>
      </c>
      <c r="E4549" s="956">
        <v>23245</v>
      </c>
      <c r="F4549" s="955"/>
      <c r="L4549" s="954"/>
      <c r="M4549" s="952"/>
      <c r="N4549" s="952"/>
    </row>
    <row r="4550" spans="1:14">
      <c r="A4550" s="958" t="s">
        <v>355</v>
      </c>
      <c r="B4550" s="958">
        <v>42</v>
      </c>
      <c r="C4550" s="958" t="s">
        <v>2884</v>
      </c>
      <c r="D4550" s="957" t="s">
        <v>2883</v>
      </c>
      <c r="E4550" s="956">
        <v>2336</v>
      </c>
      <c r="F4550" s="955"/>
      <c r="L4550" s="954"/>
      <c r="M4550" s="952"/>
      <c r="N4550" s="952"/>
    </row>
    <row r="4551" spans="1:14">
      <c r="A4551" s="958" t="s">
        <v>355</v>
      </c>
      <c r="B4551" s="958">
        <v>42</v>
      </c>
      <c r="C4551" s="958" t="s">
        <v>2882</v>
      </c>
      <c r="D4551" s="957" t="s">
        <v>2881</v>
      </c>
      <c r="E4551" s="956">
        <v>84507</v>
      </c>
      <c r="F4551" s="955"/>
      <c r="L4551" s="954"/>
      <c r="M4551" s="952"/>
      <c r="N4551" s="952"/>
    </row>
    <row r="4552" spans="1:14">
      <c r="A4552" s="958" t="s">
        <v>355</v>
      </c>
      <c r="B4552" s="958">
        <v>42</v>
      </c>
      <c r="C4552" s="958" t="s">
        <v>2880</v>
      </c>
      <c r="D4552" s="957" t="s">
        <v>2879</v>
      </c>
      <c r="E4552" s="956">
        <v>2838</v>
      </c>
      <c r="F4552" s="955"/>
      <c r="L4552" s="954"/>
      <c r="M4552" s="952"/>
      <c r="N4552" s="952"/>
    </row>
    <row r="4553" spans="1:14">
      <c r="A4553" s="958" t="s">
        <v>355</v>
      </c>
      <c r="B4553" s="958">
        <v>42</v>
      </c>
      <c r="C4553" s="958" t="s">
        <v>2878</v>
      </c>
      <c r="D4553" s="957" t="s">
        <v>2877</v>
      </c>
      <c r="E4553" s="956">
        <v>11281</v>
      </c>
      <c r="F4553" s="955"/>
      <c r="L4553" s="954"/>
      <c r="M4553" s="952"/>
      <c r="N4553" s="952"/>
    </row>
    <row r="4554" spans="1:14">
      <c r="A4554" s="958" t="s">
        <v>355</v>
      </c>
      <c r="B4554" s="958">
        <v>42</v>
      </c>
      <c r="C4554" s="958" t="s">
        <v>2876</v>
      </c>
      <c r="D4554" s="957" t="s">
        <v>2875</v>
      </c>
      <c r="E4554" s="956">
        <v>5549</v>
      </c>
      <c r="F4554" s="955"/>
      <c r="L4554" s="954"/>
      <c r="M4554" s="952"/>
      <c r="N4554" s="952"/>
    </row>
    <row r="4555" spans="1:14">
      <c r="A4555" s="958" t="s">
        <v>355</v>
      </c>
      <c r="B4555" s="958">
        <v>42</v>
      </c>
      <c r="C4555" s="958" t="s">
        <v>2874</v>
      </c>
      <c r="D4555" s="957" t="s">
        <v>907</v>
      </c>
      <c r="E4555" s="956">
        <v>9445</v>
      </c>
      <c r="F4555" s="955"/>
      <c r="L4555" s="954"/>
      <c r="M4555" s="952"/>
      <c r="N4555" s="952"/>
    </row>
    <row r="4556" spans="1:14">
      <c r="A4556" s="958" t="s">
        <v>355</v>
      </c>
      <c r="B4556" s="958">
        <v>42</v>
      </c>
      <c r="C4556" s="958" t="s">
        <v>2873</v>
      </c>
      <c r="D4556" s="957" t="s">
        <v>2872</v>
      </c>
      <c r="E4556" s="956">
        <v>52721</v>
      </c>
      <c r="F4556" s="955"/>
      <c r="L4556" s="954"/>
      <c r="M4556" s="952"/>
      <c r="N4556" s="952"/>
    </row>
    <row r="4557" spans="1:14">
      <c r="A4557" s="958" t="s">
        <v>355</v>
      </c>
      <c r="B4557" s="958">
        <v>42</v>
      </c>
      <c r="C4557" s="958" t="s">
        <v>2871</v>
      </c>
      <c r="D4557" s="957" t="s">
        <v>2870</v>
      </c>
      <c r="E4557" s="956">
        <v>6381</v>
      </c>
      <c r="F4557" s="955"/>
      <c r="L4557" s="954"/>
      <c r="M4557" s="952"/>
      <c r="N4557" s="952"/>
    </row>
    <row r="4558" spans="1:14">
      <c r="A4558" s="958" t="s">
        <v>355</v>
      </c>
      <c r="B4558" s="958">
        <v>42</v>
      </c>
      <c r="C4558" s="958" t="s">
        <v>2869</v>
      </c>
      <c r="D4558" s="957" t="s">
        <v>2868</v>
      </c>
      <c r="E4558" s="956">
        <v>37424</v>
      </c>
      <c r="F4558" s="955"/>
      <c r="L4558" s="954"/>
      <c r="M4558" s="952"/>
      <c r="N4558" s="952"/>
    </row>
    <row r="4559" spans="1:14">
      <c r="A4559" s="958" t="s">
        <v>355</v>
      </c>
      <c r="B4559" s="958">
        <v>42</v>
      </c>
      <c r="C4559" s="958" t="s">
        <v>2867</v>
      </c>
      <c r="D4559" s="957" t="s">
        <v>2866</v>
      </c>
      <c r="E4559" s="956">
        <v>3733</v>
      </c>
      <c r="F4559" s="955"/>
      <c r="L4559" s="954"/>
      <c r="M4559" s="952"/>
      <c r="N4559" s="952"/>
    </row>
    <row r="4560" spans="1:14">
      <c r="A4560" s="958" t="s">
        <v>355</v>
      </c>
      <c r="B4560" s="958">
        <v>42</v>
      </c>
      <c r="C4560" s="958" t="s">
        <v>2865</v>
      </c>
      <c r="D4560" s="957" t="s">
        <v>2864</v>
      </c>
      <c r="E4560" s="956">
        <v>7297</v>
      </c>
      <c r="F4560" s="955"/>
      <c r="L4560" s="954"/>
      <c r="M4560" s="952"/>
      <c r="N4560" s="952"/>
    </row>
    <row r="4561" spans="1:14">
      <c r="A4561" s="958" t="s">
        <v>355</v>
      </c>
      <c r="B4561" s="958">
        <v>42</v>
      </c>
      <c r="C4561" s="958" t="s">
        <v>2863</v>
      </c>
      <c r="D4561" s="957" t="s">
        <v>2862</v>
      </c>
      <c r="E4561" s="956">
        <v>26952</v>
      </c>
      <c r="F4561" s="955"/>
      <c r="L4561" s="954"/>
      <c r="M4561" s="952"/>
      <c r="N4561" s="952"/>
    </row>
    <row r="4562" spans="1:14">
      <c r="A4562" s="958" t="s">
        <v>355</v>
      </c>
      <c r="B4562" s="958">
        <v>42</v>
      </c>
      <c r="C4562" s="958" t="s">
        <v>2861</v>
      </c>
      <c r="D4562" s="957" t="s">
        <v>2860</v>
      </c>
      <c r="E4562" s="956">
        <v>246586</v>
      </c>
      <c r="F4562" s="955"/>
      <c r="L4562" s="954"/>
      <c r="M4562" s="952"/>
      <c r="N4562" s="952"/>
    </row>
    <row r="4563" spans="1:14">
      <c r="A4563" s="958" t="s">
        <v>355</v>
      </c>
      <c r="B4563" s="958">
        <v>42</v>
      </c>
      <c r="C4563" s="958" t="s">
        <v>2859</v>
      </c>
      <c r="D4563" s="957" t="s">
        <v>2858</v>
      </c>
      <c r="E4563" s="956">
        <v>13829</v>
      </c>
      <c r="F4563" s="955"/>
      <c r="L4563" s="954"/>
      <c r="M4563" s="952"/>
      <c r="N4563" s="952"/>
    </row>
    <row r="4564" spans="1:14">
      <c r="A4564" s="958" t="s">
        <v>355</v>
      </c>
      <c r="B4564" s="958">
        <v>42</v>
      </c>
      <c r="C4564" s="958" t="s">
        <v>2857</v>
      </c>
      <c r="D4564" s="957" t="s">
        <v>2856</v>
      </c>
      <c r="E4564" s="956">
        <v>8295</v>
      </c>
      <c r="F4564" s="955"/>
      <c r="L4564" s="954"/>
      <c r="M4564" s="952"/>
      <c r="N4564" s="952"/>
    </row>
    <row r="4565" spans="1:14">
      <c r="A4565" s="958" t="s">
        <v>355</v>
      </c>
      <c r="B4565" s="958">
        <v>42</v>
      </c>
      <c r="C4565" s="958" t="s">
        <v>2855</v>
      </c>
      <c r="D4565" s="957" t="s">
        <v>2854</v>
      </c>
      <c r="E4565" s="956">
        <v>24076</v>
      </c>
      <c r="F4565" s="955"/>
      <c r="L4565" s="954"/>
      <c r="M4565" s="952"/>
      <c r="N4565" s="952"/>
    </row>
    <row r="4566" spans="1:14">
      <c r="A4566" s="958" t="s">
        <v>355</v>
      </c>
      <c r="B4566" s="958">
        <v>42</v>
      </c>
      <c r="C4566" s="958" t="s">
        <v>2853</v>
      </c>
      <c r="D4566" s="957" t="s">
        <v>2852</v>
      </c>
      <c r="E4566" s="956">
        <v>13410</v>
      </c>
      <c r="F4566" s="955"/>
      <c r="L4566" s="954"/>
      <c r="M4566" s="952"/>
      <c r="N4566" s="952"/>
    </row>
    <row r="4567" spans="1:14">
      <c r="A4567" s="958" t="s">
        <v>355</v>
      </c>
      <c r="B4567" s="958">
        <v>42</v>
      </c>
      <c r="C4567" s="958" t="s">
        <v>2851</v>
      </c>
      <c r="D4567" s="957" t="s">
        <v>1963</v>
      </c>
      <c r="E4567" s="956">
        <v>3180</v>
      </c>
      <c r="F4567" s="955"/>
      <c r="L4567" s="954"/>
      <c r="M4567" s="952"/>
      <c r="N4567" s="952"/>
    </row>
    <row r="4568" spans="1:14">
      <c r="A4568" s="958" t="s">
        <v>355</v>
      </c>
      <c r="B4568" s="958">
        <v>42</v>
      </c>
      <c r="C4568" s="958" t="s">
        <v>2850</v>
      </c>
      <c r="D4568" s="957" t="s">
        <v>2849</v>
      </c>
      <c r="E4568" s="956">
        <v>1820</v>
      </c>
      <c r="F4568" s="955"/>
      <c r="L4568" s="954"/>
      <c r="M4568" s="952"/>
      <c r="N4568" s="952"/>
    </row>
    <row r="4569" spans="1:14">
      <c r="A4569" s="958" t="s">
        <v>355</v>
      </c>
      <c r="B4569" s="958">
        <v>42</v>
      </c>
      <c r="C4569" s="958" t="s">
        <v>2848</v>
      </c>
      <c r="D4569" s="957" t="s">
        <v>2847</v>
      </c>
      <c r="E4569" s="956">
        <v>40482</v>
      </c>
      <c r="F4569" s="955"/>
      <c r="L4569" s="954"/>
      <c r="M4569" s="952"/>
      <c r="N4569" s="952"/>
    </row>
    <row r="4570" spans="1:14">
      <c r="A4570" s="958" t="s">
        <v>355</v>
      </c>
      <c r="B4570" s="958">
        <v>42</v>
      </c>
      <c r="C4570" s="958" t="s">
        <v>2846</v>
      </c>
      <c r="D4570" s="957" t="s">
        <v>2845</v>
      </c>
      <c r="E4570" s="956">
        <v>5823</v>
      </c>
      <c r="F4570" s="955"/>
      <c r="L4570" s="954"/>
      <c r="M4570" s="952"/>
      <c r="N4570" s="952"/>
    </row>
    <row r="4571" spans="1:14">
      <c r="A4571" s="958" t="s">
        <v>355</v>
      </c>
      <c r="B4571" s="958">
        <v>42</v>
      </c>
      <c r="C4571" s="958" t="s">
        <v>2844</v>
      </c>
      <c r="D4571" s="957" t="s">
        <v>2843</v>
      </c>
      <c r="E4571" s="956">
        <v>9745</v>
      </c>
      <c r="F4571" s="955"/>
      <c r="L4571" s="954"/>
      <c r="M4571" s="952"/>
      <c r="N4571" s="952"/>
    </row>
    <row r="4572" spans="1:14">
      <c r="A4572" s="958" t="s">
        <v>355</v>
      </c>
      <c r="B4572" s="958">
        <v>42</v>
      </c>
      <c r="C4572" s="958" t="s">
        <v>2842</v>
      </c>
      <c r="D4572" s="957" t="s">
        <v>2841</v>
      </c>
      <c r="E4572" s="956">
        <v>21365</v>
      </c>
      <c r="F4572" s="955"/>
      <c r="L4572" s="954"/>
      <c r="M4572" s="952"/>
      <c r="N4572" s="952"/>
    </row>
    <row r="4573" spans="1:14">
      <c r="A4573" s="958" t="s">
        <v>355</v>
      </c>
      <c r="B4573" s="958">
        <v>42</v>
      </c>
      <c r="C4573" s="958" t="s">
        <v>2840</v>
      </c>
      <c r="D4573" s="957" t="s">
        <v>2839</v>
      </c>
      <c r="E4573" s="956">
        <v>17541</v>
      </c>
      <c r="F4573" s="955"/>
      <c r="L4573" s="954"/>
      <c r="M4573" s="952"/>
      <c r="N4573" s="952"/>
    </row>
    <row r="4574" spans="1:14">
      <c r="A4574" s="958" t="s">
        <v>355</v>
      </c>
      <c r="B4574" s="958">
        <v>42</v>
      </c>
      <c r="C4574" s="958" t="s">
        <v>2838</v>
      </c>
      <c r="D4574" s="957" t="s">
        <v>2837</v>
      </c>
      <c r="E4574" s="956">
        <v>3263</v>
      </c>
      <c r="F4574" s="955"/>
      <c r="L4574" s="954"/>
      <c r="M4574" s="952"/>
      <c r="N4574" s="952"/>
    </row>
    <row r="4575" spans="1:14">
      <c r="A4575" s="958" t="s">
        <v>355</v>
      </c>
      <c r="B4575" s="958">
        <v>42</v>
      </c>
      <c r="C4575" s="958" t="s">
        <v>2836</v>
      </c>
      <c r="D4575" s="957" t="s">
        <v>2835</v>
      </c>
      <c r="E4575" s="956">
        <v>14007</v>
      </c>
      <c r="F4575" s="955"/>
      <c r="L4575" s="954"/>
      <c r="M4575" s="952"/>
      <c r="N4575" s="952"/>
    </row>
    <row r="4576" spans="1:14">
      <c r="A4576" s="958" t="s">
        <v>355</v>
      </c>
      <c r="B4576" s="958">
        <v>42</v>
      </c>
      <c r="C4576" s="958" t="s">
        <v>2834</v>
      </c>
      <c r="D4576" s="957" t="s">
        <v>2833</v>
      </c>
      <c r="E4576" s="956">
        <v>30374</v>
      </c>
      <c r="F4576" s="955"/>
      <c r="L4576" s="954"/>
      <c r="M4576" s="952"/>
      <c r="N4576" s="952"/>
    </row>
    <row r="4577" spans="1:14">
      <c r="A4577" s="958" t="s">
        <v>355</v>
      </c>
      <c r="B4577" s="958">
        <v>42</v>
      </c>
      <c r="C4577" s="958" t="s">
        <v>2832</v>
      </c>
      <c r="D4577" s="957" t="s">
        <v>2831</v>
      </c>
      <c r="E4577" s="956">
        <v>2461</v>
      </c>
      <c r="F4577" s="955"/>
      <c r="L4577" s="954"/>
      <c r="M4577" s="952"/>
      <c r="N4577" s="952"/>
    </row>
    <row r="4578" spans="1:14">
      <c r="A4578" s="958" t="s">
        <v>355</v>
      </c>
      <c r="B4578" s="958">
        <v>42</v>
      </c>
      <c r="C4578" s="958" t="s">
        <v>2830</v>
      </c>
      <c r="D4578" s="957" t="s">
        <v>2829</v>
      </c>
      <c r="E4578" s="956">
        <v>18395</v>
      </c>
      <c r="F4578" s="955"/>
      <c r="L4578" s="954"/>
      <c r="M4578" s="952"/>
      <c r="N4578" s="952"/>
    </row>
    <row r="4579" spans="1:14">
      <c r="A4579" s="958" t="s">
        <v>355</v>
      </c>
      <c r="B4579" s="958">
        <v>42</v>
      </c>
      <c r="C4579" s="958" t="s">
        <v>2828</v>
      </c>
      <c r="D4579" s="957" t="s">
        <v>2827</v>
      </c>
      <c r="E4579" s="956">
        <v>8676</v>
      </c>
      <c r="F4579" s="955"/>
      <c r="L4579" s="954"/>
      <c r="M4579" s="952"/>
      <c r="N4579" s="952"/>
    </row>
    <row r="4580" spans="1:14">
      <c r="A4580" s="958" t="s">
        <v>355</v>
      </c>
      <c r="B4580" s="958">
        <v>42</v>
      </c>
      <c r="C4580" s="958" t="s">
        <v>2826</v>
      </c>
      <c r="D4580" s="957" t="s">
        <v>2825</v>
      </c>
      <c r="E4580" s="956">
        <v>1633</v>
      </c>
      <c r="F4580" s="955"/>
      <c r="L4580" s="954"/>
      <c r="M4580" s="952"/>
      <c r="N4580" s="952"/>
    </row>
    <row r="4581" spans="1:14">
      <c r="A4581" s="958" t="s">
        <v>355</v>
      </c>
      <c r="B4581" s="958">
        <v>42</v>
      </c>
      <c r="C4581" s="958" t="s">
        <v>2824</v>
      </c>
      <c r="D4581" s="957" t="s">
        <v>2823</v>
      </c>
      <c r="E4581" s="956">
        <v>38407</v>
      </c>
      <c r="F4581" s="955"/>
      <c r="L4581" s="954"/>
      <c r="M4581" s="952"/>
      <c r="N4581" s="952"/>
    </row>
    <row r="4582" spans="1:14">
      <c r="A4582" s="958" t="s">
        <v>355</v>
      </c>
      <c r="B4582" s="958">
        <v>42</v>
      </c>
      <c r="C4582" s="958" t="s">
        <v>2822</v>
      </c>
      <c r="D4582" s="957" t="s">
        <v>2821</v>
      </c>
      <c r="E4582" s="956">
        <v>5348</v>
      </c>
      <c r="F4582" s="955"/>
      <c r="L4582" s="954"/>
      <c r="M4582" s="952"/>
      <c r="N4582" s="952"/>
    </row>
    <row r="4583" spans="1:14">
      <c r="A4583" s="958" t="s">
        <v>355</v>
      </c>
      <c r="B4583" s="958">
        <v>42</v>
      </c>
      <c r="C4583" s="958" t="s">
        <v>2820</v>
      </c>
      <c r="D4583" s="957" t="s">
        <v>2819</v>
      </c>
      <c r="E4583" s="956">
        <v>44238</v>
      </c>
      <c r="F4583" s="955"/>
      <c r="L4583" s="954"/>
      <c r="M4583" s="952"/>
      <c r="N4583" s="952"/>
    </row>
    <row r="4584" spans="1:14">
      <c r="A4584" s="958" t="s">
        <v>355</v>
      </c>
      <c r="B4584" s="958">
        <v>42</v>
      </c>
      <c r="C4584" s="958" t="s">
        <v>2818</v>
      </c>
      <c r="D4584" s="957" t="s">
        <v>2817</v>
      </c>
      <c r="E4584" s="956">
        <v>7877</v>
      </c>
      <c r="F4584" s="955"/>
      <c r="L4584" s="954"/>
      <c r="M4584" s="952"/>
      <c r="N4584" s="952"/>
    </row>
    <row r="4585" spans="1:14">
      <c r="A4585" s="958" t="s">
        <v>355</v>
      </c>
      <c r="B4585" s="958">
        <v>42</v>
      </c>
      <c r="C4585" s="958" t="s">
        <v>2816</v>
      </c>
      <c r="D4585" s="957" t="s">
        <v>2815</v>
      </c>
      <c r="E4585" s="956">
        <v>19275</v>
      </c>
      <c r="F4585" s="955"/>
      <c r="L4585" s="954"/>
      <c r="M4585" s="952"/>
      <c r="N4585" s="952"/>
    </row>
    <row r="4586" spans="1:14">
      <c r="A4586" s="958" t="s">
        <v>355</v>
      </c>
      <c r="B4586" s="958">
        <v>42</v>
      </c>
      <c r="C4586" s="958" t="s">
        <v>2814</v>
      </c>
      <c r="D4586" s="957" t="s">
        <v>2813</v>
      </c>
      <c r="E4586" s="956">
        <v>3929</v>
      </c>
      <c r="F4586" s="955"/>
      <c r="L4586" s="954"/>
      <c r="M4586" s="952"/>
      <c r="N4586" s="952"/>
    </row>
    <row r="4587" spans="1:14">
      <c r="A4587" s="958" t="s">
        <v>355</v>
      </c>
      <c r="B4587" s="958">
        <v>42</v>
      </c>
      <c r="C4587" s="958" t="s">
        <v>2812</v>
      </c>
      <c r="D4587" s="957" t="s">
        <v>2811</v>
      </c>
      <c r="E4587" s="956">
        <v>7081</v>
      </c>
      <c r="F4587" s="955"/>
      <c r="L4587" s="954"/>
      <c r="M4587" s="952"/>
      <c r="N4587" s="952"/>
    </row>
    <row r="4588" spans="1:14">
      <c r="A4588" s="958" t="s">
        <v>355</v>
      </c>
      <c r="B4588" s="958">
        <v>42</v>
      </c>
      <c r="C4588" s="958" t="s">
        <v>2810</v>
      </c>
      <c r="D4588" s="957" t="s">
        <v>2809</v>
      </c>
      <c r="E4588" s="956">
        <v>7840</v>
      </c>
      <c r="F4588" s="955"/>
      <c r="L4588" s="954"/>
      <c r="M4588" s="952"/>
      <c r="N4588" s="952"/>
    </row>
    <row r="4589" spans="1:14">
      <c r="A4589" s="958" t="s">
        <v>355</v>
      </c>
      <c r="B4589" s="958">
        <v>42</v>
      </c>
      <c r="C4589" s="958" t="s">
        <v>2808</v>
      </c>
      <c r="D4589" s="957" t="s">
        <v>2807</v>
      </c>
      <c r="E4589" s="956">
        <v>7360</v>
      </c>
      <c r="F4589" s="955"/>
      <c r="L4589" s="954"/>
      <c r="M4589" s="952"/>
      <c r="N4589" s="952"/>
    </row>
    <row r="4590" spans="1:14">
      <c r="A4590" s="958" t="s">
        <v>355</v>
      </c>
      <c r="B4590" s="958">
        <v>42</v>
      </c>
      <c r="C4590" s="958" t="s">
        <v>2806</v>
      </c>
      <c r="D4590" s="957" t="s">
        <v>2805</v>
      </c>
      <c r="E4590" s="956">
        <v>105686</v>
      </c>
      <c r="F4590" s="955"/>
      <c r="L4590" s="954"/>
      <c r="M4590" s="952"/>
      <c r="N4590" s="952"/>
    </row>
    <row r="4591" spans="1:14">
      <c r="A4591" s="958" t="s">
        <v>355</v>
      </c>
      <c r="B4591" s="958">
        <v>42</v>
      </c>
      <c r="C4591" s="958" t="s">
        <v>2804</v>
      </c>
      <c r="D4591" s="957" t="s">
        <v>2803</v>
      </c>
      <c r="E4591" s="956">
        <v>4543</v>
      </c>
      <c r="F4591" s="955"/>
      <c r="L4591" s="954"/>
      <c r="M4591" s="952"/>
      <c r="N4591" s="952"/>
    </row>
    <row r="4592" spans="1:14">
      <c r="A4592" s="958" t="s">
        <v>355</v>
      </c>
      <c r="B4592" s="958">
        <v>42</v>
      </c>
      <c r="C4592" s="958" t="s">
        <v>2802</v>
      </c>
      <c r="D4592" s="957" t="s">
        <v>2801</v>
      </c>
      <c r="E4592" s="956">
        <v>12899</v>
      </c>
      <c r="F4592" s="955"/>
      <c r="L4592" s="954"/>
      <c r="M4592" s="952"/>
      <c r="N4592" s="952"/>
    </row>
    <row r="4593" spans="1:14">
      <c r="A4593" s="958" t="s">
        <v>355</v>
      </c>
      <c r="B4593" s="958">
        <v>42</v>
      </c>
      <c r="C4593" s="958" t="s">
        <v>2800</v>
      </c>
      <c r="D4593" s="957" t="s">
        <v>2799</v>
      </c>
      <c r="E4593" s="956">
        <v>2464</v>
      </c>
      <c r="F4593" s="955"/>
      <c r="L4593" s="954"/>
      <c r="M4593" s="952"/>
      <c r="N4593" s="952"/>
    </row>
    <row r="4594" spans="1:14">
      <c r="A4594" s="958" t="s">
        <v>355</v>
      </c>
      <c r="B4594" s="958">
        <v>42</v>
      </c>
      <c r="C4594" s="958" t="s">
        <v>2798</v>
      </c>
      <c r="D4594" s="957" t="s">
        <v>2797</v>
      </c>
      <c r="E4594" s="956">
        <v>11235</v>
      </c>
      <c r="F4594" s="955"/>
      <c r="L4594" s="954"/>
      <c r="M4594" s="952"/>
      <c r="N4594" s="952"/>
    </row>
    <row r="4595" spans="1:14">
      <c r="A4595" s="958" t="s">
        <v>355</v>
      </c>
      <c r="B4595" s="958">
        <v>42</v>
      </c>
      <c r="C4595" s="958" t="s">
        <v>2796</v>
      </c>
      <c r="D4595" s="957" t="s">
        <v>2795</v>
      </c>
      <c r="E4595" s="956">
        <v>2465</v>
      </c>
      <c r="F4595" s="955"/>
      <c r="L4595" s="954"/>
      <c r="M4595" s="952"/>
      <c r="N4595" s="952"/>
    </row>
    <row r="4596" spans="1:14">
      <c r="A4596" s="958" t="s">
        <v>355</v>
      </c>
      <c r="B4596" s="958">
        <v>42</v>
      </c>
      <c r="C4596" s="958" t="s">
        <v>2794</v>
      </c>
      <c r="D4596" s="957" t="s">
        <v>2793</v>
      </c>
      <c r="E4596" s="956">
        <v>21268</v>
      </c>
      <c r="F4596" s="955"/>
      <c r="L4596" s="954"/>
      <c r="M4596" s="952"/>
      <c r="N4596" s="952"/>
    </row>
    <row r="4597" spans="1:14">
      <c r="A4597" s="958" t="s">
        <v>355</v>
      </c>
      <c r="B4597" s="958">
        <v>42</v>
      </c>
      <c r="C4597" s="958" t="s">
        <v>2792</v>
      </c>
      <c r="D4597" s="957" t="s">
        <v>2791</v>
      </c>
      <c r="E4597" s="956">
        <v>3573</v>
      </c>
      <c r="F4597" s="955"/>
      <c r="L4597" s="954"/>
      <c r="M4597" s="952"/>
      <c r="N4597" s="952"/>
    </row>
    <row r="4598" spans="1:14">
      <c r="A4598" s="958" t="s">
        <v>355</v>
      </c>
      <c r="B4598" s="958">
        <v>42</v>
      </c>
      <c r="C4598" s="958" t="s">
        <v>2790</v>
      </c>
      <c r="D4598" s="957" t="s">
        <v>2789</v>
      </c>
      <c r="E4598" s="956">
        <v>2477</v>
      </c>
      <c r="F4598" s="955"/>
      <c r="L4598" s="954"/>
      <c r="M4598" s="952"/>
      <c r="N4598" s="952"/>
    </row>
    <row r="4599" spans="1:14">
      <c r="A4599" s="958" t="s">
        <v>355</v>
      </c>
      <c r="B4599" s="958">
        <v>42</v>
      </c>
      <c r="C4599" s="958" t="s">
        <v>2788</v>
      </c>
      <c r="D4599" s="957" t="s">
        <v>2787</v>
      </c>
      <c r="E4599" s="956">
        <v>4492</v>
      </c>
      <c r="F4599" s="955"/>
      <c r="L4599" s="954"/>
      <c r="M4599" s="952"/>
      <c r="N4599" s="952"/>
    </row>
    <row r="4600" spans="1:14">
      <c r="A4600" s="958" t="s">
        <v>355</v>
      </c>
      <c r="B4600" s="958">
        <v>42</v>
      </c>
      <c r="C4600" s="958" t="s">
        <v>2786</v>
      </c>
      <c r="D4600" s="957" t="s">
        <v>2785</v>
      </c>
      <c r="E4600" s="956">
        <v>6338</v>
      </c>
      <c r="F4600" s="955"/>
      <c r="L4600" s="954"/>
      <c r="M4600" s="952"/>
      <c r="N4600" s="952"/>
    </row>
    <row r="4601" spans="1:14">
      <c r="A4601" s="958" t="s">
        <v>355</v>
      </c>
      <c r="B4601" s="958">
        <v>42</v>
      </c>
      <c r="C4601" s="958" t="s">
        <v>2784</v>
      </c>
      <c r="D4601" s="957" t="s">
        <v>2783</v>
      </c>
      <c r="E4601" s="956">
        <v>53065</v>
      </c>
      <c r="F4601" s="955"/>
      <c r="L4601" s="954"/>
      <c r="M4601" s="952"/>
      <c r="N4601" s="952"/>
    </row>
    <row r="4602" spans="1:14">
      <c r="A4602" s="958" t="s">
        <v>355</v>
      </c>
      <c r="B4602" s="958">
        <v>42</v>
      </c>
      <c r="C4602" s="958" t="s">
        <v>2782</v>
      </c>
      <c r="D4602" s="957" t="s">
        <v>2781</v>
      </c>
      <c r="E4602" s="956">
        <v>4979</v>
      </c>
      <c r="F4602" s="955"/>
      <c r="L4602" s="954"/>
      <c r="M4602" s="952"/>
      <c r="N4602" s="952"/>
    </row>
    <row r="4603" spans="1:14">
      <c r="A4603" s="958" t="s">
        <v>355</v>
      </c>
      <c r="B4603" s="958">
        <v>42</v>
      </c>
      <c r="C4603" s="958" t="s">
        <v>2780</v>
      </c>
      <c r="D4603" s="957" t="s">
        <v>2779</v>
      </c>
      <c r="E4603" s="956">
        <v>3965</v>
      </c>
      <c r="F4603" s="955"/>
      <c r="L4603" s="954"/>
      <c r="M4603" s="952"/>
      <c r="N4603" s="952"/>
    </row>
    <row r="4604" spans="1:14">
      <c r="A4604" s="958" t="s">
        <v>355</v>
      </c>
      <c r="B4604" s="958">
        <v>42</v>
      </c>
      <c r="C4604" s="958" t="s">
        <v>2778</v>
      </c>
      <c r="D4604" s="957" t="s">
        <v>2777</v>
      </c>
      <c r="E4604" s="956">
        <v>50982</v>
      </c>
      <c r="F4604" s="955"/>
      <c r="L4604" s="954"/>
      <c r="M4604" s="952"/>
      <c r="N4604" s="952"/>
    </row>
    <row r="4605" spans="1:14">
      <c r="A4605" s="958" t="s">
        <v>355</v>
      </c>
      <c r="B4605" s="958">
        <v>42</v>
      </c>
      <c r="C4605" s="958" t="s">
        <v>2776</v>
      </c>
      <c r="D4605" s="957" t="s">
        <v>2775</v>
      </c>
      <c r="E4605" s="956">
        <v>3933</v>
      </c>
      <c r="F4605" s="955"/>
      <c r="L4605" s="954"/>
      <c r="M4605" s="952"/>
      <c r="N4605" s="952"/>
    </row>
    <row r="4606" spans="1:14">
      <c r="A4606" s="958" t="s">
        <v>355</v>
      </c>
      <c r="B4606" s="958">
        <v>42</v>
      </c>
      <c r="C4606" s="958" t="s">
        <v>2774</v>
      </c>
      <c r="D4606" s="957" t="s">
        <v>2773</v>
      </c>
      <c r="E4606" s="956">
        <v>28706</v>
      </c>
      <c r="F4606" s="955"/>
      <c r="L4606" s="954"/>
      <c r="M4606" s="952"/>
      <c r="N4606" s="952"/>
    </row>
    <row r="4607" spans="1:14">
      <c r="A4607" s="958" t="s">
        <v>355</v>
      </c>
      <c r="B4607" s="958">
        <v>42</v>
      </c>
      <c r="C4607" s="958" t="s">
        <v>2772</v>
      </c>
      <c r="D4607" s="957" t="s">
        <v>2771</v>
      </c>
      <c r="E4607" s="956">
        <v>3363</v>
      </c>
      <c r="F4607" s="955"/>
      <c r="L4607" s="954"/>
      <c r="M4607" s="952"/>
      <c r="N4607" s="952"/>
    </row>
    <row r="4608" spans="1:14">
      <c r="A4608" s="958" t="s">
        <v>355</v>
      </c>
      <c r="B4608" s="958">
        <v>42</v>
      </c>
      <c r="C4608" s="958" t="s">
        <v>2770</v>
      </c>
      <c r="D4608" s="957" t="s">
        <v>2769</v>
      </c>
      <c r="E4608" s="956">
        <v>12760</v>
      </c>
      <c r="F4608" s="955"/>
      <c r="L4608" s="954"/>
      <c r="M4608" s="952"/>
      <c r="N4608" s="952"/>
    </row>
    <row r="4609" spans="1:14">
      <c r="A4609" s="958" t="s">
        <v>358</v>
      </c>
      <c r="B4609" s="958">
        <v>43</v>
      </c>
      <c r="C4609" s="958" t="s">
        <v>2768</v>
      </c>
      <c r="D4609" s="957" t="s">
        <v>2767</v>
      </c>
      <c r="E4609" s="956">
        <v>4901</v>
      </c>
      <c r="F4609" s="955"/>
      <c r="L4609" s="954"/>
      <c r="M4609" s="952"/>
      <c r="N4609" s="952"/>
    </row>
    <row r="4610" spans="1:14">
      <c r="A4610" s="958" t="s">
        <v>358</v>
      </c>
      <c r="B4610" s="958">
        <v>43</v>
      </c>
      <c r="C4610" s="958" t="s">
        <v>2766</v>
      </c>
      <c r="D4610" s="957" t="s">
        <v>2765</v>
      </c>
      <c r="E4610" s="956">
        <v>3748</v>
      </c>
      <c r="F4610" s="955"/>
      <c r="L4610" s="954"/>
      <c r="M4610" s="952"/>
      <c r="N4610" s="952"/>
    </row>
    <row r="4611" spans="1:14">
      <c r="A4611" s="958" t="s">
        <v>358</v>
      </c>
      <c r="B4611" s="958">
        <v>43</v>
      </c>
      <c r="C4611" s="958" t="s">
        <v>2764</v>
      </c>
      <c r="D4611" s="957" t="s">
        <v>2763</v>
      </c>
      <c r="E4611" s="956">
        <v>16461</v>
      </c>
      <c r="F4611" s="955"/>
      <c r="L4611" s="954"/>
      <c r="M4611" s="952"/>
      <c r="N4611" s="952"/>
    </row>
    <row r="4612" spans="1:14">
      <c r="A4612" s="958" t="s">
        <v>358</v>
      </c>
      <c r="B4612" s="958">
        <v>43</v>
      </c>
      <c r="C4612" s="958" t="s">
        <v>2762</v>
      </c>
      <c r="D4612" s="957" t="s">
        <v>2761</v>
      </c>
      <c r="E4612" s="956">
        <v>7024</v>
      </c>
      <c r="F4612" s="955"/>
      <c r="L4612" s="954"/>
      <c r="M4612" s="952"/>
      <c r="N4612" s="952"/>
    </row>
    <row r="4613" spans="1:14">
      <c r="A4613" s="958" t="s">
        <v>358</v>
      </c>
      <c r="B4613" s="958">
        <v>43</v>
      </c>
      <c r="C4613" s="958" t="s">
        <v>2760</v>
      </c>
      <c r="D4613" s="957" t="s">
        <v>2759</v>
      </c>
      <c r="E4613" s="956">
        <v>5950</v>
      </c>
      <c r="F4613" s="955"/>
      <c r="L4613" s="954"/>
      <c r="M4613" s="952"/>
      <c r="N4613" s="952"/>
    </row>
    <row r="4614" spans="1:14">
      <c r="A4614" s="958" t="s">
        <v>358</v>
      </c>
      <c r="B4614" s="958">
        <v>43</v>
      </c>
      <c r="C4614" s="958" t="s">
        <v>2758</v>
      </c>
      <c r="D4614" s="957" t="s">
        <v>2757</v>
      </c>
      <c r="E4614" s="956">
        <v>73589</v>
      </c>
      <c r="F4614" s="955"/>
      <c r="L4614" s="954"/>
      <c r="M4614" s="952"/>
      <c r="N4614" s="952"/>
    </row>
    <row r="4615" spans="1:14">
      <c r="A4615" s="958" t="s">
        <v>358</v>
      </c>
      <c r="B4615" s="958">
        <v>43</v>
      </c>
      <c r="C4615" s="958" t="s">
        <v>2756</v>
      </c>
      <c r="D4615" s="957" t="s">
        <v>2755</v>
      </c>
      <c r="E4615" s="956">
        <v>3464</v>
      </c>
      <c r="F4615" s="955"/>
      <c r="L4615" s="954"/>
      <c r="M4615" s="952"/>
      <c r="N4615" s="952"/>
    </row>
    <row r="4616" spans="1:14">
      <c r="A4616" s="958" t="s">
        <v>358</v>
      </c>
      <c r="B4616" s="958">
        <v>43</v>
      </c>
      <c r="C4616" s="958" t="s">
        <v>2754</v>
      </c>
      <c r="D4616" s="957" t="s">
        <v>2753</v>
      </c>
      <c r="E4616" s="956">
        <v>1964</v>
      </c>
      <c r="F4616" s="955"/>
      <c r="L4616" s="954"/>
      <c r="M4616" s="952"/>
      <c r="N4616" s="952"/>
    </row>
    <row r="4617" spans="1:14">
      <c r="A4617" s="958" t="s">
        <v>358</v>
      </c>
      <c r="B4617" s="958">
        <v>43</v>
      </c>
      <c r="C4617" s="958" t="s">
        <v>2752</v>
      </c>
      <c r="D4617" s="957" t="s">
        <v>2751</v>
      </c>
      <c r="E4617" s="956">
        <v>6258</v>
      </c>
      <c r="F4617" s="955"/>
      <c r="L4617" s="954"/>
      <c r="M4617" s="952"/>
      <c r="N4617" s="952"/>
    </row>
    <row r="4618" spans="1:14">
      <c r="A4618" s="958" t="s">
        <v>358</v>
      </c>
      <c r="B4618" s="958">
        <v>43</v>
      </c>
      <c r="C4618" s="958" t="s">
        <v>2750</v>
      </c>
      <c r="D4618" s="957" t="s">
        <v>2749</v>
      </c>
      <c r="E4618" s="956">
        <v>1638</v>
      </c>
      <c r="F4618" s="955"/>
      <c r="L4618" s="954"/>
      <c r="M4618" s="952"/>
      <c r="N4618" s="952"/>
    </row>
    <row r="4619" spans="1:14">
      <c r="A4619" s="958" t="s">
        <v>358</v>
      </c>
      <c r="B4619" s="958">
        <v>43</v>
      </c>
      <c r="C4619" s="958" t="s">
        <v>2748</v>
      </c>
      <c r="D4619" s="957" t="s">
        <v>2747</v>
      </c>
      <c r="E4619" s="956">
        <v>3028</v>
      </c>
      <c r="F4619" s="955"/>
      <c r="L4619" s="954"/>
      <c r="M4619" s="952"/>
      <c r="N4619" s="952"/>
    </row>
    <row r="4620" spans="1:14">
      <c r="A4620" s="958" t="s">
        <v>358</v>
      </c>
      <c r="B4620" s="958">
        <v>43</v>
      </c>
      <c r="C4620" s="958" t="s">
        <v>2746</v>
      </c>
      <c r="D4620" s="957" t="s">
        <v>2745</v>
      </c>
      <c r="E4620" s="956">
        <v>210305</v>
      </c>
      <c r="F4620" s="955"/>
      <c r="L4620" s="954"/>
      <c r="M4620" s="952"/>
      <c r="N4620" s="952"/>
    </row>
    <row r="4621" spans="1:14">
      <c r="A4621" s="958" t="s">
        <v>358</v>
      </c>
      <c r="B4621" s="958">
        <v>43</v>
      </c>
      <c r="C4621" s="958" t="s">
        <v>2744</v>
      </c>
      <c r="D4621" s="957" t="s">
        <v>2743</v>
      </c>
      <c r="E4621" s="956">
        <v>7031</v>
      </c>
      <c r="F4621" s="955"/>
      <c r="L4621" s="954"/>
      <c r="M4621" s="952"/>
      <c r="N4621" s="952"/>
    </row>
    <row r="4622" spans="1:14">
      <c r="A4622" s="958" t="s">
        <v>358</v>
      </c>
      <c r="B4622" s="958">
        <v>43</v>
      </c>
      <c r="C4622" s="958" t="s">
        <v>2742</v>
      </c>
      <c r="D4622" s="957" t="s">
        <v>2741</v>
      </c>
      <c r="E4622" s="956">
        <v>7409</v>
      </c>
      <c r="F4622" s="955"/>
      <c r="L4622" s="954"/>
      <c r="M4622" s="952"/>
      <c r="N4622" s="952"/>
    </row>
    <row r="4623" spans="1:14">
      <c r="A4623" s="958" t="s">
        <v>358</v>
      </c>
      <c r="B4623" s="958">
        <v>43</v>
      </c>
      <c r="C4623" s="958" t="s">
        <v>2740</v>
      </c>
      <c r="D4623" s="957" t="s">
        <v>2739</v>
      </c>
      <c r="E4623" s="956">
        <v>1333</v>
      </c>
      <c r="F4623" s="955"/>
      <c r="L4623" s="954"/>
      <c r="M4623" s="952"/>
      <c r="N4623" s="952"/>
    </row>
    <row r="4624" spans="1:14">
      <c r="A4624" s="958" t="s">
        <v>358</v>
      </c>
      <c r="B4624" s="958">
        <v>43</v>
      </c>
      <c r="C4624" s="958" t="s">
        <v>2738</v>
      </c>
      <c r="D4624" s="957" t="s">
        <v>2737</v>
      </c>
      <c r="E4624" s="956">
        <v>5981</v>
      </c>
      <c r="F4624" s="955"/>
      <c r="L4624" s="954"/>
      <c r="M4624" s="952"/>
      <c r="N4624" s="952"/>
    </row>
    <row r="4625" spans="1:14">
      <c r="A4625" s="958" t="s">
        <v>358</v>
      </c>
      <c r="B4625" s="958">
        <v>43</v>
      </c>
      <c r="C4625" s="958" t="s">
        <v>2736</v>
      </c>
      <c r="D4625" s="957" t="s">
        <v>2735</v>
      </c>
      <c r="E4625" s="956">
        <v>13050</v>
      </c>
      <c r="F4625" s="955"/>
      <c r="L4625" s="954"/>
      <c r="M4625" s="952"/>
      <c r="N4625" s="952"/>
    </row>
    <row r="4626" spans="1:14">
      <c r="A4626" s="958" t="s">
        <v>358</v>
      </c>
      <c r="B4626" s="958">
        <v>43</v>
      </c>
      <c r="C4626" s="958" t="s">
        <v>2734</v>
      </c>
      <c r="D4626" s="957" t="s">
        <v>2733</v>
      </c>
      <c r="E4626" s="956">
        <v>3581</v>
      </c>
      <c r="F4626" s="955"/>
      <c r="L4626" s="954"/>
      <c r="M4626" s="952"/>
      <c r="N4626" s="952"/>
    </row>
    <row r="4627" spans="1:14">
      <c r="A4627" s="958" t="s">
        <v>358</v>
      </c>
      <c r="B4627" s="958">
        <v>43</v>
      </c>
      <c r="C4627" s="958" t="s">
        <v>2732</v>
      </c>
      <c r="D4627" s="957" t="s">
        <v>2731</v>
      </c>
      <c r="E4627" s="956">
        <v>5698</v>
      </c>
      <c r="F4627" s="955"/>
      <c r="L4627" s="954"/>
      <c r="M4627" s="952"/>
      <c r="N4627" s="952"/>
    </row>
    <row r="4628" spans="1:14">
      <c r="A4628" s="958" t="s">
        <v>358</v>
      </c>
      <c r="B4628" s="958">
        <v>43</v>
      </c>
      <c r="C4628" s="958" t="s">
        <v>2730</v>
      </c>
      <c r="D4628" s="957" t="s">
        <v>2729</v>
      </c>
      <c r="E4628" s="956">
        <v>6235</v>
      </c>
      <c r="F4628" s="955"/>
      <c r="L4628" s="954"/>
      <c r="M4628" s="952"/>
      <c r="N4628" s="952"/>
    </row>
    <row r="4629" spans="1:14">
      <c r="A4629" s="958" t="s">
        <v>358</v>
      </c>
      <c r="B4629" s="958">
        <v>43</v>
      </c>
      <c r="C4629" s="958" t="s">
        <v>2728</v>
      </c>
      <c r="D4629" s="957" t="s">
        <v>2727</v>
      </c>
      <c r="E4629" s="956">
        <v>20805</v>
      </c>
      <c r="F4629" s="955"/>
      <c r="L4629" s="954"/>
      <c r="M4629" s="952"/>
      <c r="N4629" s="952"/>
    </row>
    <row r="4630" spans="1:14">
      <c r="A4630" s="958" t="s">
        <v>358</v>
      </c>
      <c r="B4630" s="958">
        <v>43</v>
      </c>
      <c r="C4630" s="958" t="s">
        <v>2726</v>
      </c>
      <c r="D4630" s="957" t="s">
        <v>2725</v>
      </c>
      <c r="E4630" s="956">
        <v>10065</v>
      </c>
      <c r="F4630" s="955"/>
      <c r="L4630" s="954"/>
      <c r="M4630" s="952"/>
      <c r="N4630" s="952"/>
    </row>
    <row r="4631" spans="1:14">
      <c r="A4631" s="958" t="s">
        <v>358</v>
      </c>
      <c r="B4631" s="958">
        <v>43</v>
      </c>
      <c r="C4631" s="958" t="s">
        <v>2724</v>
      </c>
      <c r="D4631" s="957" t="s">
        <v>2723</v>
      </c>
      <c r="E4631" s="956">
        <v>2937</v>
      </c>
      <c r="F4631" s="955"/>
      <c r="L4631" s="954"/>
      <c r="M4631" s="952"/>
      <c r="N4631" s="952"/>
    </row>
    <row r="4632" spans="1:14">
      <c r="A4632" s="958" t="s">
        <v>358</v>
      </c>
      <c r="B4632" s="958">
        <v>43</v>
      </c>
      <c r="C4632" s="958" t="s">
        <v>2722</v>
      </c>
      <c r="D4632" s="957" t="s">
        <v>2721</v>
      </c>
      <c r="E4632" s="956">
        <v>14151</v>
      </c>
      <c r="F4632" s="955"/>
      <c r="L4632" s="954"/>
      <c r="M4632" s="952"/>
      <c r="N4632" s="952"/>
    </row>
    <row r="4633" spans="1:14">
      <c r="A4633" s="958" t="s">
        <v>358</v>
      </c>
      <c r="B4633" s="958">
        <v>43</v>
      </c>
      <c r="C4633" s="958" t="s">
        <v>2720</v>
      </c>
      <c r="D4633" s="957" t="s">
        <v>2719</v>
      </c>
      <c r="E4633" s="956">
        <v>13373</v>
      </c>
      <c r="F4633" s="955"/>
      <c r="L4633" s="954"/>
      <c r="M4633" s="952"/>
      <c r="N4633" s="952"/>
    </row>
    <row r="4634" spans="1:14">
      <c r="A4634" s="958" t="s">
        <v>358</v>
      </c>
      <c r="B4634" s="958">
        <v>43</v>
      </c>
      <c r="C4634" s="958" t="s">
        <v>2718</v>
      </c>
      <c r="D4634" s="957" t="s">
        <v>2717</v>
      </c>
      <c r="E4634" s="956">
        <v>18293</v>
      </c>
      <c r="F4634" s="955"/>
      <c r="L4634" s="954"/>
      <c r="M4634" s="952"/>
      <c r="N4634" s="952"/>
    </row>
    <row r="4635" spans="1:14">
      <c r="A4635" s="958" t="s">
        <v>358</v>
      </c>
      <c r="B4635" s="958">
        <v>43</v>
      </c>
      <c r="C4635" s="958" t="s">
        <v>2716</v>
      </c>
      <c r="D4635" s="957" t="s">
        <v>2715</v>
      </c>
      <c r="E4635" s="956">
        <v>10424</v>
      </c>
      <c r="F4635" s="955"/>
      <c r="L4635" s="954"/>
      <c r="M4635" s="952"/>
      <c r="N4635" s="952"/>
    </row>
    <row r="4636" spans="1:14">
      <c r="A4636" s="958" t="s">
        <v>358</v>
      </c>
      <c r="B4636" s="958">
        <v>43</v>
      </c>
      <c r="C4636" s="958" t="s">
        <v>2714</v>
      </c>
      <c r="D4636" s="957" t="s">
        <v>2713</v>
      </c>
      <c r="E4636" s="956">
        <v>6661</v>
      </c>
      <c r="F4636" s="955"/>
      <c r="L4636" s="954"/>
      <c r="M4636" s="952"/>
      <c r="N4636" s="952"/>
    </row>
    <row r="4637" spans="1:14">
      <c r="A4637" s="958" t="s">
        <v>358</v>
      </c>
      <c r="B4637" s="958">
        <v>43</v>
      </c>
      <c r="C4637" s="958" t="s">
        <v>2712</v>
      </c>
      <c r="D4637" s="957" t="s">
        <v>2711</v>
      </c>
      <c r="E4637" s="956">
        <v>3554</v>
      </c>
      <c r="F4637" s="955"/>
      <c r="L4637" s="954"/>
      <c r="M4637" s="952"/>
      <c r="N4637" s="952"/>
    </row>
    <row r="4638" spans="1:14">
      <c r="A4638" s="958" t="s">
        <v>358</v>
      </c>
      <c r="B4638" s="958">
        <v>43</v>
      </c>
      <c r="C4638" s="958" t="s">
        <v>2710</v>
      </c>
      <c r="D4638" s="957" t="s">
        <v>2709</v>
      </c>
      <c r="E4638" s="956">
        <v>121143</v>
      </c>
      <c r="F4638" s="955"/>
      <c r="L4638" s="954"/>
      <c r="M4638" s="952"/>
      <c r="N4638" s="952"/>
    </row>
    <row r="4639" spans="1:14">
      <c r="A4639" s="958" t="s">
        <v>358</v>
      </c>
      <c r="B4639" s="958">
        <v>43</v>
      </c>
      <c r="C4639" s="958" t="s">
        <v>2708</v>
      </c>
      <c r="D4639" s="957" t="s">
        <v>2707</v>
      </c>
      <c r="E4639" s="956">
        <v>14068</v>
      </c>
      <c r="F4639" s="955"/>
      <c r="L4639" s="954"/>
      <c r="M4639" s="952"/>
      <c r="N4639" s="952"/>
    </row>
    <row r="4640" spans="1:14">
      <c r="A4640" s="958" t="s">
        <v>358</v>
      </c>
      <c r="B4640" s="958">
        <v>43</v>
      </c>
      <c r="C4640" s="958" t="s">
        <v>2706</v>
      </c>
      <c r="D4640" s="957" t="s">
        <v>2705</v>
      </c>
      <c r="E4640" s="956">
        <v>6171</v>
      </c>
      <c r="F4640" s="955"/>
      <c r="L4640" s="954"/>
      <c r="M4640" s="952"/>
      <c r="N4640" s="952"/>
    </row>
    <row r="4641" spans="1:14">
      <c r="A4641" s="958" t="s">
        <v>358</v>
      </c>
      <c r="B4641" s="958">
        <v>43</v>
      </c>
      <c r="C4641" s="958" t="s">
        <v>2704</v>
      </c>
      <c r="D4641" s="957" t="s">
        <v>2703</v>
      </c>
      <c r="E4641" s="956">
        <v>6623</v>
      </c>
      <c r="F4641" s="955"/>
      <c r="L4641" s="954"/>
      <c r="M4641" s="952"/>
      <c r="N4641" s="952"/>
    </row>
    <row r="4642" spans="1:14">
      <c r="A4642" s="958" t="s">
        <v>358</v>
      </c>
      <c r="B4642" s="958">
        <v>43</v>
      </c>
      <c r="C4642" s="958" t="s">
        <v>2702</v>
      </c>
      <c r="D4642" s="957" t="s">
        <v>2701</v>
      </c>
      <c r="E4642" s="956">
        <v>7487</v>
      </c>
      <c r="F4642" s="955"/>
      <c r="L4642" s="954"/>
      <c r="M4642" s="952"/>
      <c r="N4642" s="952"/>
    </row>
    <row r="4643" spans="1:14">
      <c r="A4643" s="958" t="s">
        <v>358</v>
      </c>
      <c r="B4643" s="958">
        <v>43</v>
      </c>
      <c r="C4643" s="958" t="s">
        <v>2700</v>
      </c>
      <c r="D4643" s="957" t="s">
        <v>2699</v>
      </c>
      <c r="E4643" s="956">
        <v>5275</v>
      </c>
      <c r="F4643" s="955"/>
      <c r="L4643" s="954"/>
      <c r="M4643" s="952"/>
      <c r="N4643" s="952"/>
    </row>
    <row r="4644" spans="1:14">
      <c r="A4644" s="958" t="s">
        <v>358</v>
      </c>
      <c r="B4644" s="958">
        <v>43</v>
      </c>
      <c r="C4644" s="958" t="s">
        <v>2698</v>
      </c>
      <c r="D4644" s="957" t="s">
        <v>2697</v>
      </c>
      <c r="E4644" s="956">
        <v>3248</v>
      </c>
      <c r="F4644" s="955"/>
      <c r="L4644" s="954"/>
      <c r="M4644" s="952"/>
      <c r="N4644" s="952"/>
    </row>
    <row r="4645" spans="1:14">
      <c r="A4645" s="958" t="s">
        <v>358</v>
      </c>
      <c r="B4645" s="958">
        <v>43</v>
      </c>
      <c r="C4645" s="958" t="s">
        <v>2696</v>
      </c>
      <c r="D4645" s="957" t="s">
        <v>2695</v>
      </c>
      <c r="E4645" s="956">
        <v>4215</v>
      </c>
      <c r="F4645" s="955"/>
      <c r="L4645" s="954"/>
      <c r="M4645" s="952"/>
      <c r="N4645" s="952"/>
    </row>
    <row r="4646" spans="1:14">
      <c r="A4646" s="958" t="s">
        <v>358</v>
      </c>
      <c r="B4646" s="958">
        <v>43</v>
      </c>
      <c r="C4646" s="958" t="s">
        <v>2694</v>
      </c>
      <c r="D4646" s="957" t="s">
        <v>2693</v>
      </c>
      <c r="E4646" s="956">
        <v>13491</v>
      </c>
      <c r="F4646" s="955"/>
      <c r="L4646" s="954"/>
      <c r="M4646" s="952"/>
      <c r="N4646" s="952"/>
    </row>
    <row r="4647" spans="1:14">
      <c r="A4647" s="958" t="s">
        <v>358</v>
      </c>
      <c r="B4647" s="958">
        <v>43</v>
      </c>
      <c r="C4647" s="958" t="s">
        <v>2692</v>
      </c>
      <c r="D4647" s="957" t="s">
        <v>2691</v>
      </c>
      <c r="E4647" s="956">
        <v>1690</v>
      </c>
      <c r="F4647" s="955"/>
      <c r="L4647" s="954"/>
      <c r="M4647" s="952"/>
      <c r="N4647" s="952"/>
    </row>
    <row r="4648" spans="1:14">
      <c r="A4648" s="958" t="s">
        <v>358</v>
      </c>
      <c r="B4648" s="958">
        <v>43</v>
      </c>
      <c r="C4648" s="958" t="s">
        <v>2690</v>
      </c>
      <c r="D4648" s="957" t="s">
        <v>2689</v>
      </c>
      <c r="E4648" s="956">
        <v>2539</v>
      </c>
      <c r="F4648" s="955"/>
      <c r="L4648" s="954"/>
      <c r="M4648" s="952"/>
      <c r="N4648" s="952"/>
    </row>
    <row r="4649" spans="1:14">
      <c r="A4649" s="958" t="s">
        <v>358</v>
      </c>
      <c r="B4649" s="958">
        <v>43</v>
      </c>
      <c r="C4649" s="958" t="s">
        <v>2688</v>
      </c>
      <c r="D4649" s="957" t="s">
        <v>2687</v>
      </c>
      <c r="E4649" s="956">
        <v>11199</v>
      </c>
      <c r="F4649" s="955"/>
      <c r="L4649" s="954"/>
      <c r="M4649" s="952"/>
      <c r="N4649" s="952"/>
    </row>
    <row r="4650" spans="1:14">
      <c r="A4650" s="958" t="s">
        <v>358</v>
      </c>
      <c r="B4650" s="958">
        <v>43</v>
      </c>
      <c r="C4650" s="958" t="s">
        <v>2686</v>
      </c>
      <c r="D4650" s="957" t="s">
        <v>2685</v>
      </c>
      <c r="E4650" s="956">
        <v>1994</v>
      </c>
      <c r="F4650" s="955"/>
      <c r="L4650" s="954"/>
      <c r="M4650" s="952"/>
      <c r="N4650" s="952"/>
    </row>
    <row r="4651" spans="1:14">
      <c r="A4651" s="958" t="s">
        <v>358</v>
      </c>
      <c r="B4651" s="958">
        <v>43</v>
      </c>
      <c r="C4651" s="958" t="s">
        <v>2684</v>
      </c>
      <c r="D4651" s="957" t="s">
        <v>2683</v>
      </c>
      <c r="E4651" s="956">
        <v>120454</v>
      </c>
      <c r="F4651" s="955"/>
      <c r="L4651" s="954"/>
      <c r="M4651" s="952"/>
      <c r="N4651" s="952"/>
    </row>
    <row r="4652" spans="1:14">
      <c r="A4652" s="958" t="s">
        <v>358</v>
      </c>
      <c r="B4652" s="958">
        <v>43</v>
      </c>
      <c r="C4652" s="958" t="s">
        <v>2682</v>
      </c>
      <c r="D4652" s="957" t="s">
        <v>2681</v>
      </c>
      <c r="E4652" s="956">
        <v>2098</v>
      </c>
      <c r="F4652" s="955"/>
      <c r="L4652" s="954"/>
      <c r="M4652" s="952"/>
      <c r="N4652" s="952"/>
    </row>
    <row r="4653" spans="1:14">
      <c r="A4653" s="958" t="s">
        <v>358</v>
      </c>
      <c r="B4653" s="958">
        <v>43</v>
      </c>
      <c r="C4653" s="958" t="s">
        <v>2680</v>
      </c>
      <c r="D4653" s="957" t="s">
        <v>2679</v>
      </c>
      <c r="E4653" s="956">
        <v>6712</v>
      </c>
      <c r="F4653" s="955"/>
      <c r="L4653" s="954"/>
      <c r="M4653" s="952"/>
      <c r="N4653" s="952"/>
    </row>
    <row r="4654" spans="1:14">
      <c r="A4654" s="958" t="s">
        <v>358</v>
      </c>
      <c r="B4654" s="958">
        <v>43</v>
      </c>
      <c r="C4654" s="958" t="s">
        <v>2678</v>
      </c>
      <c r="D4654" s="957" t="s">
        <v>2677</v>
      </c>
      <c r="E4654" s="956">
        <v>2470</v>
      </c>
      <c r="F4654" s="955"/>
      <c r="L4654" s="954"/>
      <c r="M4654" s="952"/>
      <c r="N4654" s="952"/>
    </row>
    <row r="4655" spans="1:14">
      <c r="A4655" s="958" t="s">
        <v>358</v>
      </c>
      <c r="B4655" s="958">
        <v>43</v>
      </c>
      <c r="C4655" s="958" t="s">
        <v>2676</v>
      </c>
      <c r="D4655" s="957" t="s">
        <v>2675</v>
      </c>
      <c r="E4655" s="956">
        <v>2603</v>
      </c>
      <c r="F4655" s="955"/>
      <c r="L4655" s="954"/>
      <c r="M4655" s="952"/>
      <c r="N4655" s="952"/>
    </row>
    <row r="4656" spans="1:14">
      <c r="A4656" s="958" t="s">
        <v>358</v>
      </c>
      <c r="B4656" s="958">
        <v>43</v>
      </c>
      <c r="C4656" s="958" t="s">
        <v>2674</v>
      </c>
      <c r="D4656" s="957" t="s">
        <v>2673</v>
      </c>
      <c r="E4656" s="956">
        <v>2783</v>
      </c>
      <c r="F4656" s="955"/>
      <c r="L4656" s="954"/>
      <c r="M4656" s="952"/>
      <c r="N4656" s="952"/>
    </row>
    <row r="4657" spans="1:14">
      <c r="A4657" s="958" t="s">
        <v>358</v>
      </c>
      <c r="B4657" s="958">
        <v>43</v>
      </c>
      <c r="C4657" s="958" t="s">
        <v>2672</v>
      </c>
      <c r="D4657" s="957" t="s">
        <v>2671</v>
      </c>
      <c r="E4657" s="956">
        <v>11349</v>
      </c>
      <c r="F4657" s="955"/>
      <c r="L4657" s="954"/>
      <c r="M4657" s="952"/>
      <c r="N4657" s="952"/>
    </row>
    <row r="4658" spans="1:14">
      <c r="A4658" s="958" t="s">
        <v>358</v>
      </c>
      <c r="B4658" s="958">
        <v>43</v>
      </c>
      <c r="C4658" s="958" t="s">
        <v>2670</v>
      </c>
      <c r="D4658" s="957" t="s">
        <v>2669</v>
      </c>
      <c r="E4658" s="956">
        <v>14055</v>
      </c>
      <c r="F4658" s="955"/>
      <c r="L4658" s="954"/>
      <c r="M4658" s="952"/>
      <c r="N4658" s="952"/>
    </row>
    <row r="4659" spans="1:14">
      <c r="A4659" s="958" t="s">
        <v>358</v>
      </c>
      <c r="B4659" s="958">
        <v>43</v>
      </c>
      <c r="C4659" s="958" t="s">
        <v>2668</v>
      </c>
      <c r="D4659" s="957" t="s">
        <v>2667</v>
      </c>
      <c r="E4659" s="956">
        <v>1942</v>
      </c>
      <c r="F4659" s="955"/>
      <c r="L4659" s="954"/>
      <c r="M4659" s="952"/>
      <c r="N4659" s="952"/>
    </row>
    <row r="4660" spans="1:14">
      <c r="A4660" s="958" t="s">
        <v>358</v>
      </c>
      <c r="B4660" s="958">
        <v>43</v>
      </c>
      <c r="C4660" s="958" t="s">
        <v>2666</v>
      </c>
      <c r="D4660" s="957" t="s">
        <v>2665</v>
      </c>
      <c r="E4660" s="956">
        <v>12328</v>
      </c>
      <c r="F4660" s="955"/>
      <c r="L4660" s="954"/>
      <c r="M4660" s="952"/>
      <c r="N4660" s="952"/>
    </row>
    <row r="4661" spans="1:14">
      <c r="A4661" s="958" t="s">
        <v>358</v>
      </c>
      <c r="B4661" s="958">
        <v>43</v>
      </c>
      <c r="C4661" s="958" t="s">
        <v>2664</v>
      </c>
      <c r="D4661" s="957" t="s">
        <v>2663</v>
      </c>
      <c r="E4661" s="956">
        <v>7714</v>
      </c>
      <c r="F4661" s="955"/>
      <c r="L4661" s="954"/>
      <c r="M4661" s="952"/>
      <c r="N4661" s="952"/>
    </row>
    <row r="4662" spans="1:14">
      <c r="A4662" s="958" t="s">
        <v>358</v>
      </c>
      <c r="B4662" s="958">
        <v>43</v>
      </c>
      <c r="C4662" s="958" t="s">
        <v>2662</v>
      </c>
      <c r="D4662" s="957" t="s">
        <v>2661</v>
      </c>
      <c r="E4662" s="956">
        <v>6279</v>
      </c>
      <c r="F4662" s="955"/>
      <c r="L4662" s="954"/>
      <c r="M4662" s="952"/>
      <c r="N4662" s="952"/>
    </row>
    <row r="4663" spans="1:14">
      <c r="A4663" s="958" t="s">
        <v>358</v>
      </c>
      <c r="B4663" s="958">
        <v>43</v>
      </c>
      <c r="C4663" s="958" t="s">
        <v>2660</v>
      </c>
      <c r="D4663" s="957" t="s">
        <v>2659</v>
      </c>
      <c r="E4663" s="956">
        <v>2123</v>
      </c>
      <c r="F4663" s="955"/>
      <c r="L4663" s="954"/>
      <c r="M4663" s="952"/>
      <c r="N4663" s="952"/>
    </row>
    <row r="4664" spans="1:14">
      <c r="A4664" s="958" t="s">
        <v>358</v>
      </c>
      <c r="B4664" s="958">
        <v>43</v>
      </c>
      <c r="C4664" s="958" t="s">
        <v>2658</v>
      </c>
      <c r="D4664" s="957" t="s">
        <v>2657</v>
      </c>
      <c r="E4664" s="956">
        <v>3353</v>
      </c>
      <c r="F4664" s="955"/>
      <c r="L4664" s="954"/>
      <c r="M4664" s="952"/>
      <c r="N4664" s="952"/>
    </row>
    <row r="4665" spans="1:14">
      <c r="A4665" s="958" t="s">
        <v>358</v>
      </c>
      <c r="B4665" s="958">
        <v>43</v>
      </c>
      <c r="C4665" s="958" t="s">
        <v>2656</v>
      </c>
      <c r="D4665" s="957" t="s">
        <v>2655</v>
      </c>
      <c r="E4665" s="956">
        <v>5074</v>
      </c>
      <c r="F4665" s="955"/>
      <c r="L4665" s="954"/>
      <c r="M4665" s="952"/>
      <c r="N4665" s="952"/>
    </row>
    <row r="4666" spans="1:14">
      <c r="A4666" s="958" t="s">
        <v>358</v>
      </c>
      <c r="B4666" s="958">
        <v>43</v>
      </c>
      <c r="C4666" s="958" t="s">
        <v>2654</v>
      </c>
      <c r="D4666" s="957" t="s">
        <v>2653</v>
      </c>
      <c r="E4666" s="956">
        <v>20941</v>
      </c>
      <c r="F4666" s="955"/>
      <c r="L4666" s="954"/>
      <c r="M4666" s="952"/>
      <c r="N4666" s="952"/>
    </row>
    <row r="4667" spans="1:14">
      <c r="A4667" s="958" t="s">
        <v>358</v>
      </c>
      <c r="B4667" s="958">
        <v>43</v>
      </c>
      <c r="C4667" s="958" t="s">
        <v>2652</v>
      </c>
      <c r="D4667" s="957" t="s">
        <v>2651</v>
      </c>
      <c r="E4667" s="956">
        <v>33624</v>
      </c>
      <c r="F4667" s="955"/>
      <c r="L4667" s="954"/>
      <c r="M4667" s="952"/>
      <c r="N4667" s="952"/>
    </row>
    <row r="4668" spans="1:14">
      <c r="A4668" s="958" t="s">
        <v>358</v>
      </c>
      <c r="B4668" s="958">
        <v>43</v>
      </c>
      <c r="C4668" s="958" t="s">
        <v>2650</v>
      </c>
      <c r="D4668" s="957" t="s">
        <v>2649</v>
      </c>
      <c r="E4668" s="956">
        <v>12561</v>
      </c>
      <c r="F4668" s="955"/>
      <c r="L4668" s="954"/>
      <c r="M4668" s="952"/>
      <c r="N4668" s="952"/>
    </row>
    <row r="4669" spans="1:14">
      <c r="A4669" s="958" t="s">
        <v>358</v>
      </c>
      <c r="B4669" s="958">
        <v>43</v>
      </c>
      <c r="C4669" s="958" t="s">
        <v>2648</v>
      </c>
      <c r="D4669" s="957" t="s">
        <v>2647</v>
      </c>
      <c r="E4669" s="956">
        <v>82201</v>
      </c>
      <c r="F4669" s="955"/>
      <c r="L4669" s="954"/>
      <c r="M4669" s="952"/>
      <c r="N4669" s="952"/>
    </row>
    <row r="4670" spans="1:14">
      <c r="A4670" s="958" t="s">
        <v>358</v>
      </c>
      <c r="B4670" s="958">
        <v>43</v>
      </c>
      <c r="C4670" s="958" t="s">
        <v>2646</v>
      </c>
      <c r="D4670" s="957" t="s">
        <v>2645</v>
      </c>
      <c r="E4670" s="956">
        <v>130293</v>
      </c>
      <c r="F4670" s="955"/>
      <c r="L4670" s="954"/>
      <c r="M4670" s="952"/>
      <c r="N4670" s="952"/>
    </row>
    <row r="4671" spans="1:14">
      <c r="A4671" s="958" t="s">
        <v>358</v>
      </c>
      <c r="B4671" s="958">
        <v>43</v>
      </c>
      <c r="C4671" s="958" t="s">
        <v>2644</v>
      </c>
      <c r="D4671" s="957" t="s">
        <v>2643</v>
      </c>
      <c r="E4671" s="956">
        <v>5065</v>
      </c>
      <c r="F4671" s="955"/>
      <c r="L4671" s="954"/>
      <c r="M4671" s="952"/>
      <c r="N4671" s="952"/>
    </row>
    <row r="4672" spans="1:14">
      <c r="A4672" s="958" t="s">
        <v>358</v>
      </c>
      <c r="B4672" s="958">
        <v>43</v>
      </c>
      <c r="C4672" s="958" t="s">
        <v>2642</v>
      </c>
      <c r="D4672" s="957" t="s">
        <v>2641</v>
      </c>
      <c r="E4672" s="956">
        <v>4846</v>
      </c>
      <c r="F4672" s="955"/>
      <c r="L4672" s="954"/>
      <c r="M4672" s="952"/>
      <c r="N4672" s="952"/>
    </row>
    <row r="4673" spans="1:14">
      <c r="A4673" s="958" t="s">
        <v>358</v>
      </c>
      <c r="B4673" s="958">
        <v>43</v>
      </c>
      <c r="C4673" s="958" t="s">
        <v>2640</v>
      </c>
      <c r="D4673" s="957" t="s">
        <v>2639</v>
      </c>
      <c r="E4673" s="956">
        <v>4743</v>
      </c>
      <c r="F4673" s="955"/>
      <c r="L4673" s="954"/>
      <c r="M4673" s="952"/>
      <c r="N4673" s="952"/>
    </row>
    <row r="4674" spans="1:14">
      <c r="A4674" s="958" t="s">
        <v>358</v>
      </c>
      <c r="B4674" s="958">
        <v>43</v>
      </c>
      <c r="C4674" s="958" t="s">
        <v>2638</v>
      </c>
      <c r="D4674" s="957" t="s">
        <v>2637</v>
      </c>
      <c r="E4674" s="956">
        <v>66261</v>
      </c>
      <c r="F4674" s="955"/>
      <c r="L4674" s="954"/>
      <c r="M4674" s="952"/>
      <c r="N4674" s="952"/>
    </row>
    <row r="4675" spans="1:14">
      <c r="A4675" s="958" t="s">
        <v>358</v>
      </c>
      <c r="B4675" s="958">
        <v>43</v>
      </c>
      <c r="C4675" s="958" t="s">
        <v>2636</v>
      </c>
      <c r="D4675" s="957" t="s">
        <v>2635</v>
      </c>
      <c r="E4675" s="956">
        <v>2733</v>
      </c>
      <c r="F4675" s="955"/>
      <c r="L4675" s="954"/>
      <c r="M4675" s="952"/>
      <c r="N4675" s="952"/>
    </row>
    <row r="4676" spans="1:14">
      <c r="A4676" s="958" t="s">
        <v>358</v>
      </c>
      <c r="B4676" s="958">
        <v>43</v>
      </c>
      <c r="C4676" s="958" t="s">
        <v>2634</v>
      </c>
      <c r="D4676" s="957" t="s">
        <v>2633</v>
      </c>
      <c r="E4676" s="956">
        <v>6431</v>
      </c>
      <c r="F4676" s="955"/>
      <c r="L4676" s="954"/>
      <c r="M4676" s="952"/>
      <c r="N4676" s="952"/>
    </row>
    <row r="4677" spans="1:14">
      <c r="A4677" s="958" t="s">
        <v>358</v>
      </c>
      <c r="B4677" s="958">
        <v>43</v>
      </c>
      <c r="C4677" s="958" t="s">
        <v>2632</v>
      </c>
      <c r="D4677" s="957" t="s">
        <v>2631</v>
      </c>
      <c r="E4677" s="956">
        <v>3388</v>
      </c>
      <c r="F4677" s="955"/>
      <c r="L4677" s="954"/>
      <c r="M4677" s="952"/>
      <c r="N4677" s="952"/>
    </row>
    <row r="4678" spans="1:14">
      <c r="A4678" s="958" t="s">
        <v>358</v>
      </c>
      <c r="B4678" s="958">
        <v>43</v>
      </c>
      <c r="C4678" s="958" t="s">
        <v>2630</v>
      </c>
      <c r="D4678" s="957" t="s">
        <v>2629</v>
      </c>
      <c r="E4678" s="956">
        <v>5474</v>
      </c>
      <c r="F4678" s="955"/>
      <c r="L4678" s="954"/>
      <c r="M4678" s="952"/>
      <c r="N4678" s="952"/>
    </row>
    <row r="4679" spans="1:14">
      <c r="A4679" s="958" t="s">
        <v>358</v>
      </c>
      <c r="B4679" s="958">
        <v>43</v>
      </c>
      <c r="C4679" s="958" t="s">
        <v>2628</v>
      </c>
      <c r="D4679" s="957" t="s">
        <v>2627</v>
      </c>
      <c r="E4679" s="956">
        <v>5454</v>
      </c>
      <c r="F4679" s="955"/>
      <c r="L4679" s="954"/>
      <c r="M4679" s="952"/>
      <c r="N4679" s="952"/>
    </row>
    <row r="4680" spans="1:14">
      <c r="A4680" s="958" t="s">
        <v>358</v>
      </c>
      <c r="B4680" s="958">
        <v>43</v>
      </c>
      <c r="C4680" s="958" t="s">
        <v>2626</v>
      </c>
      <c r="D4680" s="957" t="s">
        <v>2625</v>
      </c>
      <c r="E4680" s="956">
        <v>66712</v>
      </c>
      <c r="F4680" s="955"/>
      <c r="L4680" s="954"/>
      <c r="M4680" s="952"/>
      <c r="N4680" s="952"/>
    </row>
    <row r="4681" spans="1:14">
      <c r="A4681" s="958" t="s">
        <v>358</v>
      </c>
      <c r="B4681" s="958">
        <v>43</v>
      </c>
      <c r="C4681" s="958" t="s">
        <v>2624</v>
      </c>
      <c r="D4681" s="957" t="s">
        <v>2623</v>
      </c>
      <c r="E4681" s="956">
        <v>4484</v>
      </c>
      <c r="F4681" s="955"/>
      <c r="L4681" s="954"/>
      <c r="M4681" s="952"/>
      <c r="N4681" s="952"/>
    </row>
    <row r="4682" spans="1:14">
      <c r="A4682" s="958" t="s">
        <v>358</v>
      </c>
      <c r="B4682" s="958">
        <v>43</v>
      </c>
      <c r="C4682" s="958" t="s">
        <v>2622</v>
      </c>
      <c r="D4682" s="957" t="s">
        <v>2621</v>
      </c>
      <c r="E4682" s="956">
        <v>3320</v>
      </c>
      <c r="F4682" s="955"/>
      <c r="L4682" s="954"/>
      <c r="M4682" s="952"/>
      <c r="N4682" s="952"/>
    </row>
    <row r="4683" spans="1:14">
      <c r="A4683" s="958" t="s">
        <v>358</v>
      </c>
      <c r="B4683" s="958">
        <v>43</v>
      </c>
      <c r="C4683" s="958" t="s">
        <v>2620</v>
      </c>
      <c r="D4683" s="957" t="s">
        <v>2619</v>
      </c>
      <c r="E4683" s="956">
        <v>31365</v>
      </c>
      <c r="F4683" s="955"/>
      <c r="L4683" s="954"/>
      <c r="M4683" s="952"/>
      <c r="N4683" s="952"/>
    </row>
    <row r="4684" spans="1:14">
      <c r="A4684" s="958" t="s">
        <v>358</v>
      </c>
      <c r="B4684" s="958">
        <v>43</v>
      </c>
      <c r="C4684" s="958" t="s">
        <v>2618</v>
      </c>
      <c r="D4684" s="957" t="s">
        <v>2617</v>
      </c>
      <c r="E4684" s="956">
        <v>6198</v>
      </c>
      <c r="F4684" s="955"/>
      <c r="L4684" s="954"/>
      <c r="M4684" s="952"/>
      <c r="N4684" s="952"/>
    </row>
    <row r="4685" spans="1:14">
      <c r="A4685" s="958" t="s">
        <v>358</v>
      </c>
      <c r="B4685" s="958">
        <v>43</v>
      </c>
      <c r="C4685" s="958" t="s">
        <v>2616</v>
      </c>
      <c r="D4685" s="957" t="s">
        <v>2615</v>
      </c>
      <c r="E4685" s="956">
        <v>9584</v>
      </c>
      <c r="F4685" s="955"/>
      <c r="L4685" s="954"/>
      <c r="M4685" s="952"/>
      <c r="N4685" s="952"/>
    </row>
    <row r="4686" spans="1:14">
      <c r="A4686" s="958" t="s">
        <v>358</v>
      </c>
      <c r="B4686" s="958">
        <v>43</v>
      </c>
      <c r="C4686" s="958" t="s">
        <v>2614</v>
      </c>
      <c r="D4686" s="957" t="s">
        <v>2613</v>
      </c>
      <c r="E4686" s="956">
        <v>44998</v>
      </c>
      <c r="F4686" s="955"/>
      <c r="L4686" s="954"/>
      <c r="M4686" s="952"/>
      <c r="N4686" s="952"/>
    </row>
    <row r="4687" spans="1:14">
      <c r="A4687" s="958" t="s">
        <v>358</v>
      </c>
      <c r="B4687" s="958">
        <v>43</v>
      </c>
      <c r="C4687" s="958" t="s">
        <v>2612</v>
      </c>
      <c r="D4687" s="957" t="s">
        <v>2611</v>
      </c>
      <c r="E4687" s="956">
        <v>56045</v>
      </c>
      <c r="F4687" s="955"/>
      <c r="L4687" s="954"/>
      <c r="M4687" s="952"/>
      <c r="N4687" s="952"/>
    </row>
    <row r="4688" spans="1:14">
      <c r="A4688" s="958" t="s">
        <v>358</v>
      </c>
      <c r="B4688" s="958">
        <v>43</v>
      </c>
      <c r="C4688" s="958" t="s">
        <v>2610</v>
      </c>
      <c r="D4688" s="957" t="s">
        <v>2609</v>
      </c>
      <c r="E4688" s="956">
        <v>346616</v>
      </c>
      <c r="F4688" s="955"/>
      <c r="L4688" s="954"/>
      <c r="M4688" s="952"/>
      <c r="N4688" s="952"/>
    </row>
    <row r="4689" spans="1:14">
      <c r="A4689" s="958" t="s">
        <v>358</v>
      </c>
      <c r="B4689" s="958">
        <v>43</v>
      </c>
      <c r="C4689" s="958" t="s">
        <v>2608</v>
      </c>
      <c r="D4689" s="957" t="s">
        <v>2607</v>
      </c>
      <c r="E4689" s="956">
        <v>1716</v>
      </c>
      <c r="F4689" s="955"/>
      <c r="L4689" s="954"/>
      <c r="M4689" s="952"/>
      <c r="N4689" s="952"/>
    </row>
    <row r="4690" spans="1:14">
      <c r="A4690" s="958" t="s">
        <v>358</v>
      </c>
      <c r="B4690" s="958">
        <v>43</v>
      </c>
      <c r="C4690" s="958" t="s">
        <v>2606</v>
      </c>
      <c r="D4690" s="957" t="s">
        <v>2605</v>
      </c>
      <c r="E4690" s="956">
        <v>1654</v>
      </c>
      <c r="F4690" s="955"/>
      <c r="L4690" s="954"/>
      <c r="M4690" s="952"/>
      <c r="N4690" s="952"/>
    </row>
    <row r="4691" spans="1:14">
      <c r="A4691" s="958" t="s">
        <v>358</v>
      </c>
      <c r="B4691" s="958">
        <v>43</v>
      </c>
      <c r="C4691" s="958" t="s">
        <v>2604</v>
      </c>
      <c r="D4691" s="957" t="s">
        <v>2603</v>
      </c>
      <c r="E4691" s="956">
        <v>53049</v>
      </c>
      <c r="F4691" s="955"/>
      <c r="L4691" s="954"/>
      <c r="M4691" s="952"/>
      <c r="N4691" s="952"/>
    </row>
    <row r="4692" spans="1:14">
      <c r="A4692" s="958" t="s">
        <v>358</v>
      </c>
      <c r="B4692" s="958">
        <v>43</v>
      </c>
      <c r="C4692" s="958" t="s">
        <v>2602</v>
      </c>
      <c r="D4692" s="957" t="s">
        <v>2601</v>
      </c>
      <c r="E4692" s="956">
        <v>3651</v>
      </c>
      <c r="F4692" s="955"/>
      <c r="L4692" s="954"/>
      <c r="M4692" s="952"/>
      <c r="N4692" s="952"/>
    </row>
    <row r="4693" spans="1:14">
      <c r="A4693" s="958" t="s">
        <v>358</v>
      </c>
      <c r="B4693" s="958">
        <v>43</v>
      </c>
      <c r="C4693" s="958" t="s">
        <v>2600</v>
      </c>
      <c r="D4693" s="957" t="s">
        <v>2599</v>
      </c>
      <c r="E4693" s="956">
        <v>25354</v>
      </c>
      <c r="F4693" s="955"/>
      <c r="L4693" s="954"/>
      <c r="M4693" s="952"/>
      <c r="N4693" s="952"/>
    </row>
    <row r="4694" spans="1:14">
      <c r="A4694" s="958" t="s">
        <v>358</v>
      </c>
      <c r="B4694" s="958">
        <v>43</v>
      </c>
      <c r="C4694" s="958" t="s">
        <v>2598</v>
      </c>
      <c r="D4694" s="957" t="s">
        <v>2597</v>
      </c>
      <c r="E4694" s="956">
        <v>4660</v>
      </c>
      <c r="F4694" s="955"/>
      <c r="L4694" s="954"/>
      <c r="M4694" s="952"/>
      <c r="N4694" s="952"/>
    </row>
    <row r="4695" spans="1:14">
      <c r="A4695" s="958" t="s">
        <v>358</v>
      </c>
      <c r="B4695" s="958">
        <v>43</v>
      </c>
      <c r="C4695" s="958" t="s">
        <v>2596</v>
      </c>
      <c r="D4695" s="957" t="s">
        <v>2595</v>
      </c>
      <c r="E4695" s="956">
        <v>11940</v>
      </c>
      <c r="F4695" s="955"/>
      <c r="L4695" s="954"/>
      <c r="M4695" s="952"/>
      <c r="N4695" s="952"/>
    </row>
    <row r="4696" spans="1:14">
      <c r="A4696" s="958" t="s">
        <v>358</v>
      </c>
      <c r="B4696" s="958">
        <v>43</v>
      </c>
      <c r="C4696" s="958" t="s">
        <v>2594</v>
      </c>
      <c r="D4696" s="957" t="s">
        <v>2593</v>
      </c>
      <c r="E4696" s="956">
        <v>2757</v>
      </c>
      <c r="F4696" s="955"/>
      <c r="L4696" s="954"/>
      <c r="M4696" s="952"/>
      <c r="N4696" s="952"/>
    </row>
    <row r="4697" spans="1:14">
      <c r="A4697" s="958" t="s">
        <v>358</v>
      </c>
      <c r="B4697" s="958">
        <v>43</v>
      </c>
      <c r="C4697" s="958" t="s">
        <v>2592</v>
      </c>
      <c r="D4697" s="957" t="s">
        <v>2591</v>
      </c>
      <c r="E4697" s="956">
        <v>62110</v>
      </c>
      <c r="F4697" s="955"/>
      <c r="L4697" s="954"/>
      <c r="M4697" s="952"/>
      <c r="N4697" s="952"/>
    </row>
    <row r="4698" spans="1:14">
      <c r="A4698" s="958" t="s">
        <v>358</v>
      </c>
      <c r="B4698" s="958">
        <v>43</v>
      </c>
      <c r="C4698" s="958" t="s">
        <v>2590</v>
      </c>
      <c r="D4698" s="957" t="s">
        <v>2589</v>
      </c>
      <c r="E4698" s="956">
        <v>8270</v>
      </c>
      <c r="F4698" s="955"/>
      <c r="L4698" s="954"/>
      <c r="M4698" s="952"/>
      <c r="N4698" s="952"/>
    </row>
    <row r="4699" spans="1:14">
      <c r="A4699" s="958" t="s">
        <v>358</v>
      </c>
      <c r="B4699" s="958">
        <v>43</v>
      </c>
      <c r="C4699" s="958" t="s">
        <v>2588</v>
      </c>
      <c r="D4699" s="957" t="s">
        <v>2587</v>
      </c>
      <c r="E4699" s="956">
        <v>29833</v>
      </c>
      <c r="F4699" s="955"/>
      <c r="L4699" s="954"/>
      <c r="M4699" s="952"/>
      <c r="N4699" s="952"/>
    </row>
    <row r="4700" spans="1:14">
      <c r="A4700" s="958" t="s">
        <v>358</v>
      </c>
      <c r="B4700" s="958">
        <v>43</v>
      </c>
      <c r="C4700" s="958" t="s">
        <v>2586</v>
      </c>
      <c r="D4700" s="957" t="s">
        <v>2585</v>
      </c>
      <c r="E4700" s="956">
        <v>1377</v>
      </c>
      <c r="F4700" s="955"/>
      <c r="L4700" s="954"/>
      <c r="M4700" s="952"/>
      <c r="N4700" s="952"/>
    </row>
    <row r="4701" spans="1:14">
      <c r="A4701" s="958" t="s">
        <v>358</v>
      </c>
      <c r="B4701" s="958">
        <v>43</v>
      </c>
      <c r="C4701" s="958" t="s">
        <v>2584</v>
      </c>
      <c r="D4701" s="957" t="s">
        <v>2583</v>
      </c>
      <c r="E4701" s="956">
        <v>9031</v>
      </c>
      <c r="F4701" s="955"/>
      <c r="L4701" s="954"/>
      <c r="M4701" s="952"/>
      <c r="N4701" s="952"/>
    </row>
    <row r="4702" spans="1:14">
      <c r="A4702" s="958" t="s">
        <v>358</v>
      </c>
      <c r="B4702" s="958">
        <v>43</v>
      </c>
      <c r="C4702" s="958" t="s">
        <v>2582</v>
      </c>
      <c r="D4702" s="957" t="s">
        <v>2581</v>
      </c>
      <c r="E4702" s="956">
        <v>3202</v>
      </c>
      <c r="F4702" s="955"/>
      <c r="L4702" s="954"/>
      <c r="M4702" s="952"/>
      <c r="N4702" s="952"/>
    </row>
    <row r="4703" spans="1:14">
      <c r="A4703" s="958" t="s">
        <v>358</v>
      </c>
      <c r="B4703" s="958">
        <v>43</v>
      </c>
      <c r="C4703" s="958" t="s">
        <v>2580</v>
      </c>
      <c r="D4703" s="957" t="s">
        <v>2579</v>
      </c>
      <c r="E4703" s="956">
        <v>8774</v>
      </c>
      <c r="F4703" s="955"/>
      <c r="L4703" s="954"/>
      <c r="M4703" s="952"/>
      <c r="N4703" s="952"/>
    </row>
    <row r="4704" spans="1:14">
      <c r="A4704" s="958" t="s">
        <v>358</v>
      </c>
      <c r="B4704" s="958">
        <v>43</v>
      </c>
      <c r="C4704" s="958" t="s">
        <v>2578</v>
      </c>
      <c r="D4704" s="957" t="s">
        <v>2577</v>
      </c>
      <c r="E4704" s="956">
        <v>510906</v>
      </c>
      <c r="F4704" s="955"/>
      <c r="L4704" s="954"/>
      <c r="M4704" s="952"/>
      <c r="N4704" s="952"/>
    </row>
    <row r="4705" spans="1:14">
      <c r="A4705" s="958" t="s">
        <v>358</v>
      </c>
      <c r="B4705" s="958">
        <v>43</v>
      </c>
      <c r="C4705" s="958" t="s">
        <v>2576</v>
      </c>
      <c r="D4705" s="957" t="s">
        <v>2575</v>
      </c>
      <c r="E4705" s="956">
        <v>2891</v>
      </c>
      <c r="F4705" s="955"/>
      <c r="L4705" s="954"/>
      <c r="M4705" s="952"/>
      <c r="N4705" s="952"/>
    </row>
    <row r="4706" spans="1:14">
      <c r="A4706" s="958" t="s">
        <v>358</v>
      </c>
      <c r="B4706" s="958">
        <v>43</v>
      </c>
      <c r="C4706" s="958" t="s">
        <v>2574</v>
      </c>
      <c r="D4706" s="957" t="s">
        <v>2573</v>
      </c>
      <c r="E4706" s="956">
        <v>6091</v>
      </c>
      <c r="F4706" s="955"/>
      <c r="L4706" s="954"/>
      <c r="M4706" s="952"/>
      <c r="N4706" s="952"/>
    </row>
    <row r="4707" spans="1:14">
      <c r="A4707" s="958" t="s">
        <v>358</v>
      </c>
      <c r="B4707" s="958">
        <v>43</v>
      </c>
      <c r="C4707" s="958" t="s">
        <v>2572</v>
      </c>
      <c r="D4707" s="957" t="s">
        <v>2571</v>
      </c>
      <c r="E4707" s="956">
        <v>4691</v>
      </c>
      <c r="F4707" s="955"/>
      <c r="L4707" s="954"/>
      <c r="M4707" s="952"/>
      <c r="N4707" s="952"/>
    </row>
    <row r="4708" spans="1:14">
      <c r="A4708" s="958" t="s">
        <v>358</v>
      </c>
      <c r="B4708" s="958">
        <v>43</v>
      </c>
      <c r="C4708" s="958" t="s">
        <v>2570</v>
      </c>
      <c r="D4708" s="957" t="s">
        <v>2569</v>
      </c>
      <c r="E4708" s="956">
        <v>2311</v>
      </c>
      <c r="F4708" s="955"/>
      <c r="L4708" s="954"/>
      <c r="M4708" s="952"/>
      <c r="N4708" s="952"/>
    </row>
    <row r="4709" spans="1:14">
      <c r="A4709" s="958" t="s">
        <v>358</v>
      </c>
      <c r="B4709" s="958">
        <v>43</v>
      </c>
      <c r="C4709" s="958" t="s">
        <v>2568</v>
      </c>
      <c r="D4709" s="957" t="s">
        <v>2567</v>
      </c>
      <c r="E4709" s="956">
        <v>12239</v>
      </c>
      <c r="F4709" s="955"/>
      <c r="L4709" s="954"/>
      <c r="M4709" s="952"/>
      <c r="N4709" s="952"/>
    </row>
    <row r="4710" spans="1:14">
      <c r="A4710" s="958" t="s">
        <v>358</v>
      </c>
      <c r="B4710" s="958">
        <v>43</v>
      </c>
      <c r="C4710" s="958" t="s">
        <v>2566</v>
      </c>
      <c r="D4710" s="957" t="s">
        <v>2565</v>
      </c>
      <c r="E4710" s="956">
        <v>14133</v>
      </c>
      <c r="F4710" s="955"/>
      <c r="L4710" s="954"/>
      <c r="M4710" s="952"/>
      <c r="N4710" s="952"/>
    </row>
    <row r="4711" spans="1:14">
      <c r="A4711" s="958" t="s">
        <v>358</v>
      </c>
      <c r="B4711" s="958">
        <v>43</v>
      </c>
      <c r="C4711" s="958" t="s">
        <v>2564</v>
      </c>
      <c r="D4711" s="957" t="s">
        <v>2563</v>
      </c>
      <c r="E4711" s="956">
        <v>9269</v>
      </c>
      <c r="F4711" s="955"/>
      <c r="L4711" s="954"/>
      <c r="M4711" s="952"/>
      <c r="N4711" s="952"/>
    </row>
    <row r="4712" spans="1:14">
      <c r="A4712" s="958" t="s">
        <v>358</v>
      </c>
      <c r="B4712" s="958">
        <v>43</v>
      </c>
      <c r="C4712" s="958" t="s">
        <v>2562</v>
      </c>
      <c r="D4712" s="957" t="s">
        <v>2561</v>
      </c>
      <c r="E4712" s="956">
        <v>40789</v>
      </c>
      <c r="F4712" s="955"/>
      <c r="L4712" s="954"/>
      <c r="M4712" s="952"/>
      <c r="N4712" s="952"/>
    </row>
    <row r="4713" spans="1:14">
      <c r="A4713" s="958" t="s">
        <v>358</v>
      </c>
      <c r="B4713" s="958">
        <v>43</v>
      </c>
      <c r="C4713" s="958" t="s">
        <v>2560</v>
      </c>
      <c r="D4713" s="957" t="s">
        <v>2559</v>
      </c>
      <c r="E4713" s="956">
        <v>3279</v>
      </c>
      <c r="F4713" s="955"/>
      <c r="L4713" s="954"/>
      <c r="M4713" s="952"/>
      <c r="N4713" s="952"/>
    </row>
    <row r="4714" spans="1:14">
      <c r="A4714" s="958" t="s">
        <v>358</v>
      </c>
      <c r="B4714" s="958">
        <v>43</v>
      </c>
      <c r="C4714" s="958" t="s">
        <v>2558</v>
      </c>
      <c r="D4714" s="957" t="s">
        <v>2557</v>
      </c>
      <c r="E4714" s="956">
        <v>3756</v>
      </c>
      <c r="F4714" s="955"/>
      <c r="L4714" s="954"/>
      <c r="M4714" s="952"/>
      <c r="N4714" s="952"/>
    </row>
    <row r="4715" spans="1:14">
      <c r="A4715" s="958" t="s">
        <v>358</v>
      </c>
      <c r="B4715" s="958">
        <v>43</v>
      </c>
      <c r="C4715" s="958" t="s">
        <v>2556</v>
      </c>
      <c r="D4715" s="957" t="s">
        <v>2555</v>
      </c>
      <c r="E4715" s="956">
        <v>6704</v>
      </c>
      <c r="F4715" s="955"/>
      <c r="L4715" s="954"/>
      <c r="M4715" s="952"/>
      <c r="N4715" s="952"/>
    </row>
    <row r="4716" spans="1:14">
      <c r="A4716" s="958" t="s">
        <v>358</v>
      </c>
      <c r="B4716" s="958">
        <v>43</v>
      </c>
      <c r="C4716" s="958" t="s">
        <v>2554</v>
      </c>
      <c r="D4716" s="957" t="s">
        <v>2553</v>
      </c>
      <c r="E4716" s="956">
        <v>5441</v>
      </c>
      <c r="F4716" s="955"/>
      <c r="L4716" s="954"/>
      <c r="M4716" s="952"/>
      <c r="N4716" s="952"/>
    </row>
    <row r="4717" spans="1:14">
      <c r="A4717" s="958" t="s">
        <v>358</v>
      </c>
      <c r="B4717" s="958">
        <v>43</v>
      </c>
      <c r="C4717" s="958" t="s">
        <v>2552</v>
      </c>
      <c r="D4717" s="957" t="s">
        <v>2551</v>
      </c>
      <c r="E4717" s="956">
        <v>16254</v>
      </c>
      <c r="F4717" s="955"/>
      <c r="L4717" s="954"/>
      <c r="M4717" s="952"/>
      <c r="N4717" s="952"/>
    </row>
    <row r="4718" spans="1:14">
      <c r="A4718" s="958" t="s">
        <v>358</v>
      </c>
      <c r="B4718" s="958">
        <v>43</v>
      </c>
      <c r="C4718" s="958" t="s">
        <v>2550</v>
      </c>
      <c r="D4718" s="957" t="s">
        <v>2549</v>
      </c>
      <c r="E4718" s="956">
        <v>4747</v>
      </c>
      <c r="F4718" s="955"/>
      <c r="L4718" s="954"/>
      <c r="M4718" s="952"/>
      <c r="N4718" s="952"/>
    </row>
    <row r="4719" spans="1:14">
      <c r="A4719" s="958" t="s">
        <v>358</v>
      </c>
      <c r="B4719" s="958">
        <v>43</v>
      </c>
      <c r="C4719" s="958" t="s">
        <v>2548</v>
      </c>
      <c r="D4719" s="957" t="s">
        <v>2547</v>
      </c>
      <c r="E4719" s="956">
        <v>2438</v>
      </c>
      <c r="F4719" s="955"/>
      <c r="L4719" s="954"/>
      <c r="M4719" s="952"/>
      <c r="N4719" s="952"/>
    </row>
    <row r="4720" spans="1:14">
      <c r="A4720" s="958" t="s">
        <v>358</v>
      </c>
      <c r="B4720" s="958">
        <v>43</v>
      </c>
      <c r="C4720" s="958" t="s">
        <v>2546</v>
      </c>
      <c r="D4720" s="957" t="s">
        <v>2545</v>
      </c>
      <c r="E4720" s="956">
        <v>3175</v>
      </c>
      <c r="F4720" s="955"/>
      <c r="L4720" s="954"/>
      <c r="M4720" s="952"/>
      <c r="N4720" s="952"/>
    </row>
    <row r="4721" spans="1:14">
      <c r="A4721" s="958" t="s">
        <v>358</v>
      </c>
      <c r="B4721" s="958">
        <v>43</v>
      </c>
      <c r="C4721" s="958" t="s">
        <v>2544</v>
      </c>
      <c r="D4721" s="957" t="s">
        <v>2543</v>
      </c>
      <c r="E4721" s="956">
        <v>6753</v>
      </c>
      <c r="F4721" s="955"/>
      <c r="L4721" s="954"/>
      <c r="M4721" s="952"/>
      <c r="N4721" s="952"/>
    </row>
    <row r="4722" spans="1:14">
      <c r="A4722" s="958" t="s">
        <v>358</v>
      </c>
      <c r="B4722" s="958">
        <v>43</v>
      </c>
      <c r="C4722" s="958" t="s">
        <v>2542</v>
      </c>
      <c r="D4722" s="957" t="s">
        <v>2541</v>
      </c>
      <c r="E4722" s="956">
        <v>9911</v>
      </c>
      <c r="F4722" s="955"/>
      <c r="L4722" s="954"/>
      <c r="M4722" s="952"/>
      <c r="N4722" s="952"/>
    </row>
    <row r="4723" spans="1:14">
      <c r="A4723" s="958" t="s">
        <v>358</v>
      </c>
      <c r="B4723" s="958">
        <v>43</v>
      </c>
      <c r="C4723" s="958" t="s">
        <v>2540</v>
      </c>
      <c r="D4723" s="957" t="s">
        <v>2539</v>
      </c>
      <c r="E4723" s="956">
        <v>1501</v>
      </c>
      <c r="F4723" s="955"/>
      <c r="L4723" s="954"/>
      <c r="M4723" s="952"/>
      <c r="N4723" s="952"/>
    </row>
    <row r="4724" spans="1:14">
      <c r="A4724" s="958" t="s">
        <v>358</v>
      </c>
      <c r="B4724" s="958">
        <v>43</v>
      </c>
      <c r="C4724" s="958" t="s">
        <v>2538</v>
      </c>
      <c r="D4724" s="957" t="s">
        <v>2537</v>
      </c>
      <c r="E4724" s="956">
        <v>2306</v>
      </c>
      <c r="F4724" s="955"/>
      <c r="L4724" s="954"/>
      <c r="M4724" s="952"/>
      <c r="N4724" s="952"/>
    </row>
    <row r="4725" spans="1:14">
      <c r="A4725" s="958" t="s">
        <v>358</v>
      </c>
      <c r="B4725" s="958">
        <v>43</v>
      </c>
      <c r="C4725" s="958" t="s">
        <v>2536</v>
      </c>
      <c r="D4725" s="957" t="s">
        <v>2535</v>
      </c>
      <c r="E4725" s="956">
        <v>2519</v>
      </c>
      <c r="F4725" s="955"/>
      <c r="L4725" s="954"/>
      <c r="M4725" s="952"/>
      <c r="N4725" s="952"/>
    </row>
    <row r="4726" spans="1:14">
      <c r="A4726" s="958" t="s">
        <v>358</v>
      </c>
      <c r="B4726" s="958">
        <v>43</v>
      </c>
      <c r="C4726" s="958" t="s">
        <v>2534</v>
      </c>
      <c r="D4726" s="957" t="s">
        <v>2533</v>
      </c>
      <c r="E4726" s="956">
        <v>7325</v>
      </c>
      <c r="F4726" s="955"/>
      <c r="L4726" s="954"/>
      <c r="M4726" s="952"/>
      <c r="N4726" s="952"/>
    </row>
    <row r="4727" spans="1:14">
      <c r="A4727" s="958" t="s">
        <v>358</v>
      </c>
      <c r="B4727" s="958">
        <v>43</v>
      </c>
      <c r="C4727" s="958" t="s">
        <v>2532</v>
      </c>
      <c r="D4727" s="957" t="s">
        <v>2531</v>
      </c>
      <c r="E4727" s="956">
        <v>1628</v>
      </c>
      <c r="F4727" s="955"/>
      <c r="L4727" s="954"/>
      <c r="M4727" s="952"/>
      <c r="N4727" s="952"/>
    </row>
    <row r="4728" spans="1:14">
      <c r="A4728" s="958" t="s">
        <v>358</v>
      </c>
      <c r="B4728" s="958">
        <v>43</v>
      </c>
      <c r="C4728" s="958" t="s">
        <v>2530</v>
      </c>
      <c r="D4728" s="957" t="s">
        <v>2529</v>
      </c>
      <c r="E4728" s="956">
        <v>3853</v>
      </c>
      <c r="F4728" s="955"/>
      <c r="L4728" s="954"/>
      <c r="M4728" s="952"/>
      <c r="N4728" s="952"/>
    </row>
    <row r="4729" spans="1:14">
      <c r="A4729" s="958" t="s">
        <v>358</v>
      </c>
      <c r="B4729" s="958">
        <v>43</v>
      </c>
      <c r="C4729" s="958" t="s">
        <v>2528</v>
      </c>
      <c r="D4729" s="957" t="s">
        <v>2527</v>
      </c>
      <c r="E4729" s="956">
        <v>2756</v>
      </c>
      <c r="F4729" s="955"/>
      <c r="L4729" s="954"/>
      <c r="M4729" s="952"/>
      <c r="N4729" s="952"/>
    </row>
    <row r="4730" spans="1:14">
      <c r="A4730" s="958" t="s">
        <v>358</v>
      </c>
      <c r="B4730" s="958">
        <v>43</v>
      </c>
      <c r="C4730" s="958" t="s">
        <v>2526</v>
      </c>
      <c r="D4730" s="957" t="s">
        <v>2525</v>
      </c>
      <c r="E4730" s="956">
        <v>13448</v>
      </c>
      <c r="F4730" s="955"/>
      <c r="L4730" s="954"/>
      <c r="M4730" s="952"/>
      <c r="N4730" s="952"/>
    </row>
    <row r="4731" spans="1:14">
      <c r="A4731" s="958" t="s">
        <v>358</v>
      </c>
      <c r="B4731" s="958">
        <v>43</v>
      </c>
      <c r="C4731" s="958" t="s">
        <v>2524</v>
      </c>
      <c r="D4731" s="957" t="s">
        <v>2523</v>
      </c>
      <c r="E4731" s="956">
        <v>8009</v>
      </c>
      <c r="F4731" s="955"/>
      <c r="L4731" s="954"/>
      <c r="M4731" s="952"/>
      <c r="N4731" s="952"/>
    </row>
    <row r="4732" spans="1:14">
      <c r="A4732" s="958" t="s">
        <v>358</v>
      </c>
      <c r="B4732" s="958">
        <v>43</v>
      </c>
      <c r="C4732" s="958" t="s">
        <v>2522</v>
      </c>
      <c r="D4732" s="957" t="s">
        <v>2521</v>
      </c>
      <c r="E4732" s="956">
        <v>2847</v>
      </c>
      <c r="F4732" s="955"/>
      <c r="L4732" s="954"/>
      <c r="M4732" s="952"/>
      <c r="N4732" s="952"/>
    </row>
    <row r="4733" spans="1:14">
      <c r="A4733" s="958" t="s">
        <v>358</v>
      </c>
      <c r="B4733" s="958">
        <v>43</v>
      </c>
      <c r="C4733" s="958" t="s">
        <v>2520</v>
      </c>
      <c r="D4733" s="957" t="s">
        <v>2519</v>
      </c>
      <c r="E4733" s="956">
        <v>60299</v>
      </c>
      <c r="F4733" s="955"/>
      <c r="L4733" s="954"/>
      <c r="M4733" s="952"/>
      <c r="N4733" s="952"/>
    </row>
    <row r="4734" spans="1:14">
      <c r="A4734" s="958" t="s">
        <v>358</v>
      </c>
      <c r="B4734" s="958">
        <v>43</v>
      </c>
      <c r="C4734" s="958" t="s">
        <v>2518</v>
      </c>
      <c r="D4734" s="957" t="s">
        <v>2517</v>
      </c>
      <c r="E4734" s="956">
        <v>1833</v>
      </c>
      <c r="F4734" s="955"/>
      <c r="L4734" s="954"/>
      <c r="M4734" s="952"/>
      <c r="N4734" s="952"/>
    </row>
    <row r="4735" spans="1:14">
      <c r="A4735" s="958" t="s">
        <v>358</v>
      </c>
      <c r="B4735" s="958">
        <v>43</v>
      </c>
      <c r="C4735" s="958" t="s">
        <v>2516</v>
      </c>
      <c r="D4735" s="957" t="s">
        <v>2515</v>
      </c>
      <c r="E4735" s="956">
        <v>12348</v>
      </c>
      <c r="F4735" s="955"/>
      <c r="L4735" s="954"/>
      <c r="M4735" s="952"/>
      <c r="N4735" s="952"/>
    </row>
    <row r="4736" spans="1:14">
      <c r="A4736" s="958" t="s">
        <v>358</v>
      </c>
      <c r="B4736" s="958">
        <v>43</v>
      </c>
      <c r="C4736" s="958" t="s">
        <v>2514</v>
      </c>
      <c r="D4736" s="957" t="s">
        <v>2513</v>
      </c>
      <c r="E4736" s="956">
        <v>4740</v>
      </c>
      <c r="F4736" s="955"/>
      <c r="L4736" s="954"/>
      <c r="M4736" s="952"/>
      <c r="N4736" s="952"/>
    </row>
    <row r="4737" spans="1:14">
      <c r="A4737" s="958" t="s">
        <v>358</v>
      </c>
      <c r="B4737" s="958">
        <v>43</v>
      </c>
      <c r="C4737" s="958" t="s">
        <v>2512</v>
      </c>
      <c r="D4737" s="957" t="s">
        <v>2511</v>
      </c>
      <c r="E4737" s="956">
        <v>2805</v>
      </c>
      <c r="F4737" s="955"/>
      <c r="L4737" s="954"/>
      <c r="M4737" s="952"/>
      <c r="N4737" s="952"/>
    </row>
    <row r="4738" spans="1:14">
      <c r="A4738" s="958" t="s">
        <v>358</v>
      </c>
      <c r="B4738" s="958">
        <v>43</v>
      </c>
      <c r="C4738" s="958" t="s">
        <v>2510</v>
      </c>
      <c r="D4738" s="957" t="s">
        <v>2509</v>
      </c>
      <c r="E4738" s="956">
        <v>2427</v>
      </c>
      <c r="F4738" s="955"/>
      <c r="L4738" s="954"/>
      <c r="M4738" s="952"/>
      <c r="N4738" s="952"/>
    </row>
    <row r="4739" spans="1:14">
      <c r="A4739" s="958" t="s">
        <v>358</v>
      </c>
      <c r="B4739" s="958">
        <v>43</v>
      </c>
      <c r="C4739" s="958" t="s">
        <v>2508</v>
      </c>
      <c r="D4739" s="957" t="s">
        <v>2507</v>
      </c>
      <c r="E4739" s="956">
        <v>3014</v>
      </c>
      <c r="F4739" s="955"/>
      <c r="L4739" s="954"/>
      <c r="M4739" s="952"/>
      <c r="N4739" s="952"/>
    </row>
    <row r="4740" spans="1:14">
      <c r="A4740" s="958" t="s">
        <v>358</v>
      </c>
      <c r="B4740" s="958">
        <v>43</v>
      </c>
      <c r="C4740" s="958" t="s">
        <v>2506</v>
      </c>
      <c r="D4740" s="957" t="s">
        <v>2505</v>
      </c>
      <c r="E4740" s="956">
        <v>32671</v>
      </c>
      <c r="F4740" s="955"/>
      <c r="L4740" s="954"/>
      <c r="M4740" s="952"/>
      <c r="N4740" s="952"/>
    </row>
    <row r="4741" spans="1:14">
      <c r="A4741" s="958" t="s">
        <v>358</v>
      </c>
      <c r="B4741" s="958">
        <v>43</v>
      </c>
      <c r="C4741" s="958" t="s">
        <v>2504</v>
      </c>
      <c r="D4741" s="957" t="s">
        <v>2503</v>
      </c>
      <c r="E4741" s="956">
        <v>2026</v>
      </c>
      <c r="F4741" s="955"/>
      <c r="L4741" s="954"/>
      <c r="M4741" s="952"/>
      <c r="N4741" s="952"/>
    </row>
    <row r="4742" spans="1:14">
      <c r="A4742" s="958" t="s">
        <v>358</v>
      </c>
      <c r="B4742" s="958">
        <v>43</v>
      </c>
      <c r="C4742" s="958" t="s">
        <v>2502</v>
      </c>
      <c r="D4742" s="957" t="s">
        <v>2501</v>
      </c>
      <c r="E4742" s="956">
        <v>3400</v>
      </c>
      <c r="F4742" s="955"/>
      <c r="L4742" s="954"/>
      <c r="M4742" s="952"/>
      <c r="N4742" s="952"/>
    </row>
    <row r="4743" spans="1:14">
      <c r="A4743" s="958" t="s">
        <v>358</v>
      </c>
      <c r="B4743" s="958">
        <v>43</v>
      </c>
      <c r="C4743" s="958" t="s">
        <v>2500</v>
      </c>
      <c r="D4743" s="957" t="s">
        <v>2499</v>
      </c>
      <c r="E4743" s="956">
        <v>15414</v>
      </c>
      <c r="F4743" s="955"/>
      <c r="L4743" s="954"/>
      <c r="M4743" s="952"/>
      <c r="N4743" s="952"/>
    </row>
    <row r="4744" spans="1:14">
      <c r="A4744" s="958" t="s">
        <v>358</v>
      </c>
      <c r="B4744" s="958">
        <v>43</v>
      </c>
      <c r="C4744" s="958" t="s">
        <v>2498</v>
      </c>
      <c r="D4744" s="957" t="s">
        <v>2497</v>
      </c>
      <c r="E4744" s="956">
        <v>2534</v>
      </c>
      <c r="F4744" s="955"/>
      <c r="L4744" s="954"/>
      <c r="M4744" s="952"/>
      <c r="N4744" s="952"/>
    </row>
    <row r="4745" spans="1:14">
      <c r="A4745" s="958" t="s">
        <v>358</v>
      </c>
      <c r="B4745" s="958">
        <v>43</v>
      </c>
      <c r="C4745" s="958" t="s">
        <v>2496</v>
      </c>
      <c r="D4745" s="957" t="s">
        <v>2495</v>
      </c>
      <c r="E4745" s="956">
        <v>38461</v>
      </c>
      <c r="F4745" s="955"/>
      <c r="L4745" s="954"/>
      <c r="M4745" s="952"/>
      <c r="N4745" s="952"/>
    </row>
    <row r="4746" spans="1:14">
      <c r="A4746" s="958" t="s">
        <v>358</v>
      </c>
      <c r="B4746" s="958">
        <v>43</v>
      </c>
      <c r="C4746" s="958" t="s">
        <v>2494</v>
      </c>
      <c r="D4746" s="957" t="s">
        <v>2493</v>
      </c>
      <c r="E4746" s="956">
        <v>3041</v>
      </c>
      <c r="F4746" s="955"/>
      <c r="L4746" s="954"/>
      <c r="M4746" s="952"/>
      <c r="N4746" s="952"/>
    </row>
    <row r="4747" spans="1:14">
      <c r="A4747" s="958" t="s">
        <v>358</v>
      </c>
      <c r="B4747" s="958">
        <v>43</v>
      </c>
      <c r="C4747" s="958" t="s">
        <v>2492</v>
      </c>
      <c r="D4747" s="957" t="s">
        <v>2491</v>
      </c>
      <c r="E4747" s="956">
        <v>4549</v>
      </c>
      <c r="F4747" s="955"/>
      <c r="L4747" s="954"/>
      <c r="M4747" s="952"/>
      <c r="N4747" s="952"/>
    </row>
    <row r="4748" spans="1:14">
      <c r="A4748" s="958" t="s">
        <v>358</v>
      </c>
      <c r="B4748" s="958">
        <v>43</v>
      </c>
      <c r="C4748" s="958" t="s">
        <v>2490</v>
      </c>
      <c r="D4748" s="957" t="s">
        <v>2489</v>
      </c>
      <c r="E4748" s="956">
        <v>1983</v>
      </c>
      <c r="F4748" s="955"/>
      <c r="L4748" s="954"/>
      <c r="M4748" s="952"/>
      <c r="N4748" s="952"/>
    </row>
    <row r="4749" spans="1:14">
      <c r="A4749" s="958" t="s">
        <v>358</v>
      </c>
      <c r="B4749" s="958">
        <v>43</v>
      </c>
      <c r="C4749" s="958" t="s">
        <v>2488</v>
      </c>
      <c r="D4749" s="957" t="s">
        <v>2487</v>
      </c>
      <c r="E4749" s="956">
        <v>41285</v>
      </c>
      <c r="F4749" s="955"/>
      <c r="L4749" s="954"/>
      <c r="M4749" s="952"/>
      <c r="N4749" s="952"/>
    </row>
    <row r="4750" spans="1:14">
      <c r="A4750" s="958" t="s">
        <v>358</v>
      </c>
      <c r="B4750" s="958">
        <v>43</v>
      </c>
      <c r="C4750" s="958" t="s">
        <v>2486</v>
      </c>
      <c r="D4750" s="957" t="s">
        <v>2485</v>
      </c>
      <c r="E4750" s="956">
        <v>22706</v>
      </c>
      <c r="F4750" s="955"/>
      <c r="L4750" s="954"/>
      <c r="M4750" s="952"/>
      <c r="N4750" s="952"/>
    </row>
    <row r="4751" spans="1:14">
      <c r="A4751" s="958" t="s">
        <v>358</v>
      </c>
      <c r="B4751" s="958">
        <v>43</v>
      </c>
      <c r="C4751" s="958" t="s">
        <v>2484</v>
      </c>
      <c r="D4751" s="957" t="s">
        <v>2483</v>
      </c>
      <c r="E4751" s="956">
        <v>25877</v>
      </c>
      <c r="F4751" s="955"/>
      <c r="L4751" s="954"/>
      <c r="M4751" s="952"/>
      <c r="N4751" s="952"/>
    </row>
    <row r="4752" spans="1:14">
      <c r="A4752" s="958" t="s">
        <v>358</v>
      </c>
      <c r="B4752" s="958">
        <v>43</v>
      </c>
      <c r="C4752" s="958" t="s">
        <v>2482</v>
      </c>
      <c r="D4752" s="957" t="s">
        <v>2481</v>
      </c>
      <c r="E4752" s="956">
        <v>1034</v>
      </c>
      <c r="F4752" s="955"/>
      <c r="L4752" s="954"/>
      <c r="M4752" s="952"/>
      <c r="N4752" s="952"/>
    </row>
    <row r="4753" spans="1:14">
      <c r="A4753" s="958" t="s">
        <v>358</v>
      </c>
      <c r="B4753" s="958">
        <v>43</v>
      </c>
      <c r="C4753" s="958" t="s">
        <v>2480</v>
      </c>
      <c r="D4753" s="957" t="s">
        <v>2479</v>
      </c>
      <c r="E4753" s="956">
        <v>8475</v>
      </c>
      <c r="F4753" s="955"/>
      <c r="L4753" s="954"/>
      <c r="M4753" s="952"/>
      <c r="N4753" s="952"/>
    </row>
    <row r="4754" spans="1:14">
      <c r="A4754" s="958" t="s">
        <v>358</v>
      </c>
      <c r="B4754" s="958">
        <v>43</v>
      </c>
      <c r="C4754" s="958" t="s">
        <v>2478</v>
      </c>
      <c r="D4754" s="957" t="s">
        <v>2477</v>
      </c>
      <c r="E4754" s="956">
        <v>2792</v>
      </c>
      <c r="F4754" s="955"/>
      <c r="L4754" s="954"/>
      <c r="M4754" s="952"/>
      <c r="N4754" s="952"/>
    </row>
    <row r="4755" spans="1:14">
      <c r="A4755" s="958" t="s">
        <v>358</v>
      </c>
      <c r="B4755" s="958">
        <v>43</v>
      </c>
      <c r="C4755" s="958" t="s">
        <v>2476</v>
      </c>
      <c r="D4755" s="957" t="s">
        <v>2475</v>
      </c>
      <c r="E4755" s="956">
        <v>2991</v>
      </c>
      <c r="F4755" s="955"/>
      <c r="L4755" s="954"/>
      <c r="M4755" s="952"/>
      <c r="N4755" s="952"/>
    </row>
    <row r="4756" spans="1:14">
      <c r="A4756" s="958" t="s">
        <v>358</v>
      </c>
      <c r="B4756" s="958">
        <v>43</v>
      </c>
      <c r="C4756" s="958" t="s">
        <v>2474</v>
      </c>
      <c r="D4756" s="957" t="s">
        <v>2473</v>
      </c>
      <c r="E4756" s="956">
        <v>105862</v>
      </c>
      <c r="F4756" s="955"/>
      <c r="L4756" s="954"/>
      <c r="M4756" s="952"/>
      <c r="N4756" s="952"/>
    </row>
    <row r="4757" spans="1:14">
      <c r="A4757" s="958" t="s">
        <v>358</v>
      </c>
      <c r="B4757" s="958">
        <v>43</v>
      </c>
      <c r="C4757" s="958" t="s">
        <v>2472</v>
      </c>
      <c r="D4757" s="957" t="s">
        <v>2471</v>
      </c>
      <c r="E4757" s="956">
        <v>3168</v>
      </c>
      <c r="F4757" s="955"/>
      <c r="L4757" s="954"/>
      <c r="M4757" s="952"/>
      <c r="N4757" s="952"/>
    </row>
    <row r="4758" spans="1:14">
      <c r="A4758" s="958" t="s">
        <v>358</v>
      </c>
      <c r="B4758" s="958">
        <v>43</v>
      </c>
      <c r="C4758" s="958" t="s">
        <v>2470</v>
      </c>
      <c r="D4758" s="957" t="s">
        <v>2469</v>
      </c>
      <c r="E4758" s="956">
        <v>6821</v>
      </c>
      <c r="F4758" s="955"/>
      <c r="L4758" s="954"/>
      <c r="M4758" s="952"/>
      <c r="N4758" s="952"/>
    </row>
    <row r="4759" spans="1:14">
      <c r="A4759" s="958" t="s">
        <v>358</v>
      </c>
      <c r="B4759" s="958">
        <v>43</v>
      </c>
      <c r="C4759" s="958" t="s">
        <v>2468</v>
      </c>
      <c r="D4759" s="957" t="s">
        <v>2467</v>
      </c>
      <c r="E4759" s="956">
        <v>4859</v>
      </c>
      <c r="F4759" s="955"/>
      <c r="L4759" s="954"/>
      <c r="M4759" s="952"/>
      <c r="N4759" s="952"/>
    </row>
    <row r="4760" spans="1:14">
      <c r="A4760" s="958" t="s">
        <v>358</v>
      </c>
      <c r="B4760" s="958">
        <v>43</v>
      </c>
      <c r="C4760" s="958" t="s">
        <v>2466</v>
      </c>
      <c r="D4760" s="957" t="s">
        <v>2465</v>
      </c>
      <c r="E4760" s="956">
        <v>6912</v>
      </c>
      <c r="F4760" s="955"/>
      <c r="L4760" s="954"/>
      <c r="M4760" s="952"/>
      <c r="N4760" s="952"/>
    </row>
    <row r="4761" spans="1:14">
      <c r="A4761" s="958" t="s">
        <v>358</v>
      </c>
      <c r="B4761" s="958">
        <v>43</v>
      </c>
      <c r="C4761" s="958" t="s">
        <v>2464</v>
      </c>
      <c r="D4761" s="957" t="s">
        <v>2463</v>
      </c>
      <c r="E4761" s="956">
        <v>3282</v>
      </c>
      <c r="F4761" s="955"/>
      <c r="L4761" s="954"/>
      <c r="M4761" s="952"/>
      <c r="N4761" s="952"/>
    </row>
    <row r="4762" spans="1:14">
      <c r="A4762" s="958" t="s">
        <v>358</v>
      </c>
      <c r="B4762" s="958">
        <v>43</v>
      </c>
      <c r="C4762" s="958" t="s">
        <v>2462</v>
      </c>
      <c r="D4762" s="957" t="s">
        <v>2461</v>
      </c>
      <c r="E4762" s="956">
        <v>2926</v>
      </c>
      <c r="F4762" s="955"/>
      <c r="L4762" s="954"/>
      <c r="M4762" s="952"/>
      <c r="N4762" s="952"/>
    </row>
    <row r="4763" spans="1:14">
      <c r="A4763" s="958" t="s">
        <v>358</v>
      </c>
      <c r="B4763" s="958">
        <v>43</v>
      </c>
      <c r="C4763" s="958" t="s">
        <v>2460</v>
      </c>
      <c r="D4763" s="957" t="s">
        <v>2459</v>
      </c>
      <c r="E4763" s="956">
        <v>15588</v>
      </c>
      <c r="F4763" s="955"/>
      <c r="L4763" s="954"/>
      <c r="M4763" s="952"/>
      <c r="N4763" s="952"/>
    </row>
    <row r="4764" spans="1:14">
      <c r="A4764" s="958" t="s">
        <v>358</v>
      </c>
      <c r="B4764" s="958">
        <v>43</v>
      </c>
      <c r="C4764" s="958" t="s">
        <v>2458</v>
      </c>
      <c r="D4764" s="957" t="s">
        <v>2457</v>
      </c>
      <c r="E4764" s="956">
        <v>5958</v>
      </c>
      <c r="F4764" s="955"/>
      <c r="L4764" s="954"/>
      <c r="M4764" s="952"/>
      <c r="N4764" s="952"/>
    </row>
    <row r="4765" spans="1:14">
      <c r="A4765" s="958" t="s">
        <v>358</v>
      </c>
      <c r="B4765" s="958">
        <v>43</v>
      </c>
      <c r="C4765" s="958" t="s">
        <v>2456</v>
      </c>
      <c r="D4765" s="957" t="s">
        <v>2455</v>
      </c>
      <c r="E4765" s="956">
        <v>50022</v>
      </c>
      <c r="F4765" s="955"/>
      <c r="L4765" s="954"/>
      <c r="M4765" s="952"/>
      <c r="N4765" s="952"/>
    </row>
    <row r="4766" spans="1:14">
      <c r="A4766" s="958" t="s">
        <v>358</v>
      </c>
      <c r="B4766" s="958">
        <v>43</v>
      </c>
      <c r="C4766" s="958" t="s">
        <v>2454</v>
      </c>
      <c r="D4766" s="957" t="s">
        <v>2453</v>
      </c>
      <c r="E4766" s="956">
        <v>83202</v>
      </c>
      <c r="F4766" s="955"/>
      <c r="L4766" s="954"/>
      <c r="M4766" s="952"/>
      <c r="N4766" s="952"/>
    </row>
    <row r="4767" spans="1:14">
      <c r="A4767" s="958" t="s">
        <v>358</v>
      </c>
      <c r="B4767" s="958">
        <v>43</v>
      </c>
      <c r="C4767" s="958" t="s">
        <v>2452</v>
      </c>
      <c r="D4767" s="957" t="s">
        <v>2451</v>
      </c>
      <c r="E4767" s="956">
        <v>34116</v>
      </c>
      <c r="F4767" s="955"/>
      <c r="L4767" s="954"/>
      <c r="M4767" s="952"/>
      <c r="N4767" s="952"/>
    </row>
    <row r="4768" spans="1:14">
      <c r="A4768" s="958" t="s">
        <v>358</v>
      </c>
      <c r="B4768" s="958">
        <v>43</v>
      </c>
      <c r="C4768" s="958" t="s">
        <v>2450</v>
      </c>
      <c r="D4768" s="957" t="s">
        <v>2449</v>
      </c>
      <c r="E4768" s="956">
        <v>3655</v>
      </c>
      <c r="F4768" s="955"/>
      <c r="L4768" s="954"/>
      <c r="M4768" s="952"/>
      <c r="N4768" s="952"/>
    </row>
    <row r="4769" spans="1:14">
      <c r="A4769" s="958" t="s">
        <v>358</v>
      </c>
      <c r="B4769" s="958">
        <v>43</v>
      </c>
      <c r="C4769" s="958" t="s">
        <v>2448</v>
      </c>
      <c r="D4769" s="957" t="s">
        <v>2447</v>
      </c>
      <c r="E4769" s="956">
        <v>2396</v>
      </c>
      <c r="F4769" s="955"/>
      <c r="L4769" s="954"/>
      <c r="M4769" s="952"/>
      <c r="N4769" s="952"/>
    </row>
    <row r="4770" spans="1:14">
      <c r="A4770" s="958" t="s">
        <v>358</v>
      </c>
      <c r="B4770" s="958">
        <v>43</v>
      </c>
      <c r="C4770" s="958" t="s">
        <v>2446</v>
      </c>
      <c r="D4770" s="957" t="s">
        <v>2445</v>
      </c>
      <c r="E4770" s="956">
        <v>2731</v>
      </c>
      <c r="F4770" s="955"/>
      <c r="L4770" s="954"/>
      <c r="M4770" s="952"/>
      <c r="N4770" s="952"/>
    </row>
    <row r="4771" spans="1:14">
      <c r="A4771" s="958" t="s">
        <v>358</v>
      </c>
      <c r="B4771" s="958">
        <v>43</v>
      </c>
      <c r="C4771" s="958" t="s">
        <v>2444</v>
      </c>
      <c r="D4771" s="957" t="s">
        <v>2443</v>
      </c>
      <c r="E4771" s="956">
        <v>72331</v>
      </c>
      <c r="F4771" s="955"/>
      <c r="L4771" s="954"/>
      <c r="M4771" s="952"/>
      <c r="N4771" s="952"/>
    </row>
    <row r="4772" spans="1:14">
      <c r="A4772" s="958" t="s">
        <v>358</v>
      </c>
      <c r="B4772" s="958">
        <v>43</v>
      </c>
      <c r="C4772" s="958" t="s">
        <v>2442</v>
      </c>
      <c r="D4772" s="957" t="s">
        <v>2441</v>
      </c>
      <c r="E4772" s="956">
        <v>6677</v>
      </c>
      <c r="F4772" s="955"/>
      <c r="L4772" s="954"/>
      <c r="M4772" s="952"/>
      <c r="N4772" s="952"/>
    </row>
    <row r="4773" spans="1:14">
      <c r="A4773" s="958" t="s">
        <v>358</v>
      </c>
      <c r="B4773" s="958">
        <v>43</v>
      </c>
      <c r="C4773" s="958" t="s">
        <v>2440</v>
      </c>
      <c r="D4773" s="957" t="s">
        <v>2439</v>
      </c>
      <c r="E4773" s="956">
        <v>2315</v>
      </c>
      <c r="F4773" s="955"/>
      <c r="L4773" s="954"/>
      <c r="M4773" s="952"/>
      <c r="N4773" s="952"/>
    </row>
    <row r="4774" spans="1:14">
      <c r="A4774" s="958" t="s">
        <v>358</v>
      </c>
      <c r="B4774" s="958">
        <v>43</v>
      </c>
      <c r="C4774" s="958" t="s">
        <v>2438</v>
      </c>
      <c r="D4774" s="957" t="s">
        <v>2437</v>
      </c>
      <c r="E4774" s="956">
        <v>4533</v>
      </c>
      <c r="F4774" s="955"/>
      <c r="L4774" s="954"/>
      <c r="M4774" s="952"/>
      <c r="N4774" s="952"/>
    </row>
    <row r="4775" spans="1:14">
      <c r="A4775" s="958" t="s">
        <v>358</v>
      </c>
      <c r="B4775" s="958">
        <v>43</v>
      </c>
      <c r="C4775" s="958" t="s">
        <v>2436</v>
      </c>
      <c r="D4775" s="957" t="s">
        <v>2435</v>
      </c>
      <c r="E4775" s="956">
        <v>13547</v>
      </c>
      <c r="F4775" s="955"/>
      <c r="L4775" s="954"/>
      <c r="M4775" s="952"/>
      <c r="N4775" s="952"/>
    </row>
    <row r="4776" spans="1:14">
      <c r="A4776" s="958" t="s">
        <v>358</v>
      </c>
      <c r="B4776" s="958">
        <v>43</v>
      </c>
      <c r="C4776" s="958" t="s">
        <v>2434</v>
      </c>
      <c r="D4776" s="957" t="s">
        <v>2433</v>
      </c>
      <c r="E4776" s="956">
        <v>30745</v>
      </c>
      <c r="F4776" s="955"/>
      <c r="L4776" s="954"/>
      <c r="M4776" s="952"/>
      <c r="N4776" s="952"/>
    </row>
    <row r="4777" spans="1:14">
      <c r="A4777" s="958" t="s">
        <v>358</v>
      </c>
      <c r="B4777" s="958">
        <v>43</v>
      </c>
      <c r="C4777" s="958" t="s">
        <v>2432</v>
      </c>
      <c r="D4777" s="957" t="s">
        <v>2431</v>
      </c>
      <c r="E4777" s="956">
        <v>1766</v>
      </c>
      <c r="F4777" s="955"/>
      <c r="L4777" s="954"/>
      <c r="M4777" s="952"/>
      <c r="N4777" s="952"/>
    </row>
    <row r="4778" spans="1:14">
      <c r="A4778" s="958" t="s">
        <v>358</v>
      </c>
      <c r="B4778" s="958">
        <v>43</v>
      </c>
      <c r="C4778" s="958" t="s">
        <v>2430</v>
      </c>
      <c r="D4778" s="957" t="s">
        <v>2429</v>
      </c>
      <c r="E4778" s="956">
        <v>10304</v>
      </c>
      <c r="F4778" s="955"/>
      <c r="L4778" s="954"/>
      <c r="M4778" s="952"/>
      <c r="N4778" s="952"/>
    </row>
    <row r="4779" spans="1:14">
      <c r="A4779" s="958" t="s">
        <v>358</v>
      </c>
      <c r="B4779" s="958">
        <v>43</v>
      </c>
      <c r="C4779" s="958" t="s">
        <v>2428</v>
      </c>
      <c r="D4779" s="957" t="s">
        <v>2427</v>
      </c>
      <c r="E4779" s="956">
        <v>6664</v>
      </c>
      <c r="F4779" s="955"/>
      <c r="L4779" s="954"/>
      <c r="M4779" s="952"/>
      <c r="N4779" s="952"/>
    </row>
    <row r="4780" spans="1:14">
      <c r="A4780" s="958" t="s">
        <v>358</v>
      </c>
      <c r="B4780" s="958">
        <v>43</v>
      </c>
      <c r="C4780" s="958" t="s">
        <v>2426</v>
      </c>
      <c r="D4780" s="957" t="s">
        <v>2425</v>
      </c>
      <c r="E4780" s="956">
        <v>2412</v>
      </c>
      <c r="F4780" s="955"/>
      <c r="L4780" s="954"/>
      <c r="M4780" s="952"/>
      <c r="N4780" s="952"/>
    </row>
    <row r="4781" spans="1:14">
      <c r="A4781" s="958" t="s">
        <v>358</v>
      </c>
      <c r="B4781" s="958">
        <v>43</v>
      </c>
      <c r="C4781" s="958" t="s">
        <v>2424</v>
      </c>
      <c r="D4781" s="957" t="s">
        <v>2423</v>
      </c>
      <c r="E4781" s="956">
        <v>4320</v>
      </c>
      <c r="F4781" s="955"/>
      <c r="L4781" s="954"/>
      <c r="M4781" s="952"/>
      <c r="N4781" s="952"/>
    </row>
    <row r="4782" spans="1:14">
      <c r="A4782" s="958" t="s">
        <v>358</v>
      </c>
      <c r="B4782" s="958">
        <v>43</v>
      </c>
      <c r="C4782" s="958" t="s">
        <v>2422</v>
      </c>
      <c r="D4782" s="957" t="s">
        <v>2421</v>
      </c>
      <c r="E4782" s="956">
        <v>31313</v>
      </c>
      <c r="F4782" s="955"/>
      <c r="L4782" s="954"/>
      <c r="M4782" s="952"/>
      <c r="N4782" s="952"/>
    </row>
    <row r="4783" spans="1:14">
      <c r="A4783" s="958" t="s">
        <v>358</v>
      </c>
      <c r="B4783" s="958">
        <v>43</v>
      </c>
      <c r="C4783" s="958" t="s">
        <v>2420</v>
      </c>
      <c r="D4783" s="957" t="s">
        <v>2419</v>
      </c>
      <c r="E4783" s="956">
        <v>35070</v>
      </c>
      <c r="F4783" s="955"/>
      <c r="L4783" s="954"/>
      <c r="M4783" s="952"/>
      <c r="N4783" s="952"/>
    </row>
    <row r="4784" spans="1:14">
      <c r="A4784" s="958" t="s">
        <v>358</v>
      </c>
      <c r="B4784" s="958">
        <v>43</v>
      </c>
      <c r="C4784" s="958" t="s">
        <v>2418</v>
      </c>
      <c r="D4784" s="957" t="s">
        <v>2417</v>
      </c>
      <c r="E4784" s="956">
        <v>2924</v>
      </c>
      <c r="F4784" s="955"/>
      <c r="L4784" s="954"/>
      <c r="M4784" s="952"/>
      <c r="N4784" s="952"/>
    </row>
    <row r="4785" spans="1:14">
      <c r="A4785" s="958" t="s">
        <v>358</v>
      </c>
      <c r="B4785" s="958">
        <v>43</v>
      </c>
      <c r="C4785" s="958" t="s">
        <v>2416</v>
      </c>
      <c r="D4785" s="957" t="s">
        <v>2415</v>
      </c>
      <c r="E4785" s="956">
        <v>5534</v>
      </c>
      <c r="F4785" s="955"/>
      <c r="L4785" s="954"/>
      <c r="M4785" s="952"/>
      <c r="N4785" s="952"/>
    </row>
    <row r="4786" spans="1:14">
      <c r="A4786" s="958" t="s">
        <v>358</v>
      </c>
      <c r="B4786" s="958">
        <v>43</v>
      </c>
      <c r="C4786" s="958" t="s">
        <v>2414</v>
      </c>
      <c r="D4786" s="957" t="s">
        <v>2413</v>
      </c>
      <c r="E4786" s="956">
        <v>8385</v>
      </c>
      <c r="F4786" s="955"/>
      <c r="L4786" s="954"/>
      <c r="M4786" s="952"/>
      <c r="N4786" s="952"/>
    </row>
    <row r="4787" spans="1:14">
      <c r="A4787" s="958" t="s">
        <v>358</v>
      </c>
      <c r="B4787" s="958">
        <v>43</v>
      </c>
      <c r="C4787" s="958" t="s">
        <v>2412</v>
      </c>
      <c r="D4787" s="957" t="s">
        <v>2411</v>
      </c>
      <c r="E4787" s="956">
        <v>1634</v>
      </c>
      <c r="F4787" s="955"/>
      <c r="L4787" s="954"/>
      <c r="M4787" s="952"/>
      <c r="N4787" s="952"/>
    </row>
    <row r="4788" spans="1:14">
      <c r="A4788" s="958" t="s">
        <v>358</v>
      </c>
      <c r="B4788" s="958">
        <v>43</v>
      </c>
      <c r="C4788" s="958" t="s">
        <v>2410</v>
      </c>
      <c r="D4788" s="957" t="s">
        <v>2409</v>
      </c>
      <c r="E4788" s="956">
        <v>16212</v>
      </c>
      <c r="F4788" s="955"/>
      <c r="L4788" s="954"/>
      <c r="M4788" s="952"/>
      <c r="N4788" s="952"/>
    </row>
    <row r="4789" spans="1:14">
      <c r="A4789" s="958" t="s">
        <v>358</v>
      </c>
      <c r="B4789" s="958">
        <v>43</v>
      </c>
      <c r="C4789" s="958" t="s">
        <v>2408</v>
      </c>
      <c r="D4789" s="957" t="s">
        <v>2407</v>
      </c>
      <c r="E4789" s="956">
        <v>16004</v>
      </c>
      <c r="F4789" s="955"/>
      <c r="L4789" s="954"/>
      <c r="M4789" s="952"/>
      <c r="N4789" s="952"/>
    </row>
    <row r="4790" spans="1:14">
      <c r="A4790" s="958" t="s">
        <v>358</v>
      </c>
      <c r="B4790" s="958">
        <v>43</v>
      </c>
      <c r="C4790" s="958" t="s">
        <v>2406</v>
      </c>
      <c r="D4790" s="957" t="s">
        <v>2405</v>
      </c>
      <c r="E4790" s="956">
        <v>8098</v>
      </c>
      <c r="F4790" s="955"/>
      <c r="L4790" s="954"/>
      <c r="M4790" s="952"/>
      <c r="N4790" s="952"/>
    </row>
    <row r="4791" spans="1:14">
      <c r="A4791" s="958" t="s">
        <v>358</v>
      </c>
      <c r="B4791" s="958">
        <v>43</v>
      </c>
      <c r="C4791" s="958" t="s">
        <v>2404</v>
      </c>
      <c r="D4791" s="957" t="s">
        <v>2403</v>
      </c>
      <c r="E4791" s="956">
        <v>36232</v>
      </c>
      <c r="F4791" s="955"/>
      <c r="L4791" s="954"/>
      <c r="M4791" s="952"/>
      <c r="N4791" s="952"/>
    </row>
    <row r="4792" spans="1:14">
      <c r="A4792" s="958" t="s">
        <v>358</v>
      </c>
      <c r="B4792" s="958">
        <v>43</v>
      </c>
      <c r="C4792" s="958" t="s">
        <v>2402</v>
      </c>
      <c r="D4792" s="957" t="s">
        <v>2401</v>
      </c>
      <c r="E4792" s="956">
        <v>2082</v>
      </c>
      <c r="F4792" s="955"/>
      <c r="L4792" s="954"/>
      <c r="M4792" s="952"/>
      <c r="N4792" s="952"/>
    </row>
    <row r="4793" spans="1:14">
      <c r="A4793" s="958" t="s">
        <v>358</v>
      </c>
      <c r="B4793" s="958">
        <v>43</v>
      </c>
      <c r="C4793" s="958" t="s">
        <v>2400</v>
      </c>
      <c r="D4793" s="957" t="s">
        <v>2399</v>
      </c>
      <c r="E4793" s="956">
        <v>4325</v>
      </c>
      <c r="F4793" s="955"/>
      <c r="L4793" s="954"/>
      <c r="M4793" s="952"/>
      <c r="N4793" s="952"/>
    </row>
    <row r="4794" spans="1:14">
      <c r="A4794" s="958" t="s">
        <v>358</v>
      </c>
      <c r="B4794" s="958">
        <v>43</v>
      </c>
      <c r="C4794" s="958" t="s">
        <v>2398</v>
      </c>
      <c r="D4794" s="957" t="s">
        <v>2397</v>
      </c>
      <c r="E4794" s="956">
        <v>281519</v>
      </c>
      <c r="F4794" s="955"/>
      <c r="L4794" s="954"/>
      <c r="M4794" s="952"/>
      <c r="N4794" s="952"/>
    </row>
    <row r="4795" spans="1:14">
      <c r="A4795" s="958" t="s">
        <v>358</v>
      </c>
      <c r="B4795" s="958">
        <v>43</v>
      </c>
      <c r="C4795" s="958" t="s">
        <v>2396</v>
      </c>
      <c r="D4795" s="957" t="s">
        <v>2395</v>
      </c>
      <c r="E4795" s="956">
        <v>1503</v>
      </c>
      <c r="F4795" s="955"/>
      <c r="L4795" s="954"/>
      <c r="M4795" s="952"/>
      <c r="N4795" s="952"/>
    </row>
    <row r="4796" spans="1:14">
      <c r="A4796" s="958" t="s">
        <v>358</v>
      </c>
      <c r="B4796" s="958">
        <v>43</v>
      </c>
      <c r="C4796" s="958" t="s">
        <v>2394</v>
      </c>
      <c r="D4796" s="957" t="s">
        <v>2393</v>
      </c>
      <c r="E4796" s="956">
        <v>98143</v>
      </c>
      <c r="F4796" s="955"/>
      <c r="L4796" s="954"/>
      <c r="M4796" s="952"/>
      <c r="N4796" s="952"/>
    </row>
    <row r="4797" spans="1:14">
      <c r="A4797" s="958" t="s">
        <v>358</v>
      </c>
      <c r="B4797" s="958">
        <v>43</v>
      </c>
      <c r="C4797" s="958" t="s">
        <v>2392</v>
      </c>
      <c r="D4797" s="957" t="s">
        <v>2391</v>
      </c>
      <c r="E4797" s="956">
        <v>25727</v>
      </c>
      <c r="F4797" s="955"/>
      <c r="L4797" s="954"/>
      <c r="M4797" s="952"/>
      <c r="N4797" s="952"/>
    </row>
    <row r="4798" spans="1:14">
      <c r="A4798" s="958" t="s">
        <v>358</v>
      </c>
      <c r="B4798" s="958">
        <v>43</v>
      </c>
      <c r="C4798" s="958" t="s">
        <v>2390</v>
      </c>
      <c r="D4798" s="957" t="s">
        <v>2389</v>
      </c>
      <c r="E4798" s="956">
        <v>7537</v>
      </c>
      <c r="F4798" s="955"/>
      <c r="L4798" s="954"/>
      <c r="M4798" s="952"/>
      <c r="N4798" s="952"/>
    </row>
    <row r="4799" spans="1:14">
      <c r="A4799" s="958" t="s">
        <v>358</v>
      </c>
      <c r="B4799" s="958">
        <v>43</v>
      </c>
      <c r="C4799" s="958" t="s">
        <v>2388</v>
      </c>
      <c r="D4799" s="957" t="s">
        <v>2387</v>
      </c>
      <c r="E4799" s="956">
        <v>4866</v>
      </c>
      <c r="F4799" s="955"/>
      <c r="L4799" s="954"/>
      <c r="M4799" s="952"/>
      <c r="N4799" s="952"/>
    </row>
    <row r="4800" spans="1:14">
      <c r="A4800" s="958" t="s">
        <v>358</v>
      </c>
      <c r="B4800" s="958">
        <v>43</v>
      </c>
      <c r="C4800" s="958" t="s">
        <v>2386</v>
      </c>
      <c r="D4800" s="957" t="s">
        <v>2385</v>
      </c>
      <c r="E4800" s="956">
        <v>3018</v>
      </c>
      <c r="F4800" s="955"/>
      <c r="L4800" s="954"/>
      <c r="M4800" s="952"/>
      <c r="N4800" s="952"/>
    </row>
    <row r="4801" spans="1:14">
      <c r="A4801" s="958" t="s">
        <v>358</v>
      </c>
      <c r="B4801" s="958">
        <v>43</v>
      </c>
      <c r="C4801" s="958" t="s">
        <v>2384</v>
      </c>
      <c r="D4801" s="957" t="s">
        <v>2383</v>
      </c>
      <c r="E4801" s="956">
        <v>19329</v>
      </c>
      <c r="F4801" s="955"/>
      <c r="L4801" s="954"/>
      <c r="M4801" s="952"/>
      <c r="N4801" s="952"/>
    </row>
    <row r="4802" spans="1:14">
      <c r="A4802" s="958" t="s">
        <v>358</v>
      </c>
      <c r="B4802" s="958">
        <v>43</v>
      </c>
      <c r="C4802" s="958" t="s">
        <v>2382</v>
      </c>
      <c r="D4802" s="957" t="s">
        <v>2381</v>
      </c>
      <c r="E4802" s="956">
        <v>6776</v>
      </c>
      <c r="F4802" s="955"/>
      <c r="L4802" s="954"/>
      <c r="M4802" s="952"/>
      <c r="N4802" s="952"/>
    </row>
    <row r="4803" spans="1:14">
      <c r="A4803" s="958" t="s">
        <v>358</v>
      </c>
      <c r="B4803" s="958">
        <v>43</v>
      </c>
      <c r="C4803" s="958" t="s">
        <v>2380</v>
      </c>
      <c r="D4803" s="957" t="s">
        <v>2379</v>
      </c>
      <c r="E4803" s="956">
        <v>4762</v>
      </c>
      <c r="F4803" s="955"/>
      <c r="L4803" s="954"/>
      <c r="M4803" s="952"/>
      <c r="N4803" s="952"/>
    </row>
    <row r="4804" spans="1:14">
      <c r="A4804" s="958" t="s">
        <v>358</v>
      </c>
      <c r="B4804" s="958">
        <v>43</v>
      </c>
      <c r="C4804" s="958" t="s">
        <v>2378</v>
      </c>
      <c r="D4804" s="957" t="s">
        <v>2377</v>
      </c>
      <c r="E4804" s="956">
        <v>4406</v>
      </c>
      <c r="F4804" s="955"/>
      <c r="L4804" s="954"/>
      <c r="M4804" s="952"/>
      <c r="N4804" s="952"/>
    </row>
    <row r="4805" spans="1:14">
      <c r="A4805" s="958" t="s">
        <v>358</v>
      </c>
      <c r="B4805" s="958">
        <v>43</v>
      </c>
      <c r="C4805" s="958" t="s">
        <v>2376</v>
      </c>
      <c r="D4805" s="957" t="s">
        <v>2375</v>
      </c>
      <c r="E4805" s="956">
        <v>4709</v>
      </c>
      <c r="F4805" s="955"/>
      <c r="L4805" s="954"/>
      <c r="M4805" s="952"/>
      <c r="N4805" s="952"/>
    </row>
    <row r="4806" spans="1:14">
      <c r="A4806" s="958" t="s">
        <v>358</v>
      </c>
      <c r="B4806" s="958">
        <v>43</v>
      </c>
      <c r="C4806" s="958" t="s">
        <v>2374</v>
      </c>
      <c r="D4806" s="957" t="s">
        <v>2373</v>
      </c>
      <c r="E4806" s="956">
        <v>7262</v>
      </c>
      <c r="F4806" s="955"/>
      <c r="L4806" s="954"/>
      <c r="M4806" s="952"/>
      <c r="N4806" s="952"/>
    </row>
    <row r="4807" spans="1:14">
      <c r="A4807" s="958" t="s">
        <v>358</v>
      </c>
      <c r="B4807" s="958">
        <v>43</v>
      </c>
      <c r="C4807" s="958" t="s">
        <v>2372</v>
      </c>
      <c r="D4807" s="957" t="s">
        <v>2371</v>
      </c>
      <c r="E4807" s="956">
        <v>4013</v>
      </c>
      <c r="F4807" s="955"/>
      <c r="L4807" s="954"/>
      <c r="M4807" s="952"/>
      <c r="N4807" s="952"/>
    </row>
    <row r="4808" spans="1:14">
      <c r="A4808" s="958" t="s">
        <v>358</v>
      </c>
      <c r="B4808" s="958">
        <v>43</v>
      </c>
      <c r="C4808" s="958" t="s">
        <v>2370</v>
      </c>
      <c r="D4808" s="957" t="s">
        <v>2369</v>
      </c>
      <c r="E4808" s="956">
        <v>20350</v>
      </c>
      <c r="F4808" s="955"/>
      <c r="L4808" s="954"/>
      <c r="M4808" s="952"/>
      <c r="N4808" s="952"/>
    </row>
    <row r="4809" spans="1:14">
      <c r="A4809" s="958" t="s">
        <v>358</v>
      </c>
      <c r="B4809" s="958">
        <v>43</v>
      </c>
      <c r="C4809" s="958" t="s">
        <v>2368</v>
      </c>
      <c r="D4809" s="957" t="s">
        <v>2367</v>
      </c>
      <c r="E4809" s="956">
        <v>36899</v>
      </c>
      <c r="F4809" s="955"/>
      <c r="L4809" s="954"/>
      <c r="M4809" s="952"/>
      <c r="N4809" s="952"/>
    </row>
    <row r="4810" spans="1:14">
      <c r="A4810" s="958" t="s">
        <v>358</v>
      </c>
      <c r="B4810" s="958">
        <v>43</v>
      </c>
      <c r="C4810" s="958" t="s">
        <v>2366</v>
      </c>
      <c r="D4810" s="957" t="s">
        <v>2365</v>
      </c>
      <c r="E4810" s="956">
        <v>83475</v>
      </c>
      <c r="F4810" s="955"/>
      <c r="L4810" s="954"/>
      <c r="M4810" s="952"/>
      <c r="N4810" s="952"/>
    </row>
    <row r="4811" spans="1:14">
      <c r="A4811" s="958" t="s">
        <v>358</v>
      </c>
      <c r="B4811" s="958">
        <v>43</v>
      </c>
      <c r="C4811" s="958" t="s">
        <v>2364</v>
      </c>
      <c r="D4811" s="957" t="s">
        <v>2363</v>
      </c>
      <c r="E4811" s="956">
        <v>4078</v>
      </c>
      <c r="F4811" s="955"/>
      <c r="L4811" s="954"/>
      <c r="M4811" s="952"/>
      <c r="N4811" s="952"/>
    </row>
    <row r="4812" spans="1:14">
      <c r="A4812" s="958" t="s">
        <v>358</v>
      </c>
      <c r="B4812" s="958">
        <v>43</v>
      </c>
      <c r="C4812" s="958" t="s">
        <v>2362</v>
      </c>
      <c r="D4812" s="957" t="s">
        <v>2361</v>
      </c>
      <c r="E4812" s="956">
        <v>22800</v>
      </c>
      <c r="F4812" s="955"/>
      <c r="L4812" s="954"/>
      <c r="M4812" s="952"/>
      <c r="N4812" s="952"/>
    </row>
    <row r="4813" spans="1:14">
      <c r="A4813" s="958" t="s">
        <v>358</v>
      </c>
      <c r="B4813" s="958">
        <v>43</v>
      </c>
      <c r="C4813" s="958" t="s">
        <v>2360</v>
      </c>
      <c r="D4813" s="957" t="s">
        <v>2359</v>
      </c>
      <c r="E4813" s="956">
        <v>3120</v>
      </c>
      <c r="F4813" s="955"/>
      <c r="L4813" s="954"/>
      <c r="M4813" s="952"/>
      <c r="N4813" s="952"/>
    </row>
    <row r="4814" spans="1:14">
      <c r="A4814" s="958" t="s">
        <v>358</v>
      </c>
      <c r="B4814" s="958">
        <v>43</v>
      </c>
      <c r="C4814" s="958" t="s">
        <v>2358</v>
      </c>
      <c r="D4814" s="957" t="s">
        <v>2357</v>
      </c>
      <c r="E4814" s="956">
        <v>6167</v>
      </c>
      <c r="F4814" s="955"/>
      <c r="L4814" s="954"/>
      <c r="M4814" s="952"/>
      <c r="N4814" s="952"/>
    </row>
    <row r="4815" spans="1:14">
      <c r="A4815" s="958" t="s">
        <v>358</v>
      </c>
      <c r="B4815" s="958">
        <v>43</v>
      </c>
      <c r="C4815" s="958" t="s">
        <v>2356</v>
      </c>
      <c r="D4815" s="957" t="s">
        <v>2355</v>
      </c>
      <c r="E4815" s="956">
        <v>2226</v>
      </c>
      <c r="F4815" s="955"/>
      <c r="L4815" s="954"/>
      <c r="M4815" s="952"/>
      <c r="N4815" s="952"/>
    </row>
    <row r="4816" spans="1:14">
      <c r="A4816" s="958" t="s">
        <v>358</v>
      </c>
      <c r="B4816" s="958">
        <v>43</v>
      </c>
      <c r="C4816" s="958" t="s">
        <v>2354</v>
      </c>
      <c r="D4816" s="957" t="s">
        <v>2353</v>
      </c>
      <c r="E4816" s="956">
        <v>6640</v>
      </c>
      <c r="F4816" s="955"/>
      <c r="L4816" s="954"/>
      <c r="M4816" s="952"/>
      <c r="N4816" s="952"/>
    </row>
    <row r="4817" spans="1:14">
      <c r="A4817" s="958" t="s">
        <v>358</v>
      </c>
      <c r="B4817" s="958">
        <v>43</v>
      </c>
      <c r="C4817" s="958" t="s">
        <v>2352</v>
      </c>
      <c r="D4817" s="957" t="s">
        <v>2351</v>
      </c>
      <c r="E4817" s="956">
        <v>1889</v>
      </c>
      <c r="F4817" s="955"/>
      <c r="L4817" s="954"/>
      <c r="M4817" s="952"/>
      <c r="N4817" s="952"/>
    </row>
    <row r="4818" spans="1:14">
      <c r="A4818" s="958" t="s">
        <v>358</v>
      </c>
      <c r="B4818" s="958">
        <v>43</v>
      </c>
      <c r="C4818" s="958" t="s">
        <v>2350</v>
      </c>
      <c r="D4818" s="957" t="s">
        <v>2349</v>
      </c>
      <c r="E4818" s="956">
        <v>7241</v>
      </c>
      <c r="F4818" s="955"/>
      <c r="L4818" s="954"/>
      <c r="M4818" s="952"/>
      <c r="N4818" s="952"/>
    </row>
    <row r="4819" spans="1:14">
      <c r="A4819" s="958" t="s">
        <v>358</v>
      </c>
      <c r="B4819" s="958">
        <v>43</v>
      </c>
      <c r="C4819" s="958" t="s">
        <v>2348</v>
      </c>
      <c r="D4819" s="957" t="s">
        <v>2347</v>
      </c>
      <c r="E4819" s="956">
        <v>5499</v>
      </c>
      <c r="F4819" s="955"/>
      <c r="L4819" s="954"/>
      <c r="M4819" s="952"/>
      <c r="N4819" s="952"/>
    </row>
    <row r="4820" spans="1:14">
      <c r="A4820" s="958" t="s">
        <v>358</v>
      </c>
      <c r="B4820" s="958">
        <v>43</v>
      </c>
      <c r="C4820" s="958" t="s">
        <v>2346</v>
      </c>
      <c r="D4820" s="957" t="s">
        <v>2345</v>
      </c>
      <c r="E4820" s="956">
        <v>3465</v>
      </c>
      <c r="F4820" s="955"/>
      <c r="L4820" s="954"/>
      <c r="M4820" s="952"/>
      <c r="N4820" s="952"/>
    </row>
    <row r="4821" spans="1:14">
      <c r="A4821" s="958" t="s">
        <v>358</v>
      </c>
      <c r="B4821" s="958">
        <v>43</v>
      </c>
      <c r="C4821" s="958" t="s">
        <v>2344</v>
      </c>
      <c r="D4821" s="957" t="s">
        <v>2343</v>
      </c>
      <c r="E4821" s="956">
        <v>2094</v>
      </c>
      <c r="F4821" s="955"/>
      <c r="L4821" s="954"/>
      <c r="M4821" s="952"/>
      <c r="N4821" s="952"/>
    </row>
    <row r="4822" spans="1:14">
      <c r="A4822" s="958" t="s">
        <v>358</v>
      </c>
      <c r="B4822" s="958">
        <v>43</v>
      </c>
      <c r="C4822" s="958" t="s">
        <v>2342</v>
      </c>
      <c r="D4822" s="957" t="s">
        <v>2341</v>
      </c>
      <c r="E4822" s="956">
        <v>37620</v>
      </c>
      <c r="F4822" s="955"/>
      <c r="L4822" s="954"/>
      <c r="M4822" s="952"/>
      <c r="N4822" s="952"/>
    </row>
    <row r="4823" spans="1:14">
      <c r="A4823" s="958" t="s">
        <v>358</v>
      </c>
      <c r="B4823" s="958">
        <v>43</v>
      </c>
      <c r="C4823" s="958" t="s">
        <v>2340</v>
      </c>
      <c r="D4823" s="957" t="s">
        <v>2339</v>
      </c>
      <c r="E4823" s="956">
        <v>2419</v>
      </c>
      <c r="F4823" s="955"/>
      <c r="L4823" s="954"/>
      <c r="M4823" s="952"/>
      <c r="N4823" s="952"/>
    </row>
    <row r="4824" spans="1:14">
      <c r="A4824" s="958" t="s">
        <v>358</v>
      </c>
      <c r="B4824" s="958">
        <v>43</v>
      </c>
      <c r="C4824" s="958" t="s">
        <v>2338</v>
      </c>
      <c r="D4824" s="957" t="s">
        <v>2337</v>
      </c>
      <c r="E4824" s="956">
        <v>3324</v>
      </c>
      <c r="F4824" s="955"/>
      <c r="L4824" s="954"/>
      <c r="M4824" s="952"/>
      <c r="N4824" s="952"/>
    </row>
    <row r="4825" spans="1:14">
      <c r="A4825" s="958" t="s">
        <v>358</v>
      </c>
      <c r="B4825" s="958">
        <v>43</v>
      </c>
      <c r="C4825" s="958" t="s">
        <v>2336</v>
      </c>
      <c r="D4825" s="957" t="s">
        <v>2335</v>
      </c>
      <c r="E4825" s="956">
        <v>1910</v>
      </c>
      <c r="F4825" s="955"/>
      <c r="L4825" s="954"/>
      <c r="M4825" s="952"/>
      <c r="N4825" s="952"/>
    </row>
    <row r="4826" spans="1:14">
      <c r="A4826" s="958" t="s">
        <v>358</v>
      </c>
      <c r="B4826" s="958">
        <v>43</v>
      </c>
      <c r="C4826" s="958" t="s">
        <v>2334</v>
      </c>
      <c r="D4826" s="957" t="s">
        <v>2333</v>
      </c>
      <c r="E4826" s="956">
        <v>24293</v>
      </c>
      <c r="F4826" s="955"/>
      <c r="L4826" s="954"/>
      <c r="M4826" s="952"/>
      <c r="N4826" s="952"/>
    </row>
    <row r="4827" spans="1:14">
      <c r="A4827" s="958" t="s">
        <v>358</v>
      </c>
      <c r="B4827" s="958">
        <v>43</v>
      </c>
      <c r="C4827" s="958" t="s">
        <v>2332</v>
      </c>
      <c r="D4827" s="957" t="s">
        <v>2331</v>
      </c>
      <c r="E4827" s="956">
        <v>3810</v>
      </c>
      <c r="F4827" s="955"/>
      <c r="L4827" s="954"/>
      <c r="M4827" s="952"/>
      <c r="N4827" s="952"/>
    </row>
    <row r="4828" spans="1:14">
      <c r="A4828" s="958" t="s">
        <v>358</v>
      </c>
      <c r="B4828" s="958">
        <v>43</v>
      </c>
      <c r="C4828" s="958" t="s">
        <v>2330</v>
      </c>
      <c r="D4828" s="957" t="s">
        <v>2329</v>
      </c>
      <c r="E4828" s="956">
        <v>2692</v>
      </c>
      <c r="F4828" s="955"/>
      <c r="L4828" s="954"/>
      <c r="M4828" s="952"/>
      <c r="N4828" s="952"/>
    </row>
    <row r="4829" spans="1:14">
      <c r="A4829" s="958" t="s">
        <v>358</v>
      </c>
      <c r="B4829" s="958">
        <v>43</v>
      </c>
      <c r="C4829" s="958" t="s">
        <v>2328</v>
      </c>
      <c r="D4829" s="957" t="s">
        <v>2327</v>
      </c>
      <c r="E4829" s="956">
        <v>3561</v>
      </c>
      <c r="F4829" s="955"/>
      <c r="L4829" s="954"/>
      <c r="M4829" s="952"/>
      <c r="N4829" s="952"/>
    </row>
    <row r="4830" spans="1:14">
      <c r="A4830" s="958" t="s">
        <v>358</v>
      </c>
      <c r="B4830" s="958">
        <v>43</v>
      </c>
      <c r="C4830" s="958" t="s">
        <v>2326</v>
      </c>
      <c r="D4830" s="957" t="s">
        <v>2325</v>
      </c>
      <c r="E4830" s="956">
        <v>26680</v>
      </c>
      <c r="F4830" s="955"/>
      <c r="L4830" s="954"/>
      <c r="M4830" s="952"/>
      <c r="N4830" s="952"/>
    </row>
    <row r="4831" spans="1:14">
      <c r="A4831" s="958" t="s">
        <v>358</v>
      </c>
      <c r="B4831" s="958">
        <v>43</v>
      </c>
      <c r="C4831" s="958" t="s">
        <v>2324</v>
      </c>
      <c r="D4831" s="957" t="s">
        <v>2323</v>
      </c>
      <c r="E4831" s="956">
        <v>10848</v>
      </c>
      <c r="F4831" s="955"/>
      <c r="L4831" s="954"/>
      <c r="M4831" s="952"/>
      <c r="N4831" s="952"/>
    </row>
    <row r="4832" spans="1:14">
      <c r="A4832" s="958" t="s">
        <v>358</v>
      </c>
      <c r="B4832" s="958">
        <v>43</v>
      </c>
      <c r="C4832" s="958" t="s">
        <v>2322</v>
      </c>
      <c r="D4832" s="957" t="s">
        <v>2321</v>
      </c>
      <c r="E4832" s="956">
        <v>3716</v>
      </c>
      <c r="F4832" s="955"/>
      <c r="L4832" s="954"/>
      <c r="M4832" s="952"/>
      <c r="N4832" s="952"/>
    </row>
    <row r="4833" spans="1:14">
      <c r="A4833" s="958" t="s">
        <v>358</v>
      </c>
      <c r="B4833" s="958">
        <v>43</v>
      </c>
      <c r="C4833" s="958" t="s">
        <v>2320</v>
      </c>
      <c r="D4833" s="957" t="s">
        <v>2319</v>
      </c>
      <c r="E4833" s="956">
        <v>3503</v>
      </c>
      <c r="F4833" s="955"/>
      <c r="L4833" s="954"/>
      <c r="M4833" s="952"/>
      <c r="N4833" s="952"/>
    </row>
    <row r="4834" spans="1:14">
      <c r="A4834" s="958" t="s">
        <v>358</v>
      </c>
      <c r="B4834" s="958">
        <v>43</v>
      </c>
      <c r="C4834" s="958" t="s">
        <v>2318</v>
      </c>
      <c r="D4834" s="957" t="s">
        <v>2317</v>
      </c>
      <c r="E4834" s="956">
        <v>8560</v>
      </c>
      <c r="F4834" s="955"/>
      <c r="L4834" s="954"/>
      <c r="M4834" s="952"/>
      <c r="N4834" s="952"/>
    </row>
    <row r="4835" spans="1:14">
      <c r="A4835" s="958" t="s">
        <v>358</v>
      </c>
      <c r="B4835" s="958">
        <v>43</v>
      </c>
      <c r="C4835" s="958" t="s">
        <v>2316</v>
      </c>
      <c r="D4835" s="957" t="s">
        <v>2315</v>
      </c>
      <c r="E4835" s="956">
        <v>19293</v>
      </c>
      <c r="F4835" s="955"/>
      <c r="L4835" s="954"/>
      <c r="M4835" s="952"/>
      <c r="N4835" s="952"/>
    </row>
    <row r="4836" spans="1:14">
      <c r="A4836" s="958" t="s">
        <v>358</v>
      </c>
      <c r="B4836" s="958">
        <v>43</v>
      </c>
      <c r="C4836" s="958" t="s">
        <v>2314</v>
      </c>
      <c r="D4836" s="957" t="s">
        <v>2313</v>
      </c>
      <c r="E4836" s="956">
        <v>2903</v>
      </c>
      <c r="F4836" s="955"/>
      <c r="L4836" s="954"/>
      <c r="M4836" s="952"/>
      <c r="N4836" s="952"/>
    </row>
    <row r="4837" spans="1:14">
      <c r="A4837" s="958" t="s">
        <v>358</v>
      </c>
      <c r="B4837" s="958">
        <v>43</v>
      </c>
      <c r="C4837" s="958" t="s">
        <v>2312</v>
      </c>
      <c r="D4837" s="957" t="s">
        <v>2311</v>
      </c>
      <c r="E4837" s="956">
        <v>6452</v>
      </c>
      <c r="F4837" s="955"/>
      <c r="L4837" s="954"/>
      <c r="M4837" s="952"/>
      <c r="N4837" s="952"/>
    </row>
    <row r="4838" spans="1:14">
      <c r="A4838" s="958" t="s">
        <v>358</v>
      </c>
      <c r="B4838" s="958">
        <v>43</v>
      </c>
      <c r="C4838" s="958" t="s">
        <v>2310</v>
      </c>
      <c r="D4838" s="957" t="s">
        <v>2309</v>
      </c>
      <c r="E4838" s="956">
        <v>1609</v>
      </c>
      <c r="F4838" s="955"/>
      <c r="L4838" s="954"/>
      <c r="M4838" s="952"/>
      <c r="N4838" s="952"/>
    </row>
    <row r="4839" spans="1:14">
      <c r="A4839" s="958" t="s">
        <v>358</v>
      </c>
      <c r="B4839" s="958">
        <v>43</v>
      </c>
      <c r="C4839" s="958" t="s">
        <v>2308</v>
      </c>
      <c r="D4839" s="957" t="s">
        <v>2307</v>
      </c>
      <c r="E4839" s="956">
        <v>27807</v>
      </c>
      <c r="F4839" s="955"/>
      <c r="L4839" s="954"/>
      <c r="M4839" s="952"/>
      <c r="N4839" s="952"/>
    </row>
    <row r="4840" spans="1:14">
      <c r="A4840" s="958" t="s">
        <v>358</v>
      </c>
      <c r="B4840" s="958">
        <v>43</v>
      </c>
      <c r="C4840" s="958" t="s">
        <v>2306</v>
      </c>
      <c r="D4840" s="957" t="s">
        <v>2305</v>
      </c>
      <c r="E4840" s="956">
        <v>84014</v>
      </c>
      <c r="F4840" s="955"/>
      <c r="L4840" s="954"/>
      <c r="M4840" s="952"/>
      <c r="N4840" s="952"/>
    </row>
    <row r="4841" spans="1:14">
      <c r="A4841" s="958" t="s">
        <v>358</v>
      </c>
      <c r="B4841" s="958">
        <v>43</v>
      </c>
      <c r="C4841" s="958" t="s">
        <v>2304</v>
      </c>
      <c r="D4841" s="957" t="s">
        <v>2303</v>
      </c>
      <c r="E4841" s="956">
        <v>2564</v>
      </c>
      <c r="F4841" s="955"/>
      <c r="L4841" s="954"/>
      <c r="M4841" s="952"/>
      <c r="N4841" s="952"/>
    </row>
    <row r="4842" spans="1:14">
      <c r="A4842" s="958" t="s">
        <v>358</v>
      </c>
      <c r="B4842" s="958">
        <v>43</v>
      </c>
      <c r="C4842" s="958" t="s">
        <v>2302</v>
      </c>
      <c r="D4842" s="957" t="s">
        <v>2301</v>
      </c>
      <c r="E4842" s="956">
        <v>7480</v>
      </c>
      <c r="F4842" s="955"/>
      <c r="L4842" s="954"/>
      <c r="M4842" s="952"/>
      <c r="N4842" s="952"/>
    </row>
    <row r="4843" spans="1:14">
      <c r="A4843" s="958" t="s">
        <v>358</v>
      </c>
      <c r="B4843" s="958">
        <v>43</v>
      </c>
      <c r="C4843" s="958" t="s">
        <v>2300</v>
      </c>
      <c r="D4843" s="957" t="s">
        <v>2299</v>
      </c>
      <c r="E4843" s="956">
        <v>5219</v>
      </c>
      <c r="F4843" s="955"/>
      <c r="L4843" s="954"/>
      <c r="M4843" s="952"/>
      <c r="N4843" s="952"/>
    </row>
    <row r="4844" spans="1:14">
      <c r="A4844" s="958" t="s">
        <v>358</v>
      </c>
      <c r="B4844" s="958">
        <v>43</v>
      </c>
      <c r="C4844" s="958" t="s">
        <v>2298</v>
      </c>
      <c r="D4844" s="957" t="s">
        <v>2297</v>
      </c>
      <c r="E4844" s="956">
        <v>6054</v>
      </c>
      <c r="F4844" s="955"/>
      <c r="L4844" s="954"/>
      <c r="M4844" s="952"/>
      <c r="N4844" s="952"/>
    </row>
    <row r="4845" spans="1:14">
      <c r="A4845" s="958" t="s">
        <v>358</v>
      </c>
      <c r="B4845" s="958">
        <v>43</v>
      </c>
      <c r="C4845" s="958" t="s">
        <v>2296</v>
      </c>
      <c r="D4845" s="957" t="s">
        <v>2295</v>
      </c>
      <c r="E4845" s="956">
        <v>1714</v>
      </c>
      <c r="F4845" s="955"/>
      <c r="L4845" s="954"/>
      <c r="M4845" s="952"/>
      <c r="N4845" s="952"/>
    </row>
    <row r="4846" spans="1:14">
      <c r="A4846" s="958" t="s">
        <v>358</v>
      </c>
      <c r="B4846" s="958">
        <v>43</v>
      </c>
      <c r="C4846" s="958" t="s">
        <v>2294</v>
      </c>
      <c r="D4846" s="957" t="s">
        <v>2293</v>
      </c>
      <c r="E4846" s="956">
        <v>5445</v>
      </c>
      <c r="F4846" s="955"/>
      <c r="L4846" s="954"/>
      <c r="M4846" s="952"/>
      <c r="N4846" s="952"/>
    </row>
    <row r="4847" spans="1:14">
      <c r="A4847" s="958" t="s">
        <v>358</v>
      </c>
      <c r="B4847" s="958">
        <v>43</v>
      </c>
      <c r="C4847" s="958" t="s">
        <v>2292</v>
      </c>
      <c r="D4847" s="957" t="s">
        <v>2291</v>
      </c>
      <c r="E4847" s="956">
        <v>4587</v>
      </c>
      <c r="F4847" s="955"/>
      <c r="L4847" s="954"/>
      <c r="M4847" s="952"/>
      <c r="N4847" s="952"/>
    </row>
    <row r="4848" spans="1:14">
      <c r="A4848" s="958" t="s">
        <v>358</v>
      </c>
      <c r="B4848" s="958">
        <v>43</v>
      </c>
      <c r="C4848" s="958" t="s">
        <v>2290</v>
      </c>
      <c r="D4848" s="957" t="s">
        <v>2289</v>
      </c>
      <c r="E4848" s="956">
        <v>2981</v>
      </c>
      <c r="F4848" s="955"/>
      <c r="L4848" s="954"/>
      <c r="M4848" s="952"/>
      <c r="N4848" s="952"/>
    </row>
    <row r="4849" spans="1:14">
      <c r="A4849" s="958" t="s">
        <v>358</v>
      </c>
      <c r="B4849" s="958">
        <v>43</v>
      </c>
      <c r="C4849" s="958" t="s">
        <v>2288</v>
      </c>
      <c r="D4849" s="957" t="s">
        <v>2287</v>
      </c>
      <c r="E4849" s="956">
        <v>7299</v>
      </c>
      <c r="F4849" s="955"/>
      <c r="L4849" s="954"/>
      <c r="M4849" s="952"/>
      <c r="N4849" s="952"/>
    </row>
    <row r="4850" spans="1:14">
      <c r="A4850" s="958" t="s">
        <v>358</v>
      </c>
      <c r="B4850" s="958">
        <v>43</v>
      </c>
      <c r="C4850" s="958" t="s">
        <v>2286</v>
      </c>
      <c r="D4850" s="957" t="s">
        <v>2285</v>
      </c>
      <c r="E4850" s="956">
        <v>6714</v>
      </c>
      <c r="F4850" s="955"/>
      <c r="L4850" s="954"/>
      <c r="M4850" s="952"/>
      <c r="N4850" s="952"/>
    </row>
    <row r="4851" spans="1:14">
      <c r="A4851" s="958" t="s">
        <v>358</v>
      </c>
      <c r="B4851" s="958">
        <v>43</v>
      </c>
      <c r="C4851" s="958" t="s">
        <v>2284</v>
      </c>
      <c r="D4851" s="957" t="s">
        <v>2283</v>
      </c>
      <c r="E4851" s="956">
        <v>2691</v>
      </c>
      <c r="F4851" s="955"/>
      <c r="L4851" s="954"/>
      <c r="M4851" s="952"/>
      <c r="N4851" s="952"/>
    </row>
    <row r="4852" spans="1:14">
      <c r="A4852" s="958" t="s">
        <v>358</v>
      </c>
      <c r="B4852" s="958">
        <v>43</v>
      </c>
      <c r="C4852" s="958" t="s">
        <v>2282</v>
      </c>
      <c r="D4852" s="957" t="s">
        <v>2281</v>
      </c>
      <c r="E4852" s="956">
        <v>44161</v>
      </c>
      <c r="F4852" s="955"/>
      <c r="L4852" s="954"/>
      <c r="M4852" s="952"/>
      <c r="N4852" s="952"/>
    </row>
    <row r="4853" spans="1:14">
      <c r="A4853" s="958" t="s">
        <v>358</v>
      </c>
      <c r="B4853" s="958">
        <v>43</v>
      </c>
      <c r="C4853" s="958" t="s">
        <v>2280</v>
      </c>
      <c r="D4853" s="957" t="s">
        <v>2279</v>
      </c>
      <c r="E4853" s="956">
        <v>4402</v>
      </c>
      <c r="F4853" s="955"/>
      <c r="L4853" s="954"/>
      <c r="M4853" s="952"/>
      <c r="N4853" s="952"/>
    </row>
    <row r="4854" spans="1:14">
      <c r="A4854" s="958" t="s">
        <v>358</v>
      </c>
      <c r="B4854" s="958">
        <v>43</v>
      </c>
      <c r="C4854" s="958" t="s">
        <v>2278</v>
      </c>
      <c r="D4854" s="957" t="s">
        <v>2277</v>
      </c>
      <c r="E4854" s="956">
        <v>3885</v>
      </c>
      <c r="F4854" s="955"/>
      <c r="L4854" s="954"/>
      <c r="M4854" s="952"/>
      <c r="N4854" s="952"/>
    </row>
    <row r="4855" spans="1:14">
      <c r="A4855" s="958" t="s">
        <v>358</v>
      </c>
      <c r="B4855" s="958">
        <v>43</v>
      </c>
      <c r="C4855" s="958" t="s">
        <v>2276</v>
      </c>
      <c r="D4855" s="957" t="s">
        <v>2275</v>
      </c>
      <c r="E4855" s="956">
        <v>2031</v>
      </c>
      <c r="F4855" s="955"/>
      <c r="L4855" s="954"/>
      <c r="M4855" s="952"/>
      <c r="N4855" s="952"/>
    </row>
    <row r="4856" spans="1:14">
      <c r="A4856" s="958" t="s">
        <v>358</v>
      </c>
      <c r="B4856" s="958">
        <v>43</v>
      </c>
      <c r="C4856" s="958" t="s">
        <v>2274</v>
      </c>
      <c r="D4856" s="957" t="s">
        <v>2273</v>
      </c>
      <c r="E4856" s="956">
        <v>4009</v>
      </c>
      <c r="F4856" s="955"/>
      <c r="L4856" s="954"/>
      <c r="M4856" s="952"/>
      <c r="N4856" s="952"/>
    </row>
    <row r="4857" spans="1:14">
      <c r="A4857" s="958" t="s">
        <v>358</v>
      </c>
      <c r="B4857" s="958">
        <v>43</v>
      </c>
      <c r="C4857" s="958" t="s">
        <v>2272</v>
      </c>
      <c r="D4857" s="957" t="s">
        <v>2271</v>
      </c>
      <c r="E4857" s="956">
        <v>4823</v>
      </c>
      <c r="F4857" s="955"/>
      <c r="L4857" s="954"/>
      <c r="M4857" s="952"/>
      <c r="N4857" s="952"/>
    </row>
    <row r="4858" spans="1:14">
      <c r="A4858" s="958" t="s">
        <v>358</v>
      </c>
      <c r="B4858" s="958">
        <v>43</v>
      </c>
      <c r="C4858" s="958" t="s">
        <v>2270</v>
      </c>
      <c r="D4858" s="957" t="s">
        <v>2269</v>
      </c>
      <c r="E4858" s="956">
        <v>2540</v>
      </c>
      <c r="F4858" s="955"/>
      <c r="L4858" s="954"/>
      <c r="M4858" s="952"/>
      <c r="N4858" s="952"/>
    </row>
    <row r="4859" spans="1:14">
      <c r="A4859" s="958" t="s">
        <v>358</v>
      </c>
      <c r="B4859" s="958">
        <v>43</v>
      </c>
      <c r="C4859" s="958" t="s">
        <v>2268</v>
      </c>
      <c r="D4859" s="957" t="s">
        <v>2267</v>
      </c>
      <c r="E4859" s="956">
        <v>4515</v>
      </c>
      <c r="F4859" s="955"/>
      <c r="L4859" s="954"/>
      <c r="M4859" s="952"/>
      <c r="N4859" s="952"/>
    </row>
    <row r="4860" spans="1:14">
      <c r="A4860" s="958" t="s">
        <v>358</v>
      </c>
      <c r="B4860" s="958">
        <v>43</v>
      </c>
      <c r="C4860" s="958" t="s">
        <v>2266</v>
      </c>
      <c r="D4860" s="957" t="s">
        <v>2265</v>
      </c>
      <c r="E4860" s="956">
        <v>1648</v>
      </c>
      <c r="F4860" s="955"/>
      <c r="L4860" s="954"/>
      <c r="M4860" s="952"/>
      <c r="N4860" s="952"/>
    </row>
    <row r="4861" spans="1:14">
      <c r="A4861" s="958" t="s">
        <v>358</v>
      </c>
      <c r="B4861" s="958">
        <v>43</v>
      </c>
      <c r="C4861" s="958" t="s">
        <v>2264</v>
      </c>
      <c r="D4861" s="957" t="s">
        <v>2263</v>
      </c>
      <c r="E4861" s="956">
        <v>4377</v>
      </c>
      <c r="F4861" s="955"/>
      <c r="L4861" s="954"/>
      <c r="M4861" s="952"/>
      <c r="N4861" s="952"/>
    </row>
    <row r="4862" spans="1:14">
      <c r="A4862" s="958" t="s">
        <v>358</v>
      </c>
      <c r="B4862" s="958">
        <v>43</v>
      </c>
      <c r="C4862" s="958" t="s">
        <v>2262</v>
      </c>
      <c r="D4862" s="957" t="s">
        <v>2261</v>
      </c>
      <c r="E4862" s="956">
        <v>8075</v>
      </c>
      <c r="F4862" s="955"/>
      <c r="L4862" s="954"/>
      <c r="M4862" s="952"/>
      <c r="N4862" s="952"/>
    </row>
    <row r="4863" spans="1:14">
      <c r="A4863" s="958" t="s">
        <v>358</v>
      </c>
      <c r="B4863" s="958">
        <v>43</v>
      </c>
      <c r="C4863" s="958" t="s">
        <v>2260</v>
      </c>
      <c r="D4863" s="957" t="s">
        <v>2259</v>
      </c>
      <c r="E4863" s="956">
        <v>4925</v>
      </c>
      <c r="F4863" s="955"/>
      <c r="L4863" s="954"/>
      <c r="M4863" s="952"/>
      <c r="N4863" s="952"/>
    </row>
    <row r="4864" spans="1:14">
      <c r="A4864" s="958" t="s">
        <v>358</v>
      </c>
      <c r="B4864" s="958">
        <v>43</v>
      </c>
      <c r="C4864" s="958" t="s">
        <v>2258</v>
      </c>
      <c r="D4864" s="957" t="s">
        <v>2257</v>
      </c>
      <c r="E4864" s="956">
        <v>1453</v>
      </c>
      <c r="F4864" s="955"/>
      <c r="L4864" s="954"/>
      <c r="M4864" s="952"/>
      <c r="N4864" s="952"/>
    </row>
    <row r="4865" spans="1:14">
      <c r="A4865" s="958" t="s">
        <v>358</v>
      </c>
      <c r="B4865" s="958">
        <v>43</v>
      </c>
      <c r="C4865" s="958" t="s">
        <v>2256</v>
      </c>
      <c r="D4865" s="957" t="s">
        <v>2255</v>
      </c>
      <c r="E4865" s="956">
        <v>3226</v>
      </c>
      <c r="F4865" s="955"/>
      <c r="L4865" s="954"/>
      <c r="M4865" s="952"/>
      <c r="N4865" s="952"/>
    </row>
    <row r="4866" spans="1:14">
      <c r="A4866" s="958" t="s">
        <v>358</v>
      </c>
      <c r="B4866" s="958">
        <v>43</v>
      </c>
      <c r="C4866" s="958" t="s">
        <v>2254</v>
      </c>
      <c r="D4866" s="957" t="s">
        <v>2253</v>
      </c>
      <c r="E4866" s="956">
        <v>2548</v>
      </c>
      <c r="F4866" s="955"/>
      <c r="L4866" s="954"/>
      <c r="M4866" s="952"/>
      <c r="N4866" s="952"/>
    </row>
    <row r="4867" spans="1:14">
      <c r="A4867" s="958" t="s">
        <v>358</v>
      </c>
      <c r="B4867" s="958">
        <v>43</v>
      </c>
      <c r="C4867" s="958" t="s">
        <v>2252</v>
      </c>
      <c r="D4867" s="957" t="s">
        <v>2251</v>
      </c>
      <c r="E4867" s="956">
        <v>65264</v>
      </c>
      <c r="F4867" s="955"/>
      <c r="L4867" s="954"/>
      <c r="M4867" s="952"/>
      <c r="N4867" s="952"/>
    </row>
    <row r="4868" spans="1:14">
      <c r="A4868" s="958" t="s">
        <v>358</v>
      </c>
      <c r="B4868" s="958">
        <v>43</v>
      </c>
      <c r="C4868" s="958" t="s">
        <v>2250</v>
      </c>
      <c r="D4868" s="957" t="s">
        <v>2249</v>
      </c>
      <c r="E4868" s="956">
        <v>3085</v>
      </c>
      <c r="F4868" s="955"/>
      <c r="L4868" s="954"/>
      <c r="M4868" s="952"/>
      <c r="N4868" s="952"/>
    </row>
    <row r="4869" spans="1:14">
      <c r="A4869" s="958" t="s">
        <v>358</v>
      </c>
      <c r="B4869" s="958">
        <v>43</v>
      </c>
      <c r="C4869" s="958" t="s">
        <v>2248</v>
      </c>
      <c r="D4869" s="957" t="s">
        <v>2247</v>
      </c>
      <c r="E4869" s="956">
        <v>2949</v>
      </c>
      <c r="F4869" s="955"/>
      <c r="L4869" s="954"/>
      <c r="M4869" s="952"/>
      <c r="N4869" s="952"/>
    </row>
    <row r="4870" spans="1:14">
      <c r="A4870" s="958" t="s">
        <v>358</v>
      </c>
      <c r="B4870" s="958">
        <v>43</v>
      </c>
      <c r="C4870" s="958" t="s">
        <v>2246</v>
      </c>
      <c r="D4870" s="957" t="s">
        <v>2245</v>
      </c>
      <c r="E4870" s="956">
        <v>6568</v>
      </c>
      <c r="F4870" s="955"/>
      <c r="L4870" s="954"/>
      <c r="M4870" s="952"/>
      <c r="N4870" s="952"/>
    </row>
    <row r="4871" spans="1:14">
      <c r="A4871" s="958" t="s">
        <v>358</v>
      </c>
      <c r="B4871" s="958">
        <v>43</v>
      </c>
      <c r="C4871" s="958" t="s">
        <v>2244</v>
      </c>
      <c r="D4871" s="957" t="s">
        <v>2243</v>
      </c>
      <c r="E4871" s="956">
        <v>6407</v>
      </c>
      <c r="F4871" s="955"/>
      <c r="L4871" s="954"/>
      <c r="M4871" s="952"/>
      <c r="N4871" s="952"/>
    </row>
    <row r="4872" spans="1:14">
      <c r="A4872" s="958" t="s">
        <v>358</v>
      </c>
      <c r="B4872" s="958">
        <v>43</v>
      </c>
      <c r="C4872" s="958" t="s">
        <v>2242</v>
      </c>
      <c r="D4872" s="957" t="s">
        <v>2241</v>
      </c>
      <c r="E4872" s="956">
        <v>12804</v>
      </c>
      <c r="F4872" s="955"/>
      <c r="L4872" s="954"/>
      <c r="M4872" s="952"/>
      <c r="N4872" s="952"/>
    </row>
    <row r="4873" spans="1:14">
      <c r="A4873" s="958" t="s">
        <v>358</v>
      </c>
      <c r="B4873" s="958">
        <v>43</v>
      </c>
      <c r="C4873" s="958" t="s">
        <v>2240</v>
      </c>
      <c r="D4873" s="957" t="s">
        <v>2239</v>
      </c>
      <c r="E4873" s="956">
        <v>4954</v>
      </c>
      <c r="F4873" s="955"/>
      <c r="L4873" s="954"/>
      <c r="M4873" s="952"/>
      <c r="N4873" s="952"/>
    </row>
    <row r="4874" spans="1:14">
      <c r="A4874" s="958" t="s">
        <v>358</v>
      </c>
      <c r="B4874" s="958">
        <v>43</v>
      </c>
      <c r="C4874" s="958" t="s">
        <v>2238</v>
      </c>
      <c r="D4874" s="957" t="s">
        <v>2237</v>
      </c>
      <c r="E4874" s="956">
        <v>3162</v>
      </c>
      <c r="F4874" s="955"/>
      <c r="L4874" s="954"/>
      <c r="M4874" s="952"/>
      <c r="N4874" s="952"/>
    </row>
    <row r="4875" spans="1:14">
      <c r="A4875" s="958" t="s">
        <v>358</v>
      </c>
      <c r="B4875" s="958">
        <v>43</v>
      </c>
      <c r="C4875" s="958" t="s">
        <v>2236</v>
      </c>
      <c r="D4875" s="957" t="s">
        <v>2235</v>
      </c>
      <c r="E4875" s="956">
        <v>1893</v>
      </c>
      <c r="F4875" s="955"/>
      <c r="L4875" s="954"/>
      <c r="M4875" s="952"/>
      <c r="N4875" s="952"/>
    </row>
    <row r="4876" spans="1:14">
      <c r="A4876" s="958" t="s">
        <v>358</v>
      </c>
      <c r="B4876" s="958">
        <v>43</v>
      </c>
      <c r="C4876" s="958" t="s">
        <v>2234</v>
      </c>
      <c r="D4876" s="957" t="s">
        <v>2233</v>
      </c>
      <c r="E4876" s="956">
        <v>17624</v>
      </c>
      <c r="F4876" s="955"/>
      <c r="L4876" s="954"/>
      <c r="M4876" s="952"/>
      <c r="N4876" s="952"/>
    </row>
    <row r="4877" spans="1:14">
      <c r="A4877" s="958" t="s">
        <v>358</v>
      </c>
      <c r="B4877" s="958">
        <v>43</v>
      </c>
      <c r="C4877" s="958" t="s">
        <v>2232</v>
      </c>
      <c r="D4877" s="957" t="s">
        <v>2231</v>
      </c>
      <c r="E4877" s="956">
        <v>1682</v>
      </c>
      <c r="F4877" s="955"/>
      <c r="L4877" s="954"/>
      <c r="M4877" s="952"/>
      <c r="N4877" s="952"/>
    </row>
    <row r="4878" spans="1:14">
      <c r="A4878" s="958" t="s">
        <v>358</v>
      </c>
      <c r="B4878" s="958">
        <v>43</v>
      </c>
      <c r="C4878" s="958" t="s">
        <v>2230</v>
      </c>
      <c r="D4878" s="957" t="s">
        <v>2229</v>
      </c>
      <c r="E4878" s="956">
        <v>11695</v>
      </c>
      <c r="F4878" s="955"/>
      <c r="L4878" s="954"/>
      <c r="M4878" s="952"/>
      <c r="N4878" s="952"/>
    </row>
    <row r="4879" spans="1:14">
      <c r="A4879" s="958" t="s">
        <v>358</v>
      </c>
      <c r="B4879" s="958">
        <v>43</v>
      </c>
      <c r="C4879" s="958" t="s">
        <v>2228</v>
      </c>
      <c r="D4879" s="957" t="s">
        <v>2227</v>
      </c>
      <c r="E4879" s="956">
        <v>3625</v>
      </c>
      <c r="F4879" s="955"/>
      <c r="L4879" s="954"/>
      <c r="M4879" s="952"/>
      <c r="N4879" s="952"/>
    </row>
    <row r="4880" spans="1:14">
      <c r="A4880" s="958" t="s">
        <v>358</v>
      </c>
      <c r="B4880" s="958">
        <v>43</v>
      </c>
      <c r="C4880" s="958" t="s">
        <v>2226</v>
      </c>
      <c r="D4880" s="957" t="s">
        <v>2225</v>
      </c>
      <c r="E4880" s="956">
        <v>4759</v>
      </c>
      <c r="F4880" s="955"/>
      <c r="L4880" s="954"/>
      <c r="M4880" s="952"/>
      <c r="N4880" s="952"/>
    </row>
    <row r="4881" spans="1:14">
      <c r="A4881" s="958" t="s">
        <v>358</v>
      </c>
      <c r="B4881" s="958">
        <v>43</v>
      </c>
      <c r="C4881" s="958" t="s">
        <v>2224</v>
      </c>
      <c r="D4881" s="957" t="s">
        <v>2223</v>
      </c>
      <c r="E4881" s="956">
        <v>9916</v>
      </c>
      <c r="F4881" s="955"/>
      <c r="L4881" s="954"/>
      <c r="M4881" s="952"/>
      <c r="N4881" s="952"/>
    </row>
    <row r="4882" spans="1:14">
      <c r="A4882" s="958" t="s">
        <v>358</v>
      </c>
      <c r="B4882" s="958">
        <v>43</v>
      </c>
      <c r="C4882" s="958" t="s">
        <v>2222</v>
      </c>
      <c r="D4882" s="957" t="s">
        <v>2221</v>
      </c>
      <c r="E4882" s="956">
        <v>1775</v>
      </c>
      <c r="F4882" s="955"/>
      <c r="L4882" s="954"/>
      <c r="M4882" s="952"/>
      <c r="N4882" s="952"/>
    </row>
    <row r="4883" spans="1:14">
      <c r="A4883" s="958" t="s">
        <v>358</v>
      </c>
      <c r="B4883" s="958">
        <v>43</v>
      </c>
      <c r="C4883" s="958" t="s">
        <v>2220</v>
      </c>
      <c r="D4883" s="957" t="s">
        <v>2219</v>
      </c>
      <c r="E4883" s="956">
        <v>3330</v>
      </c>
      <c r="F4883" s="955"/>
      <c r="L4883" s="954"/>
      <c r="M4883" s="952"/>
      <c r="N4883" s="952"/>
    </row>
    <row r="4884" spans="1:14">
      <c r="A4884" s="958" t="s">
        <v>358</v>
      </c>
      <c r="B4884" s="958">
        <v>43</v>
      </c>
      <c r="C4884" s="958" t="s">
        <v>2218</v>
      </c>
      <c r="D4884" s="957" t="s">
        <v>2217</v>
      </c>
      <c r="E4884" s="956">
        <v>2698</v>
      </c>
      <c r="F4884" s="955"/>
      <c r="L4884" s="954"/>
      <c r="M4884" s="952"/>
      <c r="N4884" s="952"/>
    </row>
    <row r="4885" spans="1:14">
      <c r="A4885" s="958" t="s">
        <v>358</v>
      </c>
      <c r="B4885" s="958">
        <v>43</v>
      </c>
      <c r="C4885" s="958" t="s">
        <v>2216</v>
      </c>
      <c r="D4885" s="957" t="s">
        <v>2215</v>
      </c>
      <c r="E4885" s="956">
        <v>5352</v>
      </c>
      <c r="F4885" s="955"/>
      <c r="L4885" s="954"/>
      <c r="M4885" s="952"/>
      <c r="N4885" s="952"/>
    </row>
    <row r="4886" spans="1:14">
      <c r="A4886" s="958" t="s">
        <v>358</v>
      </c>
      <c r="B4886" s="958">
        <v>43</v>
      </c>
      <c r="C4886" s="958" t="s">
        <v>2214</v>
      </c>
      <c r="D4886" s="957" t="s">
        <v>2213</v>
      </c>
      <c r="E4886" s="956">
        <v>21615</v>
      </c>
      <c r="F4886" s="955"/>
      <c r="L4886" s="954"/>
      <c r="M4886" s="952"/>
      <c r="N4886" s="952"/>
    </row>
    <row r="4887" spans="1:14">
      <c r="A4887" s="958" t="s">
        <v>358</v>
      </c>
      <c r="B4887" s="958">
        <v>43</v>
      </c>
      <c r="C4887" s="958" t="s">
        <v>2212</v>
      </c>
      <c r="D4887" s="957" t="s">
        <v>2211</v>
      </c>
      <c r="E4887" s="956">
        <v>2553</v>
      </c>
      <c r="F4887" s="955"/>
      <c r="L4887" s="954"/>
      <c r="M4887" s="952"/>
      <c r="N4887" s="952"/>
    </row>
    <row r="4888" spans="1:14">
      <c r="A4888" s="958" t="s">
        <v>358</v>
      </c>
      <c r="B4888" s="958">
        <v>43</v>
      </c>
      <c r="C4888" s="958" t="s">
        <v>2210</v>
      </c>
      <c r="D4888" s="957" t="s">
        <v>2209</v>
      </c>
      <c r="E4888" s="956">
        <v>6512</v>
      </c>
      <c r="F4888" s="955"/>
      <c r="L4888" s="954"/>
      <c r="M4888" s="952"/>
      <c r="N4888" s="952"/>
    </row>
    <row r="4889" spans="1:14">
      <c r="A4889" s="958" t="s">
        <v>358</v>
      </c>
      <c r="B4889" s="958">
        <v>43</v>
      </c>
      <c r="C4889" s="958" t="s">
        <v>2208</v>
      </c>
      <c r="D4889" s="957" t="s">
        <v>2207</v>
      </c>
      <c r="E4889" s="956">
        <v>21353</v>
      </c>
      <c r="F4889" s="955"/>
      <c r="L4889" s="954"/>
      <c r="M4889" s="952"/>
      <c r="N4889" s="952"/>
    </row>
    <row r="4890" spans="1:14">
      <c r="A4890" s="958" t="s">
        <v>358</v>
      </c>
      <c r="B4890" s="958">
        <v>43</v>
      </c>
      <c r="C4890" s="958" t="s">
        <v>2206</v>
      </c>
      <c r="D4890" s="957" t="s">
        <v>2205</v>
      </c>
      <c r="E4890" s="956">
        <v>27257</v>
      </c>
      <c r="F4890" s="955"/>
      <c r="L4890" s="954"/>
      <c r="M4890" s="952"/>
      <c r="N4890" s="952"/>
    </row>
    <row r="4891" spans="1:14">
      <c r="A4891" s="958" t="s">
        <v>358</v>
      </c>
      <c r="B4891" s="958">
        <v>43</v>
      </c>
      <c r="C4891" s="958" t="s">
        <v>2204</v>
      </c>
      <c r="D4891" s="957" t="s">
        <v>2203</v>
      </c>
      <c r="E4891" s="956">
        <v>2242</v>
      </c>
      <c r="F4891" s="955"/>
      <c r="L4891" s="954"/>
      <c r="M4891" s="952"/>
      <c r="N4891" s="952"/>
    </row>
    <row r="4892" spans="1:14">
      <c r="A4892" s="958" t="s">
        <v>358</v>
      </c>
      <c r="B4892" s="958">
        <v>43</v>
      </c>
      <c r="C4892" s="958" t="s">
        <v>2202</v>
      </c>
      <c r="D4892" s="957" t="s">
        <v>2201</v>
      </c>
      <c r="E4892" s="956">
        <v>3689</v>
      </c>
      <c r="F4892" s="955"/>
      <c r="L4892" s="954"/>
      <c r="M4892" s="952"/>
      <c r="N4892" s="952"/>
    </row>
    <row r="4893" spans="1:14">
      <c r="A4893" s="958" t="s">
        <v>358</v>
      </c>
      <c r="B4893" s="958">
        <v>43</v>
      </c>
      <c r="C4893" s="958" t="s">
        <v>2200</v>
      </c>
      <c r="D4893" s="957" t="s">
        <v>2199</v>
      </c>
      <c r="E4893" s="956">
        <v>29300</v>
      </c>
      <c r="F4893" s="955"/>
      <c r="L4893" s="954"/>
      <c r="M4893" s="952"/>
      <c r="N4893" s="952"/>
    </row>
    <row r="4894" spans="1:14">
      <c r="A4894" s="958" t="s">
        <v>358</v>
      </c>
      <c r="B4894" s="958">
        <v>43</v>
      </c>
      <c r="C4894" s="958" t="s">
        <v>2198</v>
      </c>
      <c r="D4894" s="957" t="s">
        <v>2197</v>
      </c>
      <c r="E4894" s="956">
        <v>4196</v>
      </c>
      <c r="F4894" s="955"/>
      <c r="L4894" s="954"/>
      <c r="M4894" s="952"/>
      <c r="N4894" s="952"/>
    </row>
    <row r="4895" spans="1:14">
      <c r="A4895" s="958" t="s">
        <v>358</v>
      </c>
      <c r="B4895" s="958">
        <v>43</v>
      </c>
      <c r="C4895" s="958" t="s">
        <v>2196</v>
      </c>
      <c r="D4895" s="957" t="s">
        <v>2195</v>
      </c>
      <c r="E4895" s="956">
        <v>246748</v>
      </c>
      <c r="F4895" s="955"/>
      <c r="L4895" s="954"/>
      <c r="M4895" s="952"/>
      <c r="N4895" s="952"/>
    </row>
    <row r="4896" spans="1:14">
      <c r="A4896" s="958" t="s">
        <v>358</v>
      </c>
      <c r="B4896" s="958">
        <v>43</v>
      </c>
      <c r="C4896" s="958" t="s">
        <v>2194</v>
      </c>
      <c r="D4896" s="957" t="s">
        <v>2193</v>
      </c>
      <c r="E4896" s="956">
        <v>3323</v>
      </c>
      <c r="F4896" s="955"/>
      <c r="L4896" s="954"/>
      <c r="M4896" s="952"/>
      <c r="N4896" s="952"/>
    </row>
    <row r="4897" spans="1:14">
      <c r="A4897" s="958" t="s">
        <v>358</v>
      </c>
      <c r="B4897" s="958">
        <v>43</v>
      </c>
      <c r="C4897" s="958" t="s">
        <v>2192</v>
      </c>
      <c r="D4897" s="957" t="s">
        <v>2191</v>
      </c>
      <c r="E4897" s="956">
        <v>2211</v>
      </c>
      <c r="F4897" s="955"/>
      <c r="L4897" s="954"/>
      <c r="M4897" s="952"/>
      <c r="N4897" s="952"/>
    </row>
    <row r="4898" spans="1:14">
      <c r="A4898" s="958" t="s">
        <v>358</v>
      </c>
      <c r="B4898" s="958">
        <v>43</v>
      </c>
      <c r="C4898" s="958" t="s">
        <v>2190</v>
      </c>
      <c r="D4898" s="957" t="s">
        <v>2189</v>
      </c>
      <c r="E4898" s="956">
        <v>1719</v>
      </c>
      <c r="F4898" s="955"/>
      <c r="L4898" s="954"/>
      <c r="M4898" s="952"/>
      <c r="N4898" s="952"/>
    </row>
    <row r="4899" spans="1:14">
      <c r="A4899" s="958" t="s">
        <v>358</v>
      </c>
      <c r="B4899" s="958">
        <v>43</v>
      </c>
      <c r="C4899" s="958" t="s">
        <v>2188</v>
      </c>
      <c r="D4899" s="957" t="s">
        <v>2187</v>
      </c>
      <c r="E4899" s="956">
        <v>4164</v>
      </c>
      <c r="F4899" s="955"/>
      <c r="L4899" s="954"/>
      <c r="M4899" s="952"/>
      <c r="N4899" s="952"/>
    </row>
    <row r="4900" spans="1:14">
      <c r="A4900" s="958" t="s">
        <v>358</v>
      </c>
      <c r="B4900" s="958">
        <v>43</v>
      </c>
      <c r="C4900" s="958" t="s">
        <v>2186</v>
      </c>
      <c r="D4900" s="957" t="s">
        <v>2185</v>
      </c>
      <c r="E4900" s="956">
        <v>45994</v>
      </c>
      <c r="F4900" s="955"/>
      <c r="L4900" s="954"/>
      <c r="M4900" s="952"/>
      <c r="N4900" s="952"/>
    </row>
    <row r="4901" spans="1:14">
      <c r="A4901" s="958" t="s">
        <v>358</v>
      </c>
      <c r="B4901" s="958">
        <v>43</v>
      </c>
      <c r="C4901" s="958" t="s">
        <v>2184</v>
      </c>
      <c r="D4901" s="957" t="s">
        <v>2183</v>
      </c>
      <c r="E4901" s="956">
        <v>3828</v>
      </c>
      <c r="F4901" s="955"/>
      <c r="L4901" s="954"/>
      <c r="M4901" s="952"/>
      <c r="N4901" s="952"/>
    </row>
    <row r="4902" spans="1:14">
      <c r="A4902" s="958" t="s">
        <v>358</v>
      </c>
      <c r="B4902" s="958">
        <v>43</v>
      </c>
      <c r="C4902" s="958" t="s">
        <v>2182</v>
      </c>
      <c r="D4902" s="957" t="s">
        <v>2181</v>
      </c>
      <c r="E4902" s="956">
        <v>11318</v>
      </c>
      <c r="F4902" s="955"/>
      <c r="L4902" s="954"/>
      <c r="M4902" s="952"/>
      <c r="N4902" s="952"/>
    </row>
    <row r="4903" spans="1:14">
      <c r="A4903" s="958" t="s">
        <v>358</v>
      </c>
      <c r="B4903" s="958">
        <v>43</v>
      </c>
      <c r="C4903" s="958" t="s">
        <v>2180</v>
      </c>
      <c r="D4903" s="957" t="s">
        <v>2179</v>
      </c>
      <c r="E4903" s="956">
        <v>33303</v>
      </c>
      <c r="F4903" s="955"/>
      <c r="L4903" s="954"/>
      <c r="M4903" s="952"/>
      <c r="N4903" s="952"/>
    </row>
    <row r="4904" spans="1:14">
      <c r="A4904" s="958" t="s">
        <v>358</v>
      </c>
      <c r="B4904" s="958">
        <v>43</v>
      </c>
      <c r="C4904" s="958" t="s">
        <v>2178</v>
      </c>
      <c r="D4904" s="957" t="s">
        <v>2177</v>
      </c>
      <c r="E4904" s="956">
        <v>7057</v>
      </c>
      <c r="F4904" s="955"/>
      <c r="L4904" s="954"/>
      <c r="M4904" s="952"/>
      <c r="N4904" s="952"/>
    </row>
    <row r="4905" spans="1:14">
      <c r="A4905" s="958" t="s">
        <v>358</v>
      </c>
      <c r="B4905" s="958">
        <v>43</v>
      </c>
      <c r="C4905" s="958" t="s">
        <v>2176</v>
      </c>
      <c r="D4905" s="957" t="s">
        <v>2175</v>
      </c>
      <c r="E4905" s="956">
        <v>43667</v>
      </c>
      <c r="F4905" s="955"/>
      <c r="L4905" s="954"/>
      <c r="M4905" s="952"/>
      <c r="N4905" s="952"/>
    </row>
    <row r="4906" spans="1:14">
      <c r="A4906" s="958" t="s">
        <v>358</v>
      </c>
      <c r="B4906" s="958">
        <v>43</v>
      </c>
      <c r="C4906" s="958" t="s">
        <v>2174</v>
      </c>
      <c r="D4906" s="957" t="s">
        <v>2173</v>
      </c>
      <c r="E4906" s="956">
        <v>9174</v>
      </c>
      <c r="F4906" s="955"/>
      <c r="L4906" s="954"/>
      <c r="M4906" s="952"/>
      <c r="N4906" s="952"/>
    </row>
    <row r="4907" spans="1:14">
      <c r="A4907" s="958" t="s">
        <v>358</v>
      </c>
      <c r="B4907" s="958">
        <v>43</v>
      </c>
      <c r="C4907" s="958" t="s">
        <v>2172</v>
      </c>
      <c r="D4907" s="957" t="s">
        <v>2171</v>
      </c>
      <c r="E4907" s="956">
        <v>7657</v>
      </c>
      <c r="F4907" s="955"/>
      <c r="L4907" s="954"/>
      <c r="M4907" s="952"/>
      <c r="N4907" s="952"/>
    </row>
    <row r="4908" spans="1:14">
      <c r="A4908" s="958" t="s">
        <v>358</v>
      </c>
      <c r="B4908" s="958">
        <v>43</v>
      </c>
      <c r="C4908" s="958" t="s">
        <v>2170</v>
      </c>
      <c r="D4908" s="957" t="s">
        <v>2169</v>
      </c>
      <c r="E4908" s="956">
        <v>7611</v>
      </c>
      <c r="F4908" s="955"/>
      <c r="L4908" s="954"/>
      <c r="M4908" s="952"/>
      <c r="N4908" s="952"/>
    </row>
    <row r="4909" spans="1:14">
      <c r="A4909" s="958" t="s">
        <v>358</v>
      </c>
      <c r="B4909" s="958">
        <v>43</v>
      </c>
      <c r="C4909" s="958" t="s">
        <v>2168</v>
      </c>
      <c r="D4909" s="957" t="s">
        <v>2167</v>
      </c>
      <c r="E4909" s="956">
        <v>3837</v>
      </c>
      <c r="F4909" s="955"/>
      <c r="L4909" s="954"/>
      <c r="M4909" s="952"/>
      <c r="N4909" s="952"/>
    </row>
    <row r="4910" spans="1:14">
      <c r="A4910" s="958" t="s">
        <v>358</v>
      </c>
      <c r="B4910" s="958">
        <v>43</v>
      </c>
      <c r="C4910" s="958" t="s">
        <v>2166</v>
      </c>
      <c r="D4910" s="957" t="s">
        <v>2165</v>
      </c>
      <c r="E4910" s="956">
        <v>58272</v>
      </c>
      <c r="F4910" s="955"/>
      <c r="L4910" s="954"/>
      <c r="M4910" s="952"/>
      <c r="N4910" s="952"/>
    </row>
    <row r="4911" spans="1:14">
      <c r="A4911" s="958" t="s">
        <v>358</v>
      </c>
      <c r="B4911" s="958">
        <v>43</v>
      </c>
      <c r="C4911" s="958" t="s">
        <v>2164</v>
      </c>
      <c r="D4911" s="957" t="s">
        <v>2163</v>
      </c>
      <c r="E4911" s="956">
        <v>5702</v>
      </c>
      <c r="F4911" s="955"/>
      <c r="L4911" s="954"/>
      <c r="M4911" s="952"/>
      <c r="N4911" s="952"/>
    </row>
    <row r="4912" spans="1:14">
      <c r="A4912" s="958" t="s">
        <v>358</v>
      </c>
      <c r="B4912" s="958">
        <v>43</v>
      </c>
      <c r="C4912" s="958" t="s">
        <v>2162</v>
      </c>
      <c r="D4912" s="957" t="s">
        <v>2161</v>
      </c>
      <c r="E4912" s="956">
        <v>6535</v>
      </c>
      <c r="F4912" s="955"/>
      <c r="L4912" s="954"/>
      <c r="M4912" s="952"/>
      <c r="N4912" s="952"/>
    </row>
    <row r="4913" spans="1:14">
      <c r="A4913" s="958" t="s">
        <v>358</v>
      </c>
      <c r="B4913" s="958">
        <v>43</v>
      </c>
      <c r="C4913" s="958" t="s">
        <v>2160</v>
      </c>
      <c r="D4913" s="957" t="s">
        <v>2159</v>
      </c>
      <c r="E4913" s="956">
        <v>203275</v>
      </c>
      <c r="F4913" s="955"/>
      <c r="L4913" s="954"/>
      <c r="M4913" s="952"/>
      <c r="N4913" s="952"/>
    </row>
    <row r="4914" spans="1:14">
      <c r="A4914" s="958" t="s">
        <v>358</v>
      </c>
      <c r="B4914" s="958">
        <v>43</v>
      </c>
      <c r="C4914" s="958" t="s">
        <v>2158</v>
      </c>
      <c r="D4914" s="957" t="s">
        <v>2157</v>
      </c>
      <c r="E4914" s="956">
        <v>2293</v>
      </c>
      <c r="F4914" s="955"/>
      <c r="L4914" s="954"/>
      <c r="M4914" s="952"/>
      <c r="N4914" s="952"/>
    </row>
    <row r="4915" spans="1:14">
      <c r="A4915" s="958" t="s">
        <v>358</v>
      </c>
      <c r="B4915" s="958">
        <v>43</v>
      </c>
      <c r="C4915" s="958" t="s">
        <v>2156</v>
      </c>
      <c r="D4915" s="957" t="s">
        <v>2155</v>
      </c>
      <c r="E4915" s="956">
        <v>8487</v>
      </c>
      <c r="F4915" s="955"/>
      <c r="L4915" s="954"/>
      <c r="M4915" s="952"/>
      <c r="N4915" s="952"/>
    </row>
    <row r="4916" spans="1:14">
      <c r="A4916" s="958" t="s">
        <v>358</v>
      </c>
      <c r="B4916" s="958">
        <v>43</v>
      </c>
      <c r="C4916" s="958" t="s">
        <v>2154</v>
      </c>
      <c r="D4916" s="957" t="s">
        <v>2153</v>
      </c>
      <c r="E4916" s="956">
        <v>1982</v>
      </c>
      <c r="F4916" s="955"/>
      <c r="L4916" s="954"/>
      <c r="M4916" s="952"/>
      <c r="N4916" s="952"/>
    </row>
    <row r="4917" spans="1:14">
      <c r="A4917" s="958" t="s">
        <v>358</v>
      </c>
      <c r="B4917" s="958">
        <v>43</v>
      </c>
      <c r="C4917" s="958" t="s">
        <v>2152</v>
      </c>
      <c r="D4917" s="957" t="s">
        <v>2151</v>
      </c>
      <c r="E4917" s="956">
        <v>7730</v>
      </c>
      <c r="F4917" s="955"/>
      <c r="L4917" s="954"/>
      <c r="M4917" s="952"/>
      <c r="N4917" s="952"/>
    </row>
    <row r="4918" spans="1:14">
      <c r="A4918" s="958" t="s">
        <v>358</v>
      </c>
      <c r="B4918" s="958">
        <v>43</v>
      </c>
      <c r="C4918" s="958" t="s">
        <v>2150</v>
      </c>
      <c r="D4918" s="957" t="s">
        <v>2149</v>
      </c>
      <c r="E4918" s="956">
        <v>3874</v>
      </c>
      <c r="F4918" s="955"/>
      <c r="L4918" s="954"/>
      <c r="M4918" s="952"/>
      <c r="N4918" s="952"/>
    </row>
    <row r="4919" spans="1:14">
      <c r="A4919" s="958" t="s">
        <v>358</v>
      </c>
      <c r="B4919" s="958">
        <v>43</v>
      </c>
      <c r="C4919" s="958" t="s">
        <v>2148</v>
      </c>
      <c r="D4919" s="957" t="s">
        <v>2147</v>
      </c>
      <c r="E4919" s="956">
        <v>342405</v>
      </c>
      <c r="F4919" s="955"/>
      <c r="L4919" s="954"/>
      <c r="M4919" s="952"/>
      <c r="N4919" s="952"/>
    </row>
    <row r="4920" spans="1:14">
      <c r="A4920" s="958" t="s">
        <v>358</v>
      </c>
      <c r="B4920" s="958">
        <v>43</v>
      </c>
      <c r="C4920" s="958" t="s">
        <v>2146</v>
      </c>
      <c r="D4920" s="957" t="s">
        <v>2145</v>
      </c>
      <c r="E4920" s="956">
        <v>5742</v>
      </c>
      <c r="F4920" s="955"/>
      <c r="L4920" s="954"/>
      <c r="M4920" s="952"/>
      <c r="N4920" s="952"/>
    </row>
    <row r="4921" spans="1:14">
      <c r="A4921" s="958" t="s">
        <v>358</v>
      </c>
      <c r="B4921" s="958">
        <v>43</v>
      </c>
      <c r="C4921" s="958" t="s">
        <v>2144</v>
      </c>
      <c r="D4921" s="957" t="s">
        <v>2143</v>
      </c>
      <c r="E4921" s="956">
        <v>2579</v>
      </c>
      <c r="F4921" s="955"/>
      <c r="L4921" s="954"/>
      <c r="M4921" s="952"/>
      <c r="N4921" s="952"/>
    </row>
    <row r="4922" spans="1:14">
      <c r="A4922" s="958" t="s">
        <v>358</v>
      </c>
      <c r="B4922" s="958">
        <v>43</v>
      </c>
      <c r="C4922" s="958" t="s">
        <v>2142</v>
      </c>
      <c r="D4922" s="957" t="s">
        <v>2141</v>
      </c>
      <c r="E4922" s="956">
        <v>1941</v>
      </c>
      <c r="F4922" s="955"/>
      <c r="L4922" s="954"/>
      <c r="M4922" s="952"/>
      <c r="N4922" s="952"/>
    </row>
    <row r="4923" spans="1:14">
      <c r="A4923" s="958" t="s">
        <v>358</v>
      </c>
      <c r="B4923" s="958">
        <v>43</v>
      </c>
      <c r="C4923" s="958" t="s">
        <v>2140</v>
      </c>
      <c r="D4923" s="957" t="s">
        <v>2139</v>
      </c>
      <c r="E4923" s="956">
        <v>4350</v>
      </c>
      <c r="F4923" s="955"/>
      <c r="L4923" s="954"/>
      <c r="M4923" s="952"/>
      <c r="N4923" s="952"/>
    </row>
    <row r="4924" spans="1:14">
      <c r="A4924" s="958" t="s">
        <v>358</v>
      </c>
      <c r="B4924" s="958">
        <v>43</v>
      </c>
      <c r="C4924" s="958" t="s">
        <v>2138</v>
      </c>
      <c r="D4924" s="957" t="s">
        <v>2137</v>
      </c>
      <c r="E4924" s="956">
        <v>4871</v>
      </c>
      <c r="F4924" s="955"/>
      <c r="L4924" s="954"/>
      <c r="M4924" s="952"/>
      <c r="N4924" s="952"/>
    </row>
    <row r="4925" spans="1:14">
      <c r="A4925" s="958" t="s">
        <v>358</v>
      </c>
      <c r="B4925" s="958">
        <v>43</v>
      </c>
      <c r="C4925" s="958" t="s">
        <v>2136</v>
      </c>
      <c r="D4925" s="957" t="s">
        <v>2135</v>
      </c>
      <c r="E4925" s="956">
        <v>12271</v>
      </c>
      <c r="F4925" s="955"/>
      <c r="L4925" s="954"/>
      <c r="M4925" s="952"/>
      <c r="N4925" s="952"/>
    </row>
    <row r="4926" spans="1:14">
      <c r="A4926" s="958" t="s">
        <v>358</v>
      </c>
      <c r="B4926" s="958">
        <v>43</v>
      </c>
      <c r="C4926" s="958" t="s">
        <v>2134</v>
      </c>
      <c r="D4926" s="957" t="s">
        <v>2133</v>
      </c>
      <c r="E4926" s="956">
        <v>3003</v>
      </c>
      <c r="F4926" s="955"/>
      <c r="L4926" s="954"/>
      <c r="M4926" s="952"/>
      <c r="N4926" s="952"/>
    </row>
    <row r="4927" spans="1:14">
      <c r="A4927" s="958" t="s">
        <v>358</v>
      </c>
      <c r="B4927" s="958">
        <v>43</v>
      </c>
      <c r="C4927" s="958" t="s">
        <v>2132</v>
      </c>
      <c r="D4927" s="957" t="s">
        <v>2131</v>
      </c>
      <c r="E4927" s="956">
        <v>2304</v>
      </c>
      <c r="F4927" s="955"/>
      <c r="L4927" s="954"/>
      <c r="M4927" s="952"/>
      <c r="N4927" s="952"/>
    </row>
    <row r="4928" spans="1:14">
      <c r="A4928" s="958" t="s">
        <v>358</v>
      </c>
      <c r="B4928" s="958">
        <v>43</v>
      </c>
      <c r="C4928" s="958" t="s">
        <v>2130</v>
      </c>
      <c r="D4928" s="957" t="s">
        <v>2129</v>
      </c>
      <c r="E4928" s="956">
        <v>20663</v>
      </c>
      <c r="F4928" s="955"/>
      <c r="L4928" s="954"/>
      <c r="M4928" s="952"/>
      <c r="N4928" s="952"/>
    </row>
    <row r="4929" spans="1:14">
      <c r="A4929" s="958" t="s">
        <v>358</v>
      </c>
      <c r="B4929" s="958">
        <v>43</v>
      </c>
      <c r="C4929" s="958" t="s">
        <v>2128</v>
      </c>
      <c r="D4929" s="957" t="s">
        <v>2127</v>
      </c>
      <c r="E4929" s="956">
        <v>10084</v>
      </c>
      <c r="F4929" s="955"/>
      <c r="L4929" s="954"/>
      <c r="M4929" s="952"/>
      <c r="N4929" s="952"/>
    </row>
    <row r="4930" spans="1:14">
      <c r="A4930" s="958" t="s">
        <v>358</v>
      </c>
      <c r="B4930" s="958">
        <v>43</v>
      </c>
      <c r="C4930" s="958" t="s">
        <v>2126</v>
      </c>
      <c r="D4930" s="957" t="s">
        <v>2125</v>
      </c>
      <c r="E4930" s="956">
        <v>2098</v>
      </c>
      <c r="F4930" s="955"/>
      <c r="L4930" s="954"/>
      <c r="M4930" s="952"/>
      <c r="N4930" s="952"/>
    </row>
    <row r="4931" spans="1:14">
      <c r="A4931" s="958" t="s">
        <v>358</v>
      </c>
      <c r="B4931" s="958">
        <v>43</v>
      </c>
      <c r="C4931" s="958" t="s">
        <v>2124</v>
      </c>
      <c r="D4931" s="957" t="s">
        <v>2123</v>
      </c>
      <c r="E4931" s="956">
        <v>3904</v>
      </c>
      <c r="F4931" s="955"/>
      <c r="L4931" s="954"/>
      <c r="M4931" s="952"/>
      <c r="N4931" s="952"/>
    </row>
    <row r="4932" spans="1:14">
      <c r="A4932" s="958" t="s">
        <v>358</v>
      </c>
      <c r="B4932" s="958">
        <v>43</v>
      </c>
      <c r="C4932" s="958" t="s">
        <v>2122</v>
      </c>
      <c r="D4932" s="957" t="s">
        <v>2121</v>
      </c>
      <c r="E4932" s="956">
        <v>1547</v>
      </c>
      <c r="F4932" s="955"/>
      <c r="L4932" s="954"/>
      <c r="M4932" s="952"/>
      <c r="N4932" s="952"/>
    </row>
    <row r="4933" spans="1:14">
      <c r="A4933" s="958" t="s">
        <v>358</v>
      </c>
      <c r="B4933" s="958">
        <v>43</v>
      </c>
      <c r="C4933" s="958" t="s">
        <v>2120</v>
      </c>
      <c r="D4933" s="957" t="s">
        <v>2119</v>
      </c>
      <c r="E4933" s="956">
        <v>37079</v>
      </c>
      <c r="F4933" s="955"/>
      <c r="L4933" s="954"/>
      <c r="M4933" s="952"/>
      <c r="N4933" s="952"/>
    </row>
    <row r="4934" spans="1:14">
      <c r="A4934" s="958" t="s">
        <v>358</v>
      </c>
      <c r="B4934" s="958">
        <v>43</v>
      </c>
      <c r="C4934" s="958" t="s">
        <v>2118</v>
      </c>
      <c r="D4934" s="957" t="s">
        <v>2117</v>
      </c>
      <c r="E4934" s="956">
        <v>1483771</v>
      </c>
      <c r="F4934" s="955"/>
      <c r="L4934" s="954"/>
      <c r="M4934" s="952"/>
      <c r="N4934" s="952"/>
    </row>
    <row r="4935" spans="1:14">
      <c r="A4935" s="958" t="s">
        <v>358</v>
      </c>
      <c r="B4935" s="958">
        <v>43</v>
      </c>
      <c r="C4935" s="958" t="s">
        <v>2116</v>
      </c>
      <c r="D4935" s="957" t="s">
        <v>2115</v>
      </c>
      <c r="E4935" s="956">
        <v>4678</v>
      </c>
      <c r="F4935" s="955"/>
      <c r="L4935" s="954"/>
      <c r="M4935" s="952"/>
      <c r="N4935" s="952"/>
    </row>
    <row r="4936" spans="1:14">
      <c r="A4936" s="958" t="s">
        <v>358</v>
      </c>
      <c r="B4936" s="958">
        <v>43</v>
      </c>
      <c r="C4936" s="958" t="s">
        <v>2114</v>
      </c>
      <c r="D4936" s="957" t="s">
        <v>2113</v>
      </c>
      <c r="E4936" s="956">
        <v>2374</v>
      </c>
      <c r="F4936" s="955"/>
      <c r="L4936" s="954"/>
      <c r="M4936" s="952"/>
      <c r="N4936" s="952"/>
    </row>
    <row r="4937" spans="1:14">
      <c r="A4937" s="958" t="s">
        <v>358</v>
      </c>
      <c r="B4937" s="958">
        <v>43</v>
      </c>
      <c r="C4937" s="958" t="s">
        <v>2112</v>
      </c>
      <c r="D4937" s="957" t="s">
        <v>2111</v>
      </c>
      <c r="E4937" s="956">
        <v>1360</v>
      </c>
      <c r="F4937" s="955"/>
      <c r="L4937" s="954"/>
      <c r="M4937" s="952"/>
      <c r="N4937" s="952"/>
    </row>
    <row r="4938" spans="1:14">
      <c r="A4938" s="958" t="s">
        <v>358</v>
      </c>
      <c r="B4938" s="958">
        <v>43</v>
      </c>
      <c r="C4938" s="958" t="s">
        <v>2110</v>
      </c>
      <c r="D4938" s="957" t="s">
        <v>2109</v>
      </c>
      <c r="E4938" s="956">
        <v>10246</v>
      </c>
      <c r="F4938" s="955"/>
      <c r="L4938" s="954"/>
      <c r="M4938" s="952"/>
      <c r="N4938" s="952"/>
    </row>
    <row r="4939" spans="1:14">
      <c r="A4939" s="958" t="s">
        <v>358</v>
      </c>
      <c r="B4939" s="958">
        <v>43</v>
      </c>
      <c r="C4939" s="958" t="s">
        <v>2108</v>
      </c>
      <c r="D4939" s="957" t="s">
        <v>2107</v>
      </c>
      <c r="E4939" s="956">
        <v>1639</v>
      </c>
      <c r="F4939" s="955"/>
      <c r="L4939" s="954"/>
      <c r="M4939" s="952"/>
      <c r="N4939" s="952"/>
    </row>
    <row r="4940" spans="1:14">
      <c r="A4940" s="958" t="s">
        <v>358</v>
      </c>
      <c r="B4940" s="958">
        <v>43</v>
      </c>
      <c r="C4940" s="958" t="s">
        <v>2106</v>
      </c>
      <c r="D4940" s="957" t="s">
        <v>2105</v>
      </c>
      <c r="E4940" s="956">
        <v>2901</v>
      </c>
      <c r="F4940" s="955"/>
      <c r="L4940" s="954"/>
      <c r="M4940" s="952"/>
      <c r="N4940" s="952"/>
    </row>
    <row r="4941" spans="1:14">
      <c r="A4941" s="958" t="s">
        <v>358</v>
      </c>
      <c r="B4941" s="958">
        <v>43</v>
      </c>
      <c r="C4941" s="958" t="s">
        <v>2104</v>
      </c>
      <c r="D4941" s="957" t="s">
        <v>2103</v>
      </c>
      <c r="E4941" s="956">
        <v>6244</v>
      </c>
      <c r="F4941" s="955"/>
      <c r="L4941" s="954"/>
      <c r="M4941" s="952"/>
      <c r="N4941" s="952"/>
    </row>
    <row r="4942" spans="1:14">
      <c r="A4942" s="958" t="s">
        <v>358</v>
      </c>
      <c r="B4942" s="958">
        <v>43</v>
      </c>
      <c r="C4942" s="958" t="s">
        <v>2102</v>
      </c>
      <c r="D4942" s="957" t="s">
        <v>2101</v>
      </c>
      <c r="E4942" s="956">
        <v>1947</v>
      </c>
      <c r="F4942" s="955"/>
      <c r="L4942" s="954"/>
      <c r="M4942" s="952"/>
      <c r="N4942" s="952"/>
    </row>
    <row r="4943" spans="1:14">
      <c r="A4943" s="958" t="s">
        <v>358</v>
      </c>
      <c r="B4943" s="958">
        <v>43</v>
      </c>
      <c r="C4943" s="958" t="s">
        <v>2100</v>
      </c>
      <c r="D4943" s="957" t="s">
        <v>2099</v>
      </c>
      <c r="E4943" s="956">
        <v>3919</v>
      </c>
      <c r="F4943" s="955"/>
      <c r="L4943" s="954"/>
      <c r="M4943" s="952"/>
      <c r="N4943" s="952"/>
    </row>
    <row r="4944" spans="1:14">
      <c r="A4944" s="958" t="s">
        <v>358</v>
      </c>
      <c r="B4944" s="958">
        <v>43</v>
      </c>
      <c r="C4944" s="958" t="s">
        <v>2098</v>
      </c>
      <c r="D4944" s="957" t="s">
        <v>2097</v>
      </c>
      <c r="E4944" s="956">
        <v>22687</v>
      </c>
      <c r="F4944" s="955"/>
      <c r="L4944" s="954"/>
      <c r="M4944" s="952"/>
      <c r="N4944" s="952"/>
    </row>
    <row r="4945" spans="1:14">
      <c r="A4945" s="958" t="s">
        <v>358</v>
      </c>
      <c r="B4945" s="958">
        <v>43</v>
      </c>
      <c r="C4945" s="958" t="s">
        <v>2096</v>
      </c>
      <c r="D4945" s="957" t="s">
        <v>2095</v>
      </c>
      <c r="E4945" s="956">
        <v>1849</v>
      </c>
      <c r="F4945" s="955"/>
      <c r="L4945" s="954"/>
      <c r="M4945" s="952"/>
      <c r="N4945" s="952"/>
    </row>
    <row r="4946" spans="1:14">
      <c r="A4946" s="958" t="s">
        <v>358</v>
      </c>
      <c r="B4946" s="958">
        <v>43</v>
      </c>
      <c r="C4946" s="958" t="s">
        <v>2094</v>
      </c>
      <c r="D4946" s="957" t="s">
        <v>2093</v>
      </c>
      <c r="E4946" s="956">
        <v>2788</v>
      </c>
      <c r="F4946" s="955"/>
      <c r="L4946" s="954"/>
      <c r="M4946" s="952"/>
      <c r="N4946" s="952"/>
    </row>
    <row r="4947" spans="1:14">
      <c r="A4947" s="958" t="s">
        <v>358</v>
      </c>
      <c r="B4947" s="958">
        <v>43</v>
      </c>
      <c r="C4947" s="958" t="s">
        <v>2092</v>
      </c>
      <c r="D4947" s="957" t="s">
        <v>2091</v>
      </c>
      <c r="E4947" s="956">
        <v>3796</v>
      </c>
      <c r="F4947" s="955"/>
      <c r="L4947" s="954"/>
      <c r="M4947" s="952"/>
      <c r="N4947" s="952"/>
    </row>
    <row r="4948" spans="1:14">
      <c r="A4948" s="958" t="s">
        <v>358</v>
      </c>
      <c r="B4948" s="958">
        <v>43</v>
      </c>
      <c r="C4948" s="958" t="s">
        <v>2090</v>
      </c>
      <c r="D4948" s="957" t="s">
        <v>2089</v>
      </c>
      <c r="E4948" s="956">
        <v>11549</v>
      </c>
      <c r="F4948" s="955"/>
      <c r="L4948" s="954"/>
      <c r="M4948" s="952"/>
      <c r="N4948" s="952"/>
    </row>
    <row r="4949" spans="1:14">
      <c r="A4949" s="958" t="s">
        <v>358</v>
      </c>
      <c r="B4949" s="958">
        <v>43</v>
      </c>
      <c r="C4949" s="958" t="s">
        <v>2088</v>
      </c>
      <c r="D4949" s="957" t="s">
        <v>2087</v>
      </c>
      <c r="E4949" s="956">
        <v>2090</v>
      </c>
      <c r="F4949" s="955"/>
      <c r="L4949" s="954"/>
      <c r="M4949" s="952"/>
      <c r="N4949" s="952"/>
    </row>
    <row r="4950" spans="1:14">
      <c r="A4950" s="958" t="s">
        <v>358</v>
      </c>
      <c r="B4950" s="958">
        <v>43</v>
      </c>
      <c r="C4950" s="958" t="s">
        <v>2086</v>
      </c>
      <c r="D4950" s="957" t="s">
        <v>2085</v>
      </c>
      <c r="E4950" s="956">
        <v>15789</v>
      </c>
      <c r="F4950" s="955"/>
      <c r="L4950" s="954"/>
      <c r="M4950" s="952"/>
      <c r="N4950" s="952"/>
    </row>
    <row r="4951" spans="1:14">
      <c r="A4951" s="958" t="s">
        <v>358</v>
      </c>
      <c r="B4951" s="958">
        <v>43</v>
      </c>
      <c r="C4951" s="958" t="s">
        <v>2084</v>
      </c>
      <c r="D4951" s="957" t="s">
        <v>2083</v>
      </c>
      <c r="E4951" s="956">
        <v>2752</v>
      </c>
      <c r="F4951" s="955"/>
      <c r="L4951" s="954"/>
      <c r="M4951" s="952"/>
      <c r="N4951" s="952"/>
    </row>
    <row r="4952" spans="1:14">
      <c r="A4952" s="958" t="s">
        <v>358</v>
      </c>
      <c r="B4952" s="958">
        <v>43</v>
      </c>
      <c r="C4952" s="958" t="s">
        <v>2082</v>
      </c>
      <c r="D4952" s="957" t="s">
        <v>2081</v>
      </c>
      <c r="E4952" s="956">
        <v>211005</v>
      </c>
      <c r="F4952" s="955"/>
      <c r="L4952" s="954"/>
      <c r="M4952" s="952"/>
      <c r="N4952" s="952"/>
    </row>
    <row r="4953" spans="1:14">
      <c r="A4953" s="958" t="s">
        <v>358</v>
      </c>
      <c r="B4953" s="958">
        <v>43</v>
      </c>
      <c r="C4953" s="958" t="s">
        <v>2080</v>
      </c>
      <c r="D4953" s="957" t="s">
        <v>2079</v>
      </c>
      <c r="E4953" s="956">
        <v>38275</v>
      </c>
      <c r="F4953" s="955"/>
      <c r="L4953" s="954"/>
      <c r="M4953" s="952"/>
      <c r="N4953" s="952"/>
    </row>
    <row r="4954" spans="1:14">
      <c r="A4954" s="958" t="s">
        <v>358</v>
      </c>
      <c r="B4954" s="958">
        <v>43</v>
      </c>
      <c r="C4954" s="958" t="s">
        <v>2078</v>
      </c>
      <c r="D4954" s="957" t="s">
        <v>2077</v>
      </c>
      <c r="E4954" s="956">
        <v>4653</v>
      </c>
      <c r="F4954" s="955"/>
      <c r="L4954" s="954"/>
      <c r="M4954" s="952"/>
      <c r="N4954" s="952"/>
    </row>
    <row r="4955" spans="1:14">
      <c r="A4955" s="958" t="s">
        <v>358</v>
      </c>
      <c r="B4955" s="958">
        <v>43</v>
      </c>
      <c r="C4955" s="958" t="s">
        <v>2076</v>
      </c>
      <c r="D4955" s="957" t="s">
        <v>2075</v>
      </c>
      <c r="E4955" s="956">
        <v>11393</v>
      </c>
      <c r="F4955" s="955"/>
      <c r="L4955" s="954"/>
      <c r="M4955" s="952"/>
      <c r="N4955" s="952"/>
    </row>
    <row r="4956" spans="1:14">
      <c r="A4956" s="958" t="s">
        <v>358</v>
      </c>
      <c r="B4956" s="958">
        <v>43</v>
      </c>
      <c r="C4956" s="958" t="s">
        <v>2074</v>
      </c>
      <c r="D4956" s="957" t="s">
        <v>2073</v>
      </c>
      <c r="E4956" s="956">
        <v>5867</v>
      </c>
      <c r="F4956" s="955"/>
      <c r="L4956" s="954"/>
      <c r="M4956" s="952"/>
      <c r="N4956" s="952"/>
    </row>
    <row r="4957" spans="1:14">
      <c r="A4957" s="958" t="s">
        <v>358</v>
      </c>
      <c r="B4957" s="958">
        <v>43</v>
      </c>
      <c r="C4957" s="958" t="s">
        <v>2072</v>
      </c>
      <c r="D4957" s="957" t="s">
        <v>2071</v>
      </c>
      <c r="E4957" s="956">
        <v>2323</v>
      </c>
      <c r="F4957" s="955"/>
      <c r="L4957" s="954"/>
      <c r="M4957" s="952"/>
      <c r="N4957" s="952"/>
    </row>
    <row r="4958" spans="1:14">
      <c r="A4958" s="958" t="s">
        <v>358</v>
      </c>
      <c r="B4958" s="958">
        <v>43</v>
      </c>
      <c r="C4958" s="958" t="s">
        <v>2070</v>
      </c>
      <c r="D4958" s="957" t="s">
        <v>2069</v>
      </c>
      <c r="E4958" s="956">
        <v>21349</v>
      </c>
      <c r="F4958" s="955"/>
      <c r="L4958" s="954"/>
      <c r="M4958" s="952"/>
      <c r="N4958" s="952"/>
    </row>
    <row r="4959" spans="1:14">
      <c r="A4959" s="958" t="s">
        <v>358</v>
      </c>
      <c r="B4959" s="958">
        <v>43</v>
      </c>
      <c r="C4959" s="958" t="s">
        <v>2068</v>
      </c>
      <c r="D4959" s="957" t="s">
        <v>2067</v>
      </c>
      <c r="E4959" s="956">
        <v>10601</v>
      </c>
      <c r="F4959" s="955"/>
      <c r="L4959" s="954"/>
      <c r="M4959" s="952"/>
      <c r="N4959" s="952"/>
    </row>
    <row r="4960" spans="1:14">
      <c r="A4960" s="958" t="s">
        <v>358</v>
      </c>
      <c r="B4960" s="958">
        <v>43</v>
      </c>
      <c r="C4960" s="958" t="s">
        <v>2066</v>
      </c>
      <c r="D4960" s="957" t="s">
        <v>2065</v>
      </c>
      <c r="E4960" s="956">
        <v>5130</v>
      </c>
      <c r="F4960" s="955"/>
      <c r="L4960" s="954"/>
      <c r="M4960" s="952"/>
      <c r="N4960" s="952"/>
    </row>
    <row r="4961" spans="1:14">
      <c r="A4961" s="958" t="s">
        <v>358</v>
      </c>
      <c r="B4961" s="958">
        <v>43</v>
      </c>
      <c r="C4961" s="958" t="s">
        <v>2064</v>
      </c>
      <c r="D4961" s="957" t="s">
        <v>2063</v>
      </c>
      <c r="E4961" s="956">
        <v>6847</v>
      </c>
      <c r="F4961" s="955"/>
      <c r="L4961" s="954"/>
      <c r="M4961" s="952"/>
      <c r="N4961" s="952"/>
    </row>
    <row r="4962" spans="1:14">
      <c r="A4962" s="958" t="s">
        <v>358</v>
      </c>
      <c r="B4962" s="958">
        <v>43</v>
      </c>
      <c r="C4962" s="958" t="s">
        <v>2062</v>
      </c>
      <c r="D4962" s="957" t="s">
        <v>2061</v>
      </c>
      <c r="E4962" s="956">
        <v>39422</v>
      </c>
      <c r="F4962" s="955"/>
      <c r="L4962" s="954"/>
      <c r="M4962" s="952"/>
      <c r="N4962" s="952"/>
    </row>
    <row r="4963" spans="1:14">
      <c r="A4963" s="958" t="s">
        <v>358</v>
      </c>
      <c r="B4963" s="958">
        <v>43</v>
      </c>
      <c r="C4963" s="958" t="s">
        <v>2060</v>
      </c>
      <c r="D4963" s="957" t="s">
        <v>2059</v>
      </c>
      <c r="E4963" s="956">
        <v>2609</v>
      </c>
      <c r="F4963" s="955"/>
      <c r="L4963" s="954"/>
      <c r="M4963" s="952"/>
      <c r="N4963" s="952"/>
    </row>
    <row r="4964" spans="1:14">
      <c r="A4964" s="958" t="s">
        <v>358</v>
      </c>
      <c r="B4964" s="958">
        <v>43</v>
      </c>
      <c r="C4964" s="958" t="s">
        <v>2058</v>
      </c>
      <c r="D4964" s="957" t="s">
        <v>2057</v>
      </c>
      <c r="E4964" s="956">
        <v>2650</v>
      </c>
      <c r="F4964" s="955"/>
      <c r="L4964" s="954"/>
      <c r="M4964" s="952"/>
      <c r="N4964" s="952"/>
    </row>
    <row r="4965" spans="1:14">
      <c r="A4965" s="958" t="s">
        <v>358</v>
      </c>
      <c r="B4965" s="958">
        <v>43</v>
      </c>
      <c r="C4965" s="958" t="s">
        <v>2056</v>
      </c>
      <c r="D4965" s="957" t="s">
        <v>2055</v>
      </c>
      <c r="E4965" s="956">
        <v>12449</v>
      </c>
      <c r="F4965" s="955"/>
      <c r="L4965" s="954"/>
      <c r="M4965" s="952"/>
      <c r="N4965" s="952"/>
    </row>
    <row r="4966" spans="1:14">
      <c r="A4966" s="958" t="s">
        <v>358</v>
      </c>
      <c r="B4966" s="958">
        <v>43</v>
      </c>
      <c r="C4966" s="958" t="s">
        <v>2054</v>
      </c>
      <c r="D4966" s="957" t="s">
        <v>2053</v>
      </c>
      <c r="E4966" s="956">
        <v>2733</v>
      </c>
      <c r="F4966" s="955"/>
      <c r="L4966" s="954"/>
      <c r="M4966" s="952"/>
      <c r="N4966" s="952"/>
    </row>
    <row r="4967" spans="1:14">
      <c r="A4967" s="958" t="s">
        <v>358</v>
      </c>
      <c r="B4967" s="958">
        <v>43</v>
      </c>
      <c r="C4967" s="958" t="s">
        <v>2052</v>
      </c>
      <c r="D4967" s="957" t="s">
        <v>2051</v>
      </c>
      <c r="E4967" s="956">
        <v>7799</v>
      </c>
      <c r="F4967" s="955"/>
      <c r="L4967" s="954"/>
      <c r="M4967" s="952"/>
      <c r="N4967" s="952"/>
    </row>
    <row r="4968" spans="1:14">
      <c r="A4968" s="958" t="s">
        <v>358</v>
      </c>
      <c r="B4968" s="958">
        <v>43</v>
      </c>
      <c r="C4968" s="958" t="s">
        <v>2050</v>
      </c>
      <c r="D4968" s="957" t="s">
        <v>2049</v>
      </c>
      <c r="E4968" s="956">
        <v>16270</v>
      </c>
      <c r="F4968" s="955"/>
      <c r="L4968" s="954"/>
      <c r="M4968" s="952"/>
      <c r="N4968" s="952"/>
    </row>
    <row r="4969" spans="1:14">
      <c r="A4969" s="958" t="s">
        <v>358</v>
      </c>
      <c r="B4969" s="958">
        <v>43</v>
      </c>
      <c r="C4969" s="958" t="s">
        <v>2048</v>
      </c>
      <c r="D4969" s="957" t="s">
        <v>2047</v>
      </c>
      <c r="E4969" s="956">
        <v>7994</v>
      </c>
      <c r="F4969" s="955"/>
      <c r="L4969" s="954"/>
      <c r="M4969" s="952"/>
      <c r="N4969" s="952"/>
    </row>
    <row r="4970" spans="1:14">
      <c r="A4970" s="958" t="s">
        <v>358</v>
      </c>
      <c r="B4970" s="958">
        <v>43</v>
      </c>
      <c r="C4970" s="958" t="s">
        <v>2046</v>
      </c>
      <c r="D4970" s="957" t="s">
        <v>2045</v>
      </c>
      <c r="E4970" s="956">
        <v>1639</v>
      </c>
      <c r="F4970" s="955"/>
      <c r="L4970" s="954"/>
      <c r="M4970" s="952"/>
      <c r="N4970" s="952"/>
    </row>
    <row r="4971" spans="1:14">
      <c r="A4971" s="958" t="s">
        <v>358</v>
      </c>
      <c r="B4971" s="958">
        <v>43</v>
      </c>
      <c r="C4971" s="958" t="s">
        <v>2044</v>
      </c>
      <c r="D4971" s="957" t="s">
        <v>2043</v>
      </c>
      <c r="E4971" s="956">
        <v>6603</v>
      </c>
      <c r="F4971" s="955"/>
      <c r="L4971" s="954"/>
      <c r="M4971" s="952"/>
      <c r="N4971" s="952"/>
    </row>
    <row r="4972" spans="1:14">
      <c r="A4972" s="958" t="s">
        <v>358</v>
      </c>
      <c r="B4972" s="958">
        <v>43</v>
      </c>
      <c r="C4972" s="958" t="s">
        <v>2042</v>
      </c>
      <c r="D4972" s="957" t="s">
        <v>2041</v>
      </c>
      <c r="E4972" s="956">
        <v>130416</v>
      </c>
      <c r="F4972" s="955"/>
      <c r="L4972" s="954"/>
      <c r="M4972" s="952"/>
      <c r="N4972" s="952"/>
    </row>
    <row r="4973" spans="1:14">
      <c r="A4973" s="958" t="s">
        <v>358</v>
      </c>
      <c r="B4973" s="958">
        <v>43</v>
      </c>
      <c r="C4973" s="958" t="s">
        <v>2040</v>
      </c>
      <c r="D4973" s="957" t="s">
        <v>2039</v>
      </c>
      <c r="E4973" s="956">
        <v>282123</v>
      </c>
      <c r="F4973" s="955"/>
      <c r="L4973" s="954"/>
      <c r="M4973" s="952"/>
      <c r="N4973" s="952"/>
    </row>
    <row r="4974" spans="1:14">
      <c r="A4974" s="958" t="s">
        <v>358</v>
      </c>
      <c r="B4974" s="958">
        <v>43</v>
      </c>
      <c r="C4974" s="958" t="s">
        <v>2038</v>
      </c>
      <c r="D4974" s="957" t="s">
        <v>2037</v>
      </c>
      <c r="E4974" s="956">
        <v>6331</v>
      </c>
      <c r="F4974" s="955"/>
      <c r="L4974" s="954"/>
      <c r="M4974" s="952"/>
      <c r="N4974" s="952"/>
    </row>
    <row r="4975" spans="1:14">
      <c r="A4975" s="958" t="s">
        <v>358</v>
      </c>
      <c r="B4975" s="958">
        <v>43</v>
      </c>
      <c r="C4975" s="958" t="s">
        <v>2036</v>
      </c>
      <c r="D4975" s="957" t="s">
        <v>2035</v>
      </c>
      <c r="E4975" s="956">
        <v>2562</v>
      </c>
      <c r="F4975" s="955"/>
      <c r="L4975" s="954"/>
      <c r="M4975" s="952"/>
      <c r="N4975" s="952"/>
    </row>
    <row r="4976" spans="1:14">
      <c r="A4976" s="958" t="s">
        <v>358</v>
      </c>
      <c r="B4976" s="958">
        <v>43</v>
      </c>
      <c r="C4976" s="958" t="s">
        <v>2034</v>
      </c>
      <c r="D4976" s="957" t="s">
        <v>2033</v>
      </c>
      <c r="E4976" s="956">
        <v>8098</v>
      </c>
      <c r="F4976" s="955"/>
      <c r="L4976" s="954"/>
      <c r="M4976" s="952"/>
      <c r="N4976" s="952"/>
    </row>
    <row r="4977" spans="1:14">
      <c r="A4977" s="958" t="s">
        <v>358</v>
      </c>
      <c r="B4977" s="958">
        <v>43</v>
      </c>
      <c r="C4977" s="958" t="s">
        <v>2032</v>
      </c>
      <c r="D4977" s="957" t="s">
        <v>2031</v>
      </c>
      <c r="E4977" s="956">
        <v>77027</v>
      </c>
      <c r="F4977" s="955"/>
      <c r="L4977" s="954"/>
      <c r="M4977" s="952"/>
      <c r="N4977" s="952"/>
    </row>
    <row r="4978" spans="1:14">
      <c r="A4978" s="958" t="s">
        <v>358</v>
      </c>
      <c r="B4978" s="958">
        <v>43</v>
      </c>
      <c r="C4978" s="958" t="s">
        <v>2030</v>
      </c>
      <c r="D4978" s="957" t="s">
        <v>2029</v>
      </c>
      <c r="E4978" s="956">
        <v>73254</v>
      </c>
      <c r="F4978" s="955"/>
      <c r="L4978" s="954"/>
      <c r="M4978" s="952"/>
      <c r="N4978" s="952"/>
    </row>
    <row r="4979" spans="1:14">
      <c r="A4979" s="958" t="s">
        <v>358</v>
      </c>
      <c r="B4979" s="958">
        <v>43</v>
      </c>
      <c r="C4979" s="958" t="s">
        <v>2028</v>
      </c>
      <c r="D4979" s="957" t="s">
        <v>2027</v>
      </c>
      <c r="E4979" s="956">
        <v>1729</v>
      </c>
      <c r="F4979" s="955"/>
      <c r="L4979" s="954"/>
      <c r="M4979" s="952"/>
      <c r="N4979" s="952"/>
    </row>
    <row r="4980" spans="1:14">
      <c r="A4980" s="958" t="s">
        <v>358</v>
      </c>
      <c r="B4980" s="958">
        <v>43</v>
      </c>
      <c r="C4980" s="958" t="s">
        <v>2026</v>
      </c>
      <c r="D4980" s="957" t="s">
        <v>2025</v>
      </c>
      <c r="E4980" s="956">
        <v>29676</v>
      </c>
      <c r="F4980" s="955"/>
      <c r="L4980" s="954"/>
      <c r="M4980" s="952"/>
      <c r="N4980" s="952"/>
    </row>
    <row r="4981" spans="1:14">
      <c r="A4981" s="958" t="s">
        <v>358</v>
      </c>
      <c r="B4981" s="958">
        <v>43</v>
      </c>
      <c r="C4981" s="958" t="s">
        <v>2024</v>
      </c>
      <c r="D4981" s="957" t="s">
        <v>2023</v>
      </c>
      <c r="E4981" s="956">
        <v>49425</v>
      </c>
      <c r="F4981" s="955"/>
      <c r="L4981" s="954"/>
      <c r="M4981" s="952"/>
      <c r="N4981" s="952"/>
    </row>
    <row r="4982" spans="1:14">
      <c r="A4982" s="958" t="s">
        <v>358</v>
      </c>
      <c r="B4982" s="958">
        <v>43</v>
      </c>
      <c r="C4982" s="958" t="s">
        <v>2022</v>
      </c>
      <c r="D4982" s="957" t="s">
        <v>2021</v>
      </c>
      <c r="E4982" s="956">
        <v>77593</v>
      </c>
      <c r="F4982" s="955"/>
      <c r="L4982" s="954"/>
      <c r="M4982" s="952"/>
      <c r="N4982" s="952"/>
    </row>
    <row r="4983" spans="1:14">
      <c r="A4983" s="958" t="s">
        <v>358</v>
      </c>
      <c r="B4983" s="958">
        <v>43</v>
      </c>
      <c r="C4983" s="958" t="s">
        <v>2020</v>
      </c>
      <c r="D4983" s="957" t="s">
        <v>2019</v>
      </c>
      <c r="E4983" s="956">
        <v>2128</v>
      </c>
      <c r="F4983" s="955"/>
      <c r="L4983" s="954"/>
      <c r="M4983" s="952"/>
      <c r="N4983" s="952"/>
    </row>
    <row r="4984" spans="1:14">
      <c r="A4984" s="958" t="s">
        <v>358</v>
      </c>
      <c r="B4984" s="958">
        <v>43</v>
      </c>
      <c r="C4984" s="958" t="s">
        <v>2018</v>
      </c>
      <c r="D4984" s="957" t="s">
        <v>2017</v>
      </c>
      <c r="E4984" s="956">
        <v>42894</v>
      </c>
      <c r="F4984" s="955"/>
      <c r="L4984" s="954"/>
      <c r="M4984" s="952"/>
      <c r="N4984" s="952"/>
    </row>
    <row r="4985" spans="1:14">
      <c r="A4985" s="958" t="s">
        <v>358</v>
      </c>
      <c r="B4985" s="958">
        <v>43</v>
      </c>
      <c r="C4985" s="958" t="s">
        <v>2016</v>
      </c>
      <c r="D4985" s="957" t="s">
        <v>2015</v>
      </c>
      <c r="E4985" s="956">
        <v>10175</v>
      </c>
      <c r="F4985" s="955"/>
      <c r="L4985" s="954"/>
      <c r="M4985" s="952"/>
      <c r="N4985" s="952"/>
    </row>
    <row r="4986" spans="1:14">
      <c r="A4986" s="958" t="s">
        <v>358</v>
      </c>
      <c r="B4986" s="958">
        <v>43</v>
      </c>
      <c r="C4986" s="958" t="s">
        <v>2014</v>
      </c>
      <c r="D4986" s="957" t="s">
        <v>2013</v>
      </c>
      <c r="E4986" s="956">
        <v>2019</v>
      </c>
      <c r="F4986" s="955"/>
      <c r="L4986" s="954"/>
      <c r="M4986" s="952"/>
      <c r="N4986" s="952"/>
    </row>
    <row r="4987" spans="1:14">
      <c r="A4987" s="958" t="s">
        <v>358</v>
      </c>
      <c r="B4987" s="958">
        <v>43</v>
      </c>
      <c r="C4987" s="958" t="s">
        <v>2012</v>
      </c>
      <c r="D4987" s="957" t="s">
        <v>2011</v>
      </c>
      <c r="E4987" s="956">
        <v>13885</v>
      </c>
      <c r="F4987" s="955"/>
      <c r="L4987" s="954"/>
      <c r="M4987" s="952"/>
      <c r="N4987" s="952"/>
    </row>
    <row r="4988" spans="1:14">
      <c r="A4988" s="958" t="s">
        <v>358</v>
      </c>
      <c r="B4988" s="958">
        <v>43</v>
      </c>
      <c r="C4988" s="958" t="s">
        <v>2010</v>
      </c>
      <c r="D4988" s="957" t="s">
        <v>2009</v>
      </c>
      <c r="E4988" s="956">
        <v>14257</v>
      </c>
      <c r="F4988" s="955"/>
      <c r="L4988" s="954"/>
      <c r="M4988" s="952"/>
      <c r="N4988" s="952"/>
    </row>
    <row r="4989" spans="1:14">
      <c r="A4989" s="958" t="s">
        <v>358</v>
      </c>
      <c r="B4989" s="958">
        <v>43</v>
      </c>
      <c r="C4989" s="958" t="s">
        <v>2008</v>
      </c>
      <c r="D4989" s="957" t="s">
        <v>2007</v>
      </c>
      <c r="E4989" s="956">
        <v>2324</v>
      </c>
      <c r="F4989" s="955"/>
      <c r="L4989" s="954"/>
      <c r="M4989" s="952"/>
      <c r="N4989" s="952"/>
    </row>
    <row r="4990" spans="1:14">
      <c r="A4990" s="958" t="s">
        <v>358</v>
      </c>
      <c r="B4990" s="958">
        <v>43</v>
      </c>
      <c r="C4990" s="958" t="s">
        <v>2006</v>
      </c>
      <c r="D4990" s="957" t="s">
        <v>2005</v>
      </c>
      <c r="E4990" s="956">
        <v>60282</v>
      </c>
      <c r="F4990" s="955"/>
      <c r="L4990" s="954"/>
      <c r="M4990" s="952"/>
      <c r="N4990" s="952"/>
    </row>
    <row r="4991" spans="1:14">
      <c r="A4991" s="958" t="s">
        <v>358</v>
      </c>
      <c r="B4991" s="958">
        <v>43</v>
      </c>
      <c r="C4991" s="958" t="s">
        <v>2004</v>
      </c>
      <c r="D4991" s="957" t="s">
        <v>2003</v>
      </c>
      <c r="E4991" s="956">
        <v>3074</v>
      </c>
      <c r="F4991" s="955"/>
      <c r="L4991" s="954"/>
      <c r="M4991" s="952"/>
      <c r="N4991" s="952"/>
    </row>
    <row r="4992" spans="1:14">
      <c r="A4992" s="958" t="s">
        <v>358</v>
      </c>
      <c r="B4992" s="958">
        <v>43</v>
      </c>
      <c r="C4992" s="958" t="s">
        <v>2002</v>
      </c>
      <c r="D4992" s="957" t="s">
        <v>2001</v>
      </c>
      <c r="E4992" s="956">
        <v>18335</v>
      </c>
      <c r="F4992" s="955"/>
      <c r="L4992" s="954"/>
      <c r="M4992" s="952"/>
      <c r="N4992" s="952"/>
    </row>
    <row r="4993" spans="1:14">
      <c r="A4993" s="958" t="s">
        <v>358</v>
      </c>
      <c r="B4993" s="958">
        <v>43</v>
      </c>
      <c r="C4993" s="958" t="s">
        <v>2000</v>
      </c>
      <c r="D4993" s="957" t="s">
        <v>1999</v>
      </c>
      <c r="E4993" s="956">
        <v>21710</v>
      </c>
      <c r="F4993" s="955"/>
      <c r="L4993" s="954"/>
      <c r="M4993" s="952"/>
      <c r="N4993" s="952"/>
    </row>
    <row r="4994" spans="1:14">
      <c r="A4994" s="958" t="s">
        <v>358</v>
      </c>
      <c r="B4994" s="958">
        <v>43</v>
      </c>
      <c r="C4994" s="958" t="s">
        <v>1998</v>
      </c>
      <c r="D4994" s="957" t="s">
        <v>1997</v>
      </c>
      <c r="E4994" s="956">
        <v>62105</v>
      </c>
      <c r="F4994" s="955"/>
      <c r="L4994" s="954"/>
      <c r="M4994" s="952"/>
      <c r="N4994" s="952"/>
    </row>
    <row r="4995" spans="1:14">
      <c r="A4995" s="958" t="s">
        <v>358</v>
      </c>
      <c r="B4995" s="958">
        <v>43</v>
      </c>
      <c r="C4995" s="958" t="s">
        <v>1996</v>
      </c>
      <c r="D4995" s="957" t="s">
        <v>1995</v>
      </c>
      <c r="E4995" s="956">
        <v>24248</v>
      </c>
      <c r="F4995" s="955"/>
      <c r="L4995" s="954"/>
      <c r="M4995" s="952"/>
      <c r="N4995" s="952"/>
    </row>
    <row r="4996" spans="1:14">
      <c r="A4996" s="958" t="s">
        <v>358</v>
      </c>
      <c r="B4996" s="958">
        <v>43</v>
      </c>
      <c r="C4996" s="958" t="s">
        <v>1994</v>
      </c>
      <c r="D4996" s="957" t="s">
        <v>1993</v>
      </c>
      <c r="E4996" s="956">
        <v>4657</v>
      </c>
      <c r="F4996" s="955"/>
      <c r="L4996" s="954"/>
      <c r="M4996" s="952"/>
      <c r="N4996" s="952"/>
    </row>
    <row r="4997" spans="1:14">
      <c r="A4997" s="958" t="s">
        <v>358</v>
      </c>
      <c r="B4997" s="958">
        <v>43</v>
      </c>
      <c r="C4997" s="958" t="s">
        <v>1992</v>
      </c>
      <c r="D4997" s="957" t="s">
        <v>1991</v>
      </c>
      <c r="E4997" s="956">
        <v>2552</v>
      </c>
      <c r="F4997" s="955"/>
      <c r="L4997" s="954"/>
      <c r="M4997" s="952"/>
      <c r="N4997" s="952"/>
    </row>
    <row r="4998" spans="1:14">
      <c r="A4998" s="958" t="s">
        <v>358</v>
      </c>
      <c r="B4998" s="958">
        <v>43</v>
      </c>
      <c r="C4998" s="958" t="s">
        <v>1990</v>
      </c>
      <c r="D4998" s="957" t="s">
        <v>1989</v>
      </c>
      <c r="E4998" s="956">
        <v>2824</v>
      </c>
      <c r="F4998" s="955"/>
      <c r="L4998" s="954"/>
      <c r="M4998" s="952"/>
      <c r="N4998" s="952"/>
    </row>
    <row r="4999" spans="1:14">
      <c r="A4999" s="958" t="s">
        <v>358</v>
      </c>
      <c r="B4999" s="958">
        <v>43</v>
      </c>
      <c r="C4999" s="958" t="s">
        <v>1988</v>
      </c>
      <c r="D4999" s="957" t="s">
        <v>1987</v>
      </c>
      <c r="E4999" s="956">
        <v>2537</v>
      </c>
      <c r="F4999" s="955"/>
      <c r="L4999" s="954"/>
      <c r="M4999" s="952"/>
      <c r="N4999" s="952"/>
    </row>
    <row r="5000" spans="1:14">
      <c r="A5000" s="958" t="s">
        <v>358</v>
      </c>
      <c r="B5000" s="958">
        <v>43</v>
      </c>
      <c r="C5000" s="958" t="s">
        <v>1986</v>
      </c>
      <c r="D5000" s="957" t="s">
        <v>1985</v>
      </c>
      <c r="E5000" s="956">
        <v>1971</v>
      </c>
      <c r="F5000" s="955"/>
      <c r="L5000" s="954"/>
      <c r="M5000" s="952"/>
      <c r="N5000" s="952"/>
    </row>
    <row r="5001" spans="1:14">
      <c r="A5001" s="958" t="s">
        <v>358</v>
      </c>
      <c r="B5001" s="958">
        <v>43</v>
      </c>
      <c r="C5001" s="958" t="s">
        <v>1984</v>
      </c>
      <c r="D5001" s="957" t="s">
        <v>1983</v>
      </c>
      <c r="E5001" s="956">
        <v>4804</v>
      </c>
      <c r="F5001" s="955"/>
      <c r="L5001" s="954"/>
      <c r="M5001" s="952"/>
      <c r="N5001" s="952"/>
    </row>
    <row r="5002" spans="1:14">
      <c r="A5002" s="958" t="s">
        <v>358</v>
      </c>
      <c r="B5002" s="958">
        <v>43</v>
      </c>
      <c r="C5002" s="958" t="s">
        <v>1982</v>
      </c>
      <c r="D5002" s="957" t="s">
        <v>1981</v>
      </c>
      <c r="E5002" s="956">
        <v>2073</v>
      </c>
      <c r="F5002" s="955"/>
      <c r="L5002" s="954"/>
      <c r="M5002" s="952"/>
      <c r="N5002" s="952"/>
    </row>
    <row r="5003" spans="1:14">
      <c r="A5003" s="958" t="s">
        <v>358</v>
      </c>
      <c r="B5003" s="958">
        <v>43</v>
      </c>
      <c r="C5003" s="958" t="s">
        <v>1980</v>
      </c>
      <c r="D5003" s="957" t="s">
        <v>1979</v>
      </c>
      <c r="E5003" s="956">
        <v>27568</v>
      </c>
      <c r="F5003" s="955"/>
      <c r="L5003" s="954"/>
      <c r="M5003" s="952"/>
      <c r="N5003" s="952"/>
    </row>
    <row r="5004" spans="1:14">
      <c r="A5004" s="958" t="s">
        <v>358</v>
      </c>
      <c r="B5004" s="958">
        <v>43</v>
      </c>
      <c r="C5004" s="958" t="s">
        <v>1978</v>
      </c>
      <c r="D5004" s="957" t="s">
        <v>1977</v>
      </c>
      <c r="E5004" s="956">
        <v>6933</v>
      </c>
      <c r="F5004" s="955"/>
      <c r="L5004" s="954"/>
      <c r="M5004" s="952"/>
      <c r="N5004" s="952"/>
    </row>
    <row r="5005" spans="1:14">
      <c r="A5005" s="958" t="s">
        <v>358</v>
      </c>
      <c r="B5005" s="958">
        <v>43</v>
      </c>
      <c r="C5005" s="958" t="s">
        <v>1976</v>
      </c>
      <c r="D5005" s="957" t="s">
        <v>1975</v>
      </c>
      <c r="E5005" s="956">
        <v>2408</v>
      </c>
      <c r="F5005" s="955"/>
      <c r="L5005" s="954"/>
      <c r="M5005" s="952"/>
      <c r="N5005" s="952"/>
    </row>
    <row r="5006" spans="1:14">
      <c r="A5006" s="958" t="s">
        <v>358</v>
      </c>
      <c r="B5006" s="958">
        <v>43</v>
      </c>
      <c r="C5006" s="958" t="s">
        <v>1974</v>
      </c>
      <c r="D5006" s="957" t="s">
        <v>1973</v>
      </c>
      <c r="E5006" s="956">
        <v>3527</v>
      </c>
      <c r="F5006" s="955"/>
      <c r="L5006" s="954"/>
      <c r="M5006" s="952"/>
      <c r="N5006" s="952"/>
    </row>
    <row r="5007" spans="1:14">
      <c r="A5007" s="958" t="s">
        <v>358</v>
      </c>
      <c r="B5007" s="958">
        <v>43</v>
      </c>
      <c r="C5007" s="958" t="s">
        <v>1972</v>
      </c>
      <c r="D5007" s="957" t="s">
        <v>1971</v>
      </c>
      <c r="E5007" s="956">
        <v>236835</v>
      </c>
      <c r="F5007" s="955"/>
      <c r="L5007" s="954"/>
      <c r="M5007" s="952"/>
      <c r="N5007" s="952"/>
    </row>
    <row r="5008" spans="1:14">
      <c r="A5008" s="958" t="s">
        <v>358</v>
      </c>
      <c r="B5008" s="958">
        <v>43</v>
      </c>
      <c r="C5008" s="958" t="s">
        <v>1970</v>
      </c>
      <c r="D5008" s="957" t="s">
        <v>1969</v>
      </c>
      <c r="E5008" s="956">
        <v>43582</v>
      </c>
      <c r="F5008" s="955"/>
      <c r="L5008" s="954"/>
      <c r="M5008" s="952"/>
      <c r="N5008" s="952"/>
    </row>
    <row r="5009" spans="1:14">
      <c r="A5009" s="958" t="s">
        <v>358</v>
      </c>
      <c r="B5009" s="958">
        <v>43</v>
      </c>
      <c r="C5009" s="958" t="s">
        <v>1968</v>
      </c>
      <c r="D5009" s="957" t="s">
        <v>1967</v>
      </c>
      <c r="E5009" s="956">
        <v>33468</v>
      </c>
      <c r="F5009" s="955"/>
      <c r="L5009" s="954"/>
      <c r="M5009" s="952"/>
      <c r="N5009" s="952"/>
    </row>
    <row r="5010" spans="1:14">
      <c r="A5010" s="958" t="s">
        <v>358</v>
      </c>
      <c r="B5010" s="958">
        <v>43</v>
      </c>
      <c r="C5010" s="958" t="s">
        <v>1966</v>
      </c>
      <c r="D5010" s="957" t="s">
        <v>1965</v>
      </c>
      <c r="E5010" s="956">
        <v>21556</v>
      </c>
      <c r="F5010" s="955"/>
      <c r="L5010" s="954"/>
      <c r="M5010" s="952"/>
      <c r="N5010" s="952"/>
    </row>
    <row r="5011" spans="1:14">
      <c r="A5011" s="958" t="s">
        <v>358</v>
      </c>
      <c r="B5011" s="958">
        <v>43</v>
      </c>
      <c r="C5011" s="958" t="s">
        <v>1964</v>
      </c>
      <c r="D5011" s="957" t="s">
        <v>1963</v>
      </c>
      <c r="E5011" s="956">
        <v>5426</v>
      </c>
      <c r="F5011" s="955"/>
      <c r="L5011" s="954"/>
      <c r="M5011" s="952"/>
      <c r="N5011" s="952"/>
    </row>
    <row r="5012" spans="1:14">
      <c r="A5012" s="958" t="s">
        <v>358</v>
      </c>
      <c r="B5012" s="958">
        <v>43</v>
      </c>
      <c r="C5012" s="958" t="s">
        <v>1962</v>
      </c>
      <c r="D5012" s="957" t="s">
        <v>1961</v>
      </c>
      <c r="E5012" s="956">
        <v>3234</v>
      </c>
      <c r="F5012" s="955"/>
      <c r="L5012" s="954"/>
      <c r="M5012" s="952"/>
      <c r="N5012" s="952"/>
    </row>
    <row r="5013" spans="1:14">
      <c r="A5013" s="958" t="s">
        <v>358</v>
      </c>
      <c r="B5013" s="958">
        <v>43</v>
      </c>
      <c r="C5013" s="958" t="s">
        <v>1960</v>
      </c>
      <c r="D5013" s="957" t="s">
        <v>1959</v>
      </c>
      <c r="E5013" s="956">
        <v>7673</v>
      </c>
      <c r="F5013" s="955"/>
      <c r="L5013" s="954"/>
      <c r="M5013" s="952"/>
      <c r="N5013" s="952"/>
    </row>
    <row r="5014" spans="1:14">
      <c r="A5014" s="958" t="s">
        <v>358</v>
      </c>
      <c r="B5014" s="958">
        <v>43</v>
      </c>
      <c r="C5014" s="958" t="s">
        <v>1958</v>
      </c>
      <c r="D5014" s="957" t="s">
        <v>1957</v>
      </c>
      <c r="E5014" s="956">
        <v>5265</v>
      </c>
      <c r="F5014" s="955"/>
      <c r="L5014" s="954"/>
      <c r="M5014" s="952"/>
      <c r="N5014" s="952"/>
    </row>
    <row r="5015" spans="1:14">
      <c r="A5015" s="958" t="s">
        <v>358</v>
      </c>
      <c r="B5015" s="958">
        <v>43</v>
      </c>
      <c r="C5015" s="958" t="s">
        <v>1956</v>
      </c>
      <c r="D5015" s="957" t="s">
        <v>1955</v>
      </c>
      <c r="E5015" s="956">
        <v>5790</v>
      </c>
      <c r="F5015" s="955"/>
      <c r="L5015" s="954"/>
      <c r="M5015" s="952"/>
      <c r="N5015" s="952"/>
    </row>
    <row r="5016" spans="1:14">
      <c r="A5016" s="958" t="s">
        <v>358</v>
      </c>
      <c r="B5016" s="958">
        <v>43</v>
      </c>
      <c r="C5016" s="958" t="s">
        <v>1954</v>
      </c>
      <c r="D5016" s="957" t="s">
        <v>1953</v>
      </c>
      <c r="E5016" s="956">
        <v>3801</v>
      </c>
      <c r="F5016" s="955"/>
      <c r="L5016" s="954"/>
      <c r="M5016" s="952"/>
      <c r="N5016" s="952"/>
    </row>
    <row r="5017" spans="1:14">
      <c r="A5017" s="958" t="s">
        <v>358</v>
      </c>
      <c r="B5017" s="958">
        <v>43</v>
      </c>
      <c r="C5017" s="958" t="s">
        <v>1952</v>
      </c>
      <c r="D5017" s="957" t="s">
        <v>1951</v>
      </c>
      <c r="E5017" s="956">
        <v>2009</v>
      </c>
      <c r="F5017" s="955"/>
      <c r="L5017" s="954"/>
      <c r="M5017" s="952"/>
      <c r="N5017" s="952"/>
    </row>
    <row r="5018" spans="1:14">
      <c r="A5018" s="958" t="s">
        <v>358</v>
      </c>
      <c r="B5018" s="958">
        <v>43</v>
      </c>
      <c r="C5018" s="958" t="s">
        <v>1950</v>
      </c>
      <c r="D5018" s="957" t="s">
        <v>1949</v>
      </c>
      <c r="E5018" s="956">
        <v>2947</v>
      </c>
      <c r="F5018" s="955"/>
      <c r="L5018" s="954"/>
      <c r="M5018" s="952"/>
      <c r="N5018" s="952"/>
    </row>
    <row r="5019" spans="1:14">
      <c r="A5019" s="958" t="s">
        <v>358</v>
      </c>
      <c r="B5019" s="958">
        <v>43</v>
      </c>
      <c r="C5019" s="958" t="s">
        <v>1948</v>
      </c>
      <c r="D5019" s="957" t="s">
        <v>1947</v>
      </c>
      <c r="E5019" s="956">
        <v>16198</v>
      </c>
      <c r="F5019" s="955"/>
      <c r="L5019" s="954"/>
      <c r="M5019" s="952"/>
      <c r="N5019" s="952"/>
    </row>
    <row r="5020" spans="1:14">
      <c r="A5020" s="958" t="s">
        <v>358</v>
      </c>
      <c r="B5020" s="958">
        <v>43</v>
      </c>
      <c r="C5020" s="958" t="s">
        <v>1946</v>
      </c>
      <c r="D5020" s="957" t="s">
        <v>1945</v>
      </c>
      <c r="E5020" s="956">
        <v>25685</v>
      </c>
      <c r="F5020" s="955"/>
      <c r="L5020" s="954"/>
      <c r="M5020" s="952"/>
      <c r="N5020" s="952"/>
    </row>
    <row r="5021" spans="1:14">
      <c r="A5021" s="958" t="s">
        <v>358</v>
      </c>
      <c r="B5021" s="958">
        <v>43</v>
      </c>
      <c r="C5021" s="958" t="s">
        <v>1944</v>
      </c>
      <c r="D5021" s="957" t="s">
        <v>1943</v>
      </c>
      <c r="E5021" s="956">
        <v>23621</v>
      </c>
      <c r="F5021" s="955"/>
      <c r="L5021" s="954"/>
      <c r="M5021" s="952"/>
      <c r="N5021" s="952"/>
    </row>
    <row r="5022" spans="1:14">
      <c r="A5022" s="958" t="s">
        <v>358</v>
      </c>
      <c r="B5022" s="958">
        <v>43</v>
      </c>
      <c r="C5022" s="958" t="s">
        <v>1942</v>
      </c>
      <c r="D5022" s="957" t="s">
        <v>1941</v>
      </c>
      <c r="E5022" s="956">
        <v>3299</v>
      </c>
      <c r="F5022" s="955"/>
      <c r="L5022" s="954"/>
      <c r="M5022" s="952"/>
      <c r="N5022" s="952"/>
    </row>
    <row r="5023" spans="1:14">
      <c r="A5023" s="958" t="s">
        <v>358</v>
      </c>
      <c r="B5023" s="958">
        <v>43</v>
      </c>
      <c r="C5023" s="958" t="s">
        <v>1940</v>
      </c>
      <c r="D5023" s="957" t="s">
        <v>1939</v>
      </c>
      <c r="E5023" s="956">
        <v>2242</v>
      </c>
      <c r="F5023" s="955"/>
      <c r="L5023" s="954"/>
      <c r="M5023" s="952"/>
      <c r="N5023" s="952"/>
    </row>
    <row r="5024" spans="1:14">
      <c r="A5024" s="958" t="s">
        <v>358</v>
      </c>
      <c r="B5024" s="958">
        <v>43</v>
      </c>
      <c r="C5024" s="958" t="s">
        <v>1938</v>
      </c>
      <c r="D5024" s="957" t="s">
        <v>1937</v>
      </c>
      <c r="E5024" s="956">
        <v>2727</v>
      </c>
      <c r="F5024" s="955"/>
      <c r="L5024" s="954"/>
      <c r="M5024" s="952"/>
      <c r="N5024" s="952"/>
    </row>
    <row r="5025" spans="1:14">
      <c r="A5025" s="958" t="s">
        <v>358</v>
      </c>
      <c r="B5025" s="958">
        <v>43</v>
      </c>
      <c r="C5025" s="958" t="s">
        <v>1936</v>
      </c>
      <c r="D5025" s="957" t="s">
        <v>1935</v>
      </c>
      <c r="E5025" s="956">
        <v>2243</v>
      </c>
      <c r="F5025" s="955"/>
      <c r="L5025" s="954"/>
      <c r="M5025" s="952"/>
      <c r="N5025" s="952"/>
    </row>
    <row r="5026" spans="1:14">
      <c r="A5026" s="958" t="s">
        <v>358</v>
      </c>
      <c r="B5026" s="958">
        <v>43</v>
      </c>
      <c r="C5026" s="958" t="s">
        <v>1934</v>
      </c>
      <c r="D5026" s="957" t="s">
        <v>1933</v>
      </c>
      <c r="E5026" s="956">
        <v>8721</v>
      </c>
      <c r="F5026" s="955"/>
      <c r="L5026" s="954"/>
      <c r="M5026" s="952"/>
      <c r="N5026" s="952"/>
    </row>
    <row r="5027" spans="1:14">
      <c r="A5027" s="958" t="s">
        <v>358</v>
      </c>
      <c r="B5027" s="958">
        <v>43</v>
      </c>
      <c r="C5027" s="958" t="s">
        <v>1932</v>
      </c>
      <c r="D5027" s="957" t="s">
        <v>1931</v>
      </c>
      <c r="E5027" s="956">
        <v>81734</v>
      </c>
      <c r="F5027" s="955"/>
      <c r="L5027" s="954"/>
      <c r="M5027" s="952"/>
      <c r="N5027" s="952"/>
    </row>
    <row r="5028" spans="1:14">
      <c r="A5028" s="958" t="s">
        <v>358</v>
      </c>
      <c r="B5028" s="958">
        <v>43</v>
      </c>
      <c r="C5028" s="958" t="s">
        <v>1930</v>
      </c>
      <c r="D5028" s="957" t="s">
        <v>1929</v>
      </c>
      <c r="E5028" s="956">
        <v>141075</v>
      </c>
      <c r="F5028" s="955"/>
      <c r="L5028" s="954"/>
      <c r="M5028" s="952"/>
      <c r="N5028" s="952"/>
    </row>
    <row r="5029" spans="1:14">
      <c r="A5029" s="958" t="s">
        <v>358</v>
      </c>
      <c r="B5029" s="958">
        <v>43</v>
      </c>
      <c r="C5029" s="958" t="s">
        <v>1928</v>
      </c>
      <c r="D5029" s="957" t="s">
        <v>1927</v>
      </c>
      <c r="E5029" s="956">
        <v>24489</v>
      </c>
      <c r="F5029" s="955"/>
      <c r="L5029" s="954"/>
      <c r="M5029" s="952"/>
      <c r="N5029" s="952"/>
    </row>
    <row r="5030" spans="1:14">
      <c r="A5030" s="958" t="s">
        <v>358</v>
      </c>
      <c r="B5030" s="958">
        <v>43</v>
      </c>
      <c r="C5030" s="958" t="s">
        <v>1926</v>
      </c>
      <c r="D5030" s="957" t="s">
        <v>1925</v>
      </c>
      <c r="E5030" s="956">
        <v>10750</v>
      </c>
      <c r="F5030" s="955"/>
      <c r="L5030" s="954"/>
      <c r="M5030" s="952"/>
      <c r="N5030" s="952"/>
    </row>
    <row r="5031" spans="1:14">
      <c r="A5031" s="958" t="s">
        <v>358</v>
      </c>
      <c r="B5031" s="958">
        <v>43</v>
      </c>
      <c r="C5031" s="958" t="s">
        <v>1924</v>
      </c>
      <c r="D5031" s="957" t="s">
        <v>1923</v>
      </c>
      <c r="E5031" s="956">
        <v>2907</v>
      </c>
      <c r="F5031" s="955"/>
      <c r="L5031" s="954"/>
      <c r="M5031" s="952"/>
      <c r="N5031" s="952"/>
    </row>
    <row r="5032" spans="1:14">
      <c r="A5032" s="958" t="s">
        <v>358</v>
      </c>
      <c r="B5032" s="958">
        <v>43</v>
      </c>
      <c r="C5032" s="958" t="s">
        <v>1922</v>
      </c>
      <c r="D5032" s="957" t="s">
        <v>1921</v>
      </c>
      <c r="E5032" s="956">
        <v>7421</v>
      </c>
      <c r="F5032" s="955"/>
      <c r="L5032" s="954"/>
      <c r="M5032" s="952"/>
      <c r="N5032" s="952"/>
    </row>
    <row r="5033" spans="1:14">
      <c r="A5033" s="958" t="s">
        <v>358</v>
      </c>
      <c r="B5033" s="958">
        <v>43</v>
      </c>
      <c r="C5033" s="958" t="s">
        <v>1920</v>
      </c>
      <c r="D5033" s="957" t="s">
        <v>1919</v>
      </c>
      <c r="E5033" s="956">
        <v>5100</v>
      </c>
      <c r="F5033" s="955"/>
      <c r="L5033" s="954"/>
      <c r="M5033" s="952"/>
      <c r="N5033" s="952"/>
    </row>
    <row r="5034" spans="1:14">
      <c r="A5034" s="958" t="s">
        <v>358</v>
      </c>
      <c r="B5034" s="958">
        <v>43</v>
      </c>
      <c r="C5034" s="958" t="s">
        <v>1918</v>
      </c>
      <c r="D5034" s="957" t="s">
        <v>1917</v>
      </c>
      <c r="E5034" s="956">
        <v>2779</v>
      </c>
      <c r="F5034" s="955"/>
      <c r="L5034" s="954"/>
      <c r="M5034" s="952"/>
      <c r="N5034" s="952"/>
    </row>
    <row r="5035" spans="1:14">
      <c r="A5035" s="958" t="s">
        <v>358</v>
      </c>
      <c r="B5035" s="958">
        <v>43</v>
      </c>
      <c r="C5035" s="958" t="s">
        <v>1916</v>
      </c>
      <c r="D5035" s="957" t="s">
        <v>1915</v>
      </c>
      <c r="E5035" s="956">
        <v>5581</v>
      </c>
      <c r="F5035" s="955"/>
      <c r="L5035" s="954"/>
      <c r="M5035" s="952"/>
      <c r="N5035" s="952"/>
    </row>
    <row r="5036" spans="1:14">
      <c r="A5036" s="958" t="s">
        <v>358</v>
      </c>
      <c r="B5036" s="958">
        <v>43</v>
      </c>
      <c r="C5036" s="958" t="s">
        <v>1914</v>
      </c>
      <c r="D5036" s="957" t="s">
        <v>1913</v>
      </c>
      <c r="E5036" s="956">
        <v>17502</v>
      </c>
      <c r="F5036" s="955"/>
      <c r="L5036" s="954"/>
      <c r="M5036" s="952"/>
      <c r="N5036" s="952"/>
    </row>
    <row r="5037" spans="1:14">
      <c r="A5037" s="958" t="s">
        <v>358</v>
      </c>
      <c r="B5037" s="958">
        <v>43</v>
      </c>
      <c r="C5037" s="958" t="s">
        <v>1912</v>
      </c>
      <c r="D5037" s="957" t="s">
        <v>1911</v>
      </c>
      <c r="E5037" s="956">
        <v>1962</v>
      </c>
      <c r="F5037" s="955"/>
      <c r="L5037" s="954"/>
      <c r="M5037" s="952"/>
      <c r="N5037" s="952"/>
    </row>
    <row r="5038" spans="1:14">
      <c r="A5038" s="958" t="s">
        <v>358</v>
      </c>
      <c r="B5038" s="958">
        <v>43</v>
      </c>
      <c r="C5038" s="958" t="s">
        <v>1910</v>
      </c>
      <c r="D5038" s="957" t="s">
        <v>1909</v>
      </c>
      <c r="E5038" s="956">
        <v>5415</v>
      </c>
      <c r="F5038" s="955"/>
      <c r="L5038" s="954"/>
      <c r="M5038" s="952"/>
      <c r="N5038" s="952"/>
    </row>
    <row r="5039" spans="1:14">
      <c r="A5039" s="958" t="s">
        <v>358</v>
      </c>
      <c r="B5039" s="958">
        <v>43</v>
      </c>
      <c r="C5039" s="958" t="s">
        <v>1908</v>
      </c>
      <c r="D5039" s="957" t="s">
        <v>1907</v>
      </c>
      <c r="E5039" s="956">
        <v>6486</v>
      </c>
      <c r="F5039" s="955"/>
      <c r="L5039" s="954"/>
      <c r="M5039" s="952"/>
      <c r="N5039" s="952"/>
    </row>
    <row r="5040" spans="1:14">
      <c r="A5040" s="958" t="s">
        <v>358</v>
      </c>
      <c r="B5040" s="958">
        <v>43</v>
      </c>
      <c r="C5040" s="958" t="s">
        <v>1906</v>
      </c>
      <c r="D5040" s="957" t="s">
        <v>1905</v>
      </c>
      <c r="E5040" s="956">
        <v>1970</v>
      </c>
      <c r="F5040" s="955"/>
      <c r="L5040" s="954"/>
      <c r="M5040" s="952"/>
      <c r="N5040" s="952"/>
    </row>
    <row r="5041" spans="1:14">
      <c r="A5041" s="958" t="s">
        <v>358</v>
      </c>
      <c r="B5041" s="958">
        <v>43</v>
      </c>
      <c r="C5041" s="958" t="s">
        <v>1904</v>
      </c>
      <c r="D5041" s="957" t="s">
        <v>1903</v>
      </c>
      <c r="E5041" s="956">
        <v>3657</v>
      </c>
      <c r="F5041" s="955"/>
      <c r="L5041" s="954"/>
      <c r="M5041" s="952"/>
      <c r="N5041" s="952"/>
    </row>
    <row r="5042" spans="1:14">
      <c r="A5042" s="958" t="s">
        <v>358</v>
      </c>
      <c r="B5042" s="958">
        <v>43</v>
      </c>
      <c r="C5042" s="958" t="s">
        <v>1902</v>
      </c>
      <c r="D5042" s="957" t="s">
        <v>1901</v>
      </c>
      <c r="E5042" s="956">
        <v>2384</v>
      </c>
      <c r="F5042" s="955"/>
      <c r="L5042" s="954"/>
      <c r="M5042" s="952"/>
      <c r="N5042" s="952"/>
    </row>
    <row r="5043" spans="1:14">
      <c r="A5043" s="958" t="s">
        <v>358</v>
      </c>
      <c r="B5043" s="958">
        <v>43</v>
      </c>
      <c r="C5043" s="958" t="s">
        <v>1900</v>
      </c>
      <c r="D5043" s="957" t="s">
        <v>1899</v>
      </c>
      <c r="E5043" s="956">
        <v>10172</v>
      </c>
      <c r="F5043" s="955"/>
      <c r="L5043" s="954"/>
      <c r="M5043" s="952"/>
      <c r="N5043" s="952"/>
    </row>
    <row r="5044" spans="1:14">
      <c r="A5044" s="958" t="s">
        <v>358</v>
      </c>
      <c r="B5044" s="958">
        <v>43</v>
      </c>
      <c r="C5044" s="958" t="s">
        <v>1898</v>
      </c>
      <c r="D5044" s="957" t="s">
        <v>1897</v>
      </c>
      <c r="E5044" s="956">
        <v>14967</v>
      </c>
      <c r="F5044" s="955"/>
      <c r="L5044" s="954"/>
      <c r="M5044" s="952"/>
      <c r="N5044" s="952"/>
    </row>
    <row r="5045" spans="1:14">
      <c r="A5045" s="958" t="s">
        <v>358</v>
      </c>
      <c r="B5045" s="958">
        <v>43</v>
      </c>
      <c r="C5045" s="958" t="s">
        <v>1896</v>
      </c>
      <c r="D5045" s="957" t="s">
        <v>1895</v>
      </c>
      <c r="E5045" s="956">
        <v>31002</v>
      </c>
      <c r="F5045" s="955"/>
      <c r="L5045" s="954"/>
      <c r="M5045" s="952"/>
      <c r="N5045" s="952"/>
    </row>
    <row r="5046" spans="1:14">
      <c r="A5046" s="958" t="s">
        <v>358</v>
      </c>
      <c r="B5046" s="958">
        <v>43</v>
      </c>
      <c r="C5046" s="958" t="s">
        <v>1894</v>
      </c>
      <c r="D5046" s="957" t="s">
        <v>1893</v>
      </c>
      <c r="E5046" s="956">
        <v>4719</v>
      </c>
      <c r="F5046" s="955"/>
      <c r="L5046" s="954"/>
      <c r="M5046" s="952"/>
      <c r="N5046" s="952"/>
    </row>
    <row r="5047" spans="1:14">
      <c r="A5047" s="958" t="s">
        <v>358</v>
      </c>
      <c r="B5047" s="958">
        <v>43</v>
      </c>
      <c r="C5047" s="958" t="s">
        <v>1892</v>
      </c>
      <c r="D5047" s="957" t="s">
        <v>1891</v>
      </c>
      <c r="E5047" s="956">
        <v>24111</v>
      </c>
      <c r="F5047" s="955"/>
      <c r="L5047" s="954"/>
      <c r="M5047" s="952"/>
      <c r="N5047" s="952"/>
    </row>
    <row r="5048" spans="1:14">
      <c r="A5048" s="958" t="s">
        <v>358</v>
      </c>
      <c r="B5048" s="958">
        <v>43</v>
      </c>
      <c r="C5048" s="958" t="s">
        <v>1890</v>
      </c>
      <c r="D5048" s="957" t="s">
        <v>1889</v>
      </c>
      <c r="E5048" s="956">
        <v>10584</v>
      </c>
      <c r="F5048" s="955"/>
      <c r="L5048" s="954"/>
      <c r="M5048" s="952"/>
      <c r="N5048" s="952"/>
    </row>
    <row r="5049" spans="1:14">
      <c r="A5049" s="958" t="s">
        <v>358</v>
      </c>
      <c r="B5049" s="958">
        <v>43</v>
      </c>
      <c r="C5049" s="958" t="s">
        <v>1888</v>
      </c>
      <c r="D5049" s="957" t="s">
        <v>1887</v>
      </c>
      <c r="E5049" s="956">
        <v>17300</v>
      </c>
      <c r="F5049" s="955"/>
      <c r="L5049" s="954"/>
      <c r="M5049" s="952"/>
      <c r="N5049" s="952"/>
    </row>
    <row r="5050" spans="1:14">
      <c r="A5050" s="958" t="s">
        <v>358</v>
      </c>
      <c r="B5050" s="958">
        <v>43</v>
      </c>
      <c r="C5050" s="958" t="s">
        <v>1886</v>
      </c>
      <c r="D5050" s="957" t="s">
        <v>1885</v>
      </c>
      <c r="E5050" s="956">
        <v>57466</v>
      </c>
      <c r="F5050" s="955"/>
      <c r="L5050" s="954"/>
      <c r="M5050" s="952"/>
      <c r="N5050" s="952"/>
    </row>
    <row r="5051" spans="1:14">
      <c r="A5051" s="958" t="s">
        <v>358</v>
      </c>
      <c r="B5051" s="958">
        <v>43</v>
      </c>
      <c r="C5051" s="958" t="s">
        <v>1884</v>
      </c>
      <c r="D5051" s="957" t="s">
        <v>1883</v>
      </c>
      <c r="E5051" s="956">
        <v>26862</v>
      </c>
      <c r="F5051" s="955"/>
      <c r="L5051" s="954"/>
      <c r="M5051" s="952"/>
      <c r="N5051" s="952"/>
    </row>
    <row r="5052" spans="1:14">
      <c r="A5052" s="958" t="s">
        <v>358</v>
      </c>
      <c r="B5052" s="958">
        <v>43</v>
      </c>
      <c r="C5052" s="958" t="s">
        <v>1882</v>
      </c>
      <c r="D5052" s="957" t="s">
        <v>1881</v>
      </c>
      <c r="E5052" s="956">
        <v>3072</v>
      </c>
      <c r="F5052" s="955"/>
      <c r="L5052" s="954"/>
      <c r="M5052" s="952"/>
      <c r="N5052" s="952"/>
    </row>
    <row r="5053" spans="1:14">
      <c r="A5053" s="958" t="s">
        <v>358</v>
      </c>
      <c r="B5053" s="958">
        <v>43</v>
      </c>
      <c r="C5053" s="958" t="s">
        <v>1880</v>
      </c>
      <c r="D5053" s="957" t="s">
        <v>1879</v>
      </c>
      <c r="E5053" s="956">
        <v>5481</v>
      </c>
      <c r="F5053" s="955"/>
      <c r="L5053" s="954"/>
      <c r="M5053" s="952"/>
      <c r="N5053" s="952"/>
    </row>
    <row r="5054" spans="1:14">
      <c r="A5054" s="958" t="s">
        <v>358</v>
      </c>
      <c r="B5054" s="958">
        <v>43</v>
      </c>
      <c r="C5054" s="958" t="s">
        <v>1878</v>
      </c>
      <c r="D5054" s="957" t="s">
        <v>1877</v>
      </c>
      <c r="E5054" s="956">
        <v>13485</v>
      </c>
      <c r="F5054" s="955"/>
      <c r="L5054" s="954"/>
      <c r="M5054" s="952"/>
      <c r="N5054" s="952"/>
    </row>
    <row r="5055" spans="1:14">
      <c r="A5055" s="958" t="s">
        <v>358</v>
      </c>
      <c r="B5055" s="958">
        <v>43</v>
      </c>
      <c r="C5055" s="958" t="s">
        <v>1876</v>
      </c>
      <c r="D5055" s="957" t="s">
        <v>1875</v>
      </c>
      <c r="E5055" s="956">
        <v>11204</v>
      </c>
      <c r="F5055" s="955"/>
      <c r="L5055" s="954"/>
      <c r="M5055" s="952"/>
      <c r="N5055" s="952"/>
    </row>
    <row r="5056" spans="1:14">
      <c r="A5056" s="958" t="s">
        <v>358</v>
      </c>
      <c r="B5056" s="958">
        <v>43</v>
      </c>
      <c r="C5056" s="958" t="s">
        <v>1874</v>
      </c>
      <c r="D5056" s="957" t="s">
        <v>1873</v>
      </c>
      <c r="E5056" s="956">
        <v>33232</v>
      </c>
      <c r="F5056" s="955"/>
      <c r="L5056" s="954"/>
      <c r="M5056" s="952"/>
      <c r="N5056" s="952"/>
    </row>
    <row r="5057" spans="1:14">
      <c r="A5057" s="958" t="s">
        <v>358</v>
      </c>
      <c r="B5057" s="958">
        <v>43</v>
      </c>
      <c r="C5057" s="958" t="s">
        <v>1872</v>
      </c>
      <c r="D5057" s="957" t="s">
        <v>1871</v>
      </c>
      <c r="E5057" s="956">
        <v>3030</v>
      </c>
      <c r="F5057" s="955"/>
      <c r="L5057" s="954"/>
      <c r="M5057" s="952"/>
      <c r="N5057" s="952"/>
    </row>
    <row r="5058" spans="1:14">
      <c r="A5058" s="958" t="s">
        <v>358</v>
      </c>
      <c r="B5058" s="958">
        <v>43</v>
      </c>
      <c r="C5058" s="958" t="s">
        <v>1870</v>
      </c>
      <c r="D5058" s="957" t="s">
        <v>1869</v>
      </c>
      <c r="E5058" s="956">
        <v>5704</v>
      </c>
      <c r="F5058" s="955"/>
      <c r="L5058" s="954"/>
      <c r="M5058" s="952"/>
      <c r="N5058" s="952"/>
    </row>
    <row r="5059" spans="1:14">
      <c r="A5059" s="958" t="s">
        <v>358</v>
      </c>
      <c r="B5059" s="958">
        <v>43</v>
      </c>
      <c r="C5059" s="958" t="s">
        <v>1868</v>
      </c>
      <c r="D5059" s="957" t="s">
        <v>1867</v>
      </c>
      <c r="E5059" s="956">
        <v>2806</v>
      </c>
      <c r="F5059" s="955"/>
      <c r="L5059" s="954"/>
      <c r="M5059" s="952"/>
      <c r="N5059" s="952"/>
    </row>
    <row r="5060" spans="1:14">
      <c r="A5060" s="958" t="s">
        <v>358</v>
      </c>
      <c r="B5060" s="958">
        <v>43</v>
      </c>
      <c r="C5060" s="958" t="s">
        <v>1866</v>
      </c>
      <c r="D5060" s="957" t="s">
        <v>1865</v>
      </c>
      <c r="E5060" s="956">
        <v>38732</v>
      </c>
      <c r="F5060" s="955"/>
      <c r="L5060" s="954"/>
      <c r="M5060" s="952"/>
      <c r="N5060" s="952"/>
    </row>
    <row r="5061" spans="1:14">
      <c r="A5061" s="958" t="s">
        <v>358</v>
      </c>
      <c r="B5061" s="958">
        <v>43</v>
      </c>
      <c r="C5061" s="958" t="s">
        <v>1864</v>
      </c>
      <c r="D5061" s="957" t="s">
        <v>1863</v>
      </c>
      <c r="E5061" s="956">
        <v>51715</v>
      </c>
      <c r="F5061" s="955"/>
      <c r="L5061" s="954"/>
      <c r="M5061" s="952"/>
      <c r="N5061" s="952"/>
    </row>
    <row r="5062" spans="1:14">
      <c r="A5062" s="958" t="s">
        <v>358</v>
      </c>
      <c r="B5062" s="958">
        <v>43</v>
      </c>
      <c r="C5062" s="958" t="s">
        <v>1862</v>
      </c>
      <c r="D5062" s="957" t="s">
        <v>1861</v>
      </c>
      <c r="E5062" s="956">
        <v>2336</v>
      </c>
      <c r="F5062" s="955"/>
      <c r="L5062" s="954"/>
      <c r="M5062" s="952"/>
      <c r="N5062" s="952"/>
    </row>
    <row r="5063" spans="1:14">
      <c r="A5063" s="958" t="s">
        <v>358</v>
      </c>
      <c r="B5063" s="958">
        <v>43</v>
      </c>
      <c r="C5063" s="958" t="s">
        <v>1860</v>
      </c>
      <c r="D5063" s="957" t="s">
        <v>1859</v>
      </c>
      <c r="E5063" s="956">
        <v>2668</v>
      </c>
      <c r="F5063" s="955"/>
      <c r="L5063" s="954"/>
      <c r="M5063" s="952"/>
      <c r="N5063" s="952"/>
    </row>
    <row r="5064" spans="1:14">
      <c r="A5064" s="958" t="s">
        <v>358</v>
      </c>
      <c r="B5064" s="958">
        <v>43</v>
      </c>
      <c r="C5064" s="958" t="s">
        <v>1858</v>
      </c>
      <c r="D5064" s="957" t="s">
        <v>1857</v>
      </c>
      <c r="E5064" s="956">
        <v>11053</v>
      </c>
      <c r="F5064" s="955"/>
      <c r="L5064" s="954"/>
      <c r="M5064" s="952"/>
      <c r="N5064" s="952"/>
    </row>
    <row r="5065" spans="1:14">
      <c r="A5065" s="958" t="s">
        <v>358</v>
      </c>
      <c r="B5065" s="958">
        <v>43</v>
      </c>
      <c r="C5065" s="958" t="s">
        <v>1856</v>
      </c>
      <c r="D5065" s="957" t="s">
        <v>1855</v>
      </c>
      <c r="E5065" s="956">
        <v>28220</v>
      </c>
      <c r="F5065" s="955"/>
      <c r="L5065" s="954"/>
      <c r="M5065" s="952"/>
      <c r="N5065" s="952"/>
    </row>
    <row r="5066" spans="1:14">
      <c r="A5066" s="958" t="s">
        <v>358</v>
      </c>
      <c r="B5066" s="958">
        <v>43</v>
      </c>
      <c r="C5066" s="958" t="s">
        <v>1854</v>
      </c>
      <c r="D5066" s="957" t="s">
        <v>1853</v>
      </c>
      <c r="E5066" s="956">
        <v>23906</v>
      </c>
      <c r="F5066" s="955"/>
      <c r="L5066" s="954"/>
      <c r="M5066" s="952"/>
      <c r="N5066" s="952"/>
    </row>
    <row r="5067" spans="1:14">
      <c r="A5067" s="958" t="s">
        <v>358</v>
      </c>
      <c r="B5067" s="958">
        <v>43</v>
      </c>
      <c r="C5067" s="958" t="s">
        <v>1852</v>
      </c>
      <c r="D5067" s="957" t="s">
        <v>1851</v>
      </c>
      <c r="E5067" s="956">
        <v>2697</v>
      </c>
      <c r="F5067" s="955"/>
      <c r="L5067" s="954"/>
      <c r="M5067" s="952"/>
      <c r="N5067" s="952"/>
    </row>
    <row r="5068" spans="1:14">
      <c r="A5068" s="958" t="s">
        <v>358</v>
      </c>
      <c r="B5068" s="958">
        <v>43</v>
      </c>
      <c r="C5068" s="958" t="s">
        <v>1850</v>
      </c>
      <c r="D5068" s="957" t="s">
        <v>1849</v>
      </c>
      <c r="E5068" s="956">
        <v>4271</v>
      </c>
      <c r="F5068" s="955"/>
      <c r="L5068" s="954"/>
      <c r="M5068" s="952"/>
      <c r="N5068" s="952"/>
    </row>
    <row r="5069" spans="1:14">
      <c r="A5069" s="958" t="s">
        <v>358</v>
      </c>
      <c r="B5069" s="958">
        <v>43</v>
      </c>
      <c r="C5069" s="958" t="s">
        <v>1848</v>
      </c>
      <c r="D5069" s="957" t="s">
        <v>1847</v>
      </c>
      <c r="E5069" s="956">
        <v>23906</v>
      </c>
      <c r="F5069" s="955"/>
      <c r="L5069" s="954"/>
      <c r="M5069" s="952"/>
      <c r="N5069" s="952"/>
    </row>
    <row r="5070" spans="1:14">
      <c r="A5070" s="958" t="s">
        <v>358</v>
      </c>
      <c r="B5070" s="958">
        <v>43</v>
      </c>
      <c r="C5070" s="958" t="s">
        <v>1846</v>
      </c>
      <c r="D5070" s="957" t="s">
        <v>1845</v>
      </c>
      <c r="E5070" s="956">
        <v>5802</v>
      </c>
      <c r="F5070" s="955"/>
      <c r="L5070" s="954"/>
      <c r="M5070" s="952"/>
      <c r="N5070" s="952"/>
    </row>
    <row r="5071" spans="1:14">
      <c r="A5071" s="958" t="s">
        <v>358</v>
      </c>
      <c r="B5071" s="958">
        <v>43</v>
      </c>
      <c r="C5071" s="958" t="s">
        <v>1844</v>
      </c>
      <c r="D5071" s="957" t="s">
        <v>1843</v>
      </c>
      <c r="E5071" s="956">
        <v>29538</v>
      </c>
      <c r="F5071" s="955"/>
      <c r="L5071" s="954"/>
      <c r="M5071" s="952"/>
      <c r="N5071" s="952"/>
    </row>
    <row r="5072" spans="1:14">
      <c r="A5072" s="958" t="s">
        <v>358</v>
      </c>
      <c r="B5072" s="958">
        <v>43</v>
      </c>
      <c r="C5072" s="958" t="s">
        <v>1842</v>
      </c>
      <c r="D5072" s="957" t="s">
        <v>1841</v>
      </c>
      <c r="E5072" s="956">
        <v>5678</v>
      </c>
      <c r="F5072" s="955"/>
      <c r="L5072" s="954"/>
      <c r="M5072" s="952"/>
      <c r="N5072" s="952"/>
    </row>
    <row r="5073" spans="1:14">
      <c r="A5073" s="958" t="s">
        <v>358</v>
      </c>
      <c r="B5073" s="958">
        <v>43</v>
      </c>
      <c r="C5073" s="958" t="s">
        <v>1840</v>
      </c>
      <c r="D5073" s="957" t="s">
        <v>1839</v>
      </c>
      <c r="E5073" s="956">
        <v>4569</v>
      </c>
      <c r="F5073" s="955"/>
      <c r="L5073" s="954"/>
      <c r="M5073" s="952"/>
      <c r="N5073" s="952"/>
    </row>
    <row r="5074" spans="1:14">
      <c r="A5074" s="958" t="s">
        <v>358</v>
      </c>
      <c r="B5074" s="958">
        <v>43</v>
      </c>
      <c r="C5074" s="958" t="s">
        <v>1838</v>
      </c>
      <c r="D5074" s="957" t="s">
        <v>1837</v>
      </c>
      <c r="E5074" s="956">
        <v>1472</v>
      </c>
      <c r="F5074" s="955"/>
      <c r="L5074" s="954"/>
      <c r="M5074" s="952"/>
      <c r="N5074" s="952"/>
    </row>
    <row r="5075" spans="1:14">
      <c r="A5075" s="958" t="s">
        <v>358</v>
      </c>
      <c r="B5075" s="958">
        <v>43</v>
      </c>
      <c r="C5075" s="958" t="s">
        <v>1836</v>
      </c>
      <c r="D5075" s="957" t="s">
        <v>1835</v>
      </c>
      <c r="E5075" s="956">
        <v>23948</v>
      </c>
      <c r="F5075" s="955"/>
      <c r="L5075" s="954"/>
      <c r="M5075" s="952"/>
      <c r="N5075" s="952"/>
    </row>
    <row r="5076" spans="1:14">
      <c r="A5076" s="958" t="s">
        <v>358</v>
      </c>
      <c r="B5076" s="958">
        <v>43</v>
      </c>
      <c r="C5076" s="958" t="s">
        <v>1834</v>
      </c>
      <c r="D5076" s="957" t="s">
        <v>1833</v>
      </c>
      <c r="E5076" s="956">
        <v>4855</v>
      </c>
      <c r="F5076" s="955"/>
      <c r="L5076" s="954"/>
      <c r="M5076" s="952"/>
      <c r="N5076" s="952"/>
    </row>
    <row r="5077" spans="1:14">
      <c r="A5077" s="958" t="s">
        <v>358</v>
      </c>
      <c r="B5077" s="958">
        <v>43</v>
      </c>
      <c r="C5077" s="958" t="s">
        <v>1832</v>
      </c>
      <c r="D5077" s="957" t="s">
        <v>1831</v>
      </c>
      <c r="E5077" s="956">
        <v>7893</v>
      </c>
      <c r="F5077" s="955"/>
      <c r="L5077" s="954"/>
      <c r="M5077" s="952"/>
      <c r="N5077" s="952"/>
    </row>
    <row r="5078" spans="1:14">
      <c r="A5078" s="958" t="s">
        <v>358</v>
      </c>
      <c r="B5078" s="958">
        <v>43</v>
      </c>
      <c r="C5078" s="958" t="s">
        <v>1830</v>
      </c>
      <c r="D5078" s="957" t="s">
        <v>1829</v>
      </c>
      <c r="E5078" s="956">
        <v>3438</v>
      </c>
      <c r="F5078" s="955"/>
      <c r="L5078" s="954"/>
      <c r="M5078" s="952"/>
      <c r="N5078" s="952"/>
    </row>
    <row r="5079" spans="1:14">
      <c r="A5079" s="958" t="s">
        <v>358</v>
      </c>
      <c r="B5079" s="958">
        <v>43</v>
      </c>
      <c r="C5079" s="958" t="s">
        <v>1828</v>
      </c>
      <c r="D5079" s="957" t="s">
        <v>1827</v>
      </c>
      <c r="E5079" s="956">
        <v>2015</v>
      </c>
      <c r="F5079" s="955"/>
      <c r="L5079" s="954"/>
      <c r="M5079" s="952"/>
      <c r="N5079" s="952"/>
    </row>
    <row r="5080" spans="1:14">
      <c r="A5080" s="958" t="s">
        <v>358</v>
      </c>
      <c r="B5080" s="958">
        <v>43</v>
      </c>
      <c r="C5080" s="958" t="s">
        <v>1826</v>
      </c>
      <c r="D5080" s="957" t="s">
        <v>1825</v>
      </c>
      <c r="E5080" s="956">
        <v>1154</v>
      </c>
      <c r="F5080" s="955"/>
      <c r="L5080" s="954"/>
      <c r="M5080" s="952"/>
      <c r="N5080" s="952"/>
    </row>
    <row r="5081" spans="1:14">
      <c r="A5081" s="958" t="s">
        <v>358</v>
      </c>
      <c r="B5081" s="958">
        <v>43</v>
      </c>
      <c r="C5081" s="958" t="s">
        <v>1824</v>
      </c>
      <c r="D5081" s="957" t="s">
        <v>1823</v>
      </c>
      <c r="E5081" s="956">
        <v>2338</v>
      </c>
      <c r="F5081" s="955"/>
      <c r="L5081" s="954"/>
      <c r="M5081" s="952"/>
      <c r="N5081" s="952"/>
    </row>
    <row r="5082" spans="1:14">
      <c r="A5082" s="958" t="s">
        <v>358</v>
      </c>
      <c r="B5082" s="958">
        <v>43</v>
      </c>
      <c r="C5082" s="958" t="s">
        <v>1822</v>
      </c>
      <c r="D5082" s="957" t="s">
        <v>1821</v>
      </c>
      <c r="E5082" s="956">
        <v>126970</v>
      </c>
      <c r="F5082" s="955"/>
      <c r="L5082" s="954"/>
      <c r="M5082" s="952"/>
      <c r="N5082" s="952"/>
    </row>
    <row r="5083" spans="1:14">
      <c r="A5083" s="958" t="s">
        <v>358</v>
      </c>
      <c r="B5083" s="958">
        <v>43</v>
      </c>
      <c r="C5083" s="958" t="s">
        <v>1820</v>
      </c>
      <c r="D5083" s="957" t="s">
        <v>1819</v>
      </c>
      <c r="E5083" s="956">
        <v>66218</v>
      </c>
      <c r="F5083" s="955"/>
      <c r="L5083" s="954"/>
      <c r="M5083" s="952"/>
      <c r="N5083" s="952"/>
    </row>
    <row r="5084" spans="1:14">
      <c r="A5084" s="958" t="s">
        <v>358</v>
      </c>
      <c r="B5084" s="958">
        <v>43</v>
      </c>
      <c r="C5084" s="958" t="s">
        <v>1818</v>
      </c>
      <c r="D5084" s="957" t="s">
        <v>1817</v>
      </c>
      <c r="E5084" s="956">
        <v>3497</v>
      </c>
      <c r="F5084" s="955"/>
      <c r="L5084" s="954"/>
      <c r="M5084" s="952"/>
      <c r="N5084" s="952"/>
    </row>
    <row r="5085" spans="1:14">
      <c r="A5085" s="958" t="s">
        <v>358</v>
      </c>
      <c r="B5085" s="958">
        <v>43</v>
      </c>
      <c r="C5085" s="958" t="s">
        <v>1816</v>
      </c>
      <c r="D5085" s="957" t="s">
        <v>1815</v>
      </c>
      <c r="E5085" s="956">
        <v>11781</v>
      </c>
      <c r="F5085" s="955"/>
      <c r="L5085" s="954"/>
      <c r="M5085" s="952"/>
      <c r="N5085" s="952"/>
    </row>
    <row r="5086" spans="1:14">
      <c r="A5086" s="958" t="s">
        <v>358</v>
      </c>
      <c r="B5086" s="958">
        <v>43</v>
      </c>
      <c r="C5086" s="958" t="s">
        <v>1814</v>
      </c>
      <c r="D5086" s="957" t="s">
        <v>1813</v>
      </c>
      <c r="E5086" s="956">
        <v>5913</v>
      </c>
      <c r="F5086" s="955"/>
      <c r="L5086" s="954"/>
      <c r="M5086" s="952"/>
      <c r="N5086" s="952"/>
    </row>
    <row r="5087" spans="1:14">
      <c r="A5087" s="958" t="s">
        <v>358</v>
      </c>
      <c r="B5087" s="958">
        <v>43</v>
      </c>
      <c r="C5087" s="958" t="s">
        <v>1812</v>
      </c>
      <c r="D5087" s="957" t="s">
        <v>1811</v>
      </c>
      <c r="E5087" s="956">
        <v>2113</v>
      </c>
      <c r="F5087" s="955"/>
      <c r="L5087" s="954"/>
      <c r="M5087" s="952"/>
      <c r="N5087" s="952"/>
    </row>
    <row r="5088" spans="1:14">
      <c r="A5088" s="958" t="s">
        <v>358</v>
      </c>
      <c r="B5088" s="958">
        <v>43</v>
      </c>
      <c r="C5088" s="958" t="s">
        <v>1810</v>
      </c>
      <c r="D5088" s="957" t="s">
        <v>1809</v>
      </c>
      <c r="E5088" s="956">
        <v>71554</v>
      </c>
      <c r="F5088" s="955"/>
      <c r="L5088" s="954"/>
      <c r="M5088" s="952"/>
      <c r="N5088" s="952"/>
    </row>
    <row r="5089" spans="1:14">
      <c r="A5089" s="958" t="s">
        <v>358</v>
      </c>
      <c r="B5089" s="958">
        <v>43</v>
      </c>
      <c r="C5089" s="958" t="s">
        <v>1808</v>
      </c>
      <c r="D5089" s="957" t="s">
        <v>1807</v>
      </c>
      <c r="E5089" s="956">
        <v>26863</v>
      </c>
      <c r="F5089" s="955"/>
      <c r="L5089" s="954"/>
      <c r="M5089" s="952"/>
      <c r="N5089" s="952"/>
    </row>
    <row r="5090" spans="1:14">
      <c r="A5090" s="958" t="s">
        <v>358</v>
      </c>
      <c r="B5090" s="958">
        <v>43</v>
      </c>
      <c r="C5090" s="958" t="s">
        <v>1806</v>
      </c>
      <c r="D5090" s="957" t="s">
        <v>1805</v>
      </c>
      <c r="E5090" s="956">
        <v>26241</v>
      </c>
      <c r="F5090" s="955"/>
      <c r="L5090" s="954"/>
      <c r="M5090" s="952"/>
      <c r="N5090" s="952"/>
    </row>
    <row r="5091" spans="1:14">
      <c r="A5091" s="958" t="s">
        <v>358</v>
      </c>
      <c r="B5091" s="958">
        <v>43</v>
      </c>
      <c r="C5091" s="958" t="s">
        <v>1804</v>
      </c>
      <c r="D5091" s="957" t="s">
        <v>1803</v>
      </c>
      <c r="E5091" s="956">
        <v>1815</v>
      </c>
      <c r="F5091" s="955"/>
      <c r="L5091" s="954"/>
      <c r="M5091" s="952"/>
      <c r="N5091" s="952"/>
    </row>
    <row r="5092" spans="1:14">
      <c r="A5092" s="958" t="s">
        <v>358</v>
      </c>
      <c r="B5092" s="958">
        <v>43</v>
      </c>
      <c r="C5092" s="958" t="s">
        <v>1802</v>
      </c>
      <c r="D5092" s="957" t="s">
        <v>1801</v>
      </c>
      <c r="E5092" s="956">
        <v>4756</v>
      </c>
      <c r="F5092" s="955"/>
      <c r="L5092" s="954"/>
      <c r="M5092" s="952"/>
      <c r="N5092" s="952"/>
    </row>
    <row r="5093" spans="1:14">
      <c r="A5093" s="958" t="s">
        <v>358</v>
      </c>
      <c r="B5093" s="958">
        <v>43</v>
      </c>
      <c r="C5093" s="958" t="s">
        <v>1800</v>
      </c>
      <c r="D5093" s="957" t="s">
        <v>1799</v>
      </c>
      <c r="E5093" s="956">
        <v>255224</v>
      </c>
      <c r="F5093" s="955"/>
      <c r="L5093" s="954"/>
      <c r="M5093" s="952"/>
      <c r="N5093" s="952"/>
    </row>
    <row r="5094" spans="1:14">
      <c r="A5094" s="958" t="s">
        <v>358</v>
      </c>
      <c r="B5094" s="958">
        <v>43</v>
      </c>
      <c r="C5094" s="958" t="s">
        <v>1798</v>
      </c>
      <c r="D5094" s="957" t="s">
        <v>1797</v>
      </c>
      <c r="E5094" s="956">
        <v>4670</v>
      </c>
      <c r="F5094" s="955"/>
      <c r="L5094" s="954"/>
      <c r="M5094" s="952"/>
      <c r="N5094" s="952"/>
    </row>
    <row r="5095" spans="1:14">
      <c r="A5095" s="958" t="s">
        <v>358</v>
      </c>
      <c r="B5095" s="958">
        <v>43</v>
      </c>
      <c r="C5095" s="958" t="s">
        <v>1796</v>
      </c>
      <c r="D5095" s="957" t="s">
        <v>1795</v>
      </c>
      <c r="E5095" s="956">
        <v>2882</v>
      </c>
      <c r="F5095" s="955"/>
      <c r="L5095" s="954"/>
      <c r="M5095" s="952"/>
      <c r="N5095" s="952"/>
    </row>
    <row r="5096" spans="1:14">
      <c r="A5096" s="958" t="s">
        <v>358</v>
      </c>
      <c r="B5096" s="958">
        <v>43</v>
      </c>
      <c r="C5096" s="958" t="s">
        <v>1794</v>
      </c>
      <c r="D5096" s="957" t="s">
        <v>1793</v>
      </c>
      <c r="E5096" s="956">
        <v>3385</v>
      </c>
      <c r="F5096" s="955"/>
      <c r="L5096" s="954"/>
      <c r="M5096" s="952"/>
      <c r="N5096" s="952"/>
    </row>
    <row r="5097" spans="1:14">
      <c r="A5097" s="958" t="s">
        <v>358</v>
      </c>
      <c r="B5097" s="958">
        <v>43</v>
      </c>
      <c r="C5097" s="958" t="s">
        <v>1792</v>
      </c>
      <c r="D5097" s="957" t="s">
        <v>1791</v>
      </c>
      <c r="E5097" s="956">
        <v>2091</v>
      </c>
      <c r="F5097" s="955"/>
      <c r="L5097" s="954"/>
      <c r="M5097" s="952"/>
      <c r="N5097" s="952"/>
    </row>
    <row r="5098" spans="1:14">
      <c r="A5098" s="958" t="s">
        <v>358</v>
      </c>
      <c r="B5098" s="958">
        <v>43</v>
      </c>
      <c r="C5098" s="958" t="s">
        <v>1790</v>
      </c>
      <c r="D5098" s="957" t="s">
        <v>1789</v>
      </c>
      <c r="E5098" s="956">
        <v>4358</v>
      </c>
      <c r="F5098" s="955"/>
      <c r="L5098" s="954"/>
      <c r="M5098" s="952"/>
      <c r="N5098" s="952"/>
    </row>
    <row r="5099" spans="1:14">
      <c r="A5099" s="958" t="s">
        <v>358</v>
      </c>
      <c r="B5099" s="958">
        <v>43</v>
      </c>
      <c r="C5099" s="958" t="s">
        <v>1788</v>
      </c>
      <c r="D5099" s="957" t="s">
        <v>1787</v>
      </c>
      <c r="E5099" s="956">
        <v>4280</v>
      </c>
      <c r="F5099" s="955"/>
      <c r="L5099" s="954"/>
      <c r="M5099" s="952"/>
      <c r="N5099" s="952"/>
    </row>
    <row r="5100" spans="1:14">
      <c r="A5100" s="958" t="s">
        <v>358</v>
      </c>
      <c r="B5100" s="958">
        <v>43</v>
      </c>
      <c r="C5100" s="958" t="s">
        <v>1786</v>
      </c>
      <c r="D5100" s="957" t="s">
        <v>1785</v>
      </c>
      <c r="E5100" s="956">
        <v>2752</v>
      </c>
      <c r="F5100" s="955"/>
      <c r="L5100" s="954"/>
      <c r="M5100" s="952"/>
      <c r="N5100" s="952"/>
    </row>
    <row r="5101" spans="1:14">
      <c r="A5101" s="958" t="s">
        <v>358</v>
      </c>
      <c r="B5101" s="958">
        <v>43</v>
      </c>
      <c r="C5101" s="958" t="s">
        <v>1784</v>
      </c>
      <c r="D5101" s="957" t="s">
        <v>1783</v>
      </c>
      <c r="E5101" s="956">
        <v>1561</v>
      </c>
      <c r="F5101" s="955"/>
      <c r="L5101" s="954"/>
      <c r="M5101" s="952"/>
      <c r="N5101" s="952"/>
    </row>
    <row r="5102" spans="1:14">
      <c r="A5102" s="958" t="s">
        <v>358</v>
      </c>
      <c r="B5102" s="958">
        <v>43</v>
      </c>
      <c r="C5102" s="958" t="s">
        <v>1782</v>
      </c>
      <c r="D5102" s="957" t="s">
        <v>1781</v>
      </c>
      <c r="E5102" s="956">
        <v>2851</v>
      </c>
      <c r="F5102" s="955"/>
      <c r="L5102" s="954"/>
      <c r="M5102" s="952"/>
      <c r="N5102" s="952"/>
    </row>
    <row r="5103" spans="1:14">
      <c r="A5103" s="958" t="s">
        <v>358</v>
      </c>
      <c r="B5103" s="958">
        <v>43</v>
      </c>
      <c r="C5103" s="958" t="s">
        <v>1780</v>
      </c>
      <c r="D5103" s="957" t="s">
        <v>1779</v>
      </c>
      <c r="E5103" s="956">
        <v>3133</v>
      </c>
      <c r="F5103" s="955"/>
      <c r="L5103" s="954"/>
      <c r="M5103" s="952"/>
      <c r="N5103" s="952"/>
    </row>
    <row r="5104" spans="1:14">
      <c r="A5104" s="958" t="s">
        <v>358</v>
      </c>
      <c r="B5104" s="958">
        <v>43</v>
      </c>
      <c r="C5104" s="958" t="s">
        <v>1778</v>
      </c>
      <c r="D5104" s="957" t="s">
        <v>1777</v>
      </c>
      <c r="E5104" s="956">
        <v>3014</v>
      </c>
      <c r="F5104" s="955"/>
      <c r="L5104" s="954"/>
      <c r="M5104" s="952"/>
      <c r="N5104" s="952"/>
    </row>
    <row r="5105" spans="1:14">
      <c r="A5105" s="958" t="s">
        <v>358</v>
      </c>
      <c r="B5105" s="958">
        <v>43</v>
      </c>
      <c r="C5105" s="958" t="s">
        <v>1776</v>
      </c>
      <c r="D5105" s="957" t="s">
        <v>1775</v>
      </c>
      <c r="E5105" s="956">
        <v>16408</v>
      </c>
      <c r="F5105" s="955"/>
      <c r="L5105" s="954"/>
      <c r="M5105" s="952"/>
      <c r="N5105" s="952"/>
    </row>
    <row r="5106" spans="1:14">
      <c r="A5106" s="958" t="s">
        <v>367</v>
      </c>
      <c r="B5106" s="958">
        <v>50</v>
      </c>
      <c r="C5106" s="958" t="s">
        <v>1774</v>
      </c>
      <c r="D5106" s="957" t="s">
        <v>1773</v>
      </c>
      <c r="E5106" s="956">
        <v>15522</v>
      </c>
      <c r="F5106" s="955"/>
      <c r="L5106" s="954"/>
      <c r="M5106" s="952"/>
      <c r="N5106" s="952"/>
    </row>
    <row r="5107" spans="1:14">
      <c r="A5107" s="958" t="s">
        <v>367</v>
      </c>
      <c r="B5107" s="958">
        <v>50</v>
      </c>
      <c r="C5107" s="958" t="s">
        <v>1772</v>
      </c>
      <c r="D5107" s="957" t="s">
        <v>1771</v>
      </c>
      <c r="E5107" s="956">
        <v>5343</v>
      </c>
      <c r="F5107" s="955"/>
      <c r="L5107" s="954"/>
      <c r="M5107" s="952"/>
      <c r="N5107" s="952"/>
    </row>
    <row r="5108" spans="1:14">
      <c r="A5108" s="958" t="s">
        <v>367</v>
      </c>
      <c r="B5108" s="958">
        <v>50</v>
      </c>
      <c r="C5108" s="958" t="s">
        <v>1770</v>
      </c>
      <c r="D5108" s="957" t="s">
        <v>1769</v>
      </c>
      <c r="E5108" s="956">
        <v>39396</v>
      </c>
      <c r="F5108" s="955"/>
      <c r="L5108" s="954"/>
      <c r="M5108" s="952"/>
      <c r="N5108" s="952"/>
    </row>
    <row r="5109" spans="1:14">
      <c r="A5109" s="958" t="s">
        <v>367</v>
      </c>
      <c r="B5109" s="958">
        <v>50</v>
      </c>
      <c r="C5109" s="958" t="s">
        <v>1768</v>
      </c>
      <c r="D5109" s="957" t="s">
        <v>1767</v>
      </c>
      <c r="E5109" s="956">
        <v>25135</v>
      </c>
      <c r="F5109" s="955"/>
      <c r="L5109" s="954"/>
      <c r="M5109" s="952"/>
      <c r="N5109" s="952"/>
    </row>
    <row r="5110" spans="1:14">
      <c r="A5110" s="958" t="s">
        <v>367</v>
      </c>
      <c r="B5110" s="958">
        <v>50</v>
      </c>
      <c r="C5110" s="958" t="s">
        <v>1766</v>
      </c>
      <c r="D5110" s="957" t="s">
        <v>1765</v>
      </c>
      <c r="E5110" s="956">
        <v>9035</v>
      </c>
      <c r="F5110" s="955"/>
      <c r="L5110" s="954"/>
      <c r="M5110" s="952"/>
      <c r="N5110" s="952"/>
    </row>
    <row r="5111" spans="1:14">
      <c r="A5111" s="958" t="s">
        <v>367</v>
      </c>
      <c r="B5111" s="958">
        <v>50</v>
      </c>
      <c r="C5111" s="958" t="s">
        <v>1764</v>
      </c>
      <c r="D5111" s="957" t="s">
        <v>1763</v>
      </c>
      <c r="E5111" s="956">
        <v>10780</v>
      </c>
      <c r="F5111" s="955"/>
      <c r="L5111" s="954"/>
      <c r="M5111" s="952"/>
      <c r="N5111" s="952"/>
    </row>
    <row r="5112" spans="1:14">
      <c r="A5112" s="958" t="s">
        <v>367</v>
      </c>
      <c r="B5112" s="958">
        <v>50</v>
      </c>
      <c r="C5112" s="958" t="s">
        <v>1762</v>
      </c>
      <c r="D5112" s="957" t="s">
        <v>1761</v>
      </c>
      <c r="E5112" s="956">
        <v>8956</v>
      </c>
      <c r="F5112" s="955"/>
      <c r="L5112" s="954"/>
      <c r="M5112" s="952"/>
      <c r="N5112" s="952"/>
    </row>
    <row r="5113" spans="1:14">
      <c r="A5113" s="958" t="s">
        <v>367</v>
      </c>
      <c r="B5113" s="958">
        <v>50</v>
      </c>
      <c r="C5113" s="958" t="s">
        <v>1760</v>
      </c>
      <c r="D5113" s="957" t="s">
        <v>1759</v>
      </c>
      <c r="E5113" s="956">
        <v>25745</v>
      </c>
      <c r="F5113" s="955"/>
      <c r="L5113" s="954"/>
      <c r="M5113" s="952"/>
      <c r="N5113" s="952"/>
    </row>
    <row r="5114" spans="1:14">
      <c r="A5114" s="958" t="s">
        <v>367</v>
      </c>
      <c r="B5114" s="958">
        <v>50</v>
      </c>
      <c r="C5114" s="958" t="s">
        <v>1758</v>
      </c>
      <c r="D5114" s="957" t="s">
        <v>1757</v>
      </c>
      <c r="E5114" s="956">
        <v>47871</v>
      </c>
      <c r="F5114" s="955"/>
      <c r="L5114" s="954"/>
      <c r="M5114" s="952"/>
      <c r="N5114" s="952"/>
    </row>
    <row r="5115" spans="1:14">
      <c r="A5115" s="958" t="s">
        <v>367</v>
      </c>
      <c r="B5115" s="958">
        <v>50</v>
      </c>
      <c r="C5115" s="958" t="s">
        <v>1756</v>
      </c>
      <c r="D5115" s="957" t="s">
        <v>1755</v>
      </c>
      <c r="E5115" s="956">
        <v>12149</v>
      </c>
      <c r="F5115" s="955"/>
      <c r="L5115" s="954"/>
      <c r="M5115" s="952"/>
      <c r="N5115" s="952"/>
    </row>
    <row r="5116" spans="1:14">
      <c r="A5116" s="958" t="s">
        <v>367</v>
      </c>
      <c r="B5116" s="958">
        <v>50</v>
      </c>
      <c r="C5116" s="958" t="s">
        <v>1754</v>
      </c>
      <c r="D5116" s="957" t="s">
        <v>1753</v>
      </c>
      <c r="E5116" s="956">
        <v>6788</v>
      </c>
      <c r="F5116" s="955"/>
      <c r="L5116" s="954"/>
      <c r="M5116" s="952"/>
      <c r="N5116" s="952"/>
    </row>
    <row r="5117" spans="1:14">
      <c r="A5117" s="958" t="s">
        <v>367</v>
      </c>
      <c r="B5117" s="958">
        <v>50</v>
      </c>
      <c r="C5117" s="958" t="s">
        <v>1752</v>
      </c>
      <c r="D5117" s="957" t="s">
        <v>1751</v>
      </c>
      <c r="E5117" s="956">
        <v>23024</v>
      </c>
      <c r="F5117" s="955"/>
      <c r="L5117" s="954"/>
      <c r="M5117" s="952"/>
      <c r="N5117" s="952"/>
    </row>
    <row r="5118" spans="1:14">
      <c r="A5118" s="958" t="s">
        <v>367</v>
      </c>
      <c r="B5118" s="958">
        <v>50</v>
      </c>
      <c r="C5118" s="958" t="s">
        <v>1750</v>
      </c>
      <c r="D5118" s="957" t="s">
        <v>1749</v>
      </c>
      <c r="E5118" s="956">
        <v>11329</v>
      </c>
      <c r="F5118" s="955"/>
      <c r="L5118" s="954"/>
      <c r="M5118" s="952"/>
      <c r="N5118" s="952"/>
    </row>
    <row r="5119" spans="1:14">
      <c r="A5119" s="958" t="s">
        <v>367</v>
      </c>
      <c r="B5119" s="958">
        <v>50</v>
      </c>
      <c r="C5119" s="958" t="s">
        <v>1748</v>
      </c>
      <c r="D5119" s="957" t="s">
        <v>1747</v>
      </c>
      <c r="E5119" s="956">
        <v>24629</v>
      </c>
      <c r="F5119" s="955"/>
      <c r="L5119" s="954"/>
      <c r="M5119" s="952"/>
      <c r="N5119" s="952"/>
    </row>
    <row r="5120" spans="1:14">
      <c r="A5120" s="958" t="s">
        <v>367</v>
      </c>
      <c r="B5120" s="958">
        <v>50</v>
      </c>
      <c r="C5120" s="958" t="s">
        <v>1746</v>
      </c>
      <c r="D5120" s="957" t="s">
        <v>1745</v>
      </c>
      <c r="E5120" s="956">
        <v>7875</v>
      </c>
      <c r="F5120" s="955"/>
      <c r="L5120" s="954"/>
      <c r="M5120" s="952"/>
      <c r="N5120" s="952"/>
    </row>
    <row r="5121" spans="1:14">
      <c r="A5121" s="958" t="s">
        <v>367</v>
      </c>
      <c r="B5121" s="958">
        <v>50</v>
      </c>
      <c r="C5121" s="958" t="s">
        <v>1744</v>
      </c>
      <c r="D5121" s="957" t="s">
        <v>1743</v>
      </c>
      <c r="E5121" s="956">
        <v>21976</v>
      </c>
      <c r="F5121" s="955"/>
      <c r="L5121" s="954"/>
      <c r="M5121" s="952"/>
      <c r="N5121" s="952"/>
    </row>
    <row r="5122" spans="1:14">
      <c r="A5122" s="958" t="s">
        <v>367</v>
      </c>
      <c r="B5122" s="958">
        <v>50</v>
      </c>
      <c r="C5122" s="958" t="s">
        <v>1742</v>
      </c>
      <c r="D5122" s="957" t="s">
        <v>1741</v>
      </c>
      <c r="E5122" s="956">
        <v>11872</v>
      </c>
      <c r="F5122" s="955"/>
      <c r="L5122" s="954"/>
      <c r="M5122" s="952"/>
      <c r="N5122" s="952"/>
    </row>
    <row r="5123" spans="1:14">
      <c r="A5123" s="958" t="s">
        <v>367</v>
      </c>
      <c r="B5123" s="958">
        <v>50</v>
      </c>
      <c r="C5123" s="958" t="s">
        <v>1740</v>
      </c>
      <c r="D5123" s="957" t="s">
        <v>1739</v>
      </c>
      <c r="E5123" s="956">
        <v>30174</v>
      </c>
      <c r="F5123" s="955"/>
      <c r="L5123" s="954"/>
      <c r="M5123" s="952"/>
      <c r="N5123" s="952"/>
    </row>
    <row r="5124" spans="1:14">
      <c r="A5124" s="958" t="s">
        <v>367</v>
      </c>
      <c r="B5124" s="958">
        <v>50</v>
      </c>
      <c r="C5124" s="958" t="s">
        <v>1738</v>
      </c>
      <c r="D5124" s="957" t="s">
        <v>1737</v>
      </c>
      <c r="E5124" s="956">
        <v>13711</v>
      </c>
      <c r="F5124" s="955"/>
      <c r="L5124" s="954"/>
      <c r="M5124" s="952"/>
      <c r="N5124" s="952"/>
    </row>
    <row r="5125" spans="1:14">
      <c r="A5125" s="958" t="s">
        <v>367</v>
      </c>
      <c r="B5125" s="958">
        <v>50</v>
      </c>
      <c r="C5125" s="958" t="s">
        <v>1736</v>
      </c>
      <c r="D5125" s="957" t="s">
        <v>1735</v>
      </c>
      <c r="E5125" s="956">
        <v>895982</v>
      </c>
      <c r="F5125" s="955"/>
      <c r="L5125" s="954"/>
      <c r="M5125" s="952"/>
      <c r="N5125" s="952"/>
    </row>
    <row r="5126" spans="1:14">
      <c r="A5126" s="958" t="s">
        <v>367</v>
      </c>
      <c r="B5126" s="958">
        <v>50</v>
      </c>
      <c r="C5126" s="958" t="s">
        <v>1734</v>
      </c>
      <c r="D5126" s="957" t="s">
        <v>1733</v>
      </c>
      <c r="E5126" s="956">
        <v>6116</v>
      </c>
      <c r="F5126" s="955"/>
      <c r="L5126" s="954"/>
      <c r="M5126" s="952"/>
      <c r="N5126" s="952"/>
    </row>
    <row r="5127" spans="1:14">
      <c r="A5127" s="958" t="s">
        <v>367</v>
      </c>
      <c r="B5127" s="958">
        <v>50</v>
      </c>
      <c r="C5127" s="958" t="s">
        <v>1732</v>
      </c>
      <c r="D5127" s="957" t="s">
        <v>1731</v>
      </c>
      <c r="E5127" s="956">
        <v>21939</v>
      </c>
      <c r="F5127" s="955"/>
      <c r="L5127" s="954"/>
      <c r="M5127" s="952"/>
      <c r="N5127" s="952"/>
    </row>
    <row r="5128" spans="1:14">
      <c r="A5128" s="958" t="s">
        <v>367</v>
      </c>
      <c r="B5128" s="958">
        <v>50</v>
      </c>
      <c r="C5128" s="958" t="s">
        <v>1730</v>
      </c>
      <c r="D5128" s="957" t="s">
        <v>1729</v>
      </c>
      <c r="E5128" s="956">
        <v>25218</v>
      </c>
      <c r="F5128" s="955"/>
      <c r="L5128" s="954"/>
      <c r="M5128" s="952"/>
      <c r="N5128" s="952"/>
    </row>
    <row r="5129" spans="1:14">
      <c r="A5129" s="958" t="s">
        <v>367</v>
      </c>
      <c r="B5129" s="958">
        <v>50</v>
      </c>
      <c r="C5129" s="958" t="s">
        <v>1728</v>
      </c>
      <c r="D5129" s="957" t="s">
        <v>1727</v>
      </c>
      <c r="E5129" s="956">
        <v>5947</v>
      </c>
      <c r="F5129" s="955"/>
      <c r="L5129" s="954"/>
      <c r="M5129" s="952"/>
      <c r="N5129" s="952"/>
    </row>
    <row r="5130" spans="1:14">
      <c r="A5130" s="958" t="s">
        <v>367</v>
      </c>
      <c r="B5130" s="958">
        <v>50</v>
      </c>
      <c r="C5130" s="958" t="s">
        <v>1726</v>
      </c>
      <c r="D5130" s="957" t="s">
        <v>1725</v>
      </c>
      <c r="E5130" s="956">
        <v>15253</v>
      </c>
      <c r="F5130" s="955"/>
      <c r="L5130" s="954"/>
      <c r="M5130" s="952"/>
      <c r="N5130" s="952"/>
    </row>
    <row r="5131" spans="1:14">
      <c r="A5131" s="958" t="s">
        <v>367</v>
      </c>
      <c r="B5131" s="958">
        <v>50</v>
      </c>
      <c r="C5131" s="958" t="s">
        <v>1724</v>
      </c>
      <c r="D5131" s="957" t="s">
        <v>1723</v>
      </c>
      <c r="E5131" s="956">
        <v>111435</v>
      </c>
      <c r="F5131" s="955"/>
      <c r="L5131" s="954"/>
      <c r="M5131" s="952"/>
      <c r="N5131" s="952"/>
    </row>
    <row r="5132" spans="1:14">
      <c r="A5132" s="958" t="s">
        <v>367</v>
      </c>
      <c r="B5132" s="958">
        <v>50</v>
      </c>
      <c r="C5132" s="958" t="s">
        <v>1722</v>
      </c>
      <c r="D5132" s="957" t="s">
        <v>1721</v>
      </c>
      <c r="E5132" s="956">
        <v>20823</v>
      </c>
      <c r="F5132" s="955"/>
      <c r="L5132" s="954"/>
      <c r="M5132" s="952"/>
      <c r="N5132" s="952"/>
    </row>
    <row r="5133" spans="1:14">
      <c r="A5133" s="958" t="s">
        <v>367</v>
      </c>
      <c r="B5133" s="958">
        <v>50</v>
      </c>
      <c r="C5133" s="958" t="s">
        <v>1720</v>
      </c>
      <c r="D5133" s="957" t="s">
        <v>1719</v>
      </c>
      <c r="E5133" s="956">
        <v>33543</v>
      </c>
      <c r="F5133" s="955"/>
      <c r="L5133" s="954"/>
      <c r="M5133" s="952"/>
      <c r="N5133" s="952"/>
    </row>
    <row r="5134" spans="1:14">
      <c r="A5134" s="958" t="s">
        <v>367</v>
      </c>
      <c r="B5134" s="958">
        <v>50</v>
      </c>
      <c r="C5134" s="958" t="s">
        <v>1718</v>
      </c>
      <c r="D5134" s="957" t="s">
        <v>1717</v>
      </c>
      <c r="E5134" s="956">
        <v>12924</v>
      </c>
      <c r="F5134" s="955"/>
      <c r="L5134" s="954"/>
      <c r="M5134" s="952"/>
      <c r="N5134" s="952"/>
    </row>
    <row r="5135" spans="1:14">
      <c r="A5135" s="958" t="s">
        <v>367</v>
      </c>
      <c r="B5135" s="958">
        <v>50</v>
      </c>
      <c r="C5135" s="958" t="s">
        <v>1716</v>
      </c>
      <c r="D5135" s="957" t="s">
        <v>1715</v>
      </c>
      <c r="E5135" s="956">
        <v>11385</v>
      </c>
      <c r="F5135" s="955"/>
      <c r="L5135" s="954"/>
      <c r="M5135" s="952"/>
      <c r="N5135" s="952"/>
    </row>
    <row r="5136" spans="1:14">
      <c r="A5136" s="958" t="s">
        <v>367</v>
      </c>
      <c r="B5136" s="958">
        <v>50</v>
      </c>
      <c r="C5136" s="958" t="s">
        <v>1714</v>
      </c>
      <c r="D5136" s="957" t="s">
        <v>1713</v>
      </c>
      <c r="E5136" s="956">
        <v>5924</v>
      </c>
      <c r="F5136" s="955"/>
      <c r="L5136" s="954"/>
      <c r="M5136" s="952"/>
      <c r="N5136" s="952"/>
    </row>
    <row r="5137" spans="1:14">
      <c r="A5137" s="958" t="s">
        <v>367</v>
      </c>
      <c r="B5137" s="958">
        <v>50</v>
      </c>
      <c r="C5137" s="958" t="s">
        <v>1712</v>
      </c>
      <c r="D5137" s="957" t="s">
        <v>1711</v>
      </c>
      <c r="E5137" s="956">
        <v>222949</v>
      </c>
      <c r="F5137" s="955"/>
      <c r="L5137" s="954"/>
      <c r="M5137" s="952"/>
      <c r="N5137" s="952"/>
    </row>
    <row r="5138" spans="1:14">
      <c r="A5138" s="958" t="s">
        <v>367</v>
      </c>
      <c r="B5138" s="958">
        <v>50</v>
      </c>
      <c r="C5138" s="958" t="s">
        <v>1710</v>
      </c>
      <c r="D5138" s="957" t="s">
        <v>1709</v>
      </c>
      <c r="E5138" s="956">
        <v>12353</v>
      </c>
      <c r="F5138" s="955"/>
      <c r="L5138" s="954"/>
      <c r="M5138" s="952"/>
      <c r="N5138" s="952"/>
    </row>
    <row r="5139" spans="1:14">
      <c r="A5139" s="958" t="s">
        <v>367</v>
      </c>
      <c r="B5139" s="958">
        <v>50</v>
      </c>
      <c r="C5139" s="958" t="s">
        <v>1708</v>
      </c>
      <c r="D5139" s="957" t="s">
        <v>1707</v>
      </c>
      <c r="E5139" s="956">
        <v>19189</v>
      </c>
      <c r="F5139" s="955"/>
      <c r="L5139" s="954"/>
      <c r="M5139" s="952"/>
      <c r="N5139" s="952"/>
    </row>
    <row r="5140" spans="1:14">
      <c r="A5140" s="958" t="s">
        <v>367</v>
      </c>
      <c r="B5140" s="958">
        <v>50</v>
      </c>
      <c r="C5140" s="958" t="s">
        <v>1706</v>
      </c>
      <c r="D5140" s="957" t="s">
        <v>1705</v>
      </c>
      <c r="E5140" s="956">
        <v>3051</v>
      </c>
      <c r="F5140" s="955"/>
      <c r="L5140" s="954"/>
      <c r="M5140" s="952"/>
      <c r="N5140" s="952"/>
    </row>
    <row r="5141" spans="1:14">
      <c r="A5141" s="958" t="s">
        <v>367</v>
      </c>
      <c r="B5141" s="958">
        <v>50</v>
      </c>
      <c r="C5141" s="958" t="s">
        <v>1704</v>
      </c>
      <c r="D5141" s="957" t="s">
        <v>1703</v>
      </c>
      <c r="E5141" s="956">
        <v>9965</v>
      </c>
      <c r="F5141" s="955"/>
      <c r="L5141" s="954"/>
      <c r="M5141" s="952"/>
      <c r="N5141" s="952"/>
    </row>
    <row r="5142" spans="1:14">
      <c r="A5142" s="958" t="s">
        <v>367</v>
      </c>
      <c r="B5142" s="958">
        <v>50</v>
      </c>
      <c r="C5142" s="958" t="s">
        <v>1702</v>
      </c>
      <c r="D5142" s="957" t="s">
        <v>1701</v>
      </c>
      <c r="E5142" s="956">
        <v>9895</v>
      </c>
      <c r="F5142" s="955"/>
      <c r="L5142" s="954"/>
      <c r="M5142" s="952"/>
      <c r="N5142" s="952"/>
    </row>
    <row r="5143" spans="1:14">
      <c r="A5143" s="958" t="s">
        <v>367</v>
      </c>
      <c r="B5143" s="958">
        <v>50</v>
      </c>
      <c r="C5143" s="958" t="s">
        <v>1700</v>
      </c>
      <c r="D5143" s="957" t="s">
        <v>1699</v>
      </c>
      <c r="E5143" s="956">
        <v>16078</v>
      </c>
      <c r="F5143" s="955"/>
      <c r="L5143" s="954"/>
      <c r="M5143" s="952"/>
      <c r="N5143" s="952"/>
    </row>
    <row r="5144" spans="1:14">
      <c r="A5144" s="958" t="s">
        <v>367</v>
      </c>
      <c r="B5144" s="958">
        <v>50</v>
      </c>
      <c r="C5144" s="958" t="s">
        <v>1698</v>
      </c>
      <c r="D5144" s="957" t="s">
        <v>1697</v>
      </c>
      <c r="E5144" s="956">
        <v>7610</v>
      </c>
      <c r="F5144" s="955"/>
      <c r="L5144" s="954"/>
      <c r="M5144" s="952"/>
      <c r="N5144" s="952"/>
    </row>
    <row r="5145" spans="1:14">
      <c r="A5145" s="958" t="s">
        <v>367</v>
      </c>
      <c r="B5145" s="958">
        <v>50</v>
      </c>
      <c r="C5145" s="958" t="s">
        <v>1696</v>
      </c>
      <c r="D5145" s="957" t="s">
        <v>1695</v>
      </c>
      <c r="E5145" s="956">
        <v>24839</v>
      </c>
      <c r="F5145" s="955"/>
      <c r="L5145" s="954"/>
      <c r="M5145" s="952"/>
      <c r="N5145" s="952"/>
    </row>
    <row r="5146" spans="1:14">
      <c r="A5146" s="958" t="s">
        <v>367</v>
      </c>
      <c r="B5146" s="958">
        <v>50</v>
      </c>
      <c r="C5146" s="958" t="s">
        <v>1694</v>
      </c>
      <c r="D5146" s="957" t="s">
        <v>1693</v>
      </c>
      <c r="E5146" s="956">
        <v>21142</v>
      </c>
      <c r="F5146" s="955"/>
      <c r="L5146" s="954"/>
      <c r="M5146" s="952"/>
      <c r="N5146" s="952"/>
    </row>
    <row r="5147" spans="1:14">
      <c r="A5147" s="958" t="s">
        <v>367</v>
      </c>
      <c r="B5147" s="958">
        <v>50</v>
      </c>
      <c r="C5147" s="958" t="s">
        <v>1692</v>
      </c>
      <c r="D5147" s="957" t="s">
        <v>1691</v>
      </c>
      <c r="E5147" s="956">
        <v>23187</v>
      </c>
      <c r="F5147" s="955"/>
      <c r="L5147" s="954"/>
      <c r="M5147" s="952"/>
      <c r="N5147" s="952"/>
    </row>
    <row r="5148" spans="1:14">
      <c r="A5148" s="958" t="s">
        <v>367</v>
      </c>
      <c r="B5148" s="958">
        <v>50</v>
      </c>
      <c r="C5148" s="958" t="s">
        <v>1690</v>
      </c>
      <c r="D5148" s="957" t="s">
        <v>1689</v>
      </c>
      <c r="E5148" s="956">
        <v>9110</v>
      </c>
      <c r="F5148" s="955"/>
      <c r="L5148" s="954"/>
      <c r="M5148" s="952"/>
      <c r="N5148" s="952"/>
    </row>
    <row r="5149" spans="1:14">
      <c r="A5149" s="958" t="s">
        <v>367</v>
      </c>
      <c r="B5149" s="958">
        <v>50</v>
      </c>
      <c r="C5149" s="958" t="s">
        <v>1688</v>
      </c>
      <c r="D5149" s="957" t="s">
        <v>1687</v>
      </c>
      <c r="E5149" s="956">
        <v>7187</v>
      </c>
      <c r="F5149" s="955"/>
      <c r="L5149" s="954"/>
      <c r="M5149" s="952"/>
      <c r="N5149" s="952"/>
    </row>
    <row r="5150" spans="1:14">
      <c r="A5150" s="958" t="s">
        <v>367</v>
      </c>
      <c r="B5150" s="958">
        <v>50</v>
      </c>
      <c r="C5150" s="958" t="s">
        <v>1686</v>
      </c>
      <c r="D5150" s="957" t="s">
        <v>1685</v>
      </c>
      <c r="E5150" s="956">
        <v>26097</v>
      </c>
      <c r="F5150" s="955"/>
      <c r="L5150" s="954"/>
      <c r="M5150" s="952"/>
      <c r="N5150" s="952"/>
    </row>
    <row r="5151" spans="1:14">
      <c r="A5151" s="958" t="s">
        <v>367</v>
      </c>
      <c r="B5151" s="958">
        <v>50</v>
      </c>
      <c r="C5151" s="958" t="s">
        <v>1684</v>
      </c>
      <c r="D5151" s="957" t="s">
        <v>1683</v>
      </c>
      <c r="E5151" s="956">
        <v>4027</v>
      </c>
      <c r="F5151" s="955"/>
      <c r="L5151" s="954"/>
      <c r="M5151" s="952"/>
      <c r="N5151" s="952"/>
    </row>
    <row r="5152" spans="1:14">
      <c r="A5152" s="958" t="s">
        <v>367</v>
      </c>
      <c r="B5152" s="958">
        <v>50</v>
      </c>
      <c r="C5152" s="958" t="s">
        <v>1682</v>
      </c>
      <c r="D5152" s="957" t="s">
        <v>1681</v>
      </c>
      <c r="E5152" s="956">
        <v>6712</v>
      </c>
      <c r="F5152" s="955"/>
      <c r="L5152" s="954"/>
      <c r="M5152" s="952"/>
      <c r="N5152" s="952"/>
    </row>
    <row r="5153" spans="1:14">
      <c r="A5153" s="958" t="s">
        <v>367</v>
      </c>
      <c r="B5153" s="958">
        <v>50</v>
      </c>
      <c r="C5153" s="958" t="s">
        <v>1680</v>
      </c>
      <c r="D5153" s="957" t="s">
        <v>1679</v>
      </c>
      <c r="E5153" s="956">
        <v>23331</v>
      </c>
      <c r="F5153" s="955"/>
      <c r="L5153" s="954"/>
      <c r="M5153" s="952"/>
      <c r="N5153" s="952"/>
    </row>
    <row r="5154" spans="1:14">
      <c r="A5154" s="958" t="s">
        <v>367</v>
      </c>
      <c r="B5154" s="958">
        <v>50</v>
      </c>
      <c r="C5154" s="958" t="s">
        <v>1678</v>
      </c>
      <c r="D5154" s="957" t="s">
        <v>1677</v>
      </c>
      <c r="E5154" s="956">
        <v>7341</v>
      </c>
      <c r="F5154" s="955"/>
      <c r="L5154" s="954"/>
      <c r="M5154" s="952"/>
      <c r="N5154" s="952"/>
    </row>
    <row r="5155" spans="1:14">
      <c r="A5155" s="958" t="s">
        <v>367</v>
      </c>
      <c r="B5155" s="958">
        <v>50</v>
      </c>
      <c r="C5155" s="958" t="s">
        <v>1676</v>
      </c>
      <c r="D5155" s="957" t="s">
        <v>1675</v>
      </c>
      <c r="E5155" s="956">
        <v>47083</v>
      </c>
      <c r="F5155" s="955"/>
      <c r="L5155" s="954"/>
      <c r="M5155" s="952"/>
      <c r="N5155" s="952"/>
    </row>
    <row r="5156" spans="1:14">
      <c r="A5156" s="958" t="s">
        <v>367</v>
      </c>
      <c r="B5156" s="958">
        <v>50</v>
      </c>
      <c r="C5156" s="958" t="s">
        <v>1674</v>
      </c>
      <c r="D5156" s="957" t="s">
        <v>1673</v>
      </c>
      <c r="E5156" s="956">
        <v>28013</v>
      </c>
      <c r="F5156" s="955"/>
      <c r="L5156" s="954"/>
      <c r="M5156" s="952"/>
      <c r="N5156" s="952"/>
    </row>
    <row r="5157" spans="1:14">
      <c r="A5157" s="958" t="s">
        <v>367</v>
      </c>
      <c r="B5157" s="958">
        <v>50</v>
      </c>
      <c r="C5157" s="958" t="s">
        <v>1672</v>
      </c>
      <c r="D5157" s="957" t="s">
        <v>1027</v>
      </c>
      <c r="E5157" s="956">
        <v>18366</v>
      </c>
      <c r="F5157" s="955"/>
      <c r="L5157" s="954"/>
      <c r="M5157" s="952"/>
      <c r="N5157" s="952"/>
    </row>
    <row r="5158" spans="1:14">
      <c r="A5158" s="958" t="s">
        <v>367</v>
      </c>
      <c r="B5158" s="958">
        <v>50</v>
      </c>
      <c r="C5158" s="958" t="s">
        <v>1671</v>
      </c>
      <c r="D5158" s="957" t="s">
        <v>1670</v>
      </c>
      <c r="E5158" s="956">
        <v>54878</v>
      </c>
      <c r="F5158" s="955"/>
      <c r="L5158" s="954"/>
      <c r="M5158" s="952"/>
      <c r="N5158" s="952"/>
    </row>
    <row r="5159" spans="1:14">
      <c r="A5159" s="958" t="s">
        <v>367</v>
      </c>
      <c r="B5159" s="958">
        <v>50</v>
      </c>
      <c r="C5159" s="958" t="s">
        <v>1669</v>
      </c>
      <c r="D5159" s="957" t="s">
        <v>1668</v>
      </c>
      <c r="E5159" s="956">
        <v>13930</v>
      </c>
      <c r="F5159" s="955"/>
      <c r="L5159" s="954"/>
      <c r="M5159" s="952"/>
      <c r="N5159" s="952"/>
    </row>
    <row r="5160" spans="1:14">
      <c r="A5160" s="958" t="s">
        <v>367</v>
      </c>
      <c r="B5160" s="958">
        <v>50</v>
      </c>
      <c r="C5160" s="958" t="s">
        <v>1667</v>
      </c>
      <c r="D5160" s="957" t="s">
        <v>1666</v>
      </c>
      <c r="E5160" s="956">
        <v>21882</v>
      </c>
      <c r="F5160" s="955"/>
      <c r="L5160" s="954"/>
      <c r="M5160" s="952"/>
      <c r="N5160" s="952"/>
    </row>
    <row r="5161" spans="1:14">
      <c r="A5161" s="958" t="s">
        <v>367</v>
      </c>
      <c r="B5161" s="958">
        <v>50</v>
      </c>
      <c r="C5161" s="958" t="s">
        <v>1665</v>
      </c>
      <c r="D5161" s="957" t="s">
        <v>1664</v>
      </c>
      <c r="E5161" s="956">
        <v>54374</v>
      </c>
      <c r="F5161" s="955"/>
      <c r="L5161" s="954"/>
      <c r="M5161" s="952"/>
      <c r="N5161" s="952"/>
    </row>
    <row r="5162" spans="1:14">
      <c r="A5162" s="958" t="s">
        <v>367</v>
      </c>
      <c r="B5162" s="958">
        <v>50</v>
      </c>
      <c r="C5162" s="958" t="s">
        <v>1663</v>
      </c>
      <c r="D5162" s="957" t="s">
        <v>1662</v>
      </c>
      <c r="E5162" s="956">
        <v>3814</v>
      </c>
      <c r="F5162" s="955"/>
      <c r="L5162" s="954"/>
      <c r="M5162" s="952"/>
      <c r="N5162" s="952"/>
    </row>
    <row r="5163" spans="1:14">
      <c r="A5163" s="958" t="s">
        <v>367</v>
      </c>
      <c r="B5163" s="958">
        <v>50</v>
      </c>
      <c r="C5163" s="958" t="s">
        <v>1661</v>
      </c>
      <c r="D5163" s="957" t="s">
        <v>1660</v>
      </c>
      <c r="E5163" s="956">
        <v>5555</v>
      </c>
      <c r="F5163" s="955"/>
      <c r="L5163" s="954"/>
      <c r="M5163" s="952"/>
      <c r="N5163" s="952"/>
    </row>
    <row r="5164" spans="1:14">
      <c r="A5164" s="958" t="s">
        <v>367</v>
      </c>
      <c r="B5164" s="958">
        <v>50</v>
      </c>
      <c r="C5164" s="958" t="s">
        <v>1659</v>
      </c>
      <c r="D5164" s="957" t="s">
        <v>1658</v>
      </c>
      <c r="E5164" s="956">
        <v>42148</v>
      </c>
      <c r="F5164" s="955"/>
      <c r="L5164" s="954"/>
      <c r="M5164" s="952"/>
      <c r="N5164" s="952"/>
    </row>
    <row r="5165" spans="1:14">
      <c r="A5165" s="958" t="s">
        <v>367</v>
      </c>
      <c r="B5165" s="958">
        <v>50</v>
      </c>
      <c r="C5165" s="958" t="s">
        <v>1657</v>
      </c>
      <c r="D5165" s="957" t="s">
        <v>1656</v>
      </c>
      <c r="E5165" s="956">
        <v>14228</v>
      </c>
      <c r="F5165" s="955"/>
      <c r="L5165" s="954"/>
      <c r="M5165" s="952"/>
      <c r="N5165" s="952"/>
    </row>
    <row r="5166" spans="1:14">
      <c r="A5166" s="958" t="s">
        <v>367</v>
      </c>
      <c r="B5166" s="958">
        <v>50</v>
      </c>
      <c r="C5166" s="958" t="s">
        <v>1655</v>
      </c>
      <c r="D5166" s="957" t="s">
        <v>1654</v>
      </c>
      <c r="E5166" s="956">
        <v>7674</v>
      </c>
      <c r="F5166" s="955"/>
      <c r="L5166" s="954"/>
      <c r="M5166" s="952"/>
      <c r="N5166" s="952"/>
    </row>
    <row r="5167" spans="1:14">
      <c r="A5167" s="958" t="s">
        <v>367</v>
      </c>
      <c r="B5167" s="958">
        <v>50</v>
      </c>
      <c r="C5167" s="958" t="s">
        <v>1653</v>
      </c>
      <c r="D5167" s="957" t="s">
        <v>1652</v>
      </c>
      <c r="E5167" s="956">
        <v>92526</v>
      </c>
      <c r="F5167" s="955"/>
      <c r="L5167" s="954"/>
      <c r="M5167" s="952"/>
      <c r="N5167" s="952"/>
    </row>
    <row r="5168" spans="1:14">
      <c r="A5168" s="958" t="s">
        <v>367</v>
      </c>
      <c r="B5168" s="958">
        <v>50</v>
      </c>
      <c r="C5168" s="958" t="s">
        <v>1651</v>
      </c>
      <c r="D5168" s="957" t="s">
        <v>1650</v>
      </c>
      <c r="E5168" s="956">
        <v>17131</v>
      </c>
      <c r="F5168" s="955"/>
      <c r="L5168" s="954"/>
      <c r="M5168" s="952"/>
      <c r="N5168" s="952"/>
    </row>
    <row r="5169" spans="1:14">
      <c r="A5169" s="958" t="s">
        <v>367</v>
      </c>
      <c r="B5169" s="958">
        <v>50</v>
      </c>
      <c r="C5169" s="958" t="s">
        <v>1649</v>
      </c>
      <c r="D5169" s="957" t="s">
        <v>1648</v>
      </c>
      <c r="E5169" s="956">
        <v>24615</v>
      </c>
      <c r="F5169" s="955"/>
      <c r="L5169" s="954"/>
      <c r="M5169" s="952"/>
      <c r="N5169" s="952"/>
    </row>
    <row r="5170" spans="1:14">
      <c r="A5170" s="958" t="s">
        <v>367</v>
      </c>
      <c r="B5170" s="958">
        <v>50</v>
      </c>
      <c r="C5170" s="958" t="s">
        <v>1647</v>
      </c>
      <c r="D5170" s="957" t="s">
        <v>1646</v>
      </c>
      <c r="E5170" s="956">
        <v>37514</v>
      </c>
      <c r="F5170" s="955"/>
      <c r="L5170" s="954"/>
      <c r="M5170" s="952"/>
      <c r="N5170" s="952"/>
    </row>
    <row r="5171" spans="1:14">
      <c r="A5171" s="958" t="s">
        <v>367</v>
      </c>
      <c r="B5171" s="958">
        <v>50</v>
      </c>
      <c r="C5171" s="958" t="s">
        <v>1645</v>
      </c>
      <c r="D5171" s="957" t="s">
        <v>1644</v>
      </c>
      <c r="E5171" s="956">
        <v>4831</v>
      </c>
      <c r="F5171" s="955"/>
      <c r="L5171" s="954"/>
      <c r="M5171" s="952"/>
      <c r="N5171" s="952"/>
    </row>
    <row r="5172" spans="1:14">
      <c r="A5172" s="958" t="s">
        <v>367</v>
      </c>
      <c r="B5172" s="958">
        <v>50</v>
      </c>
      <c r="C5172" s="958" t="s">
        <v>1643</v>
      </c>
      <c r="D5172" s="957" t="s">
        <v>1642</v>
      </c>
      <c r="E5172" s="956">
        <v>19746</v>
      </c>
      <c r="F5172" s="955"/>
      <c r="L5172" s="954"/>
      <c r="M5172" s="952"/>
      <c r="N5172" s="952"/>
    </row>
    <row r="5173" spans="1:14">
      <c r="A5173" s="958" t="s">
        <v>367</v>
      </c>
      <c r="B5173" s="958">
        <v>50</v>
      </c>
      <c r="C5173" s="958" t="s">
        <v>1641</v>
      </c>
      <c r="D5173" s="957" t="s">
        <v>1640</v>
      </c>
      <c r="E5173" s="956">
        <v>5499</v>
      </c>
      <c r="F5173" s="955"/>
      <c r="L5173" s="954"/>
      <c r="M5173" s="952"/>
      <c r="N5173" s="952"/>
    </row>
    <row r="5174" spans="1:14">
      <c r="A5174" s="958" t="s">
        <v>367</v>
      </c>
      <c r="B5174" s="958">
        <v>50</v>
      </c>
      <c r="C5174" s="958" t="s">
        <v>1639</v>
      </c>
      <c r="D5174" s="957" t="s">
        <v>1638</v>
      </c>
      <c r="E5174" s="956">
        <v>7851</v>
      </c>
      <c r="F5174" s="955"/>
      <c r="L5174" s="954"/>
      <c r="M5174" s="952"/>
      <c r="N5174" s="952"/>
    </row>
    <row r="5175" spans="1:14">
      <c r="A5175" s="958" t="s">
        <v>367</v>
      </c>
      <c r="B5175" s="958">
        <v>50</v>
      </c>
      <c r="C5175" s="958" t="s">
        <v>1637</v>
      </c>
      <c r="D5175" s="957" t="s">
        <v>1636</v>
      </c>
      <c r="E5175" s="956">
        <v>26771</v>
      </c>
      <c r="F5175" s="955"/>
      <c r="L5175" s="954"/>
      <c r="M5175" s="952"/>
      <c r="N5175" s="952"/>
    </row>
    <row r="5176" spans="1:14">
      <c r="A5176" s="958" t="s">
        <v>367</v>
      </c>
      <c r="B5176" s="958">
        <v>50</v>
      </c>
      <c r="C5176" s="958" t="s">
        <v>1635</v>
      </c>
      <c r="D5176" s="957" t="s">
        <v>1634</v>
      </c>
      <c r="E5176" s="956">
        <v>10791</v>
      </c>
      <c r="F5176" s="955"/>
      <c r="L5176" s="954"/>
      <c r="M5176" s="952"/>
      <c r="N5176" s="952"/>
    </row>
    <row r="5177" spans="1:14">
      <c r="A5177" s="958" t="s">
        <v>367</v>
      </c>
      <c r="B5177" s="958">
        <v>50</v>
      </c>
      <c r="C5177" s="958" t="s">
        <v>1633</v>
      </c>
      <c r="D5177" s="957" t="s">
        <v>1632</v>
      </c>
      <c r="E5177" s="956">
        <v>6529</v>
      </c>
      <c r="F5177" s="955"/>
      <c r="L5177" s="954"/>
      <c r="M5177" s="952"/>
      <c r="N5177" s="952"/>
    </row>
    <row r="5178" spans="1:14">
      <c r="A5178" s="958" t="s">
        <v>367</v>
      </c>
      <c r="B5178" s="958">
        <v>50</v>
      </c>
      <c r="C5178" s="958" t="s">
        <v>1631</v>
      </c>
      <c r="D5178" s="957" t="s">
        <v>1630</v>
      </c>
      <c r="E5178" s="956">
        <v>57665</v>
      </c>
      <c r="F5178" s="955"/>
      <c r="L5178" s="954"/>
      <c r="M5178" s="952"/>
      <c r="N5178" s="952"/>
    </row>
    <row r="5179" spans="1:14">
      <c r="A5179" s="958" t="s">
        <v>367</v>
      </c>
      <c r="B5179" s="958">
        <v>50</v>
      </c>
      <c r="C5179" s="958" t="s">
        <v>1629</v>
      </c>
      <c r="D5179" s="957" t="s">
        <v>1628</v>
      </c>
      <c r="E5179" s="956">
        <v>19274</v>
      </c>
      <c r="F5179" s="955"/>
      <c r="L5179" s="954"/>
      <c r="M5179" s="952"/>
      <c r="N5179" s="952"/>
    </row>
    <row r="5180" spans="1:14">
      <c r="A5180" s="958" t="s">
        <v>367</v>
      </c>
      <c r="B5180" s="958">
        <v>50</v>
      </c>
      <c r="C5180" s="958" t="s">
        <v>1627</v>
      </c>
      <c r="D5180" s="957" t="s">
        <v>1626</v>
      </c>
      <c r="E5180" s="956">
        <v>11552</v>
      </c>
      <c r="F5180" s="955"/>
      <c r="L5180" s="954"/>
      <c r="M5180" s="952"/>
      <c r="N5180" s="952"/>
    </row>
    <row r="5181" spans="1:14">
      <c r="A5181" s="958" t="s">
        <v>367</v>
      </c>
      <c r="B5181" s="958">
        <v>50</v>
      </c>
      <c r="C5181" s="958" t="s">
        <v>1625</v>
      </c>
      <c r="D5181" s="957" t="s">
        <v>1624</v>
      </c>
      <c r="E5181" s="956">
        <v>3588</v>
      </c>
      <c r="F5181" s="955"/>
      <c r="L5181" s="954"/>
      <c r="M5181" s="952"/>
      <c r="N5181" s="952"/>
    </row>
    <row r="5182" spans="1:14">
      <c r="A5182" s="958" t="s">
        <v>367</v>
      </c>
      <c r="B5182" s="958">
        <v>50</v>
      </c>
      <c r="C5182" s="958" t="s">
        <v>1623</v>
      </c>
      <c r="D5182" s="957" t="s">
        <v>1622</v>
      </c>
      <c r="E5182" s="956">
        <v>21806</v>
      </c>
      <c r="F5182" s="955"/>
      <c r="L5182" s="954"/>
      <c r="M5182" s="952"/>
      <c r="N5182" s="952"/>
    </row>
    <row r="5183" spans="1:14">
      <c r="A5183" s="958" t="s">
        <v>367</v>
      </c>
      <c r="B5183" s="958">
        <v>50</v>
      </c>
      <c r="C5183" s="958" t="s">
        <v>1621</v>
      </c>
      <c r="D5183" s="957" t="s">
        <v>1620</v>
      </c>
      <c r="E5183" s="956">
        <v>121388</v>
      </c>
      <c r="F5183" s="955"/>
      <c r="L5183" s="954"/>
      <c r="M5183" s="952"/>
      <c r="N5183" s="952"/>
    </row>
    <row r="5184" spans="1:14">
      <c r="A5184" s="958" t="s">
        <v>367</v>
      </c>
      <c r="B5184" s="958">
        <v>50</v>
      </c>
      <c r="C5184" s="958" t="s">
        <v>1619</v>
      </c>
      <c r="D5184" s="957" t="s">
        <v>1618</v>
      </c>
      <c r="E5184" s="956">
        <v>6102</v>
      </c>
      <c r="F5184" s="955"/>
      <c r="L5184" s="954"/>
      <c r="M5184" s="952"/>
      <c r="N5184" s="952"/>
    </row>
    <row r="5185" spans="1:14">
      <c r="A5185" s="958" t="s">
        <v>368</v>
      </c>
      <c r="B5185" s="958">
        <v>51</v>
      </c>
      <c r="C5185" s="958" t="s">
        <v>1617</v>
      </c>
      <c r="D5185" s="957" t="s">
        <v>1616</v>
      </c>
      <c r="E5185" s="956">
        <v>5399</v>
      </c>
      <c r="F5185" s="955"/>
      <c r="L5185" s="954"/>
      <c r="M5185" s="952"/>
      <c r="N5185" s="952"/>
    </row>
    <row r="5186" spans="1:14">
      <c r="A5186" s="958" t="s">
        <v>368</v>
      </c>
      <c r="B5186" s="958">
        <v>51</v>
      </c>
      <c r="C5186" s="958" t="s">
        <v>1615</v>
      </c>
      <c r="D5186" s="957" t="s">
        <v>1614</v>
      </c>
      <c r="E5186" s="956">
        <v>25721</v>
      </c>
      <c r="F5186" s="955"/>
      <c r="L5186" s="954"/>
      <c r="M5186" s="952"/>
      <c r="N5186" s="952"/>
    </row>
    <row r="5187" spans="1:14">
      <c r="A5187" s="958" t="s">
        <v>368</v>
      </c>
      <c r="B5187" s="958">
        <v>51</v>
      </c>
      <c r="C5187" s="958" t="s">
        <v>1613</v>
      </c>
      <c r="D5187" s="957" t="s">
        <v>1612</v>
      </c>
      <c r="E5187" s="956">
        <v>51782</v>
      </c>
      <c r="F5187" s="955"/>
      <c r="L5187" s="954"/>
      <c r="M5187" s="952"/>
      <c r="N5187" s="952"/>
    </row>
    <row r="5188" spans="1:14">
      <c r="A5188" s="958" t="s">
        <v>368</v>
      </c>
      <c r="B5188" s="958">
        <v>51</v>
      </c>
      <c r="C5188" s="958" t="s">
        <v>1611</v>
      </c>
      <c r="D5188" s="957" t="s">
        <v>1610</v>
      </c>
      <c r="E5188" s="956">
        <v>19044</v>
      </c>
      <c r="F5188" s="955"/>
      <c r="L5188" s="954"/>
      <c r="M5188" s="952"/>
      <c r="N5188" s="952"/>
    </row>
    <row r="5189" spans="1:14">
      <c r="A5189" s="958" t="s">
        <v>368</v>
      </c>
      <c r="B5189" s="958">
        <v>51</v>
      </c>
      <c r="C5189" s="958" t="s">
        <v>1609</v>
      </c>
      <c r="D5189" s="957" t="s">
        <v>1608</v>
      </c>
      <c r="E5189" s="956">
        <v>6822</v>
      </c>
      <c r="F5189" s="955"/>
      <c r="L5189" s="954"/>
      <c r="M5189" s="952"/>
      <c r="N5189" s="952"/>
    </row>
    <row r="5190" spans="1:14">
      <c r="A5190" s="958" t="s">
        <v>368</v>
      </c>
      <c r="B5190" s="958">
        <v>51</v>
      </c>
      <c r="C5190" s="958" t="s">
        <v>1607</v>
      </c>
      <c r="D5190" s="957" t="s">
        <v>1606</v>
      </c>
      <c r="E5190" s="956">
        <v>12030</v>
      </c>
      <c r="F5190" s="955"/>
      <c r="L5190" s="954"/>
      <c r="M5190" s="952"/>
      <c r="N5190" s="952"/>
    </row>
    <row r="5191" spans="1:14">
      <c r="A5191" s="958" t="s">
        <v>368</v>
      </c>
      <c r="B5191" s="958">
        <v>51</v>
      </c>
      <c r="C5191" s="958" t="s">
        <v>1605</v>
      </c>
      <c r="D5191" s="957" t="s">
        <v>1604</v>
      </c>
      <c r="E5191" s="956">
        <v>11356</v>
      </c>
      <c r="F5191" s="955"/>
      <c r="L5191" s="954"/>
      <c r="M5191" s="952"/>
      <c r="N5191" s="952"/>
    </row>
    <row r="5192" spans="1:14">
      <c r="A5192" s="958" t="s">
        <v>368</v>
      </c>
      <c r="B5192" s="958">
        <v>51</v>
      </c>
      <c r="C5192" s="958" t="s">
        <v>1603</v>
      </c>
      <c r="D5192" s="957" t="s">
        <v>1602</v>
      </c>
      <c r="E5192" s="956">
        <v>10847</v>
      </c>
      <c r="F5192" s="955"/>
      <c r="L5192" s="954"/>
      <c r="M5192" s="952"/>
      <c r="N5192" s="952"/>
    </row>
    <row r="5193" spans="1:14">
      <c r="A5193" s="958" t="s">
        <v>368</v>
      </c>
      <c r="B5193" s="958">
        <v>51</v>
      </c>
      <c r="C5193" s="958" t="s">
        <v>1601</v>
      </c>
      <c r="D5193" s="957" t="s">
        <v>1600</v>
      </c>
      <c r="E5193" s="956">
        <v>10133</v>
      </c>
      <c r="F5193" s="955"/>
      <c r="L5193" s="954"/>
      <c r="M5193" s="952"/>
      <c r="N5193" s="952"/>
    </row>
    <row r="5194" spans="1:14">
      <c r="A5194" s="958" t="s">
        <v>368</v>
      </c>
      <c r="B5194" s="958">
        <v>51</v>
      </c>
      <c r="C5194" s="958" t="s">
        <v>1599</v>
      </c>
      <c r="D5194" s="957" t="s">
        <v>1598</v>
      </c>
      <c r="E5194" s="956">
        <v>3100</v>
      </c>
      <c r="F5194" s="955"/>
      <c r="L5194" s="954"/>
      <c r="M5194" s="952"/>
      <c r="N5194" s="952"/>
    </row>
    <row r="5195" spans="1:14">
      <c r="A5195" s="958" t="s">
        <v>368</v>
      </c>
      <c r="B5195" s="958">
        <v>51</v>
      </c>
      <c r="C5195" s="958" t="s">
        <v>1597</v>
      </c>
      <c r="D5195" s="957" t="s">
        <v>1596</v>
      </c>
      <c r="E5195" s="956">
        <v>935</v>
      </c>
      <c r="F5195" s="955"/>
      <c r="L5195" s="954"/>
      <c r="M5195" s="952"/>
      <c r="N5195" s="952"/>
    </row>
    <row r="5196" spans="1:14">
      <c r="A5196" s="958" t="s">
        <v>368</v>
      </c>
      <c r="B5196" s="958">
        <v>51</v>
      </c>
      <c r="C5196" s="958" t="s">
        <v>1595</v>
      </c>
      <c r="D5196" s="957" t="s">
        <v>1594</v>
      </c>
      <c r="E5196" s="956">
        <v>16822</v>
      </c>
      <c r="F5196" s="955"/>
      <c r="L5196" s="954"/>
      <c r="M5196" s="952"/>
      <c r="N5196" s="952"/>
    </row>
    <row r="5197" spans="1:14">
      <c r="A5197" s="958" t="s">
        <v>368</v>
      </c>
      <c r="B5197" s="958">
        <v>51</v>
      </c>
      <c r="C5197" s="958" t="s">
        <v>1593</v>
      </c>
      <c r="D5197" s="957" t="s">
        <v>1592</v>
      </c>
      <c r="E5197" s="956">
        <v>9607</v>
      </c>
      <c r="F5197" s="955"/>
      <c r="L5197" s="954"/>
      <c r="M5197" s="952"/>
      <c r="N5197" s="952"/>
    </row>
    <row r="5198" spans="1:14">
      <c r="A5198" s="958" t="s">
        <v>368</v>
      </c>
      <c r="B5198" s="958">
        <v>51</v>
      </c>
      <c r="C5198" s="958" t="s">
        <v>1591</v>
      </c>
      <c r="D5198" s="957" t="s">
        <v>1590</v>
      </c>
      <c r="E5198" s="956">
        <v>22354</v>
      </c>
      <c r="F5198" s="955"/>
      <c r="L5198" s="954"/>
      <c r="M5198" s="952"/>
      <c r="N5198" s="952"/>
    </row>
    <row r="5199" spans="1:14">
      <c r="A5199" s="958" t="s">
        <v>368</v>
      </c>
      <c r="B5199" s="958">
        <v>51</v>
      </c>
      <c r="C5199" s="958" t="s">
        <v>1589</v>
      </c>
      <c r="D5199" s="957" t="s">
        <v>1588</v>
      </c>
      <c r="E5199" s="956">
        <v>8564</v>
      </c>
      <c r="F5199" s="955"/>
      <c r="L5199" s="954"/>
      <c r="M5199" s="952"/>
      <c r="N5199" s="952"/>
    </row>
    <row r="5200" spans="1:14">
      <c r="A5200" s="958" t="s">
        <v>368</v>
      </c>
      <c r="B5200" s="958">
        <v>51</v>
      </c>
      <c r="C5200" s="958" t="s">
        <v>1587</v>
      </c>
      <c r="D5200" s="957" t="s">
        <v>1586</v>
      </c>
      <c r="E5200" s="956">
        <v>34966</v>
      </c>
      <c r="F5200" s="955"/>
      <c r="L5200" s="954"/>
      <c r="M5200" s="952"/>
      <c r="N5200" s="952"/>
    </row>
    <row r="5201" spans="1:14">
      <c r="A5201" s="958" t="s">
        <v>368</v>
      </c>
      <c r="B5201" s="958">
        <v>51</v>
      </c>
      <c r="C5201" s="958" t="s">
        <v>1585</v>
      </c>
      <c r="D5201" s="957" t="s">
        <v>1584</v>
      </c>
      <c r="E5201" s="956">
        <v>61012</v>
      </c>
      <c r="F5201" s="955"/>
      <c r="L5201" s="954"/>
      <c r="M5201" s="952"/>
      <c r="N5201" s="952"/>
    </row>
    <row r="5202" spans="1:14">
      <c r="A5202" s="958" t="s">
        <v>368</v>
      </c>
      <c r="B5202" s="958">
        <v>51</v>
      </c>
      <c r="C5202" s="958" t="s">
        <v>1583</v>
      </c>
      <c r="D5202" s="957" t="s">
        <v>1582</v>
      </c>
      <c r="E5202" s="956">
        <v>6580</v>
      </c>
      <c r="F5202" s="955"/>
      <c r="L5202" s="954"/>
      <c r="M5202" s="952"/>
      <c r="N5202" s="952"/>
    </row>
    <row r="5203" spans="1:14">
      <c r="A5203" s="958" t="s">
        <v>368</v>
      </c>
      <c r="B5203" s="958">
        <v>51</v>
      </c>
      <c r="C5203" s="958" t="s">
        <v>1581</v>
      </c>
      <c r="D5203" s="957" t="s">
        <v>1580</v>
      </c>
      <c r="E5203" s="956">
        <v>19695</v>
      </c>
      <c r="F5203" s="955"/>
      <c r="L5203" s="954"/>
      <c r="M5203" s="952"/>
      <c r="N5203" s="952"/>
    </row>
    <row r="5204" spans="1:14">
      <c r="A5204" s="958" t="s">
        <v>368</v>
      </c>
      <c r="B5204" s="958">
        <v>51</v>
      </c>
      <c r="C5204" s="958" t="s">
        <v>1579</v>
      </c>
      <c r="D5204" s="957" t="s">
        <v>1578</v>
      </c>
      <c r="E5204" s="956">
        <v>94376</v>
      </c>
      <c r="F5204" s="955"/>
      <c r="L5204" s="954"/>
      <c r="M5204" s="952"/>
      <c r="N5204" s="952"/>
    </row>
    <row r="5205" spans="1:14">
      <c r="A5205" s="958" t="s">
        <v>368</v>
      </c>
      <c r="B5205" s="958">
        <v>51</v>
      </c>
      <c r="C5205" s="958" t="s">
        <v>1577</v>
      </c>
      <c r="D5205" s="957" t="s">
        <v>1576</v>
      </c>
      <c r="E5205" s="956">
        <v>15980</v>
      </c>
      <c r="F5205" s="955"/>
      <c r="L5205" s="954"/>
      <c r="M5205" s="952"/>
      <c r="N5205" s="952"/>
    </row>
    <row r="5206" spans="1:14">
      <c r="A5206" s="958" t="s">
        <v>368</v>
      </c>
      <c r="B5206" s="958">
        <v>51</v>
      </c>
      <c r="C5206" s="958" t="s">
        <v>1575</v>
      </c>
      <c r="D5206" s="957" t="s">
        <v>1574</v>
      </c>
      <c r="E5206" s="956">
        <v>35360</v>
      </c>
      <c r="F5206" s="955"/>
      <c r="L5206" s="954"/>
      <c r="M5206" s="952"/>
      <c r="N5206" s="952"/>
    </row>
    <row r="5207" spans="1:14">
      <c r="A5207" s="958" t="s">
        <v>368</v>
      </c>
      <c r="B5207" s="958">
        <v>51</v>
      </c>
      <c r="C5207" s="958" t="s">
        <v>1573</v>
      </c>
      <c r="D5207" s="957" t="s">
        <v>1572</v>
      </c>
      <c r="E5207" s="956">
        <v>44041</v>
      </c>
      <c r="F5207" s="955"/>
      <c r="L5207" s="954"/>
      <c r="M5207" s="952"/>
      <c r="N5207" s="952"/>
    </row>
    <row r="5208" spans="1:14">
      <c r="A5208" s="958" t="s">
        <v>368</v>
      </c>
      <c r="B5208" s="958">
        <v>51</v>
      </c>
      <c r="C5208" s="958" t="s">
        <v>1571</v>
      </c>
      <c r="D5208" s="957" t="s">
        <v>1570</v>
      </c>
      <c r="E5208" s="956">
        <v>6891</v>
      </c>
      <c r="F5208" s="955"/>
      <c r="L5208" s="954"/>
      <c r="M5208" s="952"/>
      <c r="N5208" s="952"/>
    </row>
    <row r="5209" spans="1:14">
      <c r="A5209" s="958" t="s">
        <v>368</v>
      </c>
      <c r="B5209" s="958">
        <v>51</v>
      </c>
      <c r="C5209" s="958" t="s">
        <v>1569</v>
      </c>
      <c r="D5209" s="957" t="s">
        <v>1568</v>
      </c>
      <c r="E5209" s="956">
        <v>4743</v>
      </c>
      <c r="F5209" s="955"/>
      <c r="L5209" s="954"/>
      <c r="M5209" s="952"/>
      <c r="N5209" s="952"/>
    </row>
    <row r="5210" spans="1:14">
      <c r="A5210" s="958" t="s">
        <v>368</v>
      </c>
      <c r="B5210" s="958">
        <v>51</v>
      </c>
      <c r="C5210" s="958" t="s">
        <v>1567</v>
      </c>
      <c r="D5210" s="957" t="s">
        <v>1566</v>
      </c>
      <c r="E5210" s="956">
        <v>21579</v>
      </c>
      <c r="F5210" s="955"/>
      <c r="L5210" s="954"/>
      <c r="M5210" s="952"/>
      <c r="N5210" s="952"/>
    </row>
    <row r="5211" spans="1:14">
      <c r="A5211" s="958" t="s">
        <v>368</v>
      </c>
      <c r="B5211" s="958">
        <v>51</v>
      </c>
      <c r="C5211" s="958" t="s">
        <v>1565</v>
      </c>
      <c r="D5211" s="957" t="s">
        <v>1564</v>
      </c>
      <c r="E5211" s="956">
        <v>10305</v>
      </c>
      <c r="F5211" s="955"/>
      <c r="L5211" s="954"/>
      <c r="M5211" s="952"/>
      <c r="N5211" s="952"/>
    </row>
    <row r="5212" spans="1:14">
      <c r="A5212" s="958" t="s">
        <v>368</v>
      </c>
      <c r="B5212" s="958">
        <v>51</v>
      </c>
      <c r="C5212" s="958" t="s">
        <v>1563</v>
      </c>
      <c r="D5212" s="957" t="s">
        <v>1562</v>
      </c>
      <c r="E5212" s="956">
        <v>8729</v>
      </c>
      <c r="F5212" s="955"/>
      <c r="L5212" s="954"/>
      <c r="M5212" s="952"/>
      <c r="N5212" s="952"/>
    </row>
    <row r="5213" spans="1:14">
      <c r="A5213" s="958" t="s">
        <v>368</v>
      </c>
      <c r="B5213" s="958">
        <v>51</v>
      </c>
      <c r="C5213" s="958" t="s">
        <v>1561</v>
      </c>
      <c r="D5213" s="957" t="s">
        <v>1560</v>
      </c>
      <c r="E5213" s="956">
        <v>19752</v>
      </c>
      <c r="F5213" s="955"/>
      <c r="L5213" s="954"/>
      <c r="M5213" s="952"/>
      <c r="N5213" s="952"/>
    </row>
    <row r="5214" spans="1:14">
      <c r="A5214" s="958" t="s">
        <v>368</v>
      </c>
      <c r="B5214" s="958">
        <v>51</v>
      </c>
      <c r="C5214" s="958" t="s">
        <v>1559</v>
      </c>
      <c r="D5214" s="957" t="s">
        <v>1558</v>
      </c>
      <c r="E5214" s="956">
        <v>12149</v>
      </c>
      <c r="F5214" s="955"/>
      <c r="L5214" s="954"/>
      <c r="M5214" s="952"/>
      <c r="N5214" s="952"/>
    </row>
    <row r="5215" spans="1:14">
      <c r="A5215" s="958" t="s">
        <v>368</v>
      </c>
      <c r="B5215" s="958">
        <v>51</v>
      </c>
      <c r="C5215" s="958" t="s">
        <v>1557</v>
      </c>
      <c r="D5215" s="957" t="s">
        <v>1556</v>
      </c>
      <c r="E5215" s="956">
        <v>5700</v>
      </c>
      <c r="F5215" s="955"/>
      <c r="L5215" s="954"/>
      <c r="M5215" s="952"/>
      <c r="N5215" s="952"/>
    </row>
    <row r="5216" spans="1:14">
      <c r="A5216" s="958" t="s">
        <v>368</v>
      </c>
      <c r="B5216" s="958">
        <v>51</v>
      </c>
      <c r="C5216" s="958" t="s">
        <v>1555</v>
      </c>
      <c r="D5216" s="957" t="s">
        <v>1554</v>
      </c>
      <c r="E5216" s="956">
        <v>33438</v>
      </c>
      <c r="F5216" s="955"/>
      <c r="L5216" s="954"/>
      <c r="M5216" s="952"/>
      <c r="N5216" s="952"/>
    </row>
    <row r="5217" spans="1:14">
      <c r="A5217" s="958" t="s">
        <v>368</v>
      </c>
      <c r="B5217" s="958">
        <v>51</v>
      </c>
      <c r="C5217" s="958" t="s">
        <v>1553</v>
      </c>
      <c r="D5217" s="957" t="s">
        <v>1552</v>
      </c>
      <c r="E5217" s="956">
        <v>38582</v>
      </c>
      <c r="F5217" s="955"/>
      <c r="L5217" s="954"/>
      <c r="M5217" s="952"/>
      <c r="N5217" s="952"/>
    </row>
    <row r="5218" spans="1:14">
      <c r="A5218" s="958" t="s">
        <v>368</v>
      </c>
      <c r="B5218" s="958">
        <v>51</v>
      </c>
      <c r="C5218" s="958" t="s">
        <v>1551</v>
      </c>
      <c r="D5218" s="957" t="s">
        <v>1550</v>
      </c>
      <c r="E5218" s="956">
        <v>20763</v>
      </c>
      <c r="F5218" s="955"/>
      <c r="L5218" s="954"/>
      <c r="M5218" s="952"/>
      <c r="N5218" s="952"/>
    </row>
    <row r="5219" spans="1:14">
      <c r="A5219" s="958" t="s">
        <v>368</v>
      </c>
      <c r="B5219" s="958">
        <v>51</v>
      </c>
      <c r="C5219" s="958" t="s">
        <v>1549</v>
      </c>
      <c r="D5219" s="957" t="s">
        <v>1548</v>
      </c>
      <c r="E5219" s="956">
        <v>30933</v>
      </c>
      <c r="F5219" s="955"/>
      <c r="L5219" s="954"/>
      <c r="M5219" s="952"/>
      <c r="N5219" s="952"/>
    </row>
    <row r="5220" spans="1:14">
      <c r="A5220" s="958" t="s">
        <v>368</v>
      </c>
      <c r="B5220" s="958">
        <v>51</v>
      </c>
      <c r="C5220" s="958" t="s">
        <v>1547</v>
      </c>
      <c r="D5220" s="957" t="s">
        <v>1546</v>
      </c>
      <c r="E5220" s="956">
        <v>4038</v>
      </c>
      <c r="F5220" s="955"/>
      <c r="L5220" s="954"/>
      <c r="M5220" s="952"/>
      <c r="N5220" s="952"/>
    </row>
    <row r="5221" spans="1:14">
      <c r="A5221" s="958" t="s">
        <v>368</v>
      </c>
      <c r="B5221" s="958">
        <v>51</v>
      </c>
      <c r="C5221" s="958" t="s">
        <v>1545</v>
      </c>
      <c r="D5221" s="957" t="s">
        <v>1544</v>
      </c>
      <c r="E5221" s="956">
        <v>19750</v>
      </c>
      <c r="F5221" s="955"/>
      <c r="L5221" s="954"/>
      <c r="M5221" s="952"/>
      <c r="N5221" s="952"/>
    </row>
    <row r="5222" spans="1:14">
      <c r="A5222" s="958" t="s">
        <v>368</v>
      </c>
      <c r="B5222" s="958">
        <v>51</v>
      </c>
      <c r="C5222" s="958" t="s">
        <v>1543</v>
      </c>
      <c r="D5222" s="957" t="s">
        <v>1542</v>
      </c>
      <c r="E5222" s="956">
        <v>612547</v>
      </c>
      <c r="F5222" s="955"/>
      <c r="L5222" s="954"/>
      <c r="M5222" s="952"/>
      <c r="N5222" s="952"/>
    </row>
    <row r="5223" spans="1:14">
      <c r="A5223" s="958" t="s">
        <v>368</v>
      </c>
      <c r="B5223" s="958">
        <v>51</v>
      </c>
      <c r="C5223" s="958" t="s">
        <v>1541</v>
      </c>
      <c r="D5223" s="957" t="s">
        <v>1540</v>
      </c>
      <c r="E5223" s="956">
        <v>5219</v>
      </c>
      <c r="F5223" s="955"/>
      <c r="L5223" s="954"/>
      <c r="M5223" s="952"/>
      <c r="N5223" s="952"/>
    </row>
    <row r="5224" spans="1:14">
      <c r="A5224" s="958" t="s">
        <v>368</v>
      </c>
      <c r="B5224" s="958">
        <v>51</v>
      </c>
      <c r="C5224" s="958" t="s">
        <v>1539</v>
      </c>
      <c r="D5224" s="957" t="s">
        <v>1538</v>
      </c>
      <c r="E5224" s="956">
        <v>9462</v>
      </c>
      <c r="F5224" s="955"/>
      <c r="L5224" s="954"/>
      <c r="M5224" s="952"/>
      <c r="N5224" s="952"/>
    </row>
    <row r="5225" spans="1:14">
      <c r="A5225" s="958" t="s">
        <v>368</v>
      </c>
      <c r="B5225" s="958">
        <v>51</v>
      </c>
      <c r="C5225" s="958" t="s">
        <v>1537</v>
      </c>
      <c r="D5225" s="957" t="s">
        <v>1536</v>
      </c>
      <c r="E5225" s="956">
        <v>22041</v>
      </c>
      <c r="F5225" s="955"/>
      <c r="L5225" s="954"/>
      <c r="M5225" s="952"/>
      <c r="N5225" s="952"/>
    </row>
    <row r="5226" spans="1:14">
      <c r="A5226" s="958" t="s">
        <v>368</v>
      </c>
      <c r="B5226" s="958">
        <v>51</v>
      </c>
      <c r="C5226" s="958" t="s">
        <v>1535</v>
      </c>
      <c r="D5226" s="957" t="s">
        <v>1534</v>
      </c>
      <c r="E5226" s="956">
        <v>8178</v>
      </c>
      <c r="F5226" s="955"/>
      <c r="L5226" s="954"/>
      <c r="M5226" s="952"/>
      <c r="N5226" s="952"/>
    </row>
    <row r="5227" spans="1:14">
      <c r="A5227" s="958" t="s">
        <v>368</v>
      </c>
      <c r="B5227" s="958">
        <v>51</v>
      </c>
      <c r="C5227" s="958" t="s">
        <v>1533</v>
      </c>
      <c r="D5227" s="957" t="s">
        <v>1532</v>
      </c>
      <c r="E5227" s="956">
        <v>14192</v>
      </c>
      <c r="F5227" s="955"/>
      <c r="L5227" s="954"/>
      <c r="M5227" s="952"/>
      <c r="N5227" s="952"/>
    </row>
    <row r="5228" spans="1:14">
      <c r="A5228" s="958" t="s">
        <v>368</v>
      </c>
      <c r="B5228" s="958">
        <v>51</v>
      </c>
      <c r="C5228" s="958" t="s">
        <v>1531</v>
      </c>
      <c r="D5228" s="957" t="s">
        <v>1530</v>
      </c>
      <c r="E5228" s="956">
        <v>3494</v>
      </c>
      <c r="F5228" s="955"/>
      <c r="L5228" s="954"/>
      <c r="M5228" s="952"/>
      <c r="N5228" s="952"/>
    </row>
    <row r="5229" spans="1:14">
      <c r="A5229" s="958" t="s">
        <v>368</v>
      </c>
      <c r="B5229" s="958">
        <v>51</v>
      </c>
      <c r="C5229" s="958" t="s">
        <v>1529</v>
      </c>
      <c r="D5229" s="957" t="s">
        <v>1528</v>
      </c>
      <c r="E5229" s="956">
        <v>7648</v>
      </c>
      <c r="F5229" s="955"/>
      <c r="L5229" s="954"/>
      <c r="M5229" s="952"/>
      <c r="N5229" s="952"/>
    </row>
    <row r="5230" spans="1:14">
      <c r="A5230" s="958" t="s">
        <v>368</v>
      </c>
      <c r="B5230" s="958">
        <v>51</v>
      </c>
      <c r="C5230" s="958" t="s">
        <v>1527</v>
      </c>
      <c r="D5230" s="957" t="s">
        <v>1526</v>
      </c>
      <c r="E5230" s="956">
        <v>5540</v>
      </c>
      <c r="F5230" s="955"/>
      <c r="L5230" s="954"/>
      <c r="M5230" s="952"/>
      <c r="N5230" s="952"/>
    </row>
    <row r="5231" spans="1:14">
      <c r="A5231" s="958" t="s">
        <v>368</v>
      </c>
      <c r="B5231" s="958">
        <v>51</v>
      </c>
      <c r="C5231" s="958" t="s">
        <v>1525</v>
      </c>
      <c r="D5231" s="957" t="s">
        <v>1524</v>
      </c>
      <c r="E5231" s="956">
        <v>3026</v>
      </c>
      <c r="F5231" s="955"/>
      <c r="L5231" s="954"/>
      <c r="M5231" s="952"/>
      <c r="N5231" s="952"/>
    </row>
    <row r="5232" spans="1:14">
      <c r="A5232" s="958" t="s">
        <v>368</v>
      </c>
      <c r="B5232" s="958">
        <v>51</v>
      </c>
      <c r="C5232" s="958" t="s">
        <v>1523</v>
      </c>
      <c r="D5232" s="957" t="s">
        <v>1522</v>
      </c>
      <c r="E5232" s="956">
        <v>35816</v>
      </c>
      <c r="F5232" s="955"/>
      <c r="L5232" s="954"/>
      <c r="M5232" s="952"/>
      <c r="N5232" s="952"/>
    </row>
    <row r="5233" spans="1:14">
      <c r="A5233" s="958" t="s">
        <v>368</v>
      </c>
      <c r="B5233" s="958">
        <v>51</v>
      </c>
      <c r="C5233" s="958" t="s">
        <v>1521</v>
      </c>
      <c r="D5233" s="957" t="s">
        <v>1520</v>
      </c>
      <c r="E5233" s="956">
        <v>15141</v>
      </c>
      <c r="F5233" s="955"/>
      <c r="L5233" s="954"/>
      <c r="M5233" s="952"/>
      <c r="N5233" s="952"/>
    </row>
    <row r="5234" spans="1:14">
      <c r="A5234" s="958" t="s">
        <v>368</v>
      </c>
      <c r="B5234" s="958">
        <v>51</v>
      </c>
      <c r="C5234" s="958" t="s">
        <v>1519</v>
      </c>
      <c r="D5234" s="957" t="s">
        <v>1518</v>
      </c>
      <c r="E5234" s="956">
        <v>2752</v>
      </c>
      <c r="F5234" s="955"/>
      <c r="L5234" s="954"/>
      <c r="M5234" s="952"/>
      <c r="N5234" s="952"/>
    </row>
    <row r="5235" spans="1:14">
      <c r="A5235" s="958" t="s">
        <v>368</v>
      </c>
      <c r="B5235" s="958">
        <v>51</v>
      </c>
      <c r="C5235" s="958" t="s">
        <v>1517</v>
      </c>
      <c r="D5235" s="957" t="s">
        <v>1516</v>
      </c>
      <c r="E5235" s="956">
        <v>7667</v>
      </c>
      <c r="F5235" s="955"/>
      <c r="L5235" s="954"/>
      <c r="M5235" s="952"/>
      <c r="N5235" s="952"/>
    </row>
    <row r="5236" spans="1:14">
      <c r="A5236" s="958" t="s">
        <v>368</v>
      </c>
      <c r="B5236" s="958">
        <v>51</v>
      </c>
      <c r="C5236" s="958" t="s">
        <v>1515</v>
      </c>
      <c r="D5236" s="957" t="s">
        <v>1514</v>
      </c>
      <c r="E5236" s="956">
        <v>6737</v>
      </c>
      <c r="F5236" s="955"/>
      <c r="L5236" s="954"/>
      <c r="M5236" s="952"/>
      <c r="N5236" s="952"/>
    </row>
    <row r="5237" spans="1:14">
      <c r="A5237" s="958" t="s">
        <v>368</v>
      </c>
      <c r="B5237" s="958">
        <v>51</v>
      </c>
      <c r="C5237" s="958" t="s">
        <v>1513</v>
      </c>
      <c r="D5237" s="957" t="s">
        <v>1512</v>
      </c>
      <c r="E5237" s="956">
        <v>3802</v>
      </c>
      <c r="F5237" s="955"/>
      <c r="L5237" s="954"/>
      <c r="M5237" s="952"/>
      <c r="N5237" s="952"/>
    </row>
    <row r="5238" spans="1:14">
      <c r="A5238" s="958" t="s">
        <v>368</v>
      </c>
      <c r="B5238" s="958">
        <v>51</v>
      </c>
      <c r="C5238" s="958" t="s">
        <v>1511</v>
      </c>
      <c r="D5238" s="957" t="s">
        <v>1510</v>
      </c>
      <c r="E5238" s="956">
        <v>13345</v>
      </c>
      <c r="F5238" s="955"/>
      <c r="L5238" s="954"/>
      <c r="M5238" s="952"/>
      <c r="N5238" s="952"/>
    </row>
    <row r="5239" spans="1:14">
      <c r="A5239" s="958" t="s">
        <v>368</v>
      </c>
      <c r="B5239" s="958">
        <v>51</v>
      </c>
      <c r="C5239" s="958" t="s">
        <v>1509</v>
      </c>
      <c r="D5239" s="957" t="s">
        <v>1508</v>
      </c>
      <c r="E5239" s="956">
        <v>27776</v>
      </c>
      <c r="F5239" s="955"/>
      <c r="L5239" s="954"/>
      <c r="M5239" s="952"/>
      <c r="N5239" s="952"/>
    </row>
    <row r="5240" spans="1:14">
      <c r="A5240" s="958" t="s">
        <v>368</v>
      </c>
      <c r="B5240" s="958">
        <v>51</v>
      </c>
      <c r="C5240" s="958" t="s">
        <v>1507</v>
      </c>
      <c r="D5240" s="957" t="s">
        <v>1506</v>
      </c>
      <c r="E5240" s="956">
        <v>8409</v>
      </c>
      <c r="F5240" s="955"/>
      <c r="L5240" s="954"/>
      <c r="M5240" s="952"/>
      <c r="N5240" s="952"/>
    </row>
    <row r="5241" spans="1:14">
      <c r="A5241" s="958" t="s">
        <v>368</v>
      </c>
      <c r="B5241" s="958">
        <v>51</v>
      </c>
      <c r="C5241" s="958" t="s">
        <v>1505</v>
      </c>
      <c r="D5241" s="957" t="s">
        <v>1504</v>
      </c>
      <c r="E5241" s="956">
        <v>8793</v>
      </c>
      <c r="F5241" s="955"/>
      <c r="L5241" s="954"/>
      <c r="M5241" s="952"/>
      <c r="N5241" s="952"/>
    </row>
    <row r="5242" spans="1:14">
      <c r="A5242" s="958" t="s">
        <v>368</v>
      </c>
      <c r="B5242" s="958">
        <v>51</v>
      </c>
      <c r="C5242" s="958" t="s">
        <v>1503</v>
      </c>
      <c r="D5242" s="957" t="s">
        <v>1502</v>
      </c>
      <c r="E5242" s="956">
        <v>34974</v>
      </c>
      <c r="F5242" s="955"/>
      <c r="L5242" s="954"/>
      <c r="M5242" s="952"/>
      <c r="N5242" s="952"/>
    </row>
    <row r="5243" spans="1:14">
      <c r="A5243" s="958" t="s">
        <v>368</v>
      </c>
      <c r="B5243" s="958">
        <v>51</v>
      </c>
      <c r="C5243" s="958" t="s">
        <v>1501</v>
      </c>
      <c r="D5243" s="957" t="s">
        <v>1500</v>
      </c>
      <c r="E5243" s="956">
        <v>40997</v>
      </c>
      <c r="F5243" s="955"/>
      <c r="L5243" s="954"/>
      <c r="M5243" s="952"/>
      <c r="N5243" s="952"/>
    </row>
    <row r="5244" spans="1:14">
      <c r="A5244" s="958" t="s">
        <v>368</v>
      </c>
      <c r="B5244" s="958">
        <v>51</v>
      </c>
      <c r="C5244" s="958" t="s">
        <v>1499</v>
      </c>
      <c r="D5244" s="957" t="s">
        <v>1498</v>
      </c>
      <c r="E5244" s="956">
        <v>15865</v>
      </c>
      <c r="F5244" s="955"/>
      <c r="L5244" s="954"/>
      <c r="M5244" s="952"/>
      <c r="N5244" s="952"/>
    </row>
    <row r="5245" spans="1:14">
      <c r="A5245" s="958" t="s">
        <v>368</v>
      </c>
      <c r="B5245" s="958">
        <v>51</v>
      </c>
      <c r="C5245" s="958" t="s">
        <v>1497</v>
      </c>
      <c r="D5245" s="957" t="s">
        <v>1496</v>
      </c>
      <c r="E5245" s="956">
        <v>11221</v>
      </c>
      <c r="F5245" s="955"/>
      <c r="L5245" s="954"/>
      <c r="M5245" s="952"/>
      <c r="N5245" s="952"/>
    </row>
    <row r="5246" spans="1:14">
      <c r="A5246" s="958" t="s">
        <v>368</v>
      </c>
      <c r="B5246" s="958">
        <v>51</v>
      </c>
      <c r="C5246" s="958" t="s">
        <v>1495</v>
      </c>
      <c r="D5246" s="957" t="s">
        <v>1494</v>
      </c>
      <c r="E5246" s="956">
        <v>6121</v>
      </c>
      <c r="F5246" s="955"/>
      <c r="L5246" s="954"/>
      <c r="M5246" s="952"/>
      <c r="N5246" s="952"/>
    </row>
    <row r="5247" spans="1:14">
      <c r="A5247" s="958" t="s">
        <v>368</v>
      </c>
      <c r="B5247" s="958">
        <v>51</v>
      </c>
      <c r="C5247" s="958" t="s">
        <v>1493</v>
      </c>
      <c r="D5247" s="957" t="s">
        <v>1492</v>
      </c>
      <c r="E5247" s="956">
        <v>65534</v>
      </c>
      <c r="F5247" s="955"/>
      <c r="L5247" s="954"/>
      <c r="M5247" s="952"/>
      <c r="N5247" s="952"/>
    </row>
    <row r="5248" spans="1:14">
      <c r="A5248" s="958" t="s">
        <v>368</v>
      </c>
      <c r="B5248" s="958">
        <v>51</v>
      </c>
      <c r="C5248" s="958" t="s">
        <v>1491</v>
      </c>
      <c r="D5248" s="957" t="s">
        <v>1490</v>
      </c>
      <c r="E5248" s="956">
        <v>2077</v>
      </c>
      <c r="F5248" s="955"/>
      <c r="L5248" s="954"/>
      <c r="M5248" s="952"/>
      <c r="N5248" s="952"/>
    </row>
    <row r="5249" spans="1:14">
      <c r="A5249" s="958" t="s">
        <v>368</v>
      </c>
      <c r="B5249" s="958">
        <v>51</v>
      </c>
      <c r="C5249" s="958" t="s">
        <v>1489</v>
      </c>
      <c r="D5249" s="957" t="s">
        <v>1488</v>
      </c>
      <c r="E5249" s="956">
        <v>16128</v>
      </c>
      <c r="F5249" s="955"/>
      <c r="L5249" s="954"/>
      <c r="M5249" s="952"/>
      <c r="N5249" s="952"/>
    </row>
    <row r="5250" spans="1:14">
      <c r="A5250" s="958" t="s">
        <v>368</v>
      </c>
      <c r="B5250" s="958">
        <v>51</v>
      </c>
      <c r="C5250" s="958" t="s">
        <v>1487</v>
      </c>
      <c r="D5250" s="957" t="s">
        <v>1486</v>
      </c>
      <c r="E5250" s="956">
        <v>10499</v>
      </c>
      <c r="F5250" s="955"/>
      <c r="L5250" s="954"/>
      <c r="M5250" s="952"/>
      <c r="N5250" s="952"/>
    </row>
    <row r="5251" spans="1:14">
      <c r="A5251" s="958" t="s">
        <v>368</v>
      </c>
      <c r="B5251" s="958">
        <v>51</v>
      </c>
      <c r="C5251" s="958" t="s">
        <v>1485</v>
      </c>
      <c r="D5251" s="957" t="s">
        <v>1484</v>
      </c>
      <c r="E5251" s="956">
        <v>16566</v>
      </c>
      <c r="F5251" s="955"/>
      <c r="L5251" s="954"/>
      <c r="M5251" s="952"/>
      <c r="N5251" s="952"/>
    </row>
    <row r="5252" spans="1:14">
      <c r="A5252" s="958" t="s">
        <v>368</v>
      </c>
      <c r="B5252" s="958">
        <v>51</v>
      </c>
      <c r="C5252" s="958" t="s">
        <v>1483</v>
      </c>
      <c r="D5252" s="957" t="s">
        <v>1482</v>
      </c>
      <c r="E5252" s="956">
        <v>27739</v>
      </c>
      <c r="F5252" s="955"/>
      <c r="L5252" s="954"/>
      <c r="M5252" s="952"/>
      <c r="N5252" s="952"/>
    </row>
    <row r="5253" spans="1:14">
      <c r="A5253" s="958" t="s">
        <v>368</v>
      </c>
      <c r="B5253" s="958">
        <v>51</v>
      </c>
      <c r="C5253" s="958" t="s">
        <v>1481</v>
      </c>
      <c r="D5253" s="957" t="s">
        <v>1480</v>
      </c>
      <c r="E5253" s="956">
        <v>15336</v>
      </c>
      <c r="F5253" s="955"/>
      <c r="L5253" s="954"/>
      <c r="M5253" s="952"/>
      <c r="N5253" s="952"/>
    </row>
    <row r="5254" spans="1:14">
      <c r="A5254" s="958" t="s">
        <v>368</v>
      </c>
      <c r="B5254" s="958">
        <v>51</v>
      </c>
      <c r="C5254" s="958" t="s">
        <v>1479</v>
      </c>
      <c r="D5254" s="957" t="s">
        <v>1478</v>
      </c>
      <c r="E5254" s="956">
        <v>5989</v>
      </c>
      <c r="F5254" s="955"/>
      <c r="L5254" s="954"/>
      <c r="M5254" s="952"/>
      <c r="N5254" s="952"/>
    </row>
    <row r="5255" spans="1:14">
      <c r="A5255" s="958" t="s">
        <v>368</v>
      </c>
      <c r="B5255" s="958">
        <v>51</v>
      </c>
      <c r="C5255" s="958" t="s">
        <v>1477</v>
      </c>
      <c r="D5255" s="957" t="s">
        <v>1476</v>
      </c>
      <c r="E5255" s="956">
        <v>13216</v>
      </c>
      <c r="F5255" s="955"/>
      <c r="L5255" s="954"/>
      <c r="M5255" s="952"/>
      <c r="N5255" s="952"/>
    </row>
    <row r="5256" spans="1:14">
      <c r="A5256" s="958" t="s">
        <v>368</v>
      </c>
      <c r="B5256" s="958">
        <v>51</v>
      </c>
      <c r="C5256" s="958" t="s">
        <v>1475</v>
      </c>
      <c r="D5256" s="957" t="s">
        <v>1474</v>
      </c>
      <c r="E5256" s="956">
        <v>15288</v>
      </c>
      <c r="F5256" s="955"/>
      <c r="L5256" s="954"/>
      <c r="M5256" s="952"/>
      <c r="N5256" s="952"/>
    </row>
    <row r="5257" spans="1:14">
      <c r="A5257" s="958" t="s">
        <v>368</v>
      </c>
      <c r="B5257" s="958">
        <v>51</v>
      </c>
      <c r="C5257" s="958" t="s">
        <v>1473</v>
      </c>
      <c r="D5257" s="957" t="s">
        <v>1472</v>
      </c>
      <c r="E5257" s="956">
        <v>3849</v>
      </c>
      <c r="F5257" s="955"/>
      <c r="L5257" s="954"/>
      <c r="M5257" s="952"/>
      <c r="N5257" s="952"/>
    </row>
    <row r="5258" spans="1:14">
      <c r="A5258" s="958" t="s">
        <v>368</v>
      </c>
      <c r="B5258" s="958">
        <v>51</v>
      </c>
      <c r="C5258" s="958" t="s">
        <v>1471</v>
      </c>
      <c r="D5258" s="957" t="s">
        <v>1470</v>
      </c>
      <c r="E5258" s="956">
        <v>6640</v>
      </c>
      <c r="F5258" s="955"/>
      <c r="L5258" s="954"/>
      <c r="M5258" s="952"/>
      <c r="N5258" s="952"/>
    </row>
    <row r="5259" spans="1:14">
      <c r="A5259" s="958" t="s">
        <v>368</v>
      </c>
      <c r="B5259" s="958">
        <v>51</v>
      </c>
      <c r="C5259" s="958" t="s">
        <v>1469</v>
      </c>
      <c r="D5259" s="957" t="s">
        <v>1468</v>
      </c>
      <c r="E5259" s="956">
        <v>3718</v>
      </c>
      <c r="F5259" s="955"/>
      <c r="L5259" s="954"/>
      <c r="M5259" s="952"/>
      <c r="N5259" s="952"/>
    </row>
    <row r="5260" spans="1:14">
      <c r="A5260" s="958" t="s">
        <v>368</v>
      </c>
      <c r="B5260" s="958">
        <v>51</v>
      </c>
      <c r="C5260" s="958" t="s">
        <v>1467</v>
      </c>
      <c r="D5260" s="957" t="s">
        <v>1466</v>
      </c>
      <c r="E5260" s="956">
        <v>3829</v>
      </c>
      <c r="F5260" s="955"/>
      <c r="L5260" s="954"/>
      <c r="M5260" s="952"/>
      <c r="N5260" s="952"/>
    </row>
    <row r="5261" spans="1:14">
      <c r="A5261" s="958" t="s">
        <v>368</v>
      </c>
      <c r="B5261" s="958">
        <v>51</v>
      </c>
      <c r="C5261" s="958" t="s">
        <v>1465</v>
      </c>
      <c r="D5261" s="957" t="s">
        <v>1464</v>
      </c>
      <c r="E5261" s="956">
        <v>12787</v>
      </c>
      <c r="F5261" s="955"/>
      <c r="L5261" s="954"/>
      <c r="M5261" s="952"/>
      <c r="N5261" s="952"/>
    </row>
    <row r="5262" spans="1:14">
      <c r="A5262" s="958" t="s">
        <v>368</v>
      </c>
      <c r="B5262" s="958">
        <v>51</v>
      </c>
      <c r="C5262" s="958" t="s">
        <v>1463</v>
      </c>
      <c r="D5262" s="957" t="s">
        <v>1462</v>
      </c>
      <c r="E5262" s="956">
        <v>45378</v>
      </c>
      <c r="F5262" s="955"/>
      <c r="L5262" s="954"/>
      <c r="M5262" s="952"/>
      <c r="N5262" s="952"/>
    </row>
    <row r="5263" spans="1:14">
      <c r="A5263" s="958" t="s">
        <v>368</v>
      </c>
      <c r="B5263" s="958">
        <v>51</v>
      </c>
      <c r="C5263" s="958" t="s">
        <v>1461</v>
      </c>
      <c r="D5263" s="957" t="s">
        <v>1460</v>
      </c>
      <c r="E5263" s="956">
        <v>20301</v>
      </c>
      <c r="F5263" s="955"/>
      <c r="L5263" s="954"/>
      <c r="M5263" s="952"/>
      <c r="N5263" s="952"/>
    </row>
    <row r="5264" spans="1:14">
      <c r="A5264" s="958" t="s">
        <v>368</v>
      </c>
      <c r="B5264" s="958">
        <v>51</v>
      </c>
      <c r="C5264" s="958" t="s">
        <v>1459</v>
      </c>
      <c r="D5264" s="957" t="s">
        <v>1458</v>
      </c>
      <c r="E5264" s="956">
        <v>11982</v>
      </c>
      <c r="F5264" s="955"/>
      <c r="L5264" s="954"/>
      <c r="M5264" s="952"/>
      <c r="N5264" s="952"/>
    </row>
    <row r="5265" spans="1:14">
      <c r="A5265" s="958" t="s">
        <v>368</v>
      </c>
      <c r="B5265" s="958">
        <v>51</v>
      </c>
      <c r="C5265" s="958" t="s">
        <v>1457</v>
      </c>
      <c r="D5265" s="957" t="s">
        <v>1456</v>
      </c>
      <c r="E5265" s="956">
        <v>21374</v>
      </c>
      <c r="F5265" s="955"/>
      <c r="L5265" s="954"/>
      <c r="M5265" s="952"/>
      <c r="N5265" s="952"/>
    </row>
    <row r="5266" spans="1:14">
      <c r="A5266" s="958" t="s">
        <v>368</v>
      </c>
      <c r="B5266" s="958">
        <v>51</v>
      </c>
      <c r="C5266" s="958" t="s">
        <v>1455</v>
      </c>
      <c r="D5266" s="957" t="s">
        <v>1454</v>
      </c>
      <c r="E5266" s="956">
        <v>9178</v>
      </c>
      <c r="F5266" s="955"/>
      <c r="L5266" s="954"/>
      <c r="M5266" s="952"/>
      <c r="N5266" s="952"/>
    </row>
    <row r="5267" spans="1:14">
      <c r="A5267" s="958" t="s">
        <v>368</v>
      </c>
      <c r="B5267" s="958">
        <v>51</v>
      </c>
      <c r="C5267" s="958" t="s">
        <v>1453</v>
      </c>
      <c r="D5267" s="957" t="s">
        <v>1452</v>
      </c>
      <c r="E5267" s="956">
        <v>4004</v>
      </c>
      <c r="F5267" s="955"/>
      <c r="L5267" s="954"/>
      <c r="M5267" s="952"/>
      <c r="N5267" s="952"/>
    </row>
    <row r="5268" spans="1:14">
      <c r="A5268" s="958" t="s">
        <v>368</v>
      </c>
      <c r="B5268" s="958">
        <v>51</v>
      </c>
      <c r="C5268" s="958" t="s">
        <v>1451</v>
      </c>
      <c r="D5268" s="957" t="s">
        <v>1450</v>
      </c>
      <c r="E5268" s="956">
        <v>5074</v>
      </c>
      <c r="F5268" s="955"/>
      <c r="L5268" s="954"/>
      <c r="M5268" s="952"/>
      <c r="N5268" s="952"/>
    </row>
    <row r="5269" spans="1:14">
      <c r="A5269" s="958" t="s">
        <v>368</v>
      </c>
      <c r="B5269" s="958">
        <v>51</v>
      </c>
      <c r="C5269" s="958" t="s">
        <v>1449</v>
      </c>
      <c r="D5269" s="957" t="s">
        <v>1448</v>
      </c>
      <c r="E5269" s="956">
        <v>11225</v>
      </c>
      <c r="F5269" s="955"/>
      <c r="L5269" s="954"/>
      <c r="M5269" s="952"/>
      <c r="N5269" s="952"/>
    </row>
    <row r="5270" spans="1:14">
      <c r="A5270" s="958" t="s">
        <v>368</v>
      </c>
      <c r="B5270" s="958">
        <v>51</v>
      </c>
      <c r="C5270" s="958" t="s">
        <v>1447</v>
      </c>
      <c r="D5270" s="957" t="s">
        <v>1446</v>
      </c>
      <c r="E5270" s="956">
        <v>22563</v>
      </c>
      <c r="F5270" s="955"/>
      <c r="L5270" s="954"/>
      <c r="M5270" s="952"/>
      <c r="N5270" s="952"/>
    </row>
    <row r="5271" spans="1:14">
      <c r="A5271" s="958" t="s">
        <v>368</v>
      </c>
      <c r="B5271" s="958">
        <v>51</v>
      </c>
      <c r="C5271" s="958" t="s">
        <v>1445</v>
      </c>
      <c r="D5271" s="957" t="s">
        <v>1444</v>
      </c>
      <c r="E5271" s="956">
        <v>2640</v>
      </c>
      <c r="F5271" s="955"/>
      <c r="L5271" s="954"/>
      <c r="M5271" s="952"/>
      <c r="N5271" s="952"/>
    </row>
    <row r="5272" spans="1:14">
      <c r="A5272" s="958" t="s">
        <v>368</v>
      </c>
      <c r="B5272" s="958">
        <v>51</v>
      </c>
      <c r="C5272" s="958" t="s">
        <v>1443</v>
      </c>
      <c r="D5272" s="957" t="s">
        <v>1442</v>
      </c>
      <c r="E5272" s="956">
        <v>17626</v>
      </c>
      <c r="F5272" s="955"/>
      <c r="L5272" s="954"/>
      <c r="M5272" s="952"/>
      <c r="N5272" s="952"/>
    </row>
    <row r="5273" spans="1:14">
      <c r="A5273" s="958" t="s">
        <v>368</v>
      </c>
      <c r="B5273" s="958">
        <v>51</v>
      </c>
      <c r="C5273" s="958" t="s">
        <v>1441</v>
      </c>
      <c r="D5273" s="957" t="s">
        <v>1440</v>
      </c>
      <c r="E5273" s="956">
        <v>34976</v>
      </c>
      <c r="F5273" s="955"/>
      <c r="L5273" s="954"/>
      <c r="M5273" s="952"/>
      <c r="N5273" s="952"/>
    </row>
    <row r="5274" spans="1:14">
      <c r="A5274" s="958" t="s">
        <v>368</v>
      </c>
      <c r="B5274" s="958">
        <v>51</v>
      </c>
      <c r="C5274" s="958" t="s">
        <v>1439</v>
      </c>
      <c r="D5274" s="957" t="s">
        <v>1438</v>
      </c>
      <c r="E5274" s="956">
        <v>2662</v>
      </c>
      <c r="F5274" s="955"/>
      <c r="L5274" s="954"/>
      <c r="M5274" s="952"/>
      <c r="N5274" s="952"/>
    </row>
    <row r="5275" spans="1:14">
      <c r="A5275" s="958" t="s">
        <v>368</v>
      </c>
      <c r="B5275" s="958">
        <v>51</v>
      </c>
      <c r="C5275" s="958" t="s">
        <v>1437</v>
      </c>
      <c r="D5275" s="957" t="s">
        <v>1436</v>
      </c>
      <c r="E5275" s="956">
        <v>32843</v>
      </c>
      <c r="F5275" s="955"/>
      <c r="L5275" s="954"/>
      <c r="M5275" s="952"/>
      <c r="N5275" s="952"/>
    </row>
    <row r="5276" spans="1:14">
      <c r="A5276" s="958" t="s">
        <v>368</v>
      </c>
      <c r="B5276" s="958">
        <v>51</v>
      </c>
      <c r="C5276" s="958" t="s">
        <v>1435</v>
      </c>
      <c r="D5276" s="957" t="s">
        <v>1434</v>
      </c>
      <c r="E5276" s="956">
        <v>6711</v>
      </c>
      <c r="F5276" s="955"/>
      <c r="L5276" s="954"/>
      <c r="M5276" s="952"/>
      <c r="N5276" s="952"/>
    </row>
    <row r="5277" spans="1:14">
      <c r="A5277" s="958" t="s">
        <v>368</v>
      </c>
      <c r="B5277" s="958">
        <v>51</v>
      </c>
      <c r="C5277" s="958" t="s">
        <v>1433</v>
      </c>
      <c r="D5277" s="957" t="s">
        <v>1432</v>
      </c>
      <c r="E5277" s="956">
        <v>1576</v>
      </c>
      <c r="F5277" s="955"/>
      <c r="L5277" s="954"/>
      <c r="M5277" s="952"/>
      <c r="N5277" s="952"/>
    </row>
    <row r="5278" spans="1:14">
      <c r="A5278" s="958" t="s">
        <v>368</v>
      </c>
      <c r="B5278" s="958">
        <v>51</v>
      </c>
      <c r="C5278" s="958" t="s">
        <v>1431</v>
      </c>
      <c r="D5278" s="957" t="s">
        <v>1430</v>
      </c>
      <c r="E5278" s="956">
        <v>45436</v>
      </c>
      <c r="F5278" s="955"/>
      <c r="L5278" s="954"/>
      <c r="M5278" s="952"/>
      <c r="N5278" s="952"/>
    </row>
    <row r="5279" spans="1:14">
      <c r="A5279" s="958" t="s">
        <v>368</v>
      </c>
      <c r="B5279" s="958">
        <v>51</v>
      </c>
      <c r="C5279" s="958" t="s">
        <v>1429</v>
      </c>
      <c r="D5279" s="957" t="s">
        <v>1428</v>
      </c>
      <c r="E5279" s="956">
        <v>12517</v>
      </c>
      <c r="F5279" s="955"/>
      <c r="L5279" s="954"/>
      <c r="M5279" s="952"/>
      <c r="N5279" s="952"/>
    </row>
    <row r="5280" spans="1:14">
      <c r="A5280" s="958" t="s">
        <v>368</v>
      </c>
      <c r="B5280" s="958">
        <v>51</v>
      </c>
      <c r="C5280" s="958" t="s">
        <v>1427</v>
      </c>
      <c r="D5280" s="957" t="s">
        <v>1426</v>
      </c>
      <c r="E5280" s="956">
        <v>5410</v>
      </c>
      <c r="F5280" s="955"/>
      <c r="L5280" s="954"/>
      <c r="M5280" s="952"/>
      <c r="N5280" s="952"/>
    </row>
    <row r="5281" spans="1:14">
      <c r="A5281" s="958" t="s">
        <v>368</v>
      </c>
      <c r="B5281" s="958">
        <v>51</v>
      </c>
      <c r="C5281" s="958" t="s">
        <v>1425</v>
      </c>
      <c r="D5281" s="957" t="s">
        <v>1424</v>
      </c>
      <c r="E5281" s="956">
        <v>12017</v>
      </c>
      <c r="F5281" s="955"/>
      <c r="L5281" s="954"/>
      <c r="M5281" s="952"/>
      <c r="N5281" s="952"/>
    </row>
    <row r="5282" spans="1:14">
      <c r="A5282" s="958" t="s">
        <v>368</v>
      </c>
      <c r="B5282" s="958">
        <v>51</v>
      </c>
      <c r="C5282" s="958" t="s">
        <v>1423</v>
      </c>
      <c r="D5282" s="957" t="s">
        <v>1422</v>
      </c>
      <c r="E5282" s="956">
        <v>2963</v>
      </c>
      <c r="F5282" s="955"/>
      <c r="L5282" s="954"/>
      <c r="M5282" s="952"/>
      <c r="N5282" s="952"/>
    </row>
    <row r="5283" spans="1:14">
      <c r="A5283" s="958" t="s">
        <v>368</v>
      </c>
      <c r="B5283" s="958">
        <v>51</v>
      </c>
      <c r="C5283" s="958" t="s">
        <v>1421</v>
      </c>
      <c r="D5283" s="957" t="s">
        <v>1420</v>
      </c>
      <c r="E5283" s="956">
        <v>16219</v>
      </c>
      <c r="F5283" s="955"/>
      <c r="L5283" s="954"/>
      <c r="M5283" s="952"/>
      <c r="N5283" s="952"/>
    </row>
    <row r="5284" spans="1:14">
      <c r="A5284" s="958" t="s">
        <v>368</v>
      </c>
      <c r="B5284" s="958">
        <v>51</v>
      </c>
      <c r="C5284" s="958" t="s">
        <v>1419</v>
      </c>
      <c r="D5284" s="957" t="s">
        <v>1418</v>
      </c>
      <c r="E5284" s="956">
        <v>62019</v>
      </c>
      <c r="F5284" s="955"/>
      <c r="L5284" s="954"/>
      <c r="M5284" s="952"/>
      <c r="N5284" s="952"/>
    </row>
    <row r="5285" spans="1:14">
      <c r="A5285" s="958" t="s">
        <v>368</v>
      </c>
      <c r="B5285" s="958">
        <v>51</v>
      </c>
      <c r="C5285" s="958" t="s">
        <v>1417</v>
      </c>
      <c r="D5285" s="957" t="s">
        <v>1416</v>
      </c>
      <c r="E5285" s="956">
        <v>17479</v>
      </c>
      <c r="F5285" s="955"/>
      <c r="L5285" s="954"/>
      <c r="M5285" s="952"/>
      <c r="N5285" s="952"/>
    </row>
    <row r="5286" spans="1:14">
      <c r="A5286" s="958" t="s">
        <v>368</v>
      </c>
      <c r="B5286" s="958">
        <v>51</v>
      </c>
      <c r="C5286" s="958" t="s">
        <v>1415</v>
      </c>
      <c r="D5286" s="957" t="s">
        <v>1414</v>
      </c>
      <c r="E5286" s="956">
        <v>18906</v>
      </c>
      <c r="F5286" s="955"/>
      <c r="L5286" s="954"/>
      <c r="M5286" s="952"/>
      <c r="N5286" s="952"/>
    </row>
    <row r="5287" spans="1:14">
      <c r="A5287" s="958" t="s">
        <v>368</v>
      </c>
      <c r="B5287" s="958">
        <v>51</v>
      </c>
      <c r="C5287" s="958" t="s">
        <v>1413</v>
      </c>
      <c r="D5287" s="957" t="s">
        <v>1412</v>
      </c>
      <c r="E5287" s="956">
        <v>2732</v>
      </c>
      <c r="F5287" s="955"/>
      <c r="L5287" s="954"/>
      <c r="M5287" s="952"/>
      <c r="N5287" s="952"/>
    </row>
    <row r="5288" spans="1:14">
      <c r="A5288" s="958" t="s">
        <v>368</v>
      </c>
      <c r="B5288" s="958">
        <v>51</v>
      </c>
      <c r="C5288" s="958" t="s">
        <v>1411</v>
      </c>
      <c r="D5288" s="957" t="s">
        <v>1410</v>
      </c>
      <c r="E5288" s="956">
        <v>10206</v>
      </c>
      <c r="F5288" s="955"/>
      <c r="L5288" s="954"/>
      <c r="M5288" s="952"/>
      <c r="N5288" s="952"/>
    </row>
    <row r="5289" spans="1:14">
      <c r="A5289" s="958" t="s">
        <v>368</v>
      </c>
      <c r="B5289" s="958">
        <v>51</v>
      </c>
      <c r="C5289" s="958" t="s">
        <v>1409</v>
      </c>
      <c r="D5289" s="957" t="s">
        <v>1408</v>
      </c>
      <c r="E5289" s="956">
        <v>2405</v>
      </c>
      <c r="F5289" s="955"/>
      <c r="L5289" s="954"/>
      <c r="M5289" s="952"/>
      <c r="N5289" s="952"/>
    </row>
    <row r="5290" spans="1:14">
      <c r="A5290" s="958" t="s">
        <v>368</v>
      </c>
      <c r="B5290" s="958">
        <v>51</v>
      </c>
      <c r="C5290" s="958" t="s">
        <v>1407</v>
      </c>
      <c r="D5290" s="957" t="s">
        <v>1406</v>
      </c>
      <c r="E5290" s="956">
        <v>5156</v>
      </c>
      <c r="F5290" s="955"/>
      <c r="L5290" s="954"/>
      <c r="M5290" s="952"/>
      <c r="N5290" s="952"/>
    </row>
    <row r="5291" spans="1:14">
      <c r="A5291" s="958" t="s">
        <v>368</v>
      </c>
      <c r="B5291" s="958">
        <v>51</v>
      </c>
      <c r="C5291" s="958" t="s">
        <v>1405</v>
      </c>
      <c r="D5291" s="957" t="s">
        <v>1404</v>
      </c>
      <c r="E5291" s="956">
        <v>4525</v>
      </c>
      <c r="F5291" s="955"/>
      <c r="L5291" s="954"/>
      <c r="M5291" s="952"/>
      <c r="N5291" s="952"/>
    </row>
    <row r="5292" spans="1:14">
      <c r="A5292" s="958" t="s">
        <v>368</v>
      </c>
      <c r="B5292" s="958">
        <v>51</v>
      </c>
      <c r="C5292" s="958" t="s">
        <v>1403</v>
      </c>
      <c r="D5292" s="957" t="s">
        <v>1402</v>
      </c>
      <c r="E5292" s="956">
        <v>3146</v>
      </c>
      <c r="F5292" s="955"/>
      <c r="L5292" s="954"/>
      <c r="M5292" s="952"/>
      <c r="N5292" s="952"/>
    </row>
    <row r="5293" spans="1:14">
      <c r="A5293" s="958" t="s">
        <v>368</v>
      </c>
      <c r="B5293" s="958">
        <v>51</v>
      </c>
      <c r="C5293" s="958" t="s">
        <v>1401</v>
      </c>
      <c r="D5293" s="957" t="s">
        <v>1400</v>
      </c>
      <c r="E5293" s="956">
        <v>4063</v>
      </c>
      <c r="F5293" s="955"/>
      <c r="L5293" s="954"/>
      <c r="M5293" s="952"/>
      <c r="N5293" s="952"/>
    </row>
    <row r="5294" spans="1:14">
      <c r="A5294" s="958" t="s">
        <v>368</v>
      </c>
      <c r="B5294" s="958">
        <v>51</v>
      </c>
      <c r="C5294" s="958" t="s">
        <v>1399</v>
      </c>
      <c r="D5294" s="957" t="s">
        <v>1398</v>
      </c>
      <c r="E5294" s="956">
        <v>20664</v>
      </c>
      <c r="F5294" s="955"/>
      <c r="L5294" s="954"/>
      <c r="M5294" s="952"/>
      <c r="N5294" s="952"/>
    </row>
    <row r="5295" spans="1:14">
      <c r="A5295" s="958" t="s">
        <v>368</v>
      </c>
      <c r="B5295" s="958">
        <v>51</v>
      </c>
      <c r="C5295" s="958" t="s">
        <v>1397</v>
      </c>
      <c r="D5295" s="957" t="s">
        <v>1396</v>
      </c>
      <c r="E5295" s="956">
        <v>5595</v>
      </c>
      <c r="F5295" s="955"/>
      <c r="L5295" s="954"/>
      <c r="M5295" s="952"/>
      <c r="N5295" s="952"/>
    </row>
    <row r="5296" spans="1:14">
      <c r="A5296" s="958" t="s">
        <v>368</v>
      </c>
      <c r="B5296" s="958">
        <v>51</v>
      </c>
      <c r="C5296" s="958" t="s">
        <v>1395</v>
      </c>
      <c r="D5296" s="957" t="s">
        <v>1394</v>
      </c>
      <c r="E5296" s="956">
        <v>4727</v>
      </c>
      <c r="F5296" s="955"/>
      <c r="L5296" s="954"/>
      <c r="M5296" s="952"/>
      <c r="N5296" s="952"/>
    </row>
    <row r="5297" spans="1:14">
      <c r="A5297" s="958" t="s">
        <v>368</v>
      </c>
      <c r="B5297" s="958">
        <v>51</v>
      </c>
      <c r="C5297" s="958" t="s">
        <v>1393</v>
      </c>
      <c r="D5297" s="957" t="s">
        <v>1392</v>
      </c>
      <c r="E5297" s="956">
        <v>4001</v>
      </c>
      <c r="F5297" s="955"/>
      <c r="L5297" s="954"/>
      <c r="M5297" s="952"/>
      <c r="N5297" s="952"/>
    </row>
    <row r="5298" spans="1:14">
      <c r="A5298" s="958" t="s">
        <v>368</v>
      </c>
      <c r="B5298" s="958">
        <v>51</v>
      </c>
      <c r="C5298" s="958" t="s">
        <v>1391</v>
      </c>
      <c r="D5298" s="957" t="s">
        <v>1390</v>
      </c>
      <c r="E5298" s="956">
        <v>232491</v>
      </c>
      <c r="F5298" s="955"/>
      <c r="L5298" s="954"/>
      <c r="M5298" s="952"/>
      <c r="N5298" s="952"/>
    </row>
    <row r="5299" spans="1:14">
      <c r="A5299" s="958" t="s">
        <v>368</v>
      </c>
      <c r="B5299" s="958">
        <v>51</v>
      </c>
      <c r="C5299" s="958" t="s">
        <v>1389</v>
      </c>
      <c r="D5299" s="957" t="s">
        <v>1388</v>
      </c>
      <c r="E5299" s="956">
        <v>17151</v>
      </c>
      <c r="F5299" s="955"/>
      <c r="L5299" s="954"/>
      <c r="M5299" s="952"/>
      <c r="N5299" s="952"/>
    </row>
    <row r="5300" spans="1:14">
      <c r="A5300" s="958" t="s">
        <v>368</v>
      </c>
      <c r="B5300" s="958">
        <v>51</v>
      </c>
      <c r="C5300" s="958" t="s">
        <v>1387</v>
      </c>
      <c r="D5300" s="957" t="s">
        <v>1386</v>
      </c>
      <c r="E5300" s="956">
        <v>2564</v>
      </c>
      <c r="F5300" s="955"/>
      <c r="L5300" s="954"/>
      <c r="M5300" s="952"/>
      <c r="N5300" s="952"/>
    </row>
    <row r="5301" spans="1:14">
      <c r="A5301" s="958" t="s">
        <v>368</v>
      </c>
      <c r="B5301" s="958">
        <v>51</v>
      </c>
      <c r="C5301" s="958" t="s">
        <v>1385</v>
      </c>
      <c r="D5301" s="957" t="s">
        <v>1384</v>
      </c>
      <c r="E5301" s="956">
        <v>3365</v>
      </c>
      <c r="F5301" s="955"/>
      <c r="L5301" s="954"/>
      <c r="M5301" s="952"/>
      <c r="N5301" s="952"/>
    </row>
    <row r="5302" spans="1:14">
      <c r="A5302" s="958" t="s">
        <v>368</v>
      </c>
      <c r="B5302" s="958">
        <v>51</v>
      </c>
      <c r="C5302" s="958" t="s">
        <v>1383</v>
      </c>
      <c r="D5302" s="957" t="s">
        <v>1382</v>
      </c>
      <c r="E5302" s="956">
        <v>3429</v>
      </c>
      <c r="F5302" s="955"/>
      <c r="L5302" s="954"/>
      <c r="M5302" s="952"/>
      <c r="N5302" s="952"/>
    </row>
    <row r="5303" spans="1:14">
      <c r="A5303" s="958" t="s">
        <v>368</v>
      </c>
      <c r="B5303" s="958">
        <v>51</v>
      </c>
      <c r="C5303" s="958" t="s">
        <v>1381</v>
      </c>
      <c r="D5303" s="957" t="s">
        <v>1380</v>
      </c>
      <c r="E5303" s="956">
        <v>8371</v>
      </c>
      <c r="F5303" s="955"/>
      <c r="L5303" s="954"/>
      <c r="M5303" s="952"/>
      <c r="N5303" s="952"/>
    </row>
    <row r="5304" spans="1:14">
      <c r="A5304" s="958" t="s">
        <v>368</v>
      </c>
      <c r="B5304" s="958">
        <v>51</v>
      </c>
      <c r="C5304" s="958" t="s">
        <v>1379</v>
      </c>
      <c r="D5304" s="957" t="s">
        <v>1378</v>
      </c>
      <c r="E5304" s="956">
        <v>5174</v>
      </c>
      <c r="F5304" s="955"/>
      <c r="L5304" s="954"/>
      <c r="M5304" s="952"/>
      <c r="N5304" s="952"/>
    </row>
    <row r="5305" spans="1:14">
      <c r="A5305" s="958" t="s">
        <v>368</v>
      </c>
      <c r="B5305" s="958">
        <v>51</v>
      </c>
      <c r="C5305" s="958" t="s">
        <v>1377</v>
      </c>
      <c r="D5305" s="957" t="s">
        <v>1376</v>
      </c>
      <c r="E5305" s="956">
        <v>16628</v>
      </c>
      <c r="F5305" s="955"/>
      <c r="L5305" s="954"/>
      <c r="M5305" s="952"/>
      <c r="N5305" s="952"/>
    </row>
    <row r="5306" spans="1:14">
      <c r="A5306" s="958" t="s">
        <v>368</v>
      </c>
      <c r="B5306" s="958">
        <v>51</v>
      </c>
      <c r="C5306" s="958" t="s">
        <v>1375</v>
      </c>
      <c r="D5306" s="957" t="s">
        <v>1374</v>
      </c>
      <c r="E5306" s="956">
        <v>11708</v>
      </c>
      <c r="F5306" s="955"/>
      <c r="L5306" s="954"/>
      <c r="M5306" s="952"/>
      <c r="N5306" s="952"/>
    </row>
    <row r="5307" spans="1:14">
      <c r="A5307" s="958" t="s">
        <v>368</v>
      </c>
      <c r="B5307" s="958">
        <v>51</v>
      </c>
      <c r="C5307" s="958" t="s">
        <v>1373</v>
      </c>
      <c r="D5307" s="957" t="s">
        <v>1372</v>
      </c>
      <c r="E5307" s="956">
        <v>25881</v>
      </c>
      <c r="F5307" s="955"/>
      <c r="L5307" s="954"/>
      <c r="M5307" s="952"/>
      <c r="N5307" s="952"/>
    </row>
    <row r="5308" spans="1:14">
      <c r="A5308" s="958" t="s">
        <v>368</v>
      </c>
      <c r="B5308" s="958">
        <v>51</v>
      </c>
      <c r="C5308" s="958" t="s">
        <v>1371</v>
      </c>
      <c r="D5308" s="957" t="s">
        <v>1370</v>
      </c>
      <c r="E5308" s="956">
        <v>1650</v>
      </c>
      <c r="F5308" s="955"/>
      <c r="L5308" s="954"/>
      <c r="M5308" s="952"/>
      <c r="N5308" s="952"/>
    </row>
    <row r="5309" spans="1:14">
      <c r="A5309" s="958" t="s">
        <v>368</v>
      </c>
      <c r="B5309" s="958">
        <v>51</v>
      </c>
      <c r="C5309" s="958" t="s">
        <v>1369</v>
      </c>
      <c r="D5309" s="957" t="s">
        <v>1368</v>
      </c>
      <c r="E5309" s="956">
        <v>142996</v>
      </c>
      <c r="F5309" s="955"/>
      <c r="L5309" s="954"/>
      <c r="M5309" s="952"/>
      <c r="N5309" s="952"/>
    </row>
    <row r="5310" spans="1:14">
      <c r="A5310" s="958" t="s">
        <v>368</v>
      </c>
      <c r="B5310" s="958">
        <v>51</v>
      </c>
      <c r="C5310" s="958" t="s">
        <v>1367</v>
      </c>
      <c r="D5310" s="957" t="s">
        <v>1366</v>
      </c>
      <c r="E5310" s="956">
        <v>90313</v>
      </c>
      <c r="F5310" s="955"/>
      <c r="L5310" s="954"/>
      <c r="M5310" s="952"/>
      <c r="N5310" s="952"/>
    </row>
    <row r="5311" spans="1:14">
      <c r="A5311" s="958" t="s">
        <v>368</v>
      </c>
      <c r="B5311" s="958">
        <v>51</v>
      </c>
      <c r="C5311" s="958" t="s">
        <v>1365</v>
      </c>
      <c r="D5311" s="957" t="s">
        <v>1364</v>
      </c>
      <c r="E5311" s="956">
        <v>9489</v>
      </c>
      <c r="F5311" s="955"/>
      <c r="L5311" s="954"/>
      <c r="M5311" s="952"/>
      <c r="N5311" s="952"/>
    </row>
    <row r="5312" spans="1:14">
      <c r="A5312" s="958" t="s">
        <v>368</v>
      </c>
      <c r="B5312" s="958">
        <v>51</v>
      </c>
      <c r="C5312" s="958" t="s">
        <v>1363</v>
      </c>
      <c r="D5312" s="957" t="s">
        <v>1362</v>
      </c>
      <c r="E5312" s="956">
        <v>103750</v>
      </c>
      <c r="F5312" s="955"/>
      <c r="L5312" s="954"/>
      <c r="M5312" s="952"/>
      <c r="N5312" s="952"/>
    </row>
    <row r="5313" spans="1:14">
      <c r="A5313" s="958" t="s">
        <v>368</v>
      </c>
      <c r="B5313" s="958">
        <v>51</v>
      </c>
      <c r="C5313" s="958" t="s">
        <v>1361</v>
      </c>
      <c r="D5313" s="957" t="s">
        <v>1360</v>
      </c>
      <c r="E5313" s="956">
        <v>13705</v>
      </c>
      <c r="F5313" s="955"/>
      <c r="L5313" s="954"/>
      <c r="M5313" s="952"/>
      <c r="N5313" s="952"/>
    </row>
    <row r="5314" spans="1:14" ht="17.25">
      <c r="A5314" s="958" t="s">
        <v>368</v>
      </c>
      <c r="B5314" s="958">
        <v>51</v>
      </c>
      <c r="C5314" s="958" t="s">
        <v>1359</v>
      </c>
      <c r="D5314" s="957" t="s">
        <v>1358</v>
      </c>
      <c r="E5314" s="956" t="s">
        <v>1357</v>
      </c>
      <c r="F5314" s="955"/>
      <c r="L5314" s="954"/>
      <c r="M5314" s="952"/>
      <c r="N5314" s="952"/>
    </row>
    <row r="5315" spans="1:14">
      <c r="A5315" s="958" t="s">
        <v>368</v>
      </c>
      <c r="B5315" s="958">
        <v>51</v>
      </c>
      <c r="C5315" s="958" t="s">
        <v>1356</v>
      </c>
      <c r="D5315" s="957" t="s">
        <v>1355</v>
      </c>
      <c r="E5315" s="956">
        <v>3805</v>
      </c>
      <c r="F5315" s="955"/>
      <c r="L5315" s="954"/>
      <c r="M5315" s="952"/>
      <c r="N5315" s="952"/>
    </row>
    <row r="5316" spans="1:14">
      <c r="A5316" s="958" t="s">
        <v>368</v>
      </c>
      <c r="B5316" s="958">
        <v>51</v>
      </c>
      <c r="C5316" s="958" t="s">
        <v>1354</v>
      </c>
      <c r="D5316" s="957" t="s">
        <v>1353</v>
      </c>
      <c r="E5316" s="956">
        <v>3609</v>
      </c>
      <c r="F5316" s="955"/>
      <c r="L5316" s="954"/>
      <c r="M5316" s="952"/>
      <c r="N5316" s="952"/>
    </row>
    <row r="5317" spans="1:14">
      <c r="A5317" s="958" t="s">
        <v>368</v>
      </c>
      <c r="B5317" s="958">
        <v>51</v>
      </c>
      <c r="C5317" s="958" t="s">
        <v>1352</v>
      </c>
      <c r="D5317" s="957" t="s">
        <v>1351</v>
      </c>
      <c r="E5317" s="956">
        <v>3525</v>
      </c>
      <c r="F5317" s="955"/>
      <c r="L5317" s="954"/>
      <c r="M5317" s="952"/>
      <c r="N5317" s="952"/>
    </row>
    <row r="5318" spans="1:14">
      <c r="A5318" s="958" t="s">
        <v>368</v>
      </c>
      <c r="B5318" s="958">
        <v>51</v>
      </c>
      <c r="C5318" s="958" t="s">
        <v>1350</v>
      </c>
      <c r="D5318" s="957" t="s">
        <v>1349</v>
      </c>
      <c r="E5318" s="956">
        <v>3127</v>
      </c>
      <c r="F5318" s="955"/>
      <c r="L5318" s="954"/>
      <c r="M5318" s="952"/>
      <c r="N5318" s="952"/>
    </row>
    <row r="5319" spans="1:14">
      <c r="A5319" s="958" t="s">
        <v>368</v>
      </c>
      <c r="B5319" s="958">
        <v>51</v>
      </c>
      <c r="C5319" s="958" t="s">
        <v>1348</v>
      </c>
      <c r="D5319" s="957" t="s">
        <v>1347</v>
      </c>
      <c r="E5319" s="956">
        <v>284971</v>
      </c>
      <c r="F5319" s="955"/>
      <c r="L5319" s="954"/>
      <c r="M5319" s="952"/>
      <c r="N5319" s="952"/>
    </row>
    <row r="5320" spans="1:14">
      <c r="A5320" s="958" t="s">
        <v>368</v>
      </c>
      <c r="B5320" s="958">
        <v>51</v>
      </c>
      <c r="C5320" s="958" t="s">
        <v>1346</v>
      </c>
      <c r="D5320" s="957" t="s">
        <v>1345</v>
      </c>
      <c r="E5320" s="956">
        <v>11309</v>
      </c>
      <c r="F5320" s="955"/>
      <c r="L5320" s="954"/>
      <c r="M5320" s="952"/>
      <c r="N5320" s="952"/>
    </row>
    <row r="5321" spans="1:14">
      <c r="A5321" s="958" t="s">
        <v>368</v>
      </c>
      <c r="B5321" s="958">
        <v>51</v>
      </c>
      <c r="C5321" s="958" t="s">
        <v>1344</v>
      </c>
      <c r="D5321" s="957" t="s">
        <v>1343</v>
      </c>
      <c r="E5321" s="956">
        <v>26037</v>
      </c>
      <c r="F5321" s="955"/>
      <c r="L5321" s="954"/>
      <c r="M5321" s="952"/>
      <c r="N5321" s="952"/>
    </row>
    <row r="5322" spans="1:14">
      <c r="A5322" s="958" t="s">
        <v>368</v>
      </c>
      <c r="B5322" s="958">
        <v>51</v>
      </c>
      <c r="C5322" s="958" t="s">
        <v>1342</v>
      </c>
      <c r="D5322" s="957" t="s">
        <v>1341</v>
      </c>
      <c r="E5322" s="956">
        <v>4519</v>
      </c>
      <c r="F5322" s="955"/>
      <c r="L5322" s="954"/>
      <c r="M5322" s="952"/>
      <c r="N5322" s="952"/>
    </row>
    <row r="5323" spans="1:14">
      <c r="A5323" s="958" t="s">
        <v>368</v>
      </c>
      <c r="B5323" s="958">
        <v>51</v>
      </c>
      <c r="C5323" s="958" t="s">
        <v>1340</v>
      </c>
      <c r="D5323" s="957" t="s">
        <v>1339</v>
      </c>
      <c r="E5323" s="956">
        <v>3278</v>
      </c>
      <c r="F5323" s="955"/>
      <c r="L5323" s="954"/>
      <c r="M5323" s="952"/>
      <c r="N5323" s="952"/>
    </row>
    <row r="5324" spans="1:14">
      <c r="A5324" s="958" t="s">
        <v>368</v>
      </c>
      <c r="B5324" s="958">
        <v>51</v>
      </c>
      <c r="C5324" s="958" t="s">
        <v>1338</v>
      </c>
      <c r="D5324" s="957" t="s">
        <v>1337</v>
      </c>
      <c r="E5324" s="956">
        <v>8641</v>
      </c>
      <c r="F5324" s="955"/>
      <c r="L5324" s="954"/>
      <c r="M5324" s="952"/>
      <c r="N5324" s="952"/>
    </row>
    <row r="5325" spans="1:14">
      <c r="A5325" s="958" t="s">
        <v>368</v>
      </c>
      <c r="B5325" s="958">
        <v>51</v>
      </c>
      <c r="C5325" s="958" t="s">
        <v>1336</v>
      </c>
      <c r="D5325" s="957" t="s">
        <v>1335</v>
      </c>
      <c r="E5325" s="956">
        <v>9178</v>
      </c>
      <c r="F5325" s="955"/>
      <c r="L5325" s="954"/>
      <c r="M5325" s="952"/>
      <c r="N5325" s="952"/>
    </row>
    <row r="5326" spans="1:14">
      <c r="A5326" s="958" t="s">
        <v>370</v>
      </c>
      <c r="B5326" s="958">
        <v>52</v>
      </c>
      <c r="C5326" s="958" t="s">
        <v>1334</v>
      </c>
      <c r="D5326" s="957" t="s">
        <v>1333</v>
      </c>
      <c r="E5326" s="956">
        <v>8773</v>
      </c>
      <c r="F5326" s="955"/>
      <c r="L5326" s="954"/>
      <c r="M5326" s="952"/>
      <c r="N5326" s="952"/>
    </row>
    <row r="5327" spans="1:14">
      <c r="A5327" s="958" t="s">
        <v>370</v>
      </c>
      <c r="B5327" s="958">
        <v>52</v>
      </c>
      <c r="C5327" s="958" t="s">
        <v>1332</v>
      </c>
      <c r="D5327" s="957" t="s">
        <v>1331</v>
      </c>
      <c r="E5327" s="956">
        <v>20042</v>
      </c>
      <c r="F5327" s="955"/>
      <c r="L5327" s="954"/>
      <c r="M5327" s="952"/>
      <c r="N5327" s="952"/>
    </row>
    <row r="5328" spans="1:14">
      <c r="A5328" s="958" t="s">
        <v>370</v>
      </c>
      <c r="B5328" s="958">
        <v>52</v>
      </c>
      <c r="C5328" s="958" t="s">
        <v>1330</v>
      </c>
      <c r="D5328" s="957" t="s">
        <v>1329</v>
      </c>
      <c r="E5328" s="956">
        <v>22366</v>
      </c>
      <c r="F5328" s="955"/>
      <c r="L5328" s="954"/>
      <c r="M5328" s="952"/>
      <c r="N5328" s="952"/>
    </row>
    <row r="5329" spans="1:14">
      <c r="A5329" s="958" t="s">
        <v>370</v>
      </c>
      <c r="B5329" s="958">
        <v>52</v>
      </c>
      <c r="C5329" s="958" t="s">
        <v>1328</v>
      </c>
      <c r="D5329" s="957" t="s">
        <v>1327</v>
      </c>
      <c r="E5329" s="956">
        <v>2516</v>
      </c>
      <c r="F5329" s="955"/>
      <c r="L5329" s="954"/>
      <c r="M5329" s="952"/>
      <c r="N5329" s="952"/>
    </row>
    <row r="5330" spans="1:14">
      <c r="A5330" s="958" t="s">
        <v>370</v>
      </c>
      <c r="B5330" s="958">
        <v>52</v>
      </c>
      <c r="C5330" s="958" t="s">
        <v>1326</v>
      </c>
      <c r="D5330" s="957" t="s">
        <v>1325</v>
      </c>
      <c r="E5330" s="956">
        <v>5735</v>
      </c>
      <c r="F5330" s="955"/>
      <c r="L5330" s="954"/>
      <c r="M5330" s="952"/>
      <c r="N5330" s="952"/>
    </row>
    <row r="5331" spans="1:14">
      <c r="A5331" s="958" t="s">
        <v>370</v>
      </c>
      <c r="B5331" s="958">
        <v>52</v>
      </c>
      <c r="C5331" s="958" t="s">
        <v>1324</v>
      </c>
      <c r="D5331" s="957" t="s">
        <v>1323</v>
      </c>
      <c r="E5331" s="956">
        <v>1850</v>
      </c>
      <c r="F5331" s="955"/>
      <c r="L5331" s="954"/>
      <c r="M5331" s="952"/>
      <c r="N5331" s="952"/>
    </row>
    <row r="5332" spans="1:14">
      <c r="A5332" s="958" t="s">
        <v>370</v>
      </c>
      <c r="B5332" s="958">
        <v>52</v>
      </c>
      <c r="C5332" s="958" t="s">
        <v>1322</v>
      </c>
      <c r="D5332" s="957" t="s">
        <v>1321</v>
      </c>
      <c r="E5332" s="956">
        <v>212440</v>
      </c>
      <c r="F5332" s="955"/>
      <c r="L5332" s="954"/>
      <c r="M5332" s="952"/>
      <c r="N5332" s="952"/>
    </row>
    <row r="5333" spans="1:14">
      <c r="A5333" s="958" t="s">
        <v>370</v>
      </c>
      <c r="B5333" s="958">
        <v>52</v>
      </c>
      <c r="C5333" s="958" t="s">
        <v>1320</v>
      </c>
      <c r="D5333" s="957" t="s">
        <v>1319</v>
      </c>
      <c r="E5333" s="956">
        <v>27653</v>
      </c>
      <c r="F5333" s="955"/>
      <c r="L5333" s="954"/>
      <c r="M5333" s="952"/>
      <c r="N5333" s="952"/>
    </row>
    <row r="5334" spans="1:14">
      <c r="A5334" s="958" t="s">
        <v>370</v>
      </c>
      <c r="B5334" s="958">
        <v>52</v>
      </c>
      <c r="C5334" s="958" t="s">
        <v>1318</v>
      </c>
      <c r="D5334" s="957" t="s">
        <v>1317</v>
      </c>
      <c r="E5334" s="956">
        <v>1995</v>
      </c>
      <c r="F5334" s="955"/>
      <c r="L5334" s="954"/>
      <c r="M5334" s="952"/>
      <c r="N5334" s="952"/>
    </row>
    <row r="5335" spans="1:14">
      <c r="A5335" s="958" t="s">
        <v>370</v>
      </c>
      <c r="B5335" s="958">
        <v>52</v>
      </c>
      <c r="C5335" s="958" t="s">
        <v>1316</v>
      </c>
      <c r="D5335" s="957" t="s">
        <v>1315</v>
      </c>
      <c r="E5335" s="956">
        <v>6414</v>
      </c>
      <c r="F5335" s="955"/>
      <c r="L5335" s="954"/>
      <c r="M5335" s="952"/>
      <c r="N5335" s="952"/>
    </row>
    <row r="5336" spans="1:14">
      <c r="A5336" s="958" t="s">
        <v>370</v>
      </c>
      <c r="B5336" s="958">
        <v>52</v>
      </c>
      <c r="C5336" s="958" t="s">
        <v>1314</v>
      </c>
      <c r="D5336" s="957" t="s">
        <v>1313</v>
      </c>
      <c r="E5336" s="956">
        <v>7624</v>
      </c>
      <c r="F5336" s="955"/>
      <c r="L5336" s="954"/>
      <c r="M5336" s="952"/>
      <c r="N5336" s="952"/>
    </row>
    <row r="5337" spans="1:14">
      <c r="A5337" s="958" t="s">
        <v>370</v>
      </c>
      <c r="B5337" s="958">
        <v>52</v>
      </c>
      <c r="C5337" s="958" t="s">
        <v>1312</v>
      </c>
      <c r="D5337" s="957" t="s">
        <v>1311</v>
      </c>
      <c r="E5337" s="956">
        <v>8660</v>
      </c>
      <c r="F5337" s="955"/>
      <c r="L5337" s="954"/>
      <c r="M5337" s="952"/>
      <c r="N5337" s="952"/>
    </row>
    <row r="5338" spans="1:14">
      <c r="A5338" s="958" t="s">
        <v>370</v>
      </c>
      <c r="B5338" s="958">
        <v>52</v>
      </c>
      <c r="C5338" s="958" t="s">
        <v>1310</v>
      </c>
      <c r="D5338" s="957" t="s">
        <v>1309</v>
      </c>
      <c r="E5338" s="956">
        <v>3812</v>
      </c>
      <c r="F5338" s="955"/>
      <c r="L5338" s="954"/>
      <c r="M5338" s="952"/>
      <c r="N5338" s="952"/>
    </row>
    <row r="5339" spans="1:14">
      <c r="A5339" s="958" t="s">
        <v>370</v>
      </c>
      <c r="B5339" s="958">
        <v>52</v>
      </c>
      <c r="C5339" s="958" t="s">
        <v>1308</v>
      </c>
      <c r="D5339" s="957" t="s">
        <v>1307</v>
      </c>
      <c r="E5339" s="956">
        <v>6111</v>
      </c>
      <c r="F5339" s="955"/>
      <c r="L5339" s="954"/>
      <c r="M5339" s="952"/>
      <c r="N5339" s="952"/>
    </row>
    <row r="5340" spans="1:14">
      <c r="A5340" s="958" t="s">
        <v>370</v>
      </c>
      <c r="B5340" s="958">
        <v>52</v>
      </c>
      <c r="C5340" s="958" t="s">
        <v>1306</v>
      </c>
      <c r="D5340" s="957" t="s">
        <v>1305</v>
      </c>
      <c r="E5340" s="956">
        <v>3126</v>
      </c>
      <c r="F5340" s="955"/>
      <c r="L5340" s="954"/>
      <c r="M5340" s="952"/>
      <c r="N5340" s="952"/>
    </row>
    <row r="5341" spans="1:14">
      <c r="A5341" s="958" t="s">
        <v>370</v>
      </c>
      <c r="B5341" s="958">
        <v>52</v>
      </c>
      <c r="C5341" s="958" t="s">
        <v>1304</v>
      </c>
      <c r="D5341" s="957" t="s">
        <v>1303</v>
      </c>
      <c r="E5341" s="956">
        <v>386923</v>
      </c>
      <c r="F5341" s="955"/>
      <c r="L5341" s="954"/>
      <c r="M5341" s="952"/>
      <c r="N5341" s="952"/>
    </row>
    <row r="5342" spans="1:14">
      <c r="A5342" s="958" t="s">
        <v>370</v>
      </c>
      <c r="B5342" s="958">
        <v>52</v>
      </c>
      <c r="C5342" s="958" t="s">
        <v>1302</v>
      </c>
      <c r="D5342" s="957" t="s">
        <v>1301</v>
      </c>
      <c r="E5342" s="956">
        <v>1149</v>
      </c>
      <c r="F5342" s="955"/>
      <c r="L5342" s="954"/>
      <c r="M5342" s="952"/>
      <c r="N5342" s="952"/>
    </row>
    <row r="5343" spans="1:14">
      <c r="A5343" s="958" t="s">
        <v>370</v>
      </c>
      <c r="B5343" s="958">
        <v>52</v>
      </c>
      <c r="C5343" s="958" t="s">
        <v>1300</v>
      </c>
      <c r="D5343" s="957" t="s">
        <v>1299</v>
      </c>
      <c r="E5343" s="956">
        <v>21850</v>
      </c>
      <c r="F5343" s="955"/>
      <c r="L5343" s="954"/>
      <c r="M5343" s="952"/>
      <c r="N5343" s="952"/>
    </row>
    <row r="5344" spans="1:14">
      <c r="A5344" s="958" t="s">
        <v>370</v>
      </c>
      <c r="B5344" s="958">
        <v>52</v>
      </c>
      <c r="C5344" s="958" t="s">
        <v>1298</v>
      </c>
      <c r="D5344" s="957" t="s">
        <v>1297</v>
      </c>
      <c r="E5344" s="956">
        <v>578179</v>
      </c>
      <c r="F5344" s="955"/>
      <c r="L5344" s="954"/>
      <c r="M5344" s="952"/>
      <c r="N5344" s="952"/>
    </row>
    <row r="5345" spans="1:14">
      <c r="A5345" s="958" t="s">
        <v>370</v>
      </c>
      <c r="B5345" s="958">
        <v>52</v>
      </c>
      <c r="C5345" s="958" t="s">
        <v>1296</v>
      </c>
      <c r="D5345" s="957" t="s">
        <v>1295</v>
      </c>
      <c r="E5345" s="956">
        <v>2474</v>
      </c>
      <c r="F5345" s="955"/>
      <c r="L5345" s="954"/>
      <c r="M5345" s="952"/>
      <c r="N5345" s="952"/>
    </row>
    <row r="5346" spans="1:14">
      <c r="A5346" s="958" t="s">
        <v>370</v>
      </c>
      <c r="B5346" s="958">
        <v>52</v>
      </c>
      <c r="C5346" s="958" t="s">
        <v>1294</v>
      </c>
      <c r="D5346" s="957" t="s">
        <v>1293</v>
      </c>
      <c r="E5346" s="956">
        <v>4198</v>
      </c>
      <c r="F5346" s="955"/>
      <c r="L5346" s="954"/>
      <c r="M5346" s="952"/>
      <c r="N5346" s="952"/>
    </row>
    <row r="5347" spans="1:14">
      <c r="A5347" s="958" t="s">
        <v>370</v>
      </c>
      <c r="B5347" s="958">
        <v>52</v>
      </c>
      <c r="C5347" s="958" t="s">
        <v>1292</v>
      </c>
      <c r="D5347" s="957" t="s">
        <v>1291</v>
      </c>
      <c r="E5347" s="956">
        <v>3522</v>
      </c>
      <c r="F5347" s="955"/>
      <c r="L5347" s="954"/>
      <c r="M5347" s="952"/>
      <c r="N5347" s="952"/>
    </row>
    <row r="5348" spans="1:14">
      <c r="A5348" s="958" t="s">
        <v>370</v>
      </c>
      <c r="B5348" s="958">
        <v>52</v>
      </c>
      <c r="C5348" s="958" t="s">
        <v>1290</v>
      </c>
      <c r="D5348" s="957" t="s">
        <v>1289</v>
      </c>
      <c r="E5348" s="956">
        <v>20118</v>
      </c>
      <c r="F5348" s="955"/>
      <c r="L5348" s="954"/>
      <c r="M5348" s="952"/>
      <c r="N5348" s="952"/>
    </row>
    <row r="5349" spans="1:14">
      <c r="A5349" s="958" t="s">
        <v>370</v>
      </c>
      <c r="B5349" s="958">
        <v>52</v>
      </c>
      <c r="C5349" s="958" t="s">
        <v>1288</v>
      </c>
      <c r="D5349" s="957" t="s">
        <v>1287</v>
      </c>
      <c r="E5349" s="956">
        <v>10308</v>
      </c>
      <c r="F5349" s="955"/>
      <c r="L5349" s="954"/>
      <c r="M5349" s="952"/>
      <c r="N5349" s="952"/>
    </row>
    <row r="5350" spans="1:14">
      <c r="A5350" s="958" t="s">
        <v>370</v>
      </c>
      <c r="B5350" s="958">
        <v>52</v>
      </c>
      <c r="C5350" s="958" t="s">
        <v>1286</v>
      </c>
      <c r="D5350" s="957" t="s">
        <v>1285</v>
      </c>
      <c r="E5350" s="956">
        <v>7770</v>
      </c>
      <c r="F5350" s="955"/>
      <c r="L5350" s="954"/>
      <c r="M5350" s="952"/>
      <c r="N5350" s="952"/>
    </row>
    <row r="5351" spans="1:14">
      <c r="A5351" s="958" t="s">
        <v>370</v>
      </c>
      <c r="B5351" s="958">
        <v>52</v>
      </c>
      <c r="C5351" s="958" t="s">
        <v>1284</v>
      </c>
      <c r="D5351" s="957" t="s">
        <v>1283</v>
      </c>
      <c r="E5351" s="956">
        <v>2612</v>
      </c>
      <c r="F5351" s="955"/>
      <c r="L5351" s="954"/>
      <c r="M5351" s="952"/>
      <c r="N5351" s="952"/>
    </row>
    <row r="5352" spans="1:14">
      <c r="A5352" s="958" t="s">
        <v>370</v>
      </c>
      <c r="B5352" s="958">
        <v>52</v>
      </c>
      <c r="C5352" s="958" t="s">
        <v>1282</v>
      </c>
      <c r="D5352" s="957" t="s">
        <v>1281</v>
      </c>
      <c r="E5352" s="956">
        <v>9875</v>
      </c>
      <c r="F5352" s="955"/>
      <c r="L5352" s="954"/>
      <c r="M5352" s="952"/>
      <c r="N5352" s="952"/>
    </row>
    <row r="5353" spans="1:14">
      <c r="A5353" s="958" t="s">
        <v>370</v>
      </c>
      <c r="B5353" s="958">
        <v>52</v>
      </c>
      <c r="C5353" s="958" t="s">
        <v>1280</v>
      </c>
      <c r="D5353" s="957" t="s">
        <v>1279</v>
      </c>
      <c r="E5353" s="956">
        <v>3120</v>
      </c>
      <c r="F5353" s="955"/>
      <c r="L5353" s="954"/>
      <c r="M5353" s="952"/>
      <c r="N5353" s="952"/>
    </row>
    <row r="5354" spans="1:14">
      <c r="A5354" s="958" t="s">
        <v>370</v>
      </c>
      <c r="B5354" s="958">
        <v>52</v>
      </c>
      <c r="C5354" s="958" t="s">
        <v>1278</v>
      </c>
      <c r="D5354" s="957" t="s">
        <v>1277</v>
      </c>
      <c r="E5354" s="956">
        <v>2417</v>
      </c>
      <c r="F5354" s="955"/>
      <c r="L5354" s="954"/>
      <c r="M5354" s="952"/>
      <c r="N5354" s="952"/>
    </row>
    <row r="5355" spans="1:14">
      <c r="A5355" s="958" t="s">
        <v>370</v>
      </c>
      <c r="B5355" s="958">
        <v>52</v>
      </c>
      <c r="C5355" s="958" t="s">
        <v>1276</v>
      </c>
      <c r="D5355" s="957" t="s">
        <v>1275</v>
      </c>
      <c r="E5355" s="956">
        <v>5138</v>
      </c>
      <c r="F5355" s="955"/>
      <c r="L5355" s="954"/>
      <c r="M5355" s="952"/>
      <c r="N5355" s="952"/>
    </row>
    <row r="5356" spans="1:14">
      <c r="A5356" s="958" t="s">
        <v>370</v>
      </c>
      <c r="B5356" s="958">
        <v>52</v>
      </c>
      <c r="C5356" s="958" t="s">
        <v>1274</v>
      </c>
      <c r="D5356" s="957" t="s">
        <v>1273</v>
      </c>
      <c r="E5356" s="956">
        <v>11167</v>
      </c>
      <c r="F5356" s="955"/>
      <c r="L5356" s="954"/>
      <c r="M5356" s="952"/>
      <c r="N5356" s="952"/>
    </row>
    <row r="5357" spans="1:14">
      <c r="A5357" s="958" t="s">
        <v>370</v>
      </c>
      <c r="B5357" s="958">
        <v>52</v>
      </c>
      <c r="C5357" s="958" t="s">
        <v>1272</v>
      </c>
      <c r="D5357" s="957" t="s">
        <v>1271</v>
      </c>
      <c r="E5357" s="956">
        <v>29975</v>
      </c>
      <c r="F5357" s="955"/>
      <c r="L5357" s="954"/>
      <c r="M5357" s="952"/>
      <c r="N5357" s="952"/>
    </row>
    <row r="5358" spans="1:14">
      <c r="A5358" s="958" t="s">
        <v>370</v>
      </c>
      <c r="B5358" s="958">
        <v>52</v>
      </c>
      <c r="C5358" s="958" t="s">
        <v>1270</v>
      </c>
      <c r="D5358" s="957" t="s">
        <v>1269</v>
      </c>
      <c r="E5358" s="956">
        <v>8841</v>
      </c>
      <c r="F5358" s="955"/>
      <c r="L5358" s="954"/>
      <c r="M5358" s="952"/>
      <c r="N5358" s="952"/>
    </row>
    <row r="5359" spans="1:14">
      <c r="A5359" s="958" t="s">
        <v>370</v>
      </c>
      <c r="B5359" s="958">
        <v>52</v>
      </c>
      <c r="C5359" s="958" t="s">
        <v>1268</v>
      </c>
      <c r="D5359" s="957" t="s">
        <v>1267</v>
      </c>
      <c r="E5359" s="956">
        <v>25216</v>
      </c>
      <c r="F5359" s="955"/>
      <c r="L5359" s="954"/>
      <c r="M5359" s="952"/>
      <c r="N5359" s="952"/>
    </row>
    <row r="5360" spans="1:14">
      <c r="A5360" s="958" t="s">
        <v>370</v>
      </c>
      <c r="B5360" s="958">
        <v>52</v>
      </c>
      <c r="C5360" s="958" t="s">
        <v>1266</v>
      </c>
      <c r="D5360" s="957" t="s">
        <v>1265</v>
      </c>
      <c r="E5360" s="956">
        <v>9706</v>
      </c>
      <c r="F5360" s="955"/>
      <c r="L5360" s="954"/>
      <c r="M5360" s="952"/>
      <c r="N5360" s="952"/>
    </row>
    <row r="5361" spans="1:14">
      <c r="A5361" s="958" t="s">
        <v>370</v>
      </c>
      <c r="B5361" s="958">
        <v>52</v>
      </c>
      <c r="C5361" s="958" t="s">
        <v>1264</v>
      </c>
      <c r="D5361" s="957" t="s">
        <v>1263</v>
      </c>
      <c r="E5361" s="956">
        <v>4405</v>
      </c>
      <c r="F5361" s="955"/>
      <c r="L5361" s="954"/>
      <c r="M5361" s="952"/>
      <c r="N5361" s="952"/>
    </row>
    <row r="5362" spans="1:14">
      <c r="A5362" s="958" t="s">
        <v>370</v>
      </c>
      <c r="B5362" s="958">
        <v>52</v>
      </c>
      <c r="C5362" s="958" t="s">
        <v>1262</v>
      </c>
      <c r="D5362" s="957" t="s">
        <v>1261</v>
      </c>
      <c r="E5362" s="956">
        <v>3703</v>
      </c>
      <c r="F5362" s="955"/>
      <c r="L5362" s="954"/>
      <c r="M5362" s="952"/>
      <c r="N5362" s="952"/>
    </row>
    <row r="5363" spans="1:14">
      <c r="A5363" s="958" t="s">
        <v>370</v>
      </c>
      <c r="B5363" s="958">
        <v>52</v>
      </c>
      <c r="C5363" s="958" t="s">
        <v>1260</v>
      </c>
      <c r="D5363" s="957" t="s">
        <v>1259</v>
      </c>
      <c r="E5363" s="956">
        <v>5779</v>
      </c>
      <c r="F5363" s="955"/>
      <c r="L5363" s="954"/>
      <c r="M5363" s="952"/>
      <c r="N5363" s="952"/>
    </row>
    <row r="5364" spans="1:14">
      <c r="A5364" s="958" t="s">
        <v>370</v>
      </c>
      <c r="B5364" s="958">
        <v>52</v>
      </c>
      <c r="C5364" s="958" t="s">
        <v>1258</v>
      </c>
      <c r="D5364" s="957" t="s">
        <v>1257</v>
      </c>
      <c r="E5364" s="956">
        <v>9459</v>
      </c>
      <c r="F5364" s="955"/>
      <c r="L5364" s="954"/>
      <c r="M5364" s="952"/>
      <c r="N5364" s="952"/>
    </row>
    <row r="5365" spans="1:14">
      <c r="A5365" s="958" t="s">
        <v>370</v>
      </c>
      <c r="B5365" s="958">
        <v>52</v>
      </c>
      <c r="C5365" s="958" t="s">
        <v>1256</v>
      </c>
      <c r="D5365" s="957" t="s">
        <v>1255</v>
      </c>
      <c r="E5365" s="956">
        <v>2488</v>
      </c>
      <c r="F5365" s="955"/>
      <c r="L5365" s="954"/>
      <c r="M5365" s="952"/>
      <c r="N5365" s="952"/>
    </row>
    <row r="5366" spans="1:14">
      <c r="A5366" s="958" t="s">
        <v>370</v>
      </c>
      <c r="B5366" s="958">
        <v>52</v>
      </c>
      <c r="C5366" s="958" t="s">
        <v>1254</v>
      </c>
      <c r="D5366" s="957" t="s">
        <v>1253</v>
      </c>
      <c r="E5366" s="956">
        <v>3292</v>
      </c>
      <c r="F5366" s="955"/>
      <c r="L5366" s="954"/>
      <c r="M5366" s="952"/>
      <c r="N5366" s="952"/>
    </row>
    <row r="5367" spans="1:14">
      <c r="A5367" s="958" t="s">
        <v>370</v>
      </c>
      <c r="B5367" s="958">
        <v>52</v>
      </c>
      <c r="C5367" s="958" t="s">
        <v>1252</v>
      </c>
      <c r="D5367" s="957" t="s">
        <v>1251</v>
      </c>
      <c r="E5367" s="956">
        <v>7993</v>
      </c>
      <c r="F5367" s="955"/>
      <c r="L5367" s="954"/>
      <c r="M5367" s="952"/>
      <c r="N5367" s="952"/>
    </row>
    <row r="5368" spans="1:14">
      <c r="A5368" s="958" t="s">
        <v>370</v>
      </c>
      <c r="B5368" s="958">
        <v>52</v>
      </c>
      <c r="C5368" s="958" t="s">
        <v>1250</v>
      </c>
      <c r="D5368" s="957" t="s">
        <v>1249</v>
      </c>
      <c r="E5368" s="956">
        <v>12484</v>
      </c>
      <c r="F5368" s="955"/>
      <c r="L5368" s="954"/>
      <c r="M5368" s="952"/>
      <c r="N5368" s="952"/>
    </row>
    <row r="5369" spans="1:14">
      <c r="A5369" s="958" t="s">
        <v>370</v>
      </c>
      <c r="B5369" s="958">
        <v>52</v>
      </c>
      <c r="C5369" s="958" t="s">
        <v>1248</v>
      </c>
      <c r="D5369" s="957" t="s">
        <v>1247</v>
      </c>
      <c r="E5369" s="956">
        <v>1351</v>
      </c>
      <c r="F5369" s="955"/>
      <c r="L5369" s="954"/>
      <c r="M5369" s="952"/>
      <c r="N5369" s="952"/>
    </row>
    <row r="5370" spans="1:14">
      <c r="A5370" s="958" t="s">
        <v>370</v>
      </c>
      <c r="B5370" s="958">
        <v>52</v>
      </c>
      <c r="C5370" s="958" t="s">
        <v>1246</v>
      </c>
      <c r="D5370" s="957" t="s">
        <v>1245</v>
      </c>
      <c r="E5370" s="956">
        <v>8067</v>
      </c>
      <c r="F5370" s="955"/>
      <c r="L5370" s="954"/>
      <c r="M5370" s="952"/>
      <c r="N5370" s="952"/>
    </row>
    <row r="5371" spans="1:14">
      <c r="A5371" s="958" t="s">
        <v>370</v>
      </c>
      <c r="B5371" s="958">
        <v>52</v>
      </c>
      <c r="C5371" s="958" t="s">
        <v>1244</v>
      </c>
      <c r="D5371" s="957" t="s">
        <v>1243</v>
      </c>
      <c r="E5371" s="956">
        <v>16009</v>
      </c>
      <c r="F5371" s="955"/>
      <c r="L5371" s="954"/>
      <c r="M5371" s="952"/>
      <c r="N5371" s="952"/>
    </row>
    <row r="5372" spans="1:14">
      <c r="A5372" s="958" t="s">
        <v>370</v>
      </c>
      <c r="B5372" s="958">
        <v>52</v>
      </c>
      <c r="C5372" s="958" t="s">
        <v>1242</v>
      </c>
      <c r="D5372" s="957" t="s">
        <v>1241</v>
      </c>
      <c r="E5372" s="956">
        <v>18913</v>
      </c>
      <c r="F5372" s="955"/>
      <c r="L5372" s="954"/>
      <c r="M5372" s="952"/>
      <c r="N5372" s="952"/>
    </row>
    <row r="5373" spans="1:14">
      <c r="A5373" s="958" t="s">
        <v>370</v>
      </c>
      <c r="B5373" s="958">
        <v>52</v>
      </c>
      <c r="C5373" s="958" t="s">
        <v>1240</v>
      </c>
      <c r="D5373" s="957" t="s">
        <v>1239</v>
      </c>
      <c r="E5373" s="956">
        <v>91162</v>
      </c>
      <c r="F5373" s="955"/>
      <c r="L5373" s="954"/>
      <c r="M5373" s="952"/>
      <c r="N5373" s="952"/>
    </row>
    <row r="5374" spans="1:14">
      <c r="A5374" s="958" t="s">
        <v>370</v>
      </c>
      <c r="B5374" s="958">
        <v>52</v>
      </c>
      <c r="C5374" s="958" t="s">
        <v>1238</v>
      </c>
      <c r="D5374" s="957" t="s">
        <v>1237</v>
      </c>
      <c r="E5374" s="956">
        <v>3804</v>
      </c>
      <c r="F5374" s="955"/>
      <c r="L5374" s="954"/>
      <c r="M5374" s="952"/>
      <c r="N5374" s="952"/>
    </row>
    <row r="5375" spans="1:14">
      <c r="A5375" s="958" t="s">
        <v>370</v>
      </c>
      <c r="B5375" s="958">
        <v>52</v>
      </c>
      <c r="C5375" s="958" t="s">
        <v>1236</v>
      </c>
      <c r="D5375" s="957" t="s">
        <v>1235</v>
      </c>
      <c r="E5375" s="956">
        <v>3630</v>
      </c>
      <c r="F5375" s="955"/>
      <c r="L5375" s="954"/>
      <c r="M5375" s="952"/>
      <c r="N5375" s="952"/>
    </row>
    <row r="5376" spans="1:14">
      <c r="A5376" s="958" t="s">
        <v>370</v>
      </c>
      <c r="B5376" s="958">
        <v>52</v>
      </c>
      <c r="C5376" s="958" t="s">
        <v>1234</v>
      </c>
      <c r="D5376" s="957" t="s">
        <v>1233</v>
      </c>
      <c r="E5376" s="956">
        <v>3640</v>
      </c>
      <c r="F5376" s="955"/>
      <c r="L5376" s="954"/>
      <c r="M5376" s="952"/>
      <c r="N5376" s="952"/>
    </row>
    <row r="5377" spans="1:14">
      <c r="A5377" s="958" t="s">
        <v>370</v>
      </c>
      <c r="B5377" s="958">
        <v>52</v>
      </c>
      <c r="C5377" s="958" t="s">
        <v>1232</v>
      </c>
      <c r="D5377" s="957" t="s">
        <v>1231</v>
      </c>
      <c r="E5377" s="956">
        <v>12626</v>
      </c>
      <c r="F5377" s="955"/>
      <c r="L5377" s="954"/>
      <c r="M5377" s="952"/>
      <c r="N5377" s="952"/>
    </row>
    <row r="5378" spans="1:14">
      <c r="A5378" s="958" t="s">
        <v>370</v>
      </c>
      <c r="B5378" s="958">
        <v>52</v>
      </c>
      <c r="C5378" s="958" t="s">
        <v>1230</v>
      </c>
      <c r="D5378" s="957" t="s">
        <v>1229</v>
      </c>
      <c r="E5378" s="956">
        <v>7589</v>
      </c>
      <c r="F5378" s="955"/>
      <c r="L5378" s="954"/>
      <c r="M5378" s="952"/>
      <c r="N5378" s="952"/>
    </row>
    <row r="5379" spans="1:14">
      <c r="A5379" s="958" t="s">
        <v>370</v>
      </c>
      <c r="B5379" s="958">
        <v>52</v>
      </c>
      <c r="C5379" s="958" t="s">
        <v>1228</v>
      </c>
      <c r="D5379" s="957" t="s">
        <v>1227</v>
      </c>
      <c r="E5379" s="956">
        <v>7789</v>
      </c>
      <c r="F5379" s="955"/>
      <c r="L5379" s="954"/>
      <c r="M5379" s="952"/>
      <c r="N5379" s="952"/>
    </row>
    <row r="5380" spans="1:14">
      <c r="A5380" s="958" t="s">
        <v>370</v>
      </c>
      <c r="B5380" s="958">
        <v>52</v>
      </c>
      <c r="C5380" s="958" t="s">
        <v>1226</v>
      </c>
      <c r="D5380" s="957" t="s">
        <v>1225</v>
      </c>
      <c r="E5380" s="956">
        <v>19887</v>
      </c>
      <c r="F5380" s="955"/>
      <c r="L5380" s="954"/>
      <c r="M5380" s="952"/>
      <c r="N5380" s="952"/>
    </row>
    <row r="5381" spans="1:14">
      <c r="A5381" s="958" t="s">
        <v>370</v>
      </c>
      <c r="B5381" s="958">
        <v>52</v>
      </c>
      <c r="C5381" s="958" t="s">
        <v>1224</v>
      </c>
      <c r="D5381" s="957" t="s">
        <v>1223</v>
      </c>
      <c r="E5381" s="956">
        <v>2141</v>
      </c>
      <c r="F5381" s="955"/>
      <c r="L5381" s="954"/>
      <c r="M5381" s="952"/>
      <c r="N5381" s="952"/>
    </row>
    <row r="5382" spans="1:14">
      <c r="A5382" s="958" t="s">
        <v>370</v>
      </c>
      <c r="B5382" s="958">
        <v>52</v>
      </c>
      <c r="C5382" s="958" t="s">
        <v>1222</v>
      </c>
      <c r="D5382" s="957" t="s">
        <v>1221</v>
      </c>
      <c r="E5382" s="956">
        <v>10082</v>
      </c>
      <c r="F5382" s="955"/>
      <c r="L5382" s="954"/>
      <c r="M5382" s="952"/>
      <c r="N5382" s="952"/>
    </row>
    <row r="5383" spans="1:14">
      <c r="A5383" s="958" t="s">
        <v>370</v>
      </c>
      <c r="B5383" s="958">
        <v>52</v>
      </c>
      <c r="C5383" s="958" t="s">
        <v>1220</v>
      </c>
      <c r="D5383" s="957" t="s">
        <v>1219</v>
      </c>
      <c r="E5383" s="956">
        <v>3435</v>
      </c>
      <c r="F5383" s="955"/>
      <c r="L5383" s="954"/>
      <c r="M5383" s="952"/>
      <c r="N5383" s="952"/>
    </row>
    <row r="5384" spans="1:14">
      <c r="A5384" s="958" t="s">
        <v>370</v>
      </c>
      <c r="B5384" s="958">
        <v>52</v>
      </c>
      <c r="C5384" s="958" t="s">
        <v>1218</v>
      </c>
      <c r="D5384" s="957" t="s">
        <v>1217</v>
      </c>
      <c r="E5384" s="956">
        <v>108823</v>
      </c>
      <c r="F5384" s="955"/>
      <c r="L5384" s="954"/>
      <c r="M5384" s="952"/>
      <c r="N5384" s="952"/>
    </row>
    <row r="5385" spans="1:14">
      <c r="A5385" s="958" t="s">
        <v>370</v>
      </c>
      <c r="B5385" s="958">
        <v>52</v>
      </c>
      <c r="C5385" s="958" t="s">
        <v>1216</v>
      </c>
      <c r="D5385" s="957" t="s">
        <v>1215</v>
      </c>
      <c r="E5385" s="956">
        <v>5070</v>
      </c>
      <c r="F5385" s="955"/>
      <c r="L5385" s="954"/>
      <c r="M5385" s="952"/>
      <c r="N5385" s="952"/>
    </row>
    <row r="5386" spans="1:14">
      <c r="A5386" s="958" t="s">
        <v>370</v>
      </c>
      <c r="B5386" s="958">
        <v>52</v>
      </c>
      <c r="C5386" s="958" t="s">
        <v>1214</v>
      </c>
      <c r="D5386" s="957" t="s">
        <v>1213</v>
      </c>
      <c r="E5386" s="956">
        <v>9709</v>
      </c>
      <c r="F5386" s="955"/>
      <c r="L5386" s="954"/>
      <c r="M5386" s="952"/>
      <c r="N5386" s="952"/>
    </row>
    <row r="5387" spans="1:14">
      <c r="A5387" s="958" t="s">
        <v>370</v>
      </c>
      <c r="B5387" s="958">
        <v>52</v>
      </c>
      <c r="C5387" s="958" t="s">
        <v>1212</v>
      </c>
      <c r="D5387" s="957" t="s">
        <v>1211</v>
      </c>
      <c r="E5387" s="956">
        <v>22191</v>
      </c>
      <c r="F5387" s="955"/>
      <c r="L5387" s="954"/>
      <c r="M5387" s="952"/>
      <c r="N5387" s="952"/>
    </row>
    <row r="5388" spans="1:14">
      <c r="A5388" s="958" t="s">
        <v>370</v>
      </c>
      <c r="B5388" s="958">
        <v>52</v>
      </c>
      <c r="C5388" s="958" t="s">
        <v>1210</v>
      </c>
      <c r="D5388" s="957" t="s">
        <v>1209</v>
      </c>
      <c r="E5388" s="956">
        <v>8606</v>
      </c>
      <c r="F5388" s="955"/>
      <c r="L5388" s="954"/>
      <c r="M5388" s="952"/>
      <c r="N5388" s="952"/>
    </row>
    <row r="5389" spans="1:14">
      <c r="A5389" s="958" t="s">
        <v>370</v>
      </c>
      <c r="B5389" s="958">
        <v>52</v>
      </c>
      <c r="C5389" s="958" t="s">
        <v>1208</v>
      </c>
      <c r="D5389" s="957" t="s">
        <v>1207</v>
      </c>
      <c r="E5389" s="956">
        <v>10167</v>
      </c>
      <c r="F5389" s="955"/>
      <c r="L5389" s="954"/>
      <c r="M5389" s="952"/>
      <c r="N5389" s="952"/>
    </row>
    <row r="5390" spans="1:14">
      <c r="A5390" s="958" t="s">
        <v>370</v>
      </c>
      <c r="B5390" s="958">
        <v>52</v>
      </c>
      <c r="C5390" s="958" t="s">
        <v>1206</v>
      </c>
      <c r="D5390" s="957" t="s">
        <v>1205</v>
      </c>
      <c r="E5390" s="956">
        <v>71376</v>
      </c>
      <c r="F5390" s="955"/>
      <c r="L5390" s="954"/>
      <c r="M5390" s="952"/>
      <c r="N5390" s="952"/>
    </row>
    <row r="5391" spans="1:14">
      <c r="A5391" s="958" t="s">
        <v>370</v>
      </c>
      <c r="B5391" s="958">
        <v>52</v>
      </c>
      <c r="C5391" s="958" t="s">
        <v>1204</v>
      </c>
      <c r="D5391" s="957" t="s">
        <v>1203</v>
      </c>
      <c r="E5391" s="956">
        <v>20240</v>
      </c>
      <c r="F5391" s="955"/>
      <c r="L5391" s="954"/>
      <c r="M5391" s="952"/>
      <c r="N5391" s="952"/>
    </row>
    <row r="5392" spans="1:14">
      <c r="A5392" s="958" t="s">
        <v>370</v>
      </c>
      <c r="B5392" s="958">
        <v>52</v>
      </c>
      <c r="C5392" s="958" t="s">
        <v>1202</v>
      </c>
      <c r="D5392" s="957" t="s">
        <v>1201</v>
      </c>
      <c r="E5392" s="956">
        <v>3382</v>
      </c>
      <c r="F5392" s="955"/>
      <c r="L5392" s="954"/>
      <c r="M5392" s="952"/>
      <c r="N5392" s="952"/>
    </row>
    <row r="5393" spans="1:14">
      <c r="A5393" s="958" t="s">
        <v>370</v>
      </c>
      <c r="B5393" s="958">
        <v>52</v>
      </c>
      <c r="C5393" s="958" t="s">
        <v>1200</v>
      </c>
      <c r="D5393" s="957" t="s">
        <v>1199</v>
      </c>
      <c r="E5393" s="956">
        <v>2327</v>
      </c>
      <c r="F5393" s="955"/>
      <c r="L5393" s="954"/>
      <c r="M5393" s="952"/>
      <c r="N5393" s="952"/>
    </row>
    <row r="5394" spans="1:14">
      <c r="A5394" s="958" t="s">
        <v>370</v>
      </c>
      <c r="B5394" s="958">
        <v>52</v>
      </c>
      <c r="C5394" s="958" t="s">
        <v>1198</v>
      </c>
      <c r="D5394" s="957" t="s">
        <v>1197</v>
      </c>
      <c r="E5394" s="956">
        <v>11110</v>
      </c>
      <c r="F5394" s="955"/>
      <c r="L5394" s="954"/>
      <c r="M5394" s="952"/>
      <c r="N5394" s="952"/>
    </row>
    <row r="5395" spans="1:14">
      <c r="A5395" s="958" t="s">
        <v>370</v>
      </c>
      <c r="B5395" s="958">
        <v>52</v>
      </c>
      <c r="C5395" s="958" t="s">
        <v>1196</v>
      </c>
      <c r="D5395" s="957" t="s">
        <v>1195</v>
      </c>
      <c r="E5395" s="956">
        <v>9723</v>
      </c>
      <c r="F5395" s="955"/>
      <c r="L5395" s="954"/>
      <c r="M5395" s="952"/>
      <c r="N5395" s="952"/>
    </row>
    <row r="5396" spans="1:14">
      <c r="A5396" s="958" t="s">
        <v>370</v>
      </c>
      <c r="B5396" s="958">
        <v>52</v>
      </c>
      <c r="C5396" s="958" t="s">
        <v>1194</v>
      </c>
      <c r="D5396" s="957" t="s">
        <v>1193</v>
      </c>
      <c r="E5396" s="956">
        <v>58997</v>
      </c>
      <c r="F5396" s="955"/>
      <c r="L5396" s="954"/>
      <c r="M5396" s="952"/>
      <c r="N5396" s="952"/>
    </row>
    <row r="5397" spans="1:14">
      <c r="A5397" s="958" t="s">
        <v>370</v>
      </c>
      <c r="B5397" s="958">
        <v>52</v>
      </c>
      <c r="C5397" s="958" t="s">
        <v>1192</v>
      </c>
      <c r="D5397" s="957" t="s">
        <v>1191</v>
      </c>
      <c r="E5397" s="956">
        <v>2966</v>
      </c>
      <c r="F5397" s="955"/>
      <c r="L5397" s="954"/>
      <c r="M5397" s="952"/>
      <c r="N5397" s="952"/>
    </row>
    <row r="5398" spans="1:14">
      <c r="A5398" s="958" t="s">
        <v>370</v>
      </c>
      <c r="B5398" s="958">
        <v>52</v>
      </c>
      <c r="C5398" s="958" t="s">
        <v>1190</v>
      </c>
      <c r="D5398" s="957" t="s">
        <v>1189</v>
      </c>
      <c r="E5398" s="956">
        <v>16949</v>
      </c>
      <c r="F5398" s="955"/>
      <c r="L5398" s="954"/>
      <c r="M5398" s="952"/>
      <c r="N5398" s="952"/>
    </row>
    <row r="5399" spans="1:14">
      <c r="A5399" s="958" t="s">
        <v>370</v>
      </c>
      <c r="B5399" s="958">
        <v>52</v>
      </c>
      <c r="C5399" s="958" t="s">
        <v>1188</v>
      </c>
      <c r="D5399" s="957" t="s">
        <v>1187</v>
      </c>
      <c r="E5399" s="956">
        <v>3486</v>
      </c>
      <c r="F5399" s="955"/>
      <c r="L5399" s="954"/>
      <c r="M5399" s="952"/>
      <c r="N5399" s="952"/>
    </row>
    <row r="5400" spans="1:14">
      <c r="A5400" s="958" t="s">
        <v>370</v>
      </c>
      <c r="B5400" s="958">
        <v>52</v>
      </c>
      <c r="C5400" s="958" t="s">
        <v>1186</v>
      </c>
      <c r="D5400" s="957" t="s">
        <v>1185</v>
      </c>
      <c r="E5400" s="956">
        <v>2854</v>
      </c>
      <c r="F5400" s="955"/>
      <c r="L5400" s="954"/>
      <c r="M5400" s="952"/>
      <c r="N5400" s="952"/>
    </row>
    <row r="5401" spans="1:14">
      <c r="A5401" s="958" t="s">
        <v>370</v>
      </c>
      <c r="B5401" s="958">
        <v>52</v>
      </c>
      <c r="C5401" s="958" t="s">
        <v>1184</v>
      </c>
      <c r="D5401" s="957" t="s">
        <v>1183</v>
      </c>
      <c r="E5401" s="956">
        <v>3311</v>
      </c>
      <c r="F5401" s="955"/>
      <c r="L5401" s="954"/>
      <c r="M5401" s="952"/>
      <c r="N5401" s="952"/>
    </row>
    <row r="5402" spans="1:14">
      <c r="A5402" s="958" t="s">
        <v>370</v>
      </c>
      <c r="B5402" s="958">
        <v>52</v>
      </c>
      <c r="C5402" s="958" t="s">
        <v>1182</v>
      </c>
      <c r="D5402" s="957" t="s">
        <v>1181</v>
      </c>
      <c r="E5402" s="956">
        <v>2938</v>
      </c>
      <c r="F5402" s="955"/>
      <c r="L5402" s="954"/>
      <c r="M5402" s="952"/>
      <c r="N5402" s="952"/>
    </row>
    <row r="5403" spans="1:14">
      <c r="A5403" s="958" t="s">
        <v>370</v>
      </c>
      <c r="B5403" s="958">
        <v>52</v>
      </c>
      <c r="C5403" s="958" t="s">
        <v>1180</v>
      </c>
      <c r="D5403" s="957" t="s">
        <v>1179</v>
      </c>
      <c r="E5403" s="956">
        <v>2094</v>
      </c>
      <c r="F5403" s="955"/>
      <c r="L5403" s="954"/>
      <c r="M5403" s="952"/>
      <c r="N5403" s="952"/>
    </row>
    <row r="5404" spans="1:14">
      <c r="A5404" s="958" t="s">
        <v>370</v>
      </c>
      <c r="B5404" s="958">
        <v>52</v>
      </c>
      <c r="C5404" s="958" t="s">
        <v>1178</v>
      </c>
      <c r="D5404" s="957" t="s">
        <v>1177</v>
      </c>
      <c r="E5404" s="956">
        <v>2484</v>
      </c>
      <c r="F5404" s="955"/>
      <c r="L5404" s="954"/>
      <c r="M5404" s="952"/>
      <c r="N5404" s="952"/>
    </row>
    <row r="5405" spans="1:14">
      <c r="A5405" s="958" t="s">
        <v>370</v>
      </c>
      <c r="B5405" s="958">
        <v>52</v>
      </c>
      <c r="C5405" s="958" t="s">
        <v>1176</v>
      </c>
      <c r="D5405" s="957" t="s">
        <v>1175</v>
      </c>
      <c r="E5405" s="956">
        <v>7322</v>
      </c>
      <c r="F5405" s="955"/>
      <c r="L5405" s="954"/>
      <c r="M5405" s="952"/>
      <c r="N5405" s="952"/>
    </row>
    <row r="5406" spans="1:14">
      <c r="A5406" s="958" t="s">
        <v>370</v>
      </c>
      <c r="B5406" s="958">
        <v>52</v>
      </c>
      <c r="C5406" s="958" t="s">
        <v>1174</v>
      </c>
      <c r="D5406" s="957" t="s">
        <v>1173</v>
      </c>
      <c r="E5406" s="956">
        <v>3699</v>
      </c>
      <c r="F5406" s="955"/>
      <c r="L5406" s="954"/>
      <c r="M5406" s="952"/>
      <c r="N5406" s="952"/>
    </row>
    <row r="5407" spans="1:14">
      <c r="A5407" s="958" t="s">
        <v>370</v>
      </c>
      <c r="B5407" s="958">
        <v>52</v>
      </c>
      <c r="C5407" s="958" t="s">
        <v>1172</v>
      </c>
      <c r="D5407" s="957" t="s">
        <v>1171</v>
      </c>
      <c r="E5407" s="956">
        <v>12372</v>
      </c>
      <c r="F5407" s="955"/>
      <c r="L5407" s="954"/>
      <c r="M5407" s="952"/>
      <c r="N5407" s="952"/>
    </row>
    <row r="5408" spans="1:14">
      <c r="A5408" s="958" t="s">
        <v>370</v>
      </c>
      <c r="B5408" s="958">
        <v>52</v>
      </c>
      <c r="C5408" s="958" t="s">
        <v>1170</v>
      </c>
      <c r="D5408" s="957" t="s">
        <v>1169</v>
      </c>
      <c r="E5408" s="956">
        <v>3275</v>
      </c>
      <c r="F5408" s="955"/>
      <c r="L5408" s="954"/>
      <c r="M5408" s="952"/>
      <c r="N5408" s="952"/>
    </row>
    <row r="5409" spans="1:14">
      <c r="A5409" s="958" t="s">
        <v>370</v>
      </c>
      <c r="B5409" s="958">
        <v>52</v>
      </c>
      <c r="C5409" s="958" t="s">
        <v>1168</v>
      </c>
      <c r="D5409" s="957" t="s">
        <v>1167</v>
      </c>
      <c r="E5409" s="956">
        <v>6627</v>
      </c>
      <c r="F5409" s="955"/>
      <c r="L5409" s="954"/>
      <c r="M5409" s="952"/>
      <c r="N5409" s="952"/>
    </row>
    <row r="5410" spans="1:14">
      <c r="A5410" s="958" t="s">
        <v>370</v>
      </c>
      <c r="B5410" s="958">
        <v>52</v>
      </c>
      <c r="C5410" s="958" t="s">
        <v>1166</v>
      </c>
      <c r="D5410" s="957" t="s">
        <v>1165</v>
      </c>
      <c r="E5410" s="956">
        <v>5637</v>
      </c>
      <c r="F5410" s="955"/>
      <c r="L5410" s="954"/>
      <c r="M5410" s="952"/>
      <c r="N5410" s="952"/>
    </row>
    <row r="5411" spans="1:14">
      <c r="A5411" s="958" t="s">
        <v>370</v>
      </c>
      <c r="B5411" s="958">
        <v>52</v>
      </c>
      <c r="C5411" s="958" t="s">
        <v>1164</v>
      </c>
      <c r="D5411" s="957" t="s">
        <v>1163</v>
      </c>
      <c r="E5411" s="956">
        <v>13292</v>
      </c>
      <c r="F5411" s="955"/>
      <c r="L5411" s="954"/>
      <c r="M5411" s="952"/>
      <c r="N5411" s="952"/>
    </row>
    <row r="5412" spans="1:14">
      <c r="A5412" s="958" t="s">
        <v>370</v>
      </c>
      <c r="B5412" s="958">
        <v>52</v>
      </c>
      <c r="C5412" s="958" t="s">
        <v>1162</v>
      </c>
      <c r="D5412" s="957" t="s">
        <v>1161</v>
      </c>
      <c r="E5412" s="956">
        <v>16557</v>
      </c>
      <c r="F5412" s="955"/>
      <c r="L5412" s="954"/>
      <c r="M5412" s="952"/>
      <c r="N5412" s="952"/>
    </row>
    <row r="5413" spans="1:14">
      <c r="A5413" s="958" t="s">
        <v>370</v>
      </c>
      <c r="B5413" s="958">
        <v>52</v>
      </c>
      <c r="C5413" s="958" t="s">
        <v>1160</v>
      </c>
      <c r="D5413" s="957" t="s">
        <v>1159</v>
      </c>
      <c r="E5413" s="956">
        <v>121617</v>
      </c>
      <c r="F5413" s="955"/>
      <c r="L5413" s="954"/>
      <c r="M5413" s="952"/>
      <c r="N5413" s="952"/>
    </row>
    <row r="5414" spans="1:14">
      <c r="A5414" s="958" t="s">
        <v>370</v>
      </c>
      <c r="B5414" s="958">
        <v>52</v>
      </c>
      <c r="C5414" s="958" t="s">
        <v>1158</v>
      </c>
      <c r="D5414" s="957" t="s">
        <v>1157</v>
      </c>
      <c r="E5414" s="956">
        <v>4248</v>
      </c>
      <c r="F5414" s="955"/>
      <c r="L5414" s="954"/>
      <c r="M5414" s="952"/>
      <c r="N5414" s="952"/>
    </row>
    <row r="5415" spans="1:14">
      <c r="A5415" s="958" t="s">
        <v>370</v>
      </c>
      <c r="B5415" s="958">
        <v>52</v>
      </c>
      <c r="C5415" s="958" t="s">
        <v>1156</v>
      </c>
      <c r="D5415" s="957" t="s">
        <v>1155</v>
      </c>
      <c r="E5415" s="956">
        <v>3818</v>
      </c>
      <c r="F5415" s="955"/>
      <c r="L5415" s="954"/>
      <c r="M5415" s="952"/>
      <c r="N5415" s="952"/>
    </row>
    <row r="5416" spans="1:14">
      <c r="A5416" s="958" t="s">
        <v>370</v>
      </c>
      <c r="B5416" s="958">
        <v>52</v>
      </c>
      <c r="C5416" s="958" t="s">
        <v>1154</v>
      </c>
      <c r="D5416" s="957" t="s">
        <v>1153</v>
      </c>
      <c r="E5416" s="956">
        <v>4804</v>
      </c>
      <c r="F5416" s="955"/>
      <c r="L5416" s="954"/>
      <c r="M5416" s="952"/>
      <c r="N5416" s="952"/>
    </row>
    <row r="5417" spans="1:14">
      <c r="A5417" s="958" t="s">
        <v>370</v>
      </c>
      <c r="B5417" s="958">
        <v>52</v>
      </c>
      <c r="C5417" s="958" t="s">
        <v>1152</v>
      </c>
      <c r="D5417" s="957" t="s">
        <v>1151</v>
      </c>
      <c r="E5417" s="956">
        <v>11231</v>
      </c>
      <c r="F5417" s="955"/>
      <c r="L5417" s="954"/>
      <c r="M5417" s="952"/>
      <c r="N5417" s="952"/>
    </row>
    <row r="5418" spans="1:14">
      <c r="A5418" s="958" t="s">
        <v>370</v>
      </c>
      <c r="B5418" s="958">
        <v>52</v>
      </c>
      <c r="C5418" s="958" t="s">
        <v>1150</v>
      </c>
      <c r="D5418" s="957" t="s">
        <v>1149</v>
      </c>
      <c r="E5418" s="956">
        <v>5600</v>
      </c>
      <c r="F5418" s="955"/>
      <c r="L5418" s="954"/>
      <c r="M5418" s="952"/>
      <c r="N5418" s="952"/>
    </row>
    <row r="5419" spans="1:14">
      <c r="A5419" s="958" t="s">
        <v>370</v>
      </c>
      <c r="B5419" s="958">
        <v>52</v>
      </c>
      <c r="C5419" s="958" t="s">
        <v>1148</v>
      </c>
      <c r="D5419" s="957" t="s">
        <v>1147</v>
      </c>
      <c r="E5419" s="956">
        <v>70084</v>
      </c>
      <c r="F5419" s="955"/>
      <c r="L5419" s="954"/>
      <c r="M5419" s="952"/>
      <c r="N5419" s="952"/>
    </row>
    <row r="5420" spans="1:14">
      <c r="A5420" s="958" t="s">
        <v>370</v>
      </c>
      <c r="B5420" s="958">
        <v>52</v>
      </c>
      <c r="C5420" s="958" t="s">
        <v>1146</v>
      </c>
      <c r="D5420" s="957" t="s">
        <v>1145</v>
      </c>
      <c r="E5420" s="956">
        <v>1516113</v>
      </c>
      <c r="F5420" s="955"/>
      <c r="L5420" s="954"/>
      <c r="M5420" s="952"/>
      <c r="N5420" s="952"/>
    </row>
    <row r="5421" spans="1:14">
      <c r="A5421" s="958" t="s">
        <v>370</v>
      </c>
      <c r="B5421" s="958">
        <v>52</v>
      </c>
      <c r="C5421" s="958" t="s">
        <v>1144</v>
      </c>
      <c r="D5421" s="957" t="s">
        <v>1143</v>
      </c>
      <c r="E5421" s="956">
        <v>44289</v>
      </c>
      <c r="F5421" s="955"/>
      <c r="L5421" s="954"/>
      <c r="M5421" s="952"/>
      <c r="N5421" s="952"/>
    </row>
    <row r="5422" spans="1:14">
      <c r="A5422" s="958" t="s">
        <v>370</v>
      </c>
      <c r="B5422" s="958">
        <v>52</v>
      </c>
      <c r="C5422" s="958" t="s">
        <v>1142</v>
      </c>
      <c r="D5422" s="957" t="s">
        <v>1141</v>
      </c>
      <c r="E5422" s="956">
        <v>22645</v>
      </c>
      <c r="F5422" s="955"/>
      <c r="L5422" s="954"/>
      <c r="M5422" s="952"/>
      <c r="N5422" s="952"/>
    </row>
    <row r="5423" spans="1:14">
      <c r="A5423" s="958" t="s">
        <v>370</v>
      </c>
      <c r="B5423" s="958">
        <v>52</v>
      </c>
      <c r="C5423" s="958" t="s">
        <v>1140</v>
      </c>
      <c r="D5423" s="957" t="s">
        <v>1139</v>
      </c>
      <c r="E5423" s="956">
        <v>34095</v>
      </c>
      <c r="F5423" s="955"/>
      <c r="L5423" s="954"/>
      <c r="M5423" s="952"/>
      <c r="N5423" s="952"/>
    </row>
    <row r="5424" spans="1:14">
      <c r="A5424" s="958" t="s">
        <v>370</v>
      </c>
      <c r="B5424" s="958">
        <v>52</v>
      </c>
      <c r="C5424" s="958" t="s">
        <v>1138</v>
      </c>
      <c r="D5424" s="957" t="s">
        <v>1137</v>
      </c>
      <c r="E5424" s="956">
        <v>5898</v>
      </c>
      <c r="F5424" s="955"/>
      <c r="L5424" s="954"/>
      <c r="M5424" s="952"/>
      <c r="N5424" s="952"/>
    </row>
    <row r="5425" spans="1:14">
      <c r="A5425" s="958" t="s">
        <v>370</v>
      </c>
      <c r="B5425" s="958">
        <v>52</v>
      </c>
      <c r="C5425" s="958" t="s">
        <v>1136</v>
      </c>
      <c r="D5425" s="957" t="s">
        <v>1135</v>
      </c>
      <c r="E5425" s="956">
        <v>14209</v>
      </c>
      <c r="F5425" s="955"/>
      <c r="L5425" s="954"/>
      <c r="M5425" s="952"/>
      <c r="N5425" s="952"/>
    </row>
    <row r="5426" spans="1:14">
      <c r="A5426" s="958" t="s">
        <v>370</v>
      </c>
      <c r="B5426" s="958">
        <v>52</v>
      </c>
      <c r="C5426" s="958" t="s">
        <v>1134</v>
      </c>
      <c r="D5426" s="957" t="s">
        <v>1133</v>
      </c>
      <c r="E5426" s="956">
        <v>1996</v>
      </c>
      <c r="F5426" s="955"/>
      <c r="L5426" s="954"/>
      <c r="M5426" s="952"/>
      <c r="N5426" s="952"/>
    </row>
    <row r="5427" spans="1:14">
      <c r="A5427" s="958" t="s">
        <v>370</v>
      </c>
      <c r="B5427" s="958">
        <v>52</v>
      </c>
      <c r="C5427" s="958" t="s">
        <v>1132</v>
      </c>
      <c r="D5427" s="957" t="s">
        <v>1131</v>
      </c>
      <c r="E5427" s="956">
        <v>3893</v>
      </c>
      <c r="F5427" s="955"/>
      <c r="L5427" s="954"/>
      <c r="M5427" s="952"/>
      <c r="N5427" s="952"/>
    </row>
    <row r="5428" spans="1:14">
      <c r="A5428" s="958" t="s">
        <v>370</v>
      </c>
      <c r="B5428" s="958">
        <v>52</v>
      </c>
      <c r="C5428" s="958" t="s">
        <v>1130</v>
      </c>
      <c r="D5428" s="957" t="s">
        <v>1129</v>
      </c>
      <c r="E5428" s="956">
        <v>1794</v>
      </c>
      <c r="F5428" s="955"/>
      <c r="L5428" s="954"/>
      <c r="M5428" s="952"/>
      <c r="N5428" s="952"/>
    </row>
    <row r="5429" spans="1:14">
      <c r="A5429" s="958" t="s">
        <v>370</v>
      </c>
      <c r="B5429" s="958">
        <v>52</v>
      </c>
      <c r="C5429" s="958" t="s">
        <v>1128</v>
      </c>
      <c r="D5429" s="957" t="s">
        <v>1127</v>
      </c>
      <c r="E5429" s="956">
        <v>3724</v>
      </c>
      <c r="F5429" s="955"/>
      <c r="L5429" s="954"/>
      <c r="M5429" s="952"/>
      <c r="N5429" s="952"/>
    </row>
    <row r="5430" spans="1:14">
      <c r="A5430" s="958" t="s">
        <v>370</v>
      </c>
      <c r="B5430" s="958">
        <v>52</v>
      </c>
      <c r="C5430" s="958" t="s">
        <v>1126</v>
      </c>
      <c r="D5430" s="957" t="s">
        <v>1125</v>
      </c>
      <c r="E5430" s="956">
        <v>21706</v>
      </c>
      <c r="F5430" s="955"/>
      <c r="L5430" s="954"/>
      <c r="M5430" s="952"/>
      <c r="N5430" s="952"/>
    </row>
    <row r="5431" spans="1:14">
      <c r="A5431" s="958" t="s">
        <v>370</v>
      </c>
      <c r="B5431" s="958">
        <v>52</v>
      </c>
      <c r="C5431" s="958" t="s">
        <v>1124</v>
      </c>
      <c r="D5431" s="957" t="s">
        <v>1123</v>
      </c>
      <c r="E5431" s="956">
        <v>3564</v>
      </c>
      <c r="F5431" s="955"/>
      <c r="L5431" s="954"/>
      <c r="M5431" s="952"/>
      <c r="N5431" s="952"/>
    </row>
    <row r="5432" spans="1:14">
      <c r="A5432" s="958" t="s">
        <v>370</v>
      </c>
      <c r="B5432" s="958">
        <v>52</v>
      </c>
      <c r="C5432" s="958" t="s">
        <v>1122</v>
      </c>
      <c r="D5432" s="957" t="s">
        <v>1121</v>
      </c>
      <c r="E5432" s="956">
        <v>13947</v>
      </c>
      <c r="F5432" s="955"/>
      <c r="L5432" s="954"/>
      <c r="M5432" s="952"/>
      <c r="N5432" s="952"/>
    </row>
    <row r="5433" spans="1:14">
      <c r="A5433" s="958" t="s">
        <v>370</v>
      </c>
      <c r="B5433" s="958">
        <v>52</v>
      </c>
      <c r="C5433" s="958" t="s">
        <v>1120</v>
      </c>
      <c r="D5433" s="957" t="s">
        <v>1119</v>
      </c>
      <c r="E5433" s="956">
        <v>6194</v>
      </c>
      <c r="F5433" s="955"/>
      <c r="L5433" s="954"/>
      <c r="M5433" s="952"/>
      <c r="N5433" s="952"/>
    </row>
    <row r="5434" spans="1:14">
      <c r="A5434" s="958" t="s">
        <v>370</v>
      </c>
      <c r="B5434" s="958">
        <v>52</v>
      </c>
      <c r="C5434" s="958" t="s">
        <v>1118</v>
      </c>
      <c r="D5434" s="957" t="s">
        <v>1117</v>
      </c>
      <c r="E5434" s="956">
        <v>15611</v>
      </c>
      <c r="F5434" s="955"/>
      <c r="L5434" s="954"/>
      <c r="M5434" s="952"/>
      <c r="N5434" s="952"/>
    </row>
    <row r="5435" spans="1:14">
      <c r="A5435" s="958" t="s">
        <v>370</v>
      </c>
      <c r="B5435" s="958">
        <v>52</v>
      </c>
      <c r="C5435" s="958" t="s">
        <v>1116</v>
      </c>
      <c r="D5435" s="957" t="s">
        <v>1115</v>
      </c>
      <c r="E5435" s="956">
        <v>52866</v>
      </c>
      <c r="F5435" s="955"/>
      <c r="L5435" s="954"/>
      <c r="M5435" s="952"/>
      <c r="N5435" s="952"/>
    </row>
    <row r="5436" spans="1:14">
      <c r="A5436" s="958" t="s">
        <v>370</v>
      </c>
      <c r="B5436" s="958">
        <v>52</v>
      </c>
      <c r="C5436" s="958" t="s">
        <v>1114</v>
      </c>
      <c r="D5436" s="957" t="s">
        <v>1113</v>
      </c>
      <c r="E5436" s="956">
        <v>26985</v>
      </c>
      <c r="F5436" s="955"/>
      <c r="L5436" s="954"/>
      <c r="M5436" s="952"/>
      <c r="N5436" s="952"/>
    </row>
    <row r="5437" spans="1:14">
      <c r="A5437" s="958" t="s">
        <v>370</v>
      </c>
      <c r="B5437" s="958">
        <v>52</v>
      </c>
      <c r="C5437" s="958" t="s">
        <v>1112</v>
      </c>
      <c r="D5437" s="957" t="s">
        <v>1111</v>
      </c>
      <c r="E5437" s="956">
        <v>2893</v>
      </c>
      <c r="F5437" s="955"/>
      <c r="L5437" s="954"/>
      <c r="M5437" s="952"/>
      <c r="N5437" s="952"/>
    </row>
    <row r="5438" spans="1:14">
      <c r="A5438" s="958" t="s">
        <v>370</v>
      </c>
      <c r="B5438" s="958">
        <v>52</v>
      </c>
      <c r="C5438" s="958" t="s">
        <v>1110</v>
      </c>
      <c r="D5438" s="957" t="s">
        <v>1109</v>
      </c>
      <c r="E5438" s="956">
        <v>31531</v>
      </c>
      <c r="F5438" s="955"/>
      <c r="L5438" s="954"/>
      <c r="M5438" s="952"/>
      <c r="N5438" s="952"/>
    </row>
    <row r="5439" spans="1:14">
      <c r="A5439" s="958" t="s">
        <v>370</v>
      </c>
      <c r="B5439" s="958">
        <v>52</v>
      </c>
      <c r="C5439" s="958" t="s">
        <v>1108</v>
      </c>
      <c r="D5439" s="957" t="s">
        <v>1107</v>
      </c>
      <c r="E5439" s="956">
        <v>2800</v>
      </c>
      <c r="F5439" s="955"/>
      <c r="L5439" s="954"/>
      <c r="M5439" s="952"/>
      <c r="N5439" s="952"/>
    </row>
    <row r="5440" spans="1:14">
      <c r="A5440" s="958" t="s">
        <v>370</v>
      </c>
      <c r="B5440" s="958">
        <v>52</v>
      </c>
      <c r="C5440" s="958" t="s">
        <v>1106</v>
      </c>
      <c r="D5440" s="957" t="s">
        <v>1105</v>
      </c>
      <c r="E5440" s="956">
        <v>42900</v>
      </c>
      <c r="F5440" s="955"/>
      <c r="L5440" s="954"/>
      <c r="M5440" s="952"/>
      <c r="N5440" s="952"/>
    </row>
    <row r="5441" spans="1:14">
      <c r="A5441" s="958" t="s">
        <v>370</v>
      </c>
      <c r="B5441" s="958">
        <v>52</v>
      </c>
      <c r="C5441" s="958" t="s">
        <v>1104</v>
      </c>
      <c r="D5441" s="957" t="s">
        <v>1103</v>
      </c>
      <c r="E5441" s="956">
        <v>4676</v>
      </c>
      <c r="F5441" s="955"/>
      <c r="L5441" s="954"/>
      <c r="M5441" s="952"/>
      <c r="N5441" s="952"/>
    </row>
    <row r="5442" spans="1:14">
      <c r="A5442" s="958" t="s">
        <v>370</v>
      </c>
      <c r="B5442" s="958">
        <v>52</v>
      </c>
      <c r="C5442" s="958" t="s">
        <v>1102</v>
      </c>
      <c r="D5442" s="957" t="s">
        <v>1101</v>
      </c>
      <c r="E5442" s="956">
        <v>5237</v>
      </c>
      <c r="F5442" s="955"/>
      <c r="L5442" s="954"/>
      <c r="M5442" s="952"/>
      <c r="N5442" s="952"/>
    </row>
    <row r="5443" spans="1:14">
      <c r="A5443" s="958" t="s">
        <v>370</v>
      </c>
      <c r="B5443" s="958">
        <v>52</v>
      </c>
      <c r="C5443" s="958" t="s">
        <v>1100</v>
      </c>
      <c r="D5443" s="957" t="s">
        <v>1099</v>
      </c>
      <c r="E5443" s="956">
        <v>4539</v>
      </c>
      <c r="F5443" s="955"/>
      <c r="L5443" s="954"/>
      <c r="M5443" s="952"/>
      <c r="N5443" s="952"/>
    </row>
    <row r="5444" spans="1:14">
      <c r="A5444" s="958" t="s">
        <v>370</v>
      </c>
      <c r="B5444" s="958">
        <v>52</v>
      </c>
      <c r="C5444" s="958" t="s">
        <v>1098</v>
      </c>
      <c r="D5444" s="957" t="s">
        <v>1097</v>
      </c>
      <c r="E5444" s="956">
        <v>22981</v>
      </c>
      <c r="F5444" s="955"/>
      <c r="L5444" s="954"/>
      <c r="M5444" s="952"/>
      <c r="N5444" s="952"/>
    </row>
    <row r="5445" spans="1:14">
      <c r="A5445" s="958" t="s">
        <v>370</v>
      </c>
      <c r="B5445" s="958">
        <v>52</v>
      </c>
      <c r="C5445" s="958" t="s">
        <v>1096</v>
      </c>
      <c r="D5445" s="957" t="s">
        <v>1095</v>
      </c>
      <c r="E5445" s="956">
        <v>4997</v>
      </c>
      <c r="F5445" s="955"/>
      <c r="L5445" s="954"/>
      <c r="M5445" s="952"/>
      <c r="N5445" s="952"/>
    </row>
    <row r="5446" spans="1:14">
      <c r="A5446" s="958" t="s">
        <v>370</v>
      </c>
      <c r="B5446" s="958">
        <v>52</v>
      </c>
      <c r="C5446" s="958" t="s">
        <v>1094</v>
      </c>
      <c r="D5446" s="957" t="s">
        <v>1093</v>
      </c>
      <c r="E5446" s="956">
        <v>25768</v>
      </c>
      <c r="F5446" s="955"/>
      <c r="L5446" s="954"/>
      <c r="M5446" s="952"/>
      <c r="N5446" s="952"/>
    </row>
    <row r="5447" spans="1:14">
      <c r="A5447" s="958" t="s">
        <v>370</v>
      </c>
      <c r="B5447" s="958">
        <v>52</v>
      </c>
      <c r="C5447" s="958" t="s">
        <v>1092</v>
      </c>
      <c r="D5447" s="957" t="s">
        <v>1091</v>
      </c>
      <c r="E5447" s="956">
        <v>7178</v>
      </c>
      <c r="F5447" s="955"/>
      <c r="L5447" s="954"/>
      <c r="M5447" s="952"/>
      <c r="N5447" s="952"/>
    </row>
    <row r="5448" spans="1:14">
      <c r="A5448" s="958" t="s">
        <v>370</v>
      </c>
      <c r="B5448" s="958">
        <v>52</v>
      </c>
      <c r="C5448" s="958" t="s">
        <v>1090</v>
      </c>
      <c r="D5448" s="957" t="s">
        <v>1089</v>
      </c>
      <c r="E5448" s="956">
        <v>8938</v>
      </c>
      <c r="F5448" s="955"/>
      <c r="L5448" s="954"/>
      <c r="M5448" s="952"/>
      <c r="N5448" s="952"/>
    </row>
    <row r="5449" spans="1:14">
      <c r="A5449" s="958" t="s">
        <v>370</v>
      </c>
      <c r="B5449" s="958">
        <v>52</v>
      </c>
      <c r="C5449" s="958" t="s">
        <v>1088</v>
      </c>
      <c r="D5449" s="957" t="s">
        <v>1087</v>
      </c>
      <c r="E5449" s="956">
        <v>104742</v>
      </c>
      <c r="F5449" s="955"/>
      <c r="L5449" s="954"/>
      <c r="M5449" s="952"/>
      <c r="N5449" s="952"/>
    </row>
    <row r="5450" spans="1:14">
      <c r="A5450" s="958" t="s">
        <v>370</v>
      </c>
      <c r="B5450" s="958">
        <v>52</v>
      </c>
      <c r="C5450" s="958" t="s">
        <v>1086</v>
      </c>
      <c r="D5450" s="957" t="s">
        <v>1085</v>
      </c>
      <c r="E5450" s="956">
        <v>2370</v>
      </c>
      <c r="F5450" s="955"/>
      <c r="L5450" s="954"/>
      <c r="M5450" s="952"/>
      <c r="N5450" s="952"/>
    </row>
    <row r="5451" spans="1:14">
      <c r="A5451" s="958" t="s">
        <v>370</v>
      </c>
      <c r="B5451" s="958">
        <v>52</v>
      </c>
      <c r="C5451" s="958" t="s">
        <v>1084</v>
      </c>
      <c r="D5451" s="957" t="s">
        <v>1083</v>
      </c>
      <c r="E5451" s="956">
        <v>6048</v>
      </c>
      <c r="F5451" s="955"/>
      <c r="L5451" s="954"/>
      <c r="M5451" s="952"/>
      <c r="N5451" s="952"/>
    </row>
    <row r="5452" spans="1:14">
      <c r="A5452" s="958" t="s">
        <v>370</v>
      </c>
      <c r="B5452" s="958">
        <v>52</v>
      </c>
      <c r="C5452" s="958" t="s">
        <v>1082</v>
      </c>
      <c r="D5452" s="957" t="s">
        <v>1081</v>
      </c>
      <c r="E5452" s="956">
        <v>50511</v>
      </c>
      <c r="F5452" s="955"/>
      <c r="L5452" s="954"/>
      <c r="M5452" s="952"/>
      <c r="N5452" s="952"/>
    </row>
    <row r="5453" spans="1:14">
      <c r="A5453" s="958" t="s">
        <v>370</v>
      </c>
      <c r="B5453" s="958">
        <v>52</v>
      </c>
      <c r="C5453" s="958" t="s">
        <v>1080</v>
      </c>
      <c r="D5453" s="957" t="s">
        <v>1079</v>
      </c>
      <c r="E5453" s="956">
        <v>100882</v>
      </c>
      <c r="F5453" s="955"/>
      <c r="L5453" s="954"/>
      <c r="M5453" s="952"/>
      <c r="N5453" s="952"/>
    </row>
    <row r="5454" spans="1:14">
      <c r="A5454" s="958" t="s">
        <v>370</v>
      </c>
      <c r="B5454" s="958">
        <v>52</v>
      </c>
      <c r="C5454" s="958" t="s">
        <v>1078</v>
      </c>
      <c r="D5454" s="957" t="s">
        <v>1077</v>
      </c>
      <c r="E5454" s="956">
        <v>2879</v>
      </c>
      <c r="F5454" s="955"/>
      <c r="L5454" s="954"/>
      <c r="M5454" s="952"/>
      <c r="N5454" s="952"/>
    </row>
    <row r="5455" spans="1:14">
      <c r="A5455" s="958" t="s">
        <v>370</v>
      </c>
      <c r="B5455" s="958">
        <v>52</v>
      </c>
      <c r="C5455" s="958" t="s">
        <v>1076</v>
      </c>
      <c r="D5455" s="957" t="s">
        <v>1075</v>
      </c>
      <c r="E5455" s="956">
        <v>2490</v>
      </c>
      <c r="F5455" s="955"/>
      <c r="L5455" s="954"/>
      <c r="M5455" s="952"/>
      <c r="N5455" s="952"/>
    </row>
    <row r="5456" spans="1:14">
      <c r="A5456" s="958" t="s">
        <v>370</v>
      </c>
      <c r="B5456" s="958">
        <v>52</v>
      </c>
      <c r="C5456" s="958" t="s">
        <v>1074</v>
      </c>
      <c r="D5456" s="957" t="s">
        <v>1073</v>
      </c>
      <c r="E5456" s="956">
        <v>7387</v>
      </c>
      <c r="F5456" s="955"/>
      <c r="L5456" s="954"/>
      <c r="M5456" s="952"/>
      <c r="N5456" s="952"/>
    </row>
    <row r="5457" spans="1:14">
      <c r="A5457" s="958" t="s">
        <v>370</v>
      </c>
      <c r="B5457" s="958">
        <v>52</v>
      </c>
      <c r="C5457" s="958" t="s">
        <v>1072</v>
      </c>
      <c r="D5457" s="957" t="s">
        <v>1071</v>
      </c>
      <c r="E5457" s="956">
        <v>18478</v>
      </c>
      <c r="F5457" s="955"/>
      <c r="L5457" s="954"/>
      <c r="M5457" s="952"/>
      <c r="N5457" s="952"/>
    </row>
    <row r="5458" spans="1:14">
      <c r="A5458" s="958" t="s">
        <v>370</v>
      </c>
      <c r="B5458" s="958">
        <v>52</v>
      </c>
      <c r="C5458" s="958" t="s">
        <v>1070</v>
      </c>
      <c r="D5458" s="957" t="s">
        <v>1069</v>
      </c>
      <c r="E5458" s="956">
        <v>1588</v>
      </c>
      <c r="F5458" s="955"/>
      <c r="L5458" s="954"/>
      <c r="M5458" s="952"/>
      <c r="N5458" s="952"/>
    </row>
    <row r="5459" spans="1:14">
      <c r="A5459" s="958" t="s">
        <v>370</v>
      </c>
      <c r="B5459" s="958">
        <v>52</v>
      </c>
      <c r="C5459" s="958" t="s">
        <v>1068</v>
      </c>
      <c r="D5459" s="957" t="s">
        <v>1067</v>
      </c>
      <c r="E5459" s="956">
        <v>7647</v>
      </c>
      <c r="F5459" s="955"/>
      <c r="L5459" s="954"/>
      <c r="M5459" s="952"/>
      <c r="N5459" s="952"/>
    </row>
    <row r="5460" spans="1:14">
      <c r="A5460" s="958" t="s">
        <v>370</v>
      </c>
      <c r="B5460" s="958">
        <v>52</v>
      </c>
      <c r="C5460" s="958" t="s">
        <v>1066</v>
      </c>
      <c r="D5460" s="957" t="s">
        <v>1065</v>
      </c>
      <c r="E5460" s="956">
        <v>208299</v>
      </c>
      <c r="F5460" s="955"/>
      <c r="L5460" s="954"/>
      <c r="M5460" s="952"/>
      <c r="N5460" s="952"/>
    </row>
    <row r="5461" spans="1:14">
      <c r="A5461" s="958" t="s">
        <v>370</v>
      </c>
      <c r="B5461" s="958">
        <v>52</v>
      </c>
      <c r="C5461" s="958" t="s">
        <v>1064</v>
      </c>
      <c r="D5461" s="957" t="s">
        <v>1063</v>
      </c>
      <c r="E5461" s="956">
        <v>2368</v>
      </c>
      <c r="F5461" s="955"/>
      <c r="L5461" s="954"/>
      <c r="M5461" s="952"/>
      <c r="N5461" s="952"/>
    </row>
    <row r="5462" spans="1:14">
      <c r="A5462" s="958" t="s">
        <v>370</v>
      </c>
      <c r="B5462" s="958">
        <v>52</v>
      </c>
      <c r="C5462" s="958" t="s">
        <v>1062</v>
      </c>
      <c r="D5462" s="957" t="s">
        <v>1061</v>
      </c>
      <c r="E5462" s="956">
        <v>8882</v>
      </c>
      <c r="F5462" s="955"/>
      <c r="L5462" s="954"/>
      <c r="M5462" s="952"/>
      <c r="N5462" s="952"/>
    </row>
    <row r="5463" spans="1:14">
      <c r="A5463" s="958" t="s">
        <v>370</v>
      </c>
      <c r="B5463" s="958">
        <v>52</v>
      </c>
      <c r="C5463" s="958" t="s">
        <v>1060</v>
      </c>
      <c r="D5463" s="957" t="s">
        <v>1059</v>
      </c>
      <c r="E5463" s="956">
        <v>9503</v>
      </c>
      <c r="F5463" s="955"/>
      <c r="L5463" s="954"/>
      <c r="M5463" s="952"/>
      <c r="N5463" s="952"/>
    </row>
    <row r="5464" spans="1:14">
      <c r="A5464" s="958" t="s">
        <v>370</v>
      </c>
      <c r="B5464" s="958">
        <v>52</v>
      </c>
      <c r="C5464" s="958" t="s">
        <v>1058</v>
      </c>
      <c r="D5464" s="957" t="s">
        <v>1057</v>
      </c>
      <c r="E5464" s="956">
        <v>2236</v>
      </c>
      <c r="F5464" s="955"/>
      <c r="L5464" s="954"/>
      <c r="M5464" s="952"/>
      <c r="N5464" s="952"/>
    </row>
    <row r="5465" spans="1:14">
      <c r="A5465" s="958" t="s">
        <v>370</v>
      </c>
      <c r="B5465" s="958">
        <v>52</v>
      </c>
      <c r="C5465" s="958" t="s">
        <v>1056</v>
      </c>
      <c r="D5465" s="957" t="s">
        <v>1055</v>
      </c>
      <c r="E5465" s="956">
        <v>4351</v>
      </c>
      <c r="F5465" s="955"/>
      <c r="L5465" s="954"/>
      <c r="M5465" s="952"/>
      <c r="N5465" s="952"/>
    </row>
    <row r="5466" spans="1:14">
      <c r="A5466" s="958" t="s">
        <v>370</v>
      </c>
      <c r="B5466" s="958">
        <v>52</v>
      </c>
      <c r="C5466" s="958" t="s">
        <v>1054</v>
      </c>
      <c r="D5466" s="957" t="s">
        <v>1053</v>
      </c>
      <c r="E5466" s="956">
        <v>14080</v>
      </c>
      <c r="F5466" s="955"/>
      <c r="L5466" s="954"/>
      <c r="M5466" s="952"/>
      <c r="N5466" s="952"/>
    </row>
    <row r="5467" spans="1:14">
      <c r="A5467" s="958" t="s">
        <v>370</v>
      </c>
      <c r="B5467" s="958">
        <v>52</v>
      </c>
      <c r="C5467" s="958" t="s">
        <v>1052</v>
      </c>
      <c r="D5467" s="957" t="s">
        <v>1051</v>
      </c>
      <c r="E5467" s="956">
        <v>2597</v>
      </c>
      <c r="F5467" s="955"/>
      <c r="L5467" s="954"/>
      <c r="M5467" s="952"/>
      <c r="N5467" s="952"/>
    </row>
    <row r="5468" spans="1:14">
      <c r="A5468" s="958" t="s">
        <v>370</v>
      </c>
      <c r="B5468" s="958">
        <v>52</v>
      </c>
      <c r="C5468" s="958" t="s">
        <v>1050</v>
      </c>
      <c r="D5468" s="957" t="s">
        <v>1049</v>
      </c>
      <c r="E5468" s="956">
        <v>29070</v>
      </c>
      <c r="F5468" s="955"/>
      <c r="L5468" s="954"/>
      <c r="M5468" s="952"/>
      <c r="N5468" s="952"/>
    </row>
    <row r="5469" spans="1:14">
      <c r="A5469" s="958" t="s">
        <v>370</v>
      </c>
      <c r="B5469" s="958">
        <v>52</v>
      </c>
      <c r="C5469" s="958" t="s">
        <v>1048</v>
      </c>
      <c r="D5469" s="957" t="s">
        <v>1047</v>
      </c>
      <c r="E5469" s="956">
        <v>66801</v>
      </c>
      <c r="F5469" s="955"/>
      <c r="L5469" s="954"/>
      <c r="M5469" s="952"/>
      <c r="N5469" s="952"/>
    </row>
    <row r="5470" spans="1:14">
      <c r="A5470" s="958" t="s">
        <v>370</v>
      </c>
      <c r="B5470" s="958">
        <v>52</v>
      </c>
      <c r="C5470" s="958" t="s">
        <v>1046</v>
      </c>
      <c r="D5470" s="957" t="s">
        <v>1045</v>
      </c>
      <c r="E5470" s="956">
        <v>1529</v>
      </c>
      <c r="F5470" s="955"/>
      <c r="L5470" s="954"/>
      <c r="M5470" s="952"/>
      <c r="N5470" s="952"/>
    </row>
    <row r="5471" spans="1:14">
      <c r="A5471" s="958" t="s">
        <v>370</v>
      </c>
      <c r="B5471" s="958">
        <v>52</v>
      </c>
      <c r="C5471" s="958" t="s">
        <v>1044</v>
      </c>
      <c r="D5471" s="957" t="s">
        <v>1043</v>
      </c>
      <c r="E5471" s="956">
        <v>8606</v>
      </c>
      <c r="F5471" s="955"/>
      <c r="L5471" s="954"/>
      <c r="M5471" s="952"/>
      <c r="N5471" s="952"/>
    </row>
    <row r="5472" spans="1:14">
      <c r="A5472" s="958" t="s">
        <v>370</v>
      </c>
      <c r="B5472" s="958">
        <v>52</v>
      </c>
      <c r="C5472" s="958" t="s">
        <v>1042</v>
      </c>
      <c r="D5472" s="957" t="s">
        <v>1041</v>
      </c>
      <c r="E5472" s="956">
        <v>8055</v>
      </c>
      <c r="F5472" s="955"/>
      <c r="L5472" s="954"/>
      <c r="M5472" s="952"/>
      <c r="N5472" s="952"/>
    </row>
    <row r="5473" spans="1:14">
      <c r="A5473" s="958" t="s">
        <v>370</v>
      </c>
      <c r="B5473" s="958">
        <v>52</v>
      </c>
      <c r="C5473" s="958" t="s">
        <v>1040</v>
      </c>
      <c r="D5473" s="957" t="s">
        <v>1039</v>
      </c>
      <c r="E5473" s="956">
        <v>13396</v>
      </c>
      <c r="F5473" s="955"/>
      <c r="L5473" s="954"/>
      <c r="M5473" s="952"/>
      <c r="N5473" s="952"/>
    </row>
    <row r="5474" spans="1:14">
      <c r="A5474" s="958" t="s">
        <v>370</v>
      </c>
      <c r="B5474" s="958">
        <v>52</v>
      </c>
      <c r="C5474" s="958" t="s">
        <v>1038</v>
      </c>
      <c r="D5474" s="957" t="s">
        <v>1037</v>
      </c>
      <c r="E5474" s="956">
        <v>4479</v>
      </c>
      <c r="F5474" s="955"/>
      <c r="L5474" s="954"/>
      <c r="M5474" s="952"/>
      <c r="N5474" s="952"/>
    </row>
    <row r="5475" spans="1:14">
      <c r="A5475" s="958" t="s">
        <v>370</v>
      </c>
      <c r="B5475" s="958">
        <v>52</v>
      </c>
      <c r="C5475" s="958" t="s">
        <v>1036</v>
      </c>
      <c r="D5475" s="957" t="s">
        <v>1035</v>
      </c>
      <c r="E5475" s="956">
        <v>46136</v>
      </c>
      <c r="F5475" s="955"/>
      <c r="L5475" s="954"/>
      <c r="M5475" s="952"/>
      <c r="N5475" s="952"/>
    </row>
    <row r="5476" spans="1:14">
      <c r="A5476" s="958" t="s">
        <v>370</v>
      </c>
      <c r="B5476" s="958">
        <v>52</v>
      </c>
      <c r="C5476" s="958" t="s">
        <v>1034</v>
      </c>
      <c r="D5476" s="957" t="s">
        <v>1033</v>
      </c>
      <c r="E5476" s="956">
        <v>2248</v>
      </c>
      <c r="F5476" s="955"/>
      <c r="L5476" s="954"/>
      <c r="M5476" s="952"/>
      <c r="N5476" s="952"/>
    </row>
    <row r="5477" spans="1:14">
      <c r="A5477" s="958" t="s">
        <v>370</v>
      </c>
      <c r="B5477" s="958">
        <v>52</v>
      </c>
      <c r="C5477" s="958" t="s">
        <v>1032</v>
      </c>
      <c r="D5477" s="957" t="s">
        <v>1031</v>
      </c>
      <c r="E5477" s="956">
        <v>4290</v>
      </c>
      <c r="F5477" s="955"/>
      <c r="L5477" s="954"/>
      <c r="M5477" s="952"/>
      <c r="N5477" s="952"/>
    </row>
    <row r="5478" spans="1:14">
      <c r="A5478" s="958" t="s">
        <v>370</v>
      </c>
      <c r="B5478" s="958">
        <v>52</v>
      </c>
      <c r="C5478" s="958" t="s">
        <v>1030</v>
      </c>
      <c r="D5478" s="957" t="s">
        <v>1029</v>
      </c>
      <c r="E5478" s="956">
        <v>15659</v>
      </c>
      <c r="F5478" s="955"/>
      <c r="L5478" s="954"/>
      <c r="M5478" s="952"/>
      <c r="N5478" s="952"/>
    </row>
    <row r="5479" spans="1:14">
      <c r="A5479" s="958" t="s">
        <v>370</v>
      </c>
      <c r="B5479" s="958">
        <v>52</v>
      </c>
      <c r="C5479" s="958" t="s">
        <v>1028</v>
      </c>
      <c r="D5479" s="957" t="s">
        <v>1027</v>
      </c>
      <c r="E5479" s="956">
        <v>4887</v>
      </c>
      <c r="F5479" s="955"/>
      <c r="L5479" s="954"/>
      <c r="M5479" s="952"/>
      <c r="N5479" s="952"/>
    </row>
    <row r="5480" spans="1:14">
      <c r="A5480" s="958" t="s">
        <v>370</v>
      </c>
      <c r="B5480" s="958">
        <v>52</v>
      </c>
      <c r="C5480" s="958" t="s">
        <v>1026</v>
      </c>
      <c r="D5480" s="957" t="s">
        <v>1025</v>
      </c>
      <c r="E5480" s="956">
        <v>3778</v>
      </c>
      <c r="F5480" s="955"/>
      <c r="L5480" s="954"/>
      <c r="M5480" s="952"/>
      <c r="N5480" s="952"/>
    </row>
    <row r="5481" spans="1:14">
      <c r="A5481" s="958" t="s">
        <v>370</v>
      </c>
      <c r="B5481" s="958">
        <v>52</v>
      </c>
      <c r="C5481" s="958" t="s">
        <v>1024</v>
      </c>
      <c r="D5481" s="957" t="s">
        <v>1023</v>
      </c>
      <c r="E5481" s="956">
        <v>9142</v>
      </c>
      <c r="F5481" s="955"/>
      <c r="L5481" s="954"/>
      <c r="M5481" s="952"/>
      <c r="N5481" s="952"/>
    </row>
    <row r="5482" spans="1:14">
      <c r="A5482" s="958" t="s">
        <v>370</v>
      </c>
      <c r="B5482" s="958">
        <v>52</v>
      </c>
      <c r="C5482" s="958" t="s">
        <v>1022</v>
      </c>
      <c r="D5482" s="957" t="s">
        <v>1021</v>
      </c>
      <c r="E5482" s="956">
        <v>29850</v>
      </c>
      <c r="F5482" s="955"/>
      <c r="L5482" s="954"/>
      <c r="M5482" s="952"/>
      <c r="N5482" s="952"/>
    </row>
    <row r="5483" spans="1:14">
      <c r="A5483" s="958" t="s">
        <v>370</v>
      </c>
      <c r="B5483" s="958">
        <v>52</v>
      </c>
      <c r="C5483" s="958" t="s">
        <v>1020</v>
      </c>
      <c r="D5483" s="957" t="s">
        <v>1019</v>
      </c>
      <c r="E5483" s="956">
        <v>46388</v>
      </c>
      <c r="F5483" s="955"/>
      <c r="L5483" s="954"/>
      <c r="M5483" s="952"/>
      <c r="N5483" s="952"/>
    </row>
    <row r="5484" spans="1:14">
      <c r="A5484" s="958" t="s">
        <v>370</v>
      </c>
      <c r="B5484" s="958">
        <v>52</v>
      </c>
      <c r="C5484" s="958" t="s">
        <v>1018</v>
      </c>
      <c r="D5484" s="957" t="s">
        <v>1017</v>
      </c>
      <c r="E5484" s="956">
        <v>2352</v>
      </c>
      <c r="F5484" s="955"/>
      <c r="L5484" s="954"/>
      <c r="M5484" s="952"/>
      <c r="N5484" s="952"/>
    </row>
    <row r="5485" spans="1:14">
      <c r="A5485" s="958" t="s">
        <v>370</v>
      </c>
      <c r="B5485" s="958">
        <v>52</v>
      </c>
      <c r="C5485" s="958" t="s">
        <v>1016</v>
      </c>
      <c r="D5485" s="957" t="s">
        <v>1015</v>
      </c>
      <c r="E5485" s="956">
        <v>2210</v>
      </c>
      <c r="F5485" s="955"/>
      <c r="L5485" s="954"/>
      <c r="M5485" s="952"/>
      <c r="N5485" s="952"/>
    </row>
    <row r="5486" spans="1:14">
      <c r="A5486" s="958" t="s">
        <v>370</v>
      </c>
      <c r="B5486" s="958">
        <v>52</v>
      </c>
      <c r="C5486" s="958" t="s">
        <v>1014</v>
      </c>
      <c r="D5486" s="957" t="s">
        <v>1013</v>
      </c>
      <c r="E5486" s="956">
        <v>12869</v>
      </c>
      <c r="F5486" s="955"/>
      <c r="L5486" s="954"/>
      <c r="M5486" s="952"/>
      <c r="N5486" s="952"/>
    </row>
    <row r="5487" spans="1:14">
      <c r="A5487" s="958" t="s">
        <v>370</v>
      </c>
      <c r="B5487" s="958">
        <v>52</v>
      </c>
      <c r="C5487" s="958" t="s">
        <v>1012</v>
      </c>
      <c r="D5487" s="957" t="s">
        <v>1011</v>
      </c>
      <c r="E5487" s="956">
        <v>8164</v>
      </c>
      <c r="F5487" s="955"/>
      <c r="L5487" s="954"/>
      <c r="M5487" s="952"/>
      <c r="N5487" s="952"/>
    </row>
    <row r="5488" spans="1:14">
      <c r="A5488" s="958" t="s">
        <v>370</v>
      </c>
      <c r="B5488" s="958">
        <v>52</v>
      </c>
      <c r="C5488" s="958" t="s">
        <v>1010</v>
      </c>
      <c r="D5488" s="957" t="s">
        <v>1009</v>
      </c>
      <c r="E5488" s="956">
        <v>2929</v>
      </c>
      <c r="F5488" s="955"/>
      <c r="L5488" s="954"/>
      <c r="M5488" s="952"/>
      <c r="N5488" s="952"/>
    </row>
    <row r="5489" spans="1:14">
      <c r="A5489" s="958" t="s">
        <v>370</v>
      </c>
      <c r="B5489" s="958">
        <v>52</v>
      </c>
      <c r="C5489" s="958" t="s">
        <v>1008</v>
      </c>
      <c r="D5489" s="957" t="s">
        <v>1007</v>
      </c>
      <c r="E5489" s="956">
        <v>3264</v>
      </c>
      <c r="F5489" s="955"/>
      <c r="L5489" s="954"/>
      <c r="M5489" s="952"/>
      <c r="N5489" s="952"/>
    </row>
    <row r="5490" spans="1:14">
      <c r="A5490" s="958" t="s">
        <v>370</v>
      </c>
      <c r="B5490" s="958">
        <v>52</v>
      </c>
      <c r="C5490" s="958" t="s">
        <v>1006</v>
      </c>
      <c r="D5490" s="957" t="s">
        <v>1005</v>
      </c>
      <c r="E5490" s="956">
        <v>9853</v>
      </c>
      <c r="F5490" s="955"/>
      <c r="L5490" s="954"/>
      <c r="M5490" s="952"/>
      <c r="N5490" s="952"/>
    </row>
    <row r="5491" spans="1:14">
      <c r="A5491" s="958" t="s">
        <v>370</v>
      </c>
      <c r="B5491" s="958">
        <v>52</v>
      </c>
      <c r="C5491" s="958" t="s">
        <v>1004</v>
      </c>
      <c r="D5491" s="957" t="s">
        <v>1003</v>
      </c>
      <c r="E5491" s="956">
        <v>2913</v>
      </c>
      <c r="F5491" s="955"/>
      <c r="L5491" s="954"/>
      <c r="M5491" s="952"/>
      <c r="N5491" s="952"/>
    </row>
    <row r="5492" spans="1:14">
      <c r="A5492" s="958" t="s">
        <v>370</v>
      </c>
      <c r="B5492" s="958">
        <v>52</v>
      </c>
      <c r="C5492" s="958" t="s">
        <v>1002</v>
      </c>
      <c r="D5492" s="957" t="s">
        <v>1001</v>
      </c>
      <c r="E5492" s="956">
        <v>115711</v>
      </c>
      <c r="F5492" s="955"/>
      <c r="L5492" s="954"/>
      <c r="M5492" s="952"/>
      <c r="N5492" s="952"/>
    </row>
    <row r="5493" spans="1:14">
      <c r="A5493" s="958" t="s">
        <v>370</v>
      </c>
      <c r="B5493" s="958">
        <v>52</v>
      </c>
      <c r="C5493" s="958" t="s">
        <v>1000</v>
      </c>
      <c r="D5493" s="957" t="s">
        <v>999</v>
      </c>
      <c r="E5493" s="956">
        <v>4495</v>
      </c>
      <c r="F5493" s="955"/>
      <c r="L5493" s="954"/>
      <c r="M5493" s="952"/>
      <c r="N5493" s="952"/>
    </row>
    <row r="5494" spans="1:14">
      <c r="A5494" s="958" t="s">
        <v>370</v>
      </c>
      <c r="B5494" s="958">
        <v>52</v>
      </c>
      <c r="C5494" s="958" t="s">
        <v>998</v>
      </c>
      <c r="D5494" s="957" t="s">
        <v>997</v>
      </c>
      <c r="E5494" s="956">
        <v>15615</v>
      </c>
      <c r="F5494" s="955"/>
      <c r="L5494" s="954"/>
      <c r="M5494" s="952"/>
      <c r="N5494" s="952"/>
    </row>
    <row r="5495" spans="1:14">
      <c r="A5495" s="958" t="s">
        <v>370</v>
      </c>
      <c r="B5495" s="958">
        <v>52</v>
      </c>
      <c r="C5495" s="958" t="s">
        <v>996</v>
      </c>
      <c r="D5495" s="957" t="s">
        <v>995</v>
      </c>
      <c r="E5495" s="956">
        <v>3759</v>
      </c>
      <c r="F5495" s="955"/>
      <c r="L5495" s="954"/>
      <c r="M5495" s="952"/>
      <c r="N5495" s="952"/>
    </row>
    <row r="5496" spans="1:14">
      <c r="A5496" s="958" t="s">
        <v>370</v>
      </c>
      <c r="B5496" s="958">
        <v>52</v>
      </c>
      <c r="C5496" s="958" t="s">
        <v>994</v>
      </c>
      <c r="D5496" s="957" t="s">
        <v>993</v>
      </c>
      <c r="E5496" s="956">
        <v>6667</v>
      </c>
      <c r="F5496" s="955"/>
      <c r="L5496" s="954"/>
      <c r="M5496" s="952"/>
      <c r="N5496" s="952"/>
    </row>
    <row r="5497" spans="1:14">
      <c r="A5497" s="958" t="s">
        <v>370</v>
      </c>
      <c r="B5497" s="958">
        <v>52</v>
      </c>
      <c r="C5497" s="958" t="s">
        <v>992</v>
      </c>
      <c r="D5497" s="957" t="s">
        <v>991</v>
      </c>
      <c r="E5497" s="956">
        <v>33835</v>
      </c>
      <c r="F5497" s="955"/>
      <c r="L5497" s="954"/>
      <c r="M5497" s="952"/>
      <c r="N5497" s="952"/>
    </row>
    <row r="5498" spans="1:14">
      <c r="A5498" s="958" t="s">
        <v>370</v>
      </c>
      <c r="B5498" s="958">
        <v>52</v>
      </c>
      <c r="C5498" s="958" t="s">
        <v>990</v>
      </c>
      <c r="D5498" s="957" t="s">
        <v>989</v>
      </c>
      <c r="E5498" s="956">
        <v>3464</v>
      </c>
      <c r="F5498" s="955"/>
      <c r="L5498" s="954"/>
      <c r="M5498" s="952"/>
      <c r="N5498" s="952"/>
    </row>
    <row r="5499" spans="1:14">
      <c r="A5499" s="958" t="s">
        <v>370</v>
      </c>
      <c r="B5499" s="958">
        <v>52</v>
      </c>
      <c r="C5499" s="958" t="s">
        <v>988</v>
      </c>
      <c r="D5499" s="957" t="s">
        <v>987</v>
      </c>
      <c r="E5499" s="956">
        <v>28858</v>
      </c>
      <c r="F5499" s="955"/>
      <c r="L5499" s="954"/>
      <c r="M5499" s="952"/>
      <c r="N5499" s="952"/>
    </row>
    <row r="5500" spans="1:14">
      <c r="A5500" s="958" t="s">
        <v>370</v>
      </c>
      <c r="B5500" s="958">
        <v>52</v>
      </c>
      <c r="C5500" s="958" t="s">
        <v>986</v>
      </c>
      <c r="D5500" s="957" t="s">
        <v>985</v>
      </c>
      <c r="E5500" s="956">
        <v>2381</v>
      </c>
      <c r="F5500" s="955"/>
      <c r="L5500" s="954"/>
      <c r="M5500" s="952"/>
      <c r="N5500" s="952"/>
    </row>
    <row r="5501" spans="1:14">
      <c r="A5501" s="958" t="s">
        <v>370</v>
      </c>
      <c r="B5501" s="958">
        <v>52</v>
      </c>
      <c r="C5501" s="958" t="s">
        <v>984</v>
      </c>
      <c r="D5501" s="957" t="s">
        <v>983</v>
      </c>
      <c r="E5501" s="956">
        <v>3585</v>
      </c>
      <c r="F5501" s="955"/>
      <c r="L5501" s="954"/>
      <c r="M5501" s="952"/>
      <c r="N5501" s="952"/>
    </row>
    <row r="5502" spans="1:14">
      <c r="A5502" s="958" t="s">
        <v>370</v>
      </c>
      <c r="B5502" s="958">
        <v>52</v>
      </c>
      <c r="C5502" s="958" t="s">
        <v>982</v>
      </c>
      <c r="D5502" s="957" t="s">
        <v>981</v>
      </c>
      <c r="E5502" s="956">
        <v>2615</v>
      </c>
      <c r="F5502" s="955"/>
      <c r="L5502" s="954"/>
      <c r="M5502" s="952"/>
      <c r="N5502" s="952"/>
    </row>
    <row r="5503" spans="1:14">
      <c r="A5503" s="958" t="s">
        <v>370</v>
      </c>
      <c r="B5503" s="958">
        <v>52</v>
      </c>
      <c r="C5503" s="958" t="s">
        <v>980</v>
      </c>
      <c r="D5503" s="957" t="s">
        <v>979</v>
      </c>
      <c r="E5503" s="956">
        <v>10057</v>
      </c>
      <c r="F5503" s="955"/>
      <c r="L5503" s="954"/>
      <c r="M5503" s="952"/>
      <c r="N5503" s="952"/>
    </row>
    <row r="5504" spans="1:14">
      <c r="A5504" s="958" t="s">
        <v>370</v>
      </c>
      <c r="B5504" s="958">
        <v>52</v>
      </c>
      <c r="C5504" s="958" t="s">
        <v>978</v>
      </c>
      <c r="D5504" s="957" t="s">
        <v>977</v>
      </c>
      <c r="E5504" s="956">
        <v>10988</v>
      </c>
      <c r="F5504" s="955"/>
      <c r="L5504" s="954"/>
      <c r="M5504" s="952"/>
      <c r="N5504" s="952"/>
    </row>
    <row r="5505" spans="1:14">
      <c r="A5505" s="958" t="s">
        <v>370</v>
      </c>
      <c r="B5505" s="958">
        <v>52</v>
      </c>
      <c r="C5505" s="958" t="s">
        <v>976</v>
      </c>
      <c r="D5505" s="957" t="s">
        <v>975</v>
      </c>
      <c r="E5505" s="956">
        <v>3129</v>
      </c>
      <c r="F5505" s="955"/>
      <c r="L5505" s="954"/>
      <c r="M5505" s="952"/>
      <c r="N5505" s="952"/>
    </row>
    <row r="5506" spans="1:14">
      <c r="A5506" s="958" t="s">
        <v>370</v>
      </c>
      <c r="B5506" s="958">
        <v>52</v>
      </c>
      <c r="C5506" s="958" t="s">
        <v>974</v>
      </c>
      <c r="D5506" s="957" t="s">
        <v>973</v>
      </c>
      <c r="E5506" s="956">
        <v>10281</v>
      </c>
      <c r="F5506" s="955"/>
      <c r="L5506" s="954"/>
      <c r="M5506" s="952"/>
      <c r="N5506" s="952"/>
    </row>
    <row r="5507" spans="1:14">
      <c r="A5507" s="958" t="s">
        <v>370</v>
      </c>
      <c r="B5507" s="958">
        <v>52</v>
      </c>
      <c r="C5507" s="958" t="s">
        <v>972</v>
      </c>
      <c r="D5507" s="957" t="s">
        <v>971</v>
      </c>
      <c r="E5507" s="956">
        <v>2253</v>
      </c>
      <c r="F5507" s="955"/>
      <c r="L5507" s="954"/>
      <c r="M5507" s="952"/>
      <c r="N5507" s="952"/>
    </row>
    <row r="5508" spans="1:14">
      <c r="A5508" s="958" t="s">
        <v>370</v>
      </c>
      <c r="B5508" s="958">
        <v>52</v>
      </c>
      <c r="C5508" s="958" t="s">
        <v>970</v>
      </c>
      <c r="D5508" s="957" t="s">
        <v>969</v>
      </c>
      <c r="E5508" s="956">
        <v>24524</v>
      </c>
      <c r="F5508" s="955"/>
      <c r="L5508" s="954"/>
      <c r="M5508" s="952"/>
      <c r="N5508" s="952"/>
    </row>
    <row r="5509" spans="1:14">
      <c r="A5509" s="958" t="s">
        <v>370</v>
      </c>
      <c r="B5509" s="958">
        <v>52</v>
      </c>
      <c r="C5509" s="958" t="s">
        <v>968</v>
      </c>
      <c r="D5509" s="957" t="s">
        <v>967</v>
      </c>
      <c r="E5509" s="956">
        <v>10385</v>
      </c>
      <c r="F5509" s="955"/>
      <c r="L5509" s="954"/>
      <c r="M5509" s="952"/>
      <c r="N5509" s="952"/>
    </row>
    <row r="5510" spans="1:14">
      <c r="A5510" s="958" t="s">
        <v>370</v>
      </c>
      <c r="B5510" s="958">
        <v>52</v>
      </c>
      <c r="C5510" s="958" t="s">
        <v>966</v>
      </c>
      <c r="D5510" s="957" t="s">
        <v>965</v>
      </c>
      <c r="E5510" s="956">
        <v>24908</v>
      </c>
      <c r="F5510" s="955"/>
      <c r="L5510" s="954"/>
      <c r="M5510" s="952"/>
      <c r="N5510" s="952"/>
    </row>
    <row r="5511" spans="1:14">
      <c r="A5511" s="958" t="s">
        <v>370</v>
      </c>
      <c r="B5511" s="958">
        <v>52</v>
      </c>
      <c r="C5511" s="958" t="s">
        <v>964</v>
      </c>
      <c r="D5511" s="957" t="s">
        <v>963</v>
      </c>
      <c r="E5511" s="956">
        <v>31458</v>
      </c>
      <c r="F5511" s="955"/>
      <c r="L5511" s="954"/>
      <c r="M5511" s="952"/>
      <c r="N5511" s="952"/>
    </row>
    <row r="5512" spans="1:14">
      <c r="A5512" s="958" t="s">
        <v>370</v>
      </c>
      <c r="B5512" s="958">
        <v>52</v>
      </c>
      <c r="C5512" s="958" t="s">
        <v>962</v>
      </c>
      <c r="D5512" s="957" t="s">
        <v>961</v>
      </c>
      <c r="E5512" s="956">
        <v>89918</v>
      </c>
      <c r="F5512" s="955"/>
      <c r="L5512" s="954"/>
      <c r="M5512" s="952"/>
      <c r="N5512" s="952"/>
    </row>
    <row r="5513" spans="1:14">
      <c r="A5513" s="958" t="s">
        <v>370</v>
      </c>
      <c r="B5513" s="958">
        <v>52</v>
      </c>
      <c r="C5513" s="958" t="s">
        <v>960</v>
      </c>
      <c r="D5513" s="957" t="s">
        <v>959</v>
      </c>
      <c r="E5513" s="956">
        <v>17819</v>
      </c>
      <c r="F5513" s="955"/>
      <c r="L5513" s="954"/>
      <c r="M5513" s="952"/>
      <c r="N5513" s="952"/>
    </row>
    <row r="5514" spans="1:14">
      <c r="A5514" s="958" t="s">
        <v>370</v>
      </c>
      <c r="B5514" s="958">
        <v>52</v>
      </c>
      <c r="C5514" s="958" t="s">
        <v>958</v>
      </c>
      <c r="D5514" s="957" t="s">
        <v>957</v>
      </c>
      <c r="E5514" s="956">
        <v>45394</v>
      </c>
      <c r="F5514" s="955"/>
      <c r="L5514" s="954"/>
      <c r="M5514" s="952"/>
      <c r="N5514" s="952"/>
    </row>
    <row r="5515" spans="1:14">
      <c r="A5515" s="958" t="s">
        <v>370</v>
      </c>
      <c r="B5515" s="958">
        <v>52</v>
      </c>
      <c r="C5515" s="958" t="s">
        <v>956</v>
      </c>
      <c r="D5515" s="957" t="s">
        <v>955</v>
      </c>
      <c r="E5515" s="956">
        <v>3881</v>
      </c>
      <c r="F5515" s="955"/>
      <c r="L5515" s="954"/>
      <c r="M5515" s="952"/>
      <c r="N5515" s="952"/>
    </row>
    <row r="5516" spans="1:14">
      <c r="A5516" s="958" t="s">
        <v>370</v>
      </c>
      <c r="B5516" s="958">
        <v>52</v>
      </c>
      <c r="C5516" s="958" t="s">
        <v>954</v>
      </c>
      <c r="D5516" s="957" t="s">
        <v>953</v>
      </c>
      <c r="E5516" s="956">
        <v>4011</v>
      </c>
      <c r="F5516" s="955"/>
      <c r="L5516" s="954"/>
      <c r="M5516" s="952"/>
      <c r="N5516" s="952"/>
    </row>
    <row r="5517" spans="1:14">
      <c r="A5517" s="958" t="s">
        <v>370</v>
      </c>
      <c r="B5517" s="958">
        <v>52</v>
      </c>
      <c r="C5517" s="958" t="s">
        <v>952</v>
      </c>
      <c r="D5517" s="957" t="s">
        <v>951</v>
      </c>
      <c r="E5517" s="956">
        <v>36900</v>
      </c>
      <c r="F5517" s="955"/>
      <c r="L5517" s="954"/>
      <c r="M5517" s="952"/>
      <c r="N5517" s="952"/>
    </row>
    <row r="5518" spans="1:14">
      <c r="A5518" s="958" t="s">
        <v>370</v>
      </c>
      <c r="B5518" s="958">
        <v>52</v>
      </c>
      <c r="C5518" s="958" t="s">
        <v>950</v>
      </c>
      <c r="D5518" s="957" t="s">
        <v>949</v>
      </c>
      <c r="E5518" s="956">
        <v>3223</v>
      </c>
      <c r="F5518" s="955"/>
      <c r="L5518" s="954"/>
      <c r="M5518" s="952"/>
      <c r="N5518" s="952"/>
    </row>
    <row r="5519" spans="1:14">
      <c r="A5519" s="958" t="s">
        <v>370</v>
      </c>
      <c r="B5519" s="958">
        <v>52</v>
      </c>
      <c r="C5519" s="958" t="s">
        <v>948</v>
      </c>
      <c r="D5519" s="957" t="s">
        <v>947</v>
      </c>
      <c r="E5519" s="956">
        <v>50065</v>
      </c>
      <c r="F5519" s="955"/>
      <c r="L5519" s="954"/>
      <c r="M5519" s="952"/>
      <c r="N5519" s="952"/>
    </row>
    <row r="5520" spans="1:14">
      <c r="A5520" s="958" t="s">
        <v>370</v>
      </c>
      <c r="B5520" s="958">
        <v>52</v>
      </c>
      <c r="C5520" s="958" t="s">
        <v>946</v>
      </c>
      <c r="D5520" s="957" t="s">
        <v>945</v>
      </c>
      <c r="E5520" s="956">
        <v>10918</v>
      </c>
      <c r="F5520" s="955"/>
      <c r="L5520" s="954"/>
      <c r="M5520" s="952"/>
      <c r="N5520" s="952"/>
    </row>
    <row r="5521" spans="1:14">
      <c r="A5521" s="958" t="s">
        <v>370</v>
      </c>
      <c r="B5521" s="958">
        <v>52</v>
      </c>
      <c r="C5521" s="958" t="s">
        <v>944</v>
      </c>
      <c r="D5521" s="957" t="s">
        <v>943</v>
      </c>
      <c r="E5521" s="956">
        <v>4801</v>
      </c>
      <c r="F5521" s="955"/>
      <c r="L5521" s="954"/>
      <c r="M5521" s="952"/>
      <c r="N5521" s="952"/>
    </row>
    <row r="5522" spans="1:14">
      <c r="A5522" s="958" t="s">
        <v>370</v>
      </c>
      <c r="B5522" s="958">
        <v>52</v>
      </c>
      <c r="C5522" s="958" t="s">
        <v>942</v>
      </c>
      <c r="D5522" s="957" t="s">
        <v>941</v>
      </c>
      <c r="E5522" s="956">
        <v>4493</v>
      </c>
      <c r="F5522" s="955"/>
      <c r="L5522" s="954"/>
      <c r="M5522" s="952"/>
      <c r="N5522" s="952"/>
    </row>
    <row r="5523" spans="1:14">
      <c r="A5523" s="958" t="s">
        <v>370</v>
      </c>
      <c r="B5523" s="958">
        <v>52</v>
      </c>
      <c r="C5523" s="958" t="s">
        <v>940</v>
      </c>
      <c r="D5523" s="957" t="s">
        <v>939</v>
      </c>
      <c r="E5523" s="956">
        <v>235647</v>
      </c>
      <c r="F5523" s="955"/>
      <c r="L5523" s="954"/>
      <c r="M5523" s="952"/>
      <c r="N5523" s="952"/>
    </row>
    <row r="5524" spans="1:14">
      <c r="A5524" s="958" t="s">
        <v>370</v>
      </c>
      <c r="B5524" s="958">
        <v>52</v>
      </c>
      <c r="C5524" s="958" t="s">
        <v>938</v>
      </c>
      <c r="D5524" s="957" t="s">
        <v>937</v>
      </c>
      <c r="E5524" s="956">
        <v>19882</v>
      </c>
      <c r="F5524" s="955"/>
      <c r="L5524" s="954"/>
      <c r="M5524" s="952"/>
      <c r="N5524" s="952"/>
    </row>
    <row r="5525" spans="1:14">
      <c r="A5525" s="958" t="s">
        <v>370</v>
      </c>
      <c r="B5525" s="958">
        <v>52</v>
      </c>
      <c r="C5525" s="958" t="s">
        <v>936</v>
      </c>
      <c r="D5525" s="957" t="s">
        <v>935</v>
      </c>
      <c r="E5525" s="956">
        <v>7637</v>
      </c>
      <c r="F5525" s="955"/>
      <c r="L5525" s="954"/>
      <c r="M5525" s="952"/>
      <c r="N5525" s="952"/>
    </row>
    <row r="5526" spans="1:14">
      <c r="A5526" s="958" t="s">
        <v>370</v>
      </c>
      <c r="B5526" s="958">
        <v>52</v>
      </c>
      <c r="C5526" s="958" t="s">
        <v>934</v>
      </c>
      <c r="D5526" s="957" t="s">
        <v>933</v>
      </c>
      <c r="E5526" s="956">
        <v>6560</v>
      </c>
      <c r="F5526" s="955"/>
      <c r="L5526" s="954"/>
      <c r="M5526" s="952"/>
      <c r="N5526" s="952"/>
    </row>
    <row r="5527" spans="1:14">
      <c r="A5527" s="958" t="s">
        <v>370</v>
      </c>
      <c r="B5527" s="958">
        <v>52</v>
      </c>
      <c r="C5527" s="958" t="s">
        <v>932</v>
      </c>
      <c r="D5527" s="957" t="s">
        <v>931</v>
      </c>
      <c r="E5527" s="956">
        <v>2855</v>
      </c>
      <c r="F5527" s="955"/>
      <c r="L5527" s="954"/>
      <c r="M5527" s="952"/>
      <c r="N5527" s="952"/>
    </row>
    <row r="5528" spans="1:14">
      <c r="A5528" s="958" t="s">
        <v>370</v>
      </c>
      <c r="B5528" s="958">
        <v>52</v>
      </c>
      <c r="C5528" s="958" t="s">
        <v>930</v>
      </c>
      <c r="D5528" s="957" t="s">
        <v>929</v>
      </c>
      <c r="E5528" s="956">
        <v>5459</v>
      </c>
      <c r="F5528" s="955"/>
      <c r="L5528" s="954"/>
      <c r="M5528" s="952"/>
      <c r="N5528" s="952"/>
    </row>
    <row r="5529" spans="1:14">
      <c r="A5529" s="958" t="s">
        <v>370</v>
      </c>
      <c r="B5529" s="958">
        <v>52</v>
      </c>
      <c r="C5529" s="958" t="s">
        <v>928</v>
      </c>
      <c r="D5529" s="957" t="s">
        <v>927</v>
      </c>
      <c r="E5529" s="956">
        <v>38648</v>
      </c>
      <c r="F5529" s="955"/>
      <c r="L5529" s="954"/>
      <c r="M5529" s="952"/>
      <c r="N5529" s="952"/>
    </row>
    <row r="5530" spans="1:14">
      <c r="A5530" s="958" t="s">
        <v>370</v>
      </c>
      <c r="B5530" s="958">
        <v>52</v>
      </c>
      <c r="C5530" s="958" t="s">
        <v>926</v>
      </c>
      <c r="D5530" s="957" t="s">
        <v>925</v>
      </c>
      <c r="E5530" s="956">
        <v>3809</v>
      </c>
      <c r="F5530" s="955"/>
      <c r="L5530" s="954"/>
      <c r="M5530" s="952"/>
      <c r="N5530" s="952"/>
    </row>
    <row r="5531" spans="1:14">
      <c r="A5531" s="958" t="s">
        <v>370</v>
      </c>
      <c r="B5531" s="958">
        <v>52</v>
      </c>
      <c r="C5531" s="958" t="s">
        <v>924</v>
      </c>
      <c r="D5531" s="957" t="s">
        <v>923</v>
      </c>
      <c r="E5531" s="956">
        <v>8756</v>
      </c>
      <c r="F5531" s="955"/>
      <c r="L5531" s="954"/>
      <c r="M5531" s="952"/>
      <c r="N5531" s="952"/>
    </row>
    <row r="5532" spans="1:14">
      <c r="A5532" s="958" t="s">
        <v>370</v>
      </c>
      <c r="B5532" s="958">
        <v>52</v>
      </c>
      <c r="C5532" s="958" t="s">
        <v>922</v>
      </c>
      <c r="D5532" s="957" t="s">
        <v>921</v>
      </c>
      <c r="E5532" s="956">
        <v>3343</v>
      </c>
      <c r="F5532" s="955"/>
      <c r="L5532" s="954"/>
      <c r="M5532" s="952"/>
      <c r="N5532" s="952"/>
    </row>
    <row r="5533" spans="1:14">
      <c r="A5533" s="958" t="s">
        <v>370</v>
      </c>
      <c r="B5533" s="958">
        <v>52</v>
      </c>
      <c r="C5533" s="958" t="s">
        <v>920</v>
      </c>
      <c r="D5533" s="957" t="s">
        <v>919</v>
      </c>
      <c r="E5533" s="956">
        <v>2319</v>
      </c>
      <c r="F5533" s="955"/>
      <c r="L5533" s="954"/>
      <c r="M5533" s="952"/>
      <c r="N5533" s="952"/>
    </row>
    <row r="5534" spans="1:14">
      <c r="A5534" s="958" t="s">
        <v>370</v>
      </c>
      <c r="B5534" s="958">
        <v>52</v>
      </c>
      <c r="C5534" s="958" t="s">
        <v>918</v>
      </c>
      <c r="D5534" s="957" t="s">
        <v>917</v>
      </c>
      <c r="E5534" s="956">
        <v>3355</v>
      </c>
      <c r="F5534" s="955"/>
      <c r="L5534" s="954"/>
      <c r="M5534" s="952"/>
      <c r="N5534" s="952"/>
    </row>
    <row r="5535" spans="1:14">
      <c r="A5535" s="958" t="s">
        <v>370</v>
      </c>
      <c r="B5535" s="958">
        <v>52</v>
      </c>
      <c r="C5535" s="958" t="s">
        <v>916</v>
      </c>
      <c r="D5535" s="957" t="s">
        <v>915</v>
      </c>
      <c r="E5535" s="956">
        <v>8744</v>
      </c>
      <c r="F5535" s="955"/>
      <c r="L5535" s="954"/>
      <c r="M5535" s="952"/>
      <c r="N5535" s="952"/>
    </row>
    <row r="5536" spans="1:14">
      <c r="A5536" s="958" t="s">
        <v>370</v>
      </c>
      <c r="B5536" s="958">
        <v>52</v>
      </c>
      <c r="C5536" s="958" t="s">
        <v>914</v>
      </c>
      <c r="D5536" s="957" t="s">
        <v>913</v>
      </c>
      <c r="E5536" s="956">
        <v>4821</v>
      </c>
      <c r="F5536" s="955"/>
      <c r="L5536" s="954"/>
      <c r="M5536" s="952"/>
      <c r="N5536" s="952"/>
    </row>
    <row r="5537" spans="1:14">
      <c r="A5537" s="958" t="s">
        <v>370</v>
      </c>
      <c r="B5537" s="958">
        <v>52</v>
      </c>
      <c r="C5537" s="958" t="s">
        <v>912</v>
      </c>
      <c r="D5537" s="957" t="s">
        <v>911</v>
      </c>
      <c r="E5537" s="956">
        <v>6283</v>
      </c>
      <c r="F5537" s="955"/>
      <c r="L5537" s="954"/>
      <c r="M5537" s="952"/>
      <c r="N5537" s="952"/>
    </row>
    <row r="5538" spans="1:14">
      <c r="A5538" s="958" t="s">
        <v>370</v>
      </c>
      <c r="B5538" s="958">
        <v>52</v>
      </c>
      <c r="C5538" s="958" t="s">
        <v>910</v>
      </c>
      <c r="D5538" s="957" t="s">
        <v>909</v>
      </c>
      <c r="E5538" s="956">
        <v>74744</v>
      </c>
      <c r="F5538" s="955"/>
      <c r="L5538" s="954"/>
      <c r="M5538" s="952"/>
      <c r="N5538" s="952"/>
    </row>
    <row r="5539" spans="1:14">
      <c r="A5539" s="958" t="s">
        <v>370</v>
      </c>
      <c r="B5539" s="958">
        <v>52</v>
      </c>
      <c r="C5539" s="958" t="s">
        <v>908</v>
      </c>
      <c r="D5539" s="957" t="s">
        <v>907</v>
      </c>
      <c r="E5539" s="956">
        <v>12949</v>
      </c>
      <c r="F5539" s="955"/>
      <c r="L5539" s="954"/>
      <c r="M5539" s="952"/>
      <c r="N5539" s="952"/>
    </row>
    <row r="5540" spans="1:14">
      <c r="A5540" s="958" t="s">
        <v>370</v>
      </c>
      <c r="B5540" s="958">
        <v>52</v>
      </c>
      <c r="C5540" s="958" t="s">
        <v>906</v>
      </c>
      <c r="D5540" s="957" t="s">
        <v>905</v>
      </c>
      <c r="E5540" s="956">
        <v>6264</v>
      </c>
      <c r="F5540" s="955"/>
      <c r="L5540" s="954"/>
      <c r="M5540" s="952"/>
      <c r="N5540" s="952"/>
    </row>
    <row r="5541" spans="1:14">
      <c r="A5541" s="958" t="s">
        <v>370</v>
      </c>
      <c r="B5541" s="958">
        <v>52</v>
      </c>
      <c r="C5541" s="958" t="s">
        <v>904</v>
      </c>
      <c r="D5541" s="957" t="s">
        <v>903</v>
      </c>
      <c r="E5541" s="956">
        <v>13740</v>
      </c>
      <c r="F5541" s="955"/>
      <c r="L5541" s="954"/>
      <c r="M5541" s="952"/>
      <c r="N5541" s="952"/>
    </row>
    <row r="5542" spans="1:14">
      <c r="A5542" s="958" t="s">
        <v>370</v>
      </c>
      <c r="B5542" s="958">
        <v>52</v>
      </c>
      <c r="C5542" s="958" t="s">
        <v>902</v>
      </c>
      <c r="D5542" s="957" t="s">
        <v>901</v>
      </c>
      <c r="E5542" s="956">
        <v>1381</v>
      </c>
      <c r="F5542" s="955"/>
      <c r="L5542" s="954"/>
      <c r="M5542" s="952"/>
      <c r="N5542" s="952"/>
    </row>
    <row r="5543" spans="1:14">
      <c r="A5543" s="958" t="s">
        <v>370</v>
      </c>
      <c r="B5543" s="958">
        <v>52</v>
      </c>
      <c r="C5543" s="958" t="s">
        <v>900</v>
      </c>
      <c r="D5543" s="957" t="s">
        <v>899</v>
      </c>
      <c r="E5543" s="956">
        <v>33817</v>
      </c>
      <c r="F5543" s="955"/>
      <c r="L5543" s="954"/>
      <c r="M5543" s="952"/>
      <c r="N5543" s="952"/>
    </row>
    <row r="5544" spans="1:14">
      <c r="A5544" s="958" t="s">
        <v>370</v>
      </c>
      <c r="B5544" s="958">
        <v>52</v>
      </c>
      <c r="C5544" s="958" t="s">
        <v>898</v>
      </c>
      <c r="D5544" s="957" t="s">
        <v>897</v>
      </c>
      <c r="E5544" s="956">
        <v>5167</v>
      </c>
      <c r="F5544" s="955"/>
      <c r="L5544" s="954"/>
      <c r="M5544" s="952"/>
      <c r="N5544" s="952"/>
    </row>
    <row r="5545" spans="1:14">
      <c r="A5545" s="958" t="s">
        <v>370</v>
      </c>
      <c r="B5545" s="958">
        <v>52</v>
      </c>
      <c r="C5545" s="958" t="s">
        <v>896</v>
      </c>
      <c r="D5545" s="957" t="s">
        <v>895</v>
      </c>
      <c r="E5545" s="956">
        <v>21993</v>
      </c>
      <c r="F5545" s="955"/>
      <c r="L5545" s="954"/>
      <c r="M5545" s="952"/>
      <c r="N5545" s="952"/>
    </row>
    <row r="5546" spans="1:14">
      <c r="A5546" s="958" t="s">
        <v>370</v>
      </c>
      <c r="B5546" s="958">
        <v>52</v>
      </c>
      <c r="C5546" s="958" t="s">
        <v>894</v>
      </c>
      <c r="D5546" s="957" t="s">
        <v>893</v>
      </c>
      <c r="E5546" s="956">
        <v>4057</v>
      </c>
      <c r="F5546" s="955"/>
      <c r="L5546" s="954"/>
      <c r="M5546" s="952"/>
      <c r="N5546" s="952"/>
    </row>
    <row r="5547" spans="1:14">
      <c r="A5547" s="958" t="s">
        <v>370</v>
      </c>
      <c r="B5547" s="958">
        <v>52</v>
      </c>
      <c r="C5547" s="958" t="s">
        <v>892</v>
      </c>
      <c r="D5547" s="957" t="s">
        <v>891</v>
      </c>
      <c r="E5547" s="956">
        <v>2036</v>
      </c>
      <c r="F5547" s="955"/>
      <c r="L5547" s="954"/>
      <c r="M5547" s="952"/>
      <c r="N5547" s="952"/>
    </row>
    <row r="5548" spans="1:14">
      <c r="A5548" s="958" t="s">
        <v>370</v>
      </c>
      <c r="B5548" s="958">
        <v>52</v>
      </c>
      <c r="C5548" s="958" t="s">
        <v>890</v>
      </c>
      <c r="D5548" s="957" t="s">
        <v>889</v>
      </c>
      <c r="E5548" s="956">
        <v>20645</v>
      </c>
      <c r="F5548" s="955"/>
      <c r="L5548" s="954"/>
      <c r="M5548" s="952"/>
      <c r="N5548" s="952"/>
    </row>
    <row r="5549" spans="1:14">
      <c r="A5549" s="958" t="s">
        <v>370</v>
      </c>
      <c r="B5549" s="958">
        <v>52</v>
      </c>
      <c r="C5549" s="958" t="s">
        <v>888</v>
      </c>
      <c r="D5549" s="957" t="s">
        <v>887</v>
      </c>
      <c r="E5549" s="956">
        <v>115371</v>
      </c>
      <c r="F5549" s="955"/>
      <c r="L5549" s="954"/>
      <c r="M5549" s="952"/>
      <c r="N5549" s="952"/>
    </row>
    <row r="5550" spans="1:14">
      <c r="A5550" s="958" t="s">
        <v>370</v>
      </c>
      <c r="B5550" s="958">
        <v>52</v>
      </c>
      <c r="C5550" s="958" t="s">
        <v>886</v>
      </c>
      <c r="D5550" s="957" t="s">
        <v>885</v>
      </c>
      <c r="E5550" s="956">
        <v>8544</v>
      </c>
      <c r="F5550" s="955"/>
      <c r="L5550" s="954"/>
      <c r="M5550" s="952"/>
      <c r="N5550" s="952"/>
    </row>
    <row r="5551" spans="1:14">
      <c r="A5551" s="958" t="s">
        <v>370</v>
      </c>
      <c r="B5551" s="958">
        <v>52</v>
      </c>
      <c r="C5551" s="958" t="s">
        <v>884</v>
      </c>
      <c r="D5551" s="957" t="s">
        <v>883</v>
      </c>
      <c r="E5551" s="956">
        <v>20695</v>
      </c>
      <c r="F5551" s="955"/>
      <c r="L5551" s="954"/>
      <c r="M5551" s="952"/>
      <c r="N5551" s="952"/>
    </row>
    <row r="5552" spans="1:14">
      <c r="A5552" s="958" t="s">
        <v>370</v>
      </c>
      <c r="B5552" s="958">
        <v>52</v>
      </c>
      <c r="C5552" s="958" t="s">
        <v>882</v>
      </c>
      <c r="D5552" s="957" t="s">
        <v>881</v>
      </c>
      <c r="E5552" s="956">
        <v>6856</v>
      </c>
      <c r="F5552" s="955"/>
      <c r="L5552" s="954"/>
      <c r="M5552" s="952"/>
      <c r="N5552" s="952"/>
    </row>
    <row r="5553" spans="1:14">
      <c r="A5553" s="958" t="s">
        <v>370</v>
      </c>
      <c r="B5553" s="958">
        <v>52</v>
      </c>
      <c r="C5553" s="958" t="s">
        <v>880</v>
      </c>
      <c r="D5553" s="957" t="s">
        <v>879</v>
      </c>
      <c r="E5553" s="956">
        <v>2989</v>
      </c>
      <c r="F5553" s="955"/>
      <c r="L5553" s="954"/>
      <c r="M5553" s="952"/>
      <c r="N5553" s="952"/>
    </row>
    <row r="5554" spans="1:14">
      <c r="A5554" s="958" t="s">
        <v>370</v>
      </c>
      <c r="B5554" s="958">
        <v>52</v>
      </c>
      <c r="C5554" s="958" t="s">
        <v>878</v>
      </c>
      <c r="D5554" s="957" t="s">
        <v>877</v>
      </c>
      <c r="E5554" s="956">
        <v>3529</v>
      </c>
      <c r="F5554" s="955"/>
      <c r="L5554" s="954"/>
      <c r="M5554" s="952"/>
      <c r="N5554" s="952"/>
    </row>
    <row r="5555" spans="1:14">
      <c r="A5555" s="958" t="s">
        <v>370</v>
      </c>
      <c r="B5555" s="958">
        <v>52</v>
      </c>
      <c r="C5555" s="958" t="s">
        <v>876</v>
      </c>
      <c r="D5555" s="957" t="s">
        <v>875</v>
      </c>
      <c r="E5555" s="956">
        <v>3458</v>
      </c>
      <c r="F5555" s="955"/>
      <c r="L5555" s="954"/>
      <c r="M5555" s="952"/>
      <c r="N5555" s="952"/>
    </row>
    <row r="5556" spans="1:14">
      <c r="A5556" s="958" t="s">
        <v>370</v>
      </c>
      <c r="B5556" s="958">
        <v>52</v>
      </c>
      <c r="C5556" s="958" t="s">
        <v>874</v>
      </c>
      <c r="D5556" s="957" t="s">
        <v>873</v>
      </c>
      <c r="E5556" s="956">
        <v>8043</v>
      </c>
      <c r="F5556" s="955"/>
      <c r="L5556" s="954"/>
      <c r="M5556" s="952"/>
      <c r="N5556" s="952"/>
    </row>
    <row r="5557" spans="1:14">
      <c r="A5557" s="958" t="s">
        <v>370</v>
      </c>
      <c r="B5557" s="958">
        <v>52</v>
      </c>
      <c r="C5557" s="958" t="s">
        <v>872</v>
      </c>
      <c r="D5557" s="957" t="s">
        <v>871</v>
      </c>
      <c r="E5557" s="956">
        <v>2833</v>
      </c>
      <c r="F5557" s="955"/>
      <c r="L5557" s="954"/>
      <c r="M5557" s="952"/>
      <c r="N5557" s="952"/>
    </row>
    <row r="5558" spans="1:14">
      <c r="A5558" s="958" t="s">
        <v>370</v>
      </c>
      <c r="B5558" s="958">
        <v>52</v>
      </c>
      <c r="C5558" s="958" t="s">
        <v>870</v>
      </c>
      <c r="D5558" s="957" t="s">
        <v>869</v>
      </c>
      <c r="E5558" s="956">
        <v>127599</v>
      </c>
      <c r="F5558" s="955"/>
      <c r="L5558" s="954"/>
      <c r="M5558" s="952"/>
      <c r="N5558" s="952"/>
    </row>
    <row r="5559" spans="1:14">
      <c r="A5559" s="958" t="s">
        <v>370</v>
      </c>
      <c r="B5559" s="958">
        <v>52</v>
      </c>
      <c r="C5559" s="958" t="s">
        <v>868</v>
      </c>
      <c r="D5559" s="957" t="s">
        <v>867</v>
      </c>
      <c r="E5559" s="956">
        <v>3500</v>
      </c>
      <c r="F5559" s="955"/>
      <c r="L5559" s="954"/>
      <c r="M5559" s="952"/>
      <c r="N5559" s="952"/>
    </row>
    <row r="5560" spans="1:14">
      <c r="A5560" s="958" t="s">
        <v>370</v>
      </c>
      <c r="B5560" s="958">
        <v>52</v>
      </c>
      <c r="C5560" s="958" t="s">
        <v>866</v>
      </c>
      <c r="D5560" s="957" t="s">
        <v>865</v>
      </c>
      <c r="E5560" s="956">
        <v>4598</v>
      </c>
      <c r="F5560" s="955"/>
      <c r="L5560" s="954"/>
      <c r="M5560" s="952"/>
      <c r="N5560" s="952"/>
    </row>
    <row r="5561" spans="1:14">
      <c r="A5561" s="958" t="s">
        <v>370</v>
      </c>
      <c r="B5561" s="958">
        <v>52</v>
      </c>
      <c r="C5561" s="958" t="s">
        <v>864</v>
      </c>
      <c r="D5561" s="957" t="s">
        <v>863</v>
      </c>
      <c r="E5561" s="956">
        <v>5281</v>
      </c>
      <c r="F5561" s="955"/>
      <c r="L5561" s="954"/>
      <c r="M5561" s="952"/>
      <c r="N5561" s="952"/>
    </row>
    <row r="5562" spans="1:14">
      <c r="A5562" s="958" t="s">
        <v>370</v>
      </c>
      <c r="B5562" s="958">
        <v>52</v>
      </c>
      <c r="C5562" s="958" t="s">
        <v>862</v>
      </c>
      <c r="D5562" s="957" t="s">
        <v>861</v>
      </c>
      <c r="E5562" s="956">
        <v>2854</v>
      </c>
      <c r="F5562" s="955"/>
      <c r="L5562" s="954"/>
      <c r="M5562" s="952"/>
      <c r="N5562" s="952"/>
    </row>
    <row r="5563" spans="1:14">
      <c r="A5563" s="958" t="s">
        <v>370</v>
      </c>
      <c r="B5563" s="958">
        <v>52</v>
      </c>
      <c r="C5563" s="958" t="s">
        <v>860</v>
      </c>
      <c r="D5563" s="957" t="s">
        <v>859</v>
      </c>
      <c r="E5563" s="956">
        <v>40532</v>
      </c>
      <c r="F5563" s="955"/>
      <c r="L5563" s="954"/>
      <c r="M5563" s="952"/>
      <c r="N5563" s="952"/>
    </row>
    <row r="5564" spans="1:14">
      <c r="A5564" s="958" t="s">
        <v>370</v>
      </c>
      <c r="B5564" s="958">
        <v>52</v>
      </c>
      <c r="C5564" s="958" t="s">
        <v>858</v>
      </c>
      <c r="D5564" s="957" t="s">
        <v>857</v>
      </c>
      <c r="E5564" s="956">
        <v>13843</v>
      </c>
      <c r="F5564" s="955"/>
      <c r="L5564" s="954"/>
      <c r="M5564" s="952"/>
      <c r="N5564" s="952"/>
    </row>
    <row r="5565" spans="1:14">
      <c r="A5565" s="958" t="s">
        <v>370</v>
      </c>
      <c r="B5565" s="958">
        <v>52</v>
      </c>
      <c r="C5565" s="958" t="s">
        <v>856</v>
      </c>
      <c r="D5565" s="957" t="s">
        <v>855</v>
      </c>
      <c r="E5565" s="956">
        <v>3072</v>
      </c>
      <c r="F5565" s="955"/>
      <c r="L5565" s="954"/>
      <c r="M5565" s="952"/>
      <c r="N5565" s="952"/>
    </row>
    <row r="5566" spans="1:14">
      <c r="A5566" s="958" t="s">
        <v>370</v>
      </c>
      <c r="B5566" s="958">
        <v>52</v>
      </c>
      <c r="C5566" s="958" t="s">
        <v>854</v>
      </c>
      <c r="D5566" s="957" t="s">
        <v>853</v>
      </c>
      <c r="E5566" s="956">
        <v>168468</v>
      </c>
      <c r="F5566" s="955"/>
      <c r="L5566" s="954"/>
      <c r="M5566" s="952"/>
      <c r="N5566" s="952"/>
    </row>
    <row r="5567" spans="1:14">
      <c r="A5567" s="958" t="s">
        <v>370</v>
      </c>
      <c r="B5567" s="958">
        <v>52</v>
      </c>
      <c r="C5567" s="958" t="s">
        <v>852</v>
      </c>
      <c r="D5567" s="957" t="s">
        <v>851</v>
      </c>
      <c r="E5567" s="956">
        <v>3827</v>
      </c>
      <c r="F5567" s="955"/>
      <c r="L5567" s="954"/>
      <c r="M5567" s="952"/>
      <c r="N5567" s="952"/>
    </row>
    <row r="5568" spans="1:14">
      <c r="A5568" s="958" t="s">
        <v>370</v>
      </c>
      <c r="B5568" s="958">
        <v>52</v>
      </c>
      <c r="C5568" s="958" t="s">
        <v>850</v>
      </c>
      <c r="D5568" s="957" t="s">
        <v>849</v>
      </c>
      <c r="E5568" s="956">
        <v>13863</v>
      </c>
      <c r="F5568" s="955"/>
      <c r="L5568" s="954"/>
      <c r="M5568" s="952"/>
      <c r="N5568" s="952"/>
    </row>
    <row r="5569" spans="1:14">
      <c r="A5569" s="958" t="s">
        <v>370</v>
      </c>
      <c r="B5569" s="958">
        <v>52</v>
      </c>
      <c r="C5569" s="958" t="s">
        <v>848</v>
      </c>
      <c r="D5569" s="957" t="s">
        <v>847</v>
      </c>
      <c r="E5569" s="956">
        <v>8743</v>
      </c>
      <c r="F5569" s="955"/>
      <c r="L5569" s="954"/>
      <c r="M5569" s="952"/>
      <c r="N5569" s="952"/>
    </row>
    <row r="5570" spans="1:14">
      <c r="A5570" s="958" t="s">
        <v>370</v>
      </c>
      <c r="B5570" s="958">
        <v>52</v>
      </c>
      <c r="C5570" s="958" t="s">
        <v>846</v>
      </c>
      <c r="D5570" s="957" t="s">
        <v>845</v>
      </c>
      <c r="E5570" s="956">
        <v>6171</v>
      </c>
      <c r="F5570" s="955"/>
      <c r="L5570" s="954"/>
      <c r="M5570" s="952"/>
      <c r="N5570" s="952"/>
    </row>
    <row r="5571" spans="1:14">
      <c r="A5571" s="958" t="s">
        <v>370</v>
      </c>
      <c r="B5571" s="958">
        <v>52</v>
      </c>
      <c r="C5571" s="958" t="s">
        <v>844</v>
      </c>
      <c r="D5571" s="957" t="s">
        <v>843</v>
      </c>
      <c r="E5571" s="956">
        <v>5821</v>
      </c>
      <c r="F5571" s="955"/>
      <c r="L5571" s="954"/>
      <c r="M5571" s="952"/>
      <c r="N5571" s="952"/>
    </row>
    <row r="5572" spans="1:14">
      <c r="A5572" s="958" t="s">
        <v>372</v>
      </c>
      <c r="B5572" s="958">
        <v>53</v>
      </c>
      <c r="C5572" s="958" t="s">
        <v>842</v>
      </c>
      <c r="D5572" s="957" t="s">
        <v>841</v>
      </c>
      <c r="E5572" s="956">
        <v>3015268</v>
      </c>
      <c r="F5572" s="955"/>
      <c r="L5572" s="954"/>
      <c r="M5572" s="952"/>
      <c r="N5572" s="952"/>
    </row>
    <row r="5573" spans="1:14">
      <c r="A5573" s="953"/>
      <c r="B5573" s="953"/>
      <c r="C5573" s="953"/>
      <c r="D5573" s="953"/>
      <c r="E5573" s="785"/>
      <c r="N5573" s="952"/>
    </row>
    <row r="5574" spans="1:14" ht="31.5" customHeight="1">
      <c r="A5574" s="1261" t="s">
        <v>840</v>
      </c>
      <c r="B5574" s="1262"/>
      <c r="C5574" s="1262"/>
      <c r="D5574" s="1262"/>
      <c r="E5574" s="1263"/>
    </row>
    <row r="5575" spans="1:14" ht="15" customHeight="1">
      <c r="A5575" s="951"/>
      <c r="B5575" s="951"/>
      <c r="C5575" s="951"/>
      <c r="D5575" s="950"/>
      <c r="E5575" s="948"/>
      <c r="F5575" s="948"/>
    </row>
    <row r="5576" spans="1:14">
      <c r="A5576" s="1264" t="s">
        <v>839</v>
      </c>
      <c r="B5576" s="1265"/>
      <c r="C5576" s="1265"/>
      <c r="D5576" s="1265"/>
      <c r="E5576" s="1266"/>
    </row>
    <row r="5577" spans="1:14" ht="30" customHeight="1">
      <c r="A5577" s="1267" t="s">
        <v>838</v>
      </c>
      <c r="B5577" s="1268"/>
      <c r="C5577" s="1268"/>
      <c r="D5577" s="1268"/>
      <c r="E5577" s="1269"/>
      <c r="G5577" s="1270"/>
      <c r="H5577" s="1270"/>
      <c r="I5577" s="1270"/>
      <c r="J5577" s="1270"/>
      <c r="K5577" s="1270"/>
    </row>
    <row r="5578" spans="1:14" ht="42.75" customHeight="1">
      <c r="A5578" s="1267" t="s">
        <v>837</v>
      </c>
      <c r="B5578" s="1268"/>
      <c r="C5578" s="1268"/>
      <c r="D5578" s="1268"/>
      <c r="E5578" s="1269"/>
      <c r="G5578" s="1270"/>
      <c r="H5578" s="1270"/>
      <c r="I5578" s="1270"/>
      <c r="J5578" s="1270"/>
      <c r="K5578" s="1270"/>
    </row>
    <row r="5579" spans="1:14" ht="54.75" customHeight="1">
      <c r="A5579" s="1267" t="s">
        <v>836</v>
      </c>
      <c r="B5579" s="1268"/>
      <c r="C5579" s="1268"/>
      <c r="D5579" s="1268"/>
      <c r="E5579" s="1269"/>
      <c r="G5579" s="1270"/>
      <c r="H5579" s="1270"/>
      <c r="I5579" s="1270"/>
      <c r="J5579" s="1270"/>
      <c r="K5579" s="1270"/>
    </row>
    <row r="5580" spans="1:14" ht="46.5" customHeight="1">
      <c r="A5580" s="1267" t="s">
        <v>835</v>
      </c>
      <c r="B5580" s="1268"/>
      <c r="C5580" s="1268"/>
      <c r="D5580" s="1268"/>
      <c r="E5580" s="1269"/>
      <c r="G5580" s="1270"/>
      <c r="H5580" s="1270"/>
      <c r="I5580" s="1270"/>
      <c r="J5580" s="1270"/>
      <c r="K5580" s="1270"/>
    </row>
    <row r="5581" spans="1:14" ht="43.5" customHeight="1">
      <c r="A5581" s="1267" t="s">
        <v>834</v>
      </c>
      <c r="B5581" s="1268"/>
      <c r="C5581" s="1268"/>
      <c r="D5581" s="1268"/>
      <c r="E5581" s="1269"/>
      <c r="G5581" s="1270"/>
      <c r="H5581" s="1270"/>
      <c r="I5581" s="1270"/>
      <c r="J5581" s="1270"/>
      <c r="K5581" s="1270"/>
    </row>
    <row r="5582" spans="1:14" ht="56.25" customHeight="1">
      <c r="A5582" s="1267" t="s">
        <v>833</v>
      </c>
      <c r="B5582" s="1268"/>
      <c r="C5582" s="1268"/>
      <c r="D5582" s="1268"/>
      <c r="E5582" s="1269"/>
      <c r="G5582" s="1270"/>
      <c r="H5582" s="1270"/>
      <c r="I5582" s="1270"/>
      <c r="J5582" s="1270"/>
      <c r="K5582" s="1270"/>
    </row>
    <row r="5583" spans="1:14" ht="56.25" customHeight="1">
      <c r="A5583" s="1267" t="s">
        <v>832</v>
      </c>
      <c r="B5583" s="1268"/>
      <c r="C5583" s="1268"/>
      <c r="D5583" s="1268"/>
      <c r="E5583" s="1269"/>
      <c r="G5583" s="1270"/>
      <c r="H5583" s="1270"/>
      <c r="I5583" s="1270"/>
      <c r="J5583" s="1270"/>
      <c r="K5583" s="1270"/>
    </row>
    <row r="5584" spans="1:14" ht="50.25" customHeight="1">
      <c r="A5584" s="1267" t="s">
        <v>831</v>
      </c>
      <c r="B5584" s="1268"/>
      <c r="C5584" s="1268"/>
      <c r="D5584" s="1268"/>
      <c r="E5584" s="1269"/>
      <c r="G5584" s="1270"/>
      <c r="H5584" s="1270"/>
      <c r="I5584" s="1270"/>
      <c r="J5584" s="1270"/>
      <c r="K5584" s="1270"/>
    </row>
    <row r="5585" spans="1:11" ht="41.25" customHeight="1">
      <c r="A5585" s="1267" t="s">
        <v>830</v>
      </c>
      <c r="B5585" s="1268"/>
      <c r="C5585" s="1268"/>
      <c r="D5585" s="1268"/>
      <c r="E5585" s="1269"/>
      <c r="G5585" s="1270"/>
      <c r="H5585" s="1270"/>
      <c r="I5585" s="1270"/>
      <c r="J5585" s="1270"/>
      <c r="K5585" s="1270"/>
    </row>
    <row r="5586" spans="1:11" ht="51" customHeight="1">
      <c r="A5586" s="1267" t="s">
        <v>829</v>
      </c>
      <c r="B5586" s="1268"/>
      <c r="C5586" s="1268"/>
      <c r="D5586" s="1268"/>
      <c r="E5586" s="1269"/>
      <c r="G5586" s="1270"/>
      <c r="H5586" s="1270"/>
      <c r="I5586" s="1270"/>
      <c r="J5586" s="1270"/>
      <c r="K5586" s="1270"/>
    </row>
    <row r="5587" spans="1:11" ht="30" customHeight="1">
      <c r="A5587" s="1267" t="s">
        <v>828</v>
      </c>
      <c r="B5587" s="1268"/>
      <c r="C5587" s="1268"/>
      <c r="D5587" s="1268"/>
      <c r="E5587" s="1269"/>
      <c r="G5587" s="1270"/>
      <c r="H5587" s="1270"/>
      <c r="I5587" s="1270"/>
      <c r="J5587" s="1270"/>
      <c r="K5587" s="1270"/>
    </row>
    <row r="5588" spans="1:11" ht="45" customHeight="1">
      <c r="A5588" s="1267" t="s">
        <v>827</v>
      </c>
      <c r="B5588" s="1268"/>
      <c r="C5588" s="1268"/>
      <c r="D5588" s="1268"/>
      <c r="E5588" s="1269"/>
      <c r="G5588" s="1270"/>
      <c r="H5588" s="1270"/>
      <c r="I5588" s="1270"/>
      <c r="J5588" s="1270"/>
      <c r="K5588" s="1270"/>
    </row>
    <row r="5589" spans="1:11" ht="30" customHeight="1">
      <c r="A5589" s="1267" t="s">
        <v>826</v>
      </c>
      <c r="B5589" s="1268"/>
      <c r="C5589" s="1268"/>
      <c r="D5589" s="1268"/>
      <c r="E5589" s="1269"/>
      <c r="G5589" s="1270"/>
      <c r="H5589" s="1270"/>
      <c r="I5589" s="1270"/>
      <c r="J5589" s="1270"/>
      <c r="K5589" s="1270"/>
    </row>
    <row r="5590" spans="1:11" ht="36.75" customHeight="1">
      <c r="A5590" s="1267" t="s">
        <v>825</v>
      </c>
      <c r="B5590" s="1268"/>
      <c r="C5590" s="1268"/>
      <c r="D5590" s="1268"/>
      <c r="E5590" s="1269"/>
      <c r="G5590" s="1270"/>
      <c r="H5590" s="1270"/>
      <c r="I5590" s="1270"/>
      <c r="J5590" s="1270"/>
      <c r="K5590" s="1270"/>
    </row>
    <row r="5591" spans="1:11" ht="48.75" customHeight="1">
      <c r="A5591" s="1267" t="s">
        <v>824</v>
      </c>
      <c r="B5591" s="1268"/>
      <c r="C5591" s="1268"/>
      <c r="D5591" s="1268"/>
      <c r="E5591" s="1269"/>
      <c r="G5591" s="949"/>
      <c r="H5591" s="949"/>
      <c r="I5591" s="949"/>
      <c r="J5591" s="949"/>
      <c r="K5591" s="949"/>
    </row>
    <row r="5592" spans="1:11" ht="30" customHeight="1">
      <c r="A5592" s="1267" t="s">
        <v>823</v>
      </c>
      <c r="B5592" s="1268"/>
      <c r="C5592" s="1268"/>
      <c r="D5592" s="1268"/>
      <c r="E5592" s="1269"/>
      <c r="G5592" s="1270"/>
      <c r="H5592" s="1270"/>
      <c r="I5592" s="1270"/>
      <c r="J5592" s="1270"/>
      <c r="K5592" s="1270"/>
    </row>
    <row r="5593" spans="1:11" ht="60" customHeight="1">
      <c r="A5593" s="1267" t="s">
        <v>822</v>
      </c>
      <c r="B5593" s="1268"/>
      <c r="C5593" s="1268"/>
      <c r="D5593" s="1268"/>
      <c r="E5593" s="1269"/>
      <c r="G5593" s="1270"/>
      <c r="H5593" s="1270"/>
      <c r="I5593" s="1270"/>
      <c r="J5593" s="1270"/>
      <c r="K5593" s="1270"/>
    </row>
    <row r="5594" spans="1:11" ht="63.75" customHeight="1">
      <c r="A5594" s="1267" t="s">
        <v>821</v>
      </c>
      <c r="B5594" s="1268"/>
      <c r="C5594" s="1268"/>
      <c r="D5594" s="1268"/>
      <c r="E5594" s="1269"/>
      <c r="G5594" s="1270"/>
      <c r="H5594" s="1270"/>
      <c r="I5594" s="1270"/>
      <c r="J5594" s="1270"/>
      <c r="K5594" s="1270"/>
    </row>
    <row r="5595" spans="1:11" ht="45" customHeight="1">
      <c r="A5595" s="1271" t="s">
        <v>820</v>
      </c>
      <c r="B5595" s="1272"/>
      <c r="C5595" s="1272"/>
      <c r="D5595" s="1272"/>
      <c r="E5595" s="1273"/>
      <c r="G5595" s="1270"/>
      <c r="H5595" s="1270"/>
      <c r="I5595" s="1270"/>
      <c r="J5595" s="1270"/>
      <c r="K5595" s="1270"/>
    </row>
  </sheetData>
  <mergeCells count="40">
    <mergeCell ref="A5590:E5590"/>
    <mergeCell ref="G5590:K5590"/>
    <mergeCell ref="A5595:E5595"/>
    <mergeCell ref="G5595:K5595"/>
    <mergeCell ref="A5591:E5591"/>
    <mergeCell ref="A5592:E5592"/>
    <mergeCell ref="G5592:K5592"/>
    <mergeCell ref="A5593:E5593"/>
    <mergeCell ref="G5593:K5593"/>
    <mergeCell ref="A5594:E5594"/>
    <mergeCell ref="G5594:K5594"/>
    <mergeCell ref="A5587:E5587"/>
    <mergeCell ref="G5587:K5587"/>
    <mergeCell ref="A5588:E5588"/>
    <mergeCell ref="G5588:K5588"/>
    <mergeCell ref="A5589:E5589"/>
    <mergeCell ref="G5589:K5589"/>
    <mergeCell ref="A5584:E5584"/>
    <mergeCell ref="G5584:K5584"/>
    <mergeCell ref="A5585:E5585"/>
    <mergeCell ref="G5585:K5585"/>
    <mergeCell ref="A5586:E5586"/>
    <mergeCell ref="G5586:K5586"/>
    <mergeCell ref="A5581:E5581"/>
    <mergeCell ref="G5581:K5581"/>
    <mergeCell ref="A5582:E5582"/>
    <mergeCell ref="G5582:K5582"/>
    <mergeCell ref="A5583:E5583"/>
    <mergeCell ref="G5583:K5583"/>
    <mergeCell ref="A5578:E5578"/>
    <mergeCell ref="G5578:K5578"/>
    <mergeCell ref="A5579:E5579"/>
    <mergeCell ref="G5579:K5579"/>
    <mergeCell ref="A5580:E5580"/>
    <mergeCell ref="G5580:K5580"/>
    <mergeCell ref="A1:E1"/>
    <mergeCell ref="A5574:E5574"/>
    <mergeCell ref="A5576:E5576"/>
    <mergeCell ref="A5577:E5577"/>
    <mergeCell ref="G5577:K5577"/>
  </mergeCells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4</vt:i4>
      </vt:variant>
    </vt:vector>
  </HeadingPairs>
  <TitlesOfParts>
    <vt:vector size="20" baseType="lpstr">
      <vt:lpstr>Contrato</vt:lpstr>
      <vt:lpstr>Inputs</vt:lpstr>
      <vt:lpstr>Renda</vt:lpstr>
      <vt:lpstr>Colateral</vt:lpstr>
      <vt:lpstr>Rating</vt:lpstr>
      <vt:lpstr> Relatorio</vt:lpstr>
      <vt:lpstr>Simulador PDF</vt:lpstr>
      <vt:lpstr>Relatório Aprovação</vt:lpstr>
      <vt:lpstr>SAC_CORR</vt:lpstr>
      <vt:lpstr>PRICE_CORR</vt:lpstr>
      <vt:lpstr>SAC_PULA Ñ USAR</vt:lpstr>
      <vt:lpstr>SAC_IOF Ñ USAR</vt:lpstr>
      <vt:lpstr>PRICE_PULA_Ñ USAR</vt:lpstr>
      <vt:lpstr>PRICE_IOF Ñ USAR</vt:lpstr>
      <vt:lpstr>Registro</vt:lpstr>
      <vt:lpstr>Municípios</vt:lpstr>
      <vt:lpstr>Municípios!Area_de_impressao</vt:lpstr>
      <vt:lpstr>'Relatório Aprovação'!Area_de_impressao</vt:lpstr>
      <vt:lpstr>'Simulador PDF'!Area_de_impressao</vt:lpstr>
      <vt:lpstr>Municípios!Titulos_de_impressao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Carrer</dc:creator>
  <cp:lastModifiedBy>Luiz Octavio</cp:lastModifiedBy>
  <cp:lastPrinted>2022-05-27T20:10:39Z</cp:lastPrinted>
  <dcterms:created xsi:type="dcterms:W3CDTF">2015-06-05T18:19:34Z</dcterms:created>
  <dcterms:modified xsi:type="dcterms:W3CDTF">2022-06-02T20:05:16Z</dcterms:modified>
</cp:coreProperties>
</file>